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night\Desktop\master\data\祖传数据\DataAnalysed_new\014王文傲\split\"/>
    </mc:Choice>
  </mc:AlternateContent>
  <xr:revisionPtr revIDLastSave="0" documentId="8_{D18536AE-360D-4AC9-AF21-B08D7C5A9693}" xr6:coauthVersionLast="47" xr6:coauthVersionMax="47" xr10:uidLastSave="{00000000-0000-0000-0000-000000000000}"/>
  <bookViews>
    <workbookView xWindow="5050" yWindow="2100" windowWidth="25800" windowHeight="9890"/>
  </bookViews>
  <sheets>
    <sheet name="TestNight_on_with_headDir" sheetId="1" r:id="rId1"/>
  </sheets>
  <calcPr calcId="0"/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</calcChain>
</file>

<file path=xl/sharedStrings.xml><?xml version="1.0" encoding="utf-8"?>
<sst xmlns="http://schemas.openxmlformats.org/spreadsheetml/2006/main" count="13684" uniqueCount="104">
  <si>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</si>
  <si>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</si>
  <si>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</si>
  <si>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</si>
  <si>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</si>
  <si>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</si>
  <si>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</si>
  <si>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</si>
  <si>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</si>
  <si>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</si>
  <si>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</si>
  <si>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</si>
  <si>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</si>
  <si>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</si>
  <si>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</si>
  <si>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</si>
  <si>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</si>
  <si>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</si>
  <si>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</si>
  <si>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</si>
  <si>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</si>
  <si>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</si>
  <si>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</si>
  <si>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</si>
  <si>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</si>
  <si>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</si>
  <si>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</si>
  <si>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</si>
  <si>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</si>
  <si>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</si>
  <si>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</si>
  <si>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</si>
  <si>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</si>
  <si>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</si>
  <si>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</si>
  <si>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</si>
  <si>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</si>
  <si>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</si>
  <si>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</si>
  <si>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</si>
  <si>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TestNight_on</t>
  </si>
  <si>
    <t>mcp_road_part_02</t>
  </si>
  <si>
    <t>Kooper</t>
  </si>
  <si>
    <t>Building 07 (16)</t>
  </si>
  <si>
    <t>Plane_01</t>
  </si>
  <si>
    <t>Box001</t>
  </si>
  <si>
    <t>FAR</t>
  </si>
  <si>
    <t>mcp_roads_turn_01 (1)</t>
  </si>
  <si>
    <t>Building 15 (24)</t>
  </si>
  <si>
    <t>Building 15 (35)</t>
  </si>
  <si>
    <t>Building 24 (1)</t>
  </si>
  <si>
    <t>Building 18 (11)</t>
  </si>
  <si>
    <t>Building 07 (17)</t>
  </si>
  <si>
    <t>Canopi 01 (7)</t>
  </si>
  <si>
    <t>Building 23 (4)</t>
  </si>
  <si>
    <t>Building 15 (34)</t>
  </si>
  <si>
    <t>mcp_roads_T_cross_01</t>
  </si>
  <si>
    <t>mcp_road_part_01</t>
  </si>
  <si>
    <t>Building 02 (8)</t>
  </si>
  <si>
    <t>Building 15 (31)</t>
  </si>
  <si>
    <t>Building 01 (9)</t>
  </si>
  <si>
    <t>mcp_roads_cross_01</t>
  </si>
  <si>
    <t>Building 15 (33)</t>
  </si>
  <si>
    <t>Building 07 (4)</t>
  </si>
  <si>
    <t>Plane_01 (1)</t>
  </si>
  <si>
    <t>Building 07 (11)</t>
  </si>
  <si>
    <t>Building 15 (32)</t>
  </si>
  <si>
    <t>mcp_roads_turn_01</t>
  </si>
  <si>
    <t>Building 09 (4)</t>
  </si>
  <si>
    <t>Building 07 (18)</t>
  </si>
  <si>
    <t>Building 24</t>
  </si>
  <si>
    <t>Tong (3)</t>
  </si>
  <si>
    <t>Building 01</t>
  </si>
  <si>
    <t>Shurbs (3)</t>
  </si>
  <si>
    <t>Building 18 (5)</t>
  </si>
  <si>
    <t>mcp_roads_cross_02</t>
  </si>
  <si>
    <t>Building 21 (2)</t>
  </si>
  <si>
    <t>Tree 02 (2)</t>
  </si>
  <si>
    <t>Building 15 (30)</t>
  </si>
  <si>
    <t>Building 15 (7)</t>
  </si>
  <si>
    <t>Building 13 (1)</t>
  </si>
  <si>
    <t>Building 18 (7)</t>
  </si>
  <si>
    <t>Building 30 (4)</t>
  </si>
  <si>
    <t>mcp_road_part_02 (1)</t>
  </si>
  <si>
    <t>Building 04 (3)</t>
  </si>
  <si>
    <t>mcp_road_part_02 (3)</t>
  </si>
  <si>
    <t>Shurbs</t>
  </si>
  <si>
    <t>mcp_road_part_02 (2)</t>
  </si>
  <si>
    <t>mcp_bus_stop_night_LOD_0</t>
  </si>
  <si>
    <t>Shurbs (1)</t>
  </si>
  <si>
    <t>Tree 04 (5)</t>
  </si>
  <si>
    <t>Tree 04 (6)</t>
  </si>
  <si>
    <t>Building 07 (15)</t>
  </si>
  <si>
    <t>Building 07 (14)</t>
  </si>
  <si>
    <t>mcp_road_part_02 (8)</t>
  </si>
  <si>
    <t>mcp_road_part_02 (9)</t>
  </si>
  <si>
    <t>mcp_road_part_02 (6)</t>
  </si>
  <si>
    <t>mcp_road_part_02 (11)</t>
  </si>
  <si>
    <t>mcp_road_part_02 (12)</t>
  </si>
  <si>
    <t>mcp_road_part_02 (10)</t>
  </si>
  <si>
    <t>Building 15 (22)</t>
  </si>
  <si>
    <t>mcp_building_24_fountain_marble</t>
  </si>
  <si>
    <t>Canopi 01 (4)</t>
  </si>
  <si>
    <t>Building 14 (9)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</si>
</sst>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823"/>
  <sheetViews>
    <sheetView tabSelected="1" workbookViewId="0"/>
  </sheetViews>
  <sheetFormatPr defaultRowHeight="1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 t="str">
        <f>"20200111160403309"</f>
        <v>20200111160403309</v>
      </c>
      <c r="B2" t="str">
        <f>"1578729843300336"</f>
        <v>1578729843300336</v>
      </c>
      <c r="C2" t="s">
        <v>40</v>
      </c>
      <c r="D2">
        <v>4.9848850000000002</v>
      </c>
      <c r="E2">
        <v>0.50882419999999995</v>
      </c>
      <c r="F2" t="s">
        <v>41</v>
      </c>
      <c r="G2">
        <v>-463.38729999999998</v>
      </c>
      <c r="H2" s="1">
        <v>-3.1378400000000001E-6</v>
      </c>
      <c r="I2">
        <v>367.81959999999998</v>
      </c>
      <c r="J2">
        <v>-476.59960000000001</v>
      </c>
      <c r="K2">
        <v>1.1097900000000001</v>
      </c>
      <c r="L2">
        <v>367.22280000000001</v>
      </c>
      <c r="M2">
        <v>0.99996240000000003</v>
      </c>
      <c r="N2">
        <v>0</v>
      </c>
      <c r="O2">
        <v>4.5471299999999998E-4</v>
      </c>
      <c r="P2">
        <v>0.99805379999999999</v>
      </c>
      <c r="Q2">
        <v>-6.3861289999999999E-3</v>
      </c>
      <c r="R2">
        <v>6.203558E-2</v>
      </c>
      <c r="S2">
        <v>2.995514</v>
      </c>
      <c r="T2">
        <v>-0.25149009999999999</v>
      </c>
      <c r="U2">
        <v>0.13522339999999999</v>
      </c>
      <c r="V2">
        <v>-6.1581869999999997E-2</v>
      </c>
      <c r="W2">
        <v>2.274337E-3</v>
      </c>
      <c r="X2">
        <v>0.99809939999999997</v>
      </c>
      <c r="Y2">
        <v>-4.4487180000000001E-2</v>
      </c>
      <c r="Z2">
        <v>1.8251599999999999E-3</v>
      </c>
      <c r="AA2">
        <v>0.99900829999999996</v>
      </c>
      <c r="AB2">
        <v>1</v>
      </c>
      <c r="AC2">
        <v>13.212300000000001</v>
      </c>
      <c r="AD2">
        <v>-1.1097931378399899</v>
      </c>
      <c r="AE2">
        <v>0.59679999999997302</v>
      </c>
      <c r="AF2">
        <v>-0.58666115429435695</v>
      </c>
      <c r="AG2">
        <v>-1.1097931378399899</v>
      </c>
      <c r="AH2">
        <v>13.1201891333981</v>
      </c>
      <c r="AI2">
        <v>94.830146677306104</v>
      </c>
      <c r="AJ2">
        <v>92.560240010677504</v>
      </c>
      <c r="AK2">
        <v>13.180105273285699</v>
      </c>
      <c r="AL2">
        <v>89.869689970609301</v>
      </c>
      <c r="AM2">
        <v>93.530624488136795</v>
      </c>
      <c r="AN2">
        <v>0.99999995580092205</v>
      </c>
    </row>
    <row r="3" spans="1:40" x14ac:dyDescent="0.3">
      <c r="A3" t="str">
        <f>"20200111160403330"</f>
        <v>20200111160403330</v>
      </c>
      <c r="B3" t="str">
        <f>"1578729843320832"</f>
        <v>1578729843320832</v>
      </c>
      <c r="C3" t="s">
        <v>40</v>
      </c>
      <c r="D3">
        <v>4.9743009999999996</v>
      </c>
      <c r="E3">
        <v>0.50892020000000004</v>
      </c>
      <c r="F3" t="s">
        <v>41</v>
      </c>
      <c r="G3">
        <v>-463.07549999999998</v>
      </c>
      <c r="H3" s="1">
        <v>-3.2724330000000001E-6</v>
      </c>
      <c r="I3">
        <v>367.81490000000002</v>
      </c>
      <c r="J3">
        <v>-476.58839999999998</v>
      </c>
      <c r="K3">
        <v>1.1096140000000001</v>
      </c>
      <c r="L3">
        <v>367.22289999999998</v>
      </c>
      <c r="M3">
        <v>0.99997139999999995</v>
      </c>
      <c r="N3">
        <v>0</v>
      </c>
      <c r="O3">
        <v>4.5300069999999997E-4</v>
      </c>
      <c r="P3">
        <v>0.99810900000000002</v>
      </c>
      <c r="Q3">
        <v>-5.2997319999999997E-3</v>
      </c>
      <c r="R3">
        <v>6.124185E-2</v>
      </c>
      <c r="S3">
        <v>2.9960939999999998</v>
      </c>
      <c r="T3">
        <v>-0.24585860000000001</v>
      </c>
      <c r="U3">
        <v>0.13119510000000001</v>
      </c>
      <c r="V3">
        <v>-6.0789419999999997E-2</v>
      </c>
      <c r="W3">
        <v>2.2586009999999998E-3</v>
      </c>
      <c r="X3">
        <v>0.99814809999999998</v>
      </c>
      <c r="Y3">
        <v>-4.3150960000000002E-2</v>
      </c>
      <c r="Z3">
        <v>1.7295710000000001E-3</v>
      </c>
      <c r="AA3">
        <v>0.99906709999999999</v>
      </c>
      <c r="AB3">
        <v>1</v>
      </c>
      <c r="AC3">
        <v>13.5129</v>
      </c>
      <c r="AD3">
        <v>-1.10961727243299</v>
      </c>
      <c r="AE3">
        <v>0.59200000000004105</v>
      </c>
      <c r="AF3">
        <v>-0.58196179543741</v>
      </c>
      <c r="AG3">
        <v>-1.10961727243299</v>
      </c>
      <c r="AH3">
        <v>13.4228308385561</v>
      </c>
      <c r="AI3">
        <v>94.721276133843801</v>
      </c>
      <c r="AJ3">
        <v>92.482567638179404</v>
      </c>
      <c r="AK3">
        <v>13.4811838405655</v>
      </c>
      <c r="AL3">
        <v>89.870591590531802</v>
      </c>
      <c r="AM3">
        <v>93.485134671865595</v>
      </c>
      <c r="AN3">
        <v>1.00000004219801</v>
      </c>
    </row>
    <row r="4" spans="1:40" x14ac:dyDescent="0.3">
      <c r="A4" t="str">
        <f>"20200111160403352"</f>
        <v>20200111160403352</v>
      </c>
      <c r="B4" t="str">
        <f>"1578729843340352"</f>
        <v>1578729843340352</v>
      </c>
      <c r="C4" t="s">
        <v>40</v>
      </c>
      <c r="D4">
        <v>4.9712319999999997</v>
      </c>
      <c r="E4">
        <v>0.50899129999999904</v>
      </c>
      <c r="F4" t="s">
        <v>41</v>
      </c>
      <c r="G4">
        <v>-462.92630000000003</v>
      </c>
      <c r="H4" s="1">
        <v>-3.3377339999999999E-6</v>
      </c>
      <c r="I4">
        <v>367.80759999999998</v>
      </c>
      <c r="J4">
        <v>-476.57459999999998</v>
      </c>
      <c r="K4">
        <v>1.1094580000000001</v>
      </c>
      <c r="L4">
        <v>367.22280000000001</v>
      </c>
      <c r="M4">
        <v>0.9999789</v>
      </c>
      <c r="N4">
        <v>0</v>
      </c>
      <c r="O4">
        <v>4.5008690000000002E-4</v>
      </c>
      <c r="P4">
        <v>0.99818620000000002</v>
      </c>
      <c r="Q4">
        <v>-4.583724E-3</v>
      </c>
      <c r="R4">
        <v>6.0028720000000001E-2</v>
      </c>
      <c r="S4">
        <v>2.996521</v>
      </c>
      <c r="T4">
        <v>-0.24337139999999999</v>
      </c>
      <c r="U4">
        <v>0.1282654</v>
      </c>
      <c r="V4">
        <v>-5.9579550000000002E-2</v>
      </c>
      <c r="W4">
        <v>1.9024039999999999E-3</v>
      </c>
      <c r="X4">
        <v>0.99822180000000005</v>
      </c>
      <c r="Y4">
        <v>-4.2178760000000003E-2</v>
      </c>
      <c r="Z4">
        <v>1.672764E-3</v>
      </c>
      <c r="AA4">
        <v>0.99910869999999996</v>
      </c>
      <c r="AB4">
        <v>1</v>
      </c>
      <c r="AC4">
        <v>13.6482999999999</v>
      </c>
      <c r="AD4">
        <v>-1.1094613377339999</v>
      </c>
      <c r="AE4">
        <v>0.58479999999997201</v>
      </c>
      <c r="AF4">
        <v>-0.57486516763566597</v>
      </c>
      <c r="AG4">
        <v>-1.1094613377339999</v>
      </c>
      <c r="AH4">
        <v>13.5591278913291</v>
      </c>
      <c r="AI4">
        <v>94.673566026899906</v>
      </c>
      <c r="AJ4">
        <v>92.427710282960106</v>
      </c>
      <c r="AK4">
        <v>13.616582669462501</v>
      </c>
      <c r="AL4">
        <v>89.891000219786804</v>
      </c>
      <c r="AM4">
        <v>93.415685592938203</v>
      </c>
      <c r="AN4">
        <v>1.0000000519572001</v>
      </c>
    </row>
    <row r="5" spans="1:40" x14ac:dyDescent="0.3">
      <c r="A5" t="str">
        <f>"20200111160403374"</f>
        <v>20200111160403374</v>
      </c>
      <c r="B5" t="str">
        <f>"1578729843370608"</f>
        <v>1578729843370608</v>
      </c>
      <c r="C5" t="s">
        <v>40</v>
      </c>
      <c r="D5">
        <v>4.9865360000000001</v>
      </c>
      <c r="E5">
        <v>0.50906340000000005</v>
      </c>
      <c r="F5" t="s">
        <v>41</v>
      </c>
      <c r="G5">
        <v>-462.83569999999997</v>
      </c>
      <c r="H5" s="1">
        <v>-3.3794889999999999E-6</v>
      </c>
      <c r="I5">
        <v>367.79129999999998</v>
      </c>
      <c r="J5">
        <v>-476.55810000000002</v>
      </c>
      <c r="K5">
        <v>1.1093299999999999</v>
      </c>
      <c r="L5">
        <v>367.22280000000001</v>
      </c>
      <c r="M5">
        <v>0.99998520000000002</v>
      </c>
      <c r="N5">
        <v>0</v>
      </c>
      <c r="O5">
        <v>4.4767949999999999E-4</v>
      </c>
      <c r="P5">
        <v>0.99821490000000002</v>
      </c>
      <c r="Q5">
        <v>-3.3687349999999999E-3</v>
      </c>
      <c r="R5">
        <v>5.9632459999999998E-2</v>
      </c>
      <c r="S5">
        <v>2.996918</v>
      </c>
      <c r="T5">
        <v>-0.2420088</v>
      </c>
      <c r="U5">
        <v>0.12402340000000001</v>
      </c>
      <c r="V5">
        <v>-5.9185410000000001E-2</v>
      </c>
      <c r="W5">
        <v>2.0568990000000001E-3</v>
      </c>
      <c r="X5">
        <v>0.99824489999999999</v>
      </c>
      <c r="Y5">
        <v>-4.0769939999999998E-2</v>
      </c>
      <c r="Z5">
        <v>1.606686E-3</v>
      </c>
      <c r="AA5">
        <v>0.99916729999999998</v>
      </c>
      <c r="AB5">
        <v>1</v>
      </c>
      <c r="AC5">
        <v>13.7224</v>
      </c>
      <c r="AD5">
        <v>-1.1093333794889999</v>
      </c>
      <c r="AE5">
        <v>0.56849999999997103</v>
      </c>
      <c r="AF5">
        <v>-0.55871153694728903</v>
      </c>
      <c r="AG5">
        <v>-1.1093333794889999</v>
      </c>
      <c r="AH5">
        <v>13.6337057512314</v>
      </c>
      <c r="AI5">
        <v>94.647852526031798</v>
      </c>
      <c r="AJ5">
        <v>92.346677544222302</v>
      </c>
      <c r="AK5">
        <v>13.690168429918099</v>
      </c>
      <c r="AL5">
        <v>89.882148286725595</v>
      </c>
      <c r="AM5">
        <v>93.393064247305603</v>
      </c>
      <c r="AN5">
        <v>1.00000001198318</v>
      </c>
    </row>
    <row r="6" spans="1:40" x14ac:dyDescent="0.3">
      <c r="A6" t="str">
        <f>"20200111160403397"</f>
        <v>20200111160403397</v>
      </c>
      <c r="B6" t="str">
        <f>"1578729843391106"</f>
        <v>1578729843391106</v>
      </c>
      <c r="C6" t="s">
        <v>40</v>
      </c>
      <c r="D6">
        <v>4.954148</v>
      </c>
      <c r="E6">
        <v>0.50910509999999998</v>
      </c>
      <c r="F6" t="s">
        <v>41</v>
      </c>
      <c r="G6">
        <v>-462.63889999999998</v>
      </c>
      <c r="H6" s="1">
        <v>-3.4639829999999999E-6</v>
      </c>
      <c r="I6">
        <v>367.791</v>
      </c>
      <c r="J6">
        <v>-476.53750000000002</v>
      </c>
      <c r="K6">
        <v>1.1092150000000001</v>
      </c>
      <c r="L6">
        <v>367.22280000000001</v>
      </c>
      <c r="M6">
        <v>0.9999903</v>
      </c>
      <c r="N6">
        <v>0</v>
      </c>
      <c r="O6">
        <v>4.4661229999999998E-4</v>
      </c>
      <c r="P6">
        <v>0.99824710000000005</v>
      </c>
      <c r="Q6">
        <v>-1.8930139999999999E-3</v>
      </c>
      <c r="R6">
        <v>5.9154379999999999E-2</v>
      </c>
      <c r="S6">
        <v>2.9972840000000001</v>
      </c>
      <c r="T6">
        <v>-0.23887559999999999</v>
      </c>
      <c r="U6">
        <v>0.1223755</v>
      </c>
      <c r="V6">
        <v>-5.8708389999999999E-2</v>
      </c>
      <c r="W6">
        <v>2.468409E-3</v>
      </c>
      <c r="X6">
        <v>0.9982721</v>
      </c>
      <c r="Y6">
        <v>-4.0222639999999997E-2</v>
      </c>
      <c r="Z6">
        <v>1.5640960000000001E-3</v>
      </c>
      <c r="AA6">
        <v>0.99918949999999995</v>
      </c>
      <c r="AB6">
        <v>2</v>
      </c>
      <c r="AC6">
        <v>13.8986</v>
      </c>
      <c r="AD6">
        <v>-1.1092184639830001</v>
      </c>
      <c r="AE6">
        <v>0.56819999999999005</v>
      </c>
      <c r="AF6">
        <v>-0.55844164745293801</v>
      </c>
      <c r="AG6">
        <v>-1.1092184639830001</v>
      </c>
      <c r="AH6">
        <v>13.8110324741371</v>
      </c>
      <c r="AI6">
        <v>94.588060931130499</v>
      </c>
      <c r="AJ6">
        <v>92.315462599816996</v>
      </c>
      <c r="AK6">
        <v>13.8667530689819</v>
      </c>
      <c r="AL6">
        <v>89.858570435293402</v>
      </c>
      <c r="AM6">
        <v>93.365688603732394</v>
      </c>
      <c r="AN6">
        <v>0.99999997686889597</v>
      </c>
    </row>
    <row r="7" spans="1:40" x14ac:dyDescent="0.3">
      <c r="A7" t="str">
        <f>"20200111160403420"</f>
        <v>20200111160403420</v>
      </c>
      <c r="B7" t="str">
        <f>"1578729843410624"</f>
        <v>1578729843410624</v>
      </c>
      <c r="C7" t="s">
        <v>40</v>
      </c>
      <c r="D7">
        <v>5.025925</v>
      </c>
      <c r="E7">
        <v>0.50907460000000004</v>
      </c>
      <c r="F7" t="s">
        <v>41</v>
      </c>
      <c r="G7">
        <v>-462.41609999999997</v>
      </c>
      <c r="H7" s="1">
        <v>-3.5592600000000001E-6</v>
      </c>
      <c r="I7">
        <v>367.79259999999999</v>
      </c>
      <c r="J7">
        <v>-476.51440000000002</v>
      </c>
      <c r="K7">
        <v>1.109138</v>
      </c>
      <c r="L7">
        <v>367.22280000000001</v>
      </c>
      <c r="M7">
        <v>0.99999400000000005</v>
      </c>
      <c r="N7">
        <v>0</v>
      </c>
      <c r="O7">
        <v>4.4623420000000001E-4</v>
      </c>
      <c r="P7">
        <v>0.99825189999999997</v>
      </c>
      <c r="Q7">
        <v>-2.5532769999999998E-4</v>
      </c>
      <c r="R7">
        <v>5.9102479999999999E-2</v>
      </c>
      <c r="S7">
        <v>2.997681</v>
      </c>
      <c r="T7">
        <v>-0.23546310000000001</v>
      </c>
      <c r="U7">
        <v>0.1209717</v>
      </c>
      <c r="V7">
        <v>-5.8656859999999998E-2</v>
      </c>
      <c r="W7">
        <v>3.175555E-3</v>
      </c>
      <c r="X7">
        <v>0.99827310000000002</v>
      </c>
      <c r="Y7">
        <v>-3.9755510000000001E-2</v>
      </c>
      <c r="Z7">
        <v>1.523352E-3</v>
      </c>
      <c r="AA7">
        <v>0.99920830000000005</v>
      </c>
      <c r="AB7">
        <v>2</v>
      </c>
      <c r="AC7">
        <v>14.0983</v>
      </c>
      <c r="AD7">
        <v>-1.10914155926</v>
      </c>
      <c r="AE7">
        <v>0.56979999999998598</v>
      </c>
      <c r="AF7">
        <v>-0.56004811812865396</v>
      </c>
      <c r="AG7">
        <v>-1.10914155926</v>
      </c>
      <c r="AH7">
        <v>14.011970219139799</v>
      </c>
      <c r="AI7">
        <v>94.522312892350598</v>
      </c>
      <c r="AJ7">
        <v>92.288851734143407</v>
      </c>
      <c r="AK7">
        <v>14.066952701817</v>
      </c>
      <c r="AL7">
        <v>89.818053785408594</v>
      </c>
      <c r="AM7">
        <v>93.362737865918106</v>
      </c>
      <c r="AN7">
        <v>0.99999994677911197</v>
      </c>
    </row>
    <row r="8" spans="1:40" x14ac:dyDescent="0.3">
      <c r="A8" t="str">
        <f>"20200111160403442"</f>
        <v>20200111160403442</v>
      </c>
      <c r="B8" t="str">
        <f>"1578729843440880"</f>
        <v>1578729843440880</v>
      </c>
      <c r="C8" t="s">
        <v>40</v>
      </c>
      <c r="D8">
        <v>4.9503029999999999</v>
      </c>
      <c r="E8">
        <v>0.50912230000000003</v>
      </c>
      <c r="F8" t="s">
        <v>41</v>
      </c>
      <c r="G8">
        <v>-462.13799999999998</v>
      </c>
      <c r="H8" s="1">
        <v>-3.6764629999999999E-6</v>
      </c>
      <c r="I8">
        <v>367.80459999999999</v>
      </c>
      <c r="J8">
        <v>-476.48939999999999</v>
      </c>
      <c r="K8">
        <v>1.1090930000000001</v>
      </c>
      <c r="L8">
        <v>367.22280000000001</v>
      </c>
      <c r="M8">
        <v>0.99999640000000001</v>
      </c>
      <c r="N8">
        <v>0</v>
      </c>
      <c r="O8">
        <v>4.4647270000000003E-4</v>
      </c>
      <c r="P8">
        <v>0.99819809999999998</v>
      </c>
      <c r="Q8">
        <v>7.6836350000000005E-4</v>
      </c>
      <c r="R8">
        <v>6.0000850000000001E-2</v>
      </c>
      <c r="S8">
        <v>2.997986</v>
      </c>
      <c r="T8">
        <v>-0.2312931</v>
      </c>
      <c r="U8">
        <v>0.121337899999999</v>
      </c>
      <c r="V8">
        <v>-5.9555499999999997E-2</v>
      </c>
      <c r="W8">
        <v>3.423986E-3</v>
      </c>
      <c r="X8">
        <v>0.99821910000000003</v>
      </c>
      <c r="Y8">
        <v>-3.987694E-2</v>
      </c>
      <c r="Z8">
        <v>1.500955E-3</v>
      </c>
      <c r="AA8">
        <v>0.99920339999999996</v>
      </c>
      <c r="AB8">
        <v>2</v>
      </c>
      <c r="AC8">
        <v>14.3513999999999</v>
      </c>
      <c r="AD8">
        <v>-1.1090966764629999</v>
      </c>
      <c r="AE8">
        <v>0.58179999999998699</v>
      </c>
      <c r="AF8">
        <v>-0.57198190073233701</v>
      </c>
      <c r="AG8">
        <v>-1.1090966764629999</v>
      </c>
      <c r="AH8">
        <v>14.266592065543801</v>
      </c>
      <c r="AI8">
        <v>94.441726407525906</v>
      </c>
      <c r="AJ8">
        <v>92.295895635939601</v>
      </c>
      <c r="AK8">
        <v>14.321065180256101</v>
      </c>
      <c r="AL8">
        <v>89.803819665137397</v>
      </c>
      <c r="AM8">
        <v>93.414319286166005</v>
      </c>
      <c r="AN8">
        <v>0.99999997643259297</v>
      </c>
    </row>
    <row r="9" spans="1:40" x14ac:dyDescent="0.3">
      <c r="A9" t="str">
        <f>"20200111160403464"</f>
        <v>20200111160403464</v>
      </c>
      <c r="B9" t="str">
        <f>"1578729843460401"</f>
        <v>1578729843460401</v>
      </c>
      <c r="C9" t="s">
        <v>40</v>
      </c>
      <c r="D9">
        <v>5.0063129999999996</v>
      </c>
      <c r="E9">
        <v>0.50916519999999998</v>
      </c>
      <c r="F9" t="s">
        <v>41</v>
      </c>
      <c r="G9">
        <v>-462.02069999999998</v>
      </c>
      <c r="H9" s="1">
        <v>-3.7240650000000001E-6</v>
      </c>
      <c r="I9">
        <v>367.81979999999999</v>
      </c>
      <c r="J9">
        <v>-476.46300000000002</v>
      </c>
      <c r="K9">
        <v>1.1090610000000001</v>
      </c>
      <c r="L9">
        <v>367.22280000000001</v>
      </c>
      <c r="M9">
        <v>0.99999800000000005</v>
      </c>
      <c r="N9">
        <v>0</v>
      </c>
      <c r="O9">
        <v>4.4652210000000001E-4</v>
      </c>
      <c r="P9">
        <v>0.99816819999999895</v>
      </c>
      <c r="Q9">
        <v>1.42815E-3</v>
      </c>
      <c r="R9">
        <v>6.0484889999999999E-2</v>
      </c>
      <c r="S9">
        <v>2.9981080000000002</v>
      </c>
      <c r="T9">
        <v>-0.2298191</v>
      </c>
      <c r="U9">
        <v>0.1237183</v>
      </c>
      <c r="V9">
        <v>-6.0039099999999998E-2</v>
      </c>
      <c r="W9">
        <v>3.438291E-3</v>
      </c>
      <c r="X9">
        <v>0.99819009999999997</v>
      </c>
      <c r="Y9">
        <v>-4.0666420000000002E-2</v>
      </c>
      <c r="Z9">
        <v>1.521531E-3</v>
      </c>
      <c r="AA9">
        <v>0.99917160000000005</v>
      </c>
      <c r="AB9">
        <v>2</v>
      </c>
      <c r="AC9">
        <v>14.442299999999999</v>
      </c>
      <c r="AD9">
        <v>-1.109064724065</v>
      </c>
      <c r="AE9">
        <v>0.59699999999997999</v>
      </c>
      <c r="AF9">
        <v>-0.58709485046385201</v>
      </c>
      <c r="AG9">
        <v>-1.109064724065</v>
      </c>
      <c r="AH9">
        <v>14.358038280737601</v>
      </c>
      <c r="AI9">
        <v>94.413280903938997</v>
      </c>
      <c r="AJ9">
        <v>92.341498751514607</v>
      </c>
      <c r="AK9">
        <v>14.4127710103482</v>
      </c>
      <c r="AL9">
        <v>89.803000047934901</v>
      </c>
      <c r="AM9">
        <v>93.442077464274703</v>
      </c>
      <c r="AN9">
        <v>0.99999999555591002</v>
      </c>
    </row>
    <row r="10" spans="1:40" x14ac:dyDescent="0.3">
      <c r="A10" t="str">
        <f>"20200111160403487"</f>
        <v>20200111160403487</v>
      </c>
      <c r="B10" t="str">
        <f>"1578729843480896"</f>
        <v>1578729843480896</v>
      </c>
      <c r="C10" t="s">
        <v>40</v>
      </c>
      <c r="D10">
        <v>5.0986449999999897</v>
      </c>
      <c r="E10">
        <v>0.50909819999999995</v>
      </c>
      <c r="F10" t="s">
        <v>41</v>
      </c>
      <c r="G10">
        <v>-461.91300000000001</v>
      </c>
      <c r="H10" s="1">
        <v>-3.7687629999999999E-6</v>
      </c>
      <c r="I10">
        <v>367.82830000000001</v>
      </c>
      <c r="J10">
        <v>-476.43090000000001</v>
      </c>
      <c r="K10">
        <v>1.109029</v>
      </c>
      <c r="L10">
        <v>367.22280000000001</v>
      </c>
      <c r="M10">
        <v>0.99999890000000002</v>
      </c>
      <c r="N10">
        <v>0</v>
      </c>
      <c r="O10">
        <v>4.4759969999999999E-4</v>
      </c>
      <c r="P10">
        <v>0.99813149999999995</v>
      </c>
      <c r="Q10">
        <v>1.476925E-3</v>
      </c>
      <c r="R10">
        <v>6.1083980000000003E-2</v>
      </c>
      <c r="S10">
        <v>2.9982600000000001</v>
      </c>
      <c r="T10">
        <v>-0.2285403</v>
      </c>
      <c r="U10">
        <v>0.12478640000000001</v>
      </c>
      <c r="V10">
        <v>-6.0637499999999997E-2</v>
      </c>
      <c r="W10">
        <v>2.8637049999999998E-3</v>
      </c>
      <c r="X10">
        <v>0.99815580000000004</v>
      </c>
      <c r="Y10">
        <v>-4.1018880000000001E-2</v>
      </c>
      <c r="Z10">
        <v>1.5263270000000001E-3</v>
      </c>
      <c r="AA10">
        <v>0.99915719999999997</v>
      </c>
      <c r="AB10">
        <v>3</v>
      </c>
      <c r="AC10">
        <v>14.5178999999999</v>
      </c>
      <c r="AD10">
        <v>-1.1090327687629999</v>
      </c>
      <c r="AE10">
        <v>0.60550000000000603</v>
      </c>
      <c r="AF10">
        <v>-0.59553250522044998</v>
      </c>
      <c r="AG10">
        <v>-1.1090327687629999</v>
      </c>
      <c r="AH10">
        <v>14.434085129621799</v>
      </c>
      <c r="AI10">
        <v>94.389928219686595</v>
      </c>
      <c r="AJ10">
        <v>92.362613012544898</v>
      </c>
      <c r="AK10">
        <v>14.488872494992</v>
      </c>
      <c r="AL10">
        <v>89.835921574350095</v>
      </c>
      <c r="AM10">
        <v>93.476419540590499</v>
      </c>
      <c r="AN10">
        <v>1.0000000541431</v>
      </c>
    </row>
    <row r="11" spans="1:40" x14ac:dyDescent="0.3">
      <c r="A11" t="str">
        <f>"20200111160403510"</f>
        <v>20200111160403510</v>
      </c>
      <c r="B11" t="str">
        <f>"1578729843500416"</f>
        <v>1578729843500416</v>
      </c>
      <c r="C11" t="s">
        <v>40</v>
      </c>
      <c r="D11">
        <v>4.9738939999999996</v>
      </c>
      <c r="E11">
        <v>0.50906879999999999</v>
      </c>
      <c r="F11" t="s">
        <v>41</v>
      </c>
      <c r="G11">
        <v>-461.92540000000002</v>
      </c>
      <c r="H11" s="1">
        <v>-3.7615579999999998E-6</v>
      </c>
      <c r="I11">
        <v>367.83879999999999</v>
      </c>
      <c r="J11">
        <v>-476.39679999999998</v>
      </c>
      <c r="K11">
        <v>1.108994</v>
      </c>
      <c r="L11">
        <v>367.22280000000001</v>
      </c>
      <c r="M11">
        <v>0.99999959999999999</v>
      </c>
      <c r="N11">
        <v>0</v>
      </c>
      <c r="O11">
        <v>4.4874740000000002E-4</v>
      </c>
      <c r="P11">
        <v>0.99809519999999996</v>
      </c>
      <c r="Q11">
        <v>1.094565E-3</v>
      </c>
      <c r="R11">
        <v>6.1683479999999999E-2</v>
      </c>
      <c r="S11">
        <v>2.9981689999999999</v>
      </c>
      <c r="T11">
        <v>-0.22922719999999999</v>
      </c>
      <c r="U11">
        <v>0.12734989999999999</v>
      </c>
      <c r="V11">
        <v>-6.123543E-2</v>
      </c>
      <c r="W11">
        <v>1.938167E-3</v>
      </c>
      <c r="X11">
        <v>0.99812140000000005</v>
      </c>
      <c r="Y11">
        <v>-4.1868599999999999E-2</v>
      </c>
      <c r="Z11">
        <v>1.563254E-3</v>
      </c>
      <c r="AA11">
        <v>0.99912190000000001</v>
      </c>
      <c r="AB11">
        <v>3</v>
      </c>
      <c r="AC11">
        <v>14.4713999999999</v>
      </c>
      <c r="AD11">
        <v>-1.108997761558</v>
      </c>
      <c r="AE11">
        <v>0.615999999999985</v>
      </c>
      <c r="AF11">
        <v>-0.60595376460999395</v>
      </c>
      <c r="AG11">
        <v>-1.108997761558</v>
      </c>
      <c r="AH11">
        <v>14.387334816058701</v>
      </c>
      <c r="AI11">
        <v>94.403841679506499</v>
      </c>
      <c r="AJ11">
        <v>92.411710505532</v>
      </c>
      <c r="AK11">
        <v>14.442730320454</v>
      </c>
      <c r="AL11">
        <v>89.888951133804497</v>
      </c>
      <c r="AM11">
        <v>93.510734948515605</v>
      </c>
      <c r="AN11">
        <v>0.99999993175827995</v>
      </c>
    </row>
    <row r="12" spans="1:40" x14ac:dyDescent="0.3">
      <c r="A12" t="str">
        <f>"20200111160403531"</f>
        <v>20200111160403531</v>
      </c>
      <c r="B12" t="str">
        <f>"1578729843520912"</f>
        <v>1578729843520912</v>
      </c>
      <c r="C12" t="s">
        <v>40</v>
      </c>
      <c r="D12">
        <v>5.093572</v>
      </c>
      <c r="E12">
        <v>0.509021099999999</v>
      </c>
      <c r="F12" t="s">
        <v>41</v>
      </c>
      <c r="G12">
        <v>-461.9871</v>
      </c>
      <c r="H12" s="1">
        <v>-3.73404E-6</v>
      </c>
      <c r="I12">
        <v>367.8449</v>
      </c>
      <c r="J12">
        <v>-476.36169999999998</v>
      </c>
      <c r="K12">
        <v>1.1089639999999901</v>
      </c>
      <c r="L12">
        <v>367.22280000000001</v>
      </c>
      <c r="M12">
        <v>0.99999990000000005</v>
      </c>
      <c r="N12">
        <v>0</v>
      </c>
      <c r="O12">
        <v>4.4991109999999998E-4</v>
      </c>
      <c r="P12">
        <v>0.99810600000000005</v>
      </c>
      <c r="Q12">
        <v>6.0997530000000001E-4</v>
      </c>
      <c r="R12">
        <v>6.1517240000000001E-2</v>
      </c>
      <c r="S12">
        <v>2.9980159999999998</v>
      </c>
      <c r="T12">
        <v>-0.23073150000000001</v>
      </c>
      <c r="U12">
        <v>0.1294556</v>
      </c>
      <c r="V12">
        <v>-6.1068459999999998E-2</v>
      </c>
      <c r="W12">
        <v>9.9307670000000009E-4</v>
      </c>
      <c r="X12">
        <v>0.9981331</v>
      </c>
      <c r="Y12">
        <v>-4.2566399999999997E-2</v>
      </c>
      <c r="Z12">
        <v>1.600249E-3</v>
      </c>
      <c r="AA12">
        <v>0.99909230000000004</v>
      </c>
      <c r="AB12">
        <v>3</v>
      </c>
      <c r="AC12">
        <v>14.3745999999999</v>
      </c>
      <c r="AD12">
        <v>-1.1089677340399999</v>
      </c>
      <c r="AE12">
        <v>0.622099999999989</v>
      </c>
      <c r="AF12">
        <v>-0.61199698787532197</v>
      </c>
      <c r="AG12">
        <v>-1.1089677340399999</v>
      </c>
      <c r="AH12">
        <v>14.2899866915832</v>
      </c>
      <c r="AI12">
        <v>94.433470432629207</v>
      </c>
      <c r="AJ12">
        <v>92.452306690890794</v>
      </c>
      <c r="AK12">
        <v>14.346012316805499</v>
      </c>
      <c r="AL12">
        <v>89.943100887810601</v>
      </c>
      <c r="AM12">
        <v>93.501145171043504</v>
      </c>
      <c r="AN12">
        <v>1.0000000141618499</v>
      </c>
    </row>
    <row r="13" spans="1:40" x14ac:dyDescent="0.3">
      <c r="A13" t="str">
        <f>"20200111160403554"</f>
        <v>20200111160403554</v>
      </c>
      <c r="B13" t="str">
        <f>"1578729843551168"</f>
        <v>1578729843551168</v>
      </c>
      <c r="C13" t="s">
        <v>40</v>
      </c>
      <c r="D13">
        <v>5.0116719999999999</v>
      </c>
      <c r="E13">
        <v>0.50899879999999997</v>
      </c>
      <c r="F13" t="s">
        <v>41</v>
      </c>
      <c r="G13">
        <v>-462.0478</v>
      </c>
      <c r="H13" s="1">
        <v>-3.708908E-6</v>
      </c>
      <c r="I13">
        <v>367.83969999999999</v>
      </c>
      <c r="J13">
        <v>-476.32310000000001</v>
      </c>
      <c r="K13">
        <v>1.108938</v>
      </c>
      <c r="L13">
        <v>367.22280000000001</v>
      </c>
      <c r="M13">
        <v>1</v>
      </c>
      <c r="N13">
        <v>0</v>
      </c>
      <c r="O13">
        <v>4.5096870000000002E-4</v>
      </c>
      <c r="P13">
        <v>0.99813090000000004</v>
      </c>
      <c r="Q13">
        <v>4.3451409999999997E-4</v>
      </c>
      <c r="R13">
        <v>6.111515E-2</v>
      </c>
      <c r="S13">
        <v>2.9978639999999999</v>
      </c>
      <c r="T13">
        <v>-0.23225770000000001</v>
      </c>
      <c r="U13">
        <v>0.1292114</v>
      </c>
      <c r="V13">
        <v>-6.066535E-2</v>
      </c>
      <c r="W13">
        <v>3.9989190000000002E-4</v>
      </c>
      <c r="X13">
        <v>0.99815810000000005</v>
      </c>
      <c r="Y13">
        <v>-4.2484910000000001E-2</v>
      </c>
      <c r="Z13">
        <v>1.6076549999999999E-3</v>
      </c>
      <c r="AA13">
        <v>0.99909579999999998</v>
      </c>
      <c r="AB13">
        <v>4</v>
      </c>
      <c r="AC13">
        <v>14.2753</v>
      </c>
      <c r="AD13">
        <v>-1.108941708908</v>
      </c>
      <c r="AE13">
        <v>0.61689999999998602</v>
      </c>
      <c r="AF13">
        <v>-0.606807224236249</v>
      </c>
      <c r="AG13">
        <v>-1.108941708908</v>
      </c>
      <c r="AH13">
        <v>14.190105064323699</v>
      </c>
      <c r="AI13">
        <v>94.4644589759924</v>
      </c>
      <c r="AJ13">
        <v>92.448630470443803</v>
      </c>
      <c r="AK13">
        <v>14.246299465393999</v>
      </c>
      <c r="AL13">
        <v>89.977087881684</v>
      </c>
      <c r="AM13">
        <v>93.478004300965395</v>
      </c>
      <c r="AN13">
        <v>1.0000000185998801</v>
      </c>
    </row>
    <row r="14" spans="1:40" x14ac:dyDescent="0.3">
      <c r="A14" t="str">
        <f>"20200111160403575"</f>
        <v>20200111160403575</v>
      </c>
      <c r="B14" t="str">
        <f>"1578729843570688"</f>
        <v>1578729843570688</v>
      </c>
      <c r="C14" t="s">
        <v>40</v>
      </c>
      <c r="D14">
        <v>5.0646940000000003</v>
      </c>
      <c r="E14">
        <v>0.50898719999999997</v>
      </c>
      <c r="F14" t="s">
        <v>41</v>
      </c>
      <c r="G14">
        <v>-462.07350000000002</v>
      </c>
      <c r="H14" s="1">
        <v>-3.6991619999999999E-6</v>
      </c>
      <c r="I14">
        <v>367.83260000000001</v>
      </c>
      <c r="J14">
        <v>-476.2817</v>
      </c>
      <c r="K14">
        <v>1.108911</v>
      </c>
      <c r="L14">
        <v>367.22289999999998</v>
      </c>
      <c r="M14">
        <v>0.99999990000000005</v>
      </c>
      <c r="N14">
        <v>0</v>
      </c>
      <c r="O14">
        <v>4.521274E-4</v>
      </c>
      <c r="P14">
        <v>0.99812979999999996</v>
      </c>
      <c r="Q14">
        <v>6.1943749999999998E-4</v>
      </c>
      <c r="R14">
        <v>6.1126279999999998E-2</v>
      </c>
      <c r="S14">
        <v>2.9978639999999999</v>
      </c>
      <c r="T14">
        <v>-0.2333006</v>
      </c>
      <c r="U14">
        <v>0.12829589999999999</v>
      </c>
      <c r="V14">
        <v>-6.0674869999999999E-2</v>
      </c>
      <c r="W14">
        <v>2.1773969999999999E-4</v>
      </c>
      <c r="X14">
        <v>0.99815759999999998</v>
      </c>
      <c r="Y14">
        <v>-4.2178979999999998E-2</v>
      </c>
      <c r="Z14">
        <v>1.6028920000000001E-3</v>
      </c>
      <c r="AA14">
        <v>0.99910880000000002</v>
      </c>
      <c r="AB14">
        <v>4</v>
      </c>
      <c r="AC14">
        <v>14.2081999999999</v>
      </c>
      <c r="AD14">
        <v>-1.108914699162</v>
      </c>
      <c r="AE14">
        <v>0.60970000000003199</v>
      </c>
      <c r="AF14">
        <v>-0.59963013903512297</v>
      </c>
      <c r="AG14">
        <v>-1.108914699162</v>
      </c>
      <c r="AH14">
        <v>14.1226056845074</v>
      </c>
      <c r="AI14">
        <v>94.485659017988297</v>
      </c>
      <c r="AJ14">
        <v>92.431254823895998</v>
      </c>
      <c r="AK14">
        <v>14.1787601514991</v>
      </c>
      <c r="AL14">
        <v>89.987524434568599</v>
      </c>
      <c r="AM14">
        <v>93.478550490069793</v>
      </c>
      <c r="AN14">
        <v>1.00000004084892</v>
      </c>
    </row>
    <row r="15" spans="1:40" x14ac:dyDescent="0.3">
      <c r="A15" t="str">
        <f>"20200111160403598"</f>
        <v>20200111160403598</v>
      </c>
      <c r="B15" t="str">
        <f>"1578729843590208"</f>
        <v>1578729843590208</v>
      </c>
      <c r="C15" t="s">
        <v>40</v>
      </c>
      <c r="D15">
        <v>5.0331250000000001</v>
      </c>
      <c r="E15">
        <v>0.50901260000000004</v>
      </c>
      <c r="F15" t="s">
        <v>41</v>
      </c>
      <c r="G15">
        <v>-462.0453</v>
      </c>
      <c r="H15" s="1">
        <v>-3.71141E-6</v>
      </c>
      <c r="I15">
        <v>367.83179999999999</v>
      </c>
      <c r="J15">
        <v>-476.23610000000002</v>
      </c>
      <c r="K15">
        <v>1.108889</v>
      </c>
      <c r="L15">
        <v>367.22289999999998</v>
      </c>
      <c r="M15">
        <v>0.99999970000000005</v>
      </c>
      <c r="N15">
        <v>0</v>
      </c>
      <c r="O15">
        <v>4.530515E-4</v>
      </c>
      <c r="P15">
        <v>0.99810529999999997</v>
      </c>
      <c r="Q15">
        <v>1.5106869999999999E-3</v>
      </c>
      <c r="R15">
        <v>6.1512419999999998E-2</v>
      </c>
      <c r="S15">
        <v>2.9979550000000001</v>
      </c>
      <c r="T15">
        <v>-0.23351730000000001</v>
      </c>
      <c r="U15">
        <v>0.12823490000000001</v>
      </c>
      <c r="V15">
        <v>-6.1060379999999997E-2</v>
      </c>
      <c r="W15">
        <v>7.7611589999999995E-4</v>
      </c>
      <c r="X15">
        <v>0.99813379999999996</v>
      </c>
      <c r="Y15">
        <v>-4.2156310000000002E-2</v>
      </c>
      <c r="Z15">
        <v>1.603375E-3</v>
      </c>
      <c r="AA15">
        <v>0.99910969999999999</v>
      </c>
      <c r="AB15">
        <v>4</v>
      </c>
      <c r="AC15">
        <v>14.190799999999999</v>
      </c>
      <c r="AD15">
        <v>-1.10889271141</v>
      </c>
      <c r="AE15">
        <v>0.60890000000000499</v>
      </c>
      <c r="AF15">
        <v>-0.59882101988271397</v>
      </c>
      <c r="AG15">
        <v>-1.10889271141</v>
      </c>
      <c r="AH15">
        <v>14.1051052268524</v>
      </c>
      <c r="AI15">
        <v>94.491113900149202</v>
      </c>
      <c r="AJ15">
        <v>92.430986929863806</v>
      </c>
      <c r="AK15">
        <v>14.1612931302141</v>
      </c>
      <c r="AL15">
        <v>89.955531831277</v>
      </c>
      <c r="AM15">
        <v>93.500680635801103</v>
      </c>
      <c r="AN15">
        <v>1.00000002753203</v>
      </c>
    </row>
    <row r="16" spans="1:40" x14ac:dyDescent="0.3">
      <c r="A16" t="str">
        <f>"20200111160403621"</f>
        <v>20200111160403621</v>
      </c>
      <c r="B16" t="str">
        <f>"1578729843610704"</f>
        <v>1578729843610704</v>
      </c>
      <c r="C16" t="s">
        <v>40</v>
      </c>
      <c r="D16">
        <v>5.0481350000000003</v>
      </c>
      <c r="E16">
        <v>0.50903640000000006</v>
      </c>
      <c r="F16" t="s">
        <v>41</v>
      </c>
      <c r="G16">
        <v>-461.88159999999999</v>
      </c>
      <c r="H16" s="1">
        <v>-3.779939E-6</v>
      </c>
      <c r="I16">
        <v>367.84129999999999</v>
      </c>
      <c r="J16">
        <v>-476.18770000000001</v>
      </c>
      <c r="K16">
        <v>1.1088639999999901</v>
      </c>
      <c r="L16">
        <v>367.22300000000001</v>
      </c>
      <c r="M16">
        <v>0.99999939999999998</v>
      </c>
      <c r="N16">
        <v>0</v>
      </c>
      <c r="O16">
        <v>4.5388079999999999E-4</v>
      </c>
      <c r="P16">
        <v>0.99809930000000002</v>
      </c>
      <c r="Q16">
        <v>2.1037569999999999E-3</v>
      </c>
      <c r="R16">
        <v>6.1591890000000003E-2</v>
      </c>
      <c r="S16">
        <v>2.9981080000000002</v>
      </c>
      <c r="T16">
        <v>-0.2316039</v>
      </c>
      <c r="U16">
        <v>0.12918089999999999</v>
      </c>
      <c r="V16">
        <v>-6.1138890000000001E-2</v>
      </c>
      <c r="W16">
        <v>1.076523E-3</v>
      </c>
      <c r="X16">
        <v>0.99812869999999998</v>
      </c>
      <c r="Y16">
        <v>-4.2469119999999999E-2</v>
      </c>
      <c r="Z16">
        <v>1.6021799999999999E-3</v>
      </c>
      <c r="AA16">
        <v>0.99909650000000005</v>
      </c>
      <c r="AB16">
        <v>4</v>
      </c>
      <c r="AC16">
        <v>14.306100000000001</v>
      </c>
      <c r="AD16">
        <v>-1.1088677799390001</v>
      </c>
      <c r="AE16">
        <v>0.61829999999997598</v>
      </c>
      <c r="AF16">
        <v>-0.60815976578307995</v>
      </c>
      <c r="AG16">
        <v>-1.1088677799390001</v>
      </c>
      <c r="AH16">
        <v>14.221100620561201</v>
      </c>
      <c r="AI16">
        <v>94.454471539909704</v>
      </c>
      <c r="AJ16">
        <v>92.448739406141499</v>
      </c>
      <c r="AK16">
        <v>14.2772248323766</v>
      </c>
      <c r="AL16">
        <v>89.938319764394294</v>
      </c>
      <c r="AM16">
        <v>93.505188378894204</v>
      </c>
      <c r="AN16">
        <v>1.00000001226794</v>
      </c>
    </row>
    <row r="17" spans="1:40" x14ac:dyDescent="0.3">
      <c r="A17" t="str">
        <f>"20200111160403644"</f>
        <v>20200111160403644</v>
      </c>
      <c r="B17" t="str">
        <f>"1578729843640960"</f>
        <v>1578729843640960</v>
      </c>
      <c r="C17" t="s">
        <v>40</v>
      </c>
      <c r="D17">
        <v>5.0750609999999998</v>
      </c>
      <c r="E17">
        <v>0.5090228</v>
      </c>
      <c r="F17" t="s">
        <v>41</v>
      </c>
      <c r="G17">
        <v>-461.78100000000001</v>
      </c>
      <c r="H17" s="1">
        <v>-3.8224099999999999E-6</v>
      </c>
      <c r="I17">
        <v>367.8451</v>
      </c>
      <c r="J17">
        <v>-476.13869999999997</v>
      </c>
      <c r="K17">
        <v>1.10884</v>
      </c>
      <c r="L17">
        <v>367.22300000000001</v>
      </c>
      <c r="M17">
        <v>0.99999919999999998</v>
      </c>
      <c r="N17">
        <v>0</v>
      </c>
      <c r="O17">
        <v>4.5475579999999999E-4</v>
      </c>
      <c r="P17">
        <v>0.99811919999999998</v>
      </c>
      <c r="Q17">
        <v>1.5097299999999999E-3</v>
      </c>
      <c r="R17">
        <v>6.1289330000000003E-2</v>
      </c>
      <c r="S17">
        <v>2.99823</v>
      </c>
      <c r="T17">
        <v>-0.23076959999999999</v>
      </c>
      <c r="U17">
        <v>0.12948609999999999</v>
      </c>
      <c r="V17">
        <v>-6.0835269999999997E-2</v>
      </c>
      <c r="W17">
        <v>2.3585969999999999E-4</v>
      </c>
      <c r="X17">
        <v>0.99814780000000003</v>
      </c>
      <c r="Y17">
        <v>-4.2568620000000001E-2</v>
      </c>
      <c r="Z17">
        <v>1.6001120000000001E-3</v>
      </c>
      <c r="AA17">
        <v>0.99909230000000004</v>
      </c>
      <c r="AB17">
        <v>5</v>
      </c>
      <c r="AC17">
        <v>14.3576999999999</v>
      </c>
      <c r="AD17">
        <v>-1.1088438224099999</v>
      </c>
      <c r="AE17">
        <v>0.622099999999989</v>
      </c>
      <c r="AF17">
        <v>-0.61192770566674404</v>
      </c>
      <c r="AG17">
        <v>-1.1088438224099999</v>
      </c>
      <c r="AH17">
        <v>14.273010166672099</v>
      </c>
      <c r="AI17">
        <v>94.438219908761198</v>
      </c>
      <c r="AJ17">
        <v>92.454942325235905</v>
      </c>
      <c r="AK17">
        <v>14.3290896206766</v>
      </c>
      <c r="AL17">
        <v>89.9864862346179</v>
      </c>
      <c r="AM17">
        <v>93.487757869919406</v>
      </c>
      <c r="AN17">
        <v>1.0000000081753</v>
      </c>
    </row>
    <row r="18" spans="1:40" x14ac:dyDescent="0.3">
      <c r="A18" t="str">
        <f>"20200111160403666"</f>
        <v>20200111160403666</v>
      </c>
      <c r="B18" t="str">
        <f>"1578729843660481"</f>
        <v>1578729843660481</v>
      </c>
      <c r="C18" t="s">
        <v>40</v>
      </c>
      <c r="D18">
        <v>5.0971149999999996</v>
      </c>
      <c r="E18">
        <v>0.50904709999999997</v>
      </c>
      <c r="F18" t="s">
        <v>41</v>
      </c>
      <c r="G18">
        <v>-461.93630000000002</v>
      </c>
      <c r="H18" s="1">
        <v>-3.7577859999999999E-6</v>
      </c>
      <c r="I18">
        <v>367.83390000000003</v>
      </c>
      <c r="J18">
        <v>-476.08749999999998</v>
      </c>
      <c r="K18">
        <v>1.1088169999999999</v>
      </c>
      <c r="L18">
        <v>367.22309999999999</v>
      </c>
      <c r="M18">
        <v>0.99999890000000002</v>
      </c>
      <c r="N18">
        <v>0</v>
      </c>
      <c r="O18">
        <v>4.5580330000000001E-4</v>
      </c>
      <c r="P18">
        <v>0.99812749999999995</v>
      </c>
      <c r="Q18">
        <v>8.6089969999999995E-4</v>
      </c>
      <c r="R18">
        <v>6.116427E-2</v>
      </c>
      <c r="S18">
        <v>2.9981080000000002</v>
      </c>
      <c r="T18">
        <v>-0.23407349999999999</v>
      </c>
      <c r="U18">
        <v>0.12896730000000001</v>
      </c>
      <c r="V18">
        <v>-6.0709609999999997E-2</v>
      </c>
      <c r="W18">
        <v>-6.2705019999999897E-4</v>
      </c>
      <c r="X18">
        <v>0.99815529999999997</v>
      </c>
      <c r="Y18">
        <v>-4.2393720000000003E-2</v>
      </c>
      <c r="Z18">
        <v>1.6161280000000001E-3</v>
      </c>
      <c r="AA18">
        <v>0.99909970000000003</v>
      </c>
      <c r="AB18">
        <v>5</v>
      </c>
      <c r="AC18">
        <v>14.1511999999999</v>
      </c>
      <c r="AD18">
        <v>-1.1088207577860001</v>
      </c>
      <c r="AE18">
        <v>0.61080000000003998</v>
      </c>
      <c r="AF18">
        <v>-0.60066879127936101</v>
      </c>
      <c r="AG18">
        <v>-1.1088207577860001</v>
      </c>
      <c r="AH18">
        <v>14.0652830810445</v>
      </c>
      <c r="AI18">
        <v>94.503438074055097</v>
      </c>
      <c r="AJ18">
        <v>92.445374684780603</v>
      </c>
      <c r="AK18">
        <v>14.121702256443101</v>
      </c>
      <c r="AL18">
        <v>90.035927331407706</v>
      </c>
      <c r="AM18">
        <v>93.480545274292894</v>
      </c>
      <c r="AN18">
        <v>1.0000000264281901</v>
      </c>
    </row>
    <row r="19" spans="1:40" x14ac:dyDescent="0.3">
      <c r="A19" t="str">
        <f>"20200111160403688"</f>
        <v>20200111160403688</v>
      </c>
      <c r="B19" t="str">
        <f>"1578729843680977"</f>
        <v>1578729843680977</v>
      </c>
      <c r="C19" t="s">
        <v>40</v>
      </c>
      <c r="D19">
        <v>5.1385249999999996</v>
      </c>
      <c r="E19">
        <v>0.50904209999999905</v>
      </c>
      <c r="F19" t="s">
        <v>41</v>
      </c>
      <c r="G19">
        <v>-462.03769999999997</v>
      </c>
      <c r="H19" s="1">
        <v>-3.7160679999999998E-6</v>
      </c>
      <c r="I19">
        <v>367.82389999999998</v>
      </c>
      <c r="J19">
        <v>-476.02960000000002</v>
      </c>
      <c r="K19">
        <v>1.108798</v>
      </c>
      <c r="L19">
        <v>367.22309999999999</v>
      </c>
      <c r="M19">
        <v>0.99999850000000001</v>
      </c>
      <c r="N19">
        <v>0</v>
      </c>
      <c r="O19">
        <v>4.5683969999999998E-4</v>
      </c>
      <c r="P19">
        <v>0.99813859999999999</v>
      </c>
      <c r="Q19">
        <v>8.648932E-4</v>
      </c>
      <c r="R19">
        <v>6.098083E-2</v>
      </c>
      <c r="S19">
        <v>2.997986</v>
      </c>
      <c r="T19">
        <v>-0.23660149999999999</v>
      </c>
      <c r="U19">
        <v>0.12823490000000001</v>
      </c>
      <c r="V19">
        <v>-6.0524929999999998E-2</v>
      </c>
      <c r="W19">
        <v>-8.2279580000000003E-4</v>
      </c>
      <c r="X19">
        <v>0.99816629999999995</v>
      </c>
      <c r="Y19">
        <v>-4.2148779999999997E-2</v>
      </c>
      <c r="Z19">
        <v>1.623876E-3</v>
      </c>
      <c r="AA19">
        <v>0.99911000000000005</v>
      </c>
      <c r="AB19">
        <v>5</v>
      </c>
      <c r="AC19">
        <v>13.991899999999999</v>
      </c>
      <c r="AD19">
        <v>-1.1088017160679999</v>
      </c>
      <c r="AE19">
        <v>0.60079999999999201</v>
      </c>
      <c r="AF19">
        <v>-0.59070511672396497</v>
      </c>
      <c r="AG19">
        <v>-1.1088017160679999</v>
      </c>
      <c r="AH19">
        <v>13.9050113002967</v>
      </c>
      <c r="AI19">
        <v>94.555093703638505</v>
      </c>
      <c r="AJ19">
        <v>92.432545485562997</v>
      </c>
      <c r="AK19">
        <v>13.961651515557101</v>
      </c>
      <c r="AL19">
        <v>90.047142734261797</v>
      </c>
      <c r="AM19">
        <v>93.469945140816293</v>
      </c>
      <c r="AN19">
        <v>0.99999995330005997</v>
      </c>
    </row>
    <row r="20" spans="1:40" x14ac:dyDescent="0.3">
      <c r="A20" t="str">
        <f>"20200111160403710"</f>
        <v>20200111160403710</v>
      </c>
      <c r="B20" t="str">
        <f>"1578729843700284"</f>
        <v>1578729843700284</v>
      </c>
      <c r="C20" t="s">
        <v>40</v>
      </c>
      <c r="D20">
        <v>5.1716670000000002</v>
      </c>
      <c r="E20">
        <v>0.50901540000000001</v>
      </c>
      <c r="F20" t="s">
        <v>41</v>
      </c>
      <c r="G20">
        <v>-462.01690000000002</v>
      </c>
      <c r="H20" s="1">
        <v>-3.7260009999999998E-6</v>
      </c>
      <c r="I20">
        <v>367.81810000000002</v>
      </c>
      <c r="J20">
        <v>-475.97280000000001</v>
      </c>
      <c r="K20">
        <v>1.1087800000000001</v>
      </c>
      <c r="L20">
        <v>367.22309999999999</v>
      </c>
      <c r="M20">
        <v>0.99999830000000001</v>
      </c>
      <c r="N20">
        <v>0</v>
      </c>
      <c r="O20">
        <v>4.5770970000000001E-4</v>
      </c>
      <c r="P20">
        <v>0.99812529999999999</v>
      </c>
      <c r="Q20">
        <v>1.391284E-3</v>
      </c>
      <c r="R20">
        <v>6.1191479999999999E-2</v>
      </c>
      <c r="S20">
        <v>2.997986</v>
      </c>
      <c r="T20">
        <v>-0.2372243</v>
      </c>
      <c r="U20">
        <v>0.1273193</v>
      </c>
      <c r="V20">
        <v>-6.0734839999999998E-2</v>
      </c>
      <c r="W20">
        <v>-4.6093810000000002E-4</v>
      </c>
      <c r="X20">
        <v>0.99815379999999998</v>
      </c>
      <c r="Y20">
        <v>-4.1843619999999998E-2</v>
      </c>
      <c r="Z20">
        <v>1.6160300000000001E-3</v>
      </c>
      <c r="AA20">
        <v>0.99912290000000004</v>
      </c>
      <c r="AB20">
        <v>6</v>
      </c>
      <c r="AC20">
        <v>13.9558999999999</v>
      </c>
      <c r="AD20">
        <v>-1.1087837260009901</v>
      </c>
      <c r="AE20">
        <v>0.59500000000002695</v>
      </c>
      <c r="AF20">
        <v>-0.584926724681466</v>
      </c>
      <c r="AG20">
        <v>-1.1087837260009901</v>
      </c>
      <c r="AH20">
        <v>13.868787705880299</v>
      </c>
      <c r="AI20">
        <v>94.566925747483097</v>
      </c>
      <c r="AJ20">
        <v>92.4150620174197</v>
      </c>
      <c r="AK20">
        <v>13.925329908302601</v>
      </c>
      <c r="AL20">
        <v>90.026409809451707</v>
      </c>
      <c r="AM20">
        <v>93.4819933982116</v>
      </c>
      <c r="AN20">
        <v>0.99999997085409797</v>
      </c>
    </row>
    <row r="21" spans="1:40" x14ac:dyDescent="0.3">
      <c r="A21" t="str">
        <f>"20200111160403732"</f>
        <v>20200111160403732</v>
      </c>
      <c r="B21" t="str">
        <f>"1578729843720780"</f>
        <v>1578729843720780</v>
      </c>
      <c r="C21" t="s">
        <v>40</v>
      </c>
      <c r="D21">
        <v>5.2002100000000002</v>
      </c>
      <c r="E21">
        <v>0.50902119999999995</v>
      </c>
      <c r="F21" t="s">
        <v>41</v>
      </c>
      <c r="G21">
        <v>-461.9074</v>
      </c>
      <c r="H21" s="1">
        <v>-3.7718390000000001E-6</v>
      </c>
      <c r="I21">
        <v>367.8245</v>
      </c>
      <c r="J21">
        <v>-475.91329999999999</v>
      </c>
      <c r="K21">
        <v>1.108754</v>
      </c>
      <c r="L21">
        <v>367.22320000000002</v>
      </c>
      <c r="M21">
        <v>0.99999800000000005</v>
      </c>
      <c r="N21">
        <v>0</v>
      </c>
      <c r="O21">
        <v>4.5894319999999997E-4</v>
      </c>
      <c r="P21">
        <v>0.99807630000000003</v>
      </c>
      <c r="Q21">
        <v>1.655154E-3</v>
      </c>
      <c r="R21">
        <v>6.1979090000000001E-2</v>
      </c>
      <c r="S21">
        <v>2.9980769999999999</v>
      </c>
      <c r="T21">
        <v>-0.2363392</v>
      </c>
      <c r="U21">
        <v>0.12820429999999999</v>
      </c>
      <c r="V21">
        <v>-6.1521109999999997E-2</v>
      </c>
      <c r="W21">
        <v>-3.4189639999999998E-4</v>
      </c>
      <c r="X21">
        <v>0.99810569999999998</v>
      </c>
      <c r="Y21">
        <v>-4.2135560000000002E-2</v>
      </c>
      <c r="Z21">
        <v>1.6213460000000001E-3</v>
      </c>
      <c r="AA21">
        <v>0.99911059999999996</v>
      </c>
      <c r="AB21">
        <v>6</v>
      </c>
      <c r="AC21">
        <v>14.005899999999899</v>
      </c>
      <c r="AD21">
        <v>-1.108757771839</v>
      </c>
      <c r="AE21">
        <v>0.60129999999997996</v>
      </c>
      <c r="AF21">
        <v>-0.59117401187563701</v>
      </c>
      <c r="AG21">
        <v>-1.108757771839</v>
      </c>
      <c r="AH21">
        <v>13.919105617787199</v>
      </c>
      <c r="AI21">
        <v>94.550322855760697</v>
      </c>
      <c r="AJ21">
        <v>92.432011933314101</v>
      </c>
      <c r="AK21">
        <v>13.975705052270101</v>
      </c>
      <c r="AL21">
        <v>90.0195892216001</v>
      </c>
      <c r="AM21">
        <v>93.527127574825798</v>
      </c>
      <c r="AN21">
        <v>0.99999997612063396</v>
      </c>
    </row>
    <row r="22" spans="1:40" x14ac:dyDescent="0.3">
      <c r="A22" t="str">
        <f>"20200111160403754"</f>
        <v>20200111160403754</v>
      </c>
      <c r="B22" t="str">
        <f>"1578729843751036"</f>
        <v>1578729843751036</v>
      </c>
      <c r="C22" t="s">
        <v>40</v>
      </c>
      <c r="D22">
        <v>5.2196099999999896</v>
      </c>
      <c r="E22">
        <v>0.50898329999999903</v>
      </c>
      <c r="F22" t="s">
        <v>41</v>
      </c>
      <c r="G22">
        <v>-461.85109999999997</v>
      </c>
      <c r="H22" s="1">
        <v>-3.794039E-6</v>
      </c>
      <c r="I22">
        <v>367.83539999999999</v>
      </c>
      <c r="J22">
        <v>-475.85</v>
      </c>
      <c r="K22">
        <v>1.1087320000000001</v>
      </c>
      <c r="L22">
        <v>367.22320000000002</v>
      </c>
      <c r="M22">
        <v>0.99999780000000005</v>
      </c>
      <c r="N22">
        <v>0</v>
      </c>
      <c r="O22">
        <v>4.5994329999999998E-4</v>
      </c>
      <c r="P22">
        <v>0.99798600000000004</v>
      </c>
      <c r="Q22">
        <v>1.991048E-3</v>
      </c>
      <c r="R22">
        <v>6.3404879999999997E-2</v>
      </c>
      <c r="S22">
        <v>2.9980470000000001</v>
      </c>
      <c r="T22">
        <v>-0.2363846</v>
      </c>
      <c r="U22">
        <v>0.13055419999999901</v>
      </c>
      <c r="V22">
        <v>-6.2945979999999999E-2</v>
      </c>
      <c r="W22">
        <v>-1.3591020000000001E-4</v>
      </c>
      <c r="X22">
        <v>0.99801700000000004</v>
      </c>
      <c r="Y22">
        <v>-4.291416E-2</v>
      </c>
      <c r="Z22">
        <v>1.6521999999999999E-3</v>
      </c>
      <c r="AA22">
        <v>0.9990774</v>
      </c>
      <c r="AB22">
        <v>6</v>
      </c>
      <c r="AC22">
        <v>13.998900000000001</v>
      </c>
      <c r="AD22">
        <v>-1.1087357940389999</v>
      </c>
      <c r="AE22">
        <v>0.61219999999997299</v>
      </c>
      <c r="AF22">
        <v>-0.60199219332588005</v>
      </c>
      <c r="AG22">
        <v>-1.1087357940389999</v>
      </c>
      <c r="AH22">
        <v>13.912077617981501</v>
      </c>
      <c r="AI22">
        <v>94.552367016712694</v>
      </c>
      <c r="AJ22">
        <v>92.477711076374007</v>
      </c>
      <c r="AK22">
        <v>13.9691658058222</v>
      </c>
      <c r="AL22">
        <v>90.0077870803038</v>
      </c>
      <c r="AM22">
        <v>93.608924651234304</v>
      </c>
      <c r="AN22">
        <v>1.0000000735793599</v>
      </c>
    </row>
    <row r="23" spans="1:40" x14ac:dyDescent="0.3">
      <c r="A23" t="str">
        <f>"20200111160403777"</f>
        <v>20200111160403777</v>
      </c>
      <c r="B23" t="str">
        <f>"1578729843770557"</f>
        <v>1578729843770557</v>
      </c>
      <c r="C23" t="s">
        <v>40</v>
      </c>
      <c r="D23">
        <v>5.235195</v>
      </c>
      <c r="E23">
        <v>0.50895970000000001</v>
      </c>
      <c r="F23" t="s">
        <v>41</v>
      </c>
      <c r="G23">
        <v>-461.77519999999998</v>
      </c>
      <c r="H23" s="1">
        <v>-3.8225350000000002E-6</v>
      </c>
      <c r="I23">
        <v>367.85840000000002</v>
      </c>
      <c r="J23">
        <v>-475.78109999999998</v>
      </c>
      <c r="K23">
        <v>1.1087180000000001</v>
      </c>
      <c r="L23">
        <v>367.22329999999999</v>
      </c>
      <c r="M23">
        <v>0.99999749999999998</v>
      </c>
      <c r="N23">
        <v>0</v>
      </c>
      <c r="O23">
        <v>4.6136380000000001E-4</v>
      </c>
      <c r="P23">
        <v>0.99789640000000002</v>
      </c>
      <c r="Q23">
        <v>2.541129E-3</v>
      </c>
      <c r="R23">
        <v>6.4779649999999994E-2</v>
      </c>
      <c r="S23">
        <v>2.997925</v>
      </c>
      <c r="T23">
        <v>-0.23615829999999999</v>
      </c>
      <c r="U23">
        <v>0.13531489999999999</v>
      </c>
      <c r="V23">
        <v>-6.4319360000000006E-2</v>
      </c>
      <c r="W23">
        <v>2.9451040000000003E-4</v>
      </c>
      <c r="X23">
        <v>0.99792930000000002</v>
      </c>
      <c r="Y23">
        <v>-4.4493270000000001E-2</v>
      </c>
      <c r="Z23">
        <v>1.7125899999999999E-3</v>
      </c>
      <c r="AA23">
        <v>0.99900820000000001</v>
      </c>
      <c r="AB23">
        <v>6</v>
      </c>
      <c r="AC23">
        <v>14.005899999999899</v>
      </c>
      <c r="AD23">
        <v>-1.108721822535</v>
      </c>
      <c r="AE23">
        <v>0.63510000000002198</v>
      </c>
      <c r="AF23">
        <v>-0.62473127341399604</v>
      </c>
      <c r="AG23">
        <v>-1.108721822535</v>
      </c>
      <c r="AH23">
        <v>13.9191465515374</v>
      </c>
      <c r="AI23">
        <v>94.549686449703401</v>
      </c>
      <c r="AJ23">
        <v>92.569874418808297</v>
      </c>
      <c r="AK23">
        <v>13.9772026517083</v>
      </c>
      <c r="AL23">
        <v>89.983125796430301</v>
      </c>
      <c r="AM23">
        <v>93.687773807351206</v>
      </c>
      <c r="AN23">
        <v>0.99999997730283696</v>
      </c>
    </row>
    <row r="24" spans="1:40" x14ac:dyDescent="0.3">
      <c r="A24" t="str">
        <f>"20200111160403799"</f>
        <v>20200111160403799</v>
      </c>
      <c r="B24" t="str">
        <f>"1578729843791052"</f>
        <v>1578729843791052</v>
      </c>
      <c r="C24" t="s">
        <v>40</v>
      </c>
      <c r="D24">
        <v>5.2300990000000001</v>
      </c>
      <c r="E24">
        <v>0.50893440000000001</v>
      </c>
      <c r="F24" t="s">
        <v>41</v>
      </c>
      <c r="G24">
        <v>-461.65730000000002</v>
      </c>
      <c r="H24" s="1">
        <v>-3.8692010000000004E-6</v>
      </c>
      <c r="I24">
        <v>367.88040000000001</v>
      </c>
      <c r="J24">
        <v>-475.71260000000001</v>
      </c>
      <c r="K24">
        <v>1.1087070000000001</v>
      </c>
      <c r="L24">
        <v>367.22329999999999</v>
      </c>
      <c r="M24">
        <v>0.99999729999999998</v>
      </c>
      <c r="N24">
        <v>0</v>
      </c>
      <c r="O24">
        <v>4.6273879999999997E-4</v>
      </c>
      <c r="P24">
        <v>0.99782769999999998</v>
      </c>
      <c r="Q24">
        <v>3.1692830000000002E-3</v>
      </c>
      <c r="R24">
        <v>6.5804050000000003E-2</v>
      </c>
      <c r="S24">
        <v>2.997833</v>
      </c>
      <c r="T24">
        <v>-0.2353306</v>
      </c>
      <c r="U24">
        <v>0.139495799999999</v>
      </c>
      <c r="V24">
        <v>-6.5341880000000005E-2</v>
      </c>
      <c r="W24">
        <v>8.2189229999999995E-4</v>
      </c>
      <c r="X24">
        <v>0.99786260000000004</v>
      </c>
      <c r="Y24">
        <v>-4.5880259999999999E-2</v>
      </c>
      <c r="Z24">
        <v>1.760822E-3</v>
      </c>
      <c r="AA24">
        <v>0.99894539999999998</v>
      </c>
      <c r="AB24">
        <v>6</v>
      </c>
      <c r="AC24">
        <v>14.0552999999999</v>
      </c>
      <c r="AD24">
        <v>-1.1087108692009999</v>
      </c>
      <c r="AE24">
        <v>0.65710000000001401</v>
      </c>
      <c r="AF24">
        <v>-0.64658148026446405</v>
      </c>
      <c r="AG24">
        <v>-1.1087108692009999</v>
      </c>
      <c r="AH24">
        <v>13.968872522883199</v>
      </c>
      <c r="AI24">
        <v>94.533225223817198</v>
      </c>
      <c r="AJ24">
        <v>92.650175692463407</v>
      </c>
      <c r="AK24">
        <v>14.027712107206501</v>
      </c>
      <c r="AL24">
        <v>89.952909034818006</v>
      </c>
      <c r="AM24">
        <v>93.746484412149101</v>
      </c>
      <c r="AN24">
        <v>1.0000000026338201</v>
      </c>
    </row>
    <row r="25" spans="1:40" x14ac:dyDescent="0.3">
      <c r="A25" t="str">
        <f>"20200111160403822"</f>
        <v>20200111160403822</v>
      </c>
      <c r="B25" t="str">
        <f>"1578729843810572"</f>
        <v>1578729843810572</v>
      </c>
      <c r="C25" t="s">
        <v>40</v>
      </c>
      <c r="D25">
        <v>5.17882</v>
      </c>
      <c r="E25">
        <v>0.5089127</v>
      </c>
      <c r="F25" t="s">
        <v>41</v>
      </c>
      <c r="G25">
        <v>-461.50349999999997</v>
      </c>
      <c r="H25" s="1">
        <v>-3.9316800000000003E-6</v>
      </c>
      <c r="I25">
        <v>367.90010000000001</v>
      </c>
      <c r="J25">
        <v>-475.64089999999999</v>
      </c>
      <c r="K25">
        <v>1.108692</v>
      </c>
      <c r="L25">
        <v>367.22329999999999</v>
      </c>
      <c r="M25">
        <v>0.99999700000000002</v>
      </c>
      <c r="N25">
        <v>0</v>
      </c>
      <c r="O25">
        <v>4.6417970000000002E-4</v>
      </c>
      <c r="P25">
        <v>0.99780340000000001</v>
      </c>
      <c r="Q25">
        <v>3.8596390000000002E-3</v>
      </c>
      <c r="R25">
        <v>6.6134239999999997E-2</v>
      </c>
      <c r="S25">
        <v>2.9978639999999999</v>
      </c>
      <c r="T25">
        <v>-0.23391629999999999</v>
      </c>
      <c r="U25">
        <v>0.14282230000000001</v>
      </c>
      <c r="V25">
        <v>-6.5671119999999999E-2</v>
      </c>
      <c r="W25">
        <v>1.419846E-3</v>
      </c>
      <c r="X25">
        <v>0.99784030000000001</v>
      </c>
      <c r="Y25">
        <v>-4.6982629999999997E-2</v>
      </c>
      <c r="Z25">
        <v>1.793015E-3</v>
      </c>
      <c r="AA25">
        <v>0.99889410000000001</v>
      </c>
      <c r="AB25">
        <v>7</v>
      </c>
      <c r="AC25">
        <v>14.1374</v>
      </c>
      <c r="AD25">
        <v>-1.10869593168</v>
      </c>
      <c r="AE25">
        <v>0.67680000000001395</v>
      </c>
      <c r="AF25">
        <v>-0.66615005818651496</v>
      </c>
      <c r="AG25">
        <v>-1.10869593168</v>
      </c>
      <c r="AH25">
        <v>14.0514914371659</v>
      </c>
      <c r="AI25">
        <v>94.506385695324497</v>
      </c>
      <c r="AJ25">
        <v>92.714233693052506</v>
      </c>
      <c r="AK25">
        <v>14.1108955838278</v>
      </c>
      <c r="AL25">
        <v>89.918648788342693</v>
      </c>
      <c r="AM25">
        <v>93.765391667561801</v>
      </c>
      <c r="AN25">
        <v>0.99999998813440305</v>
      </c>
    </row>
    <row r="26" spans="1:40" x14ac:dyDescent="0.3">
      <c r="A26" t="str">
        <f>"20200111160403845"</f>
        <v>20200111160403845</v>
      </c>
      <c r="B26" t="str">
        <f>"1578729843840829"</f>
        <v>1578729843840829</v>
      </c>
      <c r="C26" t="s">
        <v>40</v>
      </c>
      <c r="D26">
        <v>5.1995979999999999</v>
      </c>
      <c r="E26">
        <v>0.51169679999999995</v>
      </c>
      <c r="F26" t="s">
        <v>41</v>
      </c>
      <c r="G26">
        <v>-461.32639999999998</v>
      </c>
      <c r="H26" s="1">
        <v>-4.0060049999999998E-6</v>
      </c>
      <c r="I26">
        <v>367.90940000000001</v>
      </c>
      <c r="J26">
        <v>-475.56459999999998</v>
      </c>
      <c r="K26">
        <v>1.108676</v>
      </c>
      <c r="L26">
        <v>367.22340000000003</v>
      </c>
      <c r="M26">
        <v>0.99999669999999896</v>
      </c>
      <c r="N26">
        <v>0</v>
      </c>
      <c r="O26">
        <v>4.6556359999999999E-4</v>
      </c>
      <c r="P26">
        <v>0.9978262</v>
      </c>
      <c r="Q26">
        <v>4.2220499999999998E-3</v>
      </c>
      <c r="R26">
        <v>6.5767099999999995E-2</v>
      </c>
      <c r="S26">
        <v>2.997986</v>
      </c>
      <c r="T26">
        <v>-0.23220099999999999</v>
      </c>
      <c r="U26">
        <v>0.14370729999999901</v>
      </c>
      <c r="V26">
        <v>-6.5302810000000003E-2</v>
      </c>
      <c r="W26">
        <v>1.6959340000000001E-3</v>
      </c>
      <c r="X26">
        <v>0.99786410000000003</v>
      </c>
      <c r="Y26">
        <v>-4.7274730000000001E-2</v>
      </c>
      <c r="Z26">
        <v>1.79100299999999E-3</v>
      </c>
      <c r="AA26">
        <v>0.99888030000000005</v>
      </c>
      <c r="AB26">
        <v>7</v>
      </c>
      <c r="AC26">
        <v>14.238200000000001</v>
      </c>
      <c r="AD26">
        <v>-1.1086800060049999</v>
      </c>
      <c r="AE26">
        <v>0.68599999999997796</v>
      </c>
      <c r="AF26">
        <v>-0.67528620063750699</v>
      </c>
      <c r="AG26">
        <v>-1.1086800060049999</v>
      </c>
      <c r="AH26">
        <v>14.152904609527701</v>
      </c>
      <c r="AI26">
        <v>94.474097925862694</v>
      </c>
      <c r="AJ26">
        <v>92.731716857045797</v>
      </c>
      <c r="AK26">
        <v>14.2123147901697</v>
      </c>
      <c r="AL26">
        <v>89.902830097515206</v>
      </c>
      <c r="AM26">
        <v>93.744245031126198</v>
      </c>
      <c r="AN26">
        <v>1.00000004762741</v>
      </c>
    </row>
    <row r="27" spans="1:40" x14ac:dyDescent="0.3">
      <c r="A27" t="str">
        <f>"20200111160403869"</f>
        <v>20200111160403869</v>
      </c>
      <c r="B27" t="str">
        <f>"1578729843860349"</f>
        <v>1578729843860349</v>
      </c>
      <c r="C27" t="s">
        <v>40</v>
      </c>
      <c r="D27">
        <v>5.160215</v>
      </c>
      <c r="E27">
        <v>0.5113605</v>
      </c>
      <c r="F27" t="s">
        <v>41</v>
      </c>
      <c r="G27">
        <v>-462.87049999999999</v>
      </c>
      <c r="H27" s="1">
        <v>-3.3732760000000001E-6</v>
      </c>
      <c r="I27">
        <v>367.7423</v>
      </c>
      <c r="J27">
        <v>-475.48169999999999</v>
      </c>
      <c r="K27">
        <v>1.108643</v>
      </c>
      <c r="L27">
        <v>367.22340000000003</v>
      </c>
      <c r="M27">
        <v>0.99999660000000001</v>
      </c>
      <c r="N27">
        <v>0</v>
      </c>
      <c r="O27">
        <v>4.6682620000000001E-4</v>
      </c>
      <c r="P27">
        <v>0.99786560000000002</v>
      </c>
      <c r="Q27">
        <v>3.5097819999999999E-3</v>
      </c>
      <c r="R27">
        <v>6.5211610000000003E-2</v>
      </c>
      <c r="S27">
        <v>2.999603</v>
      </c>
      <c r="T27">
        <v>-0.26197619999999999</v>
      </c>
      <c r="U27">
        <v>0.1226501</v>
      </c>
      <c r="V27">
        <v>-6.4746159999999997E-2</v>
      </c>
      <c r="W27">
        <v>8.981862E-4</v>
      </c>
      <c r="X27">
        <v>0.99790140000000005</v>
      </c>
      <c r="Y27">
        <v>-4.0237080000000001E-2</v>
      </c>
      <c r="Z27">
        <v>1.7123489999999999E-3</v>
      </c>
      <c r="AA27">
        <v>0.99918870000000004</v>
      </c>
      <c r="AB27">
        <v>7</v>
      </c>
      <c r="AC27">
        <v>12.611199999999901</v>
      </c>
      <c r="AD27">
        <v>-1.1086463732759999</v>
      </c>
      <c r="AE27">
        <v>0.51889999999997305</v>
      </c>
      <c r="AF27">
        <v>-0.50908506987072399</v>
      </c>
      <c r="AG27">
        <v>-1.1086463732759999</v>
      </c>
      <c r="AH27">
        <v>12.514887904574</v>
      </c>
      <c r="AI27">
        <v>95.058239059885906</v>
      </c>
      <c r="AJ27">
        <v>92.329413853584299</v>
      </c>
      <c r="AK27">
        <v>12.5742070785158</v>
      </c>
      <c r="AL27">
        <v>89.948537716561603</v>
      </c>
      <c r="AM27">
        <v>93.712279838659896</v>
      </c>
      <c r="AN27">
        <v>1.00000003804757</v>
      </c>
    </row>
    <row r="28" spans="1:40" x14ac:dyDescent="0.3">
      <c r="A28" t="str">
        <f>"20200111160403892"</f>
        <v>20200111160403892</v>
      </c>
      <c r="B28" t="str">
        <f>"1578729843880845"</f>
        <v>1578729843880845</v>
      </c>
      <c r="C28" t="s">
        <v>40</v>
      </c>
      <c r="D28">
        <v>6.2272829999999999</v>
      </c>
      <c r="E28">
        <v>0.51117709999999905</v>
      </c>
      <c r="F28" t="s">
        <v>41</v>
      </c>
      <c r="G28">
        <v>-462.95209999999997</v>
      </c>
      <c r="H28" s="1">
        <v>-3.3387619999999999E-6</v>
      </c>
      <c r="I28">
        <v>367.73950000000002</v>
      </c>
      <c r="J28">
        <v>-475.39940000000001</v>
      </c>
      <c r="K28">
        <v>1.1086149999999999</v>
      </c>
      <c r="L28">
        <v>367.22340000000003</v>
      </c>
      <c r="M28">
        <v>0.99999640000000001</v>
      </c>
      <c r="N28">
        <v>0</v>
      </c>
      <c r="O28">
        <v>4.680323E-4</v>
      </c>
      <c r="P28">
        <v>0.99792340000000002</v>
      </c>
      <c r="Q28">
        <v>2.8059000000000001E-3</v>
      </c>
      <c r="R28">
        <v>6.4353690000000005E-2</v>
      </c>
      <c r="S28">
        <v>2.9992679999999998</v>
      </c>
      <c r="T28">
        <v>-0.26537929999999998</v>
      </c>
      <c r="U28">
        <v>0.1235657</v>
      </c>
      <c r="V28">
        <v>-6.3886799999999994E-2</v>
      </c>
      <c r="W28">
        <v>1.142661E-4</v>
      </c>
      <c r="X28">
        <v>0.99795719999999999</v>
      </c>
      <c r="Y28">
        <v>-4.0539760000000001E-2</v>
      </c>
      <c r="Z28">
        <v>1.7479419999999999E-3</v>
      </c>
      <c r="AA28">
        <v>0.99917639999999996</v>
      </c>
      <c r="AB28">
        <v>8</v>
      </c>
      <c r="AC28">
        <v>12.4473</v>
      </c>
      <c r="AD28">
        <v>-1.1086183387620001</v>
      </c>
      <c r="AE28">
        <v>0.51609999999999401</v>
      </c>
      <c r="AF28">
        <v>-0.50626509469070702</v>
      </c>
      <c r="AG28">
        <v>-1.1086183387620001</v>
      </c>
      <c r="AH28">
        <v>12.3497431410714</v>
      </c>
      <c r="AI28">
        <v>95.125327020790493</v>
      </c>
      <c r="AJ28">
        <v>92.347467517431497</v>
      </c>
      <c r="AK28">
        <v>12.409733865703201</v>
      </c>
      <c r="AL28">
        <v>89.993453035072093</v>
      </c>
      <c r="AM28">
        <v>93.662938445828004</v>
      </c>
      <c r="AN28">
        <v>1.0000000546514001</v>
      </c>
    </row>
    <row r="29" spans="1:40" x14ac:dyDescent="0.3">
      <c r="A29" t="str">
        <f>"20200111160403915"</f>
        <v>20200111160403915</v>
      </c>
      <c r="B29" t="str">
        <f>"1578729843911101"</f>
        <v>1578729843911101</v>
      </c>
      <c r="C29" t="s">
        <v>40</v>
      </c>
      <c r="D29">
        <v>5.1364989999999997</v>
      </c>
      <c r="E29">
        <v>0.51091379999999997</v>
      </c>
      <c r="F29" t="s">
        <v>41</v>
      </c>
      <c r="G29">
        <v>-462.8741</v>
      </c>
      <c r="H29" s="1">
        <v>-3.3733759999999999E-6</v>
      </c>
      <c r="I29">
        <v>367.733</v>
      </c>
      <c r="J29">
        <v>-475.31639999999999</v>
      </c>
      <c r="K29">
        <v>1.1085910000000001</v>
      </c>
      <c r="L29">
        <v>367.22340000000003</v>
      </c>
      <c r="M29">
        <v>0.99999610000000005</v>
      </c>
      <c r="N29">
        <v>0</v>
      </c>
      <c r="O29">
        <v>4.6965290000000002E-4</v>
      </c>
      <c r="P29">
        <v>0.99795900000000004</v>
      </c>
      <c r="Q29">
        <v>2.691489E-3</v>
      </c>
      <c r="R29">
        <v>6.3802029999999996E-2</v>
      </c>
      <c r="S29">
        <v>2.9991150000000002</v>
      </c>
      <c r="T29">
        <v>-0.26545049999999998</v>
      </c>
      <c r="U29">
        <v>0.1220398</v>
      </c>
      <c r="V29">
        <v>-6.333337E-2</v>
      </c>
      <c r="W29" s="1">
        <v>-8.0417840000000004E-5</v>
      </c>
      <c r="X29">
        <v>0.9979924</v>
      </c>
      <c r="Y29">
        <v>-4.0034609999999998E-2</v>
      </c>
      <c r="Z29">
        <v>1.7260699999999999E-3</v>
      </c>
      <c r="AA29">
        <v>0.9991968</v>
      </c>
      <c r="AB29">
        <v>8</v>
      </c>
      <c r="AC29">
        <v>12.4422999999999</v>
      </c>
      <c r="AD29">
        <v>-1.108594373376</v>
      </c>
      <c r="AE29">
        <v>0.50959999999997696</v>
      </c>
      <c r="AF29">
        <v>-0.49979532797714699</v>
      </c>
      <c r="AG29">
        <v>-1.108594373376</v>
      </c>
      <c r="AH29">
        <v>12.3447024077414</v>
      </c>
      <c r="AI29">
        <v>95.127403692024203</v>
      </c>
      <c r="AJ29">
        <v>92.318446476591205</v>
      </c>
      <c r="AK29">
        <v>12.404453006491099</v>
      </c>
      <c r="AL29">
        <v>90.004607602943494</v>
      </c>
      <c r="AM29">
        <v>93.631165169549405</v>
      </c>
      <c r="AN29">
        <v>0.99999997634017201</v>
      </c>
    </row>
    <row r="30" spans="1:40" x14ac:dyDescent="0.3">
      <c r="A30" t="str">
        <f>"20200111160403956"</f>
        <v>20200111160403956</v>
      </c>
      <c r="B30" t="str">
        <f>"1578729843951117"</f>
        <v>1578729843951117</v>
      </c>
      <c r="C30" t="s">
        <v>40</v>
      </c>
      <c r="D30">
        <v>5.1530529999999999</v>
      </c>
      <c r="E30">
        <v>0.51087130000000003</v>
      </c>
      <c r="F30" t="s">
        <v>41</v>
      </c>
      <c r="G30">
        <v>-462.63130000000001</v>
      </c>
      <c r="H30" s="1">
        <v>-3.476105E-6</v>
      </c>
      <c r="I30">
        <v>367.74110000000002</v>
      </c>
      <c r="J30">
        <v>-475.14830000000001</v>
      </c>
      <c r="K30">
        <v>1.1085560000000001</v>
      </c>
      <c r="L30">
        <v>367.2235</v>
      </c>
      <c r="M30">
        <v>0.99999559999999998</v>
      </c>
      <c r="N30">
        <v>0</v>
      </c>
      <c r="O30">
        <v>4.7191840000000002E-4</v>
      </c>
      <c r="P30">
        <v>0.9979787</v>
      </c>
      <c r="Q30">
        <v>3.9147660000000001E-3</v>
      </c>
      <c r="R30">
        <v>6.3429390000000002E-2</v>
      </c>
      <c r="S30">
        <v>2.998993</v>
      </c>
      <c r="T30">
        <v>-0.26208939999999997</v>
      </c>
      <c r="U30">
        <v>0.122406</v>
      </c>
      <c r="V30">
        <v>-6.2957860000000004E-2</v>
      </c>
      <c r="W30">
        <v>9.749572E-4</v>
      </c>
      <c r="X30">
        <v>0.99801569999999995</v>
      </c>
      <c r="Y30">
        <v>-4.0159210000000001E-2</v>
      </c>
      <c r="Z30">
        <v>1.709597E-3</v>
      </c>
      <c r="AA30">
        <v>0.99919179999999996</v>
      </c>
      <c r="AB30">
        <v>8</v>
      </c>
      <c r="AC30">
        <v>12.5169999999999</v>
      </c>
      <c r="AD30">
        <v>-1.1085594761049999</v>
      </c>
      <c r="AE30">
        <v>0.51760000000001505</v>
      </c>
      <c r="AF30">
        <v>-0.507717361742274</v>
      </c>
      <c r="AG30">
        <v>-1.1085594761049999</v>
      </c>
      <c r="AH30">
        <v>12.4199912648688</v>
      </c>
      <c r="AI30">
        <v>95.096245638015503</v>
      </c>
      <c r="AJ30">
        <v>92.340893284372598</v>
      </c>
      <c r="AK30">
        <v>12.479698075310001</v>
      </c>
      <c r="AL30">
        <v>89.944139057829204</v>
      </c>
      <c r="AM30">
        <v>93.609608664107299</v>
      </c>
      <c r="AN30">
        <v>0.99999999006190499</v>
      </c>
    </row>
    <row r="31" spans="1:40" x14ac:dyDescent="0.3">
      <c r="A31" t="str">
        <f>"20200111160404011"</f>
        <v>20200111160404011</v>
      </c>
      <c r="B31" t="str">
        <f>"1578729844000892"</f>
        <v>1578729844000892</v>
      </c>
      <c r="C31" t="s">
        <v>40</v>
      </c>
      <c r="D31">
        <v>5.1050789999999999</v>
      </c>
      <c r="E31">
        <v>0.51078440000000003</v>
      </c>
      <c r="F31" t="s">
        <v>41</v>
      </c>
      <c r="G31">
        <v>-462.45569999999998</v>
      </c>
      <c r="H31" s="1">
        <v>-3.5516500000000001E-6</v>
      </c>
      <c r="I31">
        <v>367.73989999999998</v>
      </c>
      <c r="J31">
        <v>-474.91759999999999</v>
      </c>
      <c r="K31">
        <v>1.1085020000000001</v>
      </c>
      <c r="L31">
        <v>367.22370000000001</v>
      </c>
      <c r="M31">
        <v>0.99999490000000002</v>
      </c>
      <c r="N31">
        <v>0</v>
      </c>
      <c r="O31">
        <v>4.752054E-4</v>
      </c>
      <c r="P31">
        <v>0.99797480000000005</v>
      </c>
      <c r="Q31">
        <v>4.929325E-3</v>
      </c>
      <c r="R31">
        <v>6.3423839999999995E-2</v>
      </c>
      <c r="S31">
        <v>2.9993289999999999</v>
      </c>
      <c r="T31">
        <v>-0.26195619999999997</v>
      </c>
      <c r="U31">
        <v>0.1220398</v>
      </c>
      <c r="V31">
        <v>-6.2949710000000006E-2</v>
      </c>
      <c r="W31">
        <v>1.7221599999999999E-3</v>
      </c>
      <c r="X31">
        <v>0.99801519999999999</v>
      </c>
      <c r="Y31">
        <v>-4.0030250000000003E-2</v>
      </c>
      <c r="Z31">
        <v>1.7026400000000001E-3</v>
      </c>
      <c r="AA31">
        <v>0.999197</v>
      </c>
      <c r="AB31">
        <v>9</v>
      </c>
      <c r="AC31">
        <v>12.4619</v>
      </c>
      <c r="AD31">
        <v>-1.10850555165</v>
      </c>
      <c r="AE31">
        <v>0.51619999999996902</v>
      </c>
      <c r="AF31">
        <v>-0.50627893938814394</v>
      </c>
      <c r="AG31">
        <v>-1.10850555165</v>
      </c>
      <c r="AH31">
        <v>12.3644789935629</v>
      </c>
      <c r="AI31">
        <v>95.118743079979197</v>
      </c>
      <c r="AJ31">
        <v>92.344737002800699</v>
      </c>
      <c r="AK31">
        <v>12.4243890676671</v>
      </c>
      <c r="AL31">
        <v>89.901327450161105</v>
      </c>
      <c r="AM31">
        <v>93.609144432783694</v>
      </c>
      <c r="AN31">
        <v>0.99999998562759396</v>
      </c>
    </row>
    <row r="32" spans="1:40" x14ac:dyDescent="0.3">
      <c r="A32" t="str">
        <f>"20200111160404034"</f>
        <v>20200111160404034</v>
      </c>
      <c r="B32" t="str">
        <f>"1578729844020412"</f>
        <v>1578729844020412</v>
      </c>
      <c r="C32" t="s">
        <v>40</v>
      </c>
      <c r="D32">
        <v>5.1255949999999997</v>
      </c>
      <c r="E32">
        <v>0.51069609999999999</v>
      </c>
      <c r="F32" t="s">
        <v>41</v>
      </c>
      <c r="G32">
        <v>-461.99740000000003</v>
      </c>
      <c r="H32" s="1">
        <v>-3.7463090000000001E-6</v>
      </c>
      <c r="I32">
        <v>367.75080000000003</v>
      </c>
      <c r="J32">
        <v>-474.82260000000002</v>
      </c>
      <c r="K32">
        <v>1.108471</v>
      </c>
      <c r="L32">
        <v>367.22370000000001</v>
      </c>
      <c r="M32">
        <v>0.99999439999999995</v>
      </c>
      <c r="N32">
        <v>0</v>
      </c>
      <c r="O32">
        <v>4.7672699999999998E-4</v>
      </c>
      <c r="P32">
        <v>0.99796810000000002</v>
      </c>
      <c r="Q32">
        <v>5.0170479999999996E-3</v>
      </c>
      <c r="R32">
        <v>6.3521469999999997E-2</v>
      </c>
      <c r="S32">
        <v>2.9995729999999998</v>
      </c>
      <c r="T32">
        <v>-0.25735029999999998</v>
      </c>
      <c r="U32">
        <v>0.122406</v>
      </c>
      <c r="V32">
        <v>-6.3045840000000006E-2</v>
      </c>
      <c r="W32">
        <v>1.6825830000000001E-3</v>
      </c>
      <c r="X32">
        <v>0.99800919999999904</v>
      </c>
      <c r="Y32">
        <v>-4.0152029999999998E-2</v>
      </c>
      <c r="Z32">
        <v>1.6777560000000001E-3</v>
      </c>
      <c r="AA32">
        <v>0.99919219999999997</v>
      </c>
      <c r="AB32">
        <v>10</v>
      </c>
      <c r="AC32">
        <v>12.825199999999899</v>
      </c>
      <c r="AD32">
        <v>-1.1084747463089999</v>
      </c>
      <c r="AE32">
        <v>0.527100000000018</v>
      </c>
      <c r="AF32">
        <v>-0.51712932127711198</v>
      </c>
      <c r="AG32">
        <v>-1.1084747463089999</v>
      </c>
      <c r="AH32">
        <v>12.7305126625714</v>
      </c>
      <c r="AI32">
        <v>94.972243231839201</v>
      </c>
      <c r="AJ32">
        <v>92.326147225517801</v>
      </c>
      <c r="AK32">
        <v>12.789139597722</v>
      </c>
      <c r="AL32">
        <v>89.903595048596401</v>
      </c>
      <c r="AM32">
        <v>93.614663000776702</v>
      </c>
      <c r="AN32">
        <v>0.99999998615574803</v>
      </c>
    </row>
    <row r="33" spans="1:40" x14ac:dyDescent="0.3">
      <c r="A33" t="str">
        <f>"20200111160404056"</f>
        <v>20200111160404056</v>
      </c>
      <c r="B33" t="str">
        <f>"1578729844050669"</f>
        <v>1578729844050669</v>
      </c>
      <c r="C33" t="s">
        <v>40</v>
      </c>
      <c r="D33">
        <v>5.1158469999999996</v>
      </c>
      <c r="E33">
        <v>0.51078840000000003</v>
      </c>
      <c r="F33" t="s">
        <v>41</v>
      </c>
      <c r="G33">
        <v>-461.81970000000001</v>
      </c>
      <c r="H33" s="1">
        <v>-3.8213899999999997E-6</v>
      </c>
      <c r="I33">
        <v>367.75740000000002</v>
      </c>
      <c r="J33">
        <v>-474.71589999999998</v>
      </c>
      <c r="K33">
        <v>1.1084350000000001</v>
      </c>
      <c r="L33">
        <v>367.22370000000001</v>
      </c>
      <c r="M33">
        <v>0.99999389999999999</v>
      </c>
      <c r="N33">
        <v>0</v>
      </c>
      <c r="O33">
        <v>4.7849079999999998E-4</v>
      </c>
      <c r="P33">
        <v>0.99798739999999997</v>
      </c>
      <c r="Q33">
        <v>5.0753930000000001E-3</v>
      </c>
      <c r="R33">
        <v>6.3208860000000006E-2</v>
      </c>
      <c r="S33">
        <v>2.9996339999999999</v>
      </c>
      <c r="T33">
        <v>-0.25571050000000001</v>
      </c>
      <c r="U33">
        <v>0.1231384</v>
      </c>
      <c r="V33">
        <v>-6.273128E-2</v>
      </c>
      <c r="W33">
        <v>1.586262E-3</v>
      </c>
      <c r="X33">
        <v>0.99802919999999995</v>
      </c>
      <c r="Y33">
        <v>-4.0393980000000003E-2</v>
      </c>
      <c r="Z33">
        <v>1.677202E-3</v>
      </c>
      <c r="AA33">
        <v>0.99918240000000003</v>
      </c>
      <c r="AB33">
        <v>10</v>
      </c>
      <c r="AC33">
        <v>12.896199999999901</v>
      </c>
      <c r="AD33">
        <v>-1.1084388213900001</v>
      </c>
      <c r="AE33">
        <v>0.53370000000001006</v>
      </c>
      <c r="AF33">
        <v>-0.52366719007681695</v>
      </c>
      <c r="AG33">
        <v>-1.1084388213900001</v>
      </c>
      <c r="AH33">
        <v>12.8020399922364</v>
      </c>
      <c r="AI33">
        <v>94.944384250736405</v>
      </c>
      <c r="AJ33">
        <v>92.3423768632952</v>
      </c>
      <c r="AK33">
        <v>12.860602315193001</v>
      </c>
      <c r="AL33">
        <v>89.909113844708699</v>
      </c>
      <c r="AM33">
        <v>93.596603626562398</v>
      </c>
      <c r="AN33">
        <v>1.0000000068851</v>
      </c>
    </row>
    <row r="34" spans="1:40" x14ac:dyDescent="0.3">
      <c r="A34" t="str">
        <f>"20200111160404101"</f>
        <v>20200111160404101</v>
      </c>
      <c r="B34" t="str">
        <f>"1578729844090684"</f>
        <v>1578729844090684</v>
      </c>
      <c r="C34" t="s">
        <v>40</v>
      </c>
      <c r="D34">
        <v>5.1297139999999999</v>
      </c>
      <c r="E34">
        <v>0.51090020000000003</v>
      </c>
      <c r="F34" t="s">
        <v>41</v>
      </c>
      <c r="G34">
        <v>-461.60640000000001</v>
      </c>
      <c r="H34" s="1">
        <v>-3.9133890000000004E-6</v>
      </c>
      <c r="I34">
        <v>367.75450000000001</v>
      </c>
      <c r="J34">
        <v>-474.49950000000001</v>
      </c>
      <c r="K34">
        <v>1.1083940000000001</v>
      </c>
      <c r="L34">
        <v>367.22390000000001</v>
      </c>
      <c r="M34">
        <v>0.99999280000000002</v>
      </c>
      <c r="N34">
        <v>0</v>
      </c>
      <c r="O34">
        <v>4.8497969999999999E-4</v>
      </c>
      <c r="P34">
        <v>0.99795659999999997</v>
      </c>
      <c r="Q34">
        <v>4.8677920000000001E-3</v>
      </c>
      <c r="R34">
        <v>6.3711509999999999E-2</v>
      </c>
      <c r="S34">
        <v>2.9996339999999999</v>
      </c>
      <c r="T34">
        <v>-0.25362489999999999</v>
      </c>
      <c r="U34">
        <v>0.121459999999999</v>
      </c>
      <c r="V34">
        <v>-6.3227679999999994E-2</v>
      </c>
      <c r="W34">
        <v>1.14185E-3</v>
      </c>
      <c r="X34">
        <v>0.99799850000000001</v>
      </c>
      <c r="Y34">
        <v>-3.9833680000000003E-2</v>
      </c>
      <c r="Z34">
        <v>1.639408E-3</v>
      </c>
      <c r="AA34">
        <v>0.99920500000000001</v>
      </c>
      <c r="AB34">
        <v>10</v>
      </c>
      <c r="AC34">
        <v>12.8931</v>
      </c>
      <c r="AD34">
        <v>-1.1083979133890001</v>
      </c>
      <c r="AE34">
        <v>0.53059999999999197</v>
      </c>
      <c r="AF34">
        <v>-0.52050667559693098</v>
      </c>
      <c r="AG34">
        <v>-1.1083979133890001</v>
      </c>
      <c r="AH34">
        <v>12.7989246685891</v>
      </c>
      <c r="AI34">
        <v>94.945447638942895</v>
      </c>
      <c r="AJ34">
        <v>92.328821490470105</v>
      </c>
      <c r="AK34">
        <v>12.8573693190312</v>
      </c>
      <c r="AL34">
        <v>89.934576801560297</v>
      </c>
      <c r="AM34">
        <v>93.625099596555799</v>
      </c>
      <c r="AN34">
        <v>1.00000002467092</v>
      </c>
    </row>
    <row r="35" spans="1:40" x14ac:dyDescent="0.3">
      <c r="A35" t="str">
        <f>"20200111160404302"</f>
        <v>20200111160404302</v>
      </c>
      <c r="B35" t="str">
        <f>"1578729844290764"</f>
        <v>1578729844290764</v>
      </c>
      <c r="C35" t="s">
        <v>40</v>
      </c>
      <c r="D35">
        <v>5.2893160000000004</v>
      </c>
      <c r="E35">
        <v>0.54990589999999995</v>
      </c>
      <c r="F35" t="s">
        <v>41</v>
      </c>
      <c r="G35">
        <v>-461.36110000000002</v>
      </c>
      <c r="H35" s="1">
        <v>-4.0182680000000001E-6</v>
      </c>
      <c r="I35">
        <v>367.75630000000001</v>
      </c>
      <c r="J35">
        <v>-473.54500000000002</v>
      </c>
      <c r="K35">
        <v>1.1102299999999901</v>
      </c>
      <c r="L35">
        <v>367.22449999999998</v>
      </c>
      <c r="M35">
        <v>0.99997329999999995</v>
      </c>
      <c r="N35">
        <v>0</v>
      </c>
      <c r="O35">
        <v>5.2773559999999998E-4</v>
      </c>
      <c r="P35">
        <v>0.99809970000000003</v>
      </c>
      <c r="Q35">
        <v>-4.130524E-3</v>
      </c>
      <c r="R35">
        <v>6.148182E-2</v>
      </c>
      <c r="S35">
        <v>2.9995729999999998</v>
      </c>
      <c r="T35">
        <v>-0.25305290000000003</v>
      </c>
      <c r="U35">
        <v>0.121582</v>
      </c>
      <c r="V35">
        <v>-6.0955380000000003E-2</v>
      </c>
      <c r="W35">
        <v>3.1426539999999999E-3</v>
      </c>
      <c r="X35">
        <v>0.99813560000000001</v>
      </c>
      <c r="Y35">
        <v>-3.9833149999999998E-2</v>
      </c>
      <c r="Z35">
        <v>1.63213299999999E-3</v>
      </c>
      <c r="AA35">
        <v>0.99920500000000001</v>
      </c>
      <c r="AB35">
        <v>11</v>
      </c>
      <c r="AC35">
        <v>12.1838999999999</v>
      </c>
      <c r="AD35">
        <v>-1.11023401826799</v>
      </c>
      <c r="AE35">
        <v>0.53180000000003202</v>
      </c>
      <c r="AF35">
        <v>-0.52105159991768601</v>
      </c>
      <c r="AG35">
        <v>-1.11023401826799</v>
      </c>
      <c r="AH35">
        <v>12.0840311072776</v>
      </c>
      <c r="AI35">
        <v>95.244531254332401</v>
      </c>
      <c r="AJ35">
        <v>92.469008551783006</v>
      </c>
      <c r="AK35">
        <v>12.1461072836835</v>
      </c>
      <c r="AL35">
        <v>89.819938902898997</v>
      </c>
      <c r="AM35">
        <v>93.494669477806298</v>
      </c>
      <c r="AN35">
        <v>1.00000005530623</v>
      </c>
    </row>
    <row r="36" spans="1:40" x14ac:dyDescent="0.3">
      <c r="A36" t="str">
        <f>"20200111160404324"</f>
        <v>20200111160404324</v>
      </c>
      <c r="B36" t="str">
        <f>"1578729844321021"</f>
        <v>1578729844321021</v>
      </c>
      <c r="C36" t="s">
        <v>40</v>
      </c>
      <c r="D36">
        <v>5.2285729999999999</v>
      </c>
      <c r="E36">
        <v>0.56599060000000001</v>
      </c>
      <c r="F36" t="s">
        <v>42</v>
      </c>
      <c r="G36">
        <v>-472.80669999999998</v>
      </c>
      <c r="H36">
        <v>1.0440480000000001</v>
      </c>
      <c r="I36">
        <v>367.17579999999998</v>
      </c>
      <c r="J36">
        <v>-473.44220000000001</v>
      </c>
      <c r="K36">
        <v>1.110266</v>
      </c>
      <c r="L36">
        <v>367.22449999999998</v>
      </c>
      <c r="M36">
        <v>0.99996719999999895</v>
      </c>
      <c r="N36">
        <v>0</v>
      </c>
      <c r="O36">
        <v>5.2934949999999998E-4</v>
      </c>
      <c r="P36">
        <v>0.99805929999999998</v>
      </c>
      <c r="Q36">
        <v>-5.0027689999999998E-3</v>
      </c>
      <c r="R36">
        <v>6.2068949999999998E-2</v>
      </c>
      <c r="S36">
        <v>3.016724</v>
      </c>
      <c r="T36">
        <v>-0.27059840000000002</v>
      </c>
      <c r="U36">
        <v>-0.1971436</v>
      </c>
      <c r="V36">
        <v>-6.15408E-2</v>
      </c>
      <c r="W36">
        <v>3.068744E-3</v>
      </c>
      <c r="X36">
        <v>0.99809990000000004</v>
      </c>
      <c r="Y36">
        <v>6.5475480000000003E-2</v>
      </c>
      <c r="Z36">
        <v>-2.9749080000000001E-3</v>
      </c>
      <c r="AA36">
        <v>0.99784980000000001</v>
      </c>
      <c r="AB36">
        <v>10</v>
      </c>
      <c r="AC36">
        <v>0.63550000000003504</v>
      </c>
      <c r="AD36">
        <v>-6.6218000000000096E-2</v>
      </c>
      <c r="AE36">
        <v>-4.86999999999966E-2</v>
      </c>
      <c r="AF36">
        <v>4.8512764252404403E-2</v>
      </c>
      <c r="AG36">
        <v>-6.6218000000000096E-2</v>
      </c>
      <c r="AH36">
        <v>0.62868813917141897</v>
      </c>
      <c r="AI36">
        <v>95.994947097731497</v>
      </c>
      <c r="AJ36">
        <v>85.587511279603703</v>
      </c>
      <c r="AK36">
        <v>0.63402451699774998</v>
      </c>
      <c r="AL36">
        <v>89.824173653011499</v>
      </c>
      <c r="AM36">
        <v>93.528274041518898</v>
      </c>
      <c r="AN36">
        <v>1.0000000488171901</v>
      </c>
    </row>
    <row r="37" spans="1:40" x14ac:dyDescent="0.3">
      <c r="A37" t="str">
        <f>"20200111160404347"</f>
        <v>20200111160404347</v>
      </c>
      <c r="B37" t="str">
        <f>"1578729844340540"</f>
        <v>1578729844340540</v>
      </c>
      <c r="C37" t="s">
        <v>40</v>
      </c>
      <c r="D37">
        <v>5.21549</v>
      </c>
      <c r="E37">
        <v>0.56947599999999998</v>
      </c>
      <c r="F37" t="s">
        <v>42</v>
      </c>
      <c r="G37">
        <v>-472.6232</v>
      </c>
      <c r="H37">
        <v>1.0369079999999999</v>
      </c>
      <c r="I37">
        <v>367.13650000000001</v>
      </c>
      <c r="J37">
        <v>-473.33479999999997</v>
      </c>
      <c r="K37">
        <v>1.1102799999999999</v>
      </c>
      <c r="L37">
        <v>367.22460000000001</v>
      </c>
      <c r="M37">
        <v>0.9999614</v>
      </c>
      <c r="N37">
        <v>0</v>
      </c>
      <c r="O37">
        <v>5.3076350000000002E-4</v>
      </c>
      <c r="P37">
        <v>0.99799599999999999</v>
      </c>
      <c r="Q37">
        <v>-5.1661670000000002E-3</v>
      </c>
      <c r="R37">
        <v>6.3067120000000004E-2</v>
      </c>
      <c r="S37">
        <v>3.024597</v>
      </c>
      <c r="T37">
        <v>-0.27130320000000002</v>
      </c>
      <c r="U37">
        <v>-0.32373049999999998</v>
      </c>
      <c r="V37">
        <v>-6.2537259999999997E-2</v>
      </c>
      <c r="W37">
        <v>3.5970770000000002E-3</v>
      </c>
      <c r="X37">
        <v>0.99803609999999998</v>
      </c>
      <c r="Y37">
        <v>0.1065275</v>
      </c>
      <c r="Z37">
        <v>-4.8020160000000001E-3</v>
      </c>
      <c r="AA37">
        <v>0.99429820000000002</v>
      </c>
      <c r="AB37">
        <v>10</v>
      </c>
      <c r="AC37">
        <v>0.71159999999997503</v>
      </c>
      <c r="AD37">
        <v>-7.3371999999999896E-2</v>
      </c>
      <c r="AE37">
        <v>-8.8099999999997097E-2</v>
      </c>
      <c r="AF37">
        <v>8.7560855532437698E-2</v>
      </c>
      <c r="AG37">
        <v>-7.3371999999999896E-2</v>
      </c>
      <c r="AH37">
        <v>0.70417976648632397</v>
      </c>
      <c r="AI37">
        <v>95.903330630790705</v>
      </c>
      <c r="AJ37">
        <v>82.911968245702099</v>
      </c>
      <c r="AK37">
        <v>0.71338593855942101</v>
      </c>
      <c r="AL37">
        <v>89.793902215051205</v>
      </c>
      <c r="AM37">
        <v>93.585484121183697</v>
      </c>
      <c r="AN37">
        <v>0.99999995237722905</v>
      </c>
    </row>
    <row r="38" spans="1:40" x14ac:dyDescent="0.3">
      <c r="A38" t="str">
        <f>"20200111160404369"</f>
        <v>20200111160404369</v>
      </c>
      <c r="B38" t="str">
        <f>"1578729844361036"</f>
        <v>1578729844361036</v>
      </c>
      <c r="C38" t="s">
        <v>40</v>
      </c>
      <c r="D38">
        <v>5.2111400000000003</v>
      </c>
      <c r="E38">
        <v>0.57156940000000001</v>
      </c>
      <c r="F38" t="s">
        <v>42</v>
      </c>
      <c r="G38">
        <v>-472.52910000000003</v>
      </c>
      <c r="H38">
        <v>1.038824</v>
      </c>
      <c r="I38">
        <v>367.13159999999999</v>
      </c>
      <c r="J38">
        <v>-473.23009999999999</v>
      </c>
      <c r="K38">
        <v>1.110287</v>
      </c>
      <c r="L38">
        <v>367.22469999999998</v>
      </c>
      <c r="M38">
        <v>0.99995610000000001</v>
      </c>
      <c r="N38">
        <v>0</v>
      </c>
      <c r="O38">
        <v>5.3295649999999996E-4</v>
      </c>
      <c r="P38">
        <v>0.99794819999999995</v>
      </c>
      <c r="Q38">
        <v>-5.4982010000000003E-3</v>
      </c>
      <c r="R38">
        <v>6.3790620000000006E-2</v>
      </c>
      <c r="S38">
        <v>3.0267029999999999</v>
      </c>
      <c r="T38">
        <v>-0.26861620000000003</v>
      </c>
      <c r="U38">
        <v>-0.34863280000000002</v>
      </c>
      <c r="V38">
        <v>-6.3258659999999994E-2</v>
      </c>
      <c r="W38">
        <v>3.8550440000000002E-3</v>
      </c>
      <c r="X38">
        <v>0.99798969999999998</v>
      </c>
      <c r="Y38">
        <v>0.1145123</v>
      </c>
      <c r="Z38">
        <v>-5.1018859999999999E-3</v>
      </c>
      <c r="AA38">
        <v>0.99340870000000003</v>
      </c>
      <c r="AB38">
        <v>10</v>
      </c>
      <c r="AC38">
        <v>0.70099999999996498</v>
      </c>
      <c r="AD38">
        <v>-7.1462999999999999E-2</v>
      </c>
      <c r="AE38">
        <v>-9.3099999999992605E-2</v>
      </c>
      <c r="AF38">
        <v>9.2528654950428502E-2</v>
      </c>
      <c r="AG38">
        <v>-7.1462999999999999E-2</v>
      </c>
      <c r="AH38">
        <v>0.69386417864408401</v>
      </c>
      <c r="AI38">
        <v>95.829077531722604</v>
      </c>
      <c r="AJ38">
        <v>82.404266932059102</v>
      </c>
      <c r="AK38">
        <v>0.70364480440159904</v>
      </c>
      <c r="AL38">
        <v>89.779121697531906</v>
      </c>
      <c r="AM38">
        <v>93.626902961240205</v>
      </c>
      <c r="AN38">
        <v>0.99999998036766302</v>
      </c>
    </row>
    <row r="39" spans="1:40" x14ac:dyDescent="0.3">
      <c r="A39" t="str">
        <f>"20200111160404392"</f>
        <v>20200111160404392</v>
      </c>
      <c r="B39" t="str">
        <f>"1578729844380556"</f>
        <v>1578729844380556</v>
      </c>
      <c r="C39" t="s">
        <v>40</v>
      </c>
      <c r="D39">
        <v>5.2234099999999897</v>
      </c>
      <c r="E39">
        <v>0.57263699999999995</v>
      </c>
      <c r="F39" t="s">
        <v>42</v>
      </c>
      <c r="G39">
        <v>-472.43579999999997</v>
      </c>
      <c r="H39">
        <v>1.03976</v>
      </c>
      <c r="I39">
        <v>367.12880000000001</v>
      </c>
      <c r="J39">
        <v>-473.12729999999999</v>
      </c>
      <c r="K39">
        <v>1.110309</v>
      </c>
      <c r="L39">
        <v>367.22480000000002</v>
      </c>
      <c r="M39">
        <v>0.99995089999999998</v>
      </c>
      <c r="N39">
        <v>0</v>
      </c>
      <c r="O39">
        <v>5.356693E-4</v>
      </c>
      <c r="P39">
        <v>0.99790730000000005</v>
      </c>
      <c r="Q39">
        <v>-6.4941790000000001E-3</v>
      </c>
      <c r="R39">
        <v>6.4335489999999995E-2</v>
      </c>
      <c r="S39">
        <v>3.027863</v>
      </c>
      <c r="T39">
        <v>-0.26925189999999999</v>
      </c>
      <c r="U39">
        <v>-0.36328129999999997</v>
      </c>
      <c r="V39">
        <v>-6.3800780000000001E-2</v>
      </c>
      <c r="W39">
        <v>3.3820249999999999E-3</v>
      </c>
      <c r="X39">
        <v>0.99795690000000004</v>
      </c>
      <c r="Y39">
        <v>0.1191912</v>
      </c>
      <c r="Z39">
        <v>-5.317675E-3</v>
      </c>
      <c r="AA39">
        <v>0.99285710000000005</v>
      </c>
      <c r="AB39">
        <v>10</v>
      </c>
      <c r="AC39">
        <v>0.69150000000001899</v>
      </c>
      <c r="AD39">
        <v>-7.0548999999999903E-2</v>
      </c>
      <c r="AE39">
        <v>-9.6000000000003596E-2</v>
      </c>
      <c r="AF39">
        <v>9.5396242531947298E-2</v>
      </c>
      <c r="AG39">
        <v>-7.0548999999999903E-2</v>
      </c>
      <c r="AH39">
        <v>0.68445884684275904</v>
      </c>
      <c r="AI39">
        <v>95.828899223568001</v>
      </c>
      <c r="AJ39">
        <v>82.065531278949805</v>
      </c>
      <c r="AK39">
        <v>0.69466647933489201</v>
      </c>
      <c r="AL39">
        <v>89.806223867223807</v>
      </c>
      <c r="AM39">
        <v>93.658021001105794</v>
      </c>
      <c r="AN39">
        <v>0.99999997593965895</v>
      </c>
    </row>
    <row r="40" spans="1:40" x14ac:dyDescent="0.3">
      <c r="A40" t="str">
        <f>"20200111160404413"</f>
        <v>20200111160404413</v>
      </c>
      <c r="B40" t="str">
        <f>"1578729844410813"</f>
        <v>1578729844410813</v>
      </c>
      <c r="C40" t="s">
        <v>40</v>
      </c>
      <c r="D40">
        <v>5.3642329999999996</v>
      </c>
      <c r="E40">
        <v>0.57349559999999999</v>
      </c>
      <c r="F40" t="s">
        <v>42</v>
      </c>
      <c r="G40">
        <v>-472.34289999999999</v>
      </c>
      <c r="H40">
        <v>1.0404329999999999</v>
      </c>
      <c r="I40">
        <v>367.12869999999998</v>
      </c>
      <c r="J40">
        <v>-473.02780000000001</v>
      </c>
      <c r="K40">
        <v>1.1103339999999999</v>
      </c>
      <c r="L40">
        <v>367.22480000000002</v>
      </c>
      <c r="M40">
        <v>0.99994640000000001</v>
      </c>
      <c r="N40">
        <v>0</v>
      </c>
      <c r="O40">
        <v>5.3860750000000004E-4</v>
      </c>
      <c r="P40">
        <v>0.99792099999999995</v>
      </c>
      <c r="Q40">
        <v>-5.5892090000000004E-3</v>
      </c>
      <c r="R40">
        <v>6.4207459999999994E-2</v>
      </c>
      <c r="S40">
        <v>3.028381</v>
      </c>
      <c r="T40">
        <v>-0.2699841</v>
      </c>
      <c r="U40">
        <v>-0.3700562</v>
      </c>
      <c r="V40">
        <v>-6.3669569999999995E-2</v>
      </c>
      <c r="W40">
        <v>4.7409990000000001E-3</v>
      </c>
      <c r="X40">
        <v>0.99795979999999995</v>
      </c>
      <c r="Y40">
        <v>0.1213521</v>
      </c>
      <c r="Z40">
        <v>-5.4265059999999898E-3</v>
      </c>
      <c r="AA40">
        <v>0.99259470000000005</v>
      </c>
      <c r="AB40">
        <v>10</v>
      </c>
      <c r="AC40">
        <v>0.68490000000002704</v>
      </c>
      <c r="AD40">
        <v>-6.9900999999999894E-2</v>
      </c>
      <c r="AE40">
        <v>-9.6100000000035296E-2</v>
      </c>
      <c r="AF40">
        <v>9.5493417205717496E-2</v>
      </c>
      <c r="AG40">
        <v>-6.9900999999999894E-2</v>
      </c>
      <c r="AH40">
        <v>0.67792304310949303</v>
      </c>
      <c r="AI40">
        <v>95.829841984569498</v>
      </c>
      <c r="AJ40">
        <v>81.981970595129695</v>
      </c>
      <c r="AK40">
        <v>0.68817497405053996</v>
      </c>
      <c r="AL40">
        <v>89.728359756289095</v>
      </c>
      <c r="AM40">
        <v>93.6505078530502</v>
      </c>
      <c r="AN40">
        <v>1.00000002681577</v>
      </c>
    </row>
    <row r="41" spans="1:40" x14ac:dyDescent="0.3">
      <c r="A41" t="str">
        <f>"20200111160404435"</f>
        <v>20200111160404435</v>
      </c>
      <c r="B41" t="str">
        <f>"1578729844430332"</f>
        <v>1578729844430332</v>
      </c>
      <c r="C41" t="s">
        <v>40</v>
      </c>
      <c r="D41">
        <v>5.2417720000000001</v>
      </c>
      <c r="E41">
        <v>0.57413610000000004</v>
      </c>
      <c r="F41" t="s">
        <v>42</v>
      </c>
      <c r="G41">
        <v>-472.24939999999998</v>
      </c>
      <c r="H41">
        <v>1.043042</v>
      </c>
      <c r="I41">
        <v>367.12720000000002</v>
      </c>
      <c r="J41">
        <v>-472.92669999999998</v>
      </c>
      <c r="K41">
        <v>1.1103540000000001</v>
      </c>
      <c r="L41">
        <v>367.22489999999999</v>
      </c>
      <c r="M41">
        <v>0.9999422</v>
      </c>
      <c r="N41">
        <v>0</v>
      </c>
      <c r="O41">
        <v>5.4149359999999998E-4</v>
      </c>
      <c r="P41">
        <v>0.99794050000000001</v>
      </c>
      <c r="Q41">
        <v>-5.0460569999999996E-3</v>
      </c>
      <c r="R41">
        <v>6.3949640000000002E-2</v>
      </c>
      <c r="S41">
        <v>3.0291139999999999</v>
      </c>
      <c r="T41">
        <v>-0.26224229999999998</v>
      </c>
      <c r="U41">
        <v>-0.37765500000000002</v>
      </c>
      <c r="V41">
        <v>-6.3408950000000006E-2</v>
      </c>
      <c r="W41">
        <v>5.684171E-3</v>
      </c>
      <c r="X41">
        <v>0.99797139999999995</v>
      </c>
      <c r="Y41">
        <v>0.12379660000000001</v>
      </c>
      <c r="Z41">
        <v>-5.3748819999999897E-3</v>
      </c>
      <c r="AA41">
        <v>0.99229310000000004</v>
      </c>
      <c r="AB41">
        <v>10</v>
      </c>
      <c r="AC41">
        <v>0.67730000000000201</v>
      </c>
      <c r="AD41">
        <v>-6.7311999999999997E-2</v>
      </c>
      <c r="AE41">
        <v>-9.7699999999974793E-2</v>
      </c>
      <c r="AF41">
        <v>9.7126996443845606E-2</v>
      </c>
      <c r="AG41">
        <v>-6.7311999999999997E-2</v>
      </c>
      <c r="AH41">
        <v>0.67075700326935495</v>
      </c>
      <c r="AI41">
        <v>95.671815098045897</v>
      </c>
      <c r="AJ41">
        <v>81.760720621607703</v>
      </c>
      <c r="AK41">
        <v>0.68108701075346301</v>
      </c>
      <c r="AL41">
        <v>89.674319224838996</v>
      </c>
      <c r="AM41">
        <v>93.635563165603102</v>
      </c>
      <c r="AN41">
        <v>0.99999995997900903</v>
      </c>
    </row>
    <row r="42" spans="1:40" x14ac:dyDescent="0.3">
      <c r="A42" t="str">
        <f>"20200111160404459"</f>
        <v>20200111160404459</v>
      </c>
      <c r="B42" t="str">
        <f>"1578729844450829"</f>
        <v>1578729844450829</v>
      </c>
      <c r="C42" t="s">
        <v>40</v>
      </c>
      <c r="D42">
        <v>5.1980500000000003</v>
      </c>
      <c r="E42">
        <v>0.57466200000000001</v>
      </c>
      <c r="F42" t="s">
        <v>42</v>
      </c>
      <c r="G42">
        <v>-472.15679999999998</v>
      </c>
      <c r="H42">
        <v>1.044157</v>
      </c>
      <c r="I42">
        <v>367.12740000000002</v>
      </c>
      <c r="J42">
        <v>-472.81619999999998</v>
      </c>
      <c r="K42">
        <v>1.1103700000000001</v>
      </c>
      <c r="L42">
        <v>367.22500000000002</v>
      </c>
      <c r="M42">
        <v>0.99993810000000005</v>
      </c>
      <c r="N42">
        <v>0</v>
      </c>
      <c r="O42">
        <v>5.4469900000000005E-4</v>
      </c>
      <c r="P42">
        <v>0.99796649999999998</v>
      </c>
      <c r="Q42">
        <v>-5.0763079999999999E-3</v>
      </c>
      <c r="R42">
        <v>6.3541E-2</v>
      </c>
      <c r="S42">
        <v>3.02948</v>
      </c>
      <c r="T42">
        <v>-0.26062449999999998</v>
      </c>
      <c r="U42">
        <v>-0.38348389999999999</v>
      </c>
      <c r="V42">
        <v>-6.2997209999999998E-2</v>
      </c>
      <c r="W42">
        <v>6.0251039999999999E-3</v>
      </c>
      <c r="X42">
        <v>0.99799550000000004</v>
      </c>
      <c r="Y42">
        <v>0.12566350000000001</v>
      </c>
      <c r="Z42">
        <v>-5.4206849999999997E-3</v>
      </c>
      <c r="AA42">
        <v>0.99205810000000005</v>
      </c>
      <c r="AB42">
        <v>10</v>
      </c>
      <c r="AC42">
        <v>0.65940000000000498</v>
      </c>
      <c r="AD42">
        <v>-6.6212999999999994E-2</v>
      </c>
      <c r="AE42">
        <v>-9.7599999999999895E-2</v>
      </c>
      <c r="AF42">
        <v>9.70020808942402E-2</v>
      </c>
      <c r="AG42">
        <v>-6.6212999999999994E-2</v>
      </c>
      <c r="AH42">
        <v>0.65290464863113895</v>
      </c>
      <c r="AI42">
        <v>95.728287220694398</v>
      </c>
      <c r="AJ42">
        <v>81.549377991772403</v>
      </c>
      <c r="AK42">
        <v>0.66338378429907696</v>
      </c>
      <c r="AL42">
        <v>89.654784875531305</v>
      </c>
      <c r="AM42">
        <v>93.611931688417499</v>
      </c>
      <c r="AN42">
        <v>0.99999998418312197</v>
      </c>
    </row>
    <row r="43" spans="1:40" x14ac:dyDescent="0.3">
      <c r="A43" t="str">
        <f>"20200111160404481"</f>
        <v>20200111160404481</v>
      </c>
      <c r="B43" t="str">
        <f>"1578729844470348"</f>
        <v>1578729844470348</v>
      </c>
      <c r="C43" t="s">
        <v>40</v>
      </c>
      <c r="D43">
        <v>5.1972930000000002</v>
      </c>
      <c r="E43">
        <v>0.57535919999999996</v>
      </c>
      <c r="F43" t="s">
        <v>42</v>
      </c>
      <c r="G43">
        <v>-472.06330000000003</v>
      </c>
      <c r="H43">
        <v>1.046009</v>
      </c>
      <c r="I43">
        <v>367.1277</v>
      </c>
      <c r="J43">
        <v>-472.71699999999998</v>
      </c>
      <c r="K43">
        <v>1.1103749999999999</v>
      </c>
      <c r="L43">
        <v>367.22500000000002</v>
      </c>
      <c r="M43">
        <v>0.99993489999999996</v>
      </c>
      <c r="N43">
        <v>0</v>
      </c>
      <c r="O43">
        <v>5.4762300000000001E-4</v>
      </c>
      <c r="P43">
        <v>0.99796989999999997</v>
      </c>
      <c r="Q43">
        <v>-5.7619359999999996E-3</v>
      </c>
      <c r="R43">
        <v>6.3428159999999997E-2</v>
      </c>
      <c r="S43">
        <v>3.029541</v>
      </c>
      <c r="T43">
        <v>-0.25935200000000003</v>
      </c>
      <c r="U43">
        <v>-0.38882450000000002</v>
      </c>
      <c r="V43">
        <v>-6.2881699999999999E-2</v>
      </c>
      <c r="W43">
        <v>5.6231369999999899E-3</v>
      </c>
      <c r="X43">
        <v>0.99800520000000004</v>
      </c>
      <c r="Y43">
        <v>0.127383</v>
      </c>
      <c r="Z43">
        <v>-5.4670269999999898E-3</v>
      </c>
      <c r="AA43">
        <v>0.99183849999999996</v>
      </c>
      <c r="AB43">
        <v>10</v>
      </c>
      <c r="AC43">
        <v>0.65369999999995798</v>
      </c>
      <c r="AD43">
        <v>-6.4365999999999896E-2</v>
      </c>
      <c r="AE43">
        <v>-9.7300000000018302E-2</v>
      </c>
      <c r="AF43">
        <v>9.6740402774387196E-2</v>
      </c>
      <c r="AG43">
        <v>-6.4365999999999896E-2</v>
      </c>
      <c r="AH43">
        <v>0.64750500093218</v>
      </c>
      <c r="AI43">
        <v>95.614987142772407</v>
      </c>
      <c r="AJ43">
        <v>81.502585205057201</v>
      </c>
      <c r="AK43">
        <v>0.65784832120872105</v>
      </c>
      <c r="AL43">
        <v>89.677816301622201</v>
      </c>
      <c r="AM43">
        <v>93.6052914820078</v>
      </c>
      <c r="AN43">
        <v>1.00000005354582</v>
      </c>
    </row>
    <row r="44" spans="1:40" x14ac:dyDescent="0.3">
      <c r="A44" t="str">
        <f>"20200111160404501"</f>
        <v>20200111160404501</v>
      </c>
      <c r="B44" t="str">
        <f>"1578729844490844"</f>
        <v>1578729844490844</v>
      </c>
      <c r="C44" t="s">
        <v>40</v>
      </c>
      <c r="D44">
        <v>5.2032590000000001</v>
      </c>
      <c r="E44">
        <v>0.57606069999999998</v>
      </c>
      <c r="F44" t="s">
        <v>42</v>
      </c>
      <c r="G44">
        <v>-471.97129999999999</v>
      </c>
      <c r="H44">
        <v>1.0464639999999901</v>
      </c>
      <c r="I44">
        <v>367.12759999999997</v>
      </c>
      <c r="J44">
        <v>-472.62200000000001</v>
      </c>
      <c r="K44">
        <v>1.110395</v>
      </c>
      <c r="L44">
        <v>367.22500000000002</v>
      </c>
      <c r="M44">
        <v>0.99993220000000005</v>
      </c>
      <c r="N44">
        <v>0</v>
      </c>
      <c r="O44">
        <v>5.5029570000000004E-4</v>
      </c>
      <c r="P44">
        <v>0.99800909999999998</v>
      </c>
      <c r="Q44">
        <v>-6.5469369999999897E-3</v>
      </c>
      <c r="R44">
        <v>6.2729660000000007E-2</v>
      </c>
      <c r="S44">
        <v>3.0296940000000001</v>
      </c>
      <c r="T44">
        <v>-0.25976389999999999</v>
      </c>
      <c r="U44">
        <v>-0.39486690000000002</v>
      </c>
      <c r="V44">
        <v>-6.2179940000000003E-2</v>
      </c>
      <c r="W44">
        <v>5.0766889999999997E-3</v>
      </c>
      <c r="X44">
        <v>0.9980521</v>
      </c>
      <c r="Y44">
        <v>0.1293165</v>
      </c>
      <c r="Z44">
        <v>-5.5573289999999997E-3</v>
      </c>
      <c r="AA44">
        <v>0.99158780000000002</v>
      </c>
      <c r="AB44">
        <v>10</v>
      </c>
      <c r="AC44">
        <v>0.65069999999997197</v>
      </c>
      <c r="AD44">
        <v>-6.3931000000000099E-2</v>
      </c>
      <c r="AE44">
        <v>-9.7400000000050099E-2</v>
      </c>
      <c r="AF44">
        <v>9.6843742647576697E-2</v>
      </c>
      <c r="AG44">
        <v>-6.3931000000000099E-2</v>
      </c>
      <c r="AH44">
        <v>0.64456071865293896</v>
      </c>
      <c r="AI44">
        <v>95.601907052964904</v>
      </c>
      <c r="AJ44">
        <v>81.455357012585495</v>
      </c>
      <c r="AK44">
        <v>0.65492320410975202</v>
      </c>
      <c r="AL44">
        <v>89.709125913244307</v>
      </c>
      <c r="AM44">
        <v>93.564993673218595</v>
      </c>
      <c r="AN44">
        <v>1.0000000560119999</v>
      </c>
    </row>
    <row r="45" spans="1:40" x14ac:dyDescent="0.3">
      <c r="A45" t="str">
        <f>"20200111160404525"</f>
        <v>20200111160404525</v>
      </c>
      <c r="B45" t="str">
        <f>"1578729844521101"</f>
        <v>1578729844521101</v>
      </c>
      <c r="C45" t="s">
        <v>40</v>
      </c>
      <c r="D45">
        <v>5.1942940000000002</v>
      </c>
      <c r="E45">
        <v>0.57684419999999903</v>
      </c>
      <c r="F45" t="s">
        <v>42</v>
      </c>
      <c r="G45">
        <v>-471.87990000000002</v>
      </c>
      <c r="H45">
        <v>1.0465329999999999</v>
      </c>
      <c r="I45">
        <v>367.1259</v>
      </c>
      <c r="J45">
        <v>-472.51859999999999</v>
      </c>
      <c r="K45">
        <v>1.110412</v>
      </c>
      <c r="L45">
        <v>367.2251</v>
      </c>
      <c r="M45">
        <v>0.99992950000000003</v>
      </c>
      <c r="N45">
        <v>0</v>
      </c>
      <c r="O45">
        <v>5.5318079999999996E-4</v>
      </c>
      <c r="P45">
        <v>0.99804850000000001</v>
      </c>
      <c r="Q45">
        <v>-6.8851969999999896E-3</v>
      </c>
      <c r="R45">
        <v>6.2064639999999997E-2</v>
      </c>
      <c r="S45">
        <v>3.0295719999999999</v>
      </c>
      <c r="T45">
        <v>-0.26101679999999999</v>
      </c>
      <c r="U45">
        <v>-0.4025879</v>
      </c>
      <c r="V45">
        <v>-6.1512259999999999E-2</v>
      </c>
      <c r="W45">
        <v>4.9655879999999999E-3</v>
      </c>
      <c r="X45">
        <v>0.99809400000000004</v>
      </c>
      <c r="Y45">
        <v>0.13179469999999999</v>
      </c>
      <c r="Z45">
        <v>-5.6896830000000001E-3</v>
      </c>
      <c r="AA45">
        <v>0.99126069999999999</v>
      </c>
      <c r="AB45">
        <v>10</v>
      </c>
      <c r="AC45">
        <v>0.63869999999997096</v>
      </c>
      <c r="AD45">
        <v>-6.38790000000002E-2</v>
      </c>
      <c r="AE45">
        <v>-9.9199999999996097E-2</v>
      </c>
      <c r="AF45">
        <v>9.8590373849690896E-2</v>
      </c>
      <c r="AG45">
        <v>-6.38790000000002E-2</v>
      </c>
      <c r="AH45">
        <v>0.63246758226280797</v>
      </c>
      <c r="AI45">
        <v>95.698932707521905</v>
      </c>
      <c r="AJ45">
        <v>81.139918851747495</v>
      </c>
      <c r="AK45">
        <v>0.64328518642215304</v>
      </c>
      <c r="AL45">
        <v>89.715491602433204</v>
      </c>
      <c r="AM45">
        <v>93.526662703286405</v>
      </c>
      <c r="AN45">
        <v>1.00000002401524</v>
      </c>
    </row>
    <row r="46" spans="1:40" x14ac:dyDescent="0.3">
      <c r="A46" t="str">
        <f>"20200111160404548"</f>
        <v>20200111160404548</v>
      </c>
      <c r="B46" t="str">
        <f>"1578729844540621"</f>
        <v>1578729844540621</v>
      </c>
      <c r="C46" t="s">
        <v>40</v>
      </c>
      <c r="D46">
        <v>5.177041</v>
      </c>
      <c r="E46">
        <v>0.57730389999999998</v>
      </c>
      <c r="F46" t="s">
        <v>42</v>
      </c>
      <c r="G46">
        <v>-471.70249999999999</v>
      </c>
      <c r="H46">
        <v>1.0401389999999999</v>
      </c>
      <c r="I46">
        <v>367.1139</v>
      </c>
      <c r="J46">
        <v>-472.41250000000002</v>
      </c>
      <c r="K46">
        <v>1.1104290000000001</v>
      </c>
      <c r="L46">
        <v>367.22519999999997</v>
      </c>
      <c r="M46">
        <v>0.99992700000000001</v>
      </c>
      <c r="N46">
        <v>0</v>
      </c>
      <c r="O46">
        <v>5.560319E-4</v>
      </c>
      <c r="P46">
        <v>0.99809369999999997</v>
      </c>
      <c r="Q46">
        <v>-6.8848260000000001E-3</v>
      </c>
      <c r="R46">
        <v>6.1329080000000001E-2</v>
      </c>
      <c r="S46">
        <v>3.0296020000000001</v>
      </c>
      <c r="T46">
        <v>-0.26117299999999999</v>
      </c>
      <c r="U46">
        <v>-0.4107056</v>
      </c>
      <c r="V46">
        <v>-6.0774010000000003E-2</v>
      </c>
      <c r="W46">
        <v>5.1658549999999996E-3</v>
      </c>
      <c r="X46">
        <v>0.99813819999999998</v>
      </c>
      <c r="Y46">
        <v>0.13439489999999901</v>
      </c>
      <c r="Z46">
        <v>-5.8036240000000003E-3</v>
      </c>
      <c r="AA46">
        <v>0.99091079999999998</v>
      </c>
      <c r="AB46">
        <v>10</v>
      </c>
      <c r="AC46">
        <v>0.71000000000003605</v>
      </c>
      <c r="AD46">
        <v>-7.0290000000000102E-2</v>
      </c>
      <c r="AE46">
        <v>-0.11129999999997101</v>
      </c>
      <c r="AF46">
        <v>0.11063645384010901</v>
      </c>
      <c r="AG46">
        <v>-7.0290000000000102E-2</v>
      </c>
      <c r="AH46">
        <v>0.70321113224865095</v>
      </c>
      <c r="AI46">
        <v>95.639172380849502</v>
      </c>
      <c r="AJ46">
        <v>81.058926511888501</v>
      </c>
      <c r="AK46">
        <v>0.71532300783404401</v>
      </c>
      <c r="AL46">
        <v>89.704016999308607</v>
      </c>
      <c r="AM46">
        <v>93.484287847062205</v>
      </c>
      <c r="AN46">
        <v>1.0000000163242999</v>
      </c>
    </row>
    <row r="47" spans="1:40" x14ac:dyDescent="0.3">
      <c r="A47" t="str">
        <f>"20200111160404570"</f>
        <v>20200111160404570</v>
      </c>
      <c r="B47" t="str">
        <f>"1578729844561116"</f>
        <v>1578729844561116</v>
      </c>
      <c r="C47" t="s">
        <v>40</v>
      </c>
      <c r="D47">
        <v>5.1641029999999999</v>
      </c>
      <c r="E47">
        <v>0.5776656</v>
      </c>
      <c r="F47" t="s">
        <v>42</v>
      </c>
      <c r="G47">
        <v>-471.61110000000002</v>
      </c>
      <c r="H47">
        <v>1.0413779999999999</v>
      </c>
      <c r="I47">
        <v>367.11489999999998</v>
      </c>
      <c r="J47">
        <v>-472.30959999999999</v>
      </c>
      <c r="K47">
        <v>1.1104449999999999</v>
      </c>
      <c r="L47">
        <v>367.2253</v>
      </c>
      <c r="M47">
        <v>0.99992499999999995</v>
      </c>
      <c r="N47">
        <v>0</v>
      </c>
      <c r="O47">
        <v>5.5823489999999999E-4</v>
      </c>
      <c r="P47">
        <v>0.9981449</v>
      </c>
      <c r="Q47">
        <v>-7.8866869999999999E-3</v>
      </c>
      <c r="R47">
        <v>6.0372099999999998E-2</v>
      </c>
      <c r="S47">
        <v>3.029541</v>
      </c>
      <c r="T47">
        <v>-0.26105240000000002</v>
      </c>
      <c r="U47">
        <v>-0.41668699999999997</v>
      </c>
      <c r="V47">
        <v>-5.9814720000000002E-2</v>
      </c>
      <c r="W47">
        <v>4.3309239999999999E-3</v>
      </c>
      <c r="X47">
        <v>0.99820010000000003</v>
      </c>
      <c r="Y47">
        <v>0.13631370000000001</v>
      </c>
      <c r="Z47">
        <v>-5.8826249999999998E-3</v>
      </c>
      <c r="AA47">
        <v>0.99064830000000004</v>
      </c>
      <c r="AB47">
        <v>10</v>
      </c>
      <c r="AC47">
        <v>0.69849999999996704</v>
      </c>
      <c r="AD47">
        <v>-6.9066999999999906E-2</v>
      </c>
      <c r="AE47">
        <v>-0.11040000000002601</v>
      </c>
      <c r="AF47">
        <v>0.109743123962897</v>
      </c>
      <c r="AG47">
        <v>-6.9066999999999906E-2</v>
      </c>
      <c r="AH47">
        <v>0.69183896040880999</v>
      </c>
      <c r="AI47">
        <v>95.631064621411198</v>
      </c>
      <c r="AJ47">
        <v>80.986541099374307</v>
      </c>
      <c r="AK47">
        <v>0.70388560923326104</v>
      </c>
      <c r="AL47">
        <v>89.751855557328497</v>
      </c>
      <c r="AM47">
        <v>93.429210108603698</v>
      </c>
      <c r="AN47">
        <v>0.999999998635691</v>
      </c>
    </row>
    <row r="48" spans="1:40" x14ac:dyDescent="0.3">
      <c r="A48" t="str">
        <f>"20200111160404592"</f>
        <v>20200111160404592</v>
      </c>
      <c r="B48" t="str">
        <f>"1578729844580636"</f>
        <v>1578729844580636</v>
      </c>
      <c r="C48" t="s">
        <v>40</v>
      </c>
      <c r="D48">
        <v>5.1112630000000001</v>
      </c>
      <c r="E48">
        <v>0.57800410000000002</v>
      </c>
      <c r="F48" t="s">
        <v>42</v>
      </c>
      <c r="G48">
        <v>-471.52010000000001</v>
      </c>
      <c r="H48">
        <v>1.0420039999999999</v>
      </c>
      <c r="I48">
        <v>367.11450000000002</v>
      </c>
      <c r="J48">
        <v>-472.21339999999998</v>
      </c>
      <c r="K48">
        <v>1.1104590000000001</v>
      </c>
      <c r="L48">
        <v>367.2253</v>
      </c>
      <c r="M48">
        <v>0.99992329999999996</v>
      </c>
      <c r="N48">
        <v>0</v>
      </c>
      <c r="O48">
        <v>5.6056620000000004E-4</v>
      </c>
      <c r="P48">
        <v>0.99818739999999995</v>
      </c>
      <c r="Q48">
        <v>-8.6527900000000005E-3</v>
      </c>
      <c r="R48">
        <v>5.9557569999999997E-2</v>
      </c>
      <c r="S48">
        <v>3.0290530000000002</v>
      </c>
      <c r="T48">
        <v>-0.2629071</v>
      </c>
      <c r="U48">
        <v>-0.42242429999999997</v>
      </c>
      <c r="V48">
        <v>-5.8998059999999998E-2</v>
      </c>
      <c r="W48">
        <v>3.6991200000000002E-3</v>
      </c>
      <c r="X48">
        <v>0.99825129999999995</v>
      </c>
      <c r="Y48">
        <v>0.1381645</v>
      </c>
      <c r="Z48">
        <v>-6.0044310000000002E-3</v>
      </c>
      <c r="AA48">
        <v>0.99039109999999997</v>
      </c>
      <c r="AB48">
        <v>10</v>
      </c>
      <c r="AC48">
        <v>0.69329999999996506</v>
      </c>
      <c r="AD48">
        <v>-6.8454999999999905E-2</v>
      </c>
      <c r="AE48">
        <v>-0.110799999999983</v>
      </c>
      <c r="AF48">
        <v>0.110141605483041</v>
      </c>
      <c r="AG48">
        <v>-6.8454999999999905E-2</v>
      </c>
      <c r="AH48">
        <v>0.68670965607474599</v>
      </c>
      <c r="AI48">
        <v>95.621374813622197</v>
      </c>
      <c r="AJ48">
        <v>80.887916987202104</v>
      </c>
      <c r="AK48">
        <v>0.69884720220494401</v>
      </c>
      <c r="AL48">
        <v>89.788055564653604</v>
      </c>
      <c r="AM48">
        <v>93.382326924515596</v>
      </c>
      <c r="AN48">
        <v>1.0000000562621101</v>
      </c>
    </row>
    <row r="49" spans="1:40" x14ac:dyDescent="0.3">
      <c r="A49" t="str">
        <f>"20200111160404614"</f>
        <v>20200111160404614</v>
      </c>
      <c r="B49" t="str">
        <f>"1578729844610892"</f>
        <v>1578729844610892</v>
      </c>
      <c r="C49" t="s">
        <v>40</v>
      </c>
      <c r="D49">
        <v>5.0802680000000002</v>
      </c>
      <c r="E49">
        <v>0.57846589999999998</v>
      </c>
      <c r="F49" t="s">
        <v>42</v>
      </c>
      <c r="G49">
        <v>-471.43009999999998</v>
      </c>
      <c r="H49">
        <v>1.0419620000000001</v>
      </c>
      <c r="I49">
        <v>367.11470000000003</v>
      </c>
      <c r="J49">
        <v>-472.113</v>
      </c>
      <c r="K49">
        <v>1.110484</v>
      </c>
      <c r="L49">
        <v>367.22539999999998</v>
      </c>
      <c r="M49">
        <v>0.99992190000000003</v>
      </c>
      <c r="N49">
        <v>0</v>
      </c>
      <c r="O49">
        <v>5.626718E-4</v>
      </c>
      <c r="P49">
        <v>0.99822699999999998</v>
      </c>
      <c r="Q49">
        <v>-8.7378360000000006E-3</v>
      </c>
      <c r="R49">
        <v>5.8879130000000002E-2</v>
      </c>
      <c r="S49">
        <v>3.0286559999999998</v>
      </c>
      <c r="T49">
        <v>-0.26494099999999998</v>
      </c>
      <c r="U49">
        <v>-0.42749019999999999</v>
      </c>
      <c r="V49">
        <v>-5.8317349999999997E-2</v>
      </c>
      <c r="W49">
        <v>3.7358360000000002E-3</v>
      </c>
      <c r="X49">
        <v>0.99829109999999999</v>
      </c>
      <c r="Y49">
        <v>0.13979469999999999</v>
      </c>
      <c r="Z49">
        <v>-6.1217980000000003E-3</v>
      </c>
      <c r="AA49">
        <v>0.99016159999999998</v>
      </c>
      <c r="AB49">
        <v>10</v>
      </c>
      <c r="AC49">
        <v>0.682900000000074</v>
      </c>
      <c r="AD49">
        <v>-6.8521999999999902E-2</v>
      </c>
      <c r="AE49">
        <v>-0.110699999999951</v>
      </c>
      <c r="AF49">
        <v>0.11000508108899699</v>
      </c>
      <c r="AG49">
        <v>-6.8521999999999902E-2</v>
      </c>
      <c r="AH49">
        <v>0.67620385464791199</v>
      </c>
      <c r="AI49">
        <v>95.711642618195199</v>
      </c>
      <c r="AJ49">
        <v>80.760046482690996</v>
      </c>
      <c r="AK49">
        <v>0.688511463513929</v>
      </c>
      <c r="AL49">
        <v>89.785951865294905</v>
      </c>
      <c r="AM49">
        <v>93.343258238432099</v>
      </c>
      <c r="AN49">
        <v>0.99999999506042503</v>
      </c>
    </row>
    <row r="50" spans="1:40" x14ac:dyDescent="0.3">
      <c r="A50" t="str">
        <f>"20200111160404637"</f>
        <v>20200111160404637</v>
      </c>
      <c r="B50" t="str">
        <f>"1578729844630413"</f>
        <v>1578729844630413</v>
      </c>
      <c r="C50" t="s">
        <v>40</v>
      </c>
      <c r="D50">
        <v>5.0699769999999997</v>
      </c>
      <c r="E50">
        <v>0.57869119999999996</v>
      </c>
      <c r="F50" t="s">
        <v>42</v>
      </c>
      <c r="G50">
        <v>-471.33909999999997</v>
      </c>
      <c r="H50">
        <v>1.0432030000000001</v>
      </c>
      <c r="I50">
        <v>367.11410000000001</v>
      </c>
      <c r="J50">
        <v>-472.01229999999998</v>
      </c>
      <c r="K50">
        <v>1.1105100000000001</v>
      </c>
      <c r="L50">
        <v>367.22539999999998</v>
      </c>
      <c r="M50">
        <v>0.99992049999999999</v>
      </c>
      <c r="N50">
        <v>0</v>
      </c>
      <c r="O50">
        <v>5.6505080000000005E-4</v>
      </c>
      <c r="P50">
        <v>0.99824970000000002</v>
      </c>
      <c r="Q50">
        <v>-8.4389909999999999E-3</v>
      </c>
      <c r="R50">
        <v>5.8537640000000002E-2</v>
      </c>
      <c r="S50">
        <v>3.0285950000000001</v>
      </c>
      <c r="T50">
        <v>-0.26361659999999998</v>
      </c>
      <c r="U50">
        <v>-0.43316650000000001</v>
      </c>
      <c r="V50">
        <v>-5.7973570000000002E-2</v>
      </c>
      <c r="W50">
        <v>4.1397129999999997E-3</v>
      </c>
      <c r="X50">
        <v>0.99830960000000002</v>
      </c>
      <c r="Y50">
        <v>0.141617299999999</v>
      </c>
      <c r="Z50">
        <v>-6.1696119999999997E-3</v>
      </c>
      <c r="AA50">
        <v>0.98990230000000001</v>
      </c>
      <c r="AB50">
        <v>10</v>
      </c>
      <c r="AC50">
        <v>0.67320000000000801</v>
      </c>
      <c r="AD50">
        <v>-6.7307000000000006E-2</v>
      </c>
      <c r="AE50">
        <v>-0.11129999999997101</v>
      </c>
      <c r="AF50">
        <v>0.110604206404224</v>
      </c>
      <c r="AG50">
        <v>-6.7307000000000006E-2</v>
      </c>
      <c r="AH50">
        <v>0.66665037304363595</v>
      </c>
      <c r="AI50">
        <v>95.687982892822703</v>
      </c>
      <c r="AJ50">
        <v>80.579844716446402</v>
      </c>
      <c r="AK50">
        <v>0.67910694489345902</v>
      </c>
      <c r="AL50">
        <v>89.7628112545991</v>
      </c>
      <c r="AM50">
        <v>93.323532635164497</v>
      </c>
      <c r="AN50">
        <v>1.00000006474721</v>
      </c>
    </row>
    <row r="51" spans="1:40" x14ac:dyDescent="0.3">
      <c r="A51" t="str">
        <f>"20200111160404659"</f>
        <v>20200111160404659</v>
      </c>
      <c r="B51" t="str">
        <f>"1578729844650909"</f>
        <v>1578729844650909</v>
      </c>
      <c r="C51" t="s">
        <v>40</v>
      </c>
      <c r="D51">
        <v>5.1939710000000003</v>
      </c>
      <c r="E51">
        <v>0.58653379999999999</v>
      </c>
      <c r="F51" t="s">
        <v>42</v>
      </c>
      <c r="G51">
        <v>-471.24860000000001</v>
      </c>
      <c r="H51">
        <v>1.044403</v>
      </c>
      <c r="I51">
        <v>367.1155</v>
      </c>
      <c r="J51">
        <v>-471.91050000000001</v>
      </c>
      <c r="K51">
        <v>1.110533</v>
      </c>
      <c r="L51">
        <v>367.22550000000001</v>
      </c>
      <c r="M51">
        <v>0.99991940000000001</v>
      </c>
      <c r="N51">
        <v>0</v>
      </c>
      <c r="O51">
        <v>5.6769069999999995E-4</v>
      </c>
      <c r="P51">
        <v>0.99825039999999998</v>
      </c>
      <c r="Q51">
        <v>-8.0041999999999995E-3</v>
      </c>
      <c r="R51">
        <v>5.8583950000000003E-2</v>
      </c>
      <c r="S51">
        <v>3.0285950000000001</v>
      </c>
      <c r="T51">
        <v>-0.26213969999999998</v>
      </c>
      <c r="U51">
        <v>-0.4363708</v>
      </c>
      <c r="V51">
        <v>-5.8016749999999999E-2</v>
      </c>
      <c r="W51">
        <v>4.6651840000000002E-3</v>
      </c>
      <c r="X51">
        <v>0.99830469999999905</v>
      </c>
      <c r="Y51">
        <v>0.1426482</v>
      </c>
      <c r="Z51">
        <v>-6.1792510000000002E-3</v>
      </c>
      <c r="AA51">
        <v>0.98975409999999997</v>
      </c>
      <c r="AB51">
        <v>10</v>
      </c>
      <c r="AC51">
        <v>0.66190000000000204</v>
      </c>
      <c r="AD51">
        <v>-6.6129999999999994E-2</v>
      </c>
      <c r="AE51">
        <v>-0.110000000000013</v>
      </c>
      <c r="AF51">
        <v>0.10931393479597799</v>
      </c>
      <c r="AG51">
        <v>-6.6129999999999994E-2</v>
      </c>
      <c r="AH51">
        <v>0.65547046239693296</v>
      </c>
      <c r="AI51">
        <v>95.6830763849281</v>
      </c>
      <c r="AJ51">
        <v>80.531821596240505</v>
      </c>
      <c r="AK51">
        <v>0.66780554079419596</v>
      </c>
      <c r="AL51">
        <v>89.732703674067693</v>
      </c>
      <c r="AM51">
        <v>93.326018809081603</v>
      </c>
      <c r="AN51">
        <v>0.99999999063220302</v>
      </c>
    </row>
    <row r="52" spans="1:40" x14ac:dyDescent="0.3">
      <c r="A52" t="str">
        <f>"20200111160404682"</f>
        <v>20200111160404682</v>
      </c>
      <c r="B52" t="str">
        <f>"1578729844670428"</f>
        <v>1578729844670428</v>
      </c>
      <c r="C52" t="s">
        <v>40</v>
      </c>
      <c r="D52">
        <v>5.0832940000000004</v>
      </c>
      <c r="E52">
        <v>0.58478569999999996</v>
      </c>
      <c r="F52" t="s">
        <v>41</v>
      </c>
      <c r="G52">
        <v>-458.30329999999998</v>
      </c>
      <c r="H52" s="1">
        <v>-1.7955359999999999E-6</v>
      </c>
      <c r="I52">
        <v>364.98570000000001</v>
      </c>
      <c r="J52">
        <v>-471.8116</v>
      </c>
      <c r="K52">
        <v>1.1105529999999999</v>
      </c>
      <c r="L52">
        <v>367.22559999999999</v>
      </c>
      <c r="M52">
        <v>0.99991850000000004</v>
      </c>
      <c r="N52">
        <v>0</v>
      </c>
      <c r="O52">
        <v>5.6959179999999999E-4</v>
      </c>
      <c r="P52">
        <v>0.9982375</v>
      </c>
      <c r="Q52">
        <v>-8.3269609999999904E-3</v>
      </c>
      <c r="R52">
        <v>5.8759800000000001E-2</v>
      </c>
      <c r="S52">
        <v>3.032562</v>
      </c>
      <c r="T52">
        <v>-0.2474971</v>
      </c>
      <c r="U52">
        <v>-0.49914550000000002</v>
      </c>
      <c r="V52">
        <v>-5.8191050000000001E-2</v>
      </c>
      <c r="W52">
        <v>4.4186609999999999E-3</v>
      </c>
      <c r="X52">
        <v>0.99829570000000001</v>
      </c>
      <c r="Y52">
        <v>0.16244439999999999</v>
      </c>
      <c r="Z52">
        <v>-6.6198979999999999E-3</v>
      </c>
      <c r="AA52">
        <v>0.98669549999999995</v>
      </c>
      <c r="AB52">
        <v>10</v>
      </c>
      <c r="AC52">
        <v>13.5083</v>
      </c>
      <c r="AD52">
        <v>-1.110554795536</v>
      </c>
      <c r="AE52">
        <v>-2.2398999999999698</v>
      </c>
      <c r="AF52">
        <v>2.23290625477205</v>
      </c>
      <c r="AG52">
        <v>-1.110554795536</v>
      </c>
      <c r="AH52">
        <v>13.4187523179589</v>
      </c>
      <c r="AI52">
        <v>94.667211030572702</v>
      </c>
      <c r="AJ52">
        <v>80.552436886075398</v>
      </c>
      <c r="AK52">
        <v>13.6485206548994</v>
      </c>
      <c r="AL52">
        <v>89.746828553234195</v>
      </c>
      <c r="AM52">
        <v>93.336018656556107</v>
      </c>
      <c r="AN52">
        <v>1.0000000137518099</v>
      </c>
    </row>
    <row r="53" spans="1:40" x14ac:dyDescent="0.3">
      <c r="A53" t="str">
        <f>"20200111160404704"</f>
        <v>20200111160404704</v>
      </c>
      <c r="B53" t="str">
        <f>"1578729844700684"</f>
        <v>1578729844700684</v>
      </c>
      <c r="C53" t="s">
        <v>40</v>
      </c>
      <c r="D53">
        <v>5.0886239999999896</v>
      </c>
      <c r="E53">
        <v>0.58430680000000002</v>
      </c>
      <c r="F53" t="s">
        <v>41</v>
      </c>
      <c r="G53">
        <v>-458.47019999999998</v>
      </c>
      <c r="H53" s="1">
        <v>-1.710147E-6</v>
      </c>
      <c r="I53">
        <v>365.09309999999999</v>
      </c>
      <c r="J53">
        <v>-471.7133</v>
      </c>
      <c r="K53">
        <v>1.110563</v>
      </c>
      <c r="L53">
        <v>367.22559999999999</v>
      </c>
      <c r="M53">
        <v>0.99991759999999996</v>
      </c>
      <c r="N53">
        <v>0</v>
      </c>
      <c r="O53">
        <v>5.7203590000000002E-4</v>
      </c>
      <c r="P53">
        <v>0.998228</v>
      </c>
      <c r="Q53">
        <v>-8.7274980000000002E-3</v>
      </c>
      <c r="R53">
        <v>5.8864020000000003E-2</v>
      </c>
      <c r="S53">
        <v>3.0317080000000001</v>
      </c>
      <c r="T53">
        <v>-0.25236350000000002</v>
      </c>
      <c r="U53">
        <v>-0.48455809999999999</v>
      </c>
      <c r="V53">
        <v>-5.8292999999999998E-2</v>
      </c>
      <c r="W53">
        <v>4.0824930000000004E-3</v>
      </c>
      <c r="X53">
        <v>0.99829120000000005</v>
      </c>
      <c r="Y53">
        <v>0.15785750000000001</v>
      </c>
      <c r="Z53">
        <v>-6.5648859999999998E-3</v>
      </c>
      <c r="AA53">
        <v>0.98744010000000004</v>
      </c>
      <c r="AB53">
        <v>10</v>
      </c>
      <c r="AC53">
        <v>13.2431</v>
      </c>
      <c r="AD53">
        <v>-1.110564710147</v>
      </c>
      <c r="AE53">
        <v>-2.1324999999999901</v>
      </c>
      <c r="AF53">
        <v>2.12550601829565</v>
      </c>
      <c r="AG53">
        <v>-1.110564710147</v>
      </c>
      <c r="AH53">
        <v>13.1517262436415</v>
      </c>
      <c r="AI53">
        <v>94.765208238205005</v>
      </c>
      <c r="AJ53">
        <v>80.819566288177199</v>
      </c>
      <c r="AK53">
        <v>13.368583806706001</v>
      </c>
      <c r="AL53">
        <v>89.766089738538199</v>
      </c>
      <c r="AM53">
        <v>93.341865114946998</v>
      </c>
      <c r="AN53">
        <v>1.0000000302977601</v>
      </c>
    </row>
    <row r="54" spans="1:40" x14ac:dyDescent="0.3">
      <c r="A54" t="str">
        <f>"20200111160404727"</f>
        <v>20200111160404727</v>
      </c>
      <c r="B54" t="str">
        <f>"1578729844721181"</f>
        <v>1578729844721181</v>
      </c>
      <c r="C54" t="s">
        <v>40</v>
      </c>
      <c r="D54">
        <v>5.0562120000000004</v>
      </c>
      <c r="E54">
        <v>0.58422890000000005</v>
      </c>
      <c r="F54" t="s">
        <v>42</v>
      </c>
      <c r="G54">
        <v>-470.89170000000001</v>
      </c>
      <c r="H54">
        <v>1.042251</v>
      </c>
      <c r="I54">
        <v>367.09530000000001</v>
      </c>
      <c r="J54">
        <v>-471.61360000000002</v>
      </c>
      <c r="K54">
        <v>1.110579</v>
      </c>
      <c r="L54">
        <v>367.22570000000002</v>
      </c>
      <c r="M54">
        <v>0.99991699999999994</v>
      </c>
      <c r="N54">
        <v>0</v>
      </c>
      <c r="O54">
        <v>5.7435720000000002E-4</v>
      </c>
      <c r="P54">
        <v>0.99822789999999995</v>
      </c>
      <c r="Q54">
        <v>-9.6867229999999995E-3</v>
      </c>
      <c r="R54">
        <v>5.8715690000000001E-2</v>
      </c>
      <c r="S54">
        <v>3.0314939999999999</v>
      </c>
      <c r="T54">
        <v>-0.25208130000000001</v>
      </c>
      <c r="U54">
        <v>-0.48074339999999999</v>
      </c>
      <c r="V54">
        <v>-5.8142289999999999E-2</v>
      </c>
      <c r="W54">
        <v>3.1793699999999999E-3</v>
      </c>
      <c r="X54">
        <v>0.99830319999999995</v>
      </c>
      <c r="Y54">
        <v>0.15666369999999999</v>
      </c>
      <c r="Z54">
        <v>-6.5096119999999997E-3</v>
      </c>
      <c r="AA54">
        <v>0.98763049999999997</v>
      </c>
      <c r="AB54">
        <v>10</v>
      </c>
      <c r="AC54">
        <v>0.72190000000000498</v>
      </c>
      <c r="AD54">
        <v>-6.8327999999999903E-2</v>
      </c>
      <c r="AE54">
        <v>-0.13040000000000801</v>
      </c>
      <c r="AF54">
        <v>0.129689508088942</v>
      </c>
      <c r="AG54">
        <v>-6.8327999999999903E-2</v>
      </c>
      <c r="AH54">
        <v>0.71561658130501804</v>
      </c>
      <c r="AI54">
        <v>95.367236706598902</v>
      </c>
      <c r="AJ54">
        <v>79.727909444858795</v>
      </c>
      <c r="AK54">
        <v>0.73047599243988404</v>
      </c>
      <c r="AL54">
        <v>89.817835202702895</v>
      </c>
      <c r="AM54">
        <v>93.333204628181804</v>
      </c>
      <c r="AN54">
        <v>0.99999995670513897</v>
      </c>
    </row>
    <row r="55" spans="1:40" x14ac:dyDescent="0.3">
      <c r="A55" t="str">
        <f>"20200111160404749"</f>
        <v>20200111160404749</v>
      </c>
      <c r="B55" t="str">
        <f>"1578729844740701"</f>
        <v>1578729844740701</v>
      </c>
      <c r="C55" t="s">
        <v>40</v>
      </c>
      <c r="D55">
        <v>5.0683930000000004</v>
      </c>
      <c r="E55">
        <v>0.58415600000000001</v>
      </c>
      <c r="F55" t="s">
        <v>42</v>
      </c>
      <c r="G55">
        <v>-470.80290000000002</v>
      </c>
      <c r="H55">
        <v>1.042907</v>
      </c>
      <c r="I55">
        <v>367.0967</v>
      </c>
      <c r="J55">
        <v>-471.51330000000002</v>
      </c>
      <c r="K55">
        <v>1.110598</v>
      </c>
      <c r="L55">
        <v>367.22579999999999</v>
      </c>
      <c r="M55">
        <v>0.99991629999999998</v>
      </c>
      <c r="N55">
        <v>0</v>
      </c>
      <c r="O55">
        <v>5.7672470000000005E-4</v>
      </c>
      <c r="P55">
        <v>0.99824740000000001</v>
      </c>
      <c r="Q55">
        <v>-9.8904019999999995E-3</v>
      </c>
      <c r="R55">
        <v>5.8350470000000002E-2</v>
      </c>
      <c r="S55">
        <v>3.0311279999999998</v>
      </c>
      <c r="T55">
        <v>-0.25336589999999998</v>
      </c>
      <c r="U55">
        <v>-0.48040769999999999</v>
      </c>
      <c r="V55">
        <v>-5.7774819999999998E-2</v>
      </c>
      <c r="W55">
        <v>3.0243990000000001E-3</v>
      </c>
      <c r="X55">
        <v>0.99832500000000002</v>
      </c>
      <c r="Y55">
        <v>0.1565725</v>
      </c>
      <c r="Z55">
        <v>-6.5399219999999897E-3</v>
      </c>
      <c r="AA55">
        <v>0.98764479999999999</v>
      </c>
      <c r="AB55">
        <v>10</v>
      </c>
      <c r="AC55">
        <v>0.71039999999999204</v>
      </c>
      <c r="AD55">
        <v>-6.7690999999999904E-2</v>
      </c>
      <c r="AE55">
        <v>-0.129099999999994</v>
      </c>
      <c r="AF55">
        <v>0.12838135982020399</v>
      </c>
      <c r="AG55">
        <v>-6.7690999999999904E-2</v>
      </c>
      <c r="AH55">
        <v>0.70413668422270204</v>
      </c>
      <c r="AI55">
        <v>95.402635808983902</v>
      </c>
      <c r="AJ55">
        <v>79.6670751710746</v>
      </c>
      <c r="AK55">
        <v>0.71893832496148502</v>
      </c>
      <c r="AL55">
        <v>89.826714427376402</v>
      </c>
      <c r="AM55">
        <v>93.3121130451228</v>
      </c>
      <c r="AN55">
        <v>0.99999994122017</v>
      </c>
    </row>
    <row r="56" spans="1:40" x14ac:dyDescent="0.3">
      <c r="A56" t="str">
        <f>"20200111160404770"</f>
        <v>20200111160404770</v>
      </c>
      <c r="B56" t="str">
        <f>"1578729844760220"</f>
        <v>1578729844760220</v>
      </c>
      <c r="C56" t="s">
        <v>40</v>
      </c>
      <c r="D56">
        <v>5.0413579999999998</v>
      </c>
      <c r="E56">
        <v>0.58367690000000005</v>
      </c>
      <c r="F56" t="s">
        <v>42</v>
      </c>
      <c r="G56">
        <v>-470.71409999999997</v>
      </c>
      <c r="H56">
        <v>1.0439080000000001</v>
      </c>
      <c r="I56">
        <v>367.09879999999998</v>
      </c>
      <c r="J56">
        <v>-471.41879999999998</v>
      </c>
      <c r="K56">
        <v>1.110625</v>
      </c>
      <c r="L56">
        <v>367.22590000000002</v>
      </c>
      <c r="M56">
        <v>0.99991569999999996</v>
      </c>
      <c r="N56">
        <v>0</v>
      </c>
      <c r="O56">
        <v>5.7915089999999896E-4</v>
      </c>
      <c r="P56">
        <v>0.99825739999999996</v>
      </c>
      <c r="Q56">
        <v>-8.9907119999999997E-3</v>
      </c>
      <c r="R56">
        <v>5.8322069999999997E-2</v>
      </c>
      <c r="S56">
        <v>3.0308839999999999</v>
      </c>
      <c r="T56">
        <v>-0.25292579999999998</v>
      </c>
      <c r="U56">
        <v>-0.48114010000000001</v>
      </c>
      <c r="V56">
        <v>-5.774369E-2</v>
      </c>
      <c r="W56">
        <v>3.9632859999999999E-3</v>
      </c>
      <c r="X56">
        <v>0.99832359999999998</v>
      </c>
      <c r="Y56">
        <v>0.15682099999999999</v>
      </c>
      <c r="Z56">
        <v>-6.5394839999999999E-3</v>
      </c>
      <c r="AA56">
        <v>0.98760539999999997</v>
      </c>
      <c r="AB56">
        <v>10</v>
      </c>
      <c r="AC56">
        <v>0.70470000000000199</v>
      </c>
      <c r="AD56">
        <v>-6.6716999999999901E-2</v>
      </c>
      <c r="AE56">
        <v>-0.12710000000004101</v>
      </c>
      <c r="AF56">
        <v>0.126410788594467</v>
      </c>
      <c r="AG56">
        <v>-6.6716999999999901E-2</v>
      </c>
      <c r="AH56">
        <v>0.69856215790159504</v>
      </c>
      <c r="AI56">
        <v>95.368878809521405</v>
      </c>
      <c r="AJ56">
        <v>79.742838427872499</v>
      </c>
      <c r="AK56">
        <v>0.71303571720791603</v>
      </c>
      <c r="AL56">
        <v>89.772919850580607</v>
      </c>
      <c r="AM56">
        <v>93.310337027290899</v>
      </c>
      <c r="AN56">
        <v>1.00000002584384</v>
      </c>
    </row>
    <row r="57" spans="1:40" x14ac:dyDescent="0.3">
      <c r="A57" t="str">
        <f>"20200111160404792"</f>
        <v>20200111160404792</v>
      </c>
      <c r="B57" t="str">
        <f>"1578729844780716"</f>
        <v>1578729844780716</v>
      </c>
      <c r="C57" t="s">
        <v>40</v>
      </c>
      <c r="D57">
        <v>5.0974240000000002</v>
      </c>
      <c r="E57">
        <v>0.58330950000000004</v>
      </c>
      <c r="F57" t="s">
        <v>42</v>
      </c>
      <c r="G57">
        <v>-470.62290000000002</v>
      </c>
      <c r="H57">
        <v>1.045148</v>
      </c>
      <c r="I57">
        <v>367.09989999999999</v>
      </c>
      <c r="J57">
        <v>-471.32229999999998</v>
      </c>
      <c r="K57">
        <v>1.1106529999999999</v>
      </c>
      <c r="L57">
        <v>367.22590000000002</v>
      </c>
      <c r="M57">
        <v>0.99991529999999995</v>
      </c>
      <c r="N57">
        <v>0</v>
      </c>
      <c r="O57">
        <v>5.8166800000000003E-4</v>
      </c>
      <c r="P57">
        <v>0.99829109999999999</v>
      </c>
      <c r="Q57">
        <v>-7.4107009999999996E-3</v>
      </c>
      <c r="R57">
        <v>5.796722E-2</v>
      </c>
      <c r="S57">
        <v>3.0308229999999998</v>
      </c>
      <c r="T57">
        <v>-0.2496691</v>
      </c>
      <c r="U57">
        <v>-0.47747800000000001</v>
      </c>
      <c r="V57">
        <v>-5.738621E-2</v>
      </c>
      <c r="W57">
        <v>5.5778379999999999E-3</v>
      </c>
      <c r="X57">
        <v>0.99833649999999996</v>
      </c>
      <c r="Y57">
        <v>0.1556795</v>
      </c>
      <c r="Z57">
        <v>-6.4098480000000001E-3</v>
      </c>
      <c r="AA57">
        <v>0.98778679999999996</v>
      </c>
      <c r="AB57">
        <v>10</v>
      </c>
      <c r="AC57">
        <v>0.69939999999996805</v>
      </c>
      <c r="AD57">
        <v>-6.5505000000000105E-2</v>
      </c>
      <c r="AE57">
        <v>-0.126000000000033</v>
      </c>
      <c r="AF57">
        <v>0.12534189808906199</v>
      </c>
      <c r="AG57">
        <v>-6.5505000000000105E-2</v>
      </c>
      <c r="AH57">
        <v>0.69343500209740006</v>
      </c>
      <c r="AI57">
        <v>95.310846569615904</v>
      </c>
      <c r="AJ57">
        <v>79.754126727289503</v>
      </c>
      <c r="AK57">
        <v>0.707710109137485</v>
      </c>
      <c r="AL57">
        <v>89.680411775636998</v>
      </c>
      <c r="AM57">
        <v>93.289846109936093</v>
      </c>
      <c r="AN57">
        <v>1.0000000283035799</v>
      </c>
    </row>
    <row r="58" spans="1:40" x14ac:dyDescent="0.3">
      <c r="A58" t="str">
        <f>"20200111160404816"</f>
        <v>20200111160404816</v>
      </c>
      <c r="B58" t="str">
        <f>"1578729844810973"</f>
        <v>1578729844810973</v>
      </c>
      <c r="C58" t="s">
        <v>40</v>
      </c>
      <c r="D58">
        <v>5.0886829999999996</v>
      </c>
      <c r="E58">
        <v>0.58352009999999999</v>
      </c>
      <c r="F58" t="s">
        <v>41</v>
      </c>
      <c r="G58">
        <v>-457.65050000000002</v>
      </c>
      <c r="H58" s="1">
        <v>-1.9920600000000001E-6</v>
      </c>
      <c r="I58">
        <v>365.08210000000003</v>
      </c>
      <c r="J58">
        <v>-471.22109999999998</v>
      </c>
      <c r="K58">
        <v>1.1106750000000001</v>
      </c>
      <c r="L58">
        <v>367.226</v>
      </c>
      <c r="M58">
        <v>0.99991490000000005</v>
      </c>
      <c r="N58">
        <v>0</v>
      </c>
      <c r="O58">
        <v>5.8415050000000003E-4</v>
      </c>
      <c r="P58">
        <v>0.99831709999999996</v>
      </c>
      <c r="Q58">
        <v>-7.0962119999999898E-3</v>
      </c>
      <c r="R58">
        <v>5.7558140000000001E-2</v>
      </c>
      <c r="S58">
        <v>3.030945</v>
      </c>
      <c r="T58">
        <v>-0.24622230000000001</v>
      </c>
      <c r="U58">
        <v>-0.47525020000000001</v>
      </c>
      <c r="V58">
        <v>-5.6974799999999999E-2</v>
      </c>
      <c r="W58">
        <v>5.9235390000000002E-3</v>
      </c>
      <c r="X58">
        <v>0.99835810000000003</v>
      </c>
      <c r="Y58">
        <v>0.1549836</v>
      </c>
      <c r="Z58">
        <v>-6.2938999999999903E-3</v>
      </c>
      <c r="AA58">
        <v>0.98789700000000003</v>
      </c>
      <c r="AB58">
        <v>10</v>
      </c>
      <c r="AC58">
        <v>13.570599999999899</v>
      </c>
      <c r="AD58">
        <v>-1.1106769920599999</v>
      </c>
      <c r="AE58">
        <v>-2.1438999999999702</v>
      </c>
      <c r="AF58">
        <v>2.1378558634215299</v>
      </c>
      <c r="AG58">
        <v>-1.1106769920599999</v>
      </c>
      <c r="AH58">
        <v>13.481240087540399</v>
      </c>
      <c r="AI58">
        <v>94.651913125491603</v>
      </c>
      <c r="AJ58">
        <v>80.989066426462998</v>
      </c>
      <c r="AK58">
        <v>13.694811622339399</v>
      </c>
      <c r="AL58">
        <v>89.660604249698693</v>
      </c>
      <c r="AM58">
        <v>93.2662414648713</v>
      </c>
      <c r="AN58">
        <v>1.00000005599246</v>
      </c>
    </row>
    <row r="59" spans="1:40" x14ac:dyDescent="0.3">
      <c r="A59" t="str">
        <f>"20200111160404838"</f>
        <v>20200111160404838</v>
      </c>
      <c r="B59" t="str">
        <f>"1578729844830492"</f>
        <v>1578729844830492</v>
      </c>
      <c r="C59" t="s">
        <v>40</v>
      </c>
      <c r="D59">
        <v>5.053401</v>
      </c>
      <c r="E59">
        <v>0.58340479999999995</v>
      </c>
      <c r="F59" t="s">
        <v>41</v>
      </c>
      <c r="G59">
        <v>-457.48970000000003</v>
      </c>
      <c r="H59" s="1">
        <v>-2.0526079999999998E-6</v>
      </c>
      <c r="I59">
        <v>365.06020000000001</v>
      </c>
      <c r="J59">
        <v>-471.1216</v>
      </c>
      <c r="K59">
        <v>1.1106799999999999</v>
      </c>
      <c r="L59">
        <v>367.226</v>
      </c>
      <c r="M59">
        <v>0.99991450000000004</v>
      </c>
      <c r="N59">
        <v>0</v>
      </c>
      <c r="O59">
        <v>5.8666670000000003E-4</v>
      </c>
      <c r="P59">
        <v>0.99833760000000005</v>
      </c>
      <c r="Q59">
        <v>-7.4514189999999999E-3</v>
      </c>
      <c r="R59">
        <v>5.7154820000000002E-2</v>
      </c>
      <c r="S59">
        <v>3.030853</v>
      </c>
      <c r="T59">
        <v>-0.24515149999999999</v>
      </c>
      <c r="U59">
        <v>-0.47802729999999999</v>
      </c>
      <c r="V59">
        <v>-5.6569300000000003E-2</v>
      </c>
      <c r="W59">
        <v>5.5935730000000001E-3</v>
      </c>
      <c r="X59">
        <v>0.99838300000000002</v>
      </c>
      <c r="Y59">
        <v>0.1558755</v>
      </c>
      <c r="Z59">
        <v>-6.3023559999999899E-3</v>
      </c>
      <c r="AA59">
        <v>0.98775659999999998</v>
      </c>
      <c r="AB59">
        <v>10</v>
      </c>
      <c r="AC59">
        <v>13.6318999999999</v>
      </c>
      <c r="AD59">
        <v>-1.1106820526079999</v>
      </c>
      <c r="AE59">
        <v>-2.16579999999998</v>
      </c>
      <c r="AF59">
        <v>2.15981288502164</v>
      </c>
      <c r="AG59">
        <v>-1.1106820526079999</v>
      </c>
      <c r="AH59">
        <v>13.5429363168912</v>
      </c>
      <c r="AI59">
        <v>94.630191470167603</v>
      </c>
      <c r="AJ59">
        <v>80.938835786623699</v>
      </c>
      <c r="AK59">
        <v>13.758979991397</v>
      </c>
      <c r="AL59">
        <v>89.679510201585401</v>
      </c>
      <c r="AM59">
        <v>93.242964117309299</v>
      </c>
      <c r="AN59">
        <v>0.99999999422519803</v>
      </c>
    </row>
    <row r="60" spans="1:40" x14ac:dyDescent="0.3">
      <c r="A60" t="str">
        <f>"20200111160404861"</f>
        <v>20200111160404861</v>
      </c>
      <c r="B60" t="str">
        <f>"1578729844850988"</f>
        <v>1578729844850988</v>
      </c>
      <c r="C60" t="s">
        <v>40</v>
      </c>
      <c r="D60">
        <v>5.1836960000000003</v>
      </c>
      <c r="E60">
        <v>0.54974469999999998</v>
      </c>
      <c r="F60" t="s">
        <v>41</v>
      </c>
      <c r="G60">
        <v>-457.46960000000001</v>
      </c>
      <c r="H60" s="1">
        <v>-2.0568739999999999E-6</v>
      </c>
      <c r="I60">
        <v>365.06979999999999</v>
      </c>
      <c r="J60">
        <v>-471.01949999999999</v>
      </c>
      <c r="K60">
        <v>1.1106860000000001</v>
      </c>
      <c r="L60">
        <v>367.22609999999997</v>
      </c>
      <c r="M60">
        <v>0.99991430000000003</v>
      </c>
      <c r="N60">
        <v>0</v>
      </c>
      <c r="O60">
        <v>5.8920399999999996E-4</v>
      </c>
      <c r="P60">
        <v>0.99838550000000004</v>
      </c>
      <c r="Q60">
        <v>-8.893481E-3</v>
      </c>
      <c r="R60">
        <v>5.6102680000000002E-2</v>
      </c>
      <c r="S60">
        <v>3.030548</v>
      </c>
      <c r="T60">
        <v>-0.24655450000000001</v>
      </c>
      <c r="U60">
        <v>-0.4786377</v>
      </c>
      <c r="V60">
        <v>-5.5514210000000001E-2</v>
      </c>
      <c r="W60">
        <v>4.1749999999999999E-3</v>
      </c>
      <c r="X60">
        <v>0.99844909999999998</v>
      </c>
      <c r="Y60">
        <v>0.15608089999999999</v>
      </c>
      <c r="Z60">
        <v>-6.3473339999999996E-3</v>
      </c>
      <c r="AA60">
        <v>0.98772389999999999</v>
      </c>
      <c r="AB60">
        <v>10</v>
      </c>
      <c r="AC60">
        <v>13.5498999999999</v>
      </c>
      <c r="AD60">
        <v>-1.1106880568740001</v>
      </c>
      <c r="AE60">
        <v>-2.1562999999999799</v>
      </c>
      <c r="AF60">
        <v>2.1501934092923101</v>
      </c>
      <c r="AG60">
        <v>-1.1106880568740001</v>
      </c>
      <c r="AH60">
        <v>13.460418803692599</v>
      </c>
      <c r="AI60">
        <v>94.658286973532896</v>
      </c>
      <c r="AJ60">
        <v>80.924140356138295</v>
      </c>
      <c r="AK60">
        <v>13.6762507299277</v>
      </c>
      <c r="AL60">
        <v>89.760789409262898</v>
      </c>
      <c r="AM60">
        <v>93.182393931158501</v>
      </c>
      <c r="AN60">
        <v>0.99999993171386403</v>
      </c>
    </row>
    <row r="61" spans="1:40" x14ac:dyDescent="0.3">
      <c r="A61" t="str">
        <f>"20200111160404885"</f>
        <v>20200111160404885</v>
      </c>
      <c r="B61" t="str">
        <f>"1578729844880268"</f>
        <v>1578729844880268</v>
      </c>
      <c r="C61" t="s">
        <v>40</v>
      </c>
      <c r="D61">
        <v>6.3783070000000004</v>
      </c>
      <c r="E61">
        <v>0.53687339999999995</v>
      </c>
      <c r="F61" t="s">
        <v>42</v>
      </c>
      <c r="G61">
        <v>-470.28570000000002</v>
      </c>
      <c r="H61">
        <v>1.0324199999999999</v>
      </c>
      <c r="I61">
        <v>367.17489999999998</v>
      </c>
      <c r="J61">
        <v>-470.92129999999997</v>
      </c>
      <c r="K61">
        <v>1.1106819999999999</v>
      </c>
      <c r="L61">
        <v>367.22620000000001</v>
      </c>
      <c r="M61">
        <v>0.99991410000000003</v>
      </c>
      <c r="N61">
        <v>0</v>
      </c>
      <c r="O61">
        <v>5.9164919999999896E-4</v>
      </c>
      <c r="P61">
        <v>0.99843110000000002</v>
      </c>
      <c r="Q61">
        <v>-1.024718E-2</v>
      </c>
      <c r="R61">
        <v>5.5050139999999997E-2</v>
      </c>
      <c r="S61">
        <v>3.0137019999999999</v>
      </c>
      <c r="T61">
        <v>-0.321839599999999</v>
      </c>
      <c r="U61">
        <v>-0.20809939999999999</v>
      </c>
      <c r="V61">
        <v>-5.4459399999999998E-2</v>
      </c>
      <c r="W61">
        <v>2.8393860000000002E-3</v>
      </c>
      <c r="X61">
        <v>0.99851199999999996</v>
      </c>
      <c r="Y61">
        <v>6.908301E-2</v>
      </c>
      <c r="Z61">
        <v>-3.7369E-3</v>
      </c>
      <c r="AA61">
        <v>0.99760389999999999</v>
      </c>
      <c r="AB61">
        <v>10</v>
      </c>
      <c r="AC61">
        <v>0.63559999999995398</v>
      </c>
      <c r="AD61">
        <v>-7.8261999999999804E-2</v>
      </c>
      <c r="AE61">
        <v>-5.1300000000026102E-2</v>
      </c>
      <c r="AF61">
        <v>5.09092250892038E-2</v>
      </c>
      <c r="AG61">
        <v>-7.8261999999999804E-2</v>
      </c>
      <c r="AH61">
        <v>0.62613796008516198</v>
      </c>
      <c r="AI61">
        <v>97.101350126866194</v>
      </c>
      <c r="AJ61">
        <v>85.351692968433298</v>
      </c>
      <c r="AK61">
        <v>0.63306037224169298</v>
      </c>
      <c r="AL61">
        <v>89.837314955531397</v>
      </c>
      <c r="AM61">
        <v>93.121850648494004</v>
      </c>
      <c r="AN61">
        <v>1.0000000512525999</v>
      </c>
    </row>
    <row r="62" spans="1:40" x14ac:dyDescent="0.3">
      <c r="A62" t="str">
        <f>"20200111160404905"</f>
        <v>20200111160404905</v>
      </c>
      <c r="B62" t="str">
        <f>"1578729844900764"</f>
        <v>1578729844900764</v>
      </c>
      <c r="C62" t="s">
        <v>40</v>
      </c>
      <c r="D62">
        <v>5.1263180000000004</v>
      </c>
      <c r="E62">
        <v>0.51467790000000002</v>
      </c>
      <c r="F62" t="s">
        <v>42</v>
      </c>
      <c r="G62">
        <v>-470.12139999999999</v>
      </c>
      <c r="H62">
        <v>1.013128</v>
      </c>
      <c r="I62">
        <v>367.19740000000002</v>
      </c>
      <c r="J62">
        <v>-470.83049999999997</v>
      </c>
      <c r="K62">
        <v>1.110684</v>
      </c>
      <c r="L62">
        <v>367.22629999999998</v>
      </c>
      <c r="M62">
        <v>0.99991390000000002</v>
      </c>
      <c r="N62">
        <v>0</v>
      </c>
      <c r="O62">
        <v>5.9406050000000005E-4</v>
      </c>
      <c r="P62">
        <v>0.9984459</v>
      </c>
      <c r="Q62">
        <v>-1.101104E-2</v>
      </c>
      <c r="R62">
        <v>5.4632979999999998E-2</v>
      </c>
      <c r="S62">
        <v>3.0068049999999999</v>
      </c>
      <c r="T62">
        <v>-0.367033</v>
      </c>
      <c r="U62">
        <v>-0.1060791</v>
      </c>
      <c r="V62">
        <v>-5.4040030000000003E-2</v>
      </c>
      <c r="W62">
        <v>2.0898010000000001E-3</v>
      </c>
      <c r="X62">
        <v>0.9985366</v>
      </c>
      <c r="Y62">
        <v>3.5583280000000002E-2</v>
      </c>
      <c r="Z62">
        <v>-2.2353160000000002E-3</v>
      </c>
      <c r="AA62">
        <v>0.99936420000000004</v>
      </c>
      <c r="AB62">
        <v>10</v>
      </c>
      <c r="AC62">
        <v>0.70909999999997797</v>
      </c>
      <c r="AD62">
        <v>-9.7555999999999907E-2</v>
      </c>
      <c r="AE62">
        <v>-2.88999999999646E-2</v>
      </c>
      <c r="AF62">
        <v>2.8777496892248101E-2</v>
      </c>
      <c r="AG62">
        <v>-9.7555999999999907E-2</v>
      </c>
      <c r="AH62">
        <v>0.69593229760353403</v>
      </c>
      <c r="AI62">
        <v>97.973016220347802</v>
      </c>
      <c r="AJ62">
        <v>87.632111190969596</v>
      </c>
      <c r="AK62">
        <v>0.70332572845810004</v>
      </c>
      <c r="AL62">
        <v>89.880263137538407</v>
      </c>
      <c r="AM62">
        <v>93.097781363419202</v>
      </c>
      <c r="AN62">
        <v>1.00000001682509</v>
      </c>
    </row>
    <row r="63" spans="1:40" x14ac:dyDescent="0.3">
      <c r="A63" t="str">
        <f>"20200111160404929"</f>
        <v>20200111160404929</v>
      </c>
      <c r="B63" t="str">
        <f>"1578729844920284"</f>
        <v>1578729844920284</v>
      </c>
      <c r="C63" t="s">
        <v>40</v>
      </c>
      <c r="D63">
        <v>5.2645429999999998</v>
      </c>
      <c r="E63">
        <v>0.51443399999999995</v>
      </c>
      <c r="F63" t="s">
        <v>41</v>
      </c>
      <c r="G63">
        <v>-458.60820000000001</v>
      </c>
      <c r="H63" s="1">
        <v>-1.0272099999999999E-6</v>
      </c>
      <c r="I63">
        <v>367.48340000000002</v>
      </c>
      <c r="J63">
        <v>-470.73039999999997</v>
      </c>
      <c r="K63">
        <v>1.110687</v>
      </c>
      <c r="L63">
        <v>367.22629999999998</v>
      </c>
      <c r="M63">
        <v>0.99991370000000002</v>
      </c>
      <c r="N63">
        <v>0</v>
      </c>
      <c r="O63">
        <v>5.9654900000000004E-4</v>
      </c>
      <c r="P63">
        <v>0.9984307</v>
      </c>
      <c r="Q63">
        <v>-1.1217990000000001E-2</v>
      </c>
      <c r="R63">
        <v>5.4867739999999998E-2</v>
      </c>
      <c r="S63">
        <v>2.9981990000000001</v>
      </c>
      <c r="T63">
        <v>-0.27245429999999998</v>
      </c>
      <c r="U63">
        <v>6.3110349999999996E-2</v>
      </c>
      <c r="V63">
        <v>-5.4271930000000003E-2</v>
      </c>
      <c r="W63">
        <v>1.8933439999999999E-3</v>
      </c>
      <c r="X63">
        <v>0.99852439999999998</v>
      </c>
      <c r="Y63">
        <v>-2.0366860000000001E-2</v>
      </c>
      <c r="Z63">
        <v>8.6929409999999998E-4</v>
      </c>
      <c r="AA63">
        <v>0.99979220000000002</v>
      </c>
      <c r="AB63">
        <v>10</v>
      </c>
      <c r="AC63">
        <v>12.1221999999999</v>
      </c>
      <c r="AD63">
        <v>-1.1106880272099999</v>
      </c>
      <c r="AE63">
        <v>0.25710000000003602</v>
      </c>
      <c r="AF63">
        <v>-0.24778859234808101</v>
      </c>
      <c r="AG63">
        <v>-1.1106880272099999</v>
      </c>
      <c r="AH63">
        <v>12.0214761748496</v>
      </c>
      <c r="AI63">
        <v>95.277569974809296</v>
      </c>
      <c r="AJ63">
        <v>91.180822574558803</v>
      </c>
      <c r="AK63">
        <v>12.075219107857301</v>
      </c>
      <c r="AL63">
        <v>89.891519315066603</v>
      </c>
      <c r="AM63">
        <v>93.111086637859998</v>
      </c>
      <c r="AN63">
        <v>1.00000000226639</v>
      </c>
    </row>
    <row r="64" spans="1:40" x14ac:dyDescent="0.3">
      <c r="A64" t="str">
        <f>"20200111160404952"</f>
        <v>20200111160404952</v>
      </c>
      <c r="B64" t="str">
        <f>"1578729844940781"</f>
        <v>1578729844940781</v>
      </c>
      <c r="C64" t="s">
        <v>40</v>
      </c>
      <c r="D64">
        <v>5.1102349999999896</v>
      </c>
      <c r="E64">
        <v>0.51595290000000005</v>
      </c>
      <c r="F64" t="s">
        <v>41</v>
      </c>
      <c r="G64">
        <v>-458.75729999999999</v>
      </c>
      <c r="H64" s="1">
        <v>-9.745670000000001E-7</v>
      </c>
      <c r="I64">
        <v>367.49059999999997</v>
      </c>
      <c r="J64">
        <v>-470.6284</v>
      </c>
      <c r="K64">
        <v>1.1106769999999999</v>
      </c>
      <c r="L64">
        <v>367.22640000000001</v>
      </c>
      <c r="M64">
        <v>0.99991379999999996</v>
      </c>
      <c r="N64">
        <v>0</v>
      </c>
      <c r="O64">
        <v>5.9915279999999999E-4</v>
      </c>
      <c r="P64">
        <v>0.99836670000000005</v>
      </c>
      <c r="Q64">
        <v>-1.1150490000000001E-2</v>
      </c>
      <c r="R64">
        <v>5.6031789999999998E-2</v>
      </c>
      <c r="S64">
        <v>2.9979550000000001</v>
      </c>
      <c r="T64">
        <v>-0.27810319999999999</v>
      </c>
      <c r="U64">
        <v>6.6192630000000002E-2</v>
      </c>
      <c r="V64">
        <v>-5.5433650000000001E-2</v>
      </c>
      <c r="W64">
        <v>1.945319E-3</v>
      </c>
      <c r="X64">
        <v>0.99846049999999997</v>
      </c>
      <c r="Y64">
        <v>-2.1385620000000001E-2</v>
      </c>
      <c r="Z64">
        <v>9.342075E-4</v>
      </c>
      <c r="AA64">
        <v>0.99977090000000002</v>
      </c>
      <c r="AB64">
        <v>10</v>
      </c>
      <c r="AC64">
        <v>11.8711</v>
      </c>
      <c r="AD64">
        <v>-1.1106779745669999</v>
      </c>
      <c r="AE64">
        <v>0.26419999999995902</v>
      </c>
      <c r="AF64">
        <v>-0.25485688758798197</v>
      </c>
      <c r="AG64">
        <v>-1.1106779745669999</v>
      </c>
      <c r="AH64">
        <v>11.768290446860201</v>
      </c>
      <c r="AI64">
        <v>95.390284314345806</v>
      </c>
      <c r="AJ64">
        <v>91.240617060596094</v>
      </c>
      <c r="AK64">
        <v>11.8233336093507</v>
      </c>
      <c r="AL64">
        <v>89.8885413636404</v>
      </c>
      <c r="AM64">
        <v>93.177749031912199</v>
      </c>
      <c r="AN64">
        <v>1.0000000219392899</v>
      </c>
    </row>
    <row r="65" spans="1:40" x14ac:dyDescent="0.3">
      <c r="A65" t="str">
        <f>"20200111160404972"</f>
        <v>20200111160404972</v>
      </c>
      <c r="B65" t="str">
        <f>"1578729844971037"</f>
        <v>1578729844971037</v>
      </c>
      <c r="C65" t="s">
        <v>40</v>
      </c>
      <c r="D65">
        <v>5.1692679999999998</v>
      </c>
      <c r="E65">
        <v>0.51726130000000003</v>
      </c>
      <c r="F65" t="s">
        <v>42</v>
      </c>
      <c r="G65">
        <v>-469.8569</v>
      </c>
      <c r="H65">
        <v>1.0226390000000001</v>
      </c>
      <c r="I65">
        <v>367.24220000000003</v>
      </c>
      <c r="J65">
        <v>-470.53710000000001</v>
      </c>
      <c r="K65">
        <v>1.1106590000000001</v>
      </c>
      <c r="L65">
        <v>367.22649999999999</v>
      </c>
      <c r="M65">
        <v>0.99991479999999999</v>
      </c>
      <c r="N65">
        <v>0</v>
      </c>
      <c r="O65">
        <v>6.0134849999999998E-4</v>
      </c>
      <c r="P65">
        <v>0.99827220000000005</v>
      </c>
      <c r="Q65">
        <v>-1.159895E-2</v>
      </c>
      <c r="R65">
        <v>5.7601720000000002E-2</v>
      </c>
      <c r="S65">
        <v>2.99762</v>
      </c>
      <c r="T65">
        <v>-0.34224700000000002</v>
      </c>
      <c r="U65">
        <v>6.1828609999999999E-2</v>
      </c>
      <c r="V65">
        <v>-5.700144E-2</v>
      </c>
      <c r="W65">
        <v>1.415077E-3</v>
      </c>
      <c r="X65">
        <v>0.99837310000000001</v>
      </c>
      <c r="Y65">
        <v>-1.989496E-2</v>
      </c>
      <c r="Z65">
        <v>1.063502E-3</v>
      </c>
      <c r="AA65">
        <v>0.99980150000000001</v>
      </c>
      <c r="AB65">
        <v>10</v>
      </c>
      <c r="AC65">
        <v>0.68020000000001302</v>
      </c>
      <c r="AD65">
        <v>-8.8020000000000195E-2</v>
      </c>
      <c r="AE65">
        <v>1.5700000000038E-2</v>
      </c>
      <c r="AF65">
        <v>-1.50392248994998E-2</v>
      </c>
      <c r="AG65">
        <v>-8.8020000000000195E-2</v>
      </c>
      <c r="AH65">
        <v>0.66901255733355702</v>
      </c>
      <c r="AI65">
        <v>97.493315277900194</v>
      </c>
      <c r="AJ65">
        <v>91.287777039547095</v>
      </c>
      <c r="AK65">
        <v>0.67494555377123899</v>
      </c>
      <c r="AL65">
        <v>89.918922033698493</v>
      </c>
      <c r="AM65">
        <v>93.2677163793348</v>
      </c>
      <c r="AN65">
        <v>1.00000000670429</v>
      </c>
    </row>
    <row r="66" spans="1:40" x14ac:dyDescent="0.3">
      <c r="A66" t="str">
        <f>"20200111160404994"</f>
        <v>20200111160404994</v>
      </c>
      <c r="B66" t="str">
        <f>"1578729844990556"</f>
        <v>1578729844990556</v>
      </c>
      <c r="C66" t="s">
        <v>40</v>
      </c>
      <c r="D66">
        <v>5.1687209999999997</v>
      </c>
      <c r="E66">
        <v>0.51748679999999903</v>
      </c>
      <c r="F66" t="s">
        <v>42</v>
      </c>
      <c r="G66">
        <v>-469.77609999999999</v>
      </c>
      <c r="H66">
        <v>1.011139</v>
      </c>
      <c r="I66">
        <v>367.24110000000002</v>
      </c>
      <c r="J66">
        <v>-470.44810000000001</v>
      </c>
      <c r="K66">
        <v>1.1106259999999999</v>
      </c>
      <c r="L66">
        <v>367.22660000000002</v>
      </c>
      <c r="M66">
        <v>0.9999171</v>
      </c>
      <c r="N66">
        <v>0</v>
      </c>
      <c r="O66">
        <v>6.0338239999999999E-4</v>
      </c>
      <c r="P66">
        <v>0.99813819999999998</v>
      </c>
      <c r="Q66">
        <v>-1.207313E-2</v>
      </c>
      <c r="R66">
        <v>5.978609E-2</v>
      </c>
      <c r="S66">
        <v>2.9972530000000002</v>
      </c>
      <c r="T66">
        <v>-0.39213170000000003</v>
      </c>
      <c r="U66">
        <v>5.8868410000000003E-2</v>
      </c>
      <c r="V66">
        <v>-5.9183609999999998E-2</v>
      </c>
      <c r="W66">
        <v>7.8279160000000001E-4</v>
      </c>
      <c r="X66">
        <v>0.99824679999999999</v>
      </c>
      <c r="Y66">
        <v>-1.8878010000000001E-2</v>
      </c>
      <c r="Z66">
        <v>1.150947E-3</v>
      </c>
      <c r="AA66">
        <v>0.99982110000000002</v>
      </c>
      <c r="AB66">
        <v>10</v>
      </c>
      <c r="AC66">
        <v>0.67200000000002502</v>
      </c>
      <c r="AD66">
        <v>-9.9487000000000103E-2</v>
      </c>
      <c r="AE66">
        <v>1.4499999999998099E-2</v>
      </c>
      <c r="AF66">
        <v>-1.37923358383141E-2</v>
      </c>
      <c r="AG66">
        <v>-9.9487000000000103E-2</v>
      </c>
      <c r="AH66">
        <v>0.65760223464848599</v>
      </c>
      <c r="AI66">
        <v>98.601033895216204</v>
      </c>
      <c r="AJ66">
        <v>91.201526922347199</v>
      </c>
      <c r="AK66">
        <v>0.66522822453016806</v>
      </c>
      <c r="AL66">
        <v>89.955149340190999</v>
      </c>
      <c r="AM66">
        <v>93.392954852604802</v>
      </c>
      <c r="AN66">
        <v>0.99999999308277998</v>
      </c>
    </row>
    <row r="67" spans="1:40" x14ac:dyDescent="0.3">
      <c r="A67" t="str">
        <f>"20200111160405028"</f>
        <v>20200111160405028</v>
      </c>
      <c r="B67" t="str">
        <f>"1578729845020812"</f>
        <v>1578729845020812</v>
      </c>
      <c r="C67" t="s">
        <v>40</v>
      </c>
      <c r="D67">
        <v>5.4043000000000001</v>
      </c>
      <c r="E67">
        <v>0.51803180000000004</v>
      </c>
      <c r="F67" t="s">
        <v>42</v>
      </c>
      <c r="G67">
        <v>-469.69060000000002</v>
      </c>
      <c r="H67">
        <v>1.0088440000000001</v>
      </c>
      <c r="I67">
        <v>367.24250000000001</v>
      </c>
      <c r="J67">
        <v>-470.29849999999999</v>
      </c>
      <c r="K67">
        <v>1.1105609999999999</v>
      </c>
      <c r="L67">
        <v>367.22669999999999</v>
      </c>
      <c r="M67">
        <v>0.99992150000000002</v>
      </c>
      <c r="N67">
        <v>0</v>
      </c>
      <c r="O67">
        <v>6.0736959999999995E-4</v>
      </c>
      <c r="P67">
        <v>0.99804590000000004</v>
      </c>
      <c r="Q67">
        <v>-1.1451680000000001E-2</v>
      </c>
      <c r="R67">
        <v>6.1423819999999997E-2</v>
      </c>
      <c r="S67">
        <v>2.9968569999999999</v>
      </c>
      <c r="T67">
        <v>-0.40280480000000002</v>
      </c>
      <c r="U67">
        <v>6.4117430000000003E-2</v>
      </c>
      <c r="V67">
        <v>-6.081715E-2</v>
      </c>
      <c r="W67">
        <v>1.039807E-3</v>
      </c>
      <c r="X67">
        <v>0.99814840000000005</v>
      </c>
      <c r="Y67">
        <v>-2.0602990000000002E-2</v>
      </c>
      <c r="Z67">
        <v>1.2969940000000001E-3</v>
      </c>
      <c r="AA67">
        <v>0.99978690000000003</v>
      </c>
      <c r="AB67">
        <v>10</v>
      </c>
      <c r="AC67">
        <v>0.60789999999997202</v>
      </c>
      <c r="AD67">
        <v>-0.101717</v>
      </c>
      <c r="AE67">
        <v>1.5800000000012901E-2</v>
      </c>
      <c r="AF67">
        <v>-1.5010764589881201E-2</v>
      </c>
      <c r="AG67">
        <v>-0.101717</v>
      </c>
      <c r="AH67">
        <v>0.59136381859906995</v>
      </c>
      <c r="AI67">
        <v>99.756527109469403</v>
      </c>
      <c r="AJ67">
        <v>91.4540436671641</v>
      </c>
      <c r="AK67">
        <v>0.60023565129925904</v>
      </c>
      <c r="AL67">
        <v>89.940423437709299</v>
      </c>
      <c r="AM67">
        <v>93.486719501421902</v>
      </c>
      <c r="AN67">
        <v>1.00000001767763</v>
      </c>
    </row>
    <row r="68" spans="1:40" x14ac:dyDescent="0.3">
      <c r="A68" t="str">
        <f>"20200111160405050"</f>
        <v>20200111160405050</v>
      </c>
      <c r="B68" t="str">
        <f>"1578729845040332"</f>
        <v>1578729845040332</v>
      </c>
      <c r="C68" t="s">
        <v>40</v>
      </c>
      <c r="D68">
        <v>5.2224469999999998</v>
      </c>
      <c r="E68">
        <v>0.53612979999999999</v>
      </c>
      <c r="F68" t="s">
        <v>42</v>
      </c>
      <c r="G68">
        <v>-469.51979999999998</v>
      </c>
      <c r="H68">
        <v>1.0023569999999999</v>
      </c>
      <c r="I68">
        <v>367.24349999999998</v>
      </c>
      <c r="J68">
        <v>-470.20229999999998</v>
      </c>
      <c r="K68">
        <v>1.110525</v>
      </c>
      <c r="L68">
        <v>367.22680000000003</v>
      </c>
      <c r="M68">
        <v>0.99992440000000005</v>
      </c>
      <c r="N68">
        <v>0</v>
      </c>
      <c r="O68">
        <v>6.1002889999999996E-4</v>
      </c>
      <c r="P68">
        <v>0.99799280000000001</v>
      </c>
      <c r="Q68">
        <v>-1.205517E-2</v>
      </c>
      <c r="R68">
        <v>6.2168649999999999E-2</v>
      </c>
      <c r="S68">
        <v>2.9970699999999999</v>
      </c>
      <c r="T68">
        <v>-0.41648499999999999</v>
      </c>
      <c r="U68">
        <v>6.5246579999999998E-2</v>
      </c>
      <c r="V68">
        <v>-6.1560139999999999E-2</v>
      </c>
      <c r="W68">
        <v>2.0009699999999999E-4</v>
      </c>
      <c r="X68">
        <v>0.99810339999999997</v>
      </c>
      <c r="Y68">
        <v>-2.095957E-2</v>
      </c>
      <c r="Z68">
        <v>1.3648179999999901E-3</v>
      </c>
      <c r="AA68">
        <v>0.99977939999999998</v>
      </c>
      <c r="AB68">
        <v>10</v>
      </c>
      <c r="AC68">
        <v>0.68250000000000399</v>
      </c>
      <c r="AD68">
        <v>-0.108168</v>
      </c>
      <c r="AE68">
        <v>1.6699999999957499E-2</v>
      </c>
      <c r="AF68">
        <v>-1.5884857034034298E-2</v>
      </c>
      <c r="AG68">
        <v>-0.108168</v>
      </c>
      <c r="AH68">
        <v>0.66579631778413995</v>
      </c>
      <c r="AI68">
        <v>99.225302164685999</v>
      </c>
      <c r="AJ68">
        <v>91.3667282475663</v>
      </c>
      <c r="AK68">
        <v>0.67471281422684704</v>
      </c>
      <c r="AL68">
        <v>89.988535286834505</v>
      </c>
      <c r="AM68">
        <v>93.529367700364901</v>
      </c>
      <c r="AN68">
        <v>1.0000000439835901</v>
      </c>
    </row>
    <row r="69" spans="1:40" x14ac:dyDescent="0.3">
      <c r="A69" t="str">
        <f>"20200111160405072"</f>
        <v>20200111160405072</v>
      </c>
      <c r="B69" t="str">
        <f>"1578729845060828"</f>
        <v>1578729845060828</v>
      </c>
      <c r="C69" t="s">
        <v>40</v>
      </c>
      <c r="D69">
        <v>5.1813609999999999</v>
      </c>
      <c r="E69">
        <v>0.53607530000000003</v>
      </c>
      <c r="F69" t="s">
        <v>42</v>
      </c>
      <c r="G69">
        <v>-469.46300000000002</v>
      </c>
      <c r="H69">
        <v>0.94051890000000005</v>
      </c>
      <c r="I69">
        <v>367.21170000000001</v>
      </c>
      <c r="J69">
        <v>-470.10770000000002</v>
      </c>
      <c r="K69">
        <v>1.110503</v>
      </c>
      <c r="L69">
        <v>367.22680000000003</v>
      </c>
      <c r="M69">
        <v>0.99992709999999996</v>
      </c>
      <c r="N69">
        <v>0</v>
      </c>
      <c r="O69">
        <v>6.1233230000000004E-4</v>
      </c>
      <c r="P69">
        <v>0.99797780000000003</v>
      </c>
      <c r="Q69">
        <v>-1.1491339999999999E-2</v>
      </c>
      <c r="R69">
        <v>6.2518180000000007E-2</v>
      </c>
      <c r="S69">
        <v>3.0014340000000002</v>
      </c>
      <c r="T69">
        <v>-0.69019459999999999</v>
      </c>
      <c r="U69">
        <v>-5.9295649999999998E-2</v>
      </c>
      <c r="V69">
        <v>-6.1907080000000003E-2</v>
      </c>
      <c r="W69">
        <v>5.5295620000000002E-4</v>
      </c>
      <c r="X69">
        <v>0.99808169999999996</v>
      </c>
      <c r="Y69">
        <v>1.9830830000000001E-2</v>
      </c>
      <c r="Z69">
        <v>-2.3895090000000002E-3</v>
      </c>
      <c r="AA69">
        <v>0.99980049999999998</v>
      </c>
      <c r="AB69">
        <v>10</v>
      </c>
      <c r="AC69">
        <v>0.64470000000000005</v>
      </c>
      <c r="AD69">
        <v>-0.169984099999999</v>
      </c>
      <c r="AE69">
        <v>-1.5100000000018101E-2</v>
      </c>
      <c r="AF69">
        <v>1.44881521184745E-2</v>
      </c>
      <c r="AG69">
        <v>-0.169984099999999</v>
      </c>
      <c r="AH69">
        <v>0.60280726780758098</v>
      </c>
      <c r="AI69">
        <v>105.74346620321801</v>
      </c>
      <c r="AJ69">
        <v>88.623191474638901</v>
      </c>
      <c r="AK69">
        <v>0.62648312261884498</v>
      </c>
      <c r="AL69">
        <v>89.968317939845207</v>
      </c>
      <c r="AM69">
        <v>93.549284740216606</v>
      </c>
      <c r="AN69">
        <v>0.99999993609478499</v>
      </c>
    </row>
    <row r="70" spans="1:40" x14ac:dyDescent="0.3">
      <c r="A70" t="str">
        <f>"20200111160405094"</f>
        <v>20200111160405094</v>
      </c>
      <c r="B70" t="str">
        <f>"1578729845091084"</f>
        <v>1578729845091084</v>
      </c>
      <c r="C70" t="s">
        <v>40</v>
      </c>
      <c r="D70">
        <v>5.2244159999999997</v>
      </c>
      <c r="E70">
        <v>0.53625489999999998</v>
      </c>
      <c r="F70" t="s">
        <v>42</v>
      </c>
      <c r="G70">
        <v>-469.37529999999998</v>
      </c>
      <c r="H70">
        <v>0.94081490000000001</v>
      </c>
      <c r="I70">
        <v>367.21269999999998</v>
      </c>
      <c r="J70">
        <v>-470.01119999999997</v>
      </c>
      <c r="K70">
        <v>1.1104830000000001</v>
      </c>
      <c r="L70">
        <v>367.2269</v>
      </c>
      <c r="M70">
        <v>0.99992939999999997</v>
      </c>
      <c r="N70">
        <v>0</v>
      </c>
      <c r="O70">
        <v>6.1486760000000005E-4</v>
      </c>
      <c r="P70">
        <v>0.99797550000000002</v>
      </c>
      <c r="Q70">
        <v>-1.091875E-2</v>
      </c>
      <c r="R70">
        <v>6.2658569999999997E-2</v>
      </c>
      <c r="S70">
        <v>3.0016780000000001</v>
      </c>
      <c r="T70">
        <v>-0.69548460000000001</v>
      </c>
      <c r="U70">
        <v>-5.7342530000000003E-2</v>
      </c>
      <c r="V70">
        <v>-6.2044599999999998E-2</v>
      </c>
      <c r="W70">
        <v>9.3204180000000005E-4</v>
      </c>
      <c r="X70">
        <v>0.99807290000000004</v>
      </c>
      <c r="Y70">
        <v>1.919032E-2</v>
      </c>
      <c r="Z70">
        <v>-2.3345290000000001E-3</v>
      </c>
      <c r="AA70">
        <v>0.99981310000000001</v>
      </c>
      <c r="AB70">
        <v>10</v>
      </c>
      <c r="AC70">
        <v>0.63589999999999203</v>
      </c>
      <c r="AD70">
        <v>-0.16966809999999999</v>
      </c>
      <c r="AE70">
        <v>-1.42000000000166E-2</v>
      </c>
      <c r="AF70">
        <v>1.36217609435028E-2</v>
      </c>
      <c r="AG70">
        <v>-0.16966809999999999</v>
      </c>
      <c r="AH70">
        <v>0.59364990978651899</v>
      </c>
      <c r="AI70">
        <v>105.946216085757</v>
      </c>
      <c r="AJ70">
        <v>88.685534239458406</v>
      </c>
      <c r="AK70">
        <v>0.61757026476211896</v>
      </c>
      <c r="AL70">
        <v>89.946597928523602</v>
      </c>
      <c r="AM70">
        <v>93.557180160153194</v>
      </c>
      <c r="AN70">
        <v>0.99999995740274195</v>
      </c>
    </row>
    <row r="71" spans="1:40" x14ac:dyDescent="0.3">
      <c r="A71" t="str">
        <f>"20200111160405118"</f>
        <v>20200111160405118</v>
      </c>
      <c r="B71" t="str">
        <f>"1578729845110604"</f>
        <v>1578729845110604</v>
      </c>
      <c r="C71" t="s">
        <v>40</v>
      </c>
      <c r="D71">
        <v>5.2107400000000004</v>
      </c>
      <c r="E71">
        <v>0.53634380000000004</v>
      </c>
      <c r="F71" t="s">
        <v>42</v>
      </c>
      <c r="G71">
        <v>-469.28750000000002</v>
      </c>
      <c r="H71">
        <v>0.94100950000000005</v>
      </c>
      <c r="I71">
        <v>367.21280000000002</v>
      </c>
      <c r="J71">
        <v>-469.90820000000002</v>
      </c>
      <c r="K71">
        <v>1.1104609999999999</v>
      </c>
      <c r="L71">
        <v>367.22699999999998</v>
      </c>
      <c r="M71">
        <v>0.99993149999999997</v>
      </c>
      <c r="N71">
        <v>0</v>
      </c>
      <c r="O71">
        <v>6.1745159999999997E-4</v>
      </c>
      <c r="P71">
        <v>0.99800940000000005</v>
      </c>
      <c r="Q71">
        <v>-1.033806E-2</v>
      </c>
      <c r="R71">
        <v>6.2212360000000001E-2</v>
      </c>
      <c r="S71">
        <v>3.0019529999999999</v>
      </c>
      <c r="T71">
        <v>-0.70305839999999997</v>
      </c>
      <c r="U71">
        <v>-5.7373050000000002E-2</v>
      </c>
      <c r="V71">
        <v>-6.1596249999999998E-2</v>
      </c>
      <c r="W71">
        <v>1.3282929999999999E-3</v>
      </c>
      <c r="X71">
        <v>0.99810030000000005</v>
      </c>
      <c r="Y71">
        <v>1.9190019999999999E-2</v>
      </c>
      <c r="Z71">
        <v>-2.3596369999999999E-3</v>
      </c>
      <c r="AA71">
        <v>0.99981310000000001</v>
      </c>
      <c r="AB71">
        <v>10</v>
      </c>
      <c r="AC71">
        <v>0.62069999999999903</v>
      </c>
      <c r="AD71">
        <v>-0.1694515</v>
      </c>
      <c r="AE71">
        <v>-1.41999999999598E-2</v>
      </c>
      <c r="AF71">
        <v>1.3572272168590501E-2</v>
      </c>
      <c r="AG71">
        <v>-0.1694515</v>
      </c>
      <c r="AH71">
        <v>0.57766093881596203</v>
      </c>
      <c r="AI71">
        <v>106.34429368814099</v>
      </c>
      <c r="AJ71">
        <v>88.654070549776705</v>
      </c>
      <c r="AK71">
        <v>0.60215461275141502</v>
      </c>
      <c r="AL71">
        <v>89.923894397474299</v>
      </c>
      <c r="AM71">
        <v>93.5314436628218</v>
      </c>
      <c r="AN71">
        <v>1.0000000356182199</v>
      </c>
    </row>
    <row r="72" spans="1:40" x14ac:dyDescent="0.3">
      <c r="A72" t="str">
        <f>"20200111160405141"</f>
        <v>20200111160405141</v>
      </c>
      <c r="B72" t="str">
        <f>"1578729845131100"</f>
        <v>1578729845131100</v>
      </c>
      <c r="C72" t="s">
        <v>40</v>
      </c>
      <c r="D72">
        <v>5.1831269999999998</v>
      </c>
      <c r="E72">
        <v>0.53658640000000002</v>
      </c>
      <c r="F72" t="s">
        <v>42</v>
      </c>
      <c r="G72">
        <v>-469.19869999999997</v>
      </c>
      <c r="H72">
        <v>0.94312490000000004</v>
      </c>
      <c r="I72">
        <v>367.21289999999999</v>
      </c>
      <c r="J72">
        <v>-469.80270000000002</v>
      </c>
      <c r="K72">
        <v>1.1104419999999999</v>
      </c>
      <c r="L72">
        <v>367.22699999999998</v>
      </c>
      <c r="M72">
        <v>0.99993350000000003</v>
      </c>
      <c r="N72">
        <v>0</v>
      </c>
      <c r="O72">
        <v>6.2014959999999995E-4</v>
      </c>
      <c r="P72">
        <v>0.99807650000000003</v>
      </c>
      <c r="Q72">
        <v>-1.007457E-2</v>
      </c>
      <c r="R72">
        <v>6.1173520000000002E-2</v>
      </c>
      <c r="S72">
        <v>3.002319</v>
      </c>
      <c r="T72">
        <v>-0.70816859999999904</v>
      </c>
      <c r="U72">
        <v>-5.8990479999999998E-2</v>
      </c>
      <c r="V72">
        <v>-6.0554400000000001E-2</v>
      </c>
      <c r="W72">
        <v>1.4265219999999999E-3</v>
      </c>
      <c r="X72">
        <v>0.99816389999999999</v>
      </c>
      <c r="Y72">
        <v>1.9706979999999999E-2</v>
      </c>
      <c r="Z72">
        <v>-2.4368039999999999E-3</v>
      </c>
      <c r="AA72">
        <v>0.99980279999999999</v>
      </c>
      <c r="AB72">
        <v>10</v>
      </c>
      <c r="AC72">
        <v>0.60400000000004095</v>
      </c>
      <c r="AD72">
        <v>-0.1673171</v>
      </c>
      <c r="AE72">
        <v>-1.4099999999984901E-2</v>
      </c>
      <c r="AF72">
        <v>1.34435332928333E-2</v>
      </c>
      <c r="AG72">
        <v>-0.1673171</v>
      </c>
      <c r="AH72">
        <v>0.560967432832855</v>
      </c>
      <c r="AI72">
        <v>106.603509908858</v>
      </c>
      <c r="AJ72">
        <v>88.627174648986099</v>
      </c>
      <c r="AK72">
        <v>0.58554265535389405</v>
      </c>
      <c r="AL72">
        <v>89.918266283996104</v>
      </c>
      <c r="AM72">
        <v>93.471638876340094</v>
      </c>
      <c r="AN72">
        <v>1.00000002079379</v>
      </c>
    </row>
    <row r="73" spans="1:40" x14ac:dyDescent="0.3">
      <c r="A73" t="str">
        <f>"20200111160405163"</f>
        <v>20200111160405163</v>
      </c>
      <c r="B73" t="str">
        <f>"1578729845160381"</f>
        <v>1578729845160381</v>
      </c>
      <c r="C73" t="s">
        <v>40</v>
      </c>
      <c r="D73">
        <v>5.1828000000000003</v>
      </c>
      <c r="E73">
        <v>0.53678040000000005</v>
      </c>
      <c r="F73" t="s">
        <v>42</v>
      </c>
      <c r="G73">
        <v>-469.10919999999999</v>
      </c>
      <c r="H73">
        <v>0.94611239999999996</v>
      </c>
      <c r="I73">
        <v>367.21199999999999</v>
      </c>
      <c r="J73">
        <v>-469.70800000000003</v>
      </c>
      <c r="K73">
        <v>1.1104350000000001</v>
      </c>
      <c r="L73">
        <v>367.22710000000001</v>
      </c>
      <c r="M73">
        <v>0.99993509999999997</v>
      </c>
      <c r="N73">
        <v>0</v>
      </c>
      <c r="O73">
        <v>6.2274080000000005E-4</v>
      </c>
      <c r="P73">
        <v>0.99813989999999997</v>
      </c>
      <c r="Q73">
        <v>-1.044777E-2</v>
      </c>
      <c r="R73">
        <v>6.0063079999999998E-2</v>
      </c>
      <c r="S73">
        <v>3.0024410000000001</v>
      </c>
      <c r="T73">
        <v>-0.71152169999999904</v>
      </c>
      <c r="U73">
        <v>-6.3049320000000006E-2</v>
      </c>
      <c r="V73">
        <v>-5.944112E-2</v>
      </c>
      <c r="W73">
        <v>9.2536609999999998E-4</v>
      </c>
      <c r="X73">
        <v>0.99823139999999999</v>
      </c>
      <c r="Y73">
        <v>2.1018240000000001E-2</v>
      </c>
      <c r="Z73">
        <v>-2.6017409999999999E-3</v>
      </c>
      <c r="AA73">
        <v>0.99977570000000004</v>
      </c>
      <c r="AB73">
        <v>10</v>
      </c>
      <c r="AC73">
        <v>0.59880000000003897</v>
      </c>
      <c r="AD73">
        <v>-0.16432260000000001</v>
      </c>
      <c r="AE73">
        <v>-1.5100000000018101E-2</v>
      </c>
      <c r="AF73">
        <v>1.43899536300064E-2</v>
      </c>
      <c r="AG73">
        <v>-0.16432260000000001</v>
      </c>
      <c r="AH73">
        <v>0.55688054578425195</v>
      </c>
      <c r="AI73">
        <v>106.43492395348299</v>
      </c>
      <c r="AJ73">
        <v>88.519789958697999</v>
      </c>
      <c r="AK73">
        <v>0.58079680604252704</v>
      </c>
      <c r="AL73">
        <v>89.946980421220402</v>
      </c>
      <c r="AM73">
        <v>93.407735453508707</v>
      </c>
      <c r="AN73">
        <v>1.0000000154976101</v>
      </c>
    </row>
    <row r="74" spans="1:40" x14ac:dyDescent="0.3">
      <c r="A74" t="str">
        <f>"20200111160405184"</f>
        <v>20200111160405184</v>
      </c>
      <c r="B74" t="str">
        <f>"1578729845180877"</f>
        <v>1578729845180877</v>
      </c>
      <c r="C74" t="s">
        <v>40</v>
      </c>
      <c r="D74">
        <v>5.1580919999999999</v>
      </c>
      <c r="E74">
        <v>0.53684529999999997</v>
      </c>
      <c r="F74" t="s">
        <v>42</v>
      </c>
      <c r="G74">
        <v>-469.02069999999998</v>
      </c>
      <c r="H74">
        <v>0.94663450000000005</v>
      </c>
      <c r="I74">
        <v>367.2115</v>
      </c>
      <c r="J74">
        <v>-469.61329999999998</v>
      </c>
      <c r="K74">
        <v>1.11043799999999</v>
      </c>
      <c r="L74">
        <v>367.22710000000001</v>
      </c>
      <c r="M74">
        <v>0.9999363</v>
      </c>
      <c r="N74">
        <v>0</v>
      </c>
      <c r="O74">
        <v>6.2541039999999999E-4</v>
      </c>
      <c r="P74">
        <v>0.99824409999999997</v>
      </c>
      <c r="Q74">
        <v>-1.0572150000000001E-2</v>
      </c>
      <c r="R74">
        <v>5.828419E-2</v>
      </c>
      <c r="S74">
        <v>3.0021360000000001</v>
      </c>
      <c r="T74">
        <v>-0.71553159999999905</v>
      </c>
      <c r="U74">
        <v>-6.7596439999999994E-2</v>
      </c>
      <c r="V74">
        <v>-5.7659389999999998E-2</v>
      </c>
      <c r="W74">
        <v>6.8933179999999903E-4</v>
      </c>
      <c r="X74">
        <v>0.99833609999999995</v>
      </c>
      <c r="Y74">
        <v>2.2488569999999999E-2</v>
      </c>
      <c r="Z74">
        <v>-2.7896290000000001E-3</v>
      </c>
      <c r="AA74">
        <v>0.99974320000000005</v>
      </c>
      <c r="AB74">
        <v>10</v>
      </c>
      <c r="AC74">
        <v>0.59260000000000401</v>
      </c>
      <c r="AD74">
        <v>-0.16380349999999899</v>
      </c>
      <c r="AE74">
        <v>-1.5600000000006199E-2</v>
      </c>
      <c r="AF74">
        <v>1.48377427007507E-2</v>
      </c>
      <c r="AG74">
        <v>-0.16380349999999899</v>
      </c>
      <c r="AH74">
        <v>0.55055405131798096</v>
      </c>
      <c r="AI74">
        <v>106.563364077882</v>
      </c>
      <c r="AJ74">
        <v>88.456220068432302</v>
      </c>
      <c r="AK74">
        <v>0.57459682268817502</v>
      </c>
      <c r="AL74">
        <v>89.960504195015503</v>
      </c>
      <c r="AM74">
        <v>93.3054736951633</v>
      </c>
      <c r="AN74">
        <v>1.00000002449835</v>
      </c>
    </row>
    <row r="75" spans="1:40" x14ac:dyDescent="0.3">
      <c r="A75" t="str">
        <f>"20200111160405208"</f>
        <v>20200111160405208</v>
      </c>
      <c r="B75" t="str">
        <f>"1578729845200397"</f>
        <v>1578729845200397</v>
      </c>
      <c r="C75" t="s">
        <v>40</v>
      </c>
      <c r="D75">
        <v>5.1364280000000004</v>
      </c>
      <c r="E75">
        <v>0.53683329999999996</v>
      </c>
      <c r="F75" t="s">
        <v>42</v>
      </c>
      <c r="G75">
        <v>-468.85169999999999</v>
      </c>
      <c r="H75">
        <v>0.9293051</v>
      </c>
      <c r="I75">
        <v>367.20839999999998</v>
      </c>
      <c r="J75">
        <v>-469.50630000000001</v>
      </c>
      <c r="K75">
        <v>1.1104350000000001</v>
      </c>
      <c r="L75">
        <v>367.22719999999998</v>
      </c>
      <c r="M75">
        <v>0.99993750000000003</v>
      </c>
      <c r="N75">
        <v>0</v>
      </c>
      <c r="O75">
        <v>6.2808779999999999E-4</v>
      </c>
      <c r="P75">
        <v>0.99833890000000003</v>
      </c>
      <c r="Q75">
        <v>-1.0924700000000001E-2</v>
      </c>
      <c r="R75">
        <v>5.6571749999999997E-2</v>
      </c>
      <c r="S75">
        <v>3.002014</v>
      </c>
      <c r="T75">
        <v>-0.71403090000000002</v>
      </c>
      <c r="U75">
        <v>-7.3303220000000002E-2</v>
      </c>
      <c r="V75">
        <v>-5.5944609999999999E-2</v>
      </c>
      <c r="W75">
        <v>2.2203110000000001E-4</v>
      </c>
      <c r="X75">
        <v>0.99843380000000004</v>
      </c>
      <c r="Y75">
        <v>2.4342470000000001E-2</v>
      </c>
      <c r="Z75">
        <v>-3.0020260000000001E-3</v>
      </c>
      <c r="AA75">
        <v>0.99969920000000001</v>
      </c>
      <c r="AB75">
        <v>10</v>
      </c>
      <c r="AC75">
        <v>0.65460000000001595</v>
      </c>
      <c r="AD75">
        <v>-0.18112990000000001</v>
      </c>
      <c r="AE75">
        <v>-1.87999999999988E-2</v>
      </c>
      <c r="AF75">
        <v>1.7845927134859999E-2</v>
      </c>
      <c r="AG75">
        <v>-0.18112990000000001</v>
      </c>
      <c r="AH75">
        <v>0.60806978255391597</v>
      </c>
      <c r="AI75">
        <v>106.580827823552</v>
      </c>
      <c r="AJ75">
        <v>88.318938192396004</v>
      </c>
      <c r="AK75">
        <v>0.63472464757915203</v>
      </c>
      <c r="AL75">
        <v>89.987278554319303</v>
      </c>
      <c r="AM75">
        <v>93.207064673756605</v>
      </c>
      <c r="AN75">
        <v>0.99999995083414905</v>
      </c>
    </row>
    <row r="76" spans="1:40" x14ac:dyDescent="0.3">
      <c r="A76" t="str">
        <f>"20200111160405229"</f>
        <v>20200111160405229</v>
      </c>
      <c r="B76" t="str">
        <f>"1578729845220893"</f>
        <v>1578729845220893</v>
      </c>
      <c r="C76" t="s">
        <v>40</v>
      </c>
      <c r="D76">
        <v>5.1979350000000002</v>
      </c>
      <c r="E76">
        <v>0.53695990000000005</v>
      </c>
      <c r="F76" t="s">
        <v>42</v>
      </c>
      <c r="G76">
        <v>-468.7611</v>
      </c>
      <c r="H76">
        <v>0.93320440000000004</v>
      </c>
      <c r="I76">
        <v>367.20729999999998</v>
      </c>
      <c r="J76">
        <v>-469.41340000000002</v>
      </c>
      <c r="K76">
        <v>1.1104240000000001</v>
      </c>
      <c r="L76">
        <v>367.22730000000001</v>
      </c>
      <c r="M76">
        <v>0.99993849999999995</v>
      </c>
      <c r="N76">
        <v>0</v>
      </c>
      <c r="O76">
        <v>6.3010559999999896E-4</v>
      </c>
      <c r="P76">
        <v>0.99840739999999994</v>
      </c>
      <c r="Q76">
        <v>-1.132128E-2</v>
      </c>
      <c r="R76">
        <v>5.5267610000000002E-2</v>
      </c>
      <c r="S76">
        <v>3.0015869999999998</v>
      </c>
      <c r="T76">
        <v>-0.71399829999999997</v>
      </c>
      <c r="U76">
        <v>-7.846069E-2</v>
      </c>
      <c r="V76">
        <v>-5.4638640000000002E-2</v>
      </c>
      <c r="W76">
        <v>-2.6739750000000001E-4</v>
      </c>
      <c r="X76">
        <v>0.99850609999999995</v>
      </c>
      <c r="Y76">
        <v>2.601769E-2</v>
      </c>
      <c r="Z76">
        <v>-3.199192E-3</v>
      </c>
      <c r="AA76">
        <v>0.9996564</v>
      </c>
      <c r="AB76">
        <v>10</v>
      </c>
      <c r="AC76">
        <v>0.65230000000002497</v>
      </c>
      <c r="AD76">
        <v>-0.1772196</v>
      </c>
      <c r="AE76">
        <v>-2.0000000000038601E-2</v>
      </c>
      <c r="AF76">
        <v>1.9009241079717701E-2</v>
      </c>
      <c r="AG76">
        <v>-0.1772196</v>
      </c>
      <c r="AH76">
        <v>0.60748920506041404</v>
      </c>
      <c r="AI76">
        <v>106.255732438286</v>
      </c>
      <c r="AJ76">
        <v>88.207714635173105</v>
      </c>
      <c r="AK76">
        <v>0.63309657409870801</v>
      </c>
      <c r="AL76">
        <v>90.015320749271794</v>
      </c>
      <c r="AM76">
        <v>93.132123514341401</v>
      </c>
      <c r="AN76">
        <v>0.999999942109839</v>
      </c>
    </row>
    <row r="77" spans="1:40" x14ac:dyDescent="0.3">
      <c r="A77" t="str">
        <f>"20200111160405252"</f>
        <v>20200111160405252</v>
      </c>
      <c r="B77" t="str">
        <f>"1578729845240412"</f>
        <v>1578729845240412</v>
      </c>
      <c r="C77" t="s">
        <v>40</v>
      </c>
      <c r="D77">
        <v>5.1199349999999999</v>
      </c>
      <c r="E77">
        <v>0.54939749999999998</v>
      </c>
      <c r="F77" t="s">
        <v>42</v>
      </c>
      <c r="G77">
        <v>-468.67189999999999</v>
      </c>
      <c r="H77">
        <v>0.9335175</v>
      </c>
      <c r="I77">
        <v>367.20650000000001</v>
      </c>
      <c r="J77">
        <v>-469.31420000000003</v>
      </c>
      <c r="K77">
        <v>1.110409</v>
      </c>
      <c r="L77">
        <v>367.22739999999999</v>
      </c>
      <c r="M77">
        <v>0.99993960000000004</v>
      </c>
      <c r="N77">
        <v>0</v>
      </c>
      <c r="O77">
        <v>6.3245949999999999E-4</v>
      </c>
      <c r="P77">
        <v>0.99843300000000001</v>
      </c>
      <c r="Q77">
        <v>-1.189142E-2</v>
      </c>
      <c r="R77">
        <v>5.4683160000000001E-2</v>
      </c>
      <c r="S77">
        <v>3.0012509999999999</v>
      </c>
      <c r="T77">
        <v>-0.71602460000000001</v>
      </c>
      <c r="U77">
        <v>-8.2855219999999993E-2</v>
      </c>
      <c r="V77">
        <v>-5.4052019999999999E-2</v>
      </c>
      <c r="W77">
        <v>-9.2869220000000002E-4</v>
      </c>
      <c r="X77">
        <v>0.99853769999999997</v>
      </c>
      <c r="Y77">
        <v>2.7441320000000002E-2</v>
      </c>
      <c r="Z77">
        <v>-3.3763059999999999E-3</v>
      </c>
      <c r="AA77">
        <v>0.99961770000000005</v>
      </c>
      <c r="AB77">
        <v>10</v>
      </c>
      <c r="AC77">
        <v>0.64230000000003395</v>
      </c>
      <c r="AD77">
        <v>-0.17689150000000001</v>
      </c>
      <c r="AE77">
        <v>-2.0899999999983199E-2</v>
      </c>
      <c r="AF77">
        <v>1.9805640562476499E-2</v>
      </c>
      <c r="AG77">
        <v>-0.17689150000000001</v>
      </c>
      <c r="AH77">
        <v>0.59705012207484098</v>
      </c>
      <c r="AI77">
        <v>106.494702012155</v>
      </c>
      <c r="AJ77">
        <v>88.100052901927</v>
      </c>
      <c r="AK77">
        <v>0.62301822962086895</v>
      </c>
      <c r="AL77">
        <v>90.053210150599199</v>
      </c>
      <c r="AM77">
        <v>93.098463930368098</v>
      </c>
      <c r="AN77">
        <v>1.0000000108282801</v>
      </c>
    </row>
    <row r="78" spans="1:40" x14ac:dyDescent="0.3">
      <c r="A78" t="str">
        <f>"20200111160405273"</f>
        <v>20200111160405273</v>
      </c>
      <c r="B78" t="str">
        <f>"1578729845260908"</f>
        <v>1578729845260908</v>
      </c>
      <c r="C78" t="s">
        <v>40</v>
      </c>
      <c r="D78">
        <v>5.1081919999999998</v>
      </c>
      <c r="E78">
        <v>0.54947319999999999</v>
      </c>
      <c r="F78" t="s">
        <v>42</v>
      </c>
      <c r="G78">
        <v>-468.59</v>
      </c>
      <c r="H78">
        <v>0.91920270000000004</v>
      </c>
      <c r="I78">
        <v>367.18369999999999</v>
      </c>
      <c r="J78">
        <v>-469.21850000000001</v>
      </c>
      <c r="K78">
        <v>1.11039</v>
      </c>
      <c r="L78">
        <v>367.22739999999999</v>
      </c>
      <c r="M78">
        <v>0.99994050000000001</v>
      </c>
      <c r="N78">
        <v>0</v>
      </c>
      <c r="O78">
        <v>6.3472140000000001E-4</v>
      </c>
      <c r="P78">
        <v>0.99843660000000001</v>
      </c>
      <c r="Q78">
        <v>-1.184317E-2</v>
      </c>
      <c r="R78">
        <v>5.463167E-2</v>
      </c>
      <c r="S78">
        <v>3.0050349999999999</v>
      </c>
      <c r="T78">
        <v>-0.79347060000000003</v>
      </c>
      <c r="U78">
        <v>-0.17883299999999999</v>
      </c>
      <c r="V78">
        <v>-5.399822E-2</v>
      </c>
      <c r="W78">
        <v>-9.5589049999999999E-4</v>
      </c>
      <c r="X78">
        <v>0.9985406</v>
      </c>
      <c r="Y78">
        <v>5.8035780000000002E-2</v>
      </c>
      <c r="Z78">
        <v>-7.691313E-3</v>
      </c>
      <c r="AA78">
        <v>0.99828490000000003</v>
      </c>
      <c r="AB78">
        <v>10</v>
      </c>
      <c r="AC78">
        <v>0.62850000000003003</v>
      </c>
      <c r="AD78">
        <v>-0.19118729999999901</v>
      </c>
      <c r="AE78">
        <v>-4.3700000000001099E-2</v>
      </c>
      <c r="AF78">
        <v>4.0380310191622297E-2</v>
      </c>
      <c r="AG78">
        <v>-0.19118729999999901</v>
      </c>
      <c r="AH78">
        <v>0.57547644717044899</v>
      </c>
      <c r="AI78">
        <v>108.335687113204</v>
      </c>
      <c r="AJ78">
        <v>85.986220789823193</v>
      </c>
      <c r="AK78">
        <v>0.60774689993482001</v>
      </c>
      <c r="AL78">
        <v>90.054768498261296</v>
      </c>
      <c r="AM78">
        <v>93.095376941195994</v>
      </c>
      <c r="AN78">
        <v>1.00000002566908</v>
      </c>
    </row>
    <row r="79" spans="1:40" x14ac:dyDescent="0.3">
      <c r="A79" t="str">
        <f>"20200111160405297"</f>
        <v>20200111160405297</v>
      </c>
      <c r="B79" t="str">
        <f>"1578729845291164"</f>
        <v>1578729845291164</v>
      </c>
      <c r="C79" t="s">
        <v>40</v>
      </c>
      <c r="D79">
        <v>5.0968939999999998</v>
      </c>
      <c r="E79">
        <v>0.5495679</v>
      </c>
      <c r="F79" t="s">
        <v>42</v>
      </c>
      <c r="G79">
        <v>-468.49970000000002</v>
      </c>
      <c r="H79">
        <v>0.92087660000000005</v>
      </c>
      <c r="I79">
        <v>367.18419999999998</v>
      </c>
      <c r="J79">
        <v>-469.1121</v>
      </c>
      <c r="K79">
        <v>1.1103769999999999</v>
      </c>
      <c r="L79">
        <v>367.22750000000002</v>
      </c>
      <c r="M79">
        <v>0.99994119999999997</v>
      </c>
      <c r="N79">
        <v>0</v>
      </c>
      <c r="O79">
        <v>6.3726080000000001E-4</v>
      </c>
      <c r="P79">
        <v>0.99837830000000005</v>
      </c>
      <c r="Q79">
        <v>-1.1850930000000001E-2</v>
      </c>
      <c r="R79">
        <v>5.568377E-2</v>
      </c>
      <c r="S79">
        <v>3.005188</v>
      </c>
      <c r="T79">
        <v>-0.79236359999999995</v>
      </c>
      <c r="U79">
        <v>-0.18051149999999999</v>
      </c>
      <c r="V79">
        <v>-5.5047609999999997E-2</v>
      </c>
      <c r="W79">
        <v>-1.0254730000000001E-3</v>
      </c>
      <c r="X79">
        <v>0.99848320000000002</v>
      </c>
      <c r="Y79">
        <v>5.8578100000000001E-2</v>
      </c>
      <c r="Z79">
        <v>-7.7513299999999999E-3</v>
      </c>
      <c r="AA79">
        <v>0.99825269999999999</v>
      </c>
      <c r="AB79">
        <v>10</v>
      </c>
      <c r="AC79">
        <v>0.61239999999997896</v>
      </c>
      <c r="AD79">
        <v>-0.18950039999999899</v>
      </c>
      <c r="AE79">
        <v>-4.3300000000044699E-2</v>
      </c>
      <c r="AF79">
        <v>3.9889732792731197E-2</v>
      </c>
      <c r="AG79">
        <v>-0.18950039999999899</v>
      </c>
      <c r="AH79">
        <v>0.55910309539759095</v>
      </c>
      <c r="AI79">
        <v>108.679215804162</v>
      </c>
      <c r="AJ79">
        <v>85.9190939637528</v>
      </c>
      <c r="AK79">
        <v>0.591690682422499</v>
      </c>
      <c r="AL79">
        <v>90.058755285447901</v>
      </c>
      <c r="AM79">
        <v>93.155592469038496</v>
      </c>
      <c r="AN79">
        <v>0.99999999582191201</v>
      </c>
    </row>
    <row r="80" spans="1:40" x14ac:dyDescent="0.3">
      <c r="A80" t="str">
        <f>"20200111160405319"</f>
        <v>20200111160405319</v>
      </c>
      <c r="B80" t="str">
        <f>"1578729845310311"</f>
        <v>1578729845310311</v>
      </c>
      <c r="C80" t="s">
        <v>40</v>
      </c>
      <c r="D80">
        <v>5.0357760000000003</v>
      </c>
      <c r="E80">
        <v>0.54963249999999997</v>
      </c>
      <c r="F80" t="s">
        <v>42</v>
      </c>
      <c r="G80">
        <v>-468.4083</v>
      </c>
      <c r="H80">
        <v>0.92484489999999997</v>
      </c>
      <c r="I80">
        <v>367.18520000000001</v>
      </c>
      <c r="J80">
        <v>-469.01319999999998</v>
      </c>
      <c r="K80">
        <v>1.1103780000000001</v>
      </c>
      <c r="L80">
        <v>367.22750000000002</v>
      </c>
      <c r="M80">
        <v>0.99994150000000004</v>
      </c>
      <c r="N80">
        <v>0</v>
      </c>
      <c r="O80">
        <v>6.3994210000000004E-4</v>
      </c>
      <c r="P80">
        <v>0.99827889999999997</v>
      </c>
      <c r="Q80">
        <v>-1.217972E-2</v>
      </c>
      <c r="R80">
        <v>5.7367880000000003E-2</v>
      </c>
      <c r="S80">
        <v>3.0053709999999998</v>
      </c>
      <c r="T80">
        <v>-0.79233629999999999</v>
      </c>
      <c r="U80">
        <v>-0.17813109999999999</v>
      </c>
      <c r="V80">
        <v>-5.6729139999999997E-2</v>
      </c>
      <c r="W80">
        <v>-1.3879630000000001E-3</v>
      </c>
      <c r="X80">
        <v>0.99838859999999996</v>
      </c>
      <c r="Y80">
        <v>5.7815409999999998E-2</v>
      </c>
      <c r="Z80">
        <v>-7.65271599999999E-3</v>
      </c>
      <c r="AA80">
        <v>0.99829789999999996</v>
      </c>
      <c r="AB80">
        <v>10</v>
      </c>
      <c r="AC80">
        <v>0.604899999999986</v>
      </c>
      <c r="AD80">
        <v>-0.18553310000000001</v>
      </c>
      <c r="AE80">
        <v>-4.2300000000011502E-2</v>
      </c>
      <c r="AF80">
        <v>3.9032947525358103E-2</v>
      </c>
      <c r="AG80">
        <v>-0.18553310000000001</v>
      </c>
      <c r="AH80">
        <v>0.55309356283675404</v>
      </c>
      <c r="AI80">
        <v>108.500958199545</v>
      </c>
      <c r="AJ80">
        <v>85.963212032969693</v>
      </c>
      <c r="AK80">
        <v>0.58468674642032203</v>
      </c>
      <c r="AL80">
        <v>90.079524450798999</v>
      </c>
      <c r="AM80">
        <v>93.252089467357806</v>
      </c>
      <c r="AN80">
        <v>0.99999995918819296</v>
      </c>
    </row>
    <row r="81" spans="1:40" x14ac:dyDescent="0.3">
      <c r="A81" t="str">
        <f>"20200111160405341"</f>
        <v>20200111160405341</v>
      </c>
      <c r="B81" t="str">
        <f>"1578729845330807"</f>
        <v>1578729845330807</v>
      </c>
      <c r="C81" t="s">
        <v>40</v>
      </c>
      <c r="D81">
        <v>5.0868320000000002</v>
      </c>
      <c r="E81">
        <v>0.54960569999999997</v>
      </c>
      <c r="F81" t="s">
        <v>42</v>
      </c>
      <c r="G81">
        <v>-468.31760000000003</v>
      </c>
      <c r="H81">
        <v>0.92660810000000005</v>
      </c>
      <c r="I81">
        <v>367.18720000000002</v>
      </c>
      <c r="J81">
        <v>-468.91230000000002</v>
      </c>
      <c r="K81">
        <v>1.1103809999999901</v>
      </c>
      <c r="L81">
        <v>367.2276</v>
      </c>
      <c r="M81">
        <v>0.99994159999999999</v>
      </c>
      <c r="N81">
        <v>0</v>
      </c>
      <c r="O81">
        <v>6.4239280000000004E-4</v>
      </c>
      <c r="P81">
        <v>0.99813479999999999</v>
      </c>
      <c r="Q81">
        <v>-1.2175299999999899E-2</v>
      </c>
      <c r="R81">
        <v>5.9825540000000003E-2</v>
      </c>
      <c r="S81">
        <v>3.0055239999999999</v>
      </c>
      <c r="T81">
        <v>-0.79404649999999999</v>
      </c>
      <c r="U81">
        <v>-0.17388919999999999</v>
      </c>
      <c r="V81">
        <v>-5.9184529999999999E-2</v>
      </c>
      <c r="W81">
        <v>-1.3971910000000001E-3</v>
      </c>
      <c r="X81">
        <v>0.99824610000000003</v>
      </c>
      <c r="Y81">
        <v>5.6448829999999998E-2</v>
      </c>
      <c r="Z81">
        <v>-7.4919139999999997E-3</v>
      </c>
      <c r="AA81">
        <v>0.99837739999999997</v>
      </c>
      <c r="AB81">
        <v>10</v>
      </c>
      <c r="AC81">
        <v>0.59469999999998802</v>
      </c>
      <c r="AD81">
        <v>-0.18377289999999899</v>
      </c>
      <c r="AE81">
        <v>-4.0399999999976899E-2</v>
      </c>
      <c r="AF81">
        <v>3.7242062151495399E-2</v>
      </c>
      <c r="AG81">
        <v>-0.18377289999999899</v>
      </c>
      <c r="AH81">
        <v>0.54305475022933802</v>
      </c>
      <c r="AI81">
        <v>108.655344075366</v>
      </c>
      <c r="AJ81">
        <v>86.076864734457303</v>
      </c>
      <c r="AK81">
        <v>0.57451537117326501</v>
      </c>
      <c r="AL81">
        <v>90.080053172042597</v>
      </c>
      <c r="AM81">
        <v>93.3930098460567</v>
      </c>
      <c r="AN81">
        <v>1.0000000184496101</v>
      </c>
    </row>
    <row r="82" spans="1:40" x14ac:dyDescent="0.3">
      <c r="A82" t="str">
        <f>"20200111160405362"</f>
        <v>20200111160405362</v>
      </c>
      <c r="B82" t="str">
        <f>"1578729845350327"</f>
        <v>1578729845350327</v>
      </c>
      <c r="C82" t="s">
        <v>40</v>
      </c>
      <c r="D82">
        <v>5.0153809999999996</v>
      </c>
      <c r="E82">
        <v>0.54980519999999999</v>
      </c>
      <c r="F82" t="s">
        <v>42</v>
      </c>
      <c r="G82">
        <v>-468.22649999999999</v>
      </c>
      <c r="H82">
        <v>0.92905389999999999</v>
      </c>
      <c r="I82">
        <v>367.18920000000003</v>
      </c>
      <c r="J82">
        <v>-468.81830000000002</v>
      </c>
      <c r="K82">
        <v>1.1103909999999999</v>
      </c>
      <c r="L82">
        <v>367.22770000000003</v>
      </c>
      <c r="M82">
        <v>0.99994159999999999</v>
      </c>
      <c r="N82">
        <v>0</v>
      </c>
      <c r="O82">
        <v>6.4491449999999997E-4</v>
      </c>
      <c r="P82">
        <v>0.99799000000000004</v>
      </c>
      <c r="Q82">
        <v>-1.1847399999999999E-2</v>
      </c>
      <c r="R82">
        <v>6.2256720000000002E-2</v>
      </c>
      <c r="S82">
        <v>3.0059200000000001</v>
      </c>
      <c r="T82">
        <v>-0.79473389999999999</v>
      </c>
      <c r="U82">
        <v>-0.16680909999999999</v>
      </c>
      <c r="V82">
        <v>-6.1612930000000003E-2</v>
      </c>
      <c r="W82">
        <v>-1.0740979999999999E-3</v>
      </c>
      <c r="X82">
        <v>0.99809959999999998</v>
      </c>
      <c r="Y82">
        <v>5.4174260000000002E-2</v>
      </c>
      <c r="Z82">
        <v>-7.2029669999999898E-3</v>
      </c>
      <c r="AA82">
        <v>0.99850550000000005</v>
      </c>
      <c r="AB82">
        <v>10</v>
      </c>
      <c r="AC82">
        <v>0.59180000000003397</v>
      </c>
      <c r="AD82">
        <v>-0.181337099999999</v>
      </c>
      <c r="AE82">
        <v>-3.8499999999999E-2</v>
      </c>
      <c r="AF82">
        <v>3.5557243541434899E-2</v>
      </c>
      <c r="AG82">
        <v>-0.181337099999999</v>
      </c>
      <c r="AH82">
        <v>0.54117755100982501</v>
      </c>
      <c r="AI82">
        <v>108.48776196703</v>
      </c>
      <c r="AJ82">
        <v>86.240871516250706</v>
      </c>
      <c r="AK82">
        <v>0.57185715272405802</v>
      </c>
      <c r="AL82">
        <v>90.061541290374905</v>
      </c>
      <c r="AM82">
        <v>93.532400012641304</v>
      </c>
      <c r="AN82">
        <v>1.0000000591749201</v>
      </c>
    </row>
    <row r="83" spans="1:40" x14ac:dyDescent="0.3">
      <c r="A83" t="str">
        <f>"20200111160405385"</f>
        <v>20200111160405385</v>
      </c>
      <c r="B83" t="str">
        <f>"1578729845380584"</f>
        <v>1578729845380584</v>
      </c>
      <c r="C83" t="s">
        <v>40</v>
      </c>
      <c r="D83">
        <v>4.9990360000000003</v>
      </c>
      <c r="E83">
        <v>0.55028440000000001</v>
      </c>
      <c r="F83" t="s">
        <v>42</v>
      </c>
      <c r="G83">
        <v>-468.13580000000002</v>
      </c>
      <c r="H83">
        <v>0.93030460000000004</v>
      </c>
      <c r="I83">
        <v>367.19080000000002</v>
      </c>
      <c r="J83">
        <v>-468.71449999999999</v>
      </c>
      <c r="K83">
        <v>1.110347</v>
      </c>
      <c r="L83">
        <v>367.2278</v>
      </c>
      <c r="M83">
        <v>0.99994360000000004</v>
      </c>
      <c r="N83">
        <v>0</v>
      </c>
      <c r="O83">
        <v>6.4689890000000001E-4</v>
      </c>
      <c r="P83">
        <v>0.99788549999999998</v>
      </c>
      <c r="Q83">
        <v>-1.077562E-2</v>
      </c>
      <c r="R83">
        <v>6.4096829999999994E-2</v>
      </c>
      <c r="S83">
        <v>3.0067439999999999</v>
      </c>
      <c r="T83">
        <v>-0.79338069999999905</v>
      </c>
      <c r="U83">
        <v>-0.1622314</v>
      </c>
      <c r="V83">
        <v>-6.3451380000000002E-2</v>
      </c>
      <c r="W83">
        <v>-1.8382049999999999E-4</v>
      </c>
      <c r="X83">
        <v>0.99798489999999995</v>
      </c>
      <c r="Y83">
        <v>5.2702649999999997E-2</v>
      </c>
      <c r="Z83">
        <v>-6.9992459999999998E-3</v>
      </c>
      <c r="AA83">
        <v>0.99858570000000002</v>
      </c>
      <c r="AB83">
        <v>10</v>
      </c>
      <c r="AC83">
        <v>0.57869999999996902</v>
      </c>
      <c r="AD83">
        <v>-0.18004239999999899</v>
      </c>
      <c r="AE83">
        <v>-3.6999999999977697E-2</v>
      </c>
      <c r="AF83">
        <v>3.4088307249119897E-2</v>
      </c>
      <c r="AG83">
        <v>-0.18004239999999899</v>
      </c>
      <c r="AH83">
        <v>0.52779702701092601</v>
      </c>
      <c r="AI83">
        <v>108.799153281389</v>
      </c>
      <c r="AJ83">
        <v>86.304626399074394</v>
      </c>
      <c r="AK83">
        <v>0.55870115465286296</v>
      </c>
      <c r="AL83">
        <v>90.0105321390445</v>
      </c>
      <c r="AM83">
        <v>93.637940286070901</v>
      </c>
      <c r="AN83">
        <v>0.99999998602094498</v>
      </c>
    </row>
    <row r="84" spans="1:40" x14ac:dyDescent="0.3">
      <c r="A84" t="str">
        <f>"20200111160405408"</f>
        <v>20200111160405408</v>
      </c>
      <c r="B84" t="str">
        <f>"1578729845401080"</f>
        <v>1578729845401080</v>
      </c>
      <c r="C84" t="s">
        <v>40</v>
      </c>
      <c r="D84">
        <v>4.9764489999999997</v>
      </c>
      <c r="E84">
        <v>0.55059899999999995</v>
      </c>
      <c r="F84" t="s">
        <v>42</v>
      </c>
      <c r="G84">
        <v>-467.9624</v>
      </c>
      <c r="H84">
        <v>0.91271809999999998</v>
      </c>
      <c r="I84">
        <v>367.18740000000003</v>
      </c>
      <c r="J84">
        <v>-468.60899999999998</v>
      </c>
      <c r="K84">
        <v>1.1102160000000001</v>
      </c>
      <c r="L84">
        <v>367.22789999999998</v>
      </c>
      <c r="M84">
        <v>0.99994430000000001</v>
      </c>
      <c r="N84">
        <v>0</v>
      </c>
      <c r="O84">
        <v>6.4966489999999997E-4</v>
      </c>
      <c r="P84">
        <v>0.99779859999999998</v>
      </c>
      <c r="Q84">
        <v>-1.167902E-2</v>
      </c>
      <c r="R84">
        <v>6.5283569999999999E-2</v>
      </c>
      <c r="S84">
        <v>3.0081479999999998</v>
      </c>
      <c r="T84">
        <v>-0.79058280000000003</v>
      </c>
      <c r="U84">
        <v>-0.16101070000000001</v>
      </c>
      <c r="V84">
        <v>-6.4635750000000006E-2</v>
      </c>
      <c r="W84">
        <v>-1.1599119999999999E-3</v>
      </c>
      <c r="X84">
        <v>0.99790820000000002</v>
      </c>
      <c r="Y84">
        <v>5.2303919999999997E-2</v>
      </c>
      <c r="Z84">
        <v>-6.9215319999999898E-3</v>
      </c>
      <c r="AA84">
        <v>0.99860720000000003</v>
      </c>
      <c r="AB84">
        <v>10</v>
      </c>
      <c r="AC84">
        <v>0.64660000000003404</v>
      </c>
      <c r="AD84">
        <v>-0.1974979</v>
      </c>
      <c r="AE84">
        <v>-4.0499999999951797E-2</v>
      </c>
      <c r="AF84">
        <v>3.7440742752315598E-2</v>
      </c>
      <c r="AG84">
        <v>-0.1974979</v>
      </c>
      <c r="AH84">
        <v>0.59159681984186796</v>
      </c>
      <c r="AI84">
        <v>108.42663494483099</v>
      </c>
      <c r="AJ84">
        <v>86.378717284213096</v>
      </c>
      <c r="AK84">
        <v>0.62481519425288201</v>
      </c>
      <c r="AL84">
        <v>90.066458080391598</v>
      </c>
      <c r="AM84">
        <v>93.705941854703497</v>
      </c>
      <c r="AN84">
        <v>0.99999995060057301</v>
      </c>
    </row>
    <row r="85" spans="1:40" x14ac:dyDescent="0.3">
      <c r="A85" t="str">
        <f>"20200111160405430"</f>
        <v>20200111160405430</v>
      </c>
      <c r="B85" t="str">
        <f>"1578729845421157"</f>
        <v>1578729845421157</v>
      </c>
      <c r="C85" t="s">
        <v>40</v>
      </c>
      <c r="D85">
        <v>5.4796379999999996</v>
      </c>
      <c r="E85">
        <v>0.55059899999999995</v>
      </c>
      <c r="F85" t="s">
        <v>42</v>
      </c>
      <c r="G85">
        <v>-467.87079999999997</v>
      </c>
      <c r="H85">
        <v>0.9157478</v>
      </c>
      <c r="I85">
        <v>367.18830000000003</v>
      </c>
      <c r="J85">
        <v>-468.50880000000001</v>
      </c>
      <c r="K85">
        <v>1.110104</v>
      </c>
      <c r="L85">
        <v>367.22789999999998</v>
      </c>
      <c r="M85">
        <v>0.99994369999999999</v>
      </c>
      <c r="N85">
        <v>0</v>
      </c>
      <c r="O85">
        <v>6.5258449999999995E-4</v>
      </c>
      <c r="P85">
        <v>0.99780659999999999</v>
      </c>
      <c r="Q85">
        <v>-1.286848E-2</v>
      </c>
      <c r="R85">
        <v>6.4933879999999999E-2</v>
      </c>
      <c r="S85">
        <v>3.0077820000000002</v>
      </c>
      <c r="T85">
        <v>-0.79246810000000001</v>
      </c>
      <c r="U85">
        <v>-0.15942379999999901</v>
      </c>
      <c r="V85">
        <v>-6.4282539999999999E-2</v>
      </c>
      <c r="W85">
        <v>-2.2932500000000001E-3</v>
      </c>
      <c r="X85">
        <v>0.99792910000000001</v>
      </c>
      <c r="Y85">
        <v>5.1796210000000002E-2</v>
      </c>
      <c r="Z85">
        <v>-6.8734390000000003E-3</v>
      </c>
      <c r="AA85">
        <v>0.99863400000000002</v>
      </c>
      <c r="AB85">
        <v>10</v>
      </c>
      <c r="AC85">
        <v>0.63800000000003299</v>
      </c>
      <c r="AD85">
        <v>-0.19435619999999901</v>
      </c>
      <c r="AE85">
        <v>-3.95999999999503E-2</v>
      </c>
      <c r="AF85">
        <v>3.6630079842965298E-2</v>
      </c>
      <c r="AG85">
        <v>-0.19435619999999901</v>
      </c>
      <c r="AH85">
        <v>0.58398707592310295</v>
      </c>
      <c r="AI85">
        <v>108.37423303754299</v>
      </c>
      <c r="AJ85">
        <v>86.410874207672705</v>
      </c>
      <c r="AK85">
        <v>0.616568731021091</v>
      </c>
      <c r="AL85">
        <v>90.131393662023001</v>
      </c>
      <c r="AM85">
        <v>93.685669276525999</v>
      </c>
      <c r="AN85">
        <v>0.99999999628561198</v>
      </c>
    </row>
    <row r="86" spans="1:40" x14ac:dyDescent="0.3">
      <c r="A86" t="str">
        <f>"20200111160405453"</f>
        <v>20200111160405453</v>
      </c>
      <c r="B86" t="str">
        <f>"1578729845450438"</f>
        <v>1578729845450438</v>
      </c>
      <c r="C86" t="s">
        <v>40</v>
      </c>
      <c r="D86">
        <v>5.1158400000000004</v>
      </c>
      <c r="E86">
        <v>0.60312410000000005</v>
      </c>
      <c r="F86" t="s">
        <v>42</v>
      </c>
      <c r="G86">
        <v>-467.78</v>
      </c>
      <c r="H86">
        <v>0.91711849999999995</v>
      </c>
      <c r="I86">
        <v>367.18889999999999</v>
      </c>
      <c r="J86">
        <v>-468.40969999999999</v>
      </c>
      <c r="K86">
        <v>1.1100080000000001</v>
      </c>
      <c r="L86">
        <v>367.22800000000001</v>
      </c>
      <c r="M86">
        <v>0.99994380000000005</v>
      </c>
      <c r="N86">
        <v>0</v>
      </c>
      <c r="O86">
        <v>6.5511910000000005E-4</v>
      </c>
      <c r="P86">
        <v>0.99786580000000002</v>
      </c>
      <c r="Q86">
        <v>-1.304818E-2</v>
      </c>
      <c r="R86">
        <v>6.398218E-2</v>
      </c>
      <c r="S86">
        <v>3.0067439999999999</v>
      </c>
      <c r="T86">
        <v>-0.79627409999999998</v>
      </c>
      <c r="U86">
        <v>-0.15994259999999999</v>
      </c>
      <c r="V86">
        <v>-6.3328880000000004E-2</v>
      </c>
      <c r="W86">
        <v>-2.4783399999999999E-3</v>
      </c>
      <c r="X86">
        <v>0.99798969999999998</v>
      </c>
      <c r="Y86">
        <v>5.1964789999999997E-2</v>
      </c>
      <c r="Z86">
        <v>-6.930215E-3</v>
      </c>
      <c r="AA86">
        <v>0.99862490000000004</v>
      </c>
      <c r="AB86">
        <v>10</v>
      </c>
      <c r="AC86">
        <v>0.62970000000001303</v>
      </c>
      <c r="AD86">
        <v>-0.19288949999999999</v>
      </c>
      <c r="AE86">
        <v>-3.9100000000019002E-2</v>
      </c>
      <c r="AF86">
        <v>3.6134959383953502E-2</v>
      </c>
      <c r="AG86">
        <v>-0.19288949999999999</v>
      </c>
      <c r="AH86">
        <v>0.57584887081259295</v>
      </c>
      <c r="AI86">
        <v>108.485191025932</v>
      </c>
      <c r="AJ86">
        <v>86.409353758695104</v>
      </c>
      <c r="AK86">
        <v>0.60836996680972699</v>
      </c>
      <c r="AL86">
        <v>90.141998558295199</v>
      </c>
      <c r="AM86">
        <v>93.630918224805797</v>
      </c>
      <c r="AN86">
        <v>1.00000006525864</v>
      </c>
    </row>
    <row r="87" spans="1:40" x14ac:dyDescent="0.3">
      <c r="A87" t="str">
        <f>"20200111160405474"</f>
        <v>20200111160405474</v>
      </c>
      <c r="B87" t="str">
        <f>"1578729845470934"</f>
        <v>1578729845470934</v>
      </c>
      <c r="C87" t="s">
        <v>40</v>
      </c>
      <c r="D87">
        <v>5.1735850000000001</v>
      </c>
      <c r="E87">
        <v>0.60294159999999997</v>
      </c>
      <c r="F87" t="s">
        <v>42</v>
      </c>
      <c r="G87">
        <v>-467.67489999999998</v>
      </c>
      <c r="H87">
        <v>0.94483689999999998</v>
      </c>
      <c r="I87">
        <v>367.08460000000002</v>
      </c>
      <c r="J87">
        <v>-468.3109</v>
      </c>
      <c r="K87">
        <v>1.1099139999999901</v>
      </c>
      <c r="L87">
        <v>367.22800000000001</v>
      </c>
      <c r="M87">
        <v>0.99994499999999997</v>
      </c>
      <c r="N87">
        <v>0</v>
      </c>
      <c r="O87">
        <v>6.5722100000000004E-4</v>
      </c>
      <c r="P87">
        <v>0.99798359999999997</v>
      </c>
      <c r="Q87">
        <v>-1.1624219999999999E-2</v>
      </c>
      <c r="R87">
        <v>6.2402590000000001E-2</v>
      </c>
      <c r="S87">
        <v>3.035339</v>
      </c>
      <c r="T87">
        <v>-0.68250849999999996</v>
      </c>
      <c r="U87">
        <v>-0.58953859999999902</v>
      </c>
      <c r="V87">
        <v>-6.1747129999999997E-2</v>
      </c>
      <c r="W87">
        <v>-1.157447E-3</v>
      </c>
      <c r="X87">
        <v>0.99809119999999996</v>
      </c>
      <c r="Y87">
        <v>0.18679490000000001</v>
      </c>
      <c r="Z87">
        <v>-2.070135E-2</v>
      </c>
      <c r="AA87">
        <v>0.98218079999999996</v>
      </c>
      <c r="AB87">
        <v>10</v>
      </c>
      <c r="AC87">
        <v>0.63600000000002399</v>
      </c>
      <c r="AD87">
        <v>-0.16507709999999901</v>
      </c>
      <c r="AE87">
        <v>-0.14339999999998501</v>
      </c>
      <c r="AF87">
        <v>0.13515334172493501</v>
      </c>
      <c r="AG87">
        <v>-0.16507709999999901</v>
      </c>
      <c r="AH87">
        <v>0.59759402684400698</v>
      </c>
      <c r="AI87">
        <v>105.079210587917</v>
      </c>
      <c r="AJ87">
        <v>77.256237020987896</v>
      </c>
      <c r="AK87">
        <v>0.63453565356366104</v>
      </c>
      <c r="AL87">
        <v>90.066316839891101</v>
      </c>
      <c r="AM87">
        <v>93.540104156070001</v>
      </c>
      <c r="AN87">
        <v>1.0000000456321101</v>
      </c>
    </row>
    <row r="88" spans="1:40" x14ac:dyDescent="0.3">
      <c r="A88" t="str">
        <f>"20200111160405498"</f>
        <v>20200111160405498</v>
      </c>
      <c r="B88" t="str">
        <f>"1578729845490454"</f>
        <v>1578729845490454</v>
      </c>
      <c r="C88" t="s">
        <v>40</v>
      </c>
      <c r="D88">
        <v>5.2854960000000002</v>
      </c>
      <c r="E88">
        <v>0.60051379999999999</v>
      </c>
      <c r="F88" t="s">
        <v>42</v>
      </c>
      <c r="G88">
        <v>-467.57990000000001</v>
      </c>
      <c r="H88">
        <v>0.9531733</v>
      </c>
      <c r="I88">
        <v>367.08460000000002</v>
      </c>
      <c r="J88">
        <v>-468.20240000000001</v>
      </c>
      <c r="K88">
        <v>1.109845</v>
      </c>
      <c r="L88">
        <v>367.22809999999998</v>
      </c>
      <c r="M88">
        <v>0.99994609999999995</v>
      </c>
      <c r="N88">
        <v>0</v>
      </c>
      <c r="O88">
        <v>6.5981030000000003E-4</v>
      </c>
      <c r="P88">
        <v>0.99809939999999997</v>
      </c>
      <c r="Q88">
        <v>-1.026615E-2</v>
      </c>
      <c r="R88">
        <v>6.0764249999999999E-2</v>
      </c>
      <c r="S88">
        <v>3.0356749999999999</v>
      </c>
      <c r="T88">
        <v>-0.65102209999999905</v>
      </c>
      <c r="U88">
        <v>-0.59466549999999996</v>
      </c>
      <c r="V88">
        <v>-6.0105609999999997E-2</v>
      </c>
      <c r="W88" s="1">
        <v>8.278363E-5</v>
      </c>
      <c r="X88">
        <v>0.99819199999999997</v>
      </c>
      <c r="Y88">
        <v>0.18873699999999999</v>
      </c>
      <c r="Z88">
        <v>-1.9966899999999999E-2</v>
      </c>
      <c r="AA88">
        <v>0.98182460000000005</v>
      </c>
      <c r="AB88">
        <v>10</v>
      </c>
      <c r="AC88">
        <v>0.62250000000000205</v>
      </c>
      <c r="AD88">
        <v>-0.156671699999999</v>
      </c>
      <c r="AE88">
        <v>-0.14349999999995999</v>
      </c>
      <c r="AF88">
        <v>0.13574596960632301</v>
      </c>
      <c r="AG88">
        <v>-0.156671699999999</v>
      </c>
      <c r="AH88">
        <v>0.58709311294048505</v>
      </c>
      <c r="AI88">
        <v>104.574245722584</v>
      </c>
      <c r="AJ88">
        <v>76.981021809446801</v>
      </c>
      <c r="AK88">
        <v>0.62261650564966498</v>
      </c>
      <c r="AL88">
        <v>89.995256847288104</v>
      </c>
      <c r="AM88">
        <v>93.4458747960865</v>
      </c>
      <c r="AN88">
        <v>0.9999999800353</v>
      </c>
    </row>
    <row r="89" spans="1:40" x14ac:dyDescent="0.3">
      <c r="A89" t="str">
        <f>"20200111160405520"</f>
        <v>20200111160405520</v>
      </c>
      <c r="B89" t="str">
        <f>"1578729845510950"</f>
        <v>1578729845510950</v>
      </c>
      <c r="C89" t="s">
        <v>40</v>
      </c>
      <c r="D89">
        <v>5.1358860000000002</v>
      </c>
      <c r="E89">
        <v>0.59551949999999998</v>
      </c>
      <c r="F89" t="s">
        <v>42</v>
      </c>
      <c r="G89">
        <v>-467.48829999999998</v>
      </c>
      <c r="H89">
        <v>0.95446799999999998</v>
      </c>
      <c r="I89">
        <v>367.0915</v>
      </c>
      <c r="J89">
        <v>-468.1001</v>
      </c>
      <c r="K89">
        <v>1.1098330000000001</v>
      </c>
      <c r="L89">
        <v>367.22820000000002</v>
      </c>
      <c r="M89">
        <v>0.99994640000000001</v>
      </c>
      <c r="N89">
        <v>0</v>
      </c>
      <c r="O89">
        <v>6.6236559999999895E-4</v>
      </c>
      <c r="P89">
        <v>0.99811950000000005</v>
      </c>
      <c r="Q89">
        <v>-9.2327329999999999E-3</v>
      </c>
      <c r="R89">
        <v>6.0600689999999999E-2</v>
      </c>
      <c r="S89">
        <v>3.034119</v>
      </c>
      <c r="T89">
        <v>-0.66029640000000001</v>
      </c>
      <c r="U89">
        <v>-0.57873540000000001</v>
      </c>
      <c r="V89">
        <v>-5.9939470000000002E-2</v>
      </c>
      <c r="W89">
        <v>1.083199E-3</v>
      </c>
      <c r="X89">
        <v>0.99820140000000002</v>
      </c>
      <c r="Y89">
        <v>0.18384639999999999</v>
      </c>
      <c r="Z89">
        <v>-1.9743790000000001E-2</v>
      </c>
      <c r="AA89">
        <v>0.98275670000000004</v>
      </c>
      <c r="AB89">
        <v>10</v>
      </c>
      <c r="AC89">
        <v>0.611800000000016</v>
      </c>
      <c r="AD89">
        <v>-0.155365</v>
      </c>
      <c r="AE89">
        <v>-0.136700000000018</v>
      </c>
      <c r="AF89">
        <v>0.129171179677987</v>
      </c>
      <c r="AG89">
        <v>-0.155365</v>
      </c>
      <c r="AH89">
        <v>0.57631073365197705</v>
      </c>
      <c r="AI89">
        <v>104.738256923791</v>
      </c>
      <c r="AJ89">
        <v>77.366819418993998</v>
      </c>
      <c r="AK89">
        <v>0.61070249598874504</v>
      </c>
      <c r="AL89">
        <v>89.937937255187705</v>
      </c>
      <c r="AM89">
        <v>93.436340508042903</v>
      </c>
      <c r="AN89">
        <v>0.99999997417295605</v>
      </c>
    </row>
    <row r="90" spans="1:40" x14ac:dyDescent="0.3">
      <c r="A90" t="str">
        <f>"20200111160405542"</f>
        <v>20200111160405542</v>
      </c>
      <c r="B90" t="str">
        <f>"1578729845530469"</f>
        <v>1578729845530469</v>
      </c>
      <c r="C90" t="s">
        <v>40</v>
      </c>
      <c r="D90">
        <v>5.2514419999999999</v>
      </c>
      <c r="E90">
        <v>0.59234549999999997</v>
      </c>
      <c r="F90" t="s">
        <v>42</v>
      </c>
      <c r="G90">
        <v>-467.39879999999999</v>
      </c>
      <c r="H90">
        <v>0.95123400000000002</v>
      </c>
      <c r="I90">
        <v>367.10379999999998</v>
      </c>
      <c r="J90">
        <v>-468.00240000000002</v>
      </c>
      <c r="K90">
        <v>1.109858</v>
      </c>
      <c r="L90">
        <v>367.22820000000002</v>
      </c>
      <c r="M90">
        <v>0.99994620000000001</v>
      </c>
      <c r="N90">
        <v>0</v>
      </c>
      <c r="O90">
        <v>6.6489849999999998E-4</v>
      </c>
      <c r="P90">
        <v>0.99814179999999997</v>
      </c>
      <c r="Q90">
        <v>-9.1484240000000005E-3</v>
      </c>
      <c r="R90">
        <v>6.024467E-2</v>
      </c>
      <c r="S90">
        <v>3.031952</v>
      </c>
      <c r="T90">
        <v>-0.6856411</v>
      </c>
      <c r="U90">
        <v>-0.53738399999999997</v>
      </c>
      <c r="V90">
        <v>-5.9580569999999999E-2</v>
      </c>
      <c r="W90">
        <v>1.1962089999999999E-3</v>
      </c>
      <c r="X90">
        <v>0.99822279999999997</v>
      </c>
      <c r="Y90">
        <v>0.1709714</v>
      </c>
      <c r="Z90">
        <v>-1.9095689999999998E-2</v>
      </c>
      <c r="AA90">
        <v>0.98509089999999999</v>
      </c>
      <c r="AB90">
        <v>10</v>
      </c>
      <c r="AC90">
        <v>0.603600000000028</v>
      </c>
      <c r="AD90">
        <v>-0.15862399999999999</v>
      </c>
      <c r="AE90">
        <v>-0.124400000000036</v>
      </c>
      <c r="AF90">
        <v>0.117047175647831</v>
      </c>
      <c r="AG90">
        <v>-0.15862399999999999</v>
      </c>
      <c r="AH90">
        <v>0.56601944517391201</v>
      </c>
      <c r="AI90">
        <v>105.346333487278</v>
      </c>
      <c r="AJ90">
        <v>78.316483894159603</v>
      </c>
      <c r="AK90">
        <v>0.59936602090718905</v>
      </c>
      <c r="AL90">
        <v>89.931462257693198</v>
      </c>
      <c r="AM90">
        <v>93.4157405171904</v>
      </c>
      <c r="AN90">
        <v>1.00000001683866</v>
      </c>
    </row>
    <row r="91" spans="1:40" x14ac:dyDescent="0.3">
      <c r="A91" t="str">
        <f>"20200111160405563"</f>
        <v>20200111160405563</v>
      </c>
      <c r="B91" t="str">
        <f>"1578729845560726"</f>
        <v>1578729845560726</v>
      </c>
      <c r="C91" t="s">
        <v>40</v>
      </c>
      <c r="D91">
        <v>5.1459109999999999</v>
      </c>
      <c r="E91">
        <v>0.59021179999999995</v>
      </c>
      <c r="F91" t="s">
        <v>42</v>
      </c>
      <c r="G91">
        <v>-467.30650000000003</v>
      </c>
      <c r="H91">
        <v>0.95342059999999995</v>
      </c>
      <c r="I91">
        <v>367.11</v>
      </c>
      <c r="J91">
        <v>-467.90350000000001</v>
      </c>
      <c r="K91">
        <v>1.1098859999999999</v>
      </c>
      <c r="L91">
        <v>367.22829999999999</v>
      </c>
      <c r="M91">
        <v>0.99994570000000005</v>
      </c>
      <c r="N91">
        <v>0</v>
      </c>
      <c r="O91">
        <v>6.6774800000000002E-4</v>
      </c>
      <c r="P91">
        <v>0.99817409999999995</v>
      </c>
      <c r="Q91">
        <v>-9.9227580000000003E-3</v>
      </c>
      <c r="R91">
        <v>5.9582830000000003E-2</v>
      </c>
      <c r="S91">
        <v>3.0303040000000001</v>
      </c>
      <c r="T91">
        <v>-0.68135089999999998</v>
      </c>
      <c r="U91">
        <v>-0.51318359999999996</v>
      </c>
      <c r="V91">
        <v>-5.8916589999999998E-2</v>
      </c>
      <c r="W91">
        <v>4.5901939999999999E-4</v>
      </c>
      <c r="X91">
        <v>0.99826280000000001</v>
      </c>
      <c r="Y91">
        <v>0.16364219999999999</v>
      </c>
      <c r="Z91">
        <v>-1.8193750000000002E-2</v>
      </c>
      <c r="AA91">
        <v>0.98635200000000001</v>
      </c>
      <c r="AB91">
        <v>10</v>
      </c>
      <c r="AC91">
        <v>0.59699999999997999</v>
      </c>
      <c r="AD91">
        <v>-0.1564654</v>
      </c>
      <c r="AE91">
        <v>-0.11829999999997599</v>
      </c>
      <c r="AF91">
        <v>0.11133976625103501</v>
      </c>
      <c r="AG91">
        <v>-0.1564654</v>
      </c>
      <c r="AH91">
        <v>0.55991399314744705</v>
      </c>
      <c r="AI91">
        <v>105.327187958948</v>
      </c>
      <c r="AJ91">
        <v>78.753351910906503</v>
      </c>
      <c r="AK91">
        <v>0.59193043904525999</v>
      </c>
      <c r="AL91">
        <v>89.9737001246516</v>
      </c>
      <c r="AM91">
        <v>93.377628293785804</v>
      </c>
      <c r="AN91">
        <v>0.99999999656993799</v>
      </c>
    </row>
    <row r="92" spans="1:40" x14ac:dyDescent="0.3">
      <c r="A92" t="str">
        <f>"20200111160405586"</f>
        <v>20200111160405586</v>
      </c>
      <c r="B92" t="str">
        <f>"1578729845581221"</f>
        <v>1578729845581221</v>
      </c>
      <c r="C92" t="s">
        <v>40</v>
      </c>
      <c r="D92">
        <v>5.115939</v>
      </c>
      <c r="E92">
        <v>0.58911939999999996</v>
      </c>
      <c r="F92" t="s">
        <v>42</v>
      </c>
      <c r="G92">
        <v>-467.21570000000003</v>
      </c>
      <c r="H92">
        <v>0.95201210000000003</v>
      </c>
      <c r="I92">
        <v>367.11529999999999</v>
      </c>
      <c r="J92">
        <v>-467.80059999999997</v>
      </c>
      <c r="K92">
        <v>1.10992</v>
      </c>
      <c r="L92">
        <v>367.22840000000002</v>
      </c>
      <c r="M92">
        <v>0.99994570000000005</v>
      </c>
      <c r="N92">
        <v>0</v>
      </c>
      <c r="O92">
        <v>6.7005059999999895E-4</v>
      </c>
      <c r="P92">
        <v>0.99820880000000001</v>
      </c>
      <c r="Q92">
        <v>-1.0500600000000001E-2</v>
      </c>
      <c r="R92">
        <v>5.8899970000000003E-2</v>
      </c>
      <c r="S92">
        <v>3.0282290000000001</v>
      </c>
      <c r="T92">
        <v>-0.69520909999999903</v>
      </c>
      <c r="U92">
        <v>-0.49679570000000001</v>
      </c>
      <c r="V92">
        <v>-5.8231129999999999E-2</v>
      </c>
      <c r="W92">
        <v>-1.026103E-4</v>
      </c>
      <c r="X92">
        <v>0.9983031</v>
      </c>
      <c r="Y92">
        <v>0.15851789999999999</v>
      </c>
      <c r="Z92">
        <v>-1.7998409999999999E-2</v>
      </c>
      <c r="AA92">
        <v>0.98719199999999996</v>
      </c>
      <c r="AB92">
        <v>10</v>
      </c>
      <c r="AC92">
        <v>0.58489999999994702</v>
      </c>
      <c r="AD92">
        <v>-0.15790789999999999</v>
      </c>
      <c r="AE92">
        <v>-0.113100000000031</v>
      </c>
      <c r="AF92">
        <v>0.106041532628012</v>
      </c>
      <c r="AG92">
        <v>-0.15790789999999999</v>
      </c>
      <c r="AH92">
        <v>0.54643227727822896</v>
      </c>
      <c r="AI92">
        <v>105.83796934438401</v>
      </c>
      <c r="AJ92">
        <v>79.017595830006698</v>
      </c>
      <c r="AK92">
        <v>0.57859134557646097</v>
      </c>
      <c r="AL92">
        <v>90.005879137268593</v>
      </c>
      <c r="AM92">
        <v>93.338286507440003</v>
      </c>
      <c r="AN92">
        <v>0.99999997724977996</v>
      </c>
    </row>
    <row r="93" spans="1:40" x14ac:dyDescent="0.3">
      <c r="A93" t="str">
        <f>"20200111160405608"</f>
        <v>20200111160405608</v>
      </c>
      <c r="B93" t="str">
        <f>"1578729845600742"</f>
        <v>1578729845600742</v>
      </c>
      <c r="C93" t="s">
        <v>40</v>
      </c>
      <c r="D93">
        <v>5.1139229999999998</v>
      </c>
      <c r="E93">
        <v>0.58792489999999997</v>
      </c>
      <c r="F93" t="s">
        <v>42</v>
      </c>
      <c r="G93">
        <v>-467.03980000000001</v>
      </c>
      <c r="H93">
        <v>0.93436830000000004</v>
      </c>
      <c r="I93">
        <v>367.10500000000002</v>
      </c>
      <c r="J93">
        <v>-467.69499999999999</v>
      </c>
      <c r="K93">
        <v>1.1099559999999999</v>
      </c>
      <c r="L93">
        <v>367.22840000000002</v>
      </c>
      <c r="M93">
        <v>0.99994559999999999</v>
      </c>
      <c r="N93">
        <v>0</v>
      </c>
      <c r="O93">
        <v>6.7270939999999999E-4</v>
      </c>
      <c r="P93">
        <v>0.99825620000000004</v>
      </c>
      <c r="Q93">
        <v>-1.013002E-2</v>
      </c>
      <c r="R93">
        <v>5.8156409999999999E-2</v>
      </c>
      <c r="S93">
        <v>3.0269170000000001</v>
      </c>
      <c r="T93">
        <v>-0.69844439999999997</v>
      </c>
      <c r="U93">
        <v>-0.48965449999999999</v>
      </c>
      <c r="V93">
        <v>-5.7485170000000002E-2</v>
      </c>
      <c r="W93">
        <v>2.7305279999999998E-4</v>
      </c>
      <c r="X93">
        <v>0.99834630000000002</v>
      </c>
      <c r="Y93">
        <v>0.15633320000000001</v>
      </c>
      <c r="Z93">
        <v>-1.7844249999999999E-2</v>
      </c>
      <c r="AA93">
        <v>0.98754319999999896</v>
      </c>
      <c r="AB93">
        <v>10</v>
      </c>
      <c r="AC93">
        <v>0.65519999999997902</v>
      </c>
      <c r="AD93">
        <v>-0.17558769999999899</v>
      </c>
      <c r="AE93">
        <v>-0.12340000000000299</v>
      </c>
      <c r="AF93">
        <v>0.115808411948984</v>
      </c>
      <c r="AG93">
        <v>-0.17558769999999899</v>
      </c>
      <c r="AH93">
        <v>0.61262578863031403</v>
      </c>
      <c r="AI93">
        <v>105.728662332285</v>
      </c>
      <c r="AJ93">
        <v>79.295343481416694</v>
      </c>
      <c r="AK93">
        <v>0.64772909890196295</v>
      </c>
      <c r="AL93">
        <v>89.984355226421897</v>
      </c>
      <c r="AM93">
        <v>93.295474533715094</v>
      </c>
      <c r="AN93">
        <v>0.99999997702572496</v>
      </c>
    </row>
    <row r="94" spans="1:40" x14ac:dyDescent="0.3">
      <c r="A94" t="str">
        <f>"20200111160405630"</f>
        <v>20200111160405630</v>
      </c>
      <c r="B94" t="str">
        <f>"1578729845620264"</f>
        <v>1578729845620264</v>
      </c>
      <c r="C94" t="s">
        <v>40</v>
      </c>
      <c r="D94">
        <v>5.2743760000000002</v>
      </c>
      <c r="E94">
        <v>0.58657499999999996</v>
      </c>
      <c r="F94" t="s">
        <v>42</v>
      </c>
      <c r="G94">
        <v>-466.94650000000001</v>
      </c>
      <c r="H94">
        <v>0.93694129999999998</v>
      </c>
      <c r="I94">
        <v>367.10860000000002</v>
      </c>
      <c r="J94">
        <v>-467.5924</v>
      </c>
      <c r="K94">
        <v>1.109998</v>
      </c>
      <c r="L94">
        <v>367.2285</v>
      </c>
      <c r="M94">
        <v>0.99994550000000004</v>
      </c>
      <c r="N94">
        <v>0</v>
      </c>
      <c r="O94">
        <v>6.7534119999999897E-4</v>
      </c>
      <c r="P94">
        <v>0.99830260000000004</v>
      </c>
      <c r="Q94">
        <v>-9.3547270000000002E-3</v>
      </c>
      <c r="R94">
        <v>5.7484010000000002E-2</v>
      </c>
      <c r="S94">
        <v>3.0262150000000001</v>
      </c>
      <c r="T94">
        <v>-0.69958640000000005</v>
      </c>
      <c r="U94">
        <v>-0.48233029999999999</v>
      </c>
      <c r="V94">
        <v>-5.6809610000000003E-2</v>
      </c>
      <c r="W94">
        <v>1.0584030000000001E-3</v>
      </c>
      <c r="X94">
        <v>0.99838450000000001</v>
      </c>
      <c r="Y94">
        <v>0.15408259999999999</v>
      </c>
      <c r="Z94">
        <v>-1.762536E-2</v>
      </c>
      <c r="AA94">
        <v>0.98790069999999996</v>
      </c>
      <c r="AB94">
        <v>10</v>
      </c>
      <c r="AC94">
        <v>0.64589999999998304</v>
      </c>
      <c r="AD94">
        <v>-0.17305669999999901</v>
      </c>
      <c r="AE94">
        <v>-0.119899999999972</v>
      </c>
      <c r="AF94">
        <v>0.112527284957869</v>
      </c>
      <c r="AG94">
        <v>-0.17305669999999901</v>
      </c>
      <c r="AH94">
        <v>0.60391008725748596</v>
      </c>
      <c r="AI94">
        <v>105.73314826250299</v>
      </c>
      <c r="AJ94">
        <v>79.445051917923806</v>
      </c>
      <c r="AK94">
        <v>0.63821501452584495</v>
      </c>
      <c r="AL94">
        <v>89.939357965629199</v>
      </c>
      <c r="AM94">
        <v>93.256705962706604</v>
      </c>
      <c r="AN94">
        <v>1.0000000309227499</v>
      </c>
    </row>
    <row r="95" spans="1:40" x14ac:dyDescent="0.3">
      <c r="A95" t="str">
        <f>"20200111160405653"</f>
        <v>20200111160405653</v>
      </c>
      <c r="B95" t="str">
        <f>"1578729845640757"</f>
        <v>1578729845640757</v>
      </c>
      <c r="C95" t="s">
        <v>40</v>
      </c>
      <c r="D95">
        <v>5.1530370000000003</v>
      </c>
      <c r="E95">
        <v>0.58562590000000003</v>
      </c>
      <c r="F95" t="s">
        <v>42</v>
      </c>
      <c r="G95">
        <v>-466.85410000000002</v>
      </c>
      <c r="H95">
        <v>0.93734600000000001</v>
      </c>
      <c r="I95">
        <v>367.11290000000002</v>
      </c>
      <c r="J95">
        <v>-467.49180000000001</v>
      </c>
      <c r="K95">
        <v>1.110039</v>
      </c>
      <c r="L95">
        <v>367.2285</v>
      </c>
      <c r="M95">
        <v>0.99994519999999998</v>
      </c>
      <c r="N95">
        <v>0</v>
      </c>
      <c r="O95">
        <v>6.7793539999999998E-4</v>
      </c>
      <c r="P95">
        <v>0.99829520000000005</v>
      </c>
      <c r="Q95">
        <v>-9.1363490000000002E-3</v>
      </c>
      <c r="R95">
        <v>5.7646669999999997E-2</v>
      </c>
      <c r="S95">
        <v>3.025665</v>
      </c>
      <c r="T95">
        <v>-0.70763580000000004</v>
      </c>
      <c r="U95">
        <v>-0.47244259999999899</v>
      </c>
      <c r="V95">
        <v>-5.6970029999999998E-2</v>
      </c>
      <c r="W95">
        <v>1.2939609999999999E-3</v>
      </c>
      <c r="X95">
        <v>0.99837509999999996</v>
      </c>
      <c r="Y95">
        <v>0.1509498</v>
      </c>
      <c r="Z95">
        <v>-1.747162E-2</v>
      </c>
      <c r="AA95">
        <v>0.98838700000000002</v>
      </c>
      <c r="AB95">
        <v>10</v>
      </c>
      <c r="AC95">
        <v>0.63769999999999505</v>
      </c>
      <c r="AD95">
        <v>-0.17269300000000001</v>
      </c>
      <c r="AE95">
        <v>-0.115599999999972</v>
      </c>
      <c r="AF95">
        <v>0.10833989449035999</v>
      </c>
      <c r="AG95">
        <v>-0.17269300000000001</v>
      </c>
      <c r="AH95">
        <v>0.59535003674181197</v>
      </c>
      <c r="AI95">
        <v>105.927838674299</v>
      </c>
      <c r="AJ95">
        <v>79.686356452454007</v>
      </c>
      <c r="AK95">
        <v>0.62928695460470097</v>
      </c>
      <c r="AL95">
        <v>89.9258614788248</v>
      </c>
      <c r="AM95">
        <v>93.265913111669903</v>
      </c>
      <c r="AN95">
        <v>1.0000000494766299</v>
      </c>
    </row>
    <row r="96" spans="1:40" x14ac:dyDescent="0.3">
      <c r="A96" t="str">
        <f>"20200111160405675"</f>
        <v>20200111160405675</v>
      </c>
      <c r="B96" t="str">
        <f>"1578729845671014"</f>
        <v>1578729845671014</v>
      </c>
      <c r="C96" t="s">
        <v>40</v>
      </c>
      <c r="D96">
        <v>5.1282439999999996</v>
      </c>
      <c r="E96">
        <v>0.58444090000000004</v>
      </c>
      <c r="F96" t="s">
        <v>42</v>
      </c>
      <c r="G96">
        <v>-466.76170000000002</v>
      </c>
      <c r="H96">
        <v>0.93719549999999996</v>
      </c>
      <c r="I96">
        <v>367.11610000000002</v>
      </c>
      <c r="J96">
        <v>-467.38639999999998</v>
      </c>
      <c r="K96">
        <v>1.110079</v>
      </c>
      <c r="L96">
        <v>367.22859999999997</v>
      </c>
      <c r="M96">
        <v>0.99994510000000003</v>
      </c>
      <c r="N96">
        <v>0</v>
      </c>
      <c r="O96">
        <v>6.8075690000000001E-4</v>
      </c>
      <c r="P96">
        <v>0.99828190000000006</v>
      </c>
      <c r="Q96">
        <v>-9.0288910000000007E-3</v>
      </c>
      <c r="R96">
        <v>5.789623E-2</v>
      </c>
      <c r="S96">
        <v>3.025299</v>
      </c>
      <c r="T96">
        <v>-0.71631369999999905</v>
      </c>
      <c r="U96">
        <v>-0.463501</v>
      </c>
      <c r="V96">
        <v>-5.7216620000000003E-2</v>
      </c>
      <c r="W96">
        <v>1.419846E-3</v>
      </c>
      <c r="X96">
        <v>0.99836080000000005</v>
      </c>
      <c r="Y96">
        <v>0.14809369999999999</v>
      </c>
      <c r="Z96">
        <v>-1.7355120000000002E-2</v>
      </c>
      <c r="AA96">
        <v>0.98882099999999995</v>
      </c>
      <c r="AB96">
        <v>10</v>
      </c>
      <c r="AC96">
        <v>0.62469999999996095</v>
      </c>
      <c r="AD96">
        <v>-0.1728835</v>
      </c>
      <c r="AE96">
        <v>-0.112499999999954</v>
      </c>
      <c r="AF96">
        <v>0.105126678768764</v>
      </c>
      <c r="AG96">
        <v>-0.1728835</v>
      </c>
      <c r="AH96">
        <v>0.58148695807903805</v>
      </c>
      <c r="AI96">
        <v>106.30788834578399</v>
      </c>
      <c r="AJ96">
        <v>79.752222417762994</v>
      </c>
      <c r="AK96">
        <v>0.61568450165422695</v>
      </c>
      <c r="AL96">
        <v>89.918648791119693</v>
      </c>
      <c r="AM96">
        <v>93.280065422908905</v>
      </c>
      <c r="AN96">
        <v>1.00000002227176</v>
      </c>
    </row>
    <row r="97" spans="1:40" x14ac:dyDescent="0.3">
      <c r="A97" t="str">
        <f>"20200111160405698"</f>
        <v>20200111160405698</v>
      </c>
      <c r="B97" t="str">
        <f>"1578729845690534"</f>
        <v>1578729845690534</v>
      </c>
      <c r="C97" t="s">
        <v>40</v>
      </c>
      <c r="D97">
        <v>5.1479410000000003</v>
      </c>
      <c r="E97">
        <v>0.58382149999999999</v>
      </c>
      <c r="F97" t="s">
        <v>42</v>
      </c>
      <c r="G97">
        <v>-466.66899999999998</v>
      </c>
      <c r="H97">
        <v>0.93759269999999995</v>
      </c>
      <c r="I97">
        <v>367.12079999999997</v>
      </c>
      <c r="J97">
        <v>-467.28030000000001</v>
      </c>
      <c r="K97">
        <v>1.110115</v>
      </c>
      <c r="L97">
        <v>367.2287</v>
      </c>
      <c r="M97">
        <v>0.99994490000000003</v>
      </c>
      <c r="N97">
        <v>0</v>
      </c>
      <c r="O97">
        <v>6.8336030000000004E-4</v>
      </c>
      <c r="P97">
        <v>0.99825350000000002</v>
      </c>
      <c r="Q97">
        <v>-9.1251149999999996E-3</v>
      </c>
      <c r="R97">
        <v>5.8366349999999997E-2</v>
      </c>
      <c r="S97">
        <v>3.0248110000000001</v>
      </c>
      <c r="T97">
        <v>-0.72738190000000003</v>
      </c>
      <c r="U97">
        <v>-0.45285029999999998</v>
      </c>
      <c r="V97">
        <v>-5.7684100000000002E-2</v>
      </c>
      <c r="W97">
        <v>1.3378299999999999E-3</v>
      </c>
      <c r="X97">
        <v>0.99833400000000005</v>
      </c>
      <c r="Y97">
        <v>0.14468320000000001</v>
      </c>
      <c r="Z97">
        <v>-1.722166E-2</v>
      </c>
      <c r="AA97">
        <v>0.98932810000000004</v>
      </c>
      <c r="AB97">
        <v>10</v>
      </c>
      <c r="AC97">
        <v>0.61129999999997098</v>
      </c>
      <c r="AD97">
        <v>-0.17252229999999999</v>
      </c>
      <c r="AE97">
        <v>-0.107900000000029</v>
      </c>
      <c r="AF97">
        <v>0.100550910331014</v>
      </c>
      <c r="AG97">
        <v>-0.17252229999999999</v>
      </c>
      <c r="AH97">
        <v>0.567398701137661</v>
      </c>
      <c r="AI97">
        <v>106.667357236347</v>
      </c>
      <c r="AJ97">
        <v>79.950725645929893</v>
      </c>
      <c r="AK97">
        <v>0.60151119326109803</v>
      </c>
      <c r="AL97">
        <v>89.923347965223599</v>
      </c>
      <c r="AM97">
        <v>93.306894057363394</v>
      </c>
      <c r="AN97">
        <v>1.0000000103689499</v>
      </c>
    </row>
    <row r="98" spans="1:40" x14ac:dyDescent="0.3">
      <c r="A98" t="str">
        <f>"20200111160405722"</f>
        <v>20200111160405722</v>
      </c>
      <c r="B98" t="str">
        <f>"1578729845710987"</f>
        <v>1578729845710987</v>
      </c>
      <c r="C98" t="s">
        <v>40</v>
      </c>
      <c r="D98">
        <v>5.1310250000000002</v>
      </c>
      <c r="E98">
        <v>0.58327850000000003</v>
      </c>
      <c r="F98" t="s">
        <v>42</v>
      </c>
      <c r="G98">
        <v>-466.57560000000001</v>
      </c>
      <c r="H98">
        <v>0.9389054</v>
      </c>
      <c r="I98">
        <v>367.1241</v>
      </c>
      <c r="J98">
        <v>-467.17</v>
      </c>
      <c r="K98">
        <v>1.1101379999999901</v>
      </c>
      <c r="L98">
        <v>367.2287</v>
      </c>
      <c r="M98">
        <v>0.99994479999999997</v>
      </c>
      <c r="N98">
        <v>0</v>
      </c>
      <c r="O98">
        <v>6.8615829999999997E-4</v>
      </c>
      <c r="P98">
        <v>0.99822460000000002</v>
      </c>
      <c r="Q98">
        <v>-9.4752949999999999E-3</v>
      </c>
      <c r="R98">
        <v>5.8805900000000001E-2</v>
      </c>
      <c r="S98">
        <v>3.0246279999999999</v>
      </c>
      <c r="T98">
        <v>-0.73504329999999996</v>
      </c>
      <c r="U98">
        <v>-0.44641110000000001</v>
      </c>
      <c r="V98">
        <v>-5.812113E-2</v>
      </c>
      <c r="W98">
        <v>9.9975239999999994E-4</v>
      </c>
      <c r="X98">
        <v>0.998309</v>
      </c>
      <c r="Y98">
        <v>0.14260610000000001</v>
      </c>
      <c r="Z98">
        <v>-1.7154820000000001E-2</v>
      </c>
      <c r="AA98">
        <v>0.98963080000000003</v>
      </c>
      <c r="AB98">
        <v>10</v>
      </c>
      <c r="AC98">
        <v>0.59440000000000703</v>
      </c>
      <c r="AD98">
        <v>-0.17123259999999901</v>
      </c>
      <c r="AE98">
        <v>-0.104600000000004</v>
      </c>
      <c r="AF98">
        <v>9.7184924024954406E-2</v>
      </c>
      <c r="AG98">
        <v>-0.17123259999999901</v>
      </c>
      <c r="AH98">
        <v>0.55005153926901795</v>
      </c>
      <c r="AI98">
        <v>107.043169162141</v>
      </c>
      <c r="AJ98">
        <v>79.980200928446195</v>
      </c>
      <c r="AK98">
        <v>0.58422787387517905</v>
      </c>
      <c r="AL98">
        <v>89.942718395224105</v>
      </c>
      <c r="AM98">
        <v>93.331974978137097</v>
      </c>
      <c r="AN98">
        <v>0.99999996236916799</v>
      </c>
    </row>
    <row r="99" spans="1:40" x14ac:dyDescent="0.3">
      <c r="A99" t="str">
        <f>"20200111160405743"</f>
        <v>20200111160405743</v>
      </c>
      <c r="B99" t="str">
        <f>"1578729845740267"</f>
        <v>1578729845740267</v>
      </c>
      <c r="C99" t="s">
        <v>40</v>
      </c>
      <c r="D99">
        <v>5.1951400000000003</v>
      </c>
      <c r="E99">
        <v>0.58253650000000001</v>
      </c>
      <c r="F99" t="s">
        <v>42</v>
      </c>
      <c r="G99">
        <v>-466.48160000000001</v>
      </c>
      <c r="H99">
        <v>0.9410944</v>
      </c>
      <c r="I99">
        <v>367.12860000000001</v>
      </c>
      <c r="J99">
        <v>-467.07229999999998</v>
      </c>
      <c r="K99">
        <v>1.1101650000000001</v>
      </c>
      <c r="L99">
        <v>367.22879999999998</v>
      </c>
      <c r="M99">
        <v>0.99994470000000002</v>
      </c>
      <c r="N99">
        <v>0</v>
      </c>
      <c r="O99">
        <v>6.886107E-4</v>
      </c>
      <c r="P99">
        <v>0.99821689999999996</v>
      </c>
      <c r="Q99">
        <v>-9.3547219999999993E-3</v>
      </c>
      <c r="R99">
        <v>5.8957959999999997E-2</v>
      </c>
      <c r="S99">
        <v>3.0242</v>
      </c>
      <c r="T99">
        <v>-0.74261699999999997</v>
      </c>
      <c r="U99">
        <v>-0.4398804</v>
      </c>
      <c r="V99">
        <v>-5.8270599999999999E-2</v>
      </c>
      <c r="W99">
        <v>1.129929E-3</v>
      </c>
      <c r="X99">
        <v>0.99830019999999997</v>
      </c>
      <c r="Y99">
        <v>0.140511</v>
      </c>
      <c r="Z99">
        <v>-1.707991E-2</v>
      </c>
      <c r="AA99">
        <v>0.98993180000000003</v>
      </c>
      <c r="AB99">
        <v>10</v>
      </c>
      <c r="AC99">
        <v>0.59069999999996903</v>
      </c>
      <c r="AD99">
        <v>-0.16907059999999999</v>
      </c>
      <c r="AE99">
        <v>-0.10019999999997201</v>
      </c>
      <c r="AF99">
        <v>9.3186245979174798E-2</v>
      </c>
      <c r="AG99">
        <v>-0.16907059999999999</v>
      </c>
      <c r="AH99">
        <v>0.54706733244480299</v>
      </c>
      <c r="AI99">
        <v>106.943919403924</v>
      </c>
      <c r="AJ99">
        <v>80.333144842443005</v>
      </c>
      <c r="AK99">
        <v>0.58013033919311996</v>
      </c>
      <c r="AL99">
        <v>89.935259824309398</v>
      </c>
      <c r="AM99">
        <v>93.340553811411297</v>
      </c>
      <c r="AN99">
        <v>1.0000000144419701</v>
      </c>
    </row>
    <row r="100" spans="1:40" x14ac:dyDescent="0.3">
      <c r="A100" t="str">
        <f>"20200111160405766"</f>
        <v>20200111160405766</v>
      </c>
      <c r="B100" t="str">
        <f>"1578729845760763"</f>
        <v>1578729845760763</v>
      </c>
      <c r="C100" t="s">
        <v>40</v>
      </c>
      <c r="D100">
        <v>5.2225840000000003</v>
      </c>
      <c r="E100">
        <v>0.58213369999999998</v>
      </c>
      <c r="F100" t="s">
        <v>42</v>
      </c>
      <c r="G100">
        <v>-466.38869999999997</v>
      </c>
      <c r="H100">
        <v>0.94051269999999998</v>
      </c>
      <c r="I100">
        <v>367.13040000000001</v>
      </c>
      <c r="J100">
        <v>-466.96699999999998</v>
      </c>
      <c r="K100">
        <v>1.110187</v>
      </c>
      <c r="L100">
        <v>367.22890000000001</v>
      </c>
      <c r="M100">
        <v>0.99994450000000001</v>
      </c>
      <c r="N100">
        <v>0</v>
      </c>
      <c r="O100">
        <v>6.9094679999999996E-4</v>
      </c>
      <c r="P100">
        <v>0.9982181</v>
      </c>
      <c r="Q100">
        <v>-9.3872169999999998E-3</v>
      </c>
      <c r="R100">
        <v>5.8926539999999999E-2</v>
      </c>
      <c r="S100">
        <v>3.0239259999999999</v>
      </c>
      <c r="T100">
        <v>-0.75052640000000004</v>
      </c>
      <c r="U100">
        <v>-0.43316650000000001</v>
      </c>
      <c r="V100">
        <v>-5.8236799999999998E-2</v>
      </c>
      <c r="W100">
        <v>1.107518E-3</v>
      </c>
      <c r="X100">
        <v>0.99830220000000003</v>
      </c>
      <c r="Y100">
        <v>0.138348</v>
      </c>
      <c r="Z100">
        <v>-1.6998119999999999E-2</v>
      </c>
      <c r="AA100">
        <v>0.99023779999999995</v>
      </c>
      <c r="AB100">
        <v>10</v>
      </c>
      <c r="AC100">
        <v>0.57830000000001203</v>
      </c>
      <c r="AD100">
        <v>-0.169674299999999</v>
      </c>
      <c r="AE100">
        <v>-9.8500000000001295E-2</v>
      </c>
      <c r="AF100">
        <v>9.1264592237528794E-2</v>
      </c>
      <c r="AG100">
        <v>-0.169674299999999</v>
      </c>
      <c r="AH100">
        <v>0.53359269189470504</v>
      </c>
      <c r="AI100">
        <v>107.40272012489901</v>
      </c>
      <c r="AJ100">
        <v>80.294165698540994</v>
      </c>
      <c r="AK100">
        <v>0.567309223193322</v>
      </c>
      <c r="AL100">
        <v>89.9365438809713</v>
      </c>
      <c r="AM100">
        <v>93.338613826205503</v>
      </c>
      <c r="AN100">
        <v>1.0000000169976</v>
      </c>
    </row>
    <row r="101" spans="1:40" x14ac:dyDescent="0.3">
      <c r="A101" t="str">
        <f>"20200111160405788"</f>
        <v>20200111160405788</v>
      </c>
      <c r="B101" t="str">
        <f>"1578729845780283"</f>
        <v>1578729845780283</v>
      </c>
      <c r="C101" t="s">
        <v>40</v>
      </c>
      <c r="D101">
        <v>5.2271809999999999</v>
      </c>
      <c r="E101">
        <v>0.58176850000000002</v>
      </c>
      <c r="F101" t="s">
        <v>42</v>
      </c>
      <c r="G101">
        <v>-466.21039999999999</v>
      </c>
      <c r="H101">
        <v>0.92115829999999999</v>
      </c>
      <c r="I101">
        <v>367.12110000000001</v>
      </c>
      <c r="J101">
        <v>-466.86160000000001</v>
      </c>
      <c r="K101">
        <v>1.1102019999999999</v>
      </c>
      <c r="L101">
        <v>367.22890000000001</v>
      </c>
      <c r="M101">
        <v>0.99994439999999996</v>
      </c>
      <c r="N101">
        <v>0</v>
      </c>
      <c r="O101">
        <v>6.9360429999999903E-4</v>
      </c>
      <c r="P101">
        <v>0.99821559999999998</v>
      </c>
      <c r="Q101">
        <v>-9.5295369999999994E-3</v>
      </c>
      <c r="R101">
        <v>5.8945539999999998E-2</v>
      </c>
      <c r="S101">
        <v>3.0236209999999999</v>
      </c>
      <c r="T101">
        <v>-0.75543680000000002</v>
      </c>
      <c r="U101">
        <v>-0.42950440000000001</v>
      </c>
      <c r="V101">
        <v>-5.8252989999999998E-2</v>
      </c>
      <c r="W101">
        <v>9.6923500000000004E-4</v>
      </c>
      <c r="X101">
        <v>0.99830140000000001</v>
      </c>
      <c r="Y101">
        <v>0.1371694</v>
      </c>
      <c r="Z101">
        <v>-1.6965460000000002E-2</v>
      </c>
      <c r="AA101">
        <v>0.99040229999999996</v>
      </c>
      <c r="AB101">
        <v>10</v>
      </c>
      <c r="AC101">
        <v>0.65120000000001699</v>
      </c>
      <c r="AD101">
        <v>-0.18904370000000001</v>
      </c>
      <c r="AE101">
        <v>-0.107799999999997</v>
      </c>
      <c r="AF101">
        <v>0.10004530182025</v>
      </c>
      <c r="AG101">
        <v>-0.18904370000000001</v>
      </c>
      <c r="AH101">
        <v>0.60176440228272599</v>
      </c>
      <c r="AI101">
        <v>107.21797033930901</v>
      </c>
      <c r="AJ101">
        <v>80.560724859826905</v>
      </c>
      <c r="AK101">
        <v>0.63864464201986504</v>
      </c>
      <c r="AL101">
        <v>89.944466917434596</v>
      </c>
      <c r="AM101">
        <v>93.3395425403167</v>
      </c>
      <c r="AN101">
        <v>1.0000000177511901</v>
      </c>
    </row>
    <row r="102" spans="1:40" x14ac:dyDescent="0.3">
      <c r="A102" t="str">
        <f>"20200111160405811"</f>
        <v>20200111160405811</v>
      </c>
      <c r="B102" t="str">
        <f>"1578729845800779"</f>
        <v>1578729845800779</v>
      </c>
      <c r="C102" t="s">
        <v>40</v>
      </c>
      <c r="D102">
        <v>5.4412949999999896</v>
      </c>
      <c r="E102">
        <v>0.58123029999999998</v>
      </c>
      <c r="F102" t="s">
        <v>42</v>
      </c>
      <c r="G102">
        <v>-466.11599999999999</v>
      </c>
      <c r="H102">
        <v>0.92273159999999999</v>
      </c>
      <c r="I102">
        <v>367.12369999999999</v>
      </c>
      <c r="J102">
        <v>-466.75599999999997</v>
      </c>
      <c r="K102">
        <v>1.1102190000000001</v>
      </c>
      <c r="L102">
        <v>367.22899999999998</v>
      </c>
      <c r="M102">
        <v>0.99994459999999996</v>
      </c>
      <c r="N102">
        <v>0</v>
      </c>
      <c r="O102">
        <v>6.9611640000000002E-4</v>
      </c>
      <c r="P102">
        <v>0.99824000000000002</v>
      </c>
      <c r="Q102">
        <v>-9.6833560000000006E-3</v>
      </c>
      <c r="R102">
        <v>5.8511420000000001E-2</v>
      </c>
      <c r="S102">
        <v>3.023285</v>
      </c>
      <c r="T102">
        <v>-0.76022339999999999</v>
      </c>
      <c r="U102">
        <v>-0.42611690000000002</v>
      </c>
      <c r="V102">
        <v>-5.7816489999999998E-2</v>
      </c>
      <c r="W102">
        <v>8.1426289999999896E-4</v>
      </c>
      <c r="X102">
        <v>0.99832690000000002</v>
      </c>
      <c r="Y102">
        <v>0.13607859999999999</v>
      </c>
      <c r="Z102">
        <v>-1.6939079999999999E-2</v>
      </c>
      <c r="AA102">
        <v>0.99055320000000002</v>
      </c>
      <c r="AB102">
        <v>10</v>
      </c>
      <c r="AC102">
        <v>0.63999999999998602</v>
      </c>
      <c r="AD102">
        <v>-0.1874874</v>
      </c>
      <c r="AE102">
        <v>-0.105300000000056</v>
      </c>
      <c r="AF102">
        <v>9.7591075115479903E-2</v>
      </c>
      <c r="AG102">
        <v>-0.1874874</v>
      </c>
      <c r="AH102">
        <v>0.59057937226983903</v>
      </c>
      <c r="AI102">
        <v>107.391386747524</v>
      </c>
      <c r="AJ102">
        <v>80.616875718536406</v>
      </c>
      <c r="AK102">
        <v>0.62726353158109904</v>
      </c>
      <c r="AL102">
        <v>89.953346167465796</v>
      </c>
      <c r="AM102">
        <v>93.314490283476303</v>
      </c>
      <c r="AN102">
        <v>1.0000000044018</v>
      </c>
    </row>
    <row r="103" spans="1:40" x14ac:dyDescent="0.3">
      <c r="A103" t="str">
        <f>"20200111160405832"</f>
        <v>20200111160405832</v>
      </c>
      <c r="B103" t="str">
        <f>"1578729845821021"</f>
        <v>1578729845821021</v>
      </c>
      <c r="C103" t="s">
        <v>40</v>
      </c>
      <c r="D103">
        <v>5.2586620000000002</v>
      </c>
      <c r="E103">
        <v>0.58094579999999996</v>
      </c>
      <c r="F103" t="s">
        <v>42</v>
      </c>
      <c r="G103">
        <v>-466.02109999999999</v>
      </c>
      <c r="H103">
        <v>0.92464639999999998</v>
      </c>
      <c r="I103">
        <v>367.12560000000002</v>
      </c>
      <c r="J103">
        <v>-466.65480000000002</v>
      </c>
      <c r="K103">
        <v>1.1102339999999999</v>
      </c>
      <c r="L103">
        <v>367.22910000000002</v>
      </c>
      <c r="M103">
        <v>0.99994470000000002</v>
      </c>
      <c r="N103">
        <v>0</v>
      </c>
      <c r="O103">
        <v>6.9870509999999904E-4</v>
      </c>
      <c r="P103">
        <v>0.99823309999999998</v>
      </c>
      <c r="Q103">
        <v>-1.005704E-2</v>
      </c>
      <c r="R103">
        <v>5.8564360000000003E-2</v>
      </c>
      <c r="S103">
        <v>3.0227050000000002</v>
      </c>
      <c r="T103">
        <v>-0.76346519999999995</v>
      </c>
      <c r="U103">
        <v>-0.42324830000000002</v>
      </c>
      <c r="V103">
        <v>-5.7866960000000002E-2</v>
      </c>
      <c r="W103">
        <v>4.3565450000000001E-4</v>
      </c>
      <c r="X103">
        <v>0.99832419999999999</v>
      </c>
      <c r="Y103">
        <v>0.13517589999999999</v>
      </c>
      <c r="Z103">
        <v>-1.690227E-2</v>
      </c>
      <c r="AA103">
        <v>0.99067740000000004</v>
      </c>
      <c r="AB103">
        <v>10</v>
      </c>
      <c r="AC103">
        <v>0.63370000000003202</v>
      </c>
      <c r="AD103">
        <v>-0.18558759999999999</v>
      </c>
      <c r="AE103">
        <v>-0.103499999999996</v>
      </c>
      <c r="AF103">
        <v>9.5928822841565994E-2</v>
      </c>
      <c r="AG103">
        <v>-0.18558759999999999</v>
      </c>
      <c r="AH103">
        <v>0.58477509771395098</v>
      </c>
      <c r="AI103">
        <v>107.389504512382</v>
      </c>
      <c r="AJ103">
        <v>80.6839483448545</v>
      </c>
      <c r="AK103">
        <v>0.62097263323909002</v>
      </c>
      <c r="AL103">
        <v>89.975038834824304</v>
      </c>
      <c r="AM103">
        <v>93.317386108712896</v>
      </c>
      <c r="AN103">
        <v>0.99999999158006203</v>
      </c>
    </row>
    <row r="104" spans="1:40" x14ac:dyDescent="0.3">
      <c r="A104" t="str">
        <f>"20200111160405856"</f>
        <v>20200111160405856</v>
      </c>
      <c r="B104" t="str">
        <f>"1578729845850302"</f>
        <v>1578729845850302</v>
      </c>
      <c r="C104" t="s">
        <v>40</v>
      </c>
      <c r="D104">
        <v>5.3020699999999996</v>
      </c>
      <c r="E104">
        <v>0.58057559999999997</v>
      </c>
      <c r="F104" t="s">
        <v>42</v>
      </c>
      <c r="G104">
        <v>-465.92680000000001</v>
      </c>
      <c r="H104">
        <v>0.92515190000000003</v>
      </c>
      <c r="I104">
        <v>367.12759999999997</v>
      </c>
      <c r="J104">
        <v>-466.54270000000002</v>
      </c>
      <c r="K104">
        <v>1.110249</v>
      </c>
      <c r="L104">
        <v>367.22910000000002</v>
      </c>
      <c r="M104">
        <v>0.99994470000000002</v>
      </c>
      <c r="N104">
        <v>0</v>
      </c>
      <c r="O104">
        <v>7.0159770000000001E-4</v>
      </c>
      <c r="P104">
        <v>0.9982567</v>
      </c>
      <c r="Q104">
        <v>-1.025682E-2</v>
      </c>
      <c r="R104">
        <v>5.81271999999999E-2</v>
      </c>
      <c r="S104">
        <v>3.0222169999999999</v>
      </c>
      <c r="T104">
        <v>-0.76842060000000001</v>
      </c>
      <c r="U104">
        <v>-0.4202881</v>
      </c>
      <c r="V104">
        <v>-5.7426619999999998E-2</v>
      </c>
      <c r="W104">
        <v>2.3013760000000001E-4</v>
      </c>
      <c r="X104">
        <v>0.99834970000000001</v>
      </c>
      <c r="Y104">
        <v>0.134222799999999</v>
      </c>
      <c r="Z104">
        <v>-1.6894380000000001E-2</v>
      </c>
      <c r="AA104">
        <v>0.9908072</v>
      </c>
      <c r="AB104">
        <v>11</v>
      </c>
      <c r="AC104">
        <v>0.61590000000001</v>
      </c>
      <c r="AD104">
        <v>-0.18509709999999999</v>
      </c>
      <c r="AE104">
        <v>-0.101500000000044</v>
      </c>
      <c r="AF104">
        <v>9.3693559819501004E-2</v>
      </c>
      <c r="AG104">
        <v>-0.18509709999999999</v>
      </c>
      <c r="AH104">
        <v>0.56605494772751497</v>
      </c>
      <c r="AI104">
        <v>107.879991043109</v>
      </c>
      <c r="AJ104">
        <v>80.601598888686695</v>
      </c>
      <c r="AK104">
        <v>0.60287446738675299</v>
      </c>
      <c r="AL104">
        <v>89.986814086651094</v>
      </c>
      <c r="AM104">
        <v>93.292114214698003</v>
      </c>
      <c r="AN104">
        <v>0.99999999656901395</v>
      </c>
    </row>
    <row r="105" spans="1:40" x14ac:dyDescent="0.3">
      <c r="A105" t="str">
        <f>"20200111160405877"</f>
        <v>20200111160405877</v>
      </c>
      <c r="B105" t="str">
        <f>"1578729845870799"</f>
        <v>1578729845870799</v>
      </c>
      <c r="C105" t="s">
        <v>40</v>
      </c>
      <c r="D105">
        <v>5.2893509999999999</v>
      </c>
      <c r="E105">
        <v>0.58035419999999904</v>
      </c>
      <c r="F105" t="s">
        <v>42</v>
      </c>
      <c r="G105">
        <v>-465.83120000000002</v>
      </c>
      <c r="H105">
        <v>0.92793199999999998</v>
      </c>
      <c r="I105">
        <v>367.13</v>
      </c>
      <c r="J105">
        <v>-466.44229999999999</v>
      </c>
      <c r="K105">
        <v>1.1102620000000001</v>
      </c>
      <c r="L105">
        <v>367.22919999999999</v>
      </c>
      <c r="M105">
        <v>0.99994459999999996</v>
      </c>
      <c r="N105">
        <v>0</v>
      </c>
      <c r="O105">
        <v>7.0430509999999896E-4</v>
      </c>
      <c r="P105">
        <v>0.99826530000000002</v>
      </c>
      <c r="Q105">
        <v>-1.0235889999999999E-2</v>
      </c>
      <c r="R105">
        <v>5.7979589999999998E-2</v>
      </c>
      <c r="S105">
        <v>3.0216370000000001</v>
      </c>
      <c r="T105">
        <v>-0.77429340000000002</v>
      </c>
      <c r="U105">
        <v>-0.41839599999999999</v>
      </c>
      <c r="V105">
        <v>-5.7276649999999998E-2</v>
      </c>
      <c r="W105">
        <v>2.4635009999999998E-4</v>
      </c>
      <c r="X105">
        <v>0.99835830000000003</v>
      </c>
      <c r="Y105">
        <v>0.13359670000000001</v>
      </c>
      <c r="Z105">
        <v>-1.6945470000000001E-2</v>
      </c>
      <c r="AA105">
        <v>0.99089090000000002</v>
      </c>
      <c r="AB105">
        <v>11</v>
      </c>
      <c r="AC105">
        <v>0.61109999999996401</v>
      </c>
      <c r="AD105">
        <v>-0.18232999999999999</v>
      </c>
      <c r="AE105">
        <v>-9.9199999999996097E-2</v>
      </c>
      <c r="AF105">
        <v>9.1678629161699193E-2</v>
      </c>
      <c r="AG105">
        <v>-0.18232999999999999</v>
      </c>
      <c r="AH105">
        <v>0.56226202771002098</v>
      </c>
      <c r="AI105">
        <v>107.74741594142201</v>
      </c>
      <c r="AJ105">
        <v>80.739235252968399</v>
      </c>
      <c r="AK105">
        <v>0.598153648947787</v>
      </c>
      <c r="AL105">
        <v>89.985885178636394</v>
      </c>
      <c r="AM105">
        <v>93.283507449808198</v>
      </c>
      <c r="AN105">
        <v>0.99999998525124201</v>
      </c>
    </row>
    <row r="106" spans="1:40" x14ac:dyDescent="0.3">
      <c r="A106" t="str">
        <f>"20200111160405900"</f>
        <v>20200111160405900</v>
      </c>
      <c r="B106" t="str">
        <f>"1578729845891294"</f>
        <v>1578729845891294</v>
      </c>
      <c r="C106" t="s">
        <v>40</v>
      </c>
      <c r="D106">
        <v>5.3214899999999998</v>
      </c>
      <c r="E106">
        <v>0.58018239999999999</v>
      </c>
      <c r="F106" t="s">
        <v>42</v>
      </c>
      <c r="G106">
        <v>-465.73630000000003</v>
      </c>
      <c r="H106">
        <v>0.928616</v>
      </c>
      <c r="I106">
        <v>367.13200000000001</v>
      </c>
      <c r="J106">
        <v>-466.33339999999998</v>
      </c>
      <c r="K106">
        <v>1.1102730000000001</v>
      </c>
      <c r="L106">
        <v>367.22930000000002</v>
      </c>
      <c r="M106">
        <v>0.99994479999999997</v>
      </c>
      <c r="N106">
        <v>0</v>
      </c>
      <c r="O106">
        <v>7.0689399999999904E-4</v>
      </c>
      <c r="P106">
        <v>0.9982898</v>
      </c>
      <c r="Q106">
        <v>-1.0119660000000001E-2</v>
      </c>
      <c r="R106">
        <v>5.7578219999999999E-2</v>
      </c>
      <c r="S106">
        <v>3.0213619999999999</v>
      </c>
      <c r="T106">
        <v>-0.77747999999999995</v>
      </c>
      <c r="U106">
        <v>-0.41656490000000002</v>
      </c>
      <c r="V106">
        <v>-5.6872480000000003E-2</v>
      </c>
      <c r="W106">
        <v>3.574529E-4</v>
      </c>
      <c r="X106">
        <v>0.99838139999999997</v>
      </c>
      <c r="Y106">
        <v>0.13300529999999999</v>
      </c>
      <c r="Z106">
        <v>-1.6941299999999999E-2</v>
      </c>
      <c r="AA106">
        <v>0.99097060000000003</v>
      </c>
      <c r="AB106">
        <v>11</v>
      </c>
      <c r="AC106">
        <v>0.597099999999954</v>
      </c>
      <c r="AD106">
        <v>-0.18165700000000001</v>
      </c>
      <c r="AE106">
        <v>-9.7300000000075201E-2</v>
      </c>
      <c r="AF106">
        <v>8.9639885437611103E-2</v>
      </c>
      <c r="AG106">
        <v>-0.18165700000000001</v>
      </c>
      <c r="AH106">
        <v>0.54765303279468902</v>
      </c>
      <c r="AI106">
        <v>108.12559530537899</v>
      </c>
      <c r="AJ106">
        <v>80.704252666148506</v>
      </c>
      <c r="AK106">
        <v>0.58391644868036396</v>
      </c>
      <c r="AL106">
        <v>89.979519457291701</v>
      </c>
      <c r="AM106">
        <v>93.260312421474694</v>
      </c>
      <c r="AN106">
        <v>1.00000001330994</v>
      </c>
    </row>
    <row r="107" spans="1:40" x14ac:dyDescent="0.3">
      <c r="A107" t="str">
        <f>"20200111160405922"</f>
        <v>20200111160405922</v>
      </c>
      <c r="B107" t="str">
        <f>"1578729845910376"</f>
        <v>1578729845910376</v>
      </c>
      <c r="C107" t="s">
        <v>40</v>
      </c>
      <c r="D107">
        <v>5.4123130000000002</v>
      </c>
      <c r="E107">
        <v>0.57979700000000001</v>
      </c>
      <c r="F107" t="s">
        <v>42</v>
      </c>
      <c r="G107">
        <v>-465.64030000000002</v>
      </c>
      <c r="H107">
        <v>0.93133710000000003</v>
      </c>
      <c r="I107">
        <v>367.13330000000002</v>
      </c>
      <c r="J107">
        <v>-466.22910000000002</v>
      </c>
      <c r="K107">
        <v>1.110276</v>
      </c>
      <c r="L107">
        <v>367.22930000000002</v>
      </c>
      <c r="M107">
        <v>0.99994479999999997</v>
      </c>
      <c r="N107">
        <v>0</v>
      </c>
      <c r="O107">
        <v>7.0977979999999996E-4</v>
      </c>
      <c r="P107">
        <v>0.99829389999999996</v>
      </c>
      <c r="Q107">
        <v>-1.0274760000000001E-2</v>
      </c>
      <c r="R107">
        <v>5.7479710000000003E-2</v>
      </c>
      <c r="S107">
        <v>3.0212400000000001</v>
      </c>
      <c r="T107">
        <v>-0.78010939999999995</v>
      </c>
      <c r="U107">
        <v>-0.4164429</v>
      </c>
      <c r="V107">
        <v>-5.6771080000000002E-2</v>
      </c>
      <c r="W107">
        <v>1.9818940000000001E-4</v>
      </c>
      <c r="X107">
        <v>0.99838720000000003</v>
      </c>
      <c r="Y107">
        <v>0.13294710000000001</v>
      </c>
      <c r="Z107">
        <v>-1.699088E-2</v>
      </c>
      <c r="AA107">
        <v>0.99097749999999996</v>
      </c>
      <c r="AB107">
        <v>11</v>
      </c>
      <c r="AC107">
        <v>0.588799999999992</v>
      </c>
      <c r="AD107">
        <v>-0.17893890000000001</v>
      </c>
      <c r="AE107">
        <v>-9.6000000000003596E-2</v>
      </c>
      <c r="AF107">
        <v>8.8459540965205405E-2</v>
      </c>
      <c r="AG107">
        <v>-0.17893890000000001</v>
      </c>
      <c r="AH107">
        <v>0.54013754172783202</v>
      </c>
      <c r="AI107">
        <v>108.104050483454</v>
      </c>
      <c r="AJ107">
        <v>80.6991088437711</v>
      </c>
      <c r="AK107">
        <v>0.57584093663508396</v>
      </c>
      <c r="AL107">
        <v>89.988644583738306</v>
      </c>
      <c r="AM107">
        <v>93.254493133123106</v>
      </c>
      <c r="AN107">
        <v>0.99999999796362204</v>
      </c>
    </row>
    <row r="108" spans="1:40" x14ac:dyDescent="0.3">
      <c r="A108" t="str">
        <f>"20200111160405944"</f>
        <v>20200111160405944</v>
      </c>
      <c r="B108" t="str">
        <f>"1578729845940633"</f>
        <v>1578729845940633</v>
      </c>
      <c r="C108" t="s">
        <v>40</v>
      </c>
      <c r="D108">
        <v>5.1721779999999997</v>
      </c>
      <c r="E108">
        <v>0.54437340000000001</v>
      </c>
      <c r="F108" t="s">
        <v>42</v>
      </c>
      <c r="G108">
        <v>-465.5446</v>
      </c>
      <c r="H108">
        <v>0.93293559999999998</v>
      </c>
      <c r="I108">
        <v>367.13529999999997</v>
      </c>
      <c r="J108">
        <v>-466.12610000000001</v>
      </c>
      <c r="K108">
        <v>1.110287</v>
      </c>
      <c r="L108">
        <v>367.2294</v>
      </c>
      <c r="M108">
        <v>0.99994499999999997</v>
      </c>
      <c r="N108">
        <v>0</v>
      </c>
      <c r="O108">
        <v>7.1232309999999998E-4</v>
      </c>
      <c r="P108">
        <v>0.99830810000000003</v>
      </c>
      <c r="Q108">
        <v>-1.043767E-2</v>
      </c>
      <c r="R108">
        <v>5.7202830000000003E-2</v>
      </c>
      <c r="S108">
        <v>3.0209350000000001</v>
      </c>
      <c r="T108">
        <v>-0.78276400000000002</v>
      </c>
      <c r="U108">
        <v>-0.41375729999999999</v>
      </c>
      <c r="V108">
        <v>-5.6491149999999997E-2</v>
      </c>
      <c r="W108" s="1">
        <v>2.7524769999999999E-5</v>
      </c>
      <c r="X108">
        <v>0.99840309999999999</v>
      </c>
      <c r="Y108">
        <v>0.13209570000000001</v>
      </c>
      <c r="Z108">
        <v>-1.6942120000000001E-2</v>
      </c>
      <c r="AA108">
        <v>0.99109210000000003</v>
      </c>
      <c r="AB108">
        <v>11</v>
      </c>
      <c r="AC108">
        <v>0.58150000000000501</v>
      </c>
      <c r="AD108">
        <v>-0.17735139999999999</v>
      </c>
      <c r="AE108">
        <v>-9.4100000000025802E-2</v>
      </c>
      <c r="AF108">
        <v>8.6659015566472999E-2</v>
      </c>
      <c r="AG108">
        <v>-0.17735139999999999</v>
      </c>
      <c r="AH108">
        <v>0.53310918253385897</v>
      </c>
      <c r="AI108">
        <v>108.178301298912</v>
      </c>
      <c r="AJ108">
        <v>80.767100925597006</v>
      </c>
      <c r="AK108">
        <v>0.568479291234808</v>
      </c>
      <c r="AL108">
        <v>89.998422946847398</v>
      </c>
      <c r="AM108">
        <v>93.238428473776906</v>
      </c>
      <c r="AN108">
        <v>1.00000000043777</v>
      </c>
    </row>
    <row r="109" spans="1:40" x14ac:dyDescent="0.3">
      <c r="A109" t="str">
        <f>"20200111160405966"</f>
        <v>20200111160405966</v>
      </c>
      <c r="B109" t="str">
        <f>"1578729845961130"</f>
        <v>1578729845961130</v>
      </c>
      <c r="C109" t="s">
        <v>40</v>
      </c>
      <c r="D109">
        <v>5.343661</v>
      </c>
      <c r="E109">
        <v>0.51307769999999997</v>
      </c>
      <c r="F109" t="s">
        <v>42</v>
      </c>
      <c r="G109">
        <v>-465.42200000000003</v>
      </c>
      <c r="H109">
        <v>0.9896277</v>
      </c>
      <c r="I109">
        <v>367.19389999999999</v>
      </c>
      <c r="J109">
        <v>-466.0163</v>
      </c>
      <c r="K109">
        <v>1.1102909999999999</v>
      </c>
      <c r="L109">
        <v>367.2294</v>
      </c>
      <c r="M109">
        <v>0.99994510000000003</v>
      </c>
      <c r="N109">
        <v>0</v>
      </c>
      <c r="O109">
        <v>7.1510479999999999E-4</v>
      </c>
      <c r="P109">
        <v>0.99828510000000004</v>
      </c>
      <c r="Q109">
        <v>-1.0194160000000001E-2</v>
      </c>
      <c r="R109">
        <v>5.764524E-2</v>
      </c>
      <c r="S109">
        <v>3.00827</v>
      </c>
      <c r="T109">
        <v>-0.51564330000000003</v>
      </c>
      <c r="U109">
        <v>-0.14968870000000001</v>
      </c>
      <c r="V109">
        <v>-5.6931040000000002E-2</v>
      </c>
      <c r="W109">
        <v>2.5207209999999997E-4</v>
      </c>
      <c r="X109">
        <v>0.99837810000000005</v>
      </c>
      <c r="Y109">
        <v>4.9678680000000003E-2</v>
      </c>
      <c r="Z109">
        <v>-4.3459170000000004E-3</v>
      </c>
      <c r="AA109">
        <v>0.99875579999999997</v>
      </c>
      <c r="AB109">
        <v>11</v>
      </c>
      <c r="AC109">
        <v>0.59430000000003202</v>
      </c>
      <c r="AD109">
        <v>-0.120663299999999</v>
      </c>
      <c r="AE109">
        <v>-3.5500000000013097E-2</v>
      </c>
      <c r="AF109">
        <v>3.4507555792669002E-2</v>
      </c>
      <c r="AG109">
        <v>-0.120663299999999</v>
      </c>
      <c r="AH109">
        <v>0.57082696085601603</v>
      </c>
      <c r="AI109">
        <v>101.91454158520401</v>
      </c>
      <c r="AJ109">
        <v>86.540573106604498</v>
      </c>
      <c r="AK109">
        <v>0.58446028317909704</v>
      </c>
      <c r="AL109">
        <v>89.985557332654196</v>
      </c>
      <c r="AM109">
        <v>93.263672984971095</v>
      </c>
      <c r="AN109">
        <v>1.00000001870771</v>
      </c>
    </row>
    <row r="110" spans="1:40" x14ac:dyDescent="0.3">
      <c r="A110" t="str">
        <f>"20200111160405990"</f>
        <v>20200111160405990</v>
      </c>
      <c r="B110" t="str">
        <f>"1578729845980648"</f>
        <v>1578729845980648</v>
      </c>
      <c r="C110" t="s">
        <v>40</v>
      </c>
      <c r="D110">
        <v>6.148231</v>
      </c>
      <c r="E110">
        <v>0.51082490000000003</v>
      </c>
      <c r="F110" t="s">
        <v>42</v>
      </c>
      <c r="G110">
        <v>-465.20859999999999</v>
      </c>
      <c r="H110">
        <v>1.0283230000000001</v>
      </c>
      <c r="I110">
        <v>367.25229999999999</v>
      </c>
      <c r="J110">
        <v>-465.90559999999999</v>
      </c>
      <c r="K110">
        <v>1.110287</v>
      </c>
      <c r="L110">
        <v>367.2296</v>
      </c>
      <c r="M110">
        <v>0.99994559999999999</v>
      </c>
      <c r="N110">
        <v>0</v>
      </c>
      <c r="O110">
        <v>7.1789800000000002E-4</v>
      </c>
      <c r="P110">
        <v>0.99825109999999995</v>
      </c>
      <c r="Q110">
        <v>-9.8563920000000003E-3</v>
      </c>
      <c r="R110">
        <v>5.8289059999999997E-2</v>
      </c>
      <c r="S110">
        <v>2.9970400000000001</v>
      </c>
      <c r="T110">
        <v>-0.30439070000000001</v>
      </c>
      <c r="U110">
        <v>8.6669919999999998E-2</v>
      </c>
      <c r="V110">
        <v>-5.7572270000000002E-2</v>
      </c>
      <c r="W110">
        <v>5.4532699999999996E-4</v>
      </c>
      <c r="X110">
        <v>0.99834120000000004</v>
      </c>
      <c r="Y110">
        <v>-2.8048300000000002E-2</v>
      </c>
      <c r="Z110">
        <v>1.3476829999999999E-3</v>
      </c>
      <c r="AA110">
        <v>0.99960570000000004</v>
      </c>
      <c r="AB110">
        <v>11</v>
      </c>
      <c r="AC110">
        <v>0.69700000000000195</v>
      </c>
      <c r="AD110">
        <v>-8.1964000000000106E-2</v>
      </c>
      <c r="AE110">
        <v>2.2699999999986099E-2</v>
      </c>
      <c r="AF110">
        <v>-2.1897104933081502E-2</v>
      </c>
      <c r="AG110">
        <v>-8.1964000000000106E-2</v>
      </c>
      <c r="AH110">
        <v>0.68751871485021898</v>
      </c>
      <c r="AI110">
        <v>96.795136927498902</v>
      </c>
      <c r="AJ110">
        <v>91.824223407859193</v>
      </c>
      <c r="AK110">
        <v>0.69273340021233798</v>
      </c>
      <c r="AL110">
        <v>89.968755063135404</v>
      </c>
      <c r="AM110">
        <v>93.300473542049602</v>
      </c>
      <c r="AN110">
        <v>1.0000000076359601</v>
      </c>
    </row>
    <row r="111" spans="1:40" x14ac:dyDescent="0.3">
      <c r="A111" t="str">
        <f>"20200111160406012"</f>
        <v>20200111160406012</v>
      </c>
      <c r="B111" t="str">
        <f>"1578729846001144"</f>
        <v>1578729846001144</v>
      </c>
      <c r="C111" t="s">
        <v>40</v>
      </c>
      <c r="D111">
        <v>5.413386</v>
      </c>
      <c r="E111">
        <v>0.51142940000000003</v>
      </c>
      <c r="F111" t="s">
        <v>41</v>
      </c>
      <c r="G111">
        <v>-454.0763</v>
      </c>
      <c r="H111" s="1">
        <v>-2.87319E-6</v>
      </c>
      <c r="I111">
        <v>367.64530000000002</v>
      </c>
      <c r="J111">
        <v>-465.79809999999998</v>
      </c>
      <c r="K111">
        <v>1.110268</v>
      </c>
      <c r="L111">
        <v>367.2296</v>
      </c>
      <c r="M111">
        <v>0.99994640000000001</v>
      </c>
      <c r="N111">
        <v>0</v>
      </c>
      <c r="O111">
        <v>7.2059629999999999E-4</v>
      </c>
      <c r="P111">
        <v>0.99824080000000004</v>
      </c>
      <c r="Q111">
        <v>-1.01572E-2</v>
      </c>
      <c r="R111">
        <v>5.8416929999999999E-2</v>
      </c>
      <c r="S111">
        <v>2.9963380000000002</v>
      </c>
      <c r="T111">
        <v>-0.28123150000000002</v>
      </c>
      <c r="U111">
        <v>0.1053162</v>
      </c>
      <c r="V111">
        <v>-5.769796E-2</v>
      </c>
      <c r="W111">
        <v>1.724404E-4</v>
      </c>
      <c r="X111">
        <v>0.9983341</v>
      </c>
      <c r="Y111">
        <v>-3.4259190000000002E-2</v>
      </c>
      <c r="Z111">
        <v>1.5362710000000001E-3</v>
      </c>
      <c r="AA111">
        <v>0.99941179999999996</v>
      </c>
      <c r="AB111">
        <v>11</v>
      </c>
      <c r="AC111">
        <v>11.721799999999901</v>
      </c>
      <c r="AD111">
        <v>-1.11027087319</v>
      </c>
      <c r="AE111">
        <v>0.415700000000015</v>
      </c>
      <c r="AF111">
        <v>-0.40363604847421303</v>
      </c>
      <c r="AG111">
        <v>-1.11027087319</v>
      </c>
      <c r="AH111">
        <v>11.617995590546901</v>
      </c>
      <c r="AI111">
        <v>95.455607640105697</v>
      </c>
      <c r="AJ111">
        <v>91.989787631781596</v>
      </c>
      <c r="AK111">
        <v>11.6779041361645</v>
      </c>
      <c r="AL111">
        <v>89.990119893107604</v>
      </c>
      <c r="AM111">
        <v>93.307686524047895</v>
      </c>
      <c r="AN111">
        <v>1.00000002977333</v>
      </c>
    </row>
    <row r="112" spans="1:40" x14ac:dyDescent="0.3">
      <c r="A112" t="str">
        <f>"20200111160406034"</f>
        <v>20200111160406034</v>
      </c>
      <c r="B112" t="str">
        <f>"1578729846030424"</f>
        <v>1578729846030424</v>
      </c>
      <c r="C112" t="s">
        <v>40</v>
      </c>
      <c r="D112">
        <v>5.3770579999999999</v>
      </c>
      <c r="E112">
        <v>0.51118079999999999</v>
      </c>
      <c r="F112" t="s">
        <v>41</v>
      </c>
      <c r="G112">
        <v>-450.95909999999998</v>
      </c>
      <c r="H112" s="1">
        <v>-4.1989370000000001E-6</v>
      </c>
      <c r="I112">
        <v>367.71010000000001</v>
      </c>
      <c r="J112">
        <v>-465.69450000000001</v>
      </c>
      <c r="K112">
        <v>1.110242</v>
      </c>
      <c r="L112">
        <v>367.22969999999998</v>
      </c>
      <c r="M112">
        <v>0.99994749999999999</v>
      </c>
      <c r="N112">
        <v>0</v>
      </c>
      <c r="O112">
        <v>7.2340160000000002E-4</v>
      </c>
      <c r="P112">
        <v>0.9982164</v>
      </c>
      <c r="Q112">
        <v>-1.058888E-2</v>
      </c>
      <c r="R112">
        <v>5.875329E-2</v>
      </c>
      <c r="S112">
        <v>2.9972840000000001</v>
      </c>
      <c r="T112">
        <v>-0.22425970000000001</v>
      </c>
      <c r="U112">
        <v>9.7076419999999997E-2</v>
      </c>
      <c r="V112">
        <v>-5.8031190000000003E-2</v>
      </c>
      <c r="W112">
        <v>-3.7511439999999999E-4</v>
      </c>
      <c r="X112">
        <v>0.9983147</v>
      </c>
      <c r="Y112">
        <v>-3.1561980000000003E-2</v>
      </c>
      <c r="Z112">
        <v>1.1247550000000001E-3</v>
      </c>
      <c r="AA112">
        <v>0.99950119999999998</v>
      </c>
      <c r="AB112">
        <v>11</v>
      </c>
      <c r="AC112">
        <v>14.7354</v>
      </c>
      <c r="AD112">
        <v>-1.1102461989370001</v>
      </c>
      <c r="AE112">
        <v>0.48040000000003102</v>
      </c>
      <c r="AF112">
        <v>-0.46709087140336197</v>
      </c>
      <c r="AG112">
        <v>-1.1102461989370001</v>
      </c>
      <c r="AH112">
        <v>14.6526497078042</v>
      </c>
      <c r="AI112">
        <v>94.330888281496001</v>
      </c>
      <c r="AJ112">
        <v>91.825831950186</v>
      </c>
      <c r="AK112">
        <v>14.702073457986</v>
      </c>
      <c r="AL112">
        <v>90.021492472459002</v>
      </c>
      <c r="AM112">
        <v>93.3268115250699</v>
      </c>
      <c r="AN112">
        <v>0.999999999979859</v>
      </c>
    </row>
    <row r="113" spans="1:40" x14ac:dyDescent="0.3">
      <c r="A113" t="str">
        <f>"20200111160406068"</f>
        <v>20200111160406068</v>
      </c>
      <c r="B113" t="str">
        <f>"1578729846060681"</f>
        <v>1578729846060681</v>
      </c>
      <c r="C113" t="s">
        <v>40</v>
      </c>
      <c r="D113">
        <v>5.3748459999999998</v>
      </c>
      <c r="E113">
        <v>0.51101090000000005</v>
      </c>
      <c r="F113" t="s">
        <v>41</v>
      </c>
      <c r="G113">
        <v>-449.0163</v>
      </c>
      <c r="H113" s="1">
        <v>-8.5111539999999995E-7</v>
      </c>
      <c r="I113">
        <v>367.77800000000002</v>
      </c>
      <c r="J113">
        <v>-465.53059999999999</v>
      </c>
      <c r="K113">
        <v>1.110188</v>
      </c>
      <c r="L113">
        <v>367.22980000000001</v>
      </c>
      <c r="M113">
        <v>0.99995060000000002</v>
      </c>
      <c r="N113">
        <v>0</v>
      </c>
      <c r="O113">
        <v>7.280562E-4</v>
      </c>
      <c r="P113">
        <v>0.9982396</v>
      </c>
      <c r="Q113">
        <v>-9.5474180000000002E-3</v>
      </c>
      <c r="R113">
        <v>5.8537169999999999E-2</v>
      </c>
      <c r="S113">
        <v>2.9974370000000001</v>
      </c>
      <c r="T113">
        <v>-0.1995353</v>
      </c>
      <c r="U113">
        <v>9.8541260000000006E-2</v>
      </c>
      <c r="V113">
        <v>-5.7810790000000001E-2</v>
      </c>
      <c r="W113">
        <v>3.4791649999999999E-4</v>
      </c>
      <c r="X113">
        <v>0.99832750000000003</v>
      </c>
      <c r="Y113">
        <v>-3.2060449999999997E-2</v>
      </c>
      <c r="Z113">
        <v>1.017242E-3</v>
      </c>
      <c r="AA113">
        <v>0.99948539999999997</v>
      </c>
      <c r="AB113">
        <v>11</v>
      </c>
      <c r="AC113">
        <v>16.514299999999899</v>
      </c>
      <c r="AD113">
        <v>-1.1101888511154001</v>
      </c>
      <c r="AE113">
        <v>0.54820000000000801</v>
      </c>
      <c r="AF113">
        <v>-0.53376631822717202</v>
      </c>
      <c r="AG113">
        <v>-1.1101888511154001</v>
      </c>
      <c r="AH113">
        <v>16.440476721619302</v>
      </c>
      <c r="AI113">
        <v>93.861163418959407</v>
      </c>
      <c r="AJ113">
        <v>91.859545748168202</v>
      </c>
      <c r="AK113">
        <v>16.486561212142501</v>
      </c>
      <c r="AL113">
        <v>89.980065852582101</v>
      </c>
      <c r="AM113">
        <v>93.314162256233203</v>
      </c>
      <c r="AN113">
        <v>1.0000000028712801</v>
      </c>
    </row>
    <row r="114" spans="1:40" x14ac:dyDescent="0.3">
      <c r="A114" t="str">
        <f>"20200111160406089"</f>
        <v>20200111160406089</v>
      </c>
      <c r="B114" t="str">
        <f>"1578729846081176"</f>
        <v>1578729846081176</v>
      </c>
      <c r="C114" t="s">
        <v>40</v>
      </c>
      <c r="D114">
        <v>5.3216830000000002</v>
      </c>
      <c r="E114">
        <v>0.5107775</v>
      </c>
      <c r="F114" t="s">
        <v>41</v>
      </c>
      <c r="G114">
        <v>-449.85669999999999</v>
      </c>
      <c r="H114" s="1">
        <v>-5.3545069999999999E-7</v>
      </c>
      <c r="I114">
        <v>367.75150000000002</v>
      </c>
      <c r="J114">
        <v>-465.42140000000001</v>
      </c>
      <c r="K114">
        <v>1.1101289999999999</v>
      </c>
      <c r="L114">
        <v>367.22989999999999</v>
      </c>
      <c r="M114">
        <v>0.99995369999999995</v>
      </c>
      <c r="N114">
        <v>0</v>
      </c>
      <c r="O114">
        <v>7.3094839999999996E-4</v>
      </c>
      <c r="P114">
        <v>0.99824930000000001</v>
      </c>
      <c r="Q114">
        <v>-9.2602629999999995E-3</v>
      </c>
      <c r="R114">
        <v>5.8418039999999997E-2</v>
      </c>
      <c r="S114">
        <v>2.9973450000000001</v>
      </c>
      <c r="T114">
        <v>-0.21230199999999999</v>
      </c>
      <c r="U114">
        <v>9.9761959999999997E-2</v>
      </c>
      <c r="V114">
        <v>-5.7688440000000001E-2</v>
      </c>
      <c r="W114">
        <v>3.2502829999999999E-4</v>
      </c>
      <c r="X114">
        <v>0.99833459999999996</v>
      </c>
      <c r="Y114">
        <v>-3.2455049999999999E-2</v>
      </c>
      <c r="Z114">
        <v>1.0959450000000001E-3</v>
      </c>
      <c r="AA114">
        <v>0.99947260000000004</v>
      </c>
      <c r="AB114">
        <v>11</v>
      </c>
      <c r="AC114">
        <v>15.5647</v>
      </c>
      <c r="AD114">
        <v>-1.1101295354506999</v>
      </c>
      <c r="AE114">
        <v>0.52160000000003404</v>
      </c>
      <c r="AF114">
        <v>-0.50764283791474196</v>
      </c>
      <c r="AG114">
        <v>-1.1101295354506999</v>
      </c>
      <c r="AH114">
        <v>15.4863855142425</v>
      </c>
      <c r="AI114">
        <v>94.097996397754997</v>
      </c>
      <c r="AJ114">
        <v>91.877480125798996</v>
      </c>
      <c r="AK114">
        <v>15.5344206564682</v>
      </c>
      <c r="AL114">
        <v>89.981377250188501</v>
      </c>
      <c r="AM114">
        <v>93.307140323965896</v>
      </c>
      <c r="AN114">
        <v>1.0000000176550901</v>
      </c>
    </row>
    <row r="115" spans="1:40" x14ac:dyDescent="0.3">
      <c r="A115" t="str">
        <f>"20200111160406112"</f>
        <v>20200111160406112</v>
      </c>
      <c r="B115" t="str">
        <f>"1578729846100696"</f>
        <v>1578729846100696</v>
      </c>
      <c r="C115" t="s">
        <v>40</v>
      </c>
      <c r="D115">
        <v>5.3618569999999997</v>
      </c>
      <c r="E115">
        <v>0.5106792</v>
      </c>
      <c r="F115" t="s">
        <v>41</v>
      </c>
      <c r="G115">
        <v>-450.22</v>
      </c>
      <c r="H115" s="1">
        <v>-4.5095349999999997E-6</v>
      </c>
      <c r="I115">
        <v>367.74669999999998</v>
      </c>
      <c r="J115">
        <v>-465.30669999999998</v>
      </c>
      <c r="K115">
        <v>1.110061</v>
      </c>
      <c r="L115">
        <v>367.22989999999999</v>
      </c>
      <c r="M115">
        <v>0.99995719999999999</v>
      </c>
      <c r="N115">
        <v>0</v>
      </c>
      <c r="O115">
        <v>7.3455519999999998E-4</v>
      </c>
      <c r="P115">
        <v>0.99822719999999998</v>
      </c>
      <c r="Q115">
        <v>-9.5697309999999997E-3</v>
      </c>
      <c r="R115">
        <v>5.8744980000000002E-2</v>
      </c>
      <c r="S115">
        <v>2.9972530000000002</v>
      </c>
      <c r="T115">
        <v>-0.21888340000000001</v>
      </c>
      <c r="U115">
        <v>0.1019287</v>
      </c>
      <c r="V115">
        <v>-5.8011670000000001E-2</v>
      </c>
      <c r="W115">
        <v>-3.561274E-4</v>
      </c>
      <c r="X115">
        <v>0.99831590000000003</v>
      </c>
      <c r="Y115">
        <v>-3.3167290000000002E-2</v>
      </c>
      <c r="Z115">
        <v>1.1555529999999999E-3</v>
      </c>
      <c r="AA115">
        <v>0.99944909999999998</v>
      </c>
      <c r="AB115">
        <v>11</v>
      </c>
      <c r="AC115">
        <v>15.086699999999899</v>
      </c>
      <c r="AD115">
        <v>-1.1100655095350001</v>
      </c>
      <c r="AE115">
        <v>0.51679999999998905</v>
      </c>
      <c r="AF115">
        <v>-0.50299739889953599</v>
      </c>
      <c r="AG115">
        <v>-1.1100655095350001</v>
      </c>
      <c r="AH115">
        <v>15.005930459212401</v>
      </c>
      <c r="AI115">
        <v>94.228389869778297</v>
      </c>
      <c r="AJ115">
        <v>91.919830406558802</v>
      </c>
      <c r="AK115">
        <v>15.055337949228401</v>
      </c>
      <c r="AL115">
        <v>90.020404596227806</v>
      </c>
      <c r="AM115">
        <v>93.325691006301099</v>
      </c>
      <c r="AN115">
        <v>1.0000000584378601</v>
      </c>
    </row>
    <row r="116" spans="1:40" x14ac:dyDescent="0.3">
      <c r="A116" t="str">
        <f>"20200111160406133"</f>
        <v>20200111160406133</v>
      </c>
      <c r="B116" t="str">
        <f>"1578729846130954"</f>
        <v>1578729846130954</v>
      </c>
      <c r="C116" t="s">
        <v>40</v>
      </c>
      <c r="D116">
        <v>5.3006449999999896</v>
      </c>
      <c r="E116">
        <v>0.5106482</v>
      </c>
      <c r="F116" t="s">
        <v>41</v>
      </c>
      <c r="G116">
        <v>-450.54950000000002</v>
      </c>
      <c r="H116" s="1">
        <v>-4.3689590000000004E-6</v>
      </c>
      <c r="I116">
        <v>367.74239999999998</v>
      </c>
      <c r="J116">
        <v>-465.20060000000001</v>
      </c>
      <c r="K116">
        <v>1.1099920000000001</v>
      </c>
      <c r="L116">
        <v>367.23</v>
      </c>
      <c r="M116">
        <v>0.99996070000000004</v>
      </c>
      <c r="N116">
        <v>0</v>
      </c>
      <c r="O116">
        <v>7.3776850000000004E-4</v>
      </c>
      <c r="P116">
        <v>0.99818519999999999</v>
      </c>
      <c r="Q116">
        <v>-9.6054929999999997E-3</v>
      </c>
      <c r="R116">
        <v>5.944924E-2</v>
      </c>
      <c r="S116">
        <v>2.9970699999999999</v>
      </c>
      <c r="T116">
        <v>-0.2254437</v>
      </c>
      <c r="U116">
        <v>0.10409549999999999</v>
      </c>
      <c r="V116">
        <v>-5.8712840000000002E-2</v>
      </c>
      <c r="W116">
        <v>-7.7148549999999998E-4</v>
      </c>
      <c r="X116">
        <v>0.99827460000000001</v>
      </c>
      <c r="Y116">
        <v>-3.3880590000000002E-2</v>
      </c>
      <c r="Z116">
        <v>1.2166900000000001E-3</v>
      </c>
      <c r="AA116">
        <v>0.99942520000000001</v>
      </c>
      <c r="AB116">
        <v>11</v>
      </c>
      <c r="AC116">
        <v>14.6510999999999</v>
      </c>
      <c r="AD116">
        <v>-1.109996368959</v>
      </c>
      <c r="AE116">
        <v>0.512399999999956</v>
      </c>
      <c r="AF116">
        <v>-0.49873115981773503</v>
      </c>
      <c r="AG116">
        <v>-1.109996368959</v>
      </c>
      <c r="AH116">
        <v>14.5679579129436</v>
      </c>
      <c r="AI116">
        <v>94.354655485489104</v>
      </c>
      <c r="AJ116">
        <v>91.9607439150125</v>
      </c>
      <c r="AK116">
        <v>14.6186942803443</v>
      </c>
      <c r="AL116">
        <v>90.044202868158393</v>
      </c>
      <c r="AM116">
        <v>93.365934720870101</v>
      </c>
      <c r="AN116">
        <v>0.99999998488795105</v>
      </c>
    </row>
    <row r="117" spans="1:40" x14ac:dyDescent="0.3">
      <c r="A117" t="str">
        <f>"20200111160406156"</f>
        <v>20200111160406156</v>
      </c>
      <c r="B117" t="str">
        <f>"1578729846150472"</f>
        <v>1578729846150472</v>
      </c>
      <c r="C117" t="s">
        <v>40</v>
      </c>
      <c r="D117">
        <v>5.3416269999999999</v>
      </c>
      <c r="E117">
        <v>0.51072229999999996</v>
      </c>
      <c r="F117" t="s">
        <v>41</v>
      </c>
      <c r="G117">
        <v>-450.94499999999999</v>
      </c>
      <c r="H117" s="1">
        <v>-4.1998349999999999E-6</v>
      </c>
      <c r="I117">
        <v>367.73919999999998</v>
      </c>
      <c r="J117">
        <v>-465.08440000000002</v>
      </c>
      <c r="K117">
        <v>1.109917</v>
      </c>
      <c r="L117">
        <v>367.23009999999999</v>
      </c>
      <c r="M117">
        <v>0.99996450000000003</v>
      </c>
      <c r="N117">
        <v>0</v>
      </c>
      <c r="O117">
        <v>7.4128179999999896E-4</v>
      </c>
      <c r="P117">
        <v>0.99816380000000005</v>
      </c>
      <c r="Q117">
        <v>-8.8316909999999992E-3</v>
      </c>
      <c r="R117">
        <v>5.992753E-2</v>
      </c>
      <c r="S117">
        <v>2.996826</v>
      </c>
      <c r="T117">
        <v>-0.23334289999999999</v>
      </c>
      <c r="U117">
        <v>0.1070557</v>
      </c>
      <c r="V117">
        <v>-5.9187900000000002E-2</v>
      </c>
      <c r="W117">
        <v>-4.5041759999999998E-4</v>
      </c>
      <c r="X117">
        <v>0.99824669999999904</v>
      </c>
      <c r="Y117">
        <v>-3.4856270000000002E-2</v>
      </c>
      <c r="Z117">
        <v>1.2969170000000001E-3</v>
      </c>
      <c r="AA117">
        <v>0.99939149999999999</v>
      </c>
      <c r="AB117">
        <v>11</v>
      </c>
      <c r="AC117">
        <v>14.1394</v>
      </c>
      <c r="AD117">
        <v>-1.109921199835</v>
      </c>
      <c r="AE117">
        <v>0.50909999999998901</v>
      </c>
      <c r="AF117">
        <v>-0.495568467368108</v>
      </c>
      <c r="AG117">
        <v>-1.109921199835</v>
      </c>
      <c r="AH117">
        <v>14.053289139625701</v>
      </c>
      <c r="AI117">
        <v>94.513022289426999</v>
      </c>
      <c r="AJ117">
        <v>92.019614104212195</v>
      </c>
      <c r="AK117">
        <v>14.105759420095501</v>
      </c>
      <c r="AL117">
        <v>90.025807029862094</v>
      </c>
      <c r="AM117">
        <v>93.393200559777497</v>
      </c>
      <c r="AN117">
        <v>0.999999942221655</v>
      </c>
    </row>
    <row r="118" spans="1:40" x14ac:dyDescent="0.3">
      <c r="A118" t="str">
        <f>"20200111160406178"</f>
        <v>20200111160406178</v>
      </c>
      <c r="B118" t="str">
        <f>"1578729846170968"</f>
        <v>1578729846170968</v>
      </c>
      <c r="C118" t="s">
        <v>40</v>
      </c>
      <c r="D118">
        <v>5.2952469999999998</v>
      </c>
      <c r="E118">
        <v>0.51076820000000001</v>
      </c>
      <c r="F118" t="s">
        <v>41</v>
      </c>
      <c r="G118">
        <v>-450.9366</v>
      </c>
      <c r="H118" s="1">
        <v>-4.2031749999999998E-6</v>
      </c>
      <c r="I118">
        <v>367.74059999999997</v>
      </c>
      <c r="J118">
        <v>-464.96780000000001</v>
      </c>
      <c r="K118">
        <v>1.1098410000000001</v>
      </c>
      <c r="L118">
        <v>367.23020000000002</v>
      </c>
      <c r="M118">
        <v>0.99996850000000004</v>
      </c>
      <c r="N118">
        <v>0</v>
      </c>
      <c r="O118">
        <v>7.4458539999999903E-4</v>
      </c>
      <c r="P118">
        <v>0.99817820000000002</v>
      </c>
      <c r="Q118">
        <v>-8.0954670000000003E-3</v>
      </c>
      <c r="R118">
        <v>5.9791549999999999E-2</v>
      </c>
      <c r="S118">
        <v>2.996918</v>
      </c>
      <c r="T118">
        <v>-0.23511409999999999</v>
      </c>
      <c r="U118">
        <v>0.10815429999999999</v>
      </c>
      <c r="V118">
        <v>-5.9048440000000001E-2</v>
      </c>
      <c r="W118">
        <v>-1.995121E-4</v>
      </c>
      <c r="X118">
        <v>0.99825509999999995</v>
      </c>
      <c r="Y118">
        <v>-3.5215129999999997E-2</v>
      </c>
      <c r="Z118">
        <v>1.320475E-3</v>
      </c>
      <c r="AA118">
        <v>0.99937889999999996</v>
      </c>
      <c r="AB118">
        <v>11</v>
      </c>
      <c r="AC118">
        <v>14.0312</v>
      </c>
      <c r="AD118">
        <v>-1.1098452031749999</v>
      </c>
      <c r="AE118">
        <v>0.51039999999994701</v>
      </c>
      <c r="AF118">
        <v>-0.49684765934838698</v>
      </c>
      <c r="AG118">
        <v>-1.1098452031749999</v>
      </c>
      <c r="AH118">
        <v>13.9444472635743</v>
      </c>
      <c r="AI118">
        <v>94.547732037465806</v>
      </c>
      <c r="AJ118">
        <v>92.040614149851294</v>
      </c>
      <c r="AK118">
        <v>13.9973648755119</v>
      </c>
      <c r="AL118">
        <v>90.011431201351897</v>
      </c>
      <c r="AM118">
        <v>93.385195612385999</v>
      </c>
      <c r="AN118">
        <v>1.00000000137376</v>
      </c>
    </row>
    <row r="119" spans="1:40" x14ac:dyDescent="0.3">
      <c r="A119" t="str">
        <f>"20200111160406202"</f>
        <v>20200111160406202</v>
      </c>
      <c r="B119" t="str">
        <f>"1578729846190488"</f>
        <v>1578729846190488</v>
      </c>
      <c r="C119" t="s">
        <v>40</v>
      </c>
      <c r="D119">
        <v>5.3138550000000002</v>
      </c>
      <c r="E119">
        <v>0.51090270000000004</v>
      </c>
      <c r="F119" t="s">
        <v>41</v>
      </c>
      <c r="G119">
        <v>-450.78890000000001</v>
      </c>
      <c r="H119" s="1">
        <v>-4.2670230000000004E-6</v>
      </c>
      <c r="I119">
        <v>367.73809999999997</v>
      </c>
      <c r="J119">
        <v>-464.84719999999999</v>
      </c>
      <c r="K119">
        <v>1.109764</v>
      </c>
      <c r="L119">
        <v>367.2303</v>
      </c>
      <c r="M119">
        <v>0.99997259999999999</v>
      </c>
      <c r="N119">
        <v>0</v>
      </c>
      <c r="O119">
        <v>7.4816689999999996E-4</v>
      </c>
      <c r="P119">
        <v>0.99818490000000004</v>
      </c>
      <c r="Q119">
        <v>-6.9044079999999999E-3</v>
      </c>
      <c r="R119">
        <v>5.982821E-2</v>
      </c>
      <c r="S119">
        <v>2.9971009999999998</v>
      </c>
      <c r="T119">
        <v>-0.2345951</v>
      </c>
      <c r="U119">
        <v>0.10736080000000001</v>
      </c>
      <c r="V119">
        <v>-5.908128E-2</v>
      </c>
      <c r="W119">
        <v>4.6378780000000001E-4</v>
      </c>
      <c r="X119">
        <v>0.99825299999999995</v>
      </c>
      <c r="Y119">
        <v>-3.4946419999999999E-2</v>
      </c>
      <c r="Z119">
        <v>1.306719E-3</v>
      </c>
      <c r="AA119">
        <v>0.99938830000000001</v>
      </c>
      <c r="AB119">
        <v>11</v>
      </c>
      <c r="AC119">
        <v>14.0582999999999</v>
      </c>
      <c r="AD119">
        <v>-1.109768267023</v>
      </c>
      <c r="AE119">
        <v>0.50779999999997405</v>
      </c>
      <c r="AF119">
        <v>-0.49420594115702299</v>
      </c>
      <c r="AG119">
        <v>-1.109768267023</v>
      </c>
      <c r="AH119">
        <v>13.971723368566201</v>
      </c>
      <c r="AI119">
        <v>94.538619041859803</v>
      </c>
      <c r="AJ119">
        <v>92.025814097372901</v>
      </c>
      <c r="AK119">
        <v>14.024438634273601</v>
      </c>
      <c r="AL119">
        <v>89.973426913720701</v>
      </c>
      <c r="AM119">
        <v>93.387081027733899</v>
      </c>
      <c r="AN119">
        <v>0.99999993237727802</v>
      </c>
    </row>
    <row r="120" spans="1:40" x14ac:dyDescent="0.3">
      <c r="A120" t="str">
        <f>"20200111160406222"</f>
        <v>20200111160406222</v>
      </c>
      <c r="B120" t="str">
        <f>"1578729846210984"</f>
        <v>1578729846210984</v>
      </c>
      <c r="C120" t="s">
        <v>40</v>
      </c>
      <c r="D120">
        <v>6.1559299999999997</v>
      </c>
      <c r="E120">
        <v>0.51093549999999999</v>
      </c>
      <c r="F120" t="s">
        <v>41</v>
      </c>
      <c r="G120">
        <v>-450.5813</v>
      </c>
      <c r="H120" s="1">
        <v>-4.3560509999999998E-6</v>
      </c>
      <c r="I120">
        <v>367.73820000000001</v>
      </c>
      <c r="J120">
        <v>-464.73660000000001</v>
      </c>
      <c r="K120">
        <v>1.1096969999999999</v>
      </c>
      <c r="L120">
        <v>367.23039999999997</v>
      </c>
      <c r="M120">
        <v>0.99997619999999998</v>
      </c>
      <c r="N120">
        <v>0</v>
      </c>
      <c r="O120">
        <v>7.5128770000000003E-4</v>
      </c>
      <c r="P120">
        <v>0.99824210000000002</v>
      </c>
      <c r="Q120">
        <v>-5.4908489999999999E-3</v>
      </c>
      <c r="R120">
        <v>5.9014980000000002E-2</v>
      </c>
      <c r="S120">
        <v>2.9974370000000001</v>
      </c>
      <c r="T120">
        <v>-0.23317499999999999</v>
      </c>
      <c r="U120">
        <v>0.10672</v>
      </c>
      <c r="V120">
        <v>-5.8264860000000002E-2</v>
      </c>
      <c r="W120">
        <v>1.3740689999999999E-3</v>
      </c>
      <c r="X120">
        <v>0.99830019999999997</v>
      </c>
      <c r="Y120">
        <v>-3.4727849999999998E-2</v>
      </c>
      <c r="Z120">
        <v>1.289964E-3</v>
      </c>
      <c r="AA120">
        <v>0.99939599999999995</v>
      </c>
      <c r="AB120">
        <v>12</v>
      </c>
      <c r="AC120">
        <v>14.1553</v>
      </c>
      <c r="AD120">
        <v>-1.1097013560509901</v>
      </c>
      <c r="AE120">
        <v>0.507800000000031</v>
      </c>
      <c r="AF120">
        <v>-0.49413200079471298</v>
      </c>
      <c r="AG120">
        <v>-1.1097013560509901</v>
      </c>
      <c r="AH120">
        <v>14.069322273380299</v>
      </c>
      <c r="AI120">
        <v>94.507033783950902</v>
      </c>
      <c r="AJ120">
        <v>92.011471867326406</v>
      </c>
      <c r="AK120">
        <v>14.121665368010399</v>
      </c>
      <c r="AL120">
        <v>89.921271619636201</v>
      </c>
      <c r="AM120">
        <v>93.340225492143901</v>
      </c>
      <c r="AN120">
        <v>0.999999985648238</v>
      </c>
    </row>
    <row r="121" spans="1:40" x14ac:dyDescent="0.3">
      <c r="A121" t="str">
        <f>"20200111160406245"</f>
        <v>20200111160406245</v>
      </c>
      <c r="B121" t="str">
        <f>"1578729846241241"</f>
        <v>1578729846241241</v>
      </c>
      <c r="C121" t="s">
        <v>40</v>
      </c>
      <c r="D121">
        <v>5.3885370000000004</v>
      </c>
      <c r="E121">
        <v>0.51110109999999997</v>
      </c>
      <c r="F121" t="s">
        <v>41</v>
      </c>
      <c r="G121">
        <v>-450.2724</v>
      </c>
      <c r="H121" s="1">
        <v>-4.4897819999999997E-6</v>
      </c>
      <c r="I121">
        <v>367.7312</v>
      </c>
      <c r="J121">
        <v>-464.6146</v>
      </c>
      <c r="K121">
        <v>1.109613</v>
      </c>
      <c r="L121">
        <v>367.23050000000001</v>
      </c>
      <c r="M121">
        <v>0.99997999999999998</v>
      </c>
      <c r="N121">
        <v>0</v>
      </c>
      <c r="O121">
        <v>7.5441579999999998E-4</v>
      </c>
      <c r="P121">
        <v>0.99825529999999996</v>
      </c>
      <c r="Q121">
        <v>-4.5058909999999997E-3</v>
      </c>
      <c r="R121">
        <v>5.8873120000000001E-2</v>
      </c>
      <c r="S121">
        <v>2.997925</v>
      </c>
      <c r="T121">
        <v>-0.23000219999999999</v>
      </c>
      <c r="U121">
        <v>0.1038208</v>
      </c>
      <c r="V121">
        <v>-5.8120119999999997E-2</v>
      </c>
      <c r="W121">
        <v>1.776997E-3</v>
      </c>
      <c r="X121">
        <v>0.99830799999999997</v>
      </c>
      <c r="Y121">
        <v>-3.3759280000000003E-2</v>
      </c>
      <c r="Z121">
        <v>1.2349500000000001E-3</v>
      </c>
      <c r="AA121">
        <v>0.99942920000000002</v>
      </c>
      <c r="AB121">
        <v>12</v>
      </c>
      <c r="AC121">
        <v>14.342199999999901</v>
      </c>
      <c r="AD121">
        <v>-1.1096174897819999</v>
      </c>
      <c r="AE121">
        <v>0.50069999999999404</v>
      </c>
      <c r="AF121">
        <v>-0.48696836297121898</v>
      </c>
      <c r="AG121">
        <v>-1.1096174897819999</v>
      </c>
      <c r="AH121">
        <v>14.257337383365099</v>
      </c>
      <c r="AI121">
        <v>94.447651656062106</v>
      </c>
      <c r="AJ121">
        <v>91.956213061892399</v>
      </c>
      <c r="AK121">
        <v>14.3087406302324</v>
      </c>
      <c r="AL121">
        <v>89.898185516527306</v>
      </c>
      <c r="AM121">
        <v>93.331920537235206</v>
      </c>
      <c r="AN121">
        <v>0.99999998446557603</v>
      </c>
    </row>
    <row r="122" spans="1:40" x14ac:dyDescent="0.3">
      <c r="A122" t="str">
        <f>"20200111160406268"</f>
        <v>20200111160406268</v>
      </c>
      <c r="B122" t="str">
        <f>"1578729846260760"</f>
        <v>1578729846260760</v>
      </c>
      <c r="C122" t="s">
        <v>40</v>
      </c>
      <c r="D122">
        <v>5.2985100000000003</v>
      </c>
      <c r="E122">
        <v>0.5079359</v>
      </c>
      <c r="F122" t="s">
        <v>41</v>
      </c>
      <c r="G122">
        <v>-449.82080000000002</v>
      </c>
      <c r="H122" s="1">
        <v>-5.5389770000000002E-7</v>
      </c>
      <c r="I122">
        <v>367.73390000000001</v>
      </c>
      <c r="J122">
        <v>-464.4846</v>
      </c>
      <c r="K122">
        <v>1.1095280000000001</v>
      </c>
      <c r="L122">
        <v>367.23059999999998</v>
      </c>
      <c r="M122">
        <v>0.99998370000000003</v>
      </c>
      <c r="N122">
        <v>0</v>
      </c>
      <c r="O122">
        <v>7.5821169999999998E-4</v>
      </c>
      <c r="P122">
        <v>0.99825649999999999</v>
      </c>
      <c r="Q122">
        <v>-3.34264E-3</v>
      </c>
      <c r="R122">
        <v>5.8930200000000002E-2</v>
      </c>
      <c r="S122">
        <v>2.9981990000000001</v>
      </c>
      <c r="T122">
        <v>-0.22488159999999999</v>
      </c>
      <c r="U122">
        <v>0.10202029999999999</v>
      </c>
      <c r="V122">
        <v>-5.81729E-2</v>
      </c>
      <c r="W122">
        <v>2.292456E-3</v>
      </c>
      <c r="X122">
        <v>0.99830390000000002</v>
      </c>
      <c r="Y122">
        <v>-3.315879E-2</v>
      </c>
      <c r="Z122">
        <v>1.184671E-3</v>
      </c>
      <c r="AA122">
        <v>0.99944940000000004</v>
      </c>
      <c r="AB122">
        <v>12</v>
      </c>
      <c r="AC122">
        <v>14.663799999999901</v>
      </c>
      <c r="AD122">
        <v>-1.1095285538977</v>
      </c>
      <c r="AE122">
        <v>0.50330000000002395</v>
      </c>
      <c r="AF122">
        <v>-0.48938293765823698</v>
      </c>
      <c r="AG122">
        <v>-1.1095285538977</v>
      </c>
      <c r="AH122">
        <v>14.5807989302875</v>
      </c>
      <c r="AI122">
        <v>94.349106983122795</v>
      </c>
      <c r="AJ122">
        <v>91.922326422916399</v>
      </c>
      <c r="AK122">
        <v>14.631139624686</v>
      </c>
      <c r="AL122">
        <v>89.8686518326422</v>
      </c>
      <c r="AM122">
        <v>93.3349531576809</v>
      </c>
      <c r="AN122">
        <v>1.00000000920206</v>
      </c>
    </row>
    <row r="123" spans="1:40" x14ac:dyDescent="0.3">
      <c r="A123" t="str">
        <f>"20200111160406291"</f>
        <v>20200111160406291</v>
      </c>
      <c r="B123" t="str">
        <f>"1578729846281256"</f>
        <v>1578729846281256</v>
      </c>
      <c r="C123" t="s">
        <v>40</v>
      </c>
      <c r="D123">
        <v>5.3127250000000004</v>
      </c>
      <c r="E123">
        <v>0.51278000000000001</v>
      </c>
      <c r="F123" t="s">
        <v>43</v>
      </c>
      <c r="G123">
        <v>-158.19499999999999</v>
      </c>
      <c r="H123">
        <v>2.4118789999999999</v>
      </c>
      <c r="I123">
        <v>378.65480000000002</v>
      </c>
      <c r="J123">
        <v>-464.35640000000001</v>
      </c>
      <c r="K123">
        <v>1.1094389999999901</v>
      </c>
      <c r="L123">
        <v>367.23070000000001</v>
      </c>
      <c r="M123">
        <v>0.99998730000000002</v>
      </c>
      <c r="N123">
        <v>0</v>
      </c>
      <c r="O123">
        <v>7.6196589999999995E-4</v>
      </c>
      <c r="P123">
        <v>0.99828740000000005</v>
      </c>
      <c r="Q123">
        <v>-2.4172780000000001E-3</v>
      </c>
      <c r="R123">
        <v>5.845202E-2</v>
      </c>
      <c r="S123">
        <v>2.998688</v>
      </c>
      <c r="T123">
        <v>1.275134E-2</v>
      </c>
      <c r="U123">
        <v>0.1118469</v>
      </c>
      <c r="V123">
        <v>-5.7691100000000002E-2</v>
      </c>
      <c r="W123">
        <v>2.574743E-3</v>
      </c>
      <c r="X123">
        <v>0.99833119999999997</v>
      </c>
      <c r="Y123">
        <v>-3.6510939999999999E-2</v>
      </c>
      <c r="Z123" s="1">
        <v>-7.4361529999999998E-5</v>
      </c>
      <c r="AA123">
        <v>0.99933329999999998</v>
      </c>
      <c r="AB123">
        <v>12</v>
      </c>
      <c r="AC123">
        <v>306.16140000000001</v>
      </c>
      <c r="AD123">
        <v>1.30244</v>
      </c>
      <c r="AE123">
        <v>11.424099999999999</v>
      </c>
      <c r="AF123">
        <v>-11.1906070032634</v>
      </c>
      <c r="AG123">
        <v>1.30244</v>
      </c>
      <c r="AH123">
        <v>306.16448294622501</v>
      </c>
      <c r="AI123">
        <v>89.7564248244731</v>
      </c>
      <c r="AJ123">
        <v>92.093284117557303</v>
      </c>
      <c r="AK123">
        <v>306.37169688596299</v>
      </c>
      <c r="AL123">
        <v>89.852477935469494</v>
      </c>
      <c r="AM123">
        <v>93.307303715496303</v>
      </c>
      <c r="AN123">
        <v>1.00000003860708</v>
      </c>
    </row>
    <row r="124" spans="1:40" x14ac:dyDescent="0.3">
      <c r="A124" t="str">
        <f>"20200111160406312"</f>
        <v>20200111160406312</v>
      </c>
      <c r="B124" t="str">
        <f>"1578729846300776"</f>
        <v>1578729846300776</v>
      </c>
      <c r="C124" t="s">
        <v>40</v>
      </c>
      <c r="D124">
        <v>5.2609159999999999</v>
      </c>
      <c r="E124">
        <v>0.51329139999999995</v>
      </c>
      <c r="F124" t="s">
        <v>41</v>
      </c>
      <c r="G124">
        <v>-450.85480000000001</v>
      </c>
      <c r="H124" s="1">
        <v>-4.2573550000000003E-6</v>
      </c>
      <c r="I124">
        <v>367.63310000000001</v>
      </c>
      <c r="J124">
        <v>-464.23750000000001</v>
      </c>
      <c r="K124">
        <v>1.1093569999999999</v>
      </c>
      <c r="L124">
        <v>367.23079999999999</v>
      </c>
      <c r="M124">
        <v>0.99999020000000005</v>
      </c>
      <c r="N124">
        <v>0</v>
      </c>
      <c r="O124">
        <v>7.6539929999999896E-4</v>
      </c>
      <c r="P124">
        <v>0.99830479999999999</v>
      </c>
      <c r="Q124">
        <v>-2.3025390000000001E-3</v>
      </c>
      <c r="R124">
        <v>5.8160219999999999E-2</v>
      </c>
      <c r="S124">
        <v>2.999298</v>
      </c>
      <c r="T124">
        <v>-0.24645349999999999</v>
      </c>
      <c r="U124">
        <v>8.9416499999999996E-2</v>
      </c>
      <c r="V124">
        <v>-5.7396030000000001E-2</v>
      </c>
      <c r="W124">
        <v>2.0964759999999999E-3</v>
      </c>
      <c r="X124">
        <v>0.9983493</v>
      </c>
      <c r="Y124">
        <v>-2.8939289999999999E-2</v>
      </c>
      <c r="Z124">
        <v>1.1239399999999999E-3</v>
      </c>
      <c r="AA124">
        <v>0.99958060000000004</v>
      </c>
      <c r="AB124">
        <v>13</v>
      </c>
      <c r="AC124">
        <v>13.3827</v>
      </c>
      <c r="AD124">
        <v>-1.109361257355</v>
      </c>
      <c r="AE124">
        <v>0.40230000000002503</v>
      </c>
      <c r="AF124">
        <v>-0.38938340045743702</v>
      </c>
      <c r="AG124">
        <v>-1.109361257355</v>
      </c>
      <c r="AH124">
        <v>13.291750738691</v>
      </c>
      <c r="AI124">
        <v>94.768948420908501</v>
      </c>
      <c r="AJ124">
        <v>91.678006682320699</v>
      </c>
      <c r="AK124">
        <v>13.3436479094498</v>
      </c>
      <c r="AL124">
        <v>89.879880686816094</v>
      </c>
      <c r="AM124">
        <v>93.290365741494398</v>
      </c>
      <c r="AN124">
        <v>1.00000001214093</v>
      </c>
    </row>
    <row r="125" spans="1:40" x14ac:dyDescent="0.3">
      <c r="A125" t="str">
        <f>"20200111160406334"</f>
        <v>20200111160406334</v>
      </c>
      <c r="B125" t="str">
        <f>"1578729846331033"</f>
        <v>1578729846331033</v>
      </c>
      <c r="C125" t="s">
        <v>40</v>
      </c>
      <c r="D125">
        <v>5.2423640000000002</v>
      </c>
      <c r="E125">
        <v>0.5137948</v>
      </c>
      <c r="F125" t="s">
        <v>41</v>
      </c>
      <c r="G125">
        <v>-450.6499</v>
      </c>
      <c r="H125" s="1">
        <v>-4.34876999999999E-6</v>
      </c>
      <c r="I125">
        <v>367.61340000000001</v>
      </c>
      <c r="J125">
        <v>-464.10669999999999</v>
      </c>
      <c r="K125">
        <v>1.109273</v>
      </c>
      <c r="L125">
        <v>367.23090000000002</v>
      </c>
      <c r="M125">
        <v>0.99999269999999996</v>
      </c>
      <c r="N125">
        <v>0</v>
      </c>
      <c r="O125">
        <v>7.6941189999999999E-4</v>
      </c>
      <c r="P125">
        <v>0.99831610000000004</v>
      </c>
      <c r="Q125">
        <v>-1.9549239999999998E-3</v>
      </c>
      <c r="R125">
        <v>5.7974560000000001E-2</v>
      </c>
      <c r="S125">
        <v>2.999603</v>
      </c>
      <c r="T125">
        <v>-0.24490020000000001</v>
      </c>
      <c r="U125">
        <v>8.4472660000000005E-2</v>
      </c>
      <c r="V125">
        <v>-5.7206590000000002E-2</v>
      </c>
      <c r="W125">
        <v>1.799408E-3</v>
      </c>
      <c r="X125">
        <v>0.99836080000000005</v>
      </c>
      <c r="Y125">
        <v>-2.7292810000000001E-2</v>
      </c>
      <c r="Z125">
        <v>1.049379E-3</v>
      </c>
      <c r="AA125">
        <v>0.99962689999999998</v>
      </c>
      <c r="AB125">
        <v>13</v>
      </c>
      <c r="AC125">
        <v>13.4567999999999</v>
      </c>
      <c r="AD125">
        <v>-1.1092773487700001</v>
      </c>
      <c r="AE125">
        <v>0.38249999999999301</v>
      </c>
      <c r="AF125">
        <v>-0.36963629940075099</v>
      </c>
      <c r="AG125">
        <v>-1.1092773487700001</v>
      </c>
      <c r="AH125">
        <v>13.366337863004199</v>
      </c>
      <c r="AI125">
        <v>94.742321662461805</v>
      </c>
      <c r="AJ125">
        <v>91.584069156770994</v>
      </c>
      <c r="AK125">
        <v>13.417381081951399</v>
      </c>
      <c r="AL125">
        <v>89.896901466464499</v>
      </c>
      <c r="AM125">
        <v>93.279491686789996</v>
      </c>
      <c r="AN125">
        <v>1.0000000593925999</v>
      </c>
    </row>
    <row r="126" spans="1:40" x14ac:dyDescent="0.3">
      <c r="A126" t="str">
        <f>"20200111160406357"</f>
        <v>20200111160406357</v>
      </c>
      <c r="B126" t="str">
        <f>"1578729846350552"</f>
        <v>1578729846350552</v>
      </c>
      <c r="C126" t="s">
        <v>40</v>
      </c>
      <c r="D126">
        <v>5.2310850000000002</v>
      </c>
      <c r="E126">
        <v>0.51399110000000003</v>
      </c>
      <c r="F126" t="s">
        <v>41</v>
      </c>
      <c r="G126">
        <v>-450.274</v>
      </c>
      <c r="H126" s="1">
        <v>-4.512668E-6</v>
      </c>
      <c r="I126">
        <v>367.59840000000003</v>
      </c>
      <c r="J126">
        <v>-463.97030000000001</v>
      </c>
      <c r="K126">
        <v>1.1091869999999999</v>
      </c>
      <c r="L126">
        <v>367.23099999999999</v>
      </c>
      <c r="M126">
        <v>0.99999490000000002</v>
      </c>
      <c r="N126">
        <v>0</v>
      </c>
      <c r="O126">
        <v>7.7341720000000005E-4</v>
      </c>
      <c r="P126">
        <v>0.99831740000000002</v>
      </c>
      <c r="Q126">
        <v>-1.3310799999999999E-3</v>
      </c>
      <c r="R126">
        <v>5.7972320000000001E-2</v>
      </c>
      <c r="S126">
        <v>2.9999690000000001</v>
      </c>
      <c r="T126">
        <v>-0.24057400000000001</v>
      </c>
      <c r="U126">
        <v>7.9711909999999997E-2</v>
      </c>
      <c r="V126">
        <v>-5.7199930000000003E-2</v>
      </c>
      <c r="W126">
        <v>1.7641219999999999E-3</v>
      </c>
      <c r="X126">
        <v>0.99836119999999995</v>
      </c>
      <c r="Y126">
        <v>-2.5708390000000001E-2</v>
      </c>
      <c r="Z126">
        <v>9.6706090000000004E-4</v>
      </c>
      <c r="AA126">
        <v>0.99966900000000003</v>
      </c>
      <c r="AB126">
        <v>13</v>
      </c>
      <c r="AC126">
        <v>13.696300000000001</v>
      </c>
      <c r="AD126">
        <v>-1.1091915126680001</v>
      </c>
      <c r="AE126">
        <v>0.36740000000003098</v>
      </c>
      <c r="AF126">
        <v>-0.35448366497962602</v>
      </c>
      <c r="AG126">
        <v>-1.1091915126680001</v>
      </c>
      <c r="AH126">
        <v>13.607399681288101</v>
      </c>
      <c r="AI126">
        <v>94.658522840808899</v>
      </c>
      <c r="AJ126">
        <v>91.492263455112095</v>
      </c>
      <c r="AK126">
        <v>13.657133321705199</v>
      </c>
      <c r="AL126">
        <v>89.898923203931702</v>
      </c>
      <c r="AM126">
        <v>93.279109410136797</v>
      </c>
      <c r="AN126">
        <v>1.0000000148919299</v>
      </c>
    </row>
    <row r="127" spans="1:40" x14ac:dyDescent="0.3">
      <c r="A127" t="str">
        <f>"20200111160406380"</f>
        <v>20200111160406380</v>
      </c>
      <c r="B127" t="str">
        <f>"1578729846371049"</f>
        <v>1578729846371049</v>
      </c>
      <c r="C127" t="s">
        <v>40</v>
      </c>
      <c r="D127">
        <v>6.1493180000000001</v>
      </c>
      <c r="E127">
        <v>0.51410119999999904</v>
      </c>
      <c r="F127" t="s">
        <v>41</v>
      </c>
      <c r="G127">
        <v>-449.9074</v>
      </c>
      <c r="H127" s="1">
        <v>-5.5706530000000005E-7</v>
      </c>
      <c r="I127">
        <v>367.59690000000001</v>
      </c>
      <c r="J127">
        <v>-463.83440000000002</v>
      </c>
      <c r="K127">
        <v>1.109102</v>
      </c>
      <c r="L127">
        <v>367.23110000000003</v>
      </c>
      <c r="M127">
        <v>0.99999669999999896</v>
      </c>
      <c r="N127">
        <v>0</v>
      </c>
      <c r="O127">
        <v>7.7716969999999999E-4</v>
      </c>
      <c r="P127">
        <v>0.99832430000000005</v>
      </c>
      <c r="Q127">
        <v>-8.9737029999999998E-4</v>
      </c>
      <c r="R127">
        <v>5.7862070000000002E-2</v>
      </c>
      <c r="S127">
        <v>3.0001829999999998</v>
      </c>
      <c r="T127">
        <v>-0.2366356</v>
      </c>
      <c r="U127">
        <v>7.8063960000000002E-2</v>
      </c>
      <c r="V127">
        <v>-5.7086169999999999E-2</v>
      </c>
      <c r="W127">
        <v>1.567188E-3</v>
      </c>
      <c r="X127">
        <v>0.99836800000000003</v>
      </c>
      <c r="Y127">
        <v>-2.5158349999999999E-2</v>
      </c>
      <c r="Z127">
        <v>9.2926840000000005E-4</v>
      </c>
      <c r="AA127">
        <v>0.99968299999999999</v>
      </c>
      <c r="AB127">
        <v>13</v>
      </c>
      <c r="AC127">
        <v>13.927</v>
      </c>
      <c r="AD127">
        <v>-1.1091025570652999</v>
      </c>
      <c r="AE127">
        <v>0.36579999999997798</v>
      </c>
      <c r="AF127">
        <v>-0.35274066519812403</v>
      </c>
      <c r="AG127">
        <v>-1.1091025570652999</v>
      </c>
      <c r="AH127">
        <v>13.8395696333851</v>
      </c>
      <c r="AI127">
        <v>94.580408083204802</v>
      </c>
      <c r="AJ127">
        <v>91.460029261060797</v>
      </c>
      <c r="AK127">
        <v>13.8884204320106</v>
      </c>
      <c r="AL127">
        <v>89.910206702908795</v>
      </c>
      <c r="AM127">
        <v>93.272579819907904</v>
      </c>
      <c r="AN127">
        <v>0.99999997515374695</v>
      </c>
    </row>
    <row r="128" spans="1:40" x14ac:dyDescent="0.3">
      <c r="A128" t="str">
        <f>"20200111160406402"</f>
        <v>20200111160406402</v>
      </c>
      <c r="B128" t="str">
        <f>"1578729846390568"</f>
        <v>1578729846390568</v>
      </c>
      <c r="C128" t="s">
        <v>40</v>
      </c>
      <c r="D128">
        <v>5.2234699999999998</v>
      </c>
      <c r="E128">
        <v>0.51407659999999999</v>
      </c>
      <c r="F128" t="s">
        <v>41</v>
      </c>
      <c r="G128">
        <v>-449.63380000000001</v>
      </c>
      <c r="H128" s="1">
        <v>-6.6309850000000001E-7</v>
      </c>
      <c r="I128">
        <v>367.59339999999997</v>
      </c>
      <c r="J128">
        <v>-463.69549999999998</v>
      </c>
      <c r="K128">
        <v>1.1090329999999999</v>
      </c>
      <c r="L128">
        <v>367.2312</v>
      </c>
      <c r="M128">
        <v>0.99999800000000005</v>
      </c>
      <c r="N128">
        <v>0</v>
      </c>
      <c r="O128">
        <v>7.8123600000000004E-4</v>
      </c>
      <c r="P128">
        <v>0.99835499999999999</v>
      </c>
      <c r="Q128">
        <v>-5.0657989999999895E-4</v>
      </c>
      <c r="R128">
        <v>5.7329999999999902E-2</v>
      </c>
      <c r="S128">
        <v>3.000397</v>
      </c>
      <c r="T128">
        <v>-0.23433899999999999</v>
      </c>
      <c r="U128">
        <v>7.6538090000000003E-2</v>
      </c>
      <c r="V128">
        <v>-5.6549660000000002E-2</v>
      </c>
      <c r="W128">
        <v>1.3507040000000001E-3</v>
      </c>
      <c r="X128">
        <v>0.99839889999999998</v>
      </c>
      <c r="Y128">
        <v>-2.46474E-2</v>
      </c>
      <c r="Z128">
        <v>8.9998110000000004E-4</v>
      </c>
      <c r="AA128">
        <v>0.99969580000000002</v>
      </c>
      <c r="AB128">
        <v>13</v>
      </c>
      <c r="AC128">
        <v>14.061699999999901</v>
      </c>
      <c r="AD128">
        <v>-1.1090336630985</v>
      </c>
      <c r="AE128">
        <v>0.36219999999997199</v>
      </c>
      <c r="AF128">
        <v>-0.34904462948523701</v>
      </c>
      <c r="AG128">
        <v>-1.1090336630985</v>
      </c>
      <c r="AH128">
        <v>13.9751064609571</v>
      </c>
      <c r="AI128">
        <v>94.535949220083495</v>
      </c>
      <c r="AJ128">
        <v>91.430731656224793</v>
      </c>
      <c r="AK128">
        <v>14.023387194766499</v>
      </c>
      <c r="AL128">
        <v>89.922610339907806</v>
      </c>
      <c r="AM128">
        <v>93.2417890935657</v>
      </c>
      <c r="AN128">
        <v>1.00000002598431</v>
      </c>
    </row>
    <row r="129" spans="1:40" x14ac:dyDescent="0.3">
      <c r="A129" t="str">
        <f>"20200111160406425"</f>
        <v>20200111160406425</v>
      </c>
      <c r="B129" t="str">
        <f>"1578729846420824"</f>
        <v>1578729846420824</v>
      </c>
      <c r="C129" t="s">
        <v>40</v>
      </c>
      <c r="D129">
        <v>6.2148870000000001</v>
      </c>
      <c r="E129">
        <v>0.51421359999999905</v>
      </c>
      <c r="F129" t="s">
        <v>41</v>
      </c>
      <c r="G129">
        <v>-449.41989999999998</v>
      </c>
      <c r="H129" s="1">
        <v>-7.4610509999999896E-7</v>
      </c>
      <c r="I129">
        <v>367.59010000000001</v>
      </c>
      <c r="J129">
        <v>-463.55410000000001</v>
      </c>
      <c r="K129">
        <v>1.1089690000000001</v>
      </c>
      <c r="L129">
        <v>367.23129999999998</v>
      </c>
      <c r="M129">
        <v>0.99999899999999997</v>
      </c>
      <c r="N129">
        <v>0</v>
      </c>
      <c r="O129">
        <v>7.8491420000000001E-4</v>
      </c>
      <c r="P129">
        <v>0.99835149999999995</v>
      </c>
      <c r="Q129" s="1">
        <v>-3.8169320000000002E-5</v>
      </c>
      <c r="R129">
        <v>5.7398100000000001E-2</v>
      </c>
      <c r="S129">
        <v>3.0004270000000002</v>
      </c>
      <c r="T129">
        <v>-0.23309530000000001</v>
      </c>
      <c r="U129">
        <v>7.5439450000000005E-2</v>
      </c>
      <c r="V129">
        <v>-5.6614409999999997E-2</v>
      </c>
      <c r="W129">
        <v>1.2486610000000001E-3</v>
      </c>
      <c r="X129">
        <v>0.99839529999999999</v>
      </c>
      <c r="Y129">
        <v>-2.4279539999999999E-2</v>
      </c>
      <c r="Z129">
        <v>8.8066380000000001E-4</v>
      </c>
      <c r="AA129">
        <v>0.99970479999999995</v>
      </c>
      <c r="AB129">
        <v>14</v>
      </c>
      <c r="AC129">
        <v>14.1342</v>
      </c>
      <c r="AD129">
        <v>-1.1089697461051</v>
      </c>
      <c r="AE129">
        <v>0.35880000000002998</v>
      </c>
      <c r="AF129">
        <v>-0.34557973689922</v>
      </c>
      <c r="AG129">
        <v>-1.1089697461051</v>
      </c>
      <c r="AH129">
        <v>14.048053482941601</v>
      </c>
      <c r="AI129">
        <v>94.512275925100496</v>
      </c>
      <c r="AJ129">
        <v>91.409182263552694</v>
      </c>
      <c r="AK129">
        <v>14.095993966795</v>
      </c>
      <c r="AL129">
        <v>89.928456973406099</v>
      </c>
      <c r="AM129">
        <v>93.245504725900403</v>
      </c>
      <c r="AN129">
        <v>0.99999996281801395</v>
      </c>
    </row>
    <row r="130" spans="1:40" x14ac:dyDescent="0.3">
      <c r="A130" t="str">
        <f>"20200111160406447"</f>
        <v>20200111160406447</v>
      </c>
      <c r="B130" t="str">
        <f>"1578729846441321"</f>
        <v>1578729846441321</v>
      </c>
      <c r="C130" t="s">
        <v>40</v>
      </c>
      <c r="D130">
        <v>5.3514010000000001</v>
      </c>
      <c r="E130">
        <v>0.50487839999999995</v>
      </c>
      <c r="F130" t="s">
        <v>41</v>
      </c>
      <c r="G130">
        <v>-449.17599999999999</v>
      </c>
      <c r="H130" s="1">
        <v>-8.402638E-7</v>
      </c>
      <c r="I130">
        <v>367.58819999999997</v>
      </c>
      <c r="J130">
        <v>-463.40969999999999</v>
      </c>
      <c r="K130">
        <v>1.1089119999999999</v>
      </c>
      <c r="L130">
        <v>367.23140000000001</v>
      </c>
      <c r="M130">
        <v>0.99999950000000004</v>
      </c>
      <c r="N130">
        <v>0</v>
      </c>
      <c r="O130">
        <v>7.8906820000000004E-4</v>
      </c>
      <c r="P130">
        <v>0.99836740000000002</v>
      </c>
      <c r="Q130">
        <v>6.8936119999999995E-4</v>
      </c>
      <c r="R130">
        <v>5.7115649999999997E-2</v>
      </c>
      <c r="S130">
        <v>3.0006710000000001</v>
      </c>
      <c r="T130">
        <v>-0.2314396</v>
      </c>
      <c r="U130">
        <v>7.4493409999999996E-2</v>
      </c>
      <c r="V130">
        <v>-5.6327799999999997E-2</v>
      </c>
      <c r="W130">
        <v>1.4479789999999901E-3</v>
      </c>
      <c r="X130">
        <v>0.9984113</v>
      </c>
      <c r="Y130">
        <v>-2.3960329999999998E-2</v>
      </c>
      <c r="Z130">
        <v>8.6174929999999997E-4</v>
      </c>
      <c r="AA130">
        <v>0.9997125</v>
      </c>
      <c r="AB130">
        <v>14</v>
      </c>
      <c r="AC130">
        <v>14.233700000000001</v>
      </c>
      <c r="AD130">
        <v>-1.1089128402638</v>
      </c>
      <c r="AE130">
        <v>0.35679999999996398</v>
      </c>
      <c r="AF130">
        <v>-0.34348502341544701</v>
      </c>
      <c r="AG130">
        <v>-1.1089128402638</v>
      </c>
      <c r="AH130">
        <v>14.1481575482215</v>
      </c>
      <c r="AI130">
        <v>94.480286290779304</v>
      </c>
      <c r="AJ130">
        <v>91.390737762499</v>
      </c>
      <c r="AK130">
        <v>14.1957046904305</v>
      </c>
      <c r="AL130">
        <v>89.917036887213996</v>
      </c>
      <c r="AM130">
        <v>93.229057603358299</v>
      </c>
      <c r="AN130">
        <v>1.00000002083185</v>
      </c>
    </row>
    <row r="131" spans="1:40" x14ac:dyDescent="0.3">
      <c r="A131" t="str">
        <f>"20200111160406469"</f>
        <v>20200111160406469</v>
      </c>
      <c r="B131" t="str">
        <f>"1578729846460841"</f>
        <v>1578729846460841</v>
      </c>
      <c r="C131" t="s">
        <v>40</v>
      </c>
      <c r="D131">
        <v>5.2940880000000003</v>
      </c>
      <c r="E131">
        <v>0.51221379999999905</v>
      </c>
      <c r="F131" t="s">
        <v>43</v>
      </c>
      <c r="G131">
        <v>-158.19499999999999</v>
      </c>
      <c r="H131">
        <v>15.29321</v>
      </c>
      <c r="I131">
        <v>379.75290000000001</v>
      </c>
      <c r="J131">
        <v>-463.26080000000002</v>
      </c>
      <c r="K131">
        <v>1.10886</v>
      </c>
      <c r="L131">
        <v>367.23149999999998</v>
      </c>
      <c r="M131">
        <v>0.99999970000000005</v>
      </c>
      <c r="N131">
        <v>0</v>
      </c>
      <c r="O131">
        <v>7.9355419999999999E-4</v>
      </c>
      <c r="P131">
        <v>0.99838360000000004</v>
      </c>
      <c r="Q131">
        <v>1.2029600000000001E-3</v>
      </c>
      <c r="R131">
        <v>5.6823980000000003E-2</v>
      </c>
      <c r="S131">
        <v>2.9978030000000002</v>
      </c>
      <c r="T131">
        <v>0.1393182</v>
      </c>
      <c r="U131">
        <v>0.12298580000000001</v>
      </c>
      <c r="V131">
        <v>-5.6031669999999999E-2</v>
      </c>
      <c r="W131">
        <v>1.466576E-3</v>
      </c>
      <c r="X131">
        <v>0.99842790000000003</v>
      </c>
      <c r="Y131">
        <v>-4.0155530000000002E-2</v>
      </c>
      <c r="Z131">
        <v>-8.9534469999999998E-4</v>
      </c>
      <c r="AA131">
        <v>0.999193</v>
      </c>
      <c r="AB131">
        <v>14</v>
      </c>
      <c r="AC131">
        <v>305.06580000000002</v>
      </c>
      <c r="AD131">
        <v>14.18435</v>
      </c>
      <c r="AE131">
        <v>12.5214</v>
      </c>
      <c r="AF131">
        <v>-12.252865125961501</v>
      </c>
      <c r="AG131">
        <v>14.18435</v>
      </c>
      <c r="AH131">
        <v>304.41863028550603</v>
      </c>
      <c r="AI131">
        <v>87.334394708960005</v>
      </c>
      <c r="AJ131">
        <v>92.304913829665196</v>
      </c>
      <c r="AK131">
        <v>304.99513267201701</v>
      </c>
      <c r="AL131">
        <v>89.915971353498506</v>
      </c>
      <c r="AM131">
        <v>93.212063949475294</v>
      </c>
      <c r="AN131">
        <v>0.99999998519328104</v>
      </c>
    </row>
    <row r="132" spans="1:40" x14ac:dyDescent="0.3">
      <c r="A132" t="str">
        <f>"20200111160406492"</f>
        <v>20200111160406492</v>
      </c>
      <c r="B132" t="str">
        <f>"1578729846480360"</f>
        <v>1578729846480360</v>
      </c>
      <c r="C132" t="s">
        <v>40</v>
      </c>
      <c r="D132">
        <v>5.2696909999999999</v>
      </c>
      <c r="E132">
        <v>0.51239749999999995</v>
      </c>
      <c r="F132" t="s">
        <v>44</v>
      </c>
      <c r="G132">
        <v>-413.72739999999999</v>
      </c>
      <c r="H132">
        <v>-0.05</v>
      </c>
      <c r="I132">
        <v>368.51769999999999</v>
      </c>
      <c r="J132">
        <v>-463.11059999999998</v>
      </c>
      <c r="K132">
        <v>1.108816</v>
      </c>
      <c r="L132">
        <v>367.23169999999999</v>
      </c>
      <c r="M132">
        <v>0.99999959999999999</v>
      </c>
      <c r="N132">
        <v>0</v>
      </c>
      <c r="O132">
        <v>7.9827920000000001E-4</v>
      </c>
      <c r="P132">
        <v>0.99839990000000001</v>
      </c>
      <c r="Q132">
        <v>1.62112E-3</v>
      </c>
      <c r="R132">
        <v>5.6524409999999997E-2</v>
      </c>
      <c r="S132">
        <v>3.0005190000000002</v>
      </c>
      <c r="T132">
        <v>-7.0198769999999994E-2</v>
      </c>
      <c r="U132">
        <v>7.7911380000000002E-2</v>
      </c>
      <c r="V132">
        <v>-5.5727449999999998E-2</v>
      </c>
      <c r="W132">
        <v>1.4360579999999901E-3</v>
      </c>
      <c r="X132">
        <v>0.99844500000000003</v>
      </c>
      <c r="Y132">
        <v>-2.5152540000000001E-2</v>
      </c>
      <c r="Z132">
        <v>2.7546850000000002E-4</v>
      </c>
      <c r="AA132">
        <v>0.99968360000000001</v>
      </c>
      <c r="AB132">
        <v>15</v>
      </c>
      <c r="AC132">
        <v>49.383199999999903</v>
      </c>
      <c r="AD132">
        <v>-1.1588160000000001</v>
      </c>
      <c r="AE132">
        <v>1.286</v>
      </c>
      <c r="AF132">
        <v>-1.2458924280186101</v>
      </c>
      <c r="AG132">
        <v>-1.1588160000000001</v>
      </c>
      <c r="AH132">
        <v>49.357051131806301</v>
      </c>
      <c r="AI132">
        <v>91.344528041560494</v>
      </c>
      <c r="AJ132">
        <v>91.445978242720699</v>
      </c>
      <c r="AK132">
        <v>49.386370578245497</v>
      </c>
      <c r="AL132">
        <v>89.917719910375297</v>
      </c>
      <c r="AM132">
        <v>93.194605895435998</v>
      </c>
      <c r="AN132">
        <v>1.0000000144855401</v>
      </c>
    </row>
    <row r="133" spans="1:40" x14ac:dyDescent="0.3">
      <c r="A133" t="str">
        <f>"20200111160406512"</f>
        <v>20200111160406512</v>
      </c>
      <c r="B133" t="str">
        <f>"1578729846500856"</f>
        <v>1578729846500856</v>
      </c>
      <c r="C133" t="s">
        <v>40</v>
      </c>
      <c r="D133">
        <v>5.2005210000000002</v>
      </c>
      <c r="E133">
        <v>0.51291489999999995</v>
      </c>
      <c r="F133" t="s">
        <v>44</v>
      </c>
      <c r="G133">
        <v>-438.56400000000002</v>
      </c>
      <c r="H133">
        <v>-0.05</v>
      </c>
      <c r="I133">
        <v>367.89080000000001</v>
      </c>
      <c r="J133">
        <v>-462.97129999999999</v>
      </c>
      <c r="K133">
        <v>1.108779</v>
      </c>
      <c r="L133">
        <v>367.23180000000002</v>
      </c>
      <c r="M133">
        <v>0.99999959999999999</v>
      </c>
      <c r="N133">
        <v>0</v>
      </c>
      <c r="O133">
        <v>8.0226899999999999E-4</v>
      </c>
      <c r="P133">
        <v>0.99840459999999998</v>
      </c>
      <c r="Q133">
        <v>2.5688220000000001E-3</v>
      </c>
      <c r="R133">
        <v>5.6406009999999999E-2</v>
      </c>
      <c r="S133">
        <v>3.0004879999999998</v>
      </c>
      <c r="T133">
        <v>-0.14164939999999901</v>
      </c>
      <c r="U133">
        <v>8.0566410000000005E-2</v>
      </c>
      <c r="V133">
        <v>-5.5604569999999999E-2</v>
      </c>
      <c r="W133">
        <v>2.0111230000000001E-3</v>
      </c>
      <c r="X133">
        <v>0.99845079999999997</v>
      </c>
      <c r="Y133">
        <v>-2.6011380000000001E-2</v>
      </c>
      <c r="Z133">
        <v>5.7568449999999998E-4</v>
      </c>
      <c r="AA133">
        <v>0.99966149999999998</v>
      </c>
      <c r="AB133">
        <v>15</v>
      </c>
      <c r="AC133">
        <v>24.4072999999999</v>
      </c>
      <c r="AD133">
        <v>-1.158779</v>
      </c>
      <c r="AE133">
        <v>0.65899999999999104</v>
      </c>
      <c r="AF133">
        <v>-0.63798157736017302</v>
      </c>
      <c r="AG133">
        <v>-1.158779</v>
      </c>
      <c r="AH133">
        <v>24.352968246900598</v>
      </c>
      <c r="AI133">
        <v>92.723297902393199</v>
      </c>
      <c r="AJ133">
        <v>91.500650460073999</v>
      </c>
      <c r="AK133">
        <v>24.388867372193499</v>
      </c>
      <c r="AL133">
        <v>89.884771057320407</v>
      </c>
      <c r="AM133">
        <v>93.187557797194998</v>
      </c>
      <c r="AN133">
        <v>0.999999956420622</v>
      </c>
    </row>
    <row r="134" spans="1:40" x14ac:dyDescent="0.3">
      <c r="A134" t="str">
        <f>"20200111160406535"</f>
        <v>20200111160406535</v>
      </c>
      <c r="B134" t="str">
        <f>"1578729846531113"</f>
        <v>1578729846531113</v>
      </c>
      <c r="C134" t="s">
        <v>40</v>
      </c>
      <c r="D134">
        <v>5.4424619999999999</v>
      </c>
      <c r="E134">
        <v>0.51292079999999995</v>
      </c>
      <c r="F134" t="s">
        <v>41</v>
      </c>
      <c r="G134">
        <v>-443.06029999999998</v>
      </c>
      <c r="H134" s="1">
        <v>-3.592072E-6</v>
      </c>
      <c r="I134">
        <v>367.74939999999998</v>
      </c>
      <c r="J134">
        <v>-462.80829999999997</v>
      </c>
      <c r="K134">
        <v>1.108738</v>
      </c>
      <c r="L134">
        <v>367.2319</v>
      </c>
      <c r="M134">
        <v>0.99999919999999998</v>
      </c>
      <c r="N134">
        <v>0</v>
      </c>
      <c r="O134">
        <v>8.0683830000000004E-4</v>
      </c>
      <c r="P134">
        <v>0.99838640000000001</v>
      </c>
      <c r="Q134">
        <v>3.4568680000000001E-3</v>
      </c>
      <c r="R134">
        <v>5.6679220000000002E-2</v>
      </c>
      <c r="S134">
        <v>3.0008539999999999</v>
      </c>
      <c r="T134">
        <v>-0.16710820000000001</v>
      </c>
      <c r="U134">
        <v>7.8002929999999998E-2</v>
      </c>
      <c r="V134">
        <v>-5.58735E-2</v>
      </c>
      <c r="W134">
        <v>2.5122780000000002E-3</v>
      </c>
      <c r="X134">
        <v>0.99843470000000001</v>
      </c>
      <c r="Y134">
        <v>-2.5140550000000001E-2</v>
      </c>
      <c r="Z134">
        <v>6.5445170000000003E-4</v>
      </c>
      <c r="AA134">
        <v>0.99968369999999995</v>
      </c>
      <c r="AB134">
        <v>15</v>
      </c>
      <c r="AC134">
        <v>19.747999999999902</v>
      </c>
      <c r="AD134">
        <v>-1.1087415920720001</v>
      </c>
      <c r="AE134">
        <v>0.51749999999998397</v>
      </c>
      <c r="AF134">
        <v>-0.49999138750537703</v>
      </c>
      <c r="AG134">
        <v>-1.1087415920720001</v>
      </c>
      <c r="AH134">
        <v>19.686398135237599</v>
      </c>
      <c r="AI134">
        <v>93.222466557112895</v>
      </c>
      <c r="AJ134">
        <v>91.454874519330801</v>
      </c>
      <c r="AK134">
        <v>19.723933959650601</v>
      </c>
      <c r="AL134">
        <v>89.856056922917702</v>
      </c>
      <c r="AM134">
        <v>93.202993854066804</v>
      </c>
      <c r="AN134">
        <v>1.00000000485354</v>
      </c>
    </row>
    <row r="135" spans="1:40" x14ac:dyDescent="0.3">
      <c r="A135" t="str">
        <f>"20200111160406559"</f>
        <v>20200111160406559</v>
      </c>
      <c r="B135" t="str">
        <f>"1578729846550632"</f>
        <v>1578729846550632</v>
      </c>
      <c r="C135" t="s">
        <v>40</v>
      </c>
      <c r="D135">
        <v>5.2428949999999999</v>
      </c>
      <c r="E135">
        <v>0.51306300000000005</v>
      </c>
      <c r="F135" t="s">
        <v>41</v>
      </c>
      <c r="G135">
        <v>-444.66559999999998</v>
      </c>
      <c r="H135" s="1">
        <v>-2.8397059999999998E-6</v>
      </c>
      <c r="I135">
        <v>367.7131</v>
      </c>
      <c r="J135">
        <v>-462.6454</v>
      </c>
      <c r="K135">
        <v>1.1087039999999999</v>
      </c>
      <c r="L135">
        <v>367.2321</v>
      </c>
      <c r="M135">
        <v>0.99999890000000002</v>
      </c>
      <c r="N135">
        <v>0</v>
      </c>
      <c r="O135">
        <v>8.1142289999999902E-4</v>
      </c>
      <c r="P135">
        <v>0.9983533</v>
      </c>
      <c r="Q135">
        <v>3.5063920000000001E-3</v>
      </c>
      <c r="R135">
        <v>5.7257799999999998E-2</v>
      </c>
      <c r="S135">
        <v>3.0009459999999999</v>
      </c>
      <c r="T135">
        <v>-0.18339349999999999</v>
      </c>
      <c r="U135">
        <v>7.9589839999999995E-2</v>
      </c>
      <c r="V135">
        <v>-5.6447690000000002E-2</v>
      </c>
      <c r="W135">
        <v>2.223792E-3</v>
      </c>
      <c r="X135">
        <v>0.99840309999999999</v>
      </c>
      <c r="Y135">
        <v>-2.565481E-2</v>
      </c>
      <c r="Z135">
        <v>7.3350649999999896E-4</v>
      </c>
      <c r="AA135">
        <v>0.99967059999999996</v>
      </c>
      <c r="AB135">
        <v>15</v>
      </c>
      <c r="AC135">
        <v>17.979800000000001</v>
      </c>
      <c r="AD135">
        <v>-1.108706839706</v>
      </c>
      <c r="AE135">
        <v>0.48099999999999399</v>
      </c>
      <c r="AF135">
        <v>-0.46464508188617099</v>
      </c>
      <c r="AG135">
        <v>-1.108706839706</v>
      </c>
      <c r="AH135">
        <v>17.912123097667301</v>
      </c>
      <c r="AI135">
        <v>93.540730622045103</v>
      </c>
      <c r="AJ135">
        <v>91.485934028885893</v>
      </c>
      <c r="AK135">
        <v>17.9524171011739</v>
      </c>
      <c r="AL135">
        <v>89.872586001229294</v>
      </c>
      <c r="AM135">
        <v>93.235942369497593</v>
      </c>
      <c r="AN135">
        <v>1.0000000185233999</v>
      </c>
    </row>
    <row r="136" spans="1:40" x14ac:dyDescent="0.3">
      <c r="A136" t="str">
        <f>"20200111160406602"</f>
        <v>20200111160406602</v>
      </c>
      <c r="B136" t="str">
        <f>"1578729846600410"</f>
        <v>1578729846600410</v>
      </c>
      <c r="C136" t="s">
        <v>40</v>
      </c>
      <c r="D136">
        <v>5.3196300000000001</v>
      </c>
      <c r="E136">
        <v>0.50201390000000001</v>
      </c>
      <c r="F136" t="s">
        <v>41</v>
      </c>
      <c r="G136">
        <v>-445.19029999999998</v>
      </c>
      <c r="H136" s="1">
        <v>-2.5935210000000002E-6</v>
      </c>
      <c r="I136">
        <v>367.70249999999999</v>
      </c>
      <c r="J136">
        <v>-462.3261</v>
      </c>
      <c r="K136">
        <v>1.1086549999999999</v>
      </c>
      <c r="L136">
        <v>367.23230000000001</v>
      </c>
      <c r="M136">
        <v>0.99999800000000005</v>
      </c>
      <c r="N136">
        <v>0</v>
      </c>
      <c r="O136">
        <v>8.2007239999999995E-4</v>
      </c>
      <c r="P136">
        <v>0.99822290000000002</v>
      </c>
      <c r="Q136">
        <v>4.0096680000000001E-3</v>
      </c>
      <c r="R136">
        <v>5.9456460000000003E-2</v>
      </c>
      <c r="S136">
        <v>3.001007</v>
      </c>
      <c r="T136">
        <v>-0.1906167</v>
      </c>
      <c r="U136">
        <v>8.0871579999999998E-2</v>
      </c>
      <c r="V136">
        <v>-5.8637979999999999E-2</v>
      </c>
      <c r="W136">
        <v>2.190413E-3</v>
      </c>
      <c r="X136">
        <v>0.99827690000000002</v>
      </c>
      <c r="Y136">
        <v>-2.6067739999999999E-2</v>
      </c>
      <c r="Z136">
        <v>7.7486989999999995E-4</v>
      </c>
      <c r="AA136">
        <v>0.99965990000000005</v>
      </c>
      <c r="AB136">
        <v>16</v>
      </c>
      <c r="AC136">
        <v>17.1358</v>
      </c>
      <c r="AD136">
        <v>-1.1086575935209999</v>
      </c>
      <c r="AE136">
        <v>0.47019999999997703</v>
      </c>
      <c r="AF136">
        <v>-0.45424723098472503</v>
      </c>
      <c r="AG136">
        <v>-1.1086575935209999</v>
      </c>
      <c r="AH136">
        <v>17.0648024740177</v>
      </c>
      <c r="AI136">
        <v>93.715827283378502</v>
      </c>
      <c r="AJ136">
        <v>91.524793777468503</v>
      </c>
      <c r="AK136">
        <v>17.106809921308201</v>
      </c>
      <c r="AL136">
        <v>89.874498478076703</v>
      </c>
      <c r="AM136">
        <v>93.361645210461404</v>
      </c>
      <c r="AN136">
        <v>0.99999998984060001</v>
      </c>
    </row>
    <row r="137" spans="1:40" x14ac:dyDescent="0.3">
      <c r="A137" t="str">
        <f>"20200111160406625"</f>
        <v>20200111160406625</v>
      </c>
      <c r="B137" t="str">
        <f>"1578729846620905"</f>
        <v>1578729846620905</v>
      </c>
      <c r="C137" t="s">
        <v>40</v>
      </c>
      <c r="D137">
        <v>5.2332510000000001</v>
      </c>
      <c r="E137">
        <v>0.50586709999999901</v>
      </c>
      <c r="F137" t="s">
        <v>45</v>
      </c>
      <c r="G137">
        <v>-223.22989999999999</v>
      </c>
      <c r="H137">
        <v>8.1625990000000002</v>
      </c>
      <c r="I137">
        <v>379.77910000000003</v>
      </c>
      <c r="J137">
        <v>-462.15820000000002</v>
      </c>
      <c r="K137">
        <v>1.1086339999999999</v>
      </c>
      <c r="L137">
        <v>367.23250000000002</v>
      </c>
      <c r="M137">
        <v>0.99999780000000005</v>
      </c>
      <c r="N137">
        <v>0</v>
      </c>
      <c r="O137">
        <v>8.2475199999999999E-4</v>
      </c>
      <c r="P137">
        <v>0.99817650000000002</v>
      </c>
      <c r="Q137">
        <v>4.2764209999999999E-3</v>
      </c>
      <c r="R137">
        <v>6.0214589999999998E-2</v>
      </c>
      <c r="S137">
        <v>2.9955750000000001</v>
      </c>
      <c r="T137">
        <v>8.8377949999999997E-2</v>
      </c>
      <c r="U137">
        <v>0.157196</v>
      </c>
      <c r="V137">
        <v>-5.9391020000000003E-2</v>
      </c>
      <c r="W137">
        <v>2.2390510000000001E-3</v>
      </c>
      <c r="X137">
        <v>0.99823229999999996</v>
      </c>
      <c r="Y137">
        <v>-5.1558340000000001E-2</v>
      </c>
      <c r="Z137">
        <v>-7.3556039999999896E-4</v>
      </c>
      <c r="AA137">
        <v>0.99866969999999999</v>
      </c>
      <c r="AB137">
        <v>16</v>
      </c>
      <c r="AC137">
        <v>238.92830000000001</v>
      </c>
      <c r="AD137">
        <v>7.0539649999999998</v>
      </c>
      <c r="AE137">
        <v>12.5466</v>
      </c>
      <c r="AF137">
        <v>-12.3388134867599</v>
      </c>
      <c r="AG137">
        <v>7.0539649999999998</v>
      </c>
      <c r="AH137">
        <v>238.73105402167801</v>
      </c>
      <c r="AI137">
        <v>88.309785934453302</v>
      </c>
      <c r="AJ137">
        <v>92.958699425743106</v>
      </c>
      <c r="AK137">
        <v>239.15375994281101</v>
      </c>
      <c r="AL137">
        <v>89.871711722405095</v>
      </c>
      <c r="AM137">
        <v>93.404866938271098</v>
      </c>
      <c r="AN137">
        <v>1.00000001568465</v>
      </c>
    </row>
    <row r="138" spans="1:40" x14ac:dyDescent="0.3">
      <c r="A138" t="str">
        <f>"20200111160406648"</f>
        <v>20200111160406648</v>
      </c>
      <c r="B138" t="str">
        <f>"1578729846640425"</f>
        <v>1578729846640425</v>
      </c>
      <c r="C138" t="s">
        <v>40</v>
      </c>
      <c r="D138">
        <v>6.071434</v>
      </c>
      <c r="E138">
        <v>0.50278599999999996</v>
      </c>
      <c r="F138" t="s">
        <v>41</v>
      </c>
      <c r="G138">
        <v>-231.21279999999999</v>
      </c>
      <c r="H138" s="1">
        <v>-5.2977750000000003E-6</v>
      </c>
      <c r="I138">
        <v>377.70310000000001</v>
      </c>
      <c r="J138">
        <v>-461.98579999999998</v>
      </c>
      <c r="K138">
        <v>1.1086119999999999</v>
      </c>
      <c r="L138">
        <v>367.23259999999999</v>
      </c>
      <c r="M138">
        <v>0.99999720000000003</v>
      </c>
      <c r="N138">
        <v>0</v>
      </c>
      <c r="O138">
        <v>8.298092E-4</v>
      </c>
      <c r="P138">
        <v>0.9982067</v>
      </c>
      <c r="Q138">
        <v>3.4370049999999999E-3</v>
      </c>
      <c r="R138">
        <v>5.9762950000000002E-2</v>
      </c>
      <c r="S138">
        <v>2.9973450000000001</v>
      </c>
      <c r="T138">
        <v>-1.438856E-2</v>
      </c>
      <c r="U138">
        <v>0.13589479999999901</v>
      </c>
      <c r="V138">
        <v>-5.8934630000000002E-2</v>
      </c>
      <c r="W138">
        <v>1.221481E-3</v>
      </c>
      <c r="X138">
        <v>0.99826110000000001</v>
      </c>
      <c r="Y138">
        <v>-4.4462389999999997E-2</v>
      </c>
      <c r="Z138">
        <v>1.026827E-4</v>
      </c>
      <c r="AA138">
        <v>0.99901099999999998</v>
      </c>
      <c r="AB138">
        <v>17</v>
      </c>
      <c r="AC138">
        <v>230.773</v>
      </c>
      <c r="AD138">
        <v>-1.108617297775</v>
      </c>
      <c r="AE138">
        <v>10.470499999999999</v>
      </c>
      <c r="AF138">
        <v>-10.278761643004801</v>
      </c>
      <c r="AG138">
        <v>-1.108617297775</v>
      </c>
      <c r="AH138">
        <v>230.77629423019701</v>
      </c>
      <c r="AI138">
        <v>90.274966257360504</v>
      </c>
      <c r="AJ138">
        <v>92.550264899977904</v>
      </c>
      <c r="AK138">
        <v>231.00774868356501</v>
      </c>
      <c r="AL138">
        <v>89.930014276765306</v>
      </c>
      <c r="AM138">
        <v>93.378665853576706</v>
      </c>
      <c r="AN138">
        <v>1.00000000320114</v>
      </c>
    </row>
    <row r="139" spans="1:40" x14ac:dyDescent="0.3">
      <c r="A139" t="str">
        <f>"20200111160406670"</f>
        <v>20200111160406670</v>
      </c>
      <c r="B139" t="str">
        <f>"1578729846660920"</f>
        <v>1578729846660920</v>
      </c>
      <c r="C139" t="s">
        <v>40</v>
      </c>
      <c r="D139">
        <v>5.366987</v>
      </c>
      <c r="E139">
        <v>0.50417730000000005</v>
      </c>
      <c r="F139" t="s">
        <v>43</v>
      </c>
      <c r="G139">
        <v>-169.2955</v>
      </c>
      <c r="H139">
        <v>2.001217</v>
      </c>
      <c r="I139">
        <v>382.58120000000002</v>
      </c>
      <c r="J139">
        <v>-461.8109</v>
      </c>
      <c r="K139">
        <v>1.1085969999999901</v>
      </c>
      <c r="L139">
        <v>367.2328</v>
      </c>
      <c r="M139">
        <v>0.99999700000000002</v>
      </c>
      <c r="N139">
        <v>0</v>
      </c>
      <c r="O139">
        <v>8.3483519999999999E-4</v>
      </c>
      <c r="P139">
        <v>0.99822650000000002</v>
      </c>
      <c r="Q139">
        <v>2.9570870000000002E-3</v>
      </c>
      <c r="R139">
        <v>5.9458810000000001E-2</v>
      </c>
      <c r="S139">
        <v>2.995911</v>
      </c>
      <c r="T139">
        <v>9.1373919999999994E-3</v>
      </c>
      <c r="U139">
        <v>0.15710450000000001</v>
      </c>
      <c r="V139">
        <v>-5.8625740000000003E-2</v>
      </c>
      <c r="W139">
        <v>6.0064029999999896E-4</v>
      </c>
      <c r="X139">
        <v>0.9982799</v>
      </c>
      <c r="Y139">
        <v>-5.1533750000000003E-2</v>
      </c>
      <c r="Z139" s="1">
        <v>-7.5989219999999995E-5</v>
      </c>
      <c r="AA139">
        <v>0.99867119999999998</v>
      </c>
      <c r="AB139">
        <v>17</v>
      </c>
      <c r="AC139">
        <v>292.5154</v>
      </c>
      <c r="AD139">
        <v>0.89261999999999997</v>
      </c>
      <c r="AE139">
        <v>15.3484</v>
      </c>
      <c r="AF139">
        <v>-15.1040515910307</v>
      </c>
      <c r="AG139">
        <v>0.89261999999999997</v>
      </c>
      <c r="AH139">
        <v>292.52539501131002</v>
      </c>
      <c r="AI139">
        <v>89.825399218491</v>
      </c>
      <c r="AJ139">
        <v>92.955745389062699</v>
      </c>
      <c r="AK139">
        <v>292.916431549089</v>
      </c>
      <c r="AL139">
        <v>89.9655858454026</v>
      </c>
      <c r="AM139">
        <v>93.360935037599901</v>
      </c>
      <c r="AN139">
        <v>1.00000004845166</v>
      </c>
    </row>
    <row r="140" spans="1:40" x14ac:dyDescent="0.3">
      <c r="A140" t="str">
        <f>"20200111160406692"</f>
        <v>20200111160406692</v>
      </c>
      <c r="B140" t="str">
        <f>"1578729846680440"</f>
        <v>1578729846680440</v>
      </c>
      <c r="C140" t="s">
        <v>40</v>
      </c>
      <c r="D140">
        <v>6.0100949999999997</v>
      </c>
      <c r="E140">
        <v>0.50518249999999998</v>
      </c>
      <c r="F140" t="s">
        <v>43</v>
      </c>
      <c r="G140">
        <v>-169.2955</v>
      </c>
      <c r="H140">
        <v>2.2221160000000002</v>
      </c>
      <c r="I140">
        <v>381.38549999999998</v>
      </c>
      <c r="J140">
        <v>-461.64139999999998</v>
      </c>
      <c r="K140">
        <v>1.1085830000000001</v>
      </c>
      <c r="L140">
        <v>367.23289999999997</v>
      </c>
      <c r="M140">
        <v>0.99999680000000002</v>
      </c>
      <c r="N140">
        <v>0</v>
      </c>
      <c r="O140">
        <v>8.3996229999999997E-4</v>
      </c>
      <c r="P140">
        <v>0.99827149999999998</v>
      </c>
      <c r="Q140">
        <v>2.8238E-3</v>
      </c>
      <c r="R140">
        <v>5.870562E-2</v>
      </c>
      <c r="S140">
        <v>2.9967039999999998</v>
      </c>
      <c r="T140">
        <v>1.1408450000000001E-2</v>
      </c>
      <c r="U140">
        <v>0.14498900000000001</v>
      </c>
      <c r="V140">
        <v>-5.786695E-2</v>
      </c>
      <c r="W140">
        <v>3.6794349999999998E-4</v>
      </c>
      <c r="X140">
        <v>0.99832419999999999</v>
      </c>
      <c r="Y140">
        <v>-4.7486970000000003E-2</v>
      </c>
      <c r="Z140" s="1">
        <v>-8.7142400000000001E-5</v>
      </c>
      <c r="AA140">
        <v>0.99887190000000003</v>
      </c>
      <c r="AB140">
        <v>17</v>
      </c>
      <c r="AC140">
        <v>292.34589999999997</v>
      </c>
      <c r="AD140">
        <v>1.1135329999999899</v>
      </c>
      <c r="AE140">
        <v>14.1526</v>
      </c>
      <c r="AF140">
        <v>-13.906833482907301</v>
      </c>
      <c r="AG140">
        <v>1.1135329999999899</v>
      </c>
      <c r="AH140">
        <v>292.353452961318</v>
      </c>
      <c r="AI140">
        <v>89.782016007507806</v>
      </c>
      <c r="AJ140">
        <v>92.723424943843</v>
      </c>
      <c r="AK140">
        <v>292.68614834267203</v>
      </c>
      <c r="AL140">
        <v>89.978918389111797</v>
      </c>
      <c r="AM140">
        <v>93.317385536715193</v>
      </c>
      <c r="AN140">
        <v>0.99999996379517997</v>
      </c>
    </row>
    <row r="141" spans="1:40" x14ac:dyDescent="0.3">
      <c r="A141" t="str">
        <f>"20200111160406715"</f>
        <v>20200111160406715</v>
      </c>
      <c r="B141" t="str">
        <f>"1578729846710696"</f>
        <v>1578729846710696</v>
      </c>
      <c r="C141" t="s">
        <v>40</v>
      </c>
      <c r="D141">
        <v>5.3713790000000001</v>
      </c>
      <c r="E141">
        <v>0.50642310000000001</v>
      </c>
      <c r="F141" t="s">
        <v>43</v>
      </c>
      <c r="G141">
        <v>-158.19499999999999</v>
      </c>
      <c r="H141">
        <v>0.94807149999999996</v>
      </c>
      <c r="I141">
        <v>380.96359999999999</v>
      </c>
      <c r="J141">
        <v>-461.46289999999999</v>
      </c>
      <c r="K141">
        <v>1.108565</v>
      </c>
      <c r="L141">
        <v>367.23309999999998</v>
      </c>
      <c r="M141">
        <v>0.99999649999999995</v>
      </c>
      <c r="N141">
        <v>0</v>
      </c>
      <c r="O141">
        <v>8.4578500000000005E-4</v>
      </c>
      <c r="P141">
        <v>0.99832430000000005</v>
      </c>
      <c r="Q141">
        <v>2.5552180000000002E-3</v>
      </c>
      <c r="R141">
        <v>5.7812099999999998E-2</v>
      </c>
      <c r="S141">
        <v>2.9971920000000001</v>
      </c>
      <c r="T141">
        <v>-1.58453E-3</v>
      </c>
      <c r="U141">
        <v>0.13562009999999999</v>
      </c>
      <c r="V141">
        <v>-5.6967700000000003E-2</v>
      </c>
      <c r="W141" s="1">
        <v>3.5970699999999998E-5</v>
      </c>
      <c r="X141">
        <v>0.99837600000000004</v>
      </c>
      <c r="Y141">
        <v>-4.4357870000000001E-2</v>
      </c>
      <c r="Z141" s="1">
        <v>1.127246E-5</v>
      </c>
      <c r="AA141">
        <v>0.99901569999999995</v>
      </c>
      <c r="AB141">
        <v>17</v>
      </c>
      <c r="AC141">
        <v>303.2679</v>
      </c>
      <c r="AD141">
        <v>-0.16049349999999901</v>
      </c>
      <c r="AE141">
        <v>13.730499999999999</v>
      </c>
      <c r="AF141">
        <v>-13.473991076186699</v>
      </c>
      <c r="AG141">
        <v>-0.16049349999999901</v>
      </c>
      <c r="AH141">
        <v>303.27931985025498</v>
      </c>
      <c r="AI141">
        <v>90.030290682311801</v>
      </c>
      <c r="AJ141">
        <v>92.543844704391603</v>
      </c>
      <c r="AK141">
        <v>303.57852368459402</v>
      </c>
      <c r="AL141">
        <v>89.997939030659595</v>
      </c>
      <c r="AM141">
        <v>93.265776891588104</v>
      </c>
      <c r="AN141">
        <v>0.99999997875658997</v>
      </c>
    </row>
    <row r="142" spans="1:40" x14ac:dyDescent="0.3">
      <c r="A142" t="str">
        <f>"20200111160406737"</f>
        <v>20200111160406737</v>
      </c>
      <c r="B142" t="str">
        <f>"1578729846731192"</f>
        <v>1578729846731192</v>
      </c>
      <c r="C142" t="s">
        <v>40</v>
      </c>
      <c r="D142">
        <v>5.4082970000000001</v>
      </c>
      <c r="E142">
        <v>0.50634570000000001</v>
      </c>
      <c r="F142" t="s">
        <v>41</v>
      </c>
      <c r="G142">
        <v>-211.25649999999999</v>
      </c>
      <c r="H142" s="1">
        <v>-5.2559050000000003E-6</v>
      </c>
      <c r="I142">
        <v>377.55099999999999</v>
      </c>
      <c r="J142">
        <v>-461.27760000000001</v>
      </c>
      <c r="K142">
        <v>1.108563</v>
      </c>
      <c r="L142">
        <v>367.23320000000001</v>
      </c>
      <c r="M142">
        <v>0.99999640000000001</v>
      </c>
      <c r="N142">
        <v>0</v>
      </c>
      <c r="O142">
        <v>8.5213779999999896E-4</v>
      </c>
      <c r="P142">
        <v>0.99833879999999997</v>
      </c>
      <c r="Q142">
        <v>2.3174210000000001E-3</v>
      </c>
      <c r="R142">
        <v>5.757085E-2</v>
      </c>
      <c r="S142">
        <v>2.9978940000000001</v>
      </c>
      <c r="T142">
        <v>-1.3282540000000001E-2</v>
      </c>
      <c r="U142">
        <v>0.12362670000000001</v>
      </c>
      <c r="V142">
        <v>-5.6720140000000002E-2</v>
      </c>
      <c r="W142">
        <v>-2.222429E-4</v>
      </c>
      <c r="X142">
        <v>0.99839009999999995</v>
      </c>
      <c r="Y142">
        <v>-4.035101E-2</v>
      </c>
      <c r="Z142" s="1">
        <v>8.5577749999999996E-5</v>
      </c>
      <c r="AA142">
        <v>0.99918560000000001</v>
      </c>
      <c r="AB142">
        <v>18</v>
      </c>
      <c r="AC142">
        <v>250.02109999999999</v>
      </c>
      <c r="AD142">
        <v>-1.1085682559050001</v>
      </c>
      <c r="AE142">
        <v>10.317799999999901</v>
      </c>
      <c r="AF142">
        <v>-10.104544822001801</v>
      </c>
      <c r="AG142">
        <v>-1.1085682559050001</v>
      </c>
      <c r="AH142">
        <v>250.02489444291101</v>
      </c>
      <c r="AI142">
        <v>90.253830963783898</v>
      </c>
      <c r="AJ142">
        <v>92.314301073094001</v>
      </c>
      <c r="AK142">
        <v>250.23145004340799</v>
      </c>
      <c r="AL142">
        <v>90.012733580203204</v>
      </c>
      <c r="AM142">
        <v>93.251569760238894</v>
      </c>
      <c r="AN142">
        <v>1.00000000772576</v>
      </c>
    </row>
    <row r="143" spans="1:40" x14ac:dyDescent="0.3">
      <c r="A143" t="str">
        <f>"20200111160406759"</f>
        <v>20200111160406759</v>
      </c>
      <c r="B143" t="str">
        <f>"1578729846750714"</f>
        <v>1578729846750714</v>
      </c>
      <c r="C143" t="s">
        <v>40</v>
      </c>
      <c r="D143">
        <v>5.3725779999999999</v>
      </c>
      <c r="E143">
        <v>0.50701430000000003</v>
      </c>
      <c r="F143" t="s">
        <v>43</v>
      </c>
      <c r="G143">
        <v>-158.19499999999999</v>
      </c>
      <c r="H143">
        <v>0.85338879999999995</v>
      </c>
      <c r="I143">
        <v>379.64210000000003</v>
      </c>
      <c r="J143">
        <v>-461.09379999999999</v>
      </c>
      <c r="K143">
        <v>1.1085719999999999</v>
      </c>
      <c r="L143">
        <v>367.23340000000002</v>
      </c>
      <c r="M143">
        <v>0.99999649999999995</v>
      </c>
      <c r="N143">
        <v>0</v>
      </c>
      <c r="O143">
        <v>8.5807949999999896E-4</v>
      </c>
      <c r="P143">
        <v>0.99832129999999997</v>
      </c>
      <c r="Q143">
        <v>2.601061E-3</v>
      </c>
      <c r="R143">
        <v>5.7862049999999998E-2</v>
      </c>
      <c r="S143">
        <v>2.997925</v>
      </c>
      <c r="T143">
        <v>-2.5231839999999999E-3</v>
      </c>
      <c r="U143">
        <v>0.1227417</v>
      </c>
      <c r="V143">
        <v>-5.7005309999999997E-2</v>
      </c>
      <c r="W143" s="1">
        <v>9.4074409999999996E-5</v>
      </c>
      <c r="X143">
        <v>0.99837390000000004</v>
      </c>
      <c r="Y143">
        <v>-4.0050559999999999E-2</v>
      </c>
      <c r="Z143" s="1">
        <v>1.6125189999999999E-5</v>
      </c>
      <c r="AA143">
        <v>0.99919769999999997</v>
      </c>
      <c r="AB143">
        <v>18</v>
      </c>
      <c r="AC143">
        <v>302.89879999999999</v>
      </c>
      <c r="AD143">
        <v>-0.255183199999999</v>
      </c>
      <c r="AE143">
        <v>12.4087</v>
      </c>
      <c r="AF143">
        <v>-12.1487747586265</v>
      </c>
      <c r="AG143">
        <v>-0.255183199999999</v>
      </c>
      <c r="AH143">
        <v>302.90912154010999</v>
      </c>
      <c r="AI143">
        <v>90.048229553507198</v>
      </c>
      <c r="AJ143">
        <v>92.296730611081699</v>
      </c>
      <c r="AK143">
        <v>303.15275647567898</v>
      </c>
      <c r="AL143">
        <v>89.994609933496307</v>
      </c>
      <c r="AM143">
        <v>93.267935140719999</v>
      </c>
      <c r="AN143">
        <v>1.0000000292097</v>
      </c>
    </row>
    <row r="144" spans="1:40" x14ac:dyDescent="0.3">
      <c r="A144" t="str">
        <f>"20200111160406782"</f>
        <v>20200111160406782</v>
      </c>
      <c r="B144" t="str">
        <f>"1578729846771208"</f>
        <v>1578729846771208</v>
      </c>
      <c r="C144" t="s">
        <v>40</v>
      </c>
      <c r="D144">
        <v>5.4129759999999996</v>
      </c>
      <c r="E144">
        <v>0.50732559999999904</v>
      </c>
      <c r="F144" t="s">
        <v>43</v>
      </c>
      <c r="G144">
        <v>-158.19499999999999</v>
      </c>
      <c r="H144">
        <v>0.95682529999999999</v>
      </c>
      <c r="I144">
        <v>379.16800000000001</v>
      </c>
      <c r="J144">
        <v>-460.90940000000001</v>
      </c>
      <c r="K144">
        <v>1.1085910000000001</v>
      </c>
      <c r="L144">
        <v>367.23360000000002</v>
      </c>
      <c r="M144">
        <v>0.99999689999999997</v>
      </c>
      <c r="N144">
        <v>0</v>
      </c>
      <c r="O144">
        <v>8.6380369999999895E-4</v>
      </c>
      <c r="P144">
        <v>0.99828459999999997</v>
      </c>
      <c r="Q144">
        <v>3.4409950000000001E-3</v>
      </c>
      <c r="R144">
        <v>5.844945E-2</v>
      </c>
      <c r="S144">
        <v>2.99823</v>
      </c>
      <c r="T144">
        <v>-1.50120299999999E-3</v>
      </c>
      <c r="U144">
        <v>0.1181335</v>
      </c>
      <c r="V144">
        <v>-5.7587010000000001E-2</v>
      </c>
      <c r="W144">
        <v>1.0345619999999999E-3</v>
      </c>
      <c r="X144">
        <v>0.99834000000000001</v>
      </c>
      <c r="Y144">
        <v>-3.8507390000000002E-2</v>
      </c>
      <c r="Z144" s="1">
        <v>9.2041810000000004E-6</v>
      </c>
      <c r="AA144">
        <v>0.99925830000000004</v>
      </c>
      <c r="AB144">
        <v>18</v>
      </c>
      <c r="AC144">
        <v>302.71440000000001</v>
      </c>
      <c r="AD144">
        <v>-0.151765699999999</v>
      </c>
      <c r="AE144">
        <v>11.934399999999901</v>
      </c>
      <c r="AF144">
        <v>-11.6729060862449</v>
      </c>
      <c r="AG144">
        <v>-0.151765699999999</v>
      </c>
      <c r="AH144">
        <v>302.72452009803101</v>
      </c>
      <c r="AI144">
        <v>90.028702914922604</v>
      </c>
      <c r="AJ144">
        <v>92.208202623919405</v>
      </c>
      <c r="AK144">
        <v>302.94952523136499</v>
      </c>
      <c r="AL144">
        <v>89.940723955837996</v>
      </c>
      <c r="AM144">
        <v>93.301320639829598</v>
      </c>
      <c r="AN144">
        <v>1.00000004481963</v>
      </c>
    </row>
    <row r="145" spans="1:40" x14ac:dyDescent="0.3">
      <c r="A145" t="str">
        <f>"20200111160406804"</f>
        <v>20200111160406804</v>
      </c>
      <c r="B145" t="str">
        <f>"1578729846800489"</f>
        <v>1578729846800489</v>
      </c>
      <c r="C145" t="s">
        <v>40</v>
      </c>
      <c r="D145">
        <v>6.38896</v>
      </c>
      <c r="E145">
        <v>0.508023</v>
      </c>
      <c r="F145" t="s">
        <v>43</v>
      </c>
      <c r="G145">
        <v>-158.19499999999999</v>
      </c>
      <c r="H145">
        <v>1.146584</v>
      </c>
      <c r="I145">
        <v>379.10210000000001</v>
      </c>
      <c r="J145">
        <v>-460.72340000000003</v>
      </c>
      <c r="K145">
        <v>1.108627</v>
      </c>
      <c r="L145">
        <v>367.23379999999997</v>
      </c>
      <c r="M145">
        <v>0.99999729999999998</v>
      </c>
      <c r="N145">
        <v>0</v>
      </c>
      <c r="O145">
        <v>8.6956109999999996E-4</v>
      </c>
      <c r="P145">
        <v>0.99825200000000003</v>
      </c>
      <c r="Q145">
        <v>2.6345069999999999E-3</v>
      </c>
      <c r="R145">
        <v>5.904413E-2</v>
      </c>
      <c r="S145">
        <v>2.998291</v>
      </c>
      <c r="T145">
        <v>3.771782E-4</v>
      </c>
      <c r="U145">
        <v>0.1175537</v>
      </c>
      <c r="V145">
        <v>-5.8175900000000003E-2</v>
      </c>
      <c r="W145">
        <v>4.1562709999999999E-4</v>
      </c>
      <c r="X145">
        <v>0.99830629999999998</v>
      </c>
      <c r="Y145">
        <v>-3.8307899999999999E-2</v>
      </c>
      <c r="Z145" s="1">
        <v>-2.2992509999999999E-6</v>
      </c>
      <c r="AA145">
        <v>0.99926599999999999</v>
      </c>
      <c r="AB145">
        <v>18</v>
      </c>
      <c r="AC145">
        <v>302.52839999999998</v>
      </c>
      <c r="AD145">
        <v>3.7956999999999998E-2</v>
      </c>
      <c r="AE145">
        <v>11.8683</v>
      </c>
      <c r="AF145">
        <v>-11.6052277914358</v>
      </c>
      <c r="AG145">
        <v>3.7956999999999998E-2</v>
      </c>
      <c r="AH145">
        <v>302.538601103877</v>
      </c>
      <c r="AI145">
        <v>89.992816858379697</v>
      </c>
      <c r="AJ145">
        <v>92.1967600841771</v>
      </c>
      <c r="AK145">
        <v>302.76110699810198</v>
      </c>
      <c r="AL145">
        <v>89.976186321546393</v>
      </c>
      <c r="AM145">
        <v>93.335116754569597</v>
      </c>
      <c r="AN145">
        <v>1.00000003835319</v>
      </c>
    </row>
    <row r="146" spans="1:40" x14ac:dyDescent="0.3">
      <c r="A146" t="str">
        <f>"20200111160406826"</f>
        <v>20200111160406826</v>
      </c>
      <c r="B146" t="str">
        <f>"1578729846820984"</f>
        <v>1578729846820984</v>
      </c>
      <c r="C146" t="s">
        <v>40</v>
      </c>
      <c r="D146">
        <v>6.4494099999999897</v>
      </c>
      <c r="E146">
        <v>0.50794609999999996</v>
      </c>
      <c r="F146" t="s">
        <v>41</v>
      </c>
      <c r="G146">
        <v>-229.02269999999999</v>
      </c>
      <c r="H146" s="1">
        <v>-2.1255709999999999E-6</v>
      </c>
      <c r="I146">
        <v>376.09570000000002</v>
      </c>
      <c r="J146">
        <v>-460.53320000000002</v>
      </c>
      <c r="K146">
        <v>1.1086800000000001</v>
      </c>
      <c r="L146">
        <v>367.23390000000001</v>
      </c>
      <c r="M146">
        <v>0.99999769999999999</v>
      </c>
      <c r="N146">
        <v>0</v>
      </c>
      <c r="O146">
        <v>8.7559080000000004E-4</v>
      </c>
      <c r="P146">
        <v>0.99824120000000005</v>
      </c>
      <c r="Q146">
        <v>2.4395139999999998E-3</v>
      </c>
      <c r="R146">
        <v>5.923337E-2</v>
      </c>
      <c r="S146">
        <v>2.9985050000000002</v>
      </c>
      <c r="T146">
        <v>-1.434708E-2</v>
      </c>
      <c r="U146">
        <v>0.1146851</v>
      </c>
      <c r="V146">
        <v>-5.835916E-2</v>
      </c>
      <c r="W146">
        <v>5.21008E-4</v>
      </c>
      <c r="X146">
        <v>0.9982955</v>
      </c>
      <c r="Y146">
        <v>-3.7344090000000003E-2</v>
      </c>
      <c r="Z146" s="1">
        <v>8.5119859999999894E-5</v>
      </c>
      <c r="AA146">
        <v>0.99930240000000004</v>
      </c>
      <c r="AB146">
        <v>19</v>
      </c>
      <c r="AC146">
        <v>231.51050000000001</v>
      </c>
      <c r="AD146">
        <v>-1.108682125571</v>
      </c>
      <c r="AE146">
        <v>8.8618000000000094</v>
      </c>
      <c r="AF146">
        <v>-8.6588894613803298</v>
      </c>
      <c r="AG146">
        <v>-1.108682125571</v>
      </c>
      <c r="AH146">
        <v>231.512868919022</v>
      </c>
      <c r="AI146">
        <v>90.274187517783602</v>
      </c>
      <c r="AJ146">
        <v>92.141940033989599</v>
      </c>
      <c r="AK146">
        <v>231.677392116444</v>
      </c>
      <c r="AL146">
        <v>89.970148438684106</v>
      </c>
      <c r="AM146">
        <v>93.3456349963121</v>
      </c>
      <c r="AN146">
        <v>0.99999998416274505</v>
      </c>
    </row>
    <row r="147" spans="1:40" x14ac:dyDescent="0.3">
      <c r="A147" t="str">
        <f>"20200111160406851"</f>
        <v>20200111160406851</v>
      </c>
      <c r="B147" t="str">
        <f>"1578729846840510"</f>
        <v>1578729846840510</v>
      </c>
      <c r="C147" t="s">
        <v>40</v>
      </c>
      <c r="D147">
        <v>5.4424929999999998</v>
      </c>
      <c r="E147">
        <v>0.50802400000000003</v>
      </c>
      <c r="F147" t="s">
        <v>43</v>
      </c>
      <c r="G147">
        <v>-158.19499999999999</v>
      </c>
      <c r="H147">
        <v>0.77785209999999905</v>
      </c>
      <c r="I147">
        <v>378.8347</v>
      </c>
      <c r="J147">
        <v>-460.3272</v>
      </c>
      <c r="K147">
        <v>1.1087590000000001</v>
      </c>
      <c r="L147">
        <v>367.23410000000001</v>
      </c>
      <c r="M147">
        <v>0.99999850000000001</v>
      </c>
      <c r="N147">
        <v>0</v>
      </c>
      <c r="O147">
        <v>8.8166519999999997E-4</v>
      </c>
      <c r="P147">
        <v>0.99823609999999896</v>
      </c>
      <c r="Q147">
        <v>1.9275060000000001E-3</v>
      </c>
      <c r="R147">
        <v>5.9338000000000002E-2</v>
      </c>
      <c r="S147">
        <v>2.9984739999999999</v>
      </c>
      <c r="T147">
        <v>-3.280163E-3</v>
      </c>
      <c r="U147">
        <v>0.1150513</v>
      </c>
      <c r="V147">
        <v>-5.845819E-2</v>
      </c>
      <c r="W147">
        <v>4.2707139999999998E-4</v>
      </c>
      <c r="X147">
        <v>0.9982898</v>
      </c>
      <c r="Y147">
        <v>-3.7460670000000001E-2</v>
      </c>
      <c r="Z147" s="1">
        <v>1.951826E-5</v>
      </c>
      <c r="AA147">
        <v>0.99929809999999997</v>
      </c>
      <c r="AB147">
        <v>19</v>
      </c>
      <c r="AC147">
        <v>302.13220000000001</v>
      </c>
      <c r="AD147">
        <v>-0.3309069</v>
      </c>
      <c r="AE147">
        <v>11.600599999999901</v>
      </c>
      <c r="AF147">
        <v>-11.3342021727403</v>
      </c>
      <c r="AG147">
        <v>-0.3309069</v>
      </c>
      <c r="AH147">
        <v>302.14194852742298</v>
      </c>
      <c r="AI147">
        <v>90.062706404376797</v>
      </c>
      <c r="AJ147">
        <v>92.148319996978699</v>
      </c>
      <c r="AK147">
        <v>302.35464391706699</v>
      </c>
      <c r="AL147">
        <v>89.975530611306993</v>
      </c>
      <c r="AM147">
        <v>93.351318386502001</v>
      </c>
      <c r="AN147">
        <v>1.0000000335760399</v>
      </c>
    </row>
    <row r="148" spans="1:40" x14ac:dyDescent="0.3">
      <c r="A148" t="str">
        <f>"20200111160406872"</f>
        <v>20200111160406872</v>
      </c>
      <c r="B148" t="str">
        <f>"1578729846861000"</f>
        <v>1578729846861000</v>
      </c>
      <c r="C148" t="s">
        <v>40</v>
      </c>
      <c r="D148">
        <v>5.3348380000000004</v>
      </c>
      <c r="E148">
        <v>0.50858289999999995</v>
      </c>
      <c r="F148" t="s">
        <v>43</v>
      </c>
      <c r="G148">
        <v>-158.19499999999999</v>
      </c>
      <c r="H148">
        <v>0.57611269999999903</v>
      </c>
      <c r="I148">
        <v>378.79939999999999</v>
      </c>
      <c r="J148">
        <v>-460.13470000000001</v>
      </c>
      <c r="K148">
        <v>1.108838</v>
      </c>
      <c r="L148">
        <v>367.23430000000002</v>
      </c>
      <c r="M148">
        <v>0.99999899999999997</v>
      </c>
      <c r="N148">
        <v>0</v>
      </c>
      <c r="O148">
        <v>8.8683320000000003E-4</v>
      </c>
      <c r="P148">
        <v>0.99823139999999999</v>
      </c>
      <c r="Q148">
        <v>1.4336329999999999E-3</v>
      </c>
      <c r="R148">
        <v>5.9433510000000002E-2</v>
      </c>
      <c r="S148">
        <v>2.9984440000000001</v>
      </c>
      <c r="T148">
        <v>-5.2852630000000001E-3</v>
      </c>
      <c r="U148">
        <v>0.11477660000000001</v>
      </c>
      <c r="V148">
        <v>-5.8548160000000002E-2</v>
      </c>
      <c r="W148">
        <v>3.8177179999999999E-4</v>
      </c>
      <c r="X148">
        <v>0.99828450000000002</v>
      </c>
      <c r="Y148">
        <v>-3.736445E-2</v>
      </c>
      <c r="Z148" s="1">
        <v>3.1355890000000002E-5</v>
      </c>
      <c r="AA148">
        <v>0.99930169999999996</v>
      </c>
      <c r="AB148">
        <v>19</v>
      </c>
      <c r="AC148">
        <v>301.93970000000002</v>
      </c>
      <c r="AD148">
        <v>-0.53272529999999996</v>
      </c>
      <c r="AE148">
        <v>11.5650999999999</v>
      </c>
      <c r="AF148">
        <v>-11.2972900234424</v>
      </c>
      <c r="AG148">
        <v>-0.53272529999999996</v>
      </c>
      <c r="AH148">
        <v>301.94889902495402</v>
      </c>
      <c r="AI148">
        <v>90.101015564130805</v>
      </c>
      <c r="AJ148">
        <v>92.142697849767302</v>
      </c>
      <c r="AK148">
        <v>302.16063638485502</v>
      </c>
      <c r="AL148">
        <v>89.9781260863261</v>
      </c>
      <c r="AM148">
        <v>93.356482224476196</v>
      </c>
      <c r="AN148">
        <v>0.99999998786467104</v>
      </c>
    </row>
    <row r="149" spans="1:40" x14ac:dyDescent="0.3">
      <c r="A149" t="str">
        <f>"20200111160406894"</f>
        <v>20200111160406894</v>
      </c>
      <c r="B149" t="str">
        <f>"1578729846891257"</f>
        <v>1578729846891257</v>
      </c>
      <c r="C149" t="s">
        <v>40</v>
      </c>
      <c r="D149">
        <v>6.3871500000000001</v>
      </c>
      <c r="E149">
        <v>0.50902689999999995</v>
      </c>
      <c r="F149" t="s">
        <v>44</v>
      </c>
      <c r="G149">
        <v>-300.69670000000002</v>
      </c>
      <c r="H149">
        <v>-0.05</v>
      </c>
      <c r="I149">
        <v>373.17140000000001</v>
      </c>
      <c r="J149">
        <v>-459.95400000000001</v>
      </c>
      <c r="K149">
        <v>1.108905</v>
      </c>
      <c r="L149">
        <v>367.23439999999999</v>
      </c>
      <c r="M149">
        <v>0.99999939999999998</v>
      </c>
      <c r="N149">
        <v>0</v>
      </c>
      <c r="O149">
        <v>8.9172289999999896E-4</v>
      </c>
      <c r="P149">
        <v>0.99822250000000001</v>
      </c>
      <c r="Q149">
        <v>1.454365E-3</v>
      </c>
      <c r="R149">
        <v>5.957958E-2</v>
      </c>
      <c r="S149">
        <v>2.9986570000000001</v>
      </c>
      <c r="T149">
        <v>-2.179503E-2</v>
      </c>
      <c r="U149">
        <v>0.11166379999999999</v>
      </c>
      <c r="V149">
        <v>-5.8689499999999999E-2</v>
      </c>
      <c r="W149">
        <v>8.5527089999999997E-4</v>
      </c>
      <c r="X149">
        <v>0.99827589999999999</v>
      </c>
      <c r="Y149">
        <v>-3.6320089999999999E-2</v>
      </c>
      <c r="Z149">
        <v>1.2546559999999999E-4</v>
      </c>
      <c r="AA149">
        <v>0.99934020000000001</v>
      </c>
      <c r="AB149">
        <v>19</v>
      </c>
      <c r="AC149">
        <v>159.25729999999999</v>
      </c>
      <c r="AD149">
        <v>-1.1589049999999901</v>
      </c>
      <c r="AE149">
        <v>5.93700000000001</v>
      </c>
      <c r="AF149">
        <v>-5.7946778051410401</v>
      </c>
      <c r="AG149">
        <v>-1.1589049999999901</v>
      </c>
      <c r="AH149">
        <v>159.25410943795401</v>
      </c>
      <c r="AI149">
        <v>90.416662926277297</v>
      </c>
      <c r="AJ149">
        <v>92.083865688620307</v>
      </c>
      <c r="AK149">
        <v>159.36371206940501</v>
      </c>
      <c r="AL149">
        <v>89.950996580170099</v>
      </c>
      <c r="AM149">
        <v>93.364595370593307</v>
      </c>
      <c r="AN149">
        <v>0.99999998070968599</v>
      </c>
    </row>
    <row r="150" spans="1:40" x14ac:dyDescent="0.3">
      <c r="A150" t="str">
        <f>"20200111160406915"</f>
        <v>20200111160406915</v>
      </c>
      <c r="B150" t="str">
        <f>"1578729846910776"</f>
        <v>1578729846910776</v>
      </c>
      <c r="C150" t="s">
        <v>40</v>
      </c>
      <c r="D150">
        <v>5.4353790000000002</v>
      </c>
      <c r="E150">
        <v>0.50899329999999998</v>
      </c>
      <c r="F150" t="s">
        <v>41</v>
      </c>
      <c r="G150">
        <v>-355.37520000000001</v>
      </c>
      <c r="H150" s="1">
        <v>-2.3462979999999998E-6</v>
      </c>
      <c r="I150">
        <v>371.0444</v>
      </c>
      <c r="J150">
        <v>-459.76170000000002</v>
      </c>
      <c r="K150">
        <v>1.1089739999999999</v>
      </c>
      <c r="L150">
        <v>367.2346</v>
      </c>
      <c r="M150">
        <v>0.99999970000000005</v>
      </c>
      <c r="N150">
        <v>0</v>
      </c>
      <c r="O150">
        <v>8.9657149999999896E-4</v>
      </c>
      <c r="P150">
        <v>0.9982316</v>
      </c>
      <c r="Q150">
        <v>9.7082560000000002E-4</v>
      </c>
      <c r="R150">
        <v>5.9438190000000002E-2</v>
      </c>
      <c r="S150">
        <v>2.99884</v>
      </c>
      <c r="T150">
        <v>-3.1798359999999998E-2</v>
      </c>
      <c r="U150">
        <v>0.1092529</v>
      </c>
      <c r="V150">
        <v>-5.8543369999999997E-2</v>
      </c>
      <c r="W150">
        <v>8.6290029999999999E-4</v>
      </c>
      <c r="X150">
        <v>0.99828450000000002</v>
      </c>
      <c r="Y150">
        <v>-3.5509640000000002E-2</v>
      </c>
      <c r="Z150">
        <v>1.7869310000000001E-4</v>
      </c>
      <c r="AA150">
        <v>0.99936930000000002</v>
      </c>
      <c r="AB150">
        <v>19</v>
      </c>
      <c r="AC150">
        <v>104.3865</v>
      </c>
      <c r="AD150">
        <v>-1.108976346298</v>
      </c>
      <c r="AE150">
        <v>3.8097999999999899</v>
      </c>
      <c r="AF150">
        <v>-3.7157896959749799</v>
      </c>
      <c r="AG150">
        <v>-1.108976346298</v>
      </c>
      <c r="AH150">
        <v>104.378108930685</v>
      </c>
      <c r="AI150">
        <v>90.608336888746805</v>
      </c>
      <c r="AJ150">
        <v>92.038829800213193</v>
      </c>
      <c r="AK150">
        <v>104.450115105477</v>
      </c>
      <c r="AL150">
        <v>89.950559448872696</v>
      </c>
      <c r="AM150">
        <v>93.356208248382401</v>
      </c>
      <c r="AN150">
        <v>1.00000000685406</v>
      </c>
    </row>
    <row r="151" spans="1:40" x14ac:dyDescent="0.3">
      <c r="A151" t="str">
        <f>"20200111160406940"</f>
        <v>20200111160406940</v>
      </c>
      <c r="B151" t="str">
        <f>"1578729846931273"</f>
        <v>1578729846931273</v>
      </c>
      <c r="C151" t="s">
        <v>40</v>
      </c>
      <c r="D151">
        <v>6.1405459999999996</v>
      </c>
      <c r="E151">
        <v>0.50880499999999995</v>
      </c>
      <c r="F151" t="s">
        <v>41</v>
      </c>
      <c r="G151">
        <v>-337.37400000000002</v>
      </c>
      <c r="H151" s="1">
        <v>-1.6531739999999901E-6</v>
      </c>
      <c r="I151">
        <v>371.66210000000001</v>
      </c>
      <c r="J151">
        <v>-459.55020000000002</v>
      </c>
      <c r="K151">
        <v>1.1090340000000001</v>
      </c>
      <c r="L151">
        <v>367.23480000000001</v>
      </c>
      <c r="M151">
        <v>0.99999950000000004</v>
      </c>
      <c r="N151">
        <v>0</v>
      </c>
      <c r="O151">
        <v>9.0206680000000003E-4</v>
      </c>
      <c r="P151">
        <v>0.99823099999999998</v>
      </c>
      <c r="Q151">
        <v>1.2677909999999999E-4</v>
      </c>
      <c r="R151">
        <v>5.9455330000000001E-2</v>
      </c>
      <c r="S151">
        <v>2.9988709999999998</v>
      </c>
      <c r="T151">
        <v>-2.7173280000000001E-2</v>
      </c>
      <c r="U151">
        <v>0.10849</v>
      </c>
      <c r="V151">
        <v>-5.8554809999999999E-2</v>
      </c>
      <c r="W151">
        <v>5.4246589999999999E-4</v>
      </c>
      <c r="X151">
        <v>0.99828399999999995</v>
      </c>
      <c r="Y151">
        <v>-3.5250400000000001E-2</v>
      </c>
      <c r="Z151">
        <v>1.5147850000000001E-4</v>
      </c>
      <c r="AA151">
        <v>0.99937849999999995</v>
      </c>
      <c r="AB151">
        <v>20</v>
      </c>
      <c r="AC151">
        <v>122.17619999999999</v>
      </c>
      <c r="AD151">
        <v>-1.109035653174</v>
      </c>
      <c r="AE151">
        <v>4.4272999999999998</v>
      </c>
      <c r="AF151">
        <v>-4.3167318701266799</v>
      </c>
      <c r="AG151">
        <v>-1.109035653174</v>
      </c>
      <c r="AH151">
        <v>122.17009061607</v>
      </c>
      <c r="AI151">
        <v>90.519780994902604</v>
      </c>
      <c r="AJ151">
        <v>92.023634954016401</v>
      </c>
      <c r="AK151">
        <v>122.251360627428</v>
      </c>
      <c r="AL151">
        <v>89.968918990394798</v>
      </c>
      <c r="AM151">
        <v>93.356864265163594</v>
      </c>
      <c r="AN151">
        <v>0.99999995234969297</v>
      </c>
    </row>
    <row r="152" spans="1:40" x14ac:dyDescent="0.3">
      <c r="A152" t="str">
        <f>"20200111160406961"</f>
        <v>20200111160406961</v>
      </c>
      <c r="B152" t="str">
        <f>"1578729846950792"</f>
        <v>1578729846950792</v>
      </c>
      <c r="C152" t="s">
        <v>40</v>
      </c>
      <c r="D152">
        <v>5.5662949999999896</v>
      </c>
      <c r="E152">
        <v>0.50892510000000002</v>
      </c>
      <c r="F152" t="s">
        <v>41</v>
      </c>
      <c r="G152">
        <v>-332.37259999999998</v>
      </c>
      <c r="H152" s="1">
        <v>-3.8621970000000002E-6</v>
      </c>
      <c r="I152">
        <v>371.90050000000002</v>
      </c>
      <c r="J152">
        <v>-459.35879999999997</v>
      </c>
      <c r="K152">
        <v>1.109075</v>
      </c>
      <c r="L152">
        <v>367.23489999999998</v>
      </c>
      <c r="M152">
        <v>0.99999930000000004</v>
      </c>
      <c r="N152">
        <v>0</v>
      </c>
      <c r="O152">
        <v>9.0716310000000004E-4</v>
      </c>
      <c r="P152">
        <v>0.99822</v>
      </c>
      <c r="Q152">
        <v>-1.1941829999999999E-3</v>
      </c>
      <c r="R152">
        <v>5.963251E-2</v>
      </c>
      <c r="S152">
        <v>2.9987490000000001</v>
      </c>
      <c r="T152">
        <v>-2.615023E-2</v>
      </c>
      <c r="U152">
        <v>0.1100159</v>
      </c>
      <c r="V152">
        <v>-5.8727139999999997E-2</v>
      </c>
      <c r="W152">
        <v>-3.3415089999999902E-4</v>
      </c>
      <c r="X152">
        <v>0.99827399999999999</v>
      </c>
      <c r="Y152">
        <v>-3.5754699999999903E-2</v>
      </c>
      <c r="Z152">
        <v>1.479339E-4</v>
      </c>
      <c r="AA152">
        <v>0.99936060000000004</v>
      </c>
      <c r="AB152">
        <v>20</v>
      </c>
      <c r="AC152">
        <v>126.9862</v>
      </c>
      <c r="AD152">
        <v>-1.109078862197</v>
      </c>
      <c r="AE152">
        <v>4.6656000000000297</v>
      </c>
      <c r="AF152">
        <v>-4.5500542410062099</v>
      </c>
      <c r="AG152">
        <v>-1.109078862197</v>
      </c>
      <c r="AH152">
        <v>126.980707154423</v>
      </c>
      <c r="AI152">
        <v>90.500100923669393</v>
      </c>
      <c r="AJ152">
        <v>92.052181146594606</v>
      </c>
      <c r="AK152">
        <v>127.067041513352</v>
      </c>
      <c r="AL152">
        <v>90.019145436955895</v>
      </c>
      <c r="AM152">
        <v>93.366754655560001</v>
      </c>
      <c r="AN152">
        <v>0.99999998385270095</v>
      </c>
    </row>
    <row r="153" spans="1:40" x14ac:dyDescent="0.3">
      <c r="A153" t="str">
        <f>"20200111160406982"</f>
        <v>20200111160406982</v>
      </c>
      <c r="B153" t="str">
        <f>"1578729846971288"</f>
        <v>1578729846971288</v>
      </c>
      <c r="C153" t="s">
        <v>40</v>
      </c>
      <c r="D153">
        <v>5.4106480000000001</v>
      </c>
      <c r="E153">
        <v>0.50916700000000004</v>
      </c>
      <c r="F153" t="s">
        <v>41</v>
      </c>
      <c r="G153">
        <v>-362.98849999999999</v>
      </c>
      <c r="H153" s="1">
        <v>-3.2957649999999999E-6</v>
      </c>
      <c r="I153">
        <v>370.7645</v>
      </c>
      <c r="J153">
        <v>-459.17189999999999</v>
      </c>
      <c r="K153">
        <v>1.1091040000000001</v>
      </c>
      <c r="L153">
        <v>367.23509999999999</v>
      </c>
      <c r="M153">
        <v>0.99999870000000002</v>
      </c>
      <c r="N153">
        <v>0</v>
      </c>
      <c r="O153">
        <v>9.1230640000000002E-4</v>
      </c>
      <c r="P153">
        <v>0.998224</v>
      </c>
      <c r="Q153">
        <v>-2.4869369999999998E-3</v>
      </c>
      <c r="R153">
        <v>5.9521200000000003E-2</v>
      </c>
      <c r="S153">
        <v>2.9987490000000001</v>
      </c>
      <c r="T153">
        <v>-3.4511090000000001E-2</v>
      </c>
      <c r="U153">
        <v>0.10983279999999999</v>
      </c>
      <c r="V153">
        <v>-5.861094E-2</v>
      </c>
      <c r="W153">
        <v>-1.2233529999999999E-3</v>
      </c>
      <c r="X153">
        <v>0.99828019999999995</v>
      </c>
      <c r="Y153">
        <v>-3.568764E-2</v>
      </c>
      <c r="Z153">
        <v>1.947846E-4</v>
      </c>
      <c r="AA153">
        <v>0.99936290000000005</v>
      </c>
      <c r="AB153">
        <v>20</v>
      </c>
      <c r="AC153">
        <v>96.183400000000006</v>
      </c>
      <c r="AD153">
        <v>-1.1091072957649999</v>
      </c>
      <c r="AE153">
        <v>3.5293999999999999</v>
      </c>
      <c r="AF153">
        <v>-3.4411927693180302</v>
      </c>
      <c r="AG153">
        <v>-1.1091072957649999</v>
      </c>
      <c r="AH153">
        <v>96.173809034528006</v>
      </c>
      <c r="AI153">
        <v>90.660301553906606</v>
      </c>
      <c r="AJ153">
        <v>92.049224693874905</v>
      </c>
      <c r="AK153">
        <v>96.241744949262994</v>
      </c>
      <c r="AL153">
        <v>90.070092977852894</v>
      </c>
      <c r="AM153">
        <v>93.360087510261906</v>
      </c>
      <c r="AN153">
        <v>1.00000004829614</v>
      </c>
    </row>
    <row r="154" spans="1:40" x14ac:dyDescent="0.3">
      <c r="A154" t="str">
        <f>"20200111160407005"</f>
        <v>20200111160407005</v>
      </c>
      <c r="B154" t="str">
        <f>"1578729847000568"</f>
        <v>1578729847000568</v>
      </c>
      <c r="C154" t="s">
        <v>40</v>
      </c>
      <c r="D154">
        <v>6.0584600000000002</v>
      </c>
      <c r="E154">
        <v>0.50941199999999998</v>
      </c>
      <c r="F154" t="s">
        <v>41</v>
      </c>
      <c r="G154">
        <v>-384.43729999999999</v>
      </c>
      <c r="H154" s="1">
        <v>-2.45088E-6</v>
      </c>
      <c r="I154">
        <v>369.92509999999999</v>
      </c>
      <c r="J154">
        <v>-458.9667</v>
      </c>
      <c r="K154">
        <v>1.109132</v>
      </c>
      <c r="L154">
        <v>367.2353</v>
      </c>
      <c r="M154">
        <v>0.99999819999999995</v>
      </c>
      <c r="N154">
        <v>0</v>
      </c>
      <c r="O154">
        <v>9.178999E-4</v>
      </c>
      <c r="P154">
        <v>0.99822610000000001</v>
      </c>
      <c r="Q154">
        <v>-3.4333089999999998E-3</v>
      </c>
      <c r="R154">
        <v>5.9438940000000003E-2</v>
      </c>
      <c r="S154">
        <v>2.9987490000000001</v>
      </c>
      <c r="T154">
        <v>-4.4503210000000001E-2</v>
      </c>
      <c r="U154">
        <v>0.1079407</v>
      </c>
      <c r="V154">
        <v>-5.8522829999999998E-2</v>
      </c>
      <c r="W154">
        <v>-1.7617170000000001E-3</v>
      </c>
      <c r="X154">
        <v>0.99828450000000002</v>
      </c>
      <c r="Y154">
        <v>-3.5050860000000003E-2</v>
      </c>
      <c r="Z154">
        <v>2.4637230000000001E-4</v>
      </c>
      <c r="AA154">
        <v>0.99938550000000004</v>
      </c>
      <c r="AB154">
        <v>20</v>
      </c>
      <c r="AC154">
        <v>74.529399999999995</v>
      </c>
      <c r="AD154">
        <v>-1.1091344508800001</v>
      </c>
      <c r="AE154">
        <v>2.6897999999999902</v>
      </c>
      <c r="AF154">
        <v>-2.6208085706589501</v>
      </c>
      <c r="AG154">
        <v>-1.1091344508800001</v>
      </c>
      <c r="AH154">
        <v>74.515356191941294</v>
      </c>
      <c r="AI154">
        <v>90.852237351881996</v>
      </c>
      <c r="AJ154">
        <v>92.0143418185028</v>
      </c>
      <c r="AK154">
        <v>74.569679664097094</v>
      </c>
      <c r="AL154">
        <v>90.1009390026136</v>
      </c>
      <c r="AM154">
        <v>93.355033409695196</v>
      </c>
      <c r="AN154">
        <v>0.99999998410912305</v>
      </c>
    </row>
    <row r="155" spans="1:40" x14ac:dyDescent="0.3">
      <c r="A155" t="str">
        <f>"20200111160407028"</f>
        <v>20200111160407028</v>
      </c>
      <c r="B155" t="str">
        <f>"1578729847021065"</f>
        <v>1578729847021065</v>
      </c>
      <c r="C155" t="s">
        <v>40</v>
      </c>
      <c r="D155">
        <v>5.3096420000000002</v>
      </c>
      <c r="E155">
        <v>0.50944299999999998</v>
      </c>
      <c r="F155" t="s">
        <v>41</v>
      </c>
      <c r="G155">
        <v>-394.45830000000001</v>
      </c>
      <c r="H155" s="1">
        <v>-2.3779870000000002E-6</v>
      </c>
      <c r="I155">
        <v>369.51319999999998</v>
      </c>
      <c r="J155">
        <v>-458.7527</v>
      </c>
      <c r="K155">
        <v>1.109156</v>
      </c>
      <c r="L155">
        <v>367.2355</v>
      </c>
      <c r="M155">
        <v>0.99999760000000004</v>
      </c>
      <c r="N155">
        <v>0</v>
      </c>
      <c r="O155">
        <v>9.2391190000000001E-4</v>
      </c>
      <c r="P155">
        <v>0.99823600000000001</v>
      </c>
      <c r="Q155">
        <v>-4.1553939999999998E-3</v>
      </c>
      <c r="R155">
        <v>5.9227889999999998E-2</v>
      </c>
      <c r="S155">
        <v>2.99884</v>
      </c>
      <c r="T155">
        <v>-5.1560880000000003E-2</v>
      </c>
      <c r="U155">
        <v>0.105896</v>
      </c>
      <c r="V155">
        <v>-5.830573E-2</v>
      </c>
      <c r="W155">
        <v>-2.0999209999999998E-3</v>
      </c>
      <c r="X155">
        <v>0.99829659999999998</v>
      </c>
      <c r="Y155">
        <v>-3.4362030000000002E-2</v>
      </c>
      <c r="Z155">
        <v>2.794106E-4</v>
      </c>
      <c r="AA155">
        <v>0.9994094</v>
      </c>
      <c r="AB155">
        <v>20</v>
      </c>
      <c r="AC155">
        <v>64.294399999999996</v>
      </c>
      <c r="AD155">
        <v>-1.109158377987</v>
      </c>
      <c r="AE155">
        <v>2.2776999999999799</v>
      </c>
      <c r="AF155">
        <v>-2.2176373957237501</v>
      </c>
      <c r="AG155">
        <v>-1.109158377987</v>
      </c>
      <c r="AH155">
        <v>64.277371640229902</v>
      </c>
      <c r="AI155">
        <v>90.987999480289602</v>
      </c>
      <c r="AJ155">
        <v>91.975981303346103</v>
      </c>
      <c r="AK155">
        <v>64.325178996273394</v>
      </c>
      <c r="AL155">
        <v>90.120316694862694</v>
      </c>
      <c r="AM155">
        <v>93.342575215609301</v>
      </c>
      <c r="AN155">
        <v>1.00000003469529</v>
      </c>
    </row>
    <row r="156" spans="1:40" x14ac:dyDescent="0.3">
      <c r="A156" t="str">
        <f>"20200111160407052"</f>
        <v>20200111160407052</v>
      </c>
      <c r="B156" t="str">
        <f>"1578729847040584"</f>
        <v>1578729847040584</v>
      </c>
      <c r="C156" t="s">
        <v>40</v>
      </c>
      <c r="D156">
        <v>5.3245559999999896</v>
      </c>
      <c r="E156">
        <v>0.50972129999999904</v>
      </c>
      <c r="F156" t="s">
        <v>41</v>
      </c>
      <c r="G156">
        <v>-397.25979999999998</v>
      </c>
      <c r="H156" s="1">
        <v>-1.1971890000000001E-6</v>
      </c>
      <c r="I156">
        <v>369.39440000000002</v>
      </c>
      <c r="J156">
        <v>-458.5421</v>
      </c>
      <c r="K156">
        <v>1.1091719999999901</v>
      </c>
      <c r="L156">
        <v>367.23579999999998</v>
      </c>
      <c r="M156">
        <v>0.99999669999999896</v>
      </c>
      <c r="N156">
        <v>0</v>
      </c>
      <c r="O156">
        <v>9.2978229999999998E-4</v>
      </c>
      <c r="P156">
        <v>0.99824849999999998</v>
      </c>
      <c r="Q156">
        <v>-4.8351879999999998E-3</v>
      </c>
      <c r="R156">
        <v>5.8966480000000002E-2</v>
      </c>
      <c r="S156">
        <v>2.9988100000000002</v>
      </c>
      <c r="T156">
        <v>-5.4089900000000003E-2</v>
      </c>
      <c r="U156">
        <v>0.10528559999999999</v>
      </c>
      <c r="V156">
        <v>-5.8038640000000002E-2</v>
      </c>
      <c r="W156">
        <v>-2.43728E-3</v>
      </c>
      <c r="X156">
        <v>0.99831130000000001</v>
      </c>
      <c r="Y156">
        <v>-3.41529E-2</v>
      </c>
      <c r="Z156">
        <v>2.9112609999999998E-4</v>
      </c>
      <c r="AA156">
        <v>0.99941659999999999</v>
      </c>
      <c r="AB156">
        <v>20</v>
      </c>
      <c r="AC156">
        <v>61.282299999999999</v>
      </c>
      <c r="AD156">
        <v>-1.10917319718899</v>
      </c>
      <c r="AE156">
        <v>2.1586000000000301</v>
      </c>
      <c r="AF156">
        <v>-2.10093231733368</v>
      </c>
      <c r="AG156">
        <v>-1.10917319718899</v>
      </c>
      <c r="AH156">
        <v>61.264235956408797</v>
      </c>
      <c r="AI156">
        <v>91.036602785810302</v>
      </c>
      <c r="AJ156">
        <v>91.964072498248598</v>
      </c>
      <c r="AK156">
        <v>61.310282898596299</v>
      </c>
      <c r="AL156">
        <v>90.139646004423</v>
      </c>
      <c r="AM156">
        <v>93.327248965411897</v>
      </c>
      <c r="AN156">
        <v>0.99999993788726704</v>
      </c>
    </row>
    <row r="157" spans="1:40" x14ac:dyDescent="0.3">
      <c r="A157" t="str">
        <f>"20200111160407074"</f>
        <v>20200111160407074</v>
      </c>
      <c r="B157" t="str">
        <f>"1578729847070841"</f>
        <v>1578729847070841</v>
      </c>
      <c r="C157" t="s">
        <v>40</v>
      </c>
      <c r="D157">
        <v>6.0640650000000003</v>
      </c>
      <c r="E157">
        <v>0.51011410000000001</v>
      </c>
      <c r="F157" t="s">
        <v>44</v>
      </c>
      <c r="G157">
        <v>-405.30700000000002</v>
      </c>
      <c r="H157">
        <v>-0.05</v>
      </c>
      <c r="I157">
        <v>369.0641</v>
      </c>
      <c r="J157">
        <v>-458.33120000000002</v>
      </c>
      <c r="K157">
        <v>1.1091850000000001</v>
      </c>
      <c r="L157">
        <v>367.23599999999999</v>
      </c>
      <c r="M157">
        <v>0.99999590000000005</v>
      </c>
      <c r="N157">
        <v>0</v>
      </c>
      <c r="O157">
        <v>9.3546389999999997E-4</v>
      </c>
      <c r="P157">
        <v>0.9982202</v>
      </c>
      <c r="Q157">
        <v>-5.3585319999999896E-3</v>
      </c>
      <c r="R157">
        <v>5.9394830000000003E-2</v>
      </c>
      <c r="S157">
        <v>2.9988709999999998</v>
      </c>
      <c r="T157">
        <v>-6.529915E-2</v>
      </c>
      <c r="U157">
        <v>0.1029968</v>
      </c>
      <c r="V157">
        <v>-5.8461319999999997E-2</v>
      </c>
      <c r="W157">
        <v>-2.6534699999999998E-3</v>
      </c>
      <c r="X157">
        <v>0.99828609999999895</v>
      </c>
      <c r="Y157">
        <v>-3.3382349999999998E-2</v>
      </c>
      <c r="Z157">
        <v>3.4293239999999998E-4</v>
      </c>
      <c r="AA157">
        <v>0.99944259999999996</v>
      </c>
      <c r="AB157">
        <v>20</v>
      </c>
      <c r="AC157">
        <v>53.0242</v>
      </c>
      <c r="AD157">
        <v>-1.1591849999999999</v>
      </c>
      <c r="AE157">
        <v>1.8281000000000001</v>
      </c>
      <c r="AF157">
        <v>-1.7776482245182601</v>
      </c>
      <c r="AG157">
        <v>-1.1591849999999999</v>
      </c>
      <c r="AH157">
        <v>53.000586839832899</v>
      </c>
      <c r="AI157">
        <v>91.252222232282193</v>
      </c>
      <c r="AJ157">
        <v>91.920989560772</v>
      </c>
      <c r="AK157">
        <v>53.0430574952182</v>
      </c>
      <c r="AL157">
        <v>90.152032817748307</v>
      </c>
      <c r="AM157">
        <v>93.351509809093898</v>
      </c>
      <c r="AN157">
        <v>0.99999995214619497</v>
      </c>
    </row>
    <row r="158" spans="1:40" x14ac:dyDescent="0.3">
      <c r="A158" t="str">
        <f>"20200111160407107"</f>
        <v>20200111160407107</v>
      </c>
      <c r="B158" t="str">
        <f>"1578729847101098"</f>
        <v>1578729847101098</v>
      </c>
      <c r="C158" t="s">
        <v>40</v>
      </c>
      <c r="D158">
        <v>5.3889719999999999</v>
      </c>
      <c r="E158">
        <v>0.51014570000000004</v>
      </c>
      <c r="F158" t="s">
        <v>44</v>
      </c>
      <c r="G158">
        <v>-410.15350000000001</v>
      </c>
      <c r="H158">
        <v>-0.05</v>
      </c>
      <c r="I158">
        <v>368.86070000000001</v>
      </c>
      <c r="J158">
        <v>-458.029</v>
      </c>
      <c r="K158">
        <v>1.109208</v>
      </c>
      <c r="L158">
        <v>367.23630000000003</v>
      </c>
      <c r="M158">
        <v>0.99999479999999996</v>
      </c>
      <c r="N158">
        <v>0</v>
      </c>
      <c r="O158">
        <v>9.4348010000000005E-4</v>
      </c>
      <c r="P158">
        <v>0.99817540000000005</v>
      </c>
      <c r="Q158">
        <v>-5.9631129999999999E-3</v>
      </c>
      <c r="R158">
        <v>6.0087519999999998E-2</v>
      </c>
      <c r="S158">
        <v>2.998901</v>
      </c>
      <c r="T158">
        <v>-7.2155360000000002E-2</v>
      </c>
      <c r="U158">
        <v>0.1011353</v>
      </c>
      <c r="V158">
        <v>-5.9146270000000001E-2</v>
      </c>
      <c r="W158">
        <v>-2.8714909999999999E-3</v>
      </c>
      <c r="X158">
        <v>0.99824520000000005</v>
      </c>
      <c r="Y158">
        <v>-3.2752780000000002E-2</v>
      </c>
      <c r="Z158">
        <v>3.711659E-4</v>
      </c>
      <c r="AA158">
        <v>0.9994634</v>
      </c>
      <c r="AB158">
        <v>20</v>
      </c>
      <c r="AC158">
        <v>47.875499999999903</v>
      </c>
      <c r="AD158">
        <v>-1.159208</v>
      </c>
      <c r="AE158">
        <v>1.6243999999999801</v>
      </c>
      <c r="AF158">
        <v>-1.57830523506634</v>
      </c>
      <c r="AG158">
        <v>-1.159208</v>
      </c>
      <c r="AH158">
        <v>47.848991219005001</v>
      </c>
      <c r="AI158">
        <v>91.387043983637099</v>
      </c>
      <c r="AJ158">
        <v>91.889223811100294</v>
      </c>
      <c r="AK158">
        <v>47.889046464496701</v>
      </c>
      <c r="AL158">
        <v>90.164524540810305</v>
      </c>
      <c r="AM158">
        <v>93.390824595146398</v>
      </c>
      <c r="AN158">
        <v>1.00000000301925</v>
      </c>
    </row>
    <row r="159" spans="1:40" x14ac:dyDescent="0.3">
      <c r="A159" t="str">
        <f>"20200111160407130"</f>
        <v>20200111160407130</v>
      </c>
      <c r="B159" t="str">
        <f>"1578729847120616"</f>
        <v>1578729847120616</v>
      </c>
      <c r="C159" t="s">
        <v>40</v>
      </c>
      <c r="D159">
        <v>5.5929989999999998</v>
      </c>
      <c r="E159">
        <v>0.51031019999999905</v>
      </c>
      <c r="F159" t="s">
        <v>44</v>
      </c>
      <c r="G159">
        <v>-407.5231</v>
      </c>
      <c r="H159">
        <v>-0.05</v>
      </c>
      <c r="I159">
        <v>368.9683</v>
      </c>
      <c r="J159">
        <v>-457.81299999999999</v>
      </c>
      <c r="K159">
        <v>1.109221</v>
      </c>
      <c r="L159">
        <v>367.23649999999998</v>
      </c>
      <c r="M159">
        <v>0.99999400000000005</v>
      </c>
      <c r="N159">
        <v>0</v>
      </c>
      <c r="O159">
        <v>9.4898879999999995E-4</v>
      </c>
      <c r="P159">
        <v>0.99813759999999996</v>
      </c>
      <c r="Q159">
        <v>-6.0273430000000001E-3</v>
      </c>
      <c r="R159">
        <v>6.0705809999999999E-2</v>
      </c>
      <c r="S159">
        <v>2.9988709999999998</v>
      </c>
      <c r="T159">
        <v>-6.8829890000000005E-2</v>
      </c>
      <c r="U159">
        <v>0.1028442</v>
      </c>
      <c r="V159">
        <v>-5.9758409999999998E-2</v>
      </c>
      <c r="W159">
        <v>-2.6945900000000002E-3</v>
      </c>
      <c r="X159">
        <v>0.99820920000000002</v>
      </c>
      <c r="Y159">
        <v>-3.3317199999999998E-2</v>
      </c>
      <c r="Z159">
        <v>3.6041259999999999E-4</v>
      </c>
      <c r="AA159">
        <v>0.99944480000000002</v>
      </c>
      <c r="AB159">
        <v>21</v>
      </c>
      <c r="AC159">
        <v>50.289900000000003</v>
      </c>
      <c r="AD159">
        <v>-1.1592209999999901</v>
      </c>
      <c r="AE159">
        <v>1.73180000000002</v>
      </c>
      <c r="AF159">
        <v>-1.6831811245577599</v>
      </c>
      <c r="AG159">
        <v>-1.1592209999999901</v>
      </c>
      <c r="AH159">
        <v>50.264844830894098</v>
      </c>
      <c r="AI159">
        <v>91.320396235160104</v>
      </c>
      <c r="AJ159">
        <v>91.917904103209494</v>
      </c>
      <c r="AK159">
        <v>50.306376513308599</v>
      </c>
      <c r="AL159">
        <v>90.154388826340906</v>
      </c>
      <c r="AM159">
        <v>93.425958361017194</v>
      </c>
      <c r="AN159">
        <v>0.99999996767281696</v>
      </c>
    </row>
    <row r="160" spans="1:40" x14ac:dyDescent="0.3">
      <c r="A160" t="str">
        <f>"20200111160407152"</f>
        <v>20200111160407152</v>
      </c>
      <c r="B160" t="str">
        <f>"1578729847141112"</f>
        <v>1578729847141112</v>
      </c>
      <c r="C160" t="s">
        <v>40</v>
      </c>
      <c r="D160">
        <v>6.0718860000000001</v>
      </c>
      <c r="E160">
        <v>0.51038700000000004</v>
      </c>
      <c r="F160" t="s">
        <v>44</v>
      </c>
      <c r="G160">
        <v>-404.57510000000002</v>
      </c>
      <c r="H160">
        <v>-0.05</v>
      </c>
      <c r="I160">
        <v>369.06819999999999</v>
      </c>
      <c r="J160">
        <v>-457.60329999999999</v>
      </c>
      <c r="K160">
        <v>1.1092310000000001</v>
      </c>
      <c r="L160">
        <v>367.23669999999998</v>
      </c>
      <c r="M160">
        <v>0.99999329999999997</v>
      </c>
      <c r="N160">
        <v>0</v>
      </c>
      <c r="O160">
        <v>9.5434410000000002E-4</v>
      </c>
      <c r="P160">
        <v>0.99812460000000003</v>
      </c>
      <c r="Q160">
        <v>-6.4731559999999999E-3</v>
      </c>
      <c r="R160">
        <v>6.0875810000000002E-2</v>
      </c>
      <c r="S160">
        <v>2.9989319999999999</v>
      </c>
      <c r="T160">
        <v>-6.5299750000000004E-2</v>
      </c>
      <c r="U160">
        <v>0.1031799</v>
      </c>
      <c r="V160">
        <v>-5.9924020000000001E-2</v>
      </c>
      <c r="W160">
        <v>-2.92968E-3</v>
      </c>
      <c r="X160">
        <v>0.99819860000000005</v>
      </c>
      <c r="Y160">
        <v>-3.3423729999999999E-2</v>
      </c>
      <c r="Z160">
        <v>3.4296739999999999E-4</v>
      </c>
      <c r="AA160">
        <v>0.99944120000000003</v>
      </c>
      <c r="AB160">
        <v>21</v>
      </c>
      <c r="AC160">
        <v>53.028199999999899</v>
      </c>
      <c r="AD160">
        <v>-1.1592309999999999</v>
      </c>
      <c r="AE160">
        <v>1.8314999999999999</v>
      </c>
      <c r="AF160">
        <v>-1.78004205277063</v>
      </c>
      <c r="AG160">
        <v>-1.1592309999999999</v>
      </c>
      <c r="AH160">
        <v>53.004623645677697</v>
      </c>
      <c r="AI160">
        <v>91.252174778398896</v>
      </c>
      <c r="AJ160">
        <v>91.923428085770496</v>
      </c>
      <c r="AK160">
        <v>53.047172347269701</v>
      </c>
      <c r="AL160">
        <v>90.167858546476694</v>
      </c>
      <c r="AM160">
        <v>93.435466492063199</v>
      </c>
      <c r="AN160">
        <v>0.99999995811991005</v>
      </c>
    </row>
    <row r="161" spans="1:40" x14ac:dyDescent="0.3">
      <c r="A161" t="str">
        <f>"20200111160407172"</f>
        <v>20200111160407172</v>
      </c>
      <c r="B161" t="str">
        <f>"1578729847160632"</f>
        <v>1578729847160632</v>
      </c>
      <c r="C161" t="s">
        <v>40</v>
      </c>
      <c r="D161">
        <v>5.4076069999999996</v>
      </c>
      <c r="E161">
        <v>0.51051289999999905</v>
      </c>
      <c r="F161" t="s">
        <v>44</v>
      </c>
      <c r="G161">
        <v>-405.91460000000001</v>
      </c>
      <c r="H161">
        <v>-0.05</v>
      </c>
      <c r="I161">
        <v>369.01089999999999</v>
      </c>
      <c r="J161">
        <v>-457.4169</v>
      </c>
      <c r="K161">
        <v>1.109246</v>
      </c>
      <c r="L161">
        <v>367.23689999999999</v>
      </c>
      <c r="M161">
        <v>0.99999269999999996</v>
      </c>
      <c r="N161">
        <v>0</v>
      </c>
      <c r="O161">
        <v>9.5928039999999999E-4</v>
      </c>
      <c r="P161">
        <v>0.99810330000000003</v>
      </c>
      <c r="Q161">
        <v>-6.4080819999999998E-3</v>
      </c>
      <c r="R161">
        <v>6.1228659999999997E-2</v>
      </c>
      <c r="S161">
        <v>2.998901</v>
      </c>
      <c r="T161">
        <v>-6.7256930000000006E-2</v>
      </c>
      <c r="U161">
        <v>0.10293579999999999</v>
      </c>
      <c r="V161">
        <v>-6.0271039999999998E-2</v>
      </c>
      <c r="W161">
        <v>-2.6965800000000001E-3</v>
      </c>
      <c r="X161">
        <v>0.99817840000000002</v>
      </c>
      <c r="Y161">
        <v>-3.3337430000000001E-2</v>
      </c>
      <c r="Z161">
        <v>3.5217050000000002E-4</v>
      </c>
      <c r="AA161">
        <v>0.99944409999999895</v>
      </c>
      <c r="AB161">
        <v>21</v>
      </c>
      <c r="AC161">
        <v>51.502299999999899</v>
      </c>
      <c r="AD161">
        <v>-1.159246</v>
      </c>
      <c r="AE161">
        <v>1.774</v>
      </c>
      <c r="AF161">
        <v>-1.7237214306090001</v>
      </c>
      <c r="AG161">
        <v>-1.159246</v>
      </c>
      <c r="AH161">
        <v>51.477928298308598</v>
      </c>
      <c r="AI161">
        <v>91.289319434819006</v>
      </c>
      <c r="AJ161">
        <v>91.917813705929404</v>
      </c>
      <c r="AK161">
        <v>51.519823065929302</v>
      </c>
      <c r="AL161">
        <v>90.154502841289897</v>
      </c>
      <c r="AM161">
        <v>93.455382970412799</v>
      </c>
      <c r="AN161">
        <v>0.999999994016469</v>
      </c>
    </row>
    <row r="162" spans="1:40" x14ac:dyDescent="0.3">
      <c r="A162" t="str">
        <f>"20200111160407195"</f>
        <v>20200111160407195</v>
      </c>
      <c r="B162" t="str">
        <f>"1578729847190889"</f>
        <v>1578729847190889</v>
      </c>
      <c r="C162" t="s">
        <v>40</v>
      </c>
      <c r="D162">
        <v>5.3680190000000003</v>
      </c>
      <c r="E162">
        <v>0.51076069999999996</v>
      </c>
      <c r="F162" t="s">
        <v>44</v>
      </c>
      <c r="G162">
        <v>-406.6524</v>
      </c>
      <c r="H162">
        <v>-0.05</v>
      </c>
      <c r="I162">
        <v>368.98239999999998</v>
      </c>
      <c r="J162">
        <v>-457.1961</v>
      </c>
      <c r="K162">
        <v>1.1092599999999999</v>
      </c>
      <c r="L162">
        <v>367.2371</v>
      </c>
      <c r="M162">
        <v>0.99999199999999999</v>
      </c>
      <c r="N162">
        <v>0</v>
      </c>
      <c r="O162">
        <v>9.6495900000000004E-4</v>
      </c>
      <c r="P162">
        <v>0.9980966</v>
      </c>
      <c r="Q162">
        <v>-6.5049749999999996E-3</v>
      </c>
      <c r="R162">
        <v>6.1327819999999998E-2</v>
      </c>
      <c r="S162">
        <v>2.9989319999999999</v>
      </c>
      <c r="T162">
        <v>-6.8482879999999996E-2</v>
      </c>
      <c r="U162">
        <v>0.1031189</v>
      </c>
      <c r="V162">
        <v>-6.0364809999999998E-2</v>
      </c>
      <c r="W162">
        <v>-2.6159479999999999E-3</v>
      </c>
      <c r="X162">
        <v>0.99817290000000003</v>
      </c>
      <c r="Y162">
        <v>-3.3392039999999998E-2</v>
      </c>
      <c r="Z162">
        <v>3.5907769999999999E-4</v>
      </c>
      <c r="AA162">
        <v>0.99944230000000001</v>
      </c>
      <c r="AB162">
        <v>21</v>
      </c>
      <c r="AC162">
        <v>50.543700000000001</v>
      </c>
      <c r="AD162">
        <v>-1.15926</v>
      </c>
      <c r="AE162">
        <v>1.7452999999999801</v>
      </c>
      <c r="AF162">
        <v>-1.6956352938324499</v>
      </c>
      <c r="AG162">
        <v>-1.15926</v>
      </c>
      <c r="AH162">
        <v>50.518816811950302</v>
      </c>
      <c r="AI162">
        <v>91.313801317835896</v>
      </c>
      <c r="AJ162">
        <v>91.922378502607302</v>
      </c>
      <c r="AK162">
        <v>50.560556908292497</v>
      </c>
      <c r="AL162">
        <v>90.149882958883396</v>
      </c>
      <c r="AM162">
        <v>93.460764840216001</v>
      </c>
      <c r="AN162">
        <v>0.99999994588234098</v>
      </c>
    </row>
    <row r="163" spans="1:40" x14ac:dyDescent="0.3">
      <c r="A163" t="str">
        <f>"20200111160407217"</f>
        <v>20200111160407217</v>
      </c>
      <c r="B163" t="str">
        <f>"1578729847210409"</f>
        <v>1578729847210409</v>
      </c>
      <c r="C163" t="s">
        <v>40</v>
      </c>
      <c r="D163">
        <v>5.3931110000000002</v>
      </c>
      <c r="E163">
        <v>0.51091249999999999</v>
      </c>
      <c r="F163" t="s">
        <v>44</v>
      </c>
      <c r="G163">
        <v>-412.51319999999998</v>
      </c>
      <c r="H163">
        <v>-0.05</v>
      </c>
      <c r="I163">
        <v>368.75580000000002</v>
      </c>
      <c r="J163">
        <v>-456.98770000000002</v>
      </c>
      <c r="K163">
        <v>1.1092740000000001</v>
      </c>
      <c r="L163">
        <v>367.2373</v>
      </c>
      <c r="M163">
        <v>0.99999139999999997</v>
      </c>
      <c r="N163">
        <v>0</v>
      </c>
      <c r="O163">
        <v>9.7074089999999997E-4</v>
      </c>
      <c r="P163">
        <v>0.998058</v>
      </c>
      <c r="Q163">
        <v>-5.7516140000000004E-3</v>
      </c>
      <c r="R163">
        <v>6.2028050000000001E-2</v>
      </c>
      <c r="S163">
        <v>2.9989620000000001</v>
      </c>
      <c r="T163">
        <v>-7.7805639999999995E-2</v>
      </c>
      <c r="U163">
        <v>0.1019287</v>
      </c>
      <c r="V163">
        <v>-6.1059349999999998E-2</v>
      </c>
      <c r="W163">
        <v>-1.7141319999999999E-3</v>
      </c>
      <c r="X163">
        <v>0.99813260000000004</v>
      </c>
      <c r="Y163">
        <v>-3.2987420000000003E-2</v>
      </c>
      <c r="Z163">
        <v>4.0254670000000001E-4</v>
      </c>
      <c r="AA163">
        <v>0.99945569999999895</v>
      </c>
      <c r="AB163">
        <v>21</v>
      </c>
      <c r="AC163">
        <v>44.474499999999999</v>
      </c>
      <c r="AD163">
        <v>-1.1592739999999999</v>
      </c>
      <c r="AE163">
        <v>1.51850000000001</v>
      </c>
      <c r="AF163">
        <v>-1.4743251707732199</v>
      </c>
      <c r="AG163">
        <v>-1.1592739999999999</v>
      </c>
      <c r="AH163">
        <v>44.445790116025897</v>
      </c>
      <c r="AI163">
        <v>91.4932789557392</v>
      </c>
      <c r="AJ163">
        <v>91.899879547287597</v>
      </c>
      <c r="AK163">
        <v>44.485343765717701</v>
      </c>
      <c r="AL163">
        <v>90.098212583624601</v>
      </c>
      <c r="AM163">
        <v>93.500625929384896</v>
      </c>
      <c r="AN163">
        <v>0.99999993482684502</v>
      </c>
    </row>
    <row r="164" spans="1:40" x14ac:dyDescent="0.3">
      <c r="A164" t="str">
        <f>"20200111160407239"</f>
        <v>20200111160407239</v>
      </c>
      <c r="B164" t="str">
        <f>"1578729847230904"</f>
        <v>1578729847230904</v>
      </c>
      <c r="C164" t="s">
        <v>40</v>
      </c>
      <c r="D164">
        <v>5.525614</v>
      </c>
      <c r="E164">
        <v>0.51101989999999997</v>
      </c>
      <c r="F164" t="s">
        <v>44</v>
      </c>
      <c r="G164">
        <v>-414.18610000000001</v>
      </c>
      <c r="H164">
        <v>-0.05</v>
      </c>
      <c r="I164">
        <v>368.7099</v>
      </c>
      <c r="J164">
        <v>-456.77550000000002</v>
      </c>
      <c r="K164">
        <v>1.1092820000000001</v>
      </c>
      <c r="L164">
        <v>367.23750000000001</v>
      </c>
      <c r="M164">
        <v>0.99999090000000002</v>
      </c>
      <c r="N164">
        <v>0</v>
      </c>
      <c r="O164">
        <v>9.7635810000000001E-4</v>
      </c>
      <c r="P164">
        <v>0.99802789999999997</v>
      </c>
      <c r="Q164">
        <v>-5.218243E-3</v>
      </c>
      <c r="R164">
        <v>6.2555920000000001E-2</v>
      </c>
      <c r="S164">
        <v>2.9989620000000001</v>
      </c>
      <c r="T164">
        <v>-8.1226350000000003E-2</v>
      </c>
      <c r="U164">
        <v>0.1031799</v>
      </c>
      <c r="V164">
        <v>-6.1581999999999998E-2</v>
      </c>
      <c r="W164">
        <v>-1.0442170000000001E-3</v>
      </c>
      <c r="X164">
        <v>0.99810149999999997</v>
      </c>
      <c r="Y164">
        <v>-3.339719E-2</v>
      </c>
      <c r="Z164">
        <v>4.2562980000000002E-4</v>
      </c>
      <c r="AA164">
        <v>0.99944200000000005</v>
      </c>
      <c r="AB164">
        <v>21</v>
      </c>
      <c r="AC164">
        <v>42.589399999999998</v>
      </c>
      <c r="AD164">
        <v>-1.1592819999999999</v>
      </c>
      <c r="AE164">
        <v>1.4723999999999899</v>
      </c>
      <c r="AF164">
        <v>-1.42975835269471</v>
      </c>
      <c r="AG164">
        <v>-1.1592819999999999</v>
      </c>
      <c r="AH164">
        <v>42.559321616127903</v>
      </c>
      <c r="AI164">
        <v>91.559426249062</v>
      </c>
      <c r="AJ164">
        <v>91.924098397178696</v>
      </c>
      <c r="AK164">
        <v>42.599107973379397</v>
      </c>
      <c r="AL164">
        <v>90.059829236749394</v>
      </c>
      <c r="AM164">
        <v>93.530624512831096</v>
      </c>
      <c r="AN164">
        <v>1.0000000187076901</v>
      </c>
    </row>
    <row r="165" spans="1:40" x14ac:dyDescent="0.3">
      <c r="A165" t="str">
        <f>"20200111160407262"</f>
        <v>20200111160407262</v>
      </c>
      <c r="B165" t="str">
        <f>"1578729847250424"</f>
        <v>1578729847250424</v>
      </c>
      <c r="C165" t="s">
        <v>40</v>
      </c>
      <c r="D165">
        <v>5.3930480000000003</v>
      </c>
      <c r="E165">
        <v>0.51119599999999998</v>
      </c>
      <c r="F165" t="s">
        <v>44</v>
      </c>
      <c r="G165">
        <v>-415.89449999999999</v>
      </c>
      <c r="H165">
        <v>-0.05</v>
      </c>
      <c r="I165">
        <v>368.65859999999998</v>
      </c>
      <c r="J165">
        <v>-456.56099999999998</v>
      </c>
      <c r="K165">
        <v>1.1092919999999999</v>
      </c>
      <c r="L165">
        <v>367.23770000000002</v>
      </c>
      <c r="M165">
        <v>0.99999020000000005</v>
      </c>
      <c r="N165">
        <v>0</v>
      </c>
      <c r="O165">
        <v>9.8234369999999991E-4</v>
      </c>
      <c r="P165">
        <v>0.99804029999999999</v>
      </c>
      <c r="Q165">
        <v>-5.8394320000000003E-3</v>
      </c>
      <c r="R165">
        <v>6.2300700000000001E-2</v>
      </c>
      <c r="S165">
        <v>2.9989620000000001</v>
      </c>
      <c r="T165">
        <v>-8.5043190000000005E-2</v>
      </c>
      <c r="U165">
        <v>0.10424799999999999</v>
      </c>
      <c r="V165">
        <v>-6.1320189999999997E-2</v>
      </c>
      <c r="W165">
        <v>-1.538036E-3</v>
      </c>
      <c r="X165">
        <v>0.99811700000000003</v>
      </c>
      <c r="Y165">
        <v>-3.3745459999999998E-2</v>
      </c>
      <c r="Z165">
        <v>4.5038560000000002E-4</v>
      </c>
      <c r="AA165">
        <v>0.99943040000000005</v>
      </c>
      <c r="AB165">
        <v>21</v>
      </c>
      <c r="AC165">
        <v>40.6664999999999</v>
      </c>
      <c r="AD165">
        <v>-1.159292</v>
      </c>
      <c r="AE165">
        <v>1.4208999999999601</v>
      </c>
      <c r="AF165">
        <v>-1.37983048808481</v>
      </c>
      <c r="AG165">
        <v>-1.159292</v>
      </c>
      <c r="AH165">
        <v>40.634893872569897</v>
      </c>
      <c r="AI165">
        <v>91.633234140979894</v>
      </c>
      <c r="AJ165">
        <v>91.944833378632495</v>
      </c>
      <c r="AK165">
        <v>40.674838538734697</v>
      </c>
      <c r="AL165">
        <v>90.088123002892104</v>
      </c>
      <c r="AM165">
        <v>93.515597668147294</v>
      </c>
      <c r="AN165">
        <v>1.0000000384726799</v>
      </c>
    </row>
    <row r="166" spans="1:40" x14ac:dyDescent="0.3">
      <c r="A166" t="str">
        <f>"20200111160407283"</f>
        <v>20200111160407283</v>
      </c>
      <c r="B166" t="str">
        <f>"1578729847280681"</f>
        <v>1578729847280681</v>
      </c>
      <c r="C166" t="s">
        <v>40</v>
      </c>
      <c r="D166">
        <v>5.4504219999999997</v>
      </c>
      <c r="E166">
        <v>0.51116450000000002</v>
      </c>
      <c r="F166" t="s">
        <v>44</v>
      </c>
      <c r="G166">
        <v>-418.87819999999999</v>
      </c>
      <c r="H166">
        <v>-0.05</v>
      </c>
      <c r="I166">
        <v>368.52879999999999</v>
      </c>
      <c r="J166">
        <v>-456.35149999999999</v>
      </c>
      <c r="K166">
        <v>1.1093090000000001</v>
      </c>
      <c r="L166">
        <v>367.23790000000002</v>
      </c>
      <c r="M166">
        <v>0.99998969999999998</v>
      </c>
      <c r="N166">
        <v>0</v>
      </c>
      <c r="O166">
        <v>9.8763379999999997E-4</v>
      </c>
      <c r="P166">
        <v>0.99805699999999997</v>
      </c>
      <c r="Q166">
        <v>-6.7944040000000004E-3</v>
      </c>
      <c r="R166">
        <v>6.1937649999999997E-2</v>
      </c>
      <c r="S166">
        <v>2.9989319999999999</v>
      </c>
      <c r="T166">
        <v>-9.2260480000000006E-2</v>
      </c>
      <c r="U166">
        <v>0.1027527</v>
      </c>
      <c r="V166">
        <v>-6.0952180000000002E-2</v>
      </c>
      <c r="W166">
        <v>-2.3781309999999999E-3</v>
      </c>
      <c r="X166">
        <v>0.99813779999999996</v>
      </c>
      <c r="Y166">
        <v>-3.3240680000000002E-2</v>
      </c>
      <c r="Z166">
        <v>4.8067679999999998E-4</v>
      </c>
      <c r="AA166">
        <v>0.99944730000000004</v>
      </c>
      <c r="AB166">
        <v>21</v>
      </c>
      <c r="AC166">
        <v>37.473300000000002</v>
      </c>
      <c r="AD166">
        <v>-1.1593089999999999</v>
      </c>
      <c r="AE166">
        <v>1.29089999999996</v>
      </c>
      <c r="AF166">
        <v>-1.25269158723051</v>
      </c>
      <c r="AG166">
        <v>-1.1593089999999999</v>
      </c>
      <c r="AH166">
        <v>37.438766730304302</v>
      </c>
      <c r="AI166">
        <v>91.772632619901501</v>
      </c>
      <c r="AJ166">
        <v>91.9163872177634</v>
      </c>
      <c r="AK166">
        <v>37.4776531796795</v>
      </c>
      <c r="AL166">
        <v>90.136257005252205</v>
      </c>
      <c r="AM166">
        <v>93.494478788193106</v>
      </c>
      <c r="AN166">
        <v>0.99999994577132101</v>
      </c>
    </row>
    <row r="167" spans="1:40" x14ac:dyDescent="0.3">
      <c r="A167" t="str">
        <f>"20200111160407307"</f>
        <v>20200111160407307</v>
      </c>
      <c r="B167" t="str">
        <f>"1578729847301176"</f>
        <v>1578729847301176</v>
      </c>
      <c r="C167" t="s">
        <v>40</v>
      </c>
      <c r="D167">
        <v>5.4716909999999999</v>
      </c>
      <c r="E167">
        <v>0.5113259</v>
      </c>
      <c r="F167" t="s">
        <v>44</v>
      </c>
      <c r="G167">
        <v>-418.63549999999998</v>
      </c>
      <c r="H167">
        <v>-0.05</v>
      </c>
      <c r="I167">
        <v>368.51249999999999</v>
      </c>
      <c r="J167">
        <v>-456.12490000000003</v>
      </c>
      <c r="K167">
        <v>1.109318</v>
      </c>
      <c r="L167">
        <v>367.23820000000001</v>
      </c>
      <c r="M167">
        <v>0.99998940000000003</v>
      </c>
      <c r="N167">
        <v>0</v>
      </c>
      <c r="O167">
        <v>9.934605E-4</v>
      </c>
      <c r="P167">
        <v>0.99808479999999999</v>
      </c>
      <c r="Q167">
        <v>-6.7617409999999999E-3</v>
      </c>
      <c r="R167">
        <v>6.149131E-2</v>
      </c>
      <c r="S167">
        <v>2.9989319999999999</v>
      </c>
      <c r="T167">
        <v>-9.2180609999999996E-2</v>
      </c>
      <c r="U167">
        <v>0.10134890000000001</v>
      </c>
      <c r="V167">
        <v>-6.0499570000000003E-2</v>
      </c>
      <c r="W167">
        <v>-2.2333840000000002E-3</v>
      </c>
      <c r="X167">
        <v>0.99816570000000004</v>
      </c>
      <c r="Y167">
        <v>-3.2767810000000001E-2</v>
      </c>
      <c r="Z167">
        <v>4.7282189999999999E-4</v>
      </c>
      <c r="AA167">
        <v>0.99946290000000004</v>
      </c>
      <c r="AB167">
        <v>22</v>
      </c>
      <c r="AC167">
        <v>37.489400000000003</v>
      </c>
      <c r="AD167">
        <v>-1.1593180000000001</v>
      </c>
      <c r="AE167">
        <v>1.27429999999998</v>
      </c>
      <c r="AF167">
        <v>-1.2358742702785701</v>
      </c>
      <c r="AG167">
        <v>-1.1593180000000001</v>
      </c>
      <c r="AH167">
        <v>37.454871213764697</v>
      </c>
      <c r="AI167">
        <v>91.771911908469903</v>
      </c>
      <c r="AJ167">
        <v>91.889866275998401</v>
      </c>
      <c r="AK167">
        <v>37.493183128093499</v>
      </c>
      <c r="AL167">
        <v>90.127963586771401</v>
      </c>
      <c r="AM167">
        <v>93.468496860740501</v>
      </c>
      <c r="AN167">
        <v>0.99999997531538298</v>
      </c>
    </row>
    <row r="168" spans="1:40" x14ac:dyDescent="0.3">
      <c r="A168" t="str">
        <f>"20200111160407351"</f>
        <v>20200111160407351</v>
      </c>
      <c r="B168" t="str">
        <f>"1578729847341192"</f>
        <v>1578729847341192</v>
      </c>
      <c r="C168" t="s">
        <v>40</v>
      </c>
      <c r="D168">
        <v>5.5534359999999996</v>
      </c>
      <c r="E168">
        <v>0.51174310000000001</v>
      </c>
      <c r="F168" t="s">
        <v>44</v>
      </c>
      <c r="G168">
        <v>-420.30079999999998</v>
      </c>
      <c r="H168">
        <v>-0.05</v>
      </c>
      <c r="I168">
        <v>368.4221</v>
      </c>
      <c r="J168">
        <v>-455.68049999999999</v>
      </c>
      <c r="K168">
        <v>1.109335</v>
      </c>
      <c r="L168">
        <v>367.23860000000002</v>
      </c>
      <c r="M168">
        <v>0.9999884</v>
      </c>
      <c r="N168">
        <v>0</v>
      </c>
      <c r="O168">
        <v>1.006133E-3</v>
      </c>
      <c r="P168">
        <v>0.9981023</v>
      </c>
      <c r="Q168">
        <v>-6.5222919999999998E-3</v>
      </c>
      <c r="R168">
        <v>6.123555E-2</v>
      </c>
      <c r="S168">
        <v>2.9990540000000001</v>
      </c>
      <c r="T168">
        <v>-9.7053410000000007E-2</v>
      </c>
      <c r="U168">
        <v>9.9121089999999995E-2</v>
      </c>
      <c r="V168">
        <v>-6.0231180000000002E-2</v>
      </c>
      <c r="W168">
        <v>-1.8057699999999999E-3</v>
      </c>
      <c r="X168">
        <v>0.99818280000000004</v>
      </c>
      <c r="Y168">
        <v>-3.2010940000000002E-2</v>
      </c>
      <c r="Z168">
        <v>4.8513910000000003E-4</v>
      </c>
      <c r="AA168">
        <v>0.99948740000000003</v>
      </c>
      <c r="AB168">
        <v>22</v>
      </c>
      <c r="AC168">
        <v>35.3797</v>
      </c>
      <c r="AD168">
        <v>-1.159335</v>
      </c>
      <c r="AE168">
        <v>1.18349999999998</v>
      </c>
      <c r="AF168">
        <v>-1.14667244082835</v>
      </c>
      <c r="AG168">
        <v>-1.159335</v>
      </c>
      <c r="AH168">
        <v>35.342965211804398</v>
      </c>
      <c r="AI168">
        <v>91.877779579730202</v>
      </c>
      <c r="AJ168">
        <v>91.858260993006795</v>
      </c>
      <c r="AK168">
        <v>35.3805611217741</v>
      </c>
      <c r="AL168">
        <v>90.103463058169496</v>
      </c>
      <c r="AM168">
        <v>93.453088114266293</v>
      </c>
      <c r="AN168">
        <v>0.99999997903266202</v>
      </c>
    </row>
    <row r="169" spans="1:40" x14ac:dyDescent="0.3">
      <c r="A169" t="str">
        <f>"20200111160407372"</f>
        <v>20200111160407372</v>
      </c>
      <c r="B169" t="str">
        <f>"1578729847360719"</f>
        <v>1578729847360719</v>
      </c>
      <c r="C169" t="s">
        <v>40</v>
      </c>
      <c r="D169">
        <v>5.8051259999999996</v>
      </c>
      <c r="E169">
        <v>0.51174310000000001</v>
      </c>
      <c r="F169" t="s">
        <v>44</v>
      </c>
      <c r="G169">
        <v>-421.9966</v>
      </c>
      <c r="H169">
        <v>-0.05</v>
      </c>
      <c r="I169">
        <v>368.31310000000002</v>
      </c>
      <c r="J169">
        <v>-455.47410000000002</v>
      </c>
      <c r="K169">
        <v>1.1093489999999999</v>
      </c>
      <c r="L169">
        <v>367.2389</v>
      </c>
      <c r="M169">
        <v>0.99998799999999999</v>
      </c>
      <c r="N169">
        <v>0</v>
      </c>
      <c r="O169">
        <v>1.0118530000000001E-3</v>
      </c>
      <c r="P169">
        <v>0.99807619999999997</v>
      </c>
      <c r="Q169">
        <v>-6.4264780000000002E-3</v>
      </c>
      <c r="R169">
        <v>6.1665789999999998E-2</v>
      </c>
      <c r="S169">
        <v>2.9992070000000002</v>
      </c>
      <c r="T169">
        <v>-0.103227</v>
      </c>
      <c r="U169">
        <v>9.5672610000000005E-2</v>
      </c>
      <c r="V169">
        <v>-6.0656229999999998E-2</v>
      </c>
      <c r="W169">
        <v>-1.634487E-3</v>
      </c>
      <c r="X169">
        <v>0.99815739999999997</v>
      </c>
      <c r="Y169">
        <v>-3.0854070000000001E-2</v>
      </c>
      <c r="Z169">
        <v>4.9587030000000003E-4</v>
      </c>
      <c r="AA169">
        <v>0.99952379999999996</v>
      </c>
      <c r="AB169">
        <v>22</v>
      </c>
      <c r="AC169">
        <v>33.477499999999999</v>
      </c>
      <c r="AD169">
        <v>-1.159349</v>
      </c>
      <c r="AE169">
        <v>1.07420000000001</v>
      </c>
      <c r="AF169">
        <v>-1.03907988106819</v>
      </c>
      <c r="AG169">
        <v>-1.159349</v>
      </c>
      <c r="AH169">
        <v>33.4385087562937</v>
      </c>
      <c r="AI169">
        <v>91.984753527163704</v>
      </c>
      <c r="AJ169">
        <v>91.7798562936145</v>
      </c>
      <c r="AK169">
        <v>33.474731439516702</v>
      </c>
      <c r="AL169">
        <v>90.093649246361807</v>
      </c>
      <c r="AM169">
        <v>93.477485158312405</v>
      </c>
      <c r="AN169">
        <v>1.00000002248016</v>
      </c>
    </row>
    <row r="170" spans="1:40" x14ac:dyDescent="0.3">
      <c r="A170" t="str">
        <f>"20200111160407395"</f>
        <v>20200111160407395</v>
      </c>
      <c r="B170" t="str">
        <f>"1578729847390968"</f>
        <v>1578729847390968</v>
      </c>
      <c r="C170" t="s">
        <v>40</v>
      </c>
      <c r="D170">
        <v>5.4444900000000001</v>
      </c>
      <c r="E170">
        <v>0.58403579999999999</v>
      </c>
      <c r="F170" t="s">
        <v>44</v>
      </c>
      <c r="G170">
        <v>-421.70370000000003</v>
      </c>
      <c r="H170">
        <v>-0.05</v>
      </c>
      <c r="I170">
        <v>368.3261</v>
      </c>
      <c r="J170">
        <v>-455.24529999999999</v>
      </c>
      <c r="K170">
        <v>1.1093599999999999</v>
      </c>
      <c r="L170">
        <v>367.23910000000001</v>
      </c>
      <c r="M170">
        <v>0.99998770000000003</v>
      </c>
      <c r="N170">
        <v>0</v>
      </c>
      <c r="O170">
        <v>1.0181050000000001E-3</v>
      </c>
      <c r="P170">
        <v>0.99805659999999896</v>
      </c>
      <c r="Q170">
        <v>-6.4790809999999898E-3</v>
      </c>
      <c r="R170">
        <v>6.1978409999999998E-2</v>
      </c>
      <c r="S170">
        <v>2.9992070000000002</v>
      </c>
      <c r="T170">
        <v>-0.10296379999999999</v>
      </c>
      <c r="U170">
        <v>9.6557619999999997E-2</v>
      </c>
      <c r="V170">
        <v>-6.0962269999999999E-2</v>
      </c>
      <c r="W170">
        <v>-1.611405E-3</v>
      </c>
      <c r="X170">
        <v>0.99813879999999999</v>
      </c>
      <c r="Y170">
        <v>-3.1142380000000001E-2</v>
      </c>
      <c r="Z170">
        <v>4.9933589999999895E-4</v>
      </c>
      <c r="AA170">
        <v>0.99951480000000004</v>
      </c>
      <c r="AB170">
        <v>22</v>
      </c>
      <c r="AC170">
        <v>33.541599999999903</v>
      </c>
      <c r="AD170">
        <v>-1.1593599999999999</v>
      </c>
      <c r="AE170">
        <v>1.08699999999998</v>
      </c>
      <c r="AF170">
        <v>-1.0515951115217499</v>
      </c>
      <c r="AG170">
        <v>-1.1593599999999999</v>
      </c>
      <c r="AH170">
        <v>33.5027046806551</v>
      </c>
      <c r="AI170">
        <v>91.980952878659707</v>
      </c>
      <c r="AJ170">
        <v>91.797830550528104</v>
      </c>
      <c r="AK170">
        <v>33.539248483043899</v>
      </c>
      <c r="AL170">
        <v>90.092326742816397</v>
      </c>
      <c r="AM170">
        <v>93.495052336121802</v>
      </c>
      <c r="AN170">
        <v>1.00000002952753</v>
      </c>
    </row>
    <row r="171" spans="1:40" x14ac:dyDescent="0.3">
      <c r="A171" t="str">
        <f>"20200111160407419"</f>
        <v>20200111160407419</v>
      </c>
      <c r="B171" t="str">
        <f>"1578729847410489"</f>
        <v>1578729847410489</v>
      </c>
      <c r="C171" t="s">
        <v>40</v>
      </c>
      <c r="D171">
        <v>5.4257179999999998</v>
      </c>
      <c r="E171">
        <v>0.58641989999999999</v>
      </c>
      <c r="F171" t="s">
        <v>42</v>
      </c>
      <c r="G171">
        <v>-454.4366</v>
      </c>
      <c r="H171">
        <v>1.03431299999999</v>
      </c>
      <c r="I171">
        <v>367.11430000000001</v>
      </c>
      <c r="J171">
        <v>-455.00889999999998</v>
      </c>
      <c r="K171">
        <v>1.109369</v>
      </c>
      <c r="L171">
        <v>367.23939999999999</v>
      </c>
      <c r="M171">
        <v>0.99998730000000002</v>
      </c>
      <c r="N171">
        <v>0</v>
      </c>
      <c r="O171">
        <v>1.0243089999999999E-3</v>
      </c>
      <c r="P171">
        <v>0.99804099999999996</v>
      </c>
      <c r="Q171">
        <v>-6.7253950000000003E-3</v>
      </c>
      <c r="R171">
        <v>6.2201520000000003E-2</v>
      </c>
      <c r="S171">
        <v>3.0330509999999999</v>
      </c>
      <c r="T171">
        <v>-0.28167429999999999</v>
      </c>
      <c r="U171">
        <v>-0.46722409999999998</v>
      </c>
      <c r="V171">
        <v>-6.1179280000000003E-2</v>
      </c>
      <c r="W171">
        <v>-1.7870519999999999E-3</v>
      </c>
      <c r="X171">
        <v>0.99812520000000005</v>
      </c>
      <c r="Y171">
        <v>0.152615</v>
      </c>
      <c r="Z171">
        <v>-7.1245079999999999E-3</v>
      </c>
      <c r="AA171">
        <v>0.98826000000000003</v>
      </c>
      <c r="AB171">
        <v>22</v>
      </c>
      <c r="AC171">
        <v>0.57229999999998404</v>
      </c>
      <c r="AD171">
        <v>-7.5056000000000206E-2</v>
      </c>
      <c r="AE171">
        <v>-0.12509999999997401</v>
      </c>
      <c r="AF171">
        <v>0.123656282431614</v>
      </c>
      <c r="AG171">
        <v>-7.5056000000000206E-2</v>
      </c>
      <c r="AH171">
        <v>0.56293080559912201</v>
      </c>
      <c r="AI171">
        <v>97.419640130926297</v>
      </c>
      <c r="AJ171">
        <v>77.610882289714297</v>
      </c>
      <c r="AK171">
        <v>0.58121886687656998</v>
      </c>
      <c r="AL171">
        <v>90.102390591217002</v>
      </c>
      <c r="AM171">
        <v>93.507510490422305</v>
      </c>
      <c r="AN171">
        <v>1.0000000063656</v>
      </c>
    </row>
    <row r="172" spans="1:40" x14ac:dyDescent="0.3">
      <c r="A172" t="str">
        <f>"20200111160407441"</f>
        <v>20200111160407441</v>
      </c>
      <c r="B172" t="str">
        <f>"1578729847430767"</f>
        <v>1578729847430767</v>
      </c>
      <c r="C172" t="s">
        <v>40</v>
      </c>
      <c r="D172">
        <v>5.4453189999999996</v>
      </c>
      <c r="E172">
        <v>0.5875937</v>
      </c>
      <c r="F172" t="s">
        <v>42</v>
      </c>
      <c r="G172">
        <v>-454.23250000000002</v>
      </c>
      <c r="H172">
        <v>1.0407379999999999</v>
      </c>
      <c r="I172">
        <v>367.11470000000003</v>
      </c>
      <c r="J172">
        <v>-454.78879999999998</v>
      </c>
      <c r="K172">
        <v>1.1093850000000001</v>
      </c>
      <c r="L172">
        <v>367.2396</v>
      </c>
      <c r="M172">
        <v>0.99998699999999996</v>
      </c>
      <c r="N172">
        <v>0</v>
      </c>
      <c r="O172">
        <v>1.0302379999999999E-3</v>
      </c>
      <c r="P172">
        <v>0.99805949999999999</v>
      </c>
      <c r="Q172">
        <v>-6.298985E-3</v>
      </c>
      <c r="R172">
        <v>6.195237E-2</v>
      </c>
      <c r="S172">
        <v>3.0343930000000001</v>
      </c>
      <c r="T172">
        <v>-0.26835730000000002</v>
      </c>
      <c r="U172">
        <v>-0.48657230000000001</v>
      </c>
      <c r="V172">
        <v>-6.0924220000000001E-2</v>
      </c>
      <c r="W172">
        <v>-1.30064E-3</v>
      </c>
      <c r="X172">
        <v>0.99814150000000001</v>
      </c>
      <c r="Y172">
        <v>0.15873889999999999</v>
      </c>
      <c r="Z172">
        <v>-7.0518029999999997E-3</v>
      </c>
      <c r="AA172">
        <v>0.98729540000000005</v>
      </c>
      <c r="AB172">
        <v>22</v>
      </c>
      <c r="AC172">
        <v>0.55629999999996405</v>
      </c>
      <c r="AD172">
        <v>-6.8647000000000097E-2</v>
      </c>
      <c r="AE172">
        <v>-0.12489999999996799</v>
      </c>
      <c r="AF172">
        <v>0.123680119069352</v>
      </c>
      <c r="AG172">
        <v>-6.8647000000000097E-2</v>
      </c>
      <c r="AH172">
        <v>0.54822363886991199</v>
      </c>
      <c r="AI172">
        <v>96.964027927236998</v>
      </c>
      <c r="AJ172">
        <v>77.286813609260705</v>
      </c>
      <c r="AK172">
        <v>0.56617871796613595</v>
      </c>
      <c r="AL172">
        <v>90.074521207169198</v>
      </c>
      <c r="AM172">
        <v>93.492866853819095</v>
      </c>
      <c r="AN172">
        <v>0.99999995313463297</v>
      </c>
    </row>
    <row r="173" spans="1:40" x14ac:dyDescent="0.3">
      <c r="A173" t="str">
        <f>"20200111160407461"</f>
        <v>20200111160407461</v>
      </c>
      <c r="B173" t="str">
        <f>"1578729847451253"</f>
        <v>1578729847451253</v>
      </c>
      <c r="C173" t="s">
        <v>40</v>
      </c>
      <c r="D173">
        <v>5.5483419999999999</v>
      </c>
      <c r="E173">
        <v>0.58790359999999997</v>
      </c>
      <c r="F173" t="s">
        <v>42</v>
      </c>
      <c r="G173">
        <v>-454.02749999999997</v>
      </c>
      <c r="H173">
        <v>1.044295</v>
      </c>
      <c r="I173">
        <v>367.11470000000003</v>
      </c>
      <c r="J173">
        <v>-454.57560000000001</v>
      </c>
      <c r="K173">
        <v>1.1093959999999901</v>
      </c>
      <c r="L173">
        <v>367.2398</v>
      </c>
      <c r="M173">
        <v>0.99998679999999995</v>
      </c>
      <c r="N173">
        <v>0</v>
      </c>
      <c r="O173">
        <v>1.0358190000000001E-3</v>
      </c>
      <c r="P173">
        <v>0.9980831</v>
      </c>
      <c r="Q173">
        <v>-6.1954069999999896E-3</v>
      </c>
      <c r="R173">
        <v>6.1579929999999998E-2</v>
      </c>
      <c r="S173">
        <v>3.0350649999999999</v>
      </c>
      <c r="T173">
        <v>-0.25961960000000001</v>
      </c>
      <c r="U173">
        <v>-0.49722290000000002</v>
      </c>
      <c r="V173">
        <v>-6.0546330000000002E-2</v>
      </c>
      <c r="W173">
        <v>-1.140992E-3</v>
      </c>
      <c r="X173">
        <v>0.99816470000000002</v>
      </c>
      <c r="Y173">
        <v>0.1621128</v>
      </c>
      <c r="Z173">
        <v>-6.963215E-3</v>
      </c>
      <c r="AA173">
        <v>0.98674770000000001</v>
      </c>
      <c r="AB173">
        <v>22</v>
      </c>
      <c r="AC173">
        <v>0.54810000000003301</v>
      </c>
      <c r="AD173">
        <v>-6.5100999999999798E-2</v>
      </c>
      <c r="AE173">
        <v>-0.12509999999997401</v>
      </c>
      <c r="AF173">
        <v>0.124004874194532</v>
      </c>
      <c r="AG173">
        <v>-6.5100999999999798E-2</v>
      </c>
      <c r="AH173">
        <v>0.54071954126172705</v>
      </c>
      <c r="AI173">
        <v>96.693080840495497</v>
      </c>
      <c r="AJ173">
        <v>77.083532995835697</v>
      </c>
      <c r="AK173">
        <v>0.55856331004398696</v>
      </c>
      <c r="AL173">
        <v>90.065374042587607</v>
      </c>
      <c r="AM173">
        <v>93.471174571978807</v>
      </c>
      <c r="AN173">
        <v>0.99999996413265002</v>
      </c>
    </row>
    <row r="174" spans="1:40" x14ac:dyDescent="0.3">
      <c r="A174" t="str">
        <f>"20200111160407485"</f>
        <v>20200111160407485</v>
      </c>
      <c r="B174" t="str">
        <f>"1578729847480533"</f>
        <v>1578729847480533</v>
      </c>
      <c r="C174" t="s">
        <v>40</v>
      </c>
      <c r="D174">
        <v>5.4880630000000004</v>
      </c>
      <c r="E174">
        <v>0.58798379999999995</v>
      </c>
      <c r="F174" t="s">
        <v>42</v>
      </c>
      <c r="G174">
        <v>-453.82279999999997</v>
      </c>
      <c r="H174">
        <v>1.0464340000000001</v>
      </c>
      <c r="I174">
        <v>367.11509999999998</v>
      </c>
      <c r="J174">
        <v>-454.34429999999998</v>
      </c>
      <c r="K174">
        <v>1.109405</v>
      </c>
      <c r="L174">
        <v>367.24009999999998</v>
      </c>
      <c r="M174">
        <v>0.99998629999999999</v>
      </c>
      <c r="N174">
        <v>0</v>
      </c>
      <c r="O174">
        <v>1.04222E-3</v>
      </c>
      <c r="P174">
        <v>0.99810109999999996</v>
      </c>
      <c r="Q174">
        <v>-6.6472199999999997E-3</v>
      </c>
      <c r="R174">
        <v>6.1235320000000003E-2</v>
      </c>
      <c r="S174">
        <v>3.0351560000000002</v>
      </c>
      <c r="T174">
        <v>-0.25406719999999999</v>
      </c>
      <c r="U174">
        <v>-0.50134279999999998</v>
      </c>
      <c r="V174">
        <v>-6.0195029999999997E-2</v>
      </c>
      <c r="W174">
        <v>-1.5323120000000001E-3</v>
      </c>
      <c r="X174">
        <v>0.99818549999999995</v>
      </c>
      <c r="Y174">
        <v>0.16343849999999999</v>
      </c>
      <c r="Z174">
        <v>-6.8694180000000004E-3</v>
      </c>
      <c r="AA174">
        <v>0.98652960000000001</v>
      </c>
      <c r="AB174">
        <v>23</v>
      </c>
      <c r="AC174">
        <v>0.52150000000000296</v>
      </c>
      <c r="AD174">
        <v>-6.2970999999999805E-2</v>
      </c>
      <c r="AE174">
        <v>-0.125</v>
      </c>
      <c r="AF174">
        <v>0.12383596628037</v>
      </c>
      <c r="AG174">
        <v>-6.2970999999999805E-2</v>
      </c>
      <c r="AH174">
        <v>0.51427839917212903</v>
      </c>
      <c r="AI174">
        <v>96.788701219294197</v>
      </c>
      <c r="AJ174">
        <v>76.461173643892906</v>
      </c>
      <c r="AK174">
        <v>0.53271283562594995</v>
      </c>
      <c r="AL174">
        <v>90.087795041253301</v>
      </c>
      <c r="AM174">
        <v>93.451011312236204</v>
      </c>
      <c r="AN174">
        <v>1.0000000410134999</v>
      </c>
    </row>
    <row r="175" spans="1:40" x14ac:dyDescent="0.3">
      <c r="A175" t="str">
        <f>"20200111160407507"</f>
        <v>20200111160407507</v>
      </c>
      <c r="B175" t="str">
        <f>"1578729847501030"</f>
        <v>1578729847501030</v>
      </c>
      <c r="C175" t="s">
        <v>40</v>
      </c>
      <c r="D175">
        <v>5.4943770000000001</v>
      </c>
      <c r="E175">
        <v>0.58807969999999998</v>
      </c>
      <c r="F175" t="s">
        <v>42</v>
      </c>
      <c r="G175">
        <v>-453.42200000000003</v>
      </c>
      <c r="H175">
        <v>1.0313139999999901</v>
      </c>
      <c r="I175">
        <v>367.08679999999998</v>
      </c>
      <c r="J175">
        <v>-454.10489999999999</v>
      </c>
      <c r="K175">
        <v>1.109421</v>
      </c>
      <c r="L175">
        <v>367.24029999999999</v>
      </c>
      <c r="M175">
        <v>0.99998609999999999</v>
      </c>
      <c r="N175">
        <v>0</v>
      </c>
      <c r="O175">
        <v>1.0486779999999999E-3</v>
      </c>
      <c r="P175">
        <v>0.99809590000000004</v>
      </c>
      <c r="Q175">
        <v>-6.7289769999999997E-3</v>
      </c>
      <c r="R175">
        <v>6.131669E-2</v>
      </c>
      <c r="S175">
        <v>3.0348820000000001</v>
      </c>
      <c r="T175">
        <v>-0.25722339999999999</v>
      </c>
      <c r="U175">
        <v>-0.50280760000000002</v>
      </c>
      <c r="V175">
        <v>-6.0270230000000001E-2</v>
      </c>
      <c r="W175">
        <v>-1.5530170000000001E-3</v>
      </c>
      <c r="X175">
        <v>0.99818090000000004</v>
      </c>
      <c r="Y175">
        <v>0.163907</v>
      </c>
      <c r="Z175">
        <v>-6.9750300000000001E-3</v>
      </c>
      <c r="AA175">
        <v>0.98645110000000003</v>
      </c>
      <c r="AB175">
        <v>23</v>
      </c>
      <c r="AC175">
        <v>0.68290000000001705</v>
      </c>
      <c r="AD175">
        <v>-7.8107000000000107E-2</v>
      </c>
      <c r="AE175">
        <v>-0.15350000000000799</v>
      </c>
      <c r="AF175">
        <v>0.15231929850360301</v>
      </c>
      <c r="AG175">
        <v>-7.8107000000000107E-2</v>
      </c>
      <c r="AH175">
        <v>0.67434135787327998</v>
      </c>
      <c r="AI175">
        <v>96.445985660611299</v>
      </c>
      <c r="AJ175">
        <v>77.271709780851893</v>
      </c>
      <c r="AK175">
        <v>0.69572849523647395</v>
      </c>
      <c r="AL175">
        <v>90.088981354419005</v>
      </c>
      <c r="AM175">
        <v>93.455328011914702</v>
      </c>
      <c r="AN175">
        <v>1.0000000108054301</v>
      </c>
    </row>
    <row r="176" spans="1:40" x14ac:dyDescent="0.3">
      <c r="A176" t="str">
        <f>"20200111160407530"</f>
        <v>20200111160407530</v>
      </c>
      <c r="B176" t="str">
        <f>"1578729847521216"</f>
        <v>1578729847521216</v>
      </c>
      <c r="C176" t="s">
        <v>40</v>
      </c>
      <c r="D176">
        <v>5.4946849999999996</v>
      </c>
      <c r="E176">
        <v>0.58802339999999997</v>
      </c>
      <c r="F176" t="s">
        <v>42</v>
      </c>
      <c r="G176">
        <v>-453.21539999999999</v>
      </c>
      <c r="H176">
        <v>1.033941</v>
      </c>
      <c r="I176">
        <v>367.0926</v>
      </c>
      <c r="J176">
        <v>-453.8802</v>
      </c>
      <c r="K176">
        <v>1.109429</v>
      </c>
      <c r="L176">
        <v>367.2405</v>
      </c>
      <c r="M176">
        <v>0.99998580000000004</v>
      </c>
      <c r="N176">
        <v>0</v>
      </c>
      <c r="O176">
        <v>1.054733E-3</v>
      </c>
      <c r="P176">
        <v>0.99808629999999998</v>
      </c>
      <c r="Q176">
        <v>-6.5536519999999897E-3</v>
      </c>
      <c r="R176">
        <v>6.14899E-2</v>
      </c>
      <c r="S176">
        <v>3.0349430000000002</v>
      </c>
      <c r="T176">
        <v>-0.25764350000000003</v>
      </c>
      <c r="U176">
        <v>-0.50329590000000002</v>
      </c>
      <c r="V176">
        <v>-6.0437320000000003E-2</v>
      </c>
      <c r="W176">
        <v>-1.3228459999999999E-3</v>
      </c>
      <c r="X176">
        <v>0.99817109999999998</v>
      </c>
      <c r="Y176">
        <v>0.16406189999999901</v>
      </c>
      <c r="Z176">
        <v>-6.9931809999999898E-3</v>
      </c>
      <c r="AA176">
        <v>0.98642529999999995</v>
      </c>
      <c r="AB176">
        <v>23</v>
      </c>
      <c r="AC176">
        <v>0.66480000000001305</v>
      </c>
      <c r="AD176">
        <v>-7.5488E-2</v>
      </c>
      <c r="AE176">
        <v>-0.14789999999999201</v>
      </c>
      <c r="AF176">
        <v>0.14679762765111701</v>
      </c>
      <c r="AG176">
        <v>-7.5488E-2</v>
      </c>
      <c r="AH176">
        <v>0.65657723603243801</v>
      </c>
      <c r="AI176">
        <v>96.401915421255396</v>
      </c>
      <c r="AJ176">
        <v>77.397072228774803</v>
      </c>
      <c r="AK176">
        <v>0.67700934151900105</v>
      </c>
      <c r="AL176">
        <v>90.075793516198601</v>
      </c>
      <c r="AM176">
        <v>93.464918010184903</v>
      </c>
      <c r="AN176">
        <v>0.99999998222276498</v>
      </c>
    </row>
    <row r="177" spans="1:40" x14ac:dyDescent="0.3">
      <c r="A177" t="str">
        <f>"20200111160407552"</f>
        <v>20200111160407552</v>
      </c>
      <c r="B177" t="str">
        <f>"1578729847540736"</f>
        <v>1578729847540736</v>
      </c>
      <c r="C177" t="s">
        <v>40</v>
      </c>
      <c r="D177">
        <v>5.5200009999999997</v>
      </c>
      <c r="E177">
        <v>0.58767290000000005</v>
      </c>
      <c r="F177" t="s">
        <v>42</v>
      </c>
      <c r="G177">
        <v>-453.00810000000001</v>
      </c>
      <c r="H177">
        <v>1.0355909999999999</v>
      </c>
      <c r="I177">
        <v>367.096</v>
      </c>
      <c r="J177">
        <v>-453.6549</v>
      </c>
      <c r="K177">
        <v>1.109432</v>
      </c>
      <c r="L177">
        <v>367.24079999999998</v>
      </c>
      <c r="M177">
        <v>0.99998560000000003</v>
      </c>
      <c r="N177">
        <v>0</v>
      </c>
      <c r="O177">
        <v>1.0604970000000001E-3</v>
      </c>
      <c r="P177">
        <v>0.99803640000000005</v>
      </c>
      <c r="Q177">
        <v>-6.4983130000000004E-3</v>
      </c>
      <c r="R177">
        <v>6.2303070000000002E-2</v>
      </c>
      <c r="S177">
        <v>3.0350039999999998</v>
      </c>
      <c r="T177">
        <v>-0.2570673</v>
      </c>
      <c r="U177">
        <v>-0.50241089999999999</v>
      </c>
      <c r="V177">
        <v>-6.124454E-2</v>
      </c>
      <c r="W177">
        <v>-1.215952E-3</v>
      </c>
      <c r="X177">
        <v>0.99812199999999995</v>
      </c>
      <c r="Y177">
        <v>0.16378789999999999</v>
      </c>
      <c r="Z177">
        <v>-6.9666019999999997E-3</v>
      </c>
      <c r="AA177">
        <v>0.98647099999999999</v>
      </c>
      <c r="AB177">
        <v>23</v>
      </c>
      <c r="AC177">
        <v>0.64679999999998405</v>
      </c>
      <c r="AD177">
        <v>-7.3841000000000004E-2</v>
      </c>
      <c r="AE177">
        <v>-0.144799999999975</v>
      </c>
      <c r="AF177">
        <v>0.143702326564348</v>
      </c>
      <c r="AG177">
        <v>-7.3841000000000004E-2</v>
      </c>
      <c r="AH177">
        <v>0.63871875181293603</v>
      </c>
      <c r="AI177">
        <v>96.435118033696497</v>
      </c>
      <c r="AJ177">
        <v>77.320418467119197</v>
      </c>
      <c r="AK177">
        <v>0.65883571234298</v>
      </c>
      <c r="AL177">
        <v>90.069668938373198</v>
      </c>
      <c r="AM177">
        <v>93.511253828805096</v>
      </c>
      <c r="AN177">
        <v>0.99999994955153704</v>
      </c>
    </row>
    <row r="178" spans="1:40" x14ac:dyDescent="0.3">
      <c r="A178" t="str">
        <f>"20200111160407574"</f>
        <v>20200111160407574</v>
      </c>
      <c r="B178" t="str">
        <f>"1578729847570993"</f>
        <v>1578729847570993</v>
      </c>
      <c r="C178" t="s">
        <v>40</v>
      </c>
      <c r="D178">
        <v>5.5019460000000002</v>
      </c>
      <c r="E178">
        <v>0.58632740000000005</v>
      </c>
      <c r="F178" t="s">
        <v>42</v>
      </c>
      <c r="G178">
        <v>-452.80029999999999</v>
      </c>
      <c r="H178">
        <v>1.037104</v>
      </c>
      <c r="I178">
        <v>367.10050000000001</v>
      </c>
      <c r="J178">
        <v>-453.42290000000003</v>
      </c>
      <c r="K178">
        <v>1.1094310000000001</v>
      </c>
      <c r="L178">
        <v>367.24110000000002</v>
      </c>
      <c r="M178">
        <v>0.99998520000000002</v>
      </c>
      <c r="N178">
        <v>0</v>
      </c>
      <c r="O178">
        <v>1.0664439999999999E-3</v>
      </c>
      <c r="P178">
        <v>0.9979905</v>
      </c>
      <c r="Q178">
        <v>-6.8716690000000004E-3</v>
      </c>
      <c r="R178">
        <v>6.2991190000000002E-2</v>
      </c>
      <c r="S178">
        <v>3.0353089999999998</v>
      </c>
      <c r="T178">
        <v>-0.25700450000000002</v>
      </c>
      <c r="U178">
        <v>-0.49722290000000002</v>
      </c>
      <c r="V178">
        <v>-6.1927469999999998E-2</v>
      </c>
      <c r="W178">
        <v>-1.5393550000000001E-3</v>
      </c>
      <c r="X178">
        <v>0.99807950000000001</v>
      </c>
      <c r="Y178">
        <v>0.1621418</v>
      </c>
      <c r="Z178">
        <v>-6.896569E-3</v>
      </c>
      <c r="AA178">
        <v>0.98674340000000005</v>
      </c>
      <c r="AB178">
        <v>23</v>
      </c>
      <c r="AC178">
        <v>0.62260000000003302</v>
      </c>
      <c r="AD178">
        <v>-7.2327000000000002E-2</v>
      </c>
      <c r="AE178">
        <v>-0.140600000000006</v>
      </c>
      <c r="AF178">
        <v>0.139472999096034</v>
      </c>
      <c r="AG178">
        <v>-7.2327000000000002E-2</v>
      </c>
      <c r="AH178">
        <v>0.61455848389616297</v>
      </c>
      <c r="AI178">
        <v>96.547235939584695</v>
      </c>
      <c r="AJ178">
        <v>77.213410866266202</v>
      </c>
      <c r="AK178">
        <v>0.63432329496447803</v>
      </c>
      <c r="AL178">
        <v>90.0881985764413</v>
      </c>
      <c r="AM178">
        <v>93.550458565122099</v>
      </c>
      <c r="AN178">
        <v>1.0000000347373299</v>
      </c>
    </row>
    <row r="179" spans="1:40" x14ac:dyDescent="0.3">
      <c r="A179" t="str">
        <f>"20200111160407596"</f>
        <v>20200111160407596</v>
      </c>
      <c r="B179" t="str">
        <f>"1578729847590513"</f>
        <v>1578729847590513</v>
      </c>
      <c r="C179" t="s">
        <v>40</v>
      </c>
      <c r="D179">
        <v>5.5078259999999997</v>
      </c>
      <c r="E179">
        <v>0.58571609999999996</v>
      </c>
      <c r="F179" t="s">
        <v>42</v>
      </c>
      <c r="G179">
        <v>-452.5917</v>
      </c>
      <c r="H179">
        <v>1.0388010000000001</v>
      </c>
      <c r="I179">
        <v>367.10809999999998</v>
      </c>
      <c r="J179">
        <v>-453.18889999999999</v>
      </c>
      <c r="K179">
        <v>1.109437</v>
      </c>
      <c r="L179">
        <v>367.24130000000002</v>
      </c>
      <c r="M179">
        <v>0.99998500000000001</v>
      </c>
      <c r="N179">
        <v>0</v>
      </c>
      <c r="O179">
        <v>1.072216E-3</v>
      </c>
      <c r="P179">
        <v>0.99794349999999998</v>
      </c>
      <c r="Q179">
        <v>-7.5029319999999899E-3</v>
      </c>
      <c r="R179">
        <v>6.3661549999999997E-2</v>
      </c>
      <c r="S179">
        <v>3.034821</v>
      </c>
      <c r="T179">
        <v>-0.2580286</v>
      </c>
      <c r="U179">
        <v>-0.48425289999999999</v>
      </c>
      <c r="V179">
        <v>-6.259178E-2</v>
      </c>
      <c r="W179">
        <v>-2.1232479999999999E-3</v>
      </c>
      <c r="X179">
        <v>0.99803699999999995</v>
      </c>
      <c r="Y179">
        <v>0.15807099999999999</v>
      </c>
      <c r="Z179">
        <v>-6.7562059999999998E-3</v>
      </c>
      <c r="AA179">
        <v>0.98740459999999997</v>
      </c>
      <c r="AB179">
        <v>23</v>
      </c>
      <c r="AC179">
        <v>0.59719999999998596</v>
      </c>
      <c r="AD179">
        <v>-7.0635999999999893E-2</v>
      </c>
      <c r="AE179">
        <v>-0.13320000000004401</v>
      </c>
      <c r="AF179">
        <v>0.13208004764873399</v>
      </c>
      <c r="AG179">
        <v>-7.0635999999999893E-2</v>
      </c>
      <c r="AH179">
        <v>0.58920458792442298</v>
      </c>
      <c r="AI179">
        <v>96.672164468796595</v>
      </c>
      <c r="AJ179">
        <v>77.3650686236941</v>
      </c>
      <c r="AK179">
        <v>0.60794459444433002</v>
      </c>
      <c r="AL179">
        <v>90.121653235040597</v>
      </c>
      <c r="AM179">
        <v>93.588598554684793</v>
      </c>
      <c r="AN179">
        <v>1.00000004623731</v>
      </c>
    </row>
    <row r="180" spans="1:40" x14ac:dyDescent="0.3">
      <c r="A180" t="str">
        <f>"20200111160407619"</f>
        <v>20200111160407619</v>
      </c>
      <c r="B180" t="str">
        <f>"1578729847611009"</f>
        <v>1578729847611009</v>
      </c>
      <c r="C180" t="s">
        <v>40</v>
      </c>
      <c r="D180">
        <v>5.7120889999999997</v>
      </c>
      <c r="E180">
        <v>0.58570730000000004</v>
      </c>
      <c r="F180" t="s">
        <v>42</v>
      </c>
      <c r="G180">
        <v>-452.38189999999997</v>
      </c>
      <c r="H180">
        <v>1.0403209999999901</v>
      </c>
      <c r="I180">
        <v>367.11419999999998</v>
      </c>
      <c r="J180">
        <v>-452.94990000000001</v>
      </c>
      <c r="K180">
        <v>1.1094459999999999</v>
      </c>
      <c r="L180">
        <v>367.24149999999997</v>
      </c>
      <c r="M180">
        <v>0.99998480000000001</v>
      </c>
      <c r="N180">
        <v>0</v>
      </c>
      <c r="O180">
        <v>1.0786470000000001E-3</v>
      </c>
      <c r="P180">
        <v>0.99791989999999997</v>
      </c>
      <c r="Q180">
        <v>-7.8365450000000003E-3</v>
      </c>
      <c r="R180">
        <v>6.3987870000000002E-2</v>
      </c>
      <c r="S180">
        <v>3.0346679999999999</v>
      </c>
      <c r="T180">
        <v>-0.26006449999999998</v>
      </c>
      <c r="U180">
        <v>-0.47729490000000002</v>
      </c>
      <c r="V180">
        <v>-6.2911549999999997E-2</v>
      </c>
      <c r="W180">
        <v>-2.4113839999999999E-3</v>
      </c>
      <c r="X180">
        <v>0.99801620000000002</v>
      </c>
      <c r="Y180">
        <v>0.15587479999999901</v>
      </c>
      <c r="Z180">
        <v>-6.7180529999999999E-3</v>
      </c>
      <c r="AA180">
        <v>0.98775400000000002</v>
      </c>
      <c r="AB180">
        <v>23</v>
      </c>
      <c r="AC180">
        <v>0.56800000000004003</v>
      </c>
      <c r="AD180">
        <v>-6.9125000000000103E-2</v>
      </c>
      <c r="AE180">
        <v>-0.127299999999991</v>
      </c>
      <c r="AF180">
        <v>0.126133831742782</v>
      </c>
      <c r="AG180">
        <v>-6.9125000000000103E-2</v>
      </c>
      <c r="AH180">
        <v>0.55996556443781198</v>
      </c>
      <c r="AI180">
        <v>96.866930331380303</v>
      </c>
      <c r="AJ180">
        <v>77.305828828627497</v>
      </c>
      <c r="AK180">
        <v>0.578143098628076</v>
      </c>
      <c r="AL180">
        <v>90.138162258959795</v>
      </c>
      <c r="AM180">
        <v>93.606958749052097</v>
      </c>
      <c r="AN180">
        <v>1.00000000667931</v>
      </c>
    </row>
    <row r="181" spans="1:40" x14ac:dyDescent="0.3">
      <c r="A181" t="str">
        <f>"20200111160407665"</f>
        <v>20200111160407665</v>
      </c>
      <c r="B181" t="str">
        <f>"1578729847660596"</f>
        <v>1578729847660596</v>
      </c>
      <c r="C181" t="s">
        <v>40</v>
      </c>
      <c r="D181">
        <v>5.5323690000000001</v>
      </c>
      <c r="E181">
        <v>0.53037080000000003</v>
      </c>
      <c r="F181" t="s">
        <v>42</v>
      </c>
      <c r="G181">
        <v>-452.1705</v>
      </c>
      <c r="H181">
        <v>1.042314</v>
      </c>
      <c r="I181">
        <v>367.11880000000002</v>
      </c>
      <c r="J181">
        <v>-452.47059999999999</v>
      </c>
      <c r="K181">
        <v>1.1094550000000001</v>
      </c>
      <c r="L181">
        <v>367.24209999999999</v>
      </c>
      <c r="M181">
        <v>0.99998419999999999</v>
      </c>
      <c r="N181">
        <v>0</v>
      </c>
      <c r="O181">
        <v>1.092064E-3</v>
      </c>
      <c r="P181">
        <v>0.99792809999999998</v>
      </c>
      <c r="Q181">
        <v>-8.8966600000000007E-3</v>
      </c>
      <c r="R181">
        <v>6.3723039999999995E-2</v>
      </c>
      <c r="S181">
        <v>3.0347599999999999</v>
      </c>
      <c r="T181">
        <v>-0.26160440000000001</v>
      </c>
      <c r="U181">
        <v>-0.47634890000000002</v>
      </c>
      <c r="V181">
        <v>-6.2633449999999993E-2</v>
      </c>
      <c r="W181">
        <v>-3.3882280000000001E-3</v>
      </c>
      <c r="X181">
        <v>0.9980308</v>
      </c>
      <c r="Y181">
        <v>0.15557739999999901</v>
      </c>
      <c r="Z181">
        <v>-6.746078E-3</v>
      </c>
      <c r="AA181">
        <v>0.98780069999999998</v>
      </c>
      <c r="AB181">
        <v>24</v>
      </c>
      <c r="AC181">
        <v>0.30009999999998599</v>
      </c>
      <c r="AD181">
        <v>-6.7140999999999895E-2</v>
      </c>
      <c r="AE181">
        <v>-0.123299999999972</v>
      </c>
      <c r="AF181">
        <v>0.118550692458966</v>
      </c>
      <c r="AG181">
        <v>-6.7140999999999895E-2</v>
      </c>
      <c r="AH181">
        <v>0.28764661857096802</v>
      </c>
      <c r="AI181">
        <v>102.17796332468301</v>
      </c>
      <c r="AJ181">
        <v>67.601479306130102</v>
      </c>
      <c r="AK181">
        <v>0.318280941526213</v>
      </c>
      <c r="AL181">
        <v>90.194131544907606</v>
      </c>
      <c r="AM181">
        <v>93.591003637070898</v>
      </c>
      <c r="AN181">
        <v>0.99999995344825998</v>
      </c>
    </row>
    <row r="182" spans="1:40" x14ac:dyDescent="0.3">
      <c r="A182" t="str">
        <f>"20200111160407687"</f>
        <v>20200111160407687</v>
      </c>
      <c r="B182" t="str">
        <f>"1578729847681093"</f>
        <v>1578729847681093</v>
      </c>
      <c r="C182" t="s">
        <v>40</v>
      </c>
      <c r="D182">
        <v>5.4725140000000003</v>
      </c>
      <c r="E182">
        <v>0.52345450000000004</v>
      </c>
      <c r="F182" t="s">
        <v>44</v>
      </c>
      <c r="G182">
        <v>-431.74369999999999</v>
      </c>
      <c r="H182">
        <v>-0.05</v>
      </c>
      <c r="I182">
        <v>366.9504</v>
      </c>
      <c r="J182">
        <v>-452.22500000000002</v>
      </c>
      <c r="K182">
        <v>1.1094599999999999</v>
      </c>
      <c r="L182">
        <v>367.24239999999998</v>
      </c>
      <c r="M182">
        <v>0.99998390000000004</v>
      </c>
      <c r="N182">
        <v>0</v>
      </c>
      <c r="O182">
        <v>1.0986800000000001E-3</v>
      </c>
      <c r="P182">
        <v>0.99792250000000005</v>
      </c>
      <c r="Q182">
        <v>-9.4222109999999998E-3</v>
      </c>
      <c r="R182">
        <v>6.3731419999999997E-2</v>
      </c>
      <c r="S182">
        <v>3.0073850000000002</v>
      </c>
      <c r="T182">
        <v>-0.16823260000000001</v>
      </c>
      <c r="U182">
        <v>-4.2327879999999998E-2</v>
      </c>
      <c r="V182">
        <v>-6.2634770000000006E-2</v>
      </c>
      <c r="W182">
        <v>-3.8709209999999998E-3</v>
      </c>
      <c r="X182">
        <v>0.99802900000000005</v>
      </c>
      <c r="Y182">
        <v>1.5146440000000001E-2</v>
      </c>
      <c r="Z182">
        <v>-4.847025E-4</v>
      </c>
      <c r="AA182">
        <v>0.99988509999999997</v>
      </c>
      <c r="AB182">
        <v>24</v>
      </c>
      <c r="AC182">
        <v>20.481300000000001</v>
      </c>
      <c r="AD182">
        <v>-1.1594599999999999</v>
      </c>
      <c r="AE182">
        <v>-0.291999999999973</v>
      </c>
      <c r="AF182">
        <v>0.31349808291465397</v>
      </c>
      <c r="AG182">
        <v>-1.1594599999999999</v>
      </c>
      <c r="AH182">
        <v>20.4155530174665</v>
      </c>
      <c r="AI182">
        <v>93.250123674823001</v>
      </c>
      <c r="AJ182">
        <v>89.120243993075505</v>
      </c>
      <c r="AK182">
        <v>20.4508541031561</v>
      </c>
      <c r="AL182">
        <v>90.221787991864304</v>
      </c>
      <c r="AM182">
        <v>93.591085579195294</v>
      </c>
      <c r="AN182">
        <v>0.99999999164166997</v>
      </c>
    </row>
    <row r="183" spans="1:40" x14ac:dyDescent="0.3">
      <c r="A183" t="str">
        <f>"20200111160407710"</f>
        <v>20200111160407710</v>
      </c>
      <c r="B183" t="str">
        <f>"1578729847700612"</f>
        <v>1578729847700612</v>
      </c>
      <c r="C183" t="s">
        <v>40</v>
      </c>
      <c r="D183">
        <v>5.4240830000000004</v>
      </c>
      <c r="E183">
        <v>0.5204299</v>
      </c>
      <c r="F183" t="s">
        <v>42</v>
      </c>
      <c r="G183">
        <v>-451.32010000000002</v>
      </c>
      <c r="H183">
        <v>1.0401640000000001</v>
      </c>
      <c r="I183">
        <v>367.24709999999999</v>
      </c>
      <c r="J183">
        <v>-451.98259999999999</v>
      </c>
      <c r="K183">
        <v>1.1094619999999999</v>
      </c>
      <c r="L183">
        <v>367.24259999999998</v>
      </c>
      <c r="M183">
        <v>0.99998379999999998</v>
      </c>
      <c r="N183">
        <v>0</v>
      </c>
      <c r="O183">
        <v>1.1049300000000001E-3</v>
      </c>
      <c r="P183">
        <v>0.99791149999999995</v>
      </c>
      <c r="Q183">
        <v>-1.001062E-2</v>
      </c>
      <c r="R183">
        <v>6.3816349999999994E-2</v>
      </c>
      <c r="S183">
        <v>3.0030519999999998</v>
      </c>
      <c r="T183">
        <v>-0.2301791</v>
      </c>
      <c r="U183">
        <v>1.6754149999999999E-2</v>
      </c>
      <c r="V183">
        <v>-6.2714080000000005E-2</v>
      </c>
      <c r="W183">
        <v>-4.4137330000000004E-3</v>
      </c>
      <c r="X183">
        <v>0.99802179999999996</v>
      </c>
      <c r="Y183">
        <v>-4.4641689999999996E-3</v>
      </c>
      <c r="Z183" s="1">
        <v>8.6266190000000004E-5</v>
      </c>
      <c r="AA183">
        <v>0.99999000000000005</v>
      </c>
      <c r="AB183">
        <v>24</v>
      </c>
      <c r="AC183">
        <v>0.66249999999996501</v>
      </c>
      <c r="AD183">
        <v>-6.9298000000000304E-2</v>
      </c>
      <c r="AE183">
        <v>4.5000000000072699E-3</v>
      </c>
      <c r="AF183">
        <v>-3.7271912134997998E-3</v>
      </c>
      <c r="AG183">
        <v>-6.9298000000000304E-2</v>
      </c>
      <c r="AH183">
        <v>0.655334673649832</v>
      </c>
      <c r="AI183">
        <v>96.036181086719907</v>
      </c>
      <c r="AJ183">
        <v>90.325864069145894</v>
      </c>
      <c r="AK183">
        <v>0.65899896756070397</v>
      </c>
      <c r="AL183">
        <v>90.252889087552006</v>
      </c>
      <c r="AM183">
        <v>93.595646668216801</v>
      </c>
      <c r="AN183">
        <v>1.0000000250722401</v>
      </c>
    </row>
    <row r="184" spans="1:40" x14ac:dyDescent="0.3">
      <c r="A184" t="str">
        <f>"20200111160407731"</f>
        <v>20200111160407731</v>
      </c>
      <c r="B184" t="str">
        <f>"1578729847721108"</f>
        <v>1578729847721108</v>
      </c>
      <c r="C184" t="s">
        <v>40</v>
      </c>
      <c r="D184">
        <v>5.4494119999999997</v>
      </c>
      <c r="E184">
        <v>0.50985459999999905</v>
      </c>
      <c r="F184" t="s">
        <v>42</v>
      </c>
      <c r="G184">
        <v>-451.10789999999997</v>
      </c>
      <c r="H184">
        <v>1.0352159999999999</v>
      </c>
      <c r="I184">
        <v>367.255</v>
      </c>
      <c r="J184">
        <v>-451.75229999999999</v>
      </c>
      <c r="K184">
        <v>1.109469</v>
      </c>
      <c r="L184">
        <v>367.24299999999999</v>
      </c>
      <c r="M184">
        <v>0.99998339999999997</v>
      </c>
      <c r="N184">
        <v>0</v>
      </c>
      <c r="O184">
        <v>1.110869E-3</v>
      </c>
      <c r="P184">
        <v>0.99791589999999997</v>
      </c>
      <c r="Q184">
        <v>-1.022754E-2</v>
      </c>
      <c r="R184">
        <v>6.3713889999999995E-2</v>
      </c>
      <c r="S184">
        <v>3.001007</v>
      </c>
      <c r="T184">
        <v>-0.25487110000000002</v>
      </c>
      <c r="U184">
        <v>4.2877199999999997E-2</v>
      </c>
      <c r="V184">
        <v>-6.2605540000000001E-2</v>
      </c>
      <c r="W184">
        <v>-4.5807620000000004E-3</v>
      </c>
      <c r="X184">
        <v>0.99802789999999997</v>
      </c>
      <c r="Y184">
        <v>-1.3132100000000001E-2</v>
      </c>
      <c r="Z184">
        <v>4.6244329999999998E-4</v>
      </c>
      <c r="AA184">
        <v>0.99991370000000002</v>
      </c>
      <c r="AB184">
        <v>24</v>
      </c>
      <c r="AC184">
        <v>0.64440000000001796</v>
      </c>
      <c r="AD184">
        <v>-7.4253000000000097E-2</v>
      </c>
      <c r="AE184">
        <v>1.1999999999943599E-2</v>
      </c>
      <c r="AF184">
        <v>-1.1136325647807701E-2</v>
      </c>
      <c r="AG184">
        <v>-7.4253000000000097E-2</v>
      </c>
      <c r="AH184">
        <v>0.635971733188466</v>
      </c>
      <c r="AI184">
        <v>96.658417276946693</v>
      </c>
      <c r="AJ184">
        <v>91.003188069532499</v>
      </c>
      <c r="AK184">
        <v>0.64038860949635501</v>
      </c>
      <c r="AL184">
        <v>90.262459230878704</v>
      </c>
      <c r="AM184">
        <v>93.589418042184803</v>
      </c>
      <c r="AN184">
        <v>1.00000006309879</v>
      </c>
    </row>
    <row r="185" spans="1:40" x14ac:dyDescent="0.3">
      <c r="A185" t="str">
        <f>"20200111160407753"</f>
        <v>20200111160407753</v>
      </c>
      <c r="B185" t="str">
        <f>"1578729847740628"</f>
        <v>1578729847740628</v>
      </c>
      <c r="C185" t="s">
        <v>40</v>
      </c>
      <c r="D185">
        <v>6.3567609999999997</v>
      </c>
      <c r="E185">
        <v>0.51146259999999999</v>
      </c>
      <c r="F185" t="s">
        <v>43</v>
      </c>
      <c r="G185">
        <v>-158.19499999999999</v>
      </c>
      <c r="H185">
        <v>16.506699999999999</v>
      </c>
      <c r="I185">
        <v>377.08969999999999</v>
      </c>
      <c r="J185">
        <v>-451.52050000000003</v>
      </c>
      <c r="K185">
        <v>1.1094839999999999</v>
      </c>
      <c r="L185">
        <v>367.2432</v>
      </c>
      <c r="M185">
        <v>0.99998310000000001</v>
      </c>
      <c r="N185">
        <v>0</v>
      </c>
      <c r="O185">
        <v>1.1165940000000001E-3</v>
      </c>
      <c r="P185">
        <v>0.99793080000000001</v>
      </c>
      <c r="Q185">
        <v>-1.0318819999999999E-2</v>
      </c>
      <c r="R185">
        <v>6.3464480000000004E-2</v>
      </c>
      <c r="S185">
        <v>3.001465</v>
      </c>
      <c r="T185">
        <v>0.15742919999999999</v>
      </c>
      <c r="U185">
        <v>0.1006775</v>
      </c>
      <c r="V185">
        <v>-6.2350460000000003E-2</v>
      </c>
      <c r="W185">
        <v>-4.6104479999999996E-3</v>
      </c>
      <c r="X185">
        <v>0.99804369999999998</v>
      </c>
      <c r="Y185">
        <v>-3.2365020000000001E-2</v>
      </c>
      <c r="Z185">
        <v>-7.8945449999999896E-4</v>
      </c>
      <c r="AA185">
        <v>0.99947580000000003</v>
      </c>
      <c r="AB185">
        <v>24</v>
      </c>
      <c r="AC185">
        <v>293.32549999999998</v>
      </c>
      <c r="AD185">
        <v>15.397215999999901</v>
      </c>
      <c r="AE185">
        <v>9.84649999999999</v>
      </c>
      <c r="AF185">
        <v>-9.4928359115868499</v>
      </c>
      <c r="AG185">
        <v>15.397215999999901</v>
      </c>
      <c r="AH185">
        <v>292.53117850385001</v>
      </c>
      <c r="AI185">
        <v>86.988630999867198</v>
      </c>
      <c r="AJ185">
        <v>91.858634828244803</v>
      </c>
      <c r="AK185">
        <v>293.08988142043802</v>
      </c>
      <c r="AL185">
        <v>90.264160139563799</v>
      </c>
      <c r="AM185">
        <v>93.574774873844405</v>
      </c>
      <c r="AN185">
        <v>1.00000003160133</v>
      </c>
    </row>
    <row r="186" spans="1:40" x14ac:dyDescent="0.3">
      <c r="A186" t="str">
        <f>"20200111160407775"</f>
        <v>20200111160407775</v>
      </c>
      <c r="B186" t="str">
        <f>"1578729847770885"</f>
        <v>1578729847770885</v>
      </c>
      <c r="C186" t="s">
        <v>40</v>
      </c>
      <c r="D186">
        <v>8.3299640000000004</v>
      </c>
      <c r="E186">
        <v>0.51320089999999996</v>
      </c>
      <c r="F186" t="s">
        <v>43</v>
      </c>
      <c r="G186">
        <v>-158.19499999999999</v>
      </c>
      <c r="H186">
        <v>15.657</v>
      </c>
      <c r="I186">
        <v>375.81549999999999</v>
      </c>
      <c r="J186">
        <v>-451.2801</v>
      </c>
      <c r="K186">
        <v>1.1094980000000001</v>
      </c>
      <c r="L186">
        <v>367.24349999999998</v>
      </c>
      <c r="M186">
        <v>0.9999827</v>
      </c>
      <c r="N186">
        <v>0</v>
      </c>
      <c r="O186">
        <v>1.122451E-3</v>
      </c>
      <c r="P186">
        <v>0.99793109999999996</v>
      </c>
      <c r="Q186">
        <v>-1.01873E-2</v>
      </c>
      <c r="R186">
        <v>6.3482670000000005E-2</v>
      </c>
      <c r="S186">
        <v>3.0021969999999998</v>
      </c>
      <c r="T186">
        <v>0.1488951</v>
      </c>
      <c r="U186">
        <v>8.7738040000000003E-2</v>
      </c>
      <c r="V186">
        <v>-6.2362880000000002E-2</v>
      </c>
      <c r="W186">
        <v>-4.4019050000000002E-3</v>
      </c>
      <c r="X186">
        <v>0.99804380000000004</v>
      </c>
      <c r="Y186">
        <v>-2.805705E-2</v>
      </c>
      <c r="Z186">
        <v>-6.3955179999999998E-4</v>
      </c>
      <c r="AA186">
        <v>0.99960610000000005</v>
      </c>
      <c r="AB186">
        <v>24</v>
      </c>
      <c r="AC186">
        <v>293.08510000000001</v>
      </c>
      <c r="AD186">
        <v>14.547502</v>
      </c>
      <c r="AE186">
        <v>8.5719999999999992</v>
      </c>
      <c r="AF186">
        <v>-8.2227742457682993</v>
      </c>
      <c r="AG186">
        <v>14.547502</v>
      </c>
      <c r="AH186">
        <v>292.37482640081703</v>
      </c>
      <c r="AI186">
        <v>87.152644676584799</v>
      </c>
      <c r="AJ186">
        <v>91.610966679918207</v>
      </c>
      <c r="AK186">
        <v>292.85198128686898</v>
      </c>
      <c r="AL186">
        <v>90.252211401367802</v>
      </c>
      <c r="AM186">
        <v>93.575484752478403</v>
      </c>
      <c r="AN186">
        <v>0.99999996614398101</v>
      </c>
    </row>
    <row r="187" spans="1:40" x14ac:dyDescent="0.3">
      <c r="A187" t="str">
        <f>"20200111160407798"</f>
        <v>20200111160407798</v>
      </c>
      <c r="B187" t="str">
        <f>"1578729847791381"</f>
        <v>1578729847791381</v>
      </c>
      <c r="C187" t="s">
        <v>40</v>
      </c>
      <c r="D187">
        <v>5.3355499999999996</v>
      </c>
      <c r="E187">
        <v>0.5127488</v>
      </c>
      <c r="F187" t="s">
        <v>43</v>
      </c>
      <c r="G187">
        <v>-170.08879999999999</v>
      </c>
      <c r="H187">
        <v>13.396710000000001</v>
      </c>
      <c r="I187">
        <v>374.27080000000001</v>
      </c>
      <c r="J187">
        <v>-451.03379999999999</v>
      </c>
      <c r="K187">
        <v>1.1095139999999999</v>
      </c>
      <c r="L187">
        <v>367.24369999999999</v>
      </c>
      <c r="M187">
        <v>0.99998220000000004</v>
      </c>
      <c r="N187">
        <v>0</v>
      </c>
      <c r="O187">
        <v>1.128448E-3</v>
      </c>
      <c r="P187">
        <v>0.99794240000000001</v>
      </c>
      <c r="Q187">
        <v>-1.012046E-2</v>
      </c>
      <c r="R187">
        <v>6.3313770000000005E-2</v>
      </c>
      <c r="S187">
        <v>3.002777</v>
      </c>
      <c r="T187">
        <v>0.1312132</v>
      </c>
      <c r="U187">
        <v>7.5042719999999993E-2</v>
      </c>
      <c r="V187">
        <v>-6.2187779999999998E-2</v>
      </c>
      <c r="W187">
        <v>-4.2458829999999998E-3</v>
      </c>
      <c r="X187">
        <v>0.99805549999999998</v>
      </c>
      <c r="Y187">
        <v>-2.383352E-2</v>
      </c>
      <c r="Z187">
        <v>-4.7112100000000002E-4</v>
      </c>
      <c r="AA187">
        <v>0.99971580000000004</v>
      </c>
      <c r="AB187">
        <v>24</v>
      </c>
      <c r="AC187">
        <v>280.94499999999999</v>
      </c>
      <c r="AD187">
        <v>12.287196</v>
      </c>
      <c r="AE187">
        <v>7.0271000000000097</v>
      </c>
      <c r="AF187">
        <v>-6.6972559539683401</v>
      </c>
      <c r="AG187">
        <v>12.287196</v>
      </c>
      <c r="AH187">
        <v>280.416713394037</v>
      </c>
      <c r="AI187">
        <v>87.491753937729698</v>
      </c>
      <c r="AJ187">
        <v>91.3681479997732</v>
      </c>
      <c r="AK187">
        <v>280.76567021907999</v>
      </c>
      <c r="AL187">
        <v>90.243271891501095</v>
      </c>
      <c r="AM187">
        <v>93.565429893632597</v>
      </c>
      <c r="AN187">
        <v>1.0000000642920099</v>
      </c>
    </row>
    <row r="188" spans="1:40" x14ac:dyDescent="0.3">
      <c r="A188" t="str">
        <f>"20200111160407820"</f>
        <v>20200111160407820</v>
      </c>
      <c r="B188" t="str">
        <f>"1578729847810900"</f>
        <v>1578729847810900</v>
      </c>
      <c r="C188" t="s">
        <v>40</v>
      </c>
      <c r="D188">
        <v>5.3577019999999997</v>
      </c>
      <c r="E188">
        <v>0.5126984</v>
      </c>
      <c r="F188" t="s">
        <v>43</v>
      </c>
      <c r="G188">
        <v>-170.08879999999999</v>
      </c>
      <c r="H188">
        <v>8.2495849999999997</v>
      </c>
      <c r="I188">
        <v>374.86410000000001</v>
      </c>
      <c r="J188">
        <v>-450.78559999999999</v>
      </c>
      <c r="K188">
        <v>1.109526</v>
      </c>
      <c r="L188">
        <v>367.24400000000003</v>
      </c>
      <c r="M188">
        <v>0.99998160000000003</v>
      </c>
      <c r="N188">
        <v>0</v>
      </c>
      <c r="O188">
        <v>1.1347270000000001E-3</v>
      </c>
      <c r="P188">
        <v>0.9979382</v>
      </c>
      <c r="Q188">
        <v>-9.7755570000000007E-3</v>
      </c>
      <c r="R188">
        <v>6.3436010000000001E-2</v>
      </c>
      <c r="S188">
        <v>3.0018009999999999</v>
      </c>
      <c r="T188">
        <v>7.6290129999999998E-2</v>
      </c>
      <c r="U188">
        <v>8.1420899999999893E-2</v>
      </c>
      <c r="V188">
        <v>-6.2304020000000002E-2</v>
      </c>
      <c r="W188">
        <v>-3.808166E-3</v>
      </c>
      <c r="X188">
        <v>0.99804999999999999</v>
      </c>
      <c r="Y188">
        <v>-2.5971689999999999E-2</v>
      </c>
      <c r="Z188">
        <v>-3.0108929999999998E-4</v>
      </c>
      <c r="AA188">
        <v>0.99966259999999996</v>
      </c>
      <c r="AB188">
        <v>24</v>
      </c>
      <c r="AC188">
        <v>280.6968</v>
      </c>
      <c r="AD188">
        <v>7.1400589999999999</v>
      </c>
      <c r="AE188">
        <v>7.6200999999999697</v>
      </c>
      <c r="AF188">
        <v>-7.2968573454800802</v>
      </c>
      <c r="AG188">
        <v>7.1400589999999999</v>
      </c>
      <c r="AH188">
        <v>280.52389068068101</v>
      </c>
      <c r="AI188">
        <v>88.542481710467499</v>
      </c>
      <c r="AJ188">
        <v>91.490015257055404</v>
      </c>
      <c r="AK188">
        <v>280.70959693653202</v>
      </c>
      <c r="AL188">
        <v>90.218192356440298</v>
      </c>
      <c r="AM188">
        <v>93.572096709291699</v>
      </c>
      <c r="AN188">
        <v>1.00000004776822</v>
      </c>
    </row>
    <row r="189" spans="1:40" x14ac:dyDescent="0.3">
      <c r="A189" t="str">
        <f>"20200111160407842"</f>
        <v>20200111160407842</v>
      </c>
      <c r="B189" t="str">
        <f>"1578729847830420"</f>
        <v>1578729847830420</v>
      </c>
      <c r="C189" t="s">
        <v>40</v>
      </c>
      <c r="D189">
        <v>5.3450439999999997</v>
      </c>
      <c r="E189">
        <v>0.51272620000000002</v>
      </c>
      <c r="F189" t="s">
        <v>41</v>
      </c>
      <c r="G189">
        <v>-247.57509999999999</v>
      </c>
      <c r="H189" s="1">
        <v>-2.0871170000000001E-6</v>
      </c>
      <c r="I189">
        <v>373.22559999999999</v>
      </c>
      <c r="J189">
        <v>-450.55149999999998</v>
      </c>
      <c r="K189">
        <v>1.1095379999999999</v>
      </c>
      <c r="L189">
        <v>367.24430000000001</v>
      </c>
      <c r="M189">
        <v>0.99998089999999995</v>
      </c>
      <c r="N189">
        <v>0</v>
      </c>
      <c r="O189">
        <v>1.1408449999999999E-3</v>
      </c>
      <c r="P189">
        <v>0.99793849999999995</v>
      </c>
      <c r="Q189">
        <v>-9.3291869999999992E-3</v>
      </c>
      <c r="R189">
        <v>6.3495579999999996E-2</v>
      </c>
      <c r="S189">
        <v>3.0003660000000001</v>
      </c>
      <c r="T189">
        <v>-1.6381980000000001E-2</v>
      </c>
      <c r="U189">
        <v>8.8317870000000007E-2</v>
      </c>
      <c r="V189">
        <v>-6.2356969999999998E-2</v>
      </c>
      <c r="W189">
        <v>-3.2762889999999999E-3</v>
      </c>
      <c r="X189">
        <v>0.99804850000000001</v>
      </c>
      <c r="Y189">
        <v>-2.8282160000000001E-2</v>
      </c>
      <c r="Z189" s="1">
        <v>7.0965219999999997E-5</v>
      </c>
      <c r="AA189">
        <v>0.99960000000000004</v>
      </c>
      <c r="AB189">
        <v>24</v>
      </c>
      <c r="AC189">
        <v>202.97640000000001</v>
      </c>
      <c r="AD189">
        <v>-1.10954008711699</v>
      </c>
      <c r="AE189">
        <v>5.9812999999999699</v>
      </c>
      <c r="AF189">
        <v>-5.74955557079348</v>
      </c>
      <c r="AG189">
        <v>-1.10954008711699</v>
      </c>
      <c r="AH189">
        <v>202.977031876111</v>
      </c>
      <c r="AI189">
        <v>90.313069131017997</v>
      </c>
      <c r="AJ189">
        <v>91.622534336182994</v>
      </c>
      <c r="AK189">
        <v>203.061478221996</v>
      </c>
      <c r="AL189">
        <v>90.187717874178105</v>
      </c>
      <c r="AM189">
        <v>93.575129997751304</v>
      </c>
      <c r="AN189">
        <v>0.99999996706472005</v>
      </c>
    </row>
    <row r="190" spans="1:40" x14ac:dyDescent="0.3">
      <c r="A190" t="str">
        <f>"20200111160407866"</f>
        <v>20200111160407866</v>
      </c>
      <c r="B190" t="str">
        <f>"1578729847860677"</f>
        <v>1578729847860677</v>
      </c>
      <c r="C190" t="s">
        <v>40</v>
      </c>
      <c r="D190">
        <v>5.3642440000000002</v>
      </c>
      <c r="E190">
        <v>0.51298469999999996</v>
      </c>
      <c r="F190" t="s">
        <v>44</v>
      </c>
      <c r="G190">
        <v>-401.87060000000002</v>
      </c>
      <c r="H190">
        <v>-0.05</v>
      </c>
      <c r="I190">
        <v>368.73259999999999</v>
      </c>
      <c r="J190">
        <v>-450.29849999999999</v>
      </c>
      <c r="K190">
        <v>1.109551</v>
      </c>
      <c r="L190">
        <v>367.24459999999999</v>
      </c>
      <c r="M190">
        <v>0.99998039999999999</v>
      </c>
      <c r="N190">
        <v>0</v>
      </c>
      <c r="O190">
        <v>1.147311E-3</v>
      </c>
      <c r="P190">
        <v>0.99792840000000005</v>
      </c>
      <c r="Q190">
        <v>-9.3013699999999998E-3</v>
      </c>
      <c r="R190">
        <v>6.365962E-2</v>
      </c>
      <c r="S190">
        <v>2.9996640000000001</v>
      </c>
      <c r="T190">
        <v>-7.1449520000000002E-2</v>
      </c>
      <c r="U190">
        <v>9.1705320000000007E-2</v>
      </c>
      <c r="V190">
        <v>-6.2514990000000006E-2</v>
      </c>
      <c r="W190">
        <v>-3.1611579999999998E-3</v>
      </c>
      <c r="X190">
        <v>0.99803900000000001</v>
      </c>
      <c r="Y190">
        <v>-2.940276E-2</v>
      </c>
      <c r="Z190">
        <v>3.2272509999999998E-4</v>
      </c>
      <c r="AA190">
        <v>0.9995676</v>
      </c>
      <c r="AB190">
        <v>24</v>
      </c>
      <c r="AC190">
        <v>48.427899999999902</v>
      </c>
      <c r="AD190">
        <v>-1.159551</v>
      </c>
      <c r="AE190">
        <v>1.48799999999999</v>
      </c>
      <c r="AF190">
        <v>-1.4316161221239101</v>
      </c>
      <c r="AG190">
        <v>-1.159551</v>
      </c>
      <c r="AH190">
        <v>48.401852332757997</v>
      </c>
      <c r="AI190">
        <v>91.371758397513304</v>
      </c>
      <c r="AJ190">
        <v>91.694184220183203</v>
      </c>
      <c r="AK190">
        <v>48.436901144528598</v>
      </c>
      <c r="AL190">
        <v>90.181121316833696</v>
      </c>
      <c r="AM190">
        <v>93.584200244207807</v>
      </c>
      <c r="AN190">
        <v>0.99999998120779998</v>
      </c>
    </row>
    <row r="191" spans="1:40" x14ac:dyDescent="0.3">
      <c r="A191" t="str">
        <f>"20200111160407888"</f>
        <v>20200111160407888</v>
      </c>
      <c r="B191" t="str">
        <f>"1578729847881173"</f>
        <v>1578729847881173</v>
      </c>
      <c r="C191" t="s">
        <v>40</v>
      </c>
      <c r="D191">
        <v>5.2791449999999998</v>
      </c>
      <c r="E191">
        <v>0.51316549999999905</v>
      </c>
      <c r="F191" t="s">
        <v>44</v>
      </c>
      <c r="G191">
        <v>-421.98590000000002</v>
      </c>
      <c r="H191">
        <v>-0.05</v>
      </c>
      <c r="I191">
        <v>368.12700000000001</v>
      </c>
      <c r="J191">
        <v>-450.03089999999997</v>
      </c>
      <c r="K191">
        <v>1.1095630000000001</v>
      </c>
      <c r="L191">
        <v>367.24489999999997</v>
      </c>
      <c r="M191">
        <v>0.99997999999999998</v>
      </c>
      <c r="N191">
        <v>0</v>
      </c>
      <c r="O191">
        <v>1.154494E-3</v>
      </c>
      <c r="P191">
        <v>0.9979401</v>
      </c>
      <c r="Q191">
        <v>-9.2499009999999996E-3</v>
      </c>
      <c r="R191">
        <v>6.3486490000000007E-2</v>
      </c>
      <c r="S191">
        <v>2.9991460000000001</v>
      </c>
      <c r="T191">
        <v>-0.122831</v>
      </c>
      <c r="U191">
        <v>9.3475340000000004E-2</v>
      </c>
      <c r="V191">
        <v>-6.2334649999999998E-2</v>
      </c>
      <c r="W191">
        <v>-3.0241320000000001E-3</v>
      </c>
      <c r="X191">
        <v>0.99805069999999996</v>
      </c>
      <c r="Y191">
        <v>-2.997408E-2</v>
      </c>
      <c r="Z191">
        <v>5.661412E-4</v>
      </c>
      <c r="AA191">
        <v>0.99955050000000001</v>
      </c>
      <c r="AB191">
        <v>25</v>
      </c>
      <c r="AC191">
        <v>28.044999999999899</v>
      </c>
      <c r="AD191">
        <v>-1.1595629999999999</v>
      </c>
      <c r="AE191">
        <v>0.88209999999997901</v>
      </c>
      <c r="AF191">
        <v>-0.84827228457065795</v>
      </c>
      <c r="AG191">
        <v>-1.1595629999999999</v>
      </c>
      <c r="AH191">
        <v>27.998183159261401</v>
      </c>
      <c r="AI191">
        <v>92.3705002156386</v>
      </c>
      <c r="AJ191">
        <v>91.735382558266195</v>
      </c>
      <c r="AK191">
        <v>28.0350211777928</v>
      </c>
      <c r="AL191">
        <v>90.173270268402803</v>
      </c>
      <c r="AM191">
        <v>93.573845778634805</v>
      </c>
      <c r="AN191">
        <v>0.99999997686773201</v>
      </c>
    </row>
    <row r="192" spans="1:40" x14ac:dyDescent="0.3">
      <c r="A192" t="str">
        <f>"20200111160407910"</f>
        <v>20200111160407910</v>
      </c>
      <c r="B192" t="str">
        <f>"1578729847900692"</f>
        <v>1578729847900692</v>
      </c>
      <c r="C192" t="s">
        <v>40</v>
      </c>
      <c r="D192">
        <v>6.9372629999999997</v>
      </c>
      <c r="E192">
        <v>0.51345680000000005</v>
      </c>
      <c r="F192" t="s">
        <v>44</v>
      </c>
      <c r="G192">
        <v>-426.15350000000001</v>
      </c>
      <c r="H192">
        <v>-0.05</v>
      </c>
      <c r="I192">
        <v>367.98250000000002</v>
      </c>
      <c r="J192">
        <v>-449.80070000000001</v>
      </c>
      <c r="K192">
        <v>1.109572</v>
      </c>
      <c r="L192">
        <v>367.24520000000001</v>
      </c>
      <c r="M192">
        <v>0.99997950000000002</v>
      </c>
      <c r="N192">
        <v>0</v>
      </c>
      <c r="O192">
        <v>1.1610119999999999E-3</v>
      </c>
      <c r="P192">
        <v>0.99791589999999997</v>
      </c>
      <c r="Q192">
        <v>-9.0664920000000006E-3</v>
      </c>
      <c r="R192">
        <v>6.3887890000000003E-2</v>
      </c>
      <c r="S192">
        <v>2.9989319999999999</v>
      </c>
      <c r="T192">
        <v>-0.14563809999999999</v>
      </c>
      <c r="U192">
        <v>9.2651369999999997E-2</v>
      </c>
      <c r="V192">
        <v>-6.2729220000000002E-2</v>
      </c>
      <c r="W192">
        <v>-2.7727099999999998E-3</v>
      </c>
      <c r="X192">
        <v>0.99802670000000004</v>
      </c>
      <c r="Y192">
        <v>-2.9685969999999999E-2</v>
      </c>
      <c r="Z192">
        <v>6.6389170000000003E-4</v>
      </c>
      <c r="AA192">
        <v>0.99955899999999998</v>
      </c>
      <c r="AB192">
        <v>25</v>
      </c>
      <c r="AC192">
        <v>23.647200000000002</v>
      </c>
      <c r="AD192">
        <v>-1.1595719999999901</v>
      </c>
      <c r="AE192">
        <v>0.73730000000000395</v>
      </c>
      <c r="AF192">
        <v>-0.70814315532619099</v>
      </c>
      <c r="AG192">
        <v>-1.1595719999999901</v>
      </c>
      <c r="AH192">
        <v>23.591368276664799</v>
      </c>
      <c r="AI192">
        <v>92.812694667109696</v>
      </c>
      <c r="AJ192">
        <v>91.719333710524793</v>
      </c>
      <c r="AK192">
        <v>23.6304619319396</v>
      </c>
      <c r="AL192">
        <v>90.158864789384893</v>
      </c>
      <c r="AM192">
        <v>93.596494814904901</v>
      </c>
      <c r="AN192">
        <v>0.99999996843771999</v>
      </c>
    </row>
    <row r="193" spans="1:40" x14ac:dyDescent="0.3">
      <c r="A193" t="str">
        <f>"20200111160407931"</f>
        <v>20200111160407931</v>
      </c>
      <c r="B193" t="str">
        <f>"1578729847920842"</f>
        <v>1578729847920842</v>
      </c>
      <c r="C193" t="s">
        <v>40</v>
      </c>
      <c r="D193">
        <v>5.3429909999999996</v>
      </c>
      <c r="E193">
        <v>0.51262289999999999</v>
      </c>
      <c r="F193" t="s">
        <v>44</v>
      </c>
      <c r="G193">
        <v>-427.45049999999998</v>
      </c>
      <c r="H193">
        <v>-0.05</v>
      </c>
      <c r="I193">
        <v>367.93369999999999</v>
      </c>
      <c r="J193">
        <v>-449.5598</v>
      </c>
      <c r="K193">
        <v>1.109575</v>
      </c>
      <c r="L193">
        <v>367.24549999999999</v>
      </c>
      <c r="M193">
        <v>0.99997910000000001</v>
      </c>
      <c r="N193">
        <v>0</v>
      </c>
      <c r="O193">
        <v>1.1677160000000001E-3</v>
      </c>
      <c r="P193">
        <v>0.99791660000000004</v>
      </c>
      <c r="Q193">
        <v>-8.1973769999999901E-3</v>
      </c>
      <c r="R193">
        <v>6.3994229999999999E-2</v>
      </c>
      <c r="S193">
        <v>2.998901</v>
      </c>
      <c r="T193">
        <v>-0.15558920000000001</v>
      </c>
      <c r="U193">
        <v>9.2376710000000001E-2</v>
      </c>
      <c r="V193">
        <v>-6.2828800000000004E-2</v>
      </c>
      <c r="W193">
        <v>-1.8379539999999999E-3</v>
      </c>
      <c r="X193">
        <v>0.99802259999999998</v>
      </c>
      <c r="Y193">
        <v>-2.958353E-2</v>
      </c>
      <c r="Z193">
        <v>7.0620060000000002E-4</v>
      </c>
      <c r="AA193">
        <v>0.99956210000000001</v>
      </c>
      <c r="AB193">
        <v>25</v>
      </c>
      <c r="AC193">
        <v>22.109300000000001</v>
      </c>
      <c r="AD193">
        <v>-1.159575</v>
      </c>
      <c r="AE193">
        <v>0.68819999999999404</v>
      </c>
      <c r="AF193">
        <v>-0.66056634568801897</v>
      </c>
      <c r="AG193">
        <v>-1.159575</v>
      </c>
      <c r="AH193">
        <v>22.049495102107301</v>
      </c>
      <c r="AI193">
        <v>93.009043660854999</v>
      </c>
      <c r="AJ193">
        <v>91.715973396471597</v>
      </c>
      <c r="AK193">
        <v>22.089843737236599</v>
      </c>
      <c r="AL193">
        <v>90.105307069256199</v>
      </c>
      <c r="AM193">
        <v>93.602203837759703</v>
      </c>
      <c r="AN193">
        <v>0.99999997314755196</v>
      </c>
    </row>
    <row r="194" spans="1:40" x14ac:dyDescent="0.3">
      <c r="A194" t="str">
        <f>"20200111160407954"</f>
        <v>20200111160407954</v>
      </c>
      <c r="B194" t="str">
        <f>"1578729847951099"</f>
        <v>1578729847951099</v>
      </c>
      <c r="C194" t="s">
        <v>40</v>
      </c>
      <c r="D194">
        <v>5.3653550000000001</v>
      </c>
      <c r="E194">
        <v>0.51289649999999998</v>
      </c>
      <c r="F194" t="s">
        <v>44</v>
      </c>
      <c r="G194">
        <v>-427.79559999999998</v>
      </c>
      <c r="H194">
        <v>-0.05</v>
      </c>
      <c r="I194">
        <v>367.96910000000003</v>
      </c>
      <c r="J194">
        <v>-449.3116</v>
      </c>
      <c r="K194">
        <v>1.109583</v>
      </c>
      <c r="L194">
        <v>367.24579999999997</v>
      </c>
      <c r="M194">
        <v>0.99997860000000005</v>
      </c>
      <c r="N194">
        <v>0</v>
      </c>
      <c r="O194">
        <v>1.174252E-3</v>
      </c>
      <c r="P194">
        <v>0.9979017</v>
      </c>
      <c r="Q194">
        <v>-8.1676170000000003E-3</v>
      </c>
      <c r="R194">
        <v>6.4229320000000006E-2</v>
      </c>
      <c r="S194">
        <v>2.998596</v>
      </c>
      <c r="T194">
        <v>-0.1597616</v>
      </c>
      <c r="U194">
        <v>9.9700929999999993E-2</v>
      </c>
      <c r="V194">
        <v>-6.3057260000000004E-2</v>
      </c>
      <c r="W194">
        <v>-1.7461270000000001E-3</v>
      </c>
      <c r="X194">
        <v>0.99800840000000002</v>
      </c>
      <c r="Y194">
        <v>-3.20135E-2</v>
      </c>
      <c r="Z194">
        <v>7.8947909999999997E-4</v>
      </c>
      <c r="AA194">
        <v>0.99948709999999996</v>
      </c>
      <c r="AB194">
        <v>25</v>
      </c>
      <c r="AC194">
        <v>21.515999999999998</v>
      </c>
      <c r="AD194">
        <v>-1.159583</v>
      </c>
      <c r="AE194">
        <v>0.72330000000005101</v>
      </c>
      <c r="AF194">
        <v>-0.69601443716106004</v>
      </c>
      <c r="AG194">
        <v>-1.159583</v>
      </c>
      <c r="AH194">
        <v>21.4545886862435</v>
      </c>
      <c r="AI194">
        <v>93.0921030170162</v>
      </c>
      <c r="AJ194">
        <v>91.858097081407607</v>
      </c>
      <c r="AK194">
        <v>21.497172942657201</v>
      </c>
      <c r="AL194">
        <v>90.100045756758902</v>
      </c>
      <c r="AM194">
        <v>93.615318907697798</v>
      </c>
      <c r="AN194">
        <v>1.0000000167343801</v>
      </c>
    </row>
    <row r="195" spans="1:40" x14ac:dyDescent="0.3">
      <c r="A195" t="str">
        <f>"20200111160407977"</f>
        <v>20200111160407977</v>
      </c>
      <c r="B195" t="str">
        <f>"1578729847970618"</f>
        <v>1578729847970618</v>
      </c>
      <c r="C195" t="s">
        <v>40</v>
      </c>
      <c r="D195">
        <v>5.3153769999999998</v>
      </c>
      <c r="E195">
        <v>0.51291200000000003</v>
      </c>
      <c r="F195" t="s">
        <v>44</v>
      </c>
      <c r="G195">
        <v>-429.56819999999999</v>
      </c>
      <c r="H195">
        <v>-0.05</v>
      </c>
      <c r="I195">
        <v>367.899</v>
      </c>
      <c r="J195">
        <v>-449.05329999999998</v>
      </c>
      <c r="K195">
        <v>1.1095839999999999</v>
      </c>
      <c r="L195">
        <v>367.24610000000001</v>
      </c>
      <c r="M195">
        <v>0.99997840000000005</v>
      </c>
      <c r="N195">
        <v>0</v>
      </c>
      <c r="O195">
        <v>1.1809730000000001E-3</v>
      </c>
      <c r="P195">
        <v>0.99787269999999995</v>
      </c>
      <c r="Q195">
        <v>-7.6802110000000002E-3</v>
      </c>
      <c r="R195">
        <v>6.4743839999999997E-2</v>
      </c>
      <c r="S195">
        <v>2.9984440000000001</v>
      </c>
      <c r="T195">
        <v>-0.1761067</v>
      </c>
      <c r="U195">
        <v>9.9212649999999999E-2</v>
      </c>
      <c r="V195">
        <v>-6.3565529999999995E-2</v>
      </c>
      <c r="W195">
        <v>-1.199463E-3</v>
      </c>
      <c r="X195">
        <v>0.997977</v>
      </c>
      <c r="Y195">
        <v>-3.183681E-2</v>
      </c>
      <c r="Z195">
        <v>8.6458710000000003E-4</v>
      </c>
      <c r="AA195">
        <v>0.99949270000000001</v>
      </c>
      <c r="AB195">
        <v>25</v>
      </c>
      <c r="AC195">
        <v>19.4850999999999</v>
      </c>
      <c r="AD195">
        <v>-1.1595839999999999</v>
      </c>
      <c r="AE195">
        <v>0.65289999999998805</v>
      </c>
      <c r="AF195">
        <v>-0.62766723526530199</v>
      </c>
      <c r="AG195">
        <v>-1.1595839999999999</v>
      </c>
      <c r="AH195">
        <v>19.417166826938001</v>
      </c>
      <c r="AI195">
        <v>93.415837802980306</v>
      </c>
      <c r="AJ195">
        <v>91.851462961878894</v>
      </c>
      <c r="AK195">
        <v>19.461885026801099</v>
      </c>
      <c r="AL195">
        <v>90.068724180355304</v>
      </c>
      <c r="AM195">
        <v>93.6444961449169</v>
      </c>
      <c r="AN195">
        <v>1.0000000539223299</v>
      </c>
    </row>
    <row r="196" spans="1:40" x14ac:dyDescent="0.3">
      <c r="A196" t="str">
        <f>"20200111160407999"</f>
        <v>20200111160407999</v>
      </c>
      <c r="B196" t="str">
        <f>"1578729847991114"</f>
        <v>1578729847991114</v>
      </c>
      <c r="C196" t="s">
        <v>40</v>
      </c>
      <c r="D196">
        <v>5.299404</v>
      </c>
      <c r="E196">
        <v>0.51361099999999904</v>
      </c>
      <c r="F196" t="s">
        <v>44</v>
      </c>
      <c r="G196">
        <v>-430.34309999999999</v>
      </c>
      <c r="H196">
        <v>-0.05</v>
      </c>
      <c r="I196">
        <v>367.87950000000001</v>
      </c>
      <c r="J196">
        <v>-448.80309999999997</v>
      </c>
      <c r="K196">
        <v>1.1095870000000001</v>
      </c>
      <c r="L196">
        <v>367.24639999999999</v>
      </c>
      <c r="M196">
        <v>0.99997780000000003</v>
      </c>
      <c r="N196">
        <v>0</v>
      </c>
      <c r="O196">
        <v>1.186823E-3</v>
      </c>
      <c r="P196">
        <v>0.99784209999999995</v>
      </c>
      <c r="Q196">
        <v>-7.37915599999999E-3</v>
      </c>
      <c r="R196">
        <v>6.5243029999999994E-2</v>
      </c>
      <c r="S196">
        <v>2.998383</v>
      </c>
      <c r="T196">
        <v>-0.18582899999999999</v>
      </c>
      <c r="U196">
        <v>0.10150149999999999</v>
      </c>
      <c r="V196">
        <v>-6.4059050000000006E-2</v>
      </c>
      <c r="W196">
        <v>-8.4587789999999996E-4</v>
      </c>
      <c r="X196">
        <v>0.99794570000000005</v>
      </c>
      <c r="Y196">
        <v>-3.2586329999999997E-2</v>
      </c>
      <c r="Z196">
        <v>9.3507110000000003E-4</v>
      </c>
      <c r="AA196">
        <v>0.99946849999999998</v>
      </c>
      <c r="AB196">
        <v>25</v>
      </c>
      <c r="AC196">
        <v>18.459999999999901</v>
      </c>
      <c r="AD196">
        <v>-1.1595869999999999</v>
      </c>
      <c r="AE196">
        <v>0.63310000000001299</v>
      </c>
      <c r="AF196">
        <v>-0.60879094000951905</v>
      </c>
      <c r="AG196">
        <v>-1.1595869999999999</v>
      </c>
      <c r="AH196">
        <v>18.3882658428954</v>
      </c>
      <c r="AI196">
        <v>93.606394546838402</v>
      </c>
      <c r="AJ196">
        <v>91.896231846726593</v>
      </c>
      <c r="AK196">
        <v>18.4348471414384</v>
      </c>
      <c r="AL196">
        <v>90.048465241915693</v>
      </c>
      <c r="AM196">
        <v>93.6728295817759</v>
      </c>
      <c r="AN196">
        <v>0.99999994877240495</v>
      </c>
    </row>
    <row r="197" spans="1:40" x14ac:dyDescent="0.3">
      <c r="A197" t="str">
        <f>"20200111160408022"</f>
        <v>20200111160408022</v>
      </c>
      <c r="B197" t="str">
        <f>"1578729848010634"</f>
        <v>1578729848010634</v>
      </c>
      <c r="C197" t="s">
        <v>40</v>
      </c>
      <c r="D197">
        <v>5.3225150000000001</v>
      </c>
      <c r="E197">
        <v>0.54474809999999996</v>
      </c>
      <c r="F197" t="s">
        <v>44</v>
      </c>
      <c r="G197">
        <v>-430.57339999999999</v>
      </c>
      <c r="H197">
        <v>-0.05</v>
      </c>
      <c r="I197">
        <v>367.83949999999999</v>
      </c>
      <c r="J197">
        <v>-448.54629999999997</v>
      </c>
      <c r="K197">
        <v>1.109594</v>
      </c>
      <c r="L197">
        <v>367.24669999999998</v>
      </c>
      <c r="M197">
        <v>0.99997769999999997</v>
      </c>
      <c r="N197">
        <v>0</v>
      </c>
      <c r="O197">
        <v>1.192916E-3</v>
      </c>
      <c r="P197">
        <v>0.99781819999999999</v>
      </c>
      <c r="Q197">
        <v>-7.4573199999999999E-3</v>
      </c>
      <c r="R197">
        <v>6.5602250000000001E-2</v>
      </c>
      <c r="S197">
        <v>2.9986269999999999</v>
      </c>
      <c r="T197">
        <v>-0.19074169999999999</v>
      </c>
      <c r="U197">
        <v>9.7564700000000004E-2</v>
      </c>
      <c r="V197">
        <v>-6.4412120000000003E-2</v>
      </c>
      <c r="W197">
        <v>-8.7389420000000002E-4</v>
      </c>
      <c r="X197">
        <v>0.997923</v>
      </c>
      <c r="Y197">
        <v>-3.1266200000000001E-2</v>
      </c>
      <c r="Z197">
        <v>9.1736509999999999E-4</v>
      </c>
      <c r="AA197">
        <v>0.99951060000000003</v>
      </c>
      <c r="AB197">
        <v>25</v>
      </c>
      <c r="AC197">
        <v>17.9728999999999</v>
      </c>
      <c r="AD197">
        <v>-1.159594</v>
      </c>
      <c r="AE197">
        <v>0.59280000000001098</v>
      </c>
      <c r="AF197">
        <v>-0.56899297948670102</v>
      </c>
      <c r="AG197">
        <v>-1.159594</v>
      </c>
      <c r="AH197">
        <v>17.899166411568899</v>
      </c>
      <c r="AI197">
        <v>93.704849655458503</v>
      </c>
      <c r="AJ197">
        <v>91.820750801018406</v>
      </c>
      <c r="AK197">
        <v>17.9457117296745</v>
      </c>
      <c r="AL197">
        <v>90.050070455803393</v>
      </c>
      <c r="AM197">
        <v>93.693100777924897</v>
      </c>
      <c r="AN197">
        <v>0.99999999941148299</v>
      </c>
    </row>
    <row r="198" spans="1:40" x14ac:dyDescent="0.3">
      <c r="A198" t="str">
        <f>"20200111160408042"</f>
        <v>20200111160408042</v>
      </c>
      <c r="B198" t="str">
        <f>"1578729848031019"</f>
        <v>1578729848031019</v>
      </c>
      <c r="C198" t="s">
        <v>40</v>
      </c>
      <c r="D198">
        <v>5.2813619999999997</v>
      </c>
      <c r="E198">
        <v>0.54751590000000006</v>
      </c>
      <c r="F198" t="s">
        <v>44</v>
      </c>
      <c r="G198">
        <v>-431.08819999999997</v>
      </c>
      <c r="H198">
        <v>-0.05</v>
      </c>
      <c r="I198">
        <v>366.38380000000001</v>
      </c>
      <c r="J198">
        <v>-448.30689999999998</v>
      </c>
      <c r="K198">
        <v>1.10959599999999</v>
      </c>
      <c r="L198">
        <v>367.24700000000001</v>
      </c>
      <c r="M198">
        <v>0.99997729999999996</v>
      </c>
      <c r="N198">
        <v>0</v>
      </c>
      <c r="O198">
        <v>1.198852E-3</v>
      </c>
      <c r="P198">
        <v>0.9977895</v>
      </c>
      <c r="Q198">
        <v>-6.9625210000000002E-3</v>
      </c>
      <c r="R198">
        <v>6.609044E-2</v>
      </c>
      <c r="S198">
        <v>3.0148619999999999</v>
      </c>
      <c r="T198">
        <v>-0.2002524</v>
      </c>
      <c r="U198">
        <v>-0.14901729999999899</v>
      </c>
      <c r="V198">
        <v>-6.4894640000000003E-2</v>
      </c>
      <c r="W198">
        <v>-3.3600120000000001E-4</v>
      </c>
      <c r="X198">
        <v>0.99789209999999995</v>
      </c>
      <c r="Y198">
        <v>5.0451160000000002E-2</v>
      </c>
      <c r="Z198">
        <v>-1.752162E-3</v>
      </c>
      <c r="AA198">
        <v>0.99872499999999997</v>
      </c>
      <c r="AB198">
        <v>25</v>
      </c>
      <c r="AC198">
        <v>17.218699999999998</v>
      </c>
      <c r="AD198">
        <v>-1.1595959999999901</v>
      </c>
      <c r="AE198">
        <v>-0.86319999999994901</v>
      </c>
      <c r="AF198">
        <v>0.87986201048280999</v>
      </c>
      <c r="AG198">
        <v>-1.1595959999999901</v>
      </c>
      <c r="AH198">
        <v>17.1401108896038</v>
      </c>
      <c r="AI198">
        <v>93.865313323880798</v>
      </c>
      <c r="AJ198">
        <v>87.061386071647604</v>
      </c>
      <c r="AK198">
        <v>17.201808665039302</v>
      </c>
      <c r="AL198">
        <v>90.019251450355497</v>
      </c>
      <c r="AM198">
        <v>93.720803765995996</v>
      </c>
      <c r="AN198">
        <v>1.0000000352199701</v>
      </c>
    </row>
    <row r="199" spans="1:40" x14ac:dyDescent="0.3">
      <c r="A199" t="str">
        <f>"20200111160408067"</f>
        <v>20200111160408067</v>
      </c>
      <c r="B199" t="str">
        <f>"1578729848061276"</f>
        <v>1578729848061276</v>
      </c>
      <c r="C199" t="s">
        <v>40</v>
      </c>
      <c r="D199">
        <v>5.326301</v>
      </c>
      <c r="E199">
        <v>0.54968899999999998</v>
      </c>
      <c r="F199" t="s">
        <v>44</v>
      </c>
      <c r="G199">
        <v>-429.9796</v>
      </c>
      <c r="H199">
        <v>-0.05</v>
      </c>
      <c r="I199">
        <v>366.21460000000002</v>
      </c>
      <c r="J199">
        <v>-448.04399999999998</v>
      </c>
      <c r="K199">
        <v>1.1095980000000001</v>
      </c>
      <c r="L199">
        <v>367.2473</v>
      </c>
      <c r="M199">
        <v>0.999977</v>
      </c>
      <c r="N199">
        <v>0</v>
      </c>
      <c r="O199">
        <v>1.2057369999999999E-3</v>
      </c>
      <c r="P199">
        <v>0.99780009999999997</v>
      </c>
      <c r="Q199">
        <v>-6.0829630000000003E-3</v>
      </c>
      <c r="R199">
        <v>6.6015309999999994E-2</v>
      </c>
      <c r="S199">
        <v>3.0165709999999999</v>
      </c>
      <c r="T199">
        <v>-0.19086330000000001</v>
      </c>
      <c r="U199">
        <v>-0.16992189999999999</v>
      </c>
      <c r="V199">
        <v>-6.4812309999999998E-2</v>
      </c>
      <c r="W199">
        <v>5.877654E-4</v>
      </c>
      <c r="X199">
        <v>0.99789729999999999</v>
      </c>
      <c r="Y199">
        <v>5.7327459999999997E-2</v>
      </c>
      <c r="Z199">
        <v>-1.886513E-3</v>
      </c>
      <c r="AA199">
        <v>0.99835370000000001</v>
      </c>
      <c r="AB199">
        <v>25</v>
      </c>
      <c r="AC199">
        <v>18.064399999999999</v>
      </c>
      <c r="AD199">
        <v>-1.1595979999999999</v>
      </c>
      <c r="AE199">
        <v>-1.03269999999997</v>
      </c>
      <c r="AF199">
        <v>1.05016735329799</v>
      </c>
      <c r="AG199">
        <v>-1.1595979999999999</v>
      </c>
      <c r="AH199">
        <v>17.989255362842702</v>
      </c>
      <c r="AI199">
        <v>93.681965651336299</v>
      </c>
      <c r="AJ199">
        <v>86.659008755760397</v>
      </c>
      <c r="AK199">
        <v>18.057154468550799</v>
      </c>
      <c r="AL199">
        <v>89.966323521336605</v>
      </c>
      <c r="AM199">
        <v>93.716077212274101</v>
      </c>
      <c r="AN199">
        <v>1.00000000117149</v>
      </c>
    </row>
    <row r="200" spans="1:40" x14ac:dyDescent="0.3">
      <c r="A200" t="str">
        <f>"20200111160408089"</f>
        <v>20200111160408089</v>
      </c>
      <c r="B200" t="str">
        <f>"1578729848080795"</f>
        <v>1578729848080795</v>
      </c>
      <c r="C200" t="s">
        <v>40</v>
      </c>
      <c r="D200">
        <v>5.2027150000000004</v>
      </c>
      <c r="E200">
        <v>0.55007850000000003</v>
      </c>
      <c r="F200" t="s">
        <v>42</v>
      </c>
      <c r="G200">
        <v>-447.10480000000001</v>
      </c>
      <c r="H200">
        <v>1.052208</v>
      </c>
      <c r="I200">
        <v>367.18880000000001</v>
      </c>
      <c r="J200">
        <v>-447.77569999999997</v>
      </c>
      <c r="K200">
        <v>1.1096029999999999</v>
      </c>
      <c r="L200">
        <v>367.24759999999998</v>
      </c>
      <c r="M200">
        <v>0.9999768</v>
      </c>
      <c r="N200">
        <v>0</v>
      </c>
      <c r="O200">
        <v>1.21269E-3</v>
      </c>
      <c r="P200">
        <v>0.99781629999999999</v>
      </c>
      <c r="Q200">
        <v>-5.5179969999999898E-3</v>
      </c>
      <c r="R200">
        <v>6.5821149999999995E-2</v>
      </c>
      <c r="S200">
        <v>3.0178829999999999</v>
      </c>
      <c r="T200">
        <v>-0.18453929999999999</v>
      </c>
      <c r="U200">
        <v>-0.1877441</v>
      </c>
      <c r="V200">
        <v>-6.4611000000000002E-2</v>
      </c>
      <c r="W200">
        <v>1.194302E-3</v>
      </c>
      <c r="X200">
        <v>0.99790979999999996</v>
      </c>
      <c r="Y200">
        <v>6.3181020000000004E-2</v>
      </c>
      <c r="Z200">
        <v>-2.0020699999999999E-3</v>
      </c>
      <c r="AA200">
        <v>0.99800009999999995</v>
      </c>
      <c r="AB200">
        <v>25</v>
      </c>
      <c r="AC200">
        <v>0.67089999999995997</v>
      </c>
      <c r="AD200">
        <v>-5.7395000000000002E-2</v>
      </c>
      <c r="AE200">
        <v>-5.8799999999962403E-2</v>
      </c>
      <c r="AF200">
        <v>5.9183724043460402E-2</v>
      </c>
      <c r="AG200">
        <v>-5.7395000000000002E-2</v>
      </c>
      <c r="AH200">
        <v>0.66599118001090596</v>
      </c>
      <c r="AI200">
        <v>94.906330157941198</v>
      </c>
      <c r="AJ200">
        <v>84.921714480686603</v>
      </c>
      <c r="AK200">
        <v>0.67107462406871798</v>
      </c>
      <c r="AL200">
        <v>89.931571518868594</v>
      </c>
      <c r="AM200">
        <v>93.704520823055105</v>
      </c>
      <c r="AN200">
        <v>0.99999998830715298</v>
      </c>
    </row>
    <row r="201" spans="1:40" x14ac:dyDescent="0.3">
      <c r="A201" t="str">
        <f>"20200111160408112"</f>
        <v>20200111160408112</v>
      </c>
      <c r="B201" t="str">
        <f>"1578729848101291"</f>
        <v>1578729848101291</v>
      </c>
      <c r="C201" t="s">
        <v>40</v>
      </c>
      <c r="D201">
        <v>5.1898339999999896</v>
      </c>
      <c r="E201">
        <v>0.55058719999999906</v>
      </c>
      <c r="F201" t="s">
        <v>42</v>
      </c>
      <c r="G201">
        <v>-446.87310000000002</v>
      </c>
      <c r="H201">
        <v>1.055166</v>
      </c>
      <c r="I201">
        <v>367.18990000000002</v>
      </c>
      <c r="J201">
        <v>-447.52690000000001</v>
      </c>
      <c r="K201">
        <v>1.109607</v>
      </c>
      <c r="L201">
        <v>367.24790000000002</v>
      </c>
      <c r="M201">
        <v>0.99997650000000005</v>
      </c>
      <c r="N201">
        <v>0</v>
      </c>
      <c r="O201">
        <v>1.219302E-3</v>
      </c>
      <c r="P201">
        <v>0.99782700000000002</v>
      </c>
      <c r="Q201">
        <v>-4.5806909999999996E-3</v>
      </c>
      <c r="R201">
        <v>6.5728880000000003E-2</v>
      </c>
      <c r="S201">
        <v>3.0181879999999999</v>
      </c>
      <c r="T201">
        <v>-0.18219940000000001</v>
      </c>
      <c r="U201">
        <v>-0.19161990000000001</v>
      </c>
      <c r="V201">
        <v>-6.4512390000000003E-2</v>
      </c>
      <c r="W201">
        <v>2.167525E-3</v>
      </c>
      <c r="X201">
        <v>0.99791459999999998</v>
      </c>
      <c r="Y201">
        <v>6.4458559999999998E-2</v>
      </c>
      <c r="Z201">
        <v>-2.0153380000000002E-3</v>
      </c>
      <c r="AA201">
        <v>0.99791839999999998</v>
      </c>
      <c r="AB201">
        <v>26</v>
      </c>
      <c r="AC201">
        <v>0.65379999999998895</v>
      </c>
      <c r="AD201">
        <v>-5.4440999999999899E-2</v>
      </c>
      <c r="AE201">
        <v>-5.7999999999992703E-2</v>
      </c>
      <c r="AF201">
        <v>5.8395422412504699E-2</v>
      </c>
      <c r="AG201">
        <v>-5.4440999999999899E-2</v>
      </c>
      <c r="AH201">
        <v>0.64926218307845796</v>
      </c>
      <c r="AI201">
        <v>94.773890649060803</v>
      </c>
      <c r="AJ201">
        <v>84.860577158536699</v>
      </c>
      <c r="AK201">
        <v>0.65415229894539095</v>
      </c>
      <c r="AL201">
        <v>89.875809874197898</v>
      </c>
      <c r="AM201">
        <v>93.698864909309705</v>
      </c>
      <c r="AN201">
        <v>1.0000000477606401</v>
      </c>
    </row>
    <row r="202" spans="1:40" x14ac:dyDescent="0.3">
      <c r="A202" t="str">
        <f>"20200111160408143"</f>
        <v>20200111160408143</v>
      </c>
      <c r="B202" t="str">
        <f>"1578729848141312"</f>
        <v>1578729848141312</v>
      </c>
      <c r="C202" t="s">
        <v>40</v>
      </c>
      <c r="D202">
        <v>5.1959559999999998</v>
      </c>
      <c r="E202">
        <v>0.55111219999999905</v>
      </c>
      <c r="F202" t="s">
        <v>42</v>
      </c>
      <c r="G202">
        <v>-446.64190000000002</v>
      </c>
      <c r="H202">
        <v>1.056708</v>
      </c>
      <c r="I202">
        <v>367.19029999999998</v>
      </c>
      <c r="J202">
        <v>-447.15649999999999</v>
      </c>
      <c r="K202">
        <v>1.109612</v>
      </c>
      <c r="L202">
        <v>367.2484</v>
      </c>
      <c r="M202">
        <v>0.99997610000000003</v>
      </c>
      <c r="N202">
        <v>0</v>
      </c>
      <c r="O202">
        <v>1.2290840000000001E-3</v>
      </c>
      <c r="P202">
        <v>0.99784790000000001</v>
      </c>
      <c r="Q202">
        <v>-5.0399750000000004E-3</v>
      </c>
      <c r="R202">
        <v>6.5379900000000005E-2</v>
      </c>
      <c r="S202">
        <v>3.0186160000000002</v>
      </c>
      <c r="T202">
        <v>-0.1805737</v>
      </c>
      <c r="U202">
        <v>-0.19573969999999999</v>
      </c>
      <c r="V202">
        <v>-6.4153660000000001E-2</v>
      </c>
      <c r="W202">
        <v>1.7588770000000001E-3</v>
      </c>
      <c r="X202">
        <v>0.99793849999999995</v>
      </c>
      <c r="Y202">
        <v>6.5815449999999998E-2</v>
      </c>
      <c r="Z202">
        <v>-2.0381090000000002E-3</v>
      </c>
      <c r="AA202">
        <v>0.99782969999999904</v>
      </c>
      <c r="AB202">
        <v>26</v>
      </c>
      <c r="AC202">
        <v>0.51459999999997297</v>
      </c>
      <c r="AD202">
        <v>-5.2904E-2</v>
      </c>
      <c r="AE202">
        <v>-5.8100000000024403E-2</v>
      </c>
      <c r="AF202">
        <v>5.8125852683457102E-2</v>
      </c>
      <c r="AG202">
        <v>-5.2904E-2</v>
      </c>
      <c r="AH202">
        <v>0.50921401353006002</v>
      </c>
      <c r="AI202">
        <v>95.893377861757898</v>
      </c>
      <c r="AJ202">
        <v>83.487976927147997</v>
      </c>
      <c r="AK202">
        <v>0.51524398059712595</v>
      </c>
      <c r="AL202">
        <v>89.899223721046098</v>
      </c>
      <c r="AM202">
        <v>93.678265636419894</v>
      </c>
      <c r="AN202">
        <v>1.00000001776097</v>
      </c>
    </row>
    <row r="203" spans="1:40" x14ac:dyDescent="0.3">
      <c r="A203" t="str">
        <f>"20200111160408166"</f>
        <v>20200111160408166</v>
      </c>
      <c r="B203" t="str">
        <f>"1578729848160832"</f>
        <v>1578729848160832</v>
      </c>
      <c r="C203" t="s">
        <v>40</v>
      </c>
      <c r="D203">
        <v>5.1442379999999996</v>
      </c>
      <c r="E203">
        <v>0.55122230000000005</v>
      </c>
      <c r="F203" t="s">
        <v>44</v>
      </c>
      <c r="G203">
        <v>-428.0788</v>
      </c>
      <c r="H203">
        <v>-0.05</v>
      </c>
      <c r="I203">
        <v>365.9803</v>
      </c>
      <c r="J203">
        <v>-446.89490000000001</v>
      </c>
      <c r="K203">
        <v>1.109618</v>
      </c>
      <c r="L203">
        <v>367.24869999999999</v>
      </c>
      <c r="M203">
        <v>0.99997590000000003</v>
      </c>
      <c r="N203">
        <v>0</v>
      </c>
      <c r="O203">
        <v>1.236242E-3</v>
      </c>
      <c r="P203">
        <v>0.99788710000000003</v>
      </c>
      <c r="Q203">
        <v>-5.1794129999999999E-3</v>
      </c>
      <c r="R203">
        <v>6.4765539999999996E-2</v>
      </c>
      <c r="S203">
        <v>3.0186769999999998</v>
      </c>
      <c r="T203">
        <v>-0.1834866</v>
      </c>
      <c r="U203">
        <v>-0.2006531</v>
      </c>
      <c r="V203">
        <v>-6.3532190000000002E-2</v>
      </c>
      <c r="W203">
        <v>1.6530189999999999E-3</v>
      </c>
      <c r="X203">
        <v>0.99797840000000004</v>
      </c>
      <c r="Y203">
        <v>6.7431480000000002E-2</v>
      </c>
      <c r="Z203">
        <v>-2.1202249999999999E-3</v>
      </c>
      <c r="AA203">
        <v>0.99772169999999905</v>
      </c>
      <c r="AB203">
        <v>26</v>
      </c>
      <c r="AC203">
        <v>18.816099999999999</v>
      </c>
      <c r="AD203">
        <v>-1.159618</v>
      </c>
      <c r="AE203">
        <v>-1.26839999999998</v>
      </c>
      <c r="AF203">
        <v>1.2867955092577501</v>
      </c>
      <c r="AG203">
        <v>-1.159618</v>
      </c>
      <c r="AH203">
        <v>18.743648621761199</v>
      </c>
      <c r="AI203">
        <v>93.531927791838697</v>
      </c>
      <c r="AJ203">
        <v>86.072672426724694</v>
      </c>
      <c r="AK203">
        <v>18.823520399877999</v>
      </c>
      <c r="AL203">
        <v>89.905288942747404</v>
      </c>
      <c r="AM203">
        <v>93.6425846652714</v>
      </c>
      <c r="AN203">
        <v>0.99999997925228501</v>
      </c>
    </row>
    <row r="204" spans="1:40" x14ac:dyDescent="0.3">
      <c r="A204" t="str">
        <f>"20200111160408189"</f>
        <v>20200111160408189</v>
      </c>
      <c r="B204" t="str">
        <f>"1578729848181328"</f>
        <v>1578729848181328</v>
      </c>
      <c r="C204" t="s">
        <v>40</v>
      </c>
      <c r="D204">
        <v>5.1569909999999997</v>
      </c>
      <c r="E204">
        <v>0.55138779999999998</v>
      </c>
      <c r="F204" t="s">
        <v>42</v>
      </c>
      <c r="G204">
        <v>-445.95240000000001</v>
      </c>
      <c r="H204">
        <v>1.052268</v>
      </c>
      <c r="I204">
        <v>367.18459999999999</v>
      </c>
      <c r="J204">
        <v>-446.62490000000003</v>
      </c>
      <c r="K204">
        <v>1.109613</v>
      </c>
      <c r="L204">
        <v>367.24900000000002</v>
      </c>
      <c r="M204">
        <v>0.99997559999999996</v>
      </c>
      <c r="N204">
        <v>0</v>
      </c>
      <c r="O204">
        <v>1.2435180000000001E-3</v>
      </c>
      <c r="P204">
        <v>0.99792650000000005</v>
      </c>
      <c r="Q204">
        <v>-5.6455619999999998E-3</v>
      </c>
      <c r="R204">
        <v>6.4115459999999999E-2</v>
      </c>
      <c r="S204">
        <v>3.0185550000000001</v>
      </c>
      <c r="T204">
        <v>-0.184004</v>
      </c>
      <c r="U204">
        <v>-0.20364380000000001</v>
      </c>
      <c r="V204">
        <v>-6.2874079999999999E-2</v>
      </c>
      <c r="W204">
        <v>1.2195750000000001E-3</v>
      </c>
      <c r="X204">
        <v>0.99802069999999998</v>
      </c>
      <c r="Y204">
        <v>6.8422949999999996E-2</v>
      </c>
      <c r="Z204">
        <v>-2.1568070000000002E-3</v>
      </c>
      <c r="AA204">
        <v>0.99765409999999999</v>
      </c>
      <c r="AB204">
        <v>26</v>
      </c>
      <c r="AC204">
        <v>0.67250000000001298</v>
      </c>
      <c r="AD204">
        <v>-5.7344999999999903E-2</v>
      </c>
      <c r="AE204">
        <v>-6.4400000000034596E-2</v>
      </c>
      <c r="AF204">
        <v>6.4769562463019403E-2</v>
      </c>
      <c r="AG204">
        <v>-5.7344999999999903E-2</v>
      </c>
      <c r="AH204">
        <v>0.66760918216035403</v>
      </c>
      <c r="AI204">
        <v>94.886599954312501</v>
      </c>
      <c r="AJ204">
        <v>84.458667053075899</v>
      </c>
      <c r="AK204">
        <v>0.67319058620235295</v>
      </c>
      <c r="AL204">
        <v>89.930123480803601</v>
      </c>
      <c r="AM204">
        <v>93.604799906694893</v>
      </c>
      <c r="AN204">
        <v>0.99999997746375802</v>
      </c>
    </row>
    <row r="205" spans="1:40" x14ac:dyDescent="0.3">
      <c r="A205" t="str">
        <f>"20200111160408211"</f>
        <v>20200111160408211</v>
      </c>
      <c r="B205" t="str">
        <f>"1578729848200847"</f>
        <v>1578729848200847</v>
      </c>
      <c r="C205" t="s">
        <v>40</v>
      </c>
      <c r="D205">
        <v>5.1345029999999996</v>
      </c>
      <c r="E205">
        <v>0.55158589999999996</v>
      </c>
      <c r="F205" t="s">
        <v>42</v>
      </c>
      <c r="G205">
        <v>-445.7183</v>
      </c>
      <c r="H205">
        <v>1.0537799999999999</v>
      </c>
      <c r="I205">
        <v>367.18669999999997</v>
      </c>
      <c r="J205">
        <v>-446.36329999999998</v>
      </c>
      <c r="K205">
        <v>1.1096060000000001</v>
      </c>
      <c r="L205">
        <v>367.24939999999998</v>
      </c>
      <c r="M205">
        <v>0.99997539999999996</v>
      </c>
      <c r="N205">
        <v>0</v>
      </c>
      <c r="O205">
        <v>1.2503289999999999E-3</v>
      </c>
      <c r="P205">
        <v>0.99794099999999997</v>
      </c>
      <c r="Q205">
        <v>-6.5904129999999998E-3</v>
      </c>
      <c r="R205">
        <v>6.3800019999999999E-2</v>
      </c>
      <c r="S205">
        <v>3.0184329999999999</v>
      </c>
      <c r="T205">
        <v>-0.18603159999999999</v>
      </c>
      <c r="U205">
        <v>-0.20651249999999999</v>
      </c>
      <c r="V205">
        <v>-6.2551949999999995E-2</v>
      </c>
      <c r="W205">
        <v>3.0547780000000002E-4</v>
      </c>
      <c r="X205">
        <v>0.99804170000000003</v>
      </c>
      <c r="Y205">
        <v>6.9371559999999999E-2</v>
      </c>
      <c r="Z205">
        <v>-2.210137E-3</v>
      </c>
      <c r="AA205">
        <v>0.99758849999999999</v>
      </c>
      <c r="AB205">
        <v>26</v>
      </c>
      <c r="AC205">
        <v>0.64499999999998103</v>
      </c>
      <c r="AD205">
        <v>-5.5825999999999897E-2</v>
      </c>
      <c r="AE205">
        <v>-6.2700000000006598E-2</v>
      </c>
      <c r="AF205">
        <v>6.3038615831233394E-2</v>
      </c>
      <c r="AG205">
        <v>-5.5825999999999897E-2</v>
      </c>
      <c r="AH205">
        <v>0.64017032323108303</v>
      </c>
      <c r="AI205">
        <v>94.959996475118601</v>
      </c>
      <c r="AJ205">
        <v>84.376121992206507</v>
      </c>
      <c r="AK205">
        <v>0.64568448340323903</v>
      </c>
      <c r="AL205">
        <v>89.982497411706603</v>
      </c>
      <c r="AM205">
        <v>93.586304083092699</v>
      </c>
      <c r="AN205">
        <v>1.00000003735218</v>
      </c>
    </row>
    <row r="206" spans="1:40" x14ac:dyDescent="0.3">
      <c r="A206" t="str">
        <f>"20200111160408234"</f>
        <v>20200111160408234</v>
      </c>
      <c r="B206" t="str">
        <f>"1578729848231104"</f>
        <v>1578729848231104</v>
      </c>
      <c r="C206" t="s">
        <v>40</v>
      </c>
      <c r="D206">
        <v>5.1750150000000001</v>
      </c>
      <c r="E206">
        <v>0.55199039999999999</v>
      </c>
      <c r="F206" t="s">
        <v>42</v>
      </c>
      <c r="G206">
        <v>-445.48410000000001</v>
      </c>
      <c r="H206">
        <v>1.054608</v>
      </c>
      <c r="I206">
        <v>367.18799999999999</v>
      </c>
      <c r="J206">
        <v>-446.1096</v>
      </c>
      <c r="K206">
        <v>1.1096079999999999</v>
      </c>
      <c r="L206">
        <v>367.24970000000002</v>
      </c>
      <c r="M206">
        <v>0.99997510000000001</v>
      </c>
      <c r="N206">
        <v>0</v>
      </c>
      <c r="O206">
        <v>1.2571450000000001E-3</v>
      </c>
      <c r="P206">
        <v>0.99795919999999905</v>
      </c>
      <c r="Q206">
        <v>-7.3861109999999999E-3</v>
      </c>
      <c r="R206">
        <v>6.3425400000000007E-2</v>
      </c>
      <c r="S206">
        <v>3.0183409999999999</v>
      </c>
      <c r="T206">
        <v>-0.1890656</v>
      </c>
      <c r="U206">
        <v>-0.20932010000000001</v>
      </c>
      <c r="V206">
        <v>-6.217073E-2</v>
      </c>
      <c r="W206">
        <v>-4.6241210000000002E-4</v>
      </c>
      <c r="X206">
        <v>0.99806539999999999</v>
      </c>
      <c r="Y206">
        <v>7.0297750000000006E-2</v>
      </c>
      <c r="Z206">
        <v>-2.275479E-3</v>
      </c>
      <c r="AA206">
        <v>0.99752350000000001</v>
      </c>
      <c r="AB206">
        <v>26</v>
      </c>
      <c r="AC206">
        <v>0.62549999999998795</v>
      </c>
      <c r="AD206">
        <v>-5.4999999999999903E-2</v>
      </c>
      <c r="AE206">
        <v>-6.1699999999973401E-2</v>
      </c>
      <c r="AF206">
        <v>6.20114850049941E-2</v>
      </c>
      <c r="AG206">
        <v>-5.4999999999999903E-2</v>
      </c>
      <c r="AH206">
        <v>0.62066939781222896</v>
      </c>
      <c r="AI206">
        <v>95.039023619248397</v>
      </c>
      <c r="AJ206">
        <v>84.294475412366197</v>
      </c>
      <c r="AK206">
        <v>0.62617962730603005</v>
      </c>
      <c r="AL206">
        <v>90.026494263250498</v>
      </c>
      <c r="AM206">
        <v>93.564419616325196</v>
      </c>
      <c r="AN206">
        <v>0.99999997808542096</v>
      </c>
    </row>
    <row r="207" spans="1:40" x14ac:dyDescent="0.3">
      <c r="A207" t="str">
        <f>"20200111160408255"</f>
        <v>20200111160408255</v>
      </c>
      <c r="B207" t="str">
        <f>"1578729848250623"</f>
        <v>1578729848250623</v>
      </c>
      <c r="C207" t="s">
        <v>40</v>
      </c>
      <c r="D207">
        <v>5.1091810000000004</v>
      </c>
      <c r="E207">
        <v>0.55205579999999999</v>
      </c>
      <c r="F207" t="s">
        <v>42</v>
      </c>
      <c r="G207">
        <v>-445.24979999999999</v>
      </c>
      <c r="H207">
        <v>1.054762</v>
      </c>
      <c r="I207">
        <v>367.18889999999999</v>
      </c>
      <c r="J207">
        <v>-445.8501</v>
      </c>
      <c r="K207">
        <v>1.10961</v>
      </c>
      <c r="L207">
        <v>367.25009999999997</v>
      </c>
      <c r="M207">
        <v>0.99997510000000001</v>
      </c>
      <c r="N207">
        <v>0</v>
      </c>
      <c r="O207">
        <v>1.263784E-3</v>
      </c>
      <c r="P207">
        <v>0.99797239999999998</v>
      </c>
      <c r="Q207">
        <v>-7.9634790000000007E-3</v>
      </c>
      <c r="R207">
        <v>6.3148679999999999E-2</v>
      </c>
      <c r="S207">
        <v>3.0182500000000001</v>
      </c>
      <c r="T207">
        <v>-0.19258890000000001</v>
      </c>
      <c r="U207">
        <v>-0.2134094</v>
      </c>
      <c r="V207">
        <v>-6.1887539999999998E-2</v>
      </c>
      <c r="W207">
        <v>-1.0118550000000001E-3</v>
      </c>
      <c r="X207">
        <v>0.99808260000000004</v>
      </c>
      <c r="Y207">
        <v>7.1643349999999995E-2</v>
      </c>
      <c r="Z207">
        <v>-2.3610160000000001E-3</v>
      </c>
      <c r="AA207">
        <v>0.99742750000000002</v>
      </c>
      <c r="AB207">
        <v>26</v>
      </c>
      <c r="AC207">
        <v>0.60030000000000405</v>
      </c>
      <c r="AD207">
        <v>-5.4848000000000001E-2</v>
      </c>
      <c r="AE207">
        <v>-6.1199999999985197E-2</v>
      </c>
      <c r="AF207">
        <v>6.1450900932516199E-2</v>
      </c>
      <c r="AG207">
        <v>-5.4848000000000001E-2</v>
      </c>
      <c r="AH207">
        <v>0.59530367284692198</v>
      </c>
      <c r="AI207">
        <v>95.236387168148099</v>
      </c>
      <c r="AJ207">
        <v>84.106451795972205</v>
      </c>
      <c r="AK207">
        <v>0.60097502380253198</v>
      </c>
      <c r="AL207">
        <v>90.057975031803196</v>
      </c>
      <c r="AM207">
        <v>93.548164135188301</v>
      </c>
      <c r="AN207">
        <v>0.999999983940276</v>
      </c>
    </row>
    <row r="208" spans="1:40" x14ac:dyDescent="0.3">
      <c r="A208" t="str">
        <f>"20200111160408277"</f>
        <v>20200111160408277</v>
      </c>
      <c r="B208" t="str">
        <f>"1578729848271119"</f>
        <v>1578729848271119</v>
      </c>
      <c r="C208" t="s">
        <v>40</v>
      </c>
      <c r="D208">
        <v>5.0505380000000004</v>
      </c>
      <c r="E208">
        <v>0.55209010000000003</v>
      </c>
      <c r="F208" t="s">
        <v>42</v>
      </c>
      <c r="G208">
        <v>-445.01369999999997</v>
      </c>
      <c r="H208">
        <v>1.0561020000000001</v>
      </c>
      <c r="I208">
        <v>367.1902</v>
      </c>
      <c r="J208">
        <v>-445.58319999999998</v>
      </c>
      <c r="K208">
        <v>1.1096090000000001</v>
      </c>
      <c r="L208">
        <v>367.25040000000001</v>
      </c>
      <c r="M208">
        <v>0.99997480000000005</v>
      </c>
      <c r="N208">
        <v>0</v>
      </c>
      <c r="O208">
        <v>1.270722E-3</v>
      </c>
      <c r="P208">
        <v>0.99797469999999999</v>
      </c>
      <c r="Q208">
        <v>-8.7515560000000006E-3</v>
      </c>
      <c r="R208">
        <v>6.3006629999999994E-2</v>
      </c>
      <c r="S208">
        <v>3.0181580000000001</v>
      </c>
      <c r="T208">
        <v>-0.19333</v>
      </c>
      <c r="U208">
        <v>-0.2149353</v>
      </c>
      <c r="V208">
        <v>-6.1738510000000003E-2</v>
      </c>
      <c r="W208">
        <v>-1.772292E-3</v>
      </c>
      <c r="X208">
        <v>0.99809079999999994</v>
      </c>
      <c r="Y208">
        <v>7.2151939999999998E-2</v>
      </c>
      <c r="Z208">
        <v>-2.3868069999999999E-3</v>
      </c>
      <c r="AA208">
        <v>0.99739080000000002</v>
      </c>
      <c r="AB208">
        <v>26</v>
      </c>
      <c r="AC208">
        <v>0.569500000000005</v>
      </c>
      <c r="AD208">
        <v>-5.3506999999999902E-2</v>
      </c>
      <c r="AE208">
        <v>-6.0200000000008899E-2</v>
      </c>
      <c r="AF208">
        <v>6.0396392436766401E-2</v>
      </c>
      <c r="AG208">
        <v>-5.3506999999999902E-2</v>
      </c>
      <c r="AH208">
        <v>0.56449507100695795</v>
      </c>
      <c r="AI208">
        <v>95.384190796974295</v>
      </c>
      <c r="AJ208">
        <v>83.893048392864898</v>
      </c>
      <c r="AK208">
        <v>0.57023276691148395</v>
      </c>
      <c r="AL208">
        <v>90.101544903316906</v>
      </c>
      <c r="AM208">
        <v>93.539612623255607</v>
      </c>
      <c r="AN208">
        <v>1.0000000148402901</v>
      </c>
    </row>
    <row r="209" spans="1:40" x14ac:dyDescent="0.3">
      <c r="A209" t="str">
        <f>"20200111160408301"</f>
        <v>20200111160408301</v>
      </c>
      <c r="B209" t="str">
        <f>"1578729848290639"</f>
        <v>1578729848290639</v>
      </c>
      <c r="C209" t="s">
        <v>40</v>
      </c>
      <c r="D209">
        <v>5.1381259999999997</v>
      </c>
      <c r="E209">
        <v>0.55218049999999996</v>
      </c>
      <c r="F209" t="s">
        <v>42</v>
      </c>
      <c r="G209">
        <v>-444.77269999999999</v>
      </c>
      <c r="H209">
        <v>1.0573600000000001</v>
      </c>
      <c r="I209">
        <v>367.19229999999999</v>
      </c>
      <c r="J209">
        <v>-445.315</v>
      </c>
      <c r="K209">
        <v>1.109599</v>
      </c>
      <c r="L209">
        <v>367.25069999999999</v>
      </c>
      <c r="M209">
        <v>0.99997449999999999</v>
      </c>
      <c r="N209">
        <v>0</v>
      </c>
      <c r="O209">
        <v>1.2775410000000001E-3</v>
      </c>
      <c r="P209">
        <v>0.99793679999999996</v>
      </c>
      <c r="Q209">
        <v>-8.964807E-3</v>
      </c>
      <c r="R209">
        <v>6.3576540000000001E-2</v>
      </c>
      <c r="S209">
        <v>3.0179749999999999</v>
      </c>
      <c r="T209">
        <v>-0.19464780000000001</v>
      </c>
      <c r="U209">
        <v>-0.2156372</v>
      </c>
      <c r="V209">
        <v>-6.2301500000000003E-2</v>
      </c>
      <c r="W209">
        <v>-1.9588069999999999E-3</v>
      </c>
      <c r="X209">
        <v>0.99805549999999998</v>
      </c>
      <c r="Y209">
        <v>7.2391259999999999E-2</v>
      </c>
      <c r="Z209">
        <v>-2.4113070000000001E-3</v>
      </c>
      <c r="AA209">
        <v>0.99737339999999997</v>
      </c>
      <c r="AB209">
        <v>26</v>
      </c>
      <c r="AC209">
        <v>0.542300000000011</v>
      </c>
      <c r="AD209">
        <v>-5.2238999999999897E-2</v>
      </c>
      <c r="AE209">
        <v>-5.8400000000005899E-2</v>
      </c>
      <c r="AF209">
        <v>5.8555659295646899E-2</v>
      </c>
      <c r="AG209">
        <v>-5.2238999999999897E-2</v>
      </c>
      <c r="AH209">
        <v>0.53729642283394496</v>
      </c>
      <c r="AI209">
        <v>95.520681927619705</v>
      </c>
      <c r="AJ209">
        <v>83.780335486198695</v>
      </c>
      <c r="AK209">
        <v>0.54299643124674501</v>
      </c>
      <c r="AL209">
        <v>90.112231440425504</v>
      </c>
      <c r="AM209">
        <v>93.571932970327296</v>
      </c>
      <c r="AN209">
        <v>1.0000000474536801</v>
      </c>
    </row>
    <row r="210" spans="1:40" x14ac:dyDescent="0.3">
      <c r="A210" t="str">
        <f>"20200111160408321"</f>
        <v>20200111160408321</v>
      </c>
      <c r="B210" t="str">
        <f>"1578729848311135"</f>
        <v>1578729848311135</v>
      </c>
      <c r="C210" t="s">
        <v>40</v>
      </c>
      <c r="D210">
        <v>5.119453</v>
      </c>
      <c r="E210">
        <v>0.55218420000000001</v>
      </c>
      <c r="F210" t="s">
        <v>44</v>
      </c>
      <c r="G210">
        <v>-427.36930000000001</v>
      </c>
      <c r="H210">
        <v>-0.05</v>
      </c>
      <c r="I210">
        <v>365.97469999999998</v>
      </c>
      <c r="J210">
        <v>-445.06880000000001</v>
      </c>
      <c r="K210">
        <v>1.1095980000000001</v>
      </c>
      <c r="L210">
        <v>367.25099999999998</v>
      </c>
      <c r="M210">
        <v>0.99997440000000004</v>
      </c>
      <c r="N210">
        <v>0</v>
      </c>
      <c r="O210">
        <v>1.284072E-3</v>
      </c>
      <c r="P210">
        <v>0.9978958</v>
      </c>
      <c r="Q210">
        <v>-9.0329399999999997E-3</v>
      </c>
      <c r="R210">
        <v>6.4205689999999996E-2</v>
      </c>
      <c r="S210">
        <v>3.0181580000000001</v>
      </c>
      <c r="T210">
        <v>-0.19502349999999999</v>
      </c>
      <c r="U210">
        <v>-0.2145996</v>
      </c>
      <c r="V210">
        <v>-6.2924460000000002E-2</v>
      </c>
      <c r="W210">
        <v>-2.0030349999999998E-3</v>
      </c>
      <c r="X210">
        <v>0.99801629999999997</v>
      </c>
      <c r="Y210">
        <v>7.2052409999999997E-2</v>
      </c>
      <c r="Z210">
        <v>-2.405333E-3</v>
      </c>
      <c r="AA210">
        <v>0.99739800000000001</v>
      </c>
      <c r="AB210">
        <v>26</v>
      </c>
      <c r="AC210">
        <v>17.6995</v>
      </c>
      <c r="AD210">
        <v>-1.1595979999999999</v>
      </c>
      <c r="AE210">
        <v>-1.27629999999999</v>
      </c>
      <c r="AF210">
        <v>1.2935035220672699</v>
      </c>
      <c r="AG210">
        <v>-1.1595979999999999</v>
      </c>
      <c r="AH210">
        <v>17.622595826804002</v>
      </c>
      <c r="AI210">
        <v>93.754664640234594</v>
      </c>
      <c r="AJ210">
        <v>85.802001811527504</v>
      </c>
      <c r="AK210">
        <v>17.708012383045499</v>
      </c>
      <c r="AL210">
        <v>90.1147655264582</v>
      </c>
      <c r="AM210">
        <v>93.607696613322602</v>
      </c>
      <c r="AN210">
        <v>1.0000000174405901</v>
      </c>
    </row>
    <row r="211" spans="1:40" x14ac:dyDescent="0.3">
      <c r="A211" t="str">
        <f>"20200111160408344"</f>
        <v>20200111160408344</v>
      </c>
      <c r="B211" t="str">
        <f>"1578729848341391"</f>
        <v>1578729848341391</v>
      </c>
      <c r="C211" t="s">
        <v>40</v>
      </c>
      <c r="D211">
        <v>5.5175689999999999</v>
      </c>
      <c r="E211">
        <v>0.55230979999999996</v>
      </c>
      <c r="F211" t="s">
        <v>44</v>
      </c>
      <c r="G211">
        <v>-427.1694</v>
      </c>
      <c r="H211">
        <v>-0.05</v>
      </c>
      <c r="I211">
        <v>365.98849999999999</v>
      </c>
      <c r="J211">
        <v>-444.80180000000001</v>
      </c>
      <c r="K211">
        <v>1.109604</v>
      </c>
      <c r="L211">
        <v>367.25139999999999</v>
      </c>
      <c r="M211">
        <v>0.99997420000000004</v>
      </c>
      <c r="N211">
        <v>0</v>
      </c>
      <c r="O211">
        <v>1.2910139999999901E-3</v>
      </c>
      <c r="P211">
        <v>0.9978477</v>
      </c>
      <c r="Q211">
        <v>-8.8404290000000003E-3</v>
      </c>
      <c r="R211">
        <v>6.4977629999999995E-2</v>
      </c>
      <c r="S211">
        <v>3.0181879999999999</v>
      </c>
      <c r="T211">
        <v>-0.1955306</v>
      </c>
      <c r="U211">
        <v>-0.21289060000000001</v>
      </c>
      <c r="V211">
        <v>-6.3689689999999993E-2</v>
      </c>
      <c r="W211">
        <v>-1.7851900000000001E-3</v>
      </c>
      <c r="X211">
        <v>0.99796810000000002</v>
      </c>
      <c r="Y211">
        <v>7.1497039999999998E-2</v>
      </c>
      <c r="Z211">
        <v>-2.3940979999999999E-3</v>
      </c>
      <c r="AA211">
        <v>0.99743800000000005</v>
      </c>
      <c r="AB211">
        <v>26</v>
      </c>
      <c r="AC211">
        <v>17.632400000000001</v>
      </c>
      <c r="AD211">
        <v>-1.1596040000000001</v>
      </c>
      <c r="AE211">
        <v>-1.2628999999999999</v>
      </c>
      <c r="AF211">
        <v>1.2801546478418599</v>
      </c>
      <c r="AG211">
        <v>-1.1596040000000001</v>
      </c>
      <c r="AH211">
        <v>17.555214237539001</v>
      </c>
      <c r="AI211">
        <v>93.769184940727797</v>
      </c>
      <c r="AJ211">
        <v>85.829281215953401</v>
      </c>
      <c r="AK211">
        <v>17.639983681542901</v>
      </c>
      <c r="AL211">
        <v>90.102283912473695</v>
      </c>
      <c r="AM211">
        <v>93.651628028233702</v>
      </c>
      <c r="AN211">
        <v>0.99999994606661902</v>
      </c>
    </row>
    <row r="212" spans="1:40" x14ac:dyDescent="0.3">
      <c r="A212" t="str">
        <f>"20200111160408635"</f>
        <v>20200111160408635</v>
      </c>
      <c r="B212" t="str">
        <f>"1578729848631264"</f>
        <v>1578729848631264</v>
      </c>
      <c r="C212" t="s">
        <v>40</v>
      </c>
      <c r="D212">
        <v>5.0960380000000001</v>
      </c>
      <c r="E212">
        <v>0.50768210000000003</v>
      </c>
      <c r="F212" t="s">
        <v>44</v>
      </c>
      <c r="G212">
        <v>-427.40859999999998</v>
      </c>
      <c r="H212">
        <v>-0.05</v>
      </c>
      <c r="I212">
        <v>367.78910000000002</v>
      </c>
      <c r="J212">
        <v>-441.26909999999998</v>
      </c>
      <c r="K212">
        <v>1.1096379999999999</v>
      </c>
      <c r="L212">
        <v>367.2561</v>
      </c>
      <c r="M212">
        <v>0.99997150000000001</v>
      </c>
      <c r="N212">
        <v>0</v>
      </c>
      <c r="O212">
        <v>1.3832149999999999E-3</v>
      </c>
      <c r="P212">
        <v>0.99799260000000001</v>
      </c>
      <c r="Q212">
        <v>-8.8499909999999998E-3</v>
      </c>
      <c r="R212">
        <v>6.2713229999999995E-2</v>
      </c>
      <c r="S212">
        <v>2.9967039999999998</v>
      </c>
      <c r="T212">
        <v>-0.2413148</v>
      </c>
      <c r="U212">
        <v>0.1110535</v>
      </c>
      <c r="V212">
        <v>-6.133305E-2</v>
      </c>
      <c r="W212">
        <v>-1.4313920000000001E-3</v>
      </c>
      <c r="X212">
        <v>0.99811629999999996</v>
      </c>
      <c r="Y212">
        <v>-3.554036E-2</v>
      </c>
      <c r="Z212">
        <v>1.317005E-3</v>
      </c>
      <c r="AA212">
        <v>0.99936740000000002</v>
      </c>
      <c r="AB212">
        <v>28</v>
      </c>
      <c r="AC212">
        <v>13.8605</v>
      </c>
      <c r="AD212">
        <v>-1.1596379999999999</v>
      </c>
      <c r="AE212">
        <v>0.53300000000001502</v>
      </c>
      <c r="AF212">
        <v>-0.51026045138295895</v>
      </c>
      <c r="AG212">
        <v>-1.1596379999999999</v>
      </c>
      <c r="AH212">
        <v>13.765013621161501</v>
      </c>
      <c r="AI212">
        <v>94.812240805556897</v>
      </c>
      <c r="AJ212">
        <v>92.122946683376099</v>
      </c>
      <c r="AK212">
        <v>13.8231952170998</v>
      </c>
      <c r="AL212">
        <v>90.082012750885397</v>
      </c>
      <c r="AM212">
        <v>93.5163355654269</v>
      </c>
      <c r="AN212">
        <v>0.999999970115524</v>
      </c>
    </row>
    <row r="213" spans="1:40" x14ac:dyDescent="0.3">
      <c r="A213" t="str">
        <f>"20200111160408657"</f>
        <v>20200111160408657</v>
      </c>
      <c r="B213" t="str">
        <f>"1578729848650784"</f>
        <v>1578729848650784</v>
      </c>
      <c r="C213" t="s">
        <v>40</v>
      </c>
      <c r="D213">
        <v>5.1567720000000001</v>
      </c>
      <c r="E213">
        <v>0.50778570000000001</v>
      </c>
      <c r="F213" t="s">
        <v>44</v>
      </c>
      <c r="G213">
        <v>-424.79989999999998</v>
      </c>
      <c r="H213">
        <v>-0.05</v>
      </c>
      <c r="I213">
        <v>368.02289999999999</v>
      </c>
      <c r="J213">
        <v>-440.9855</v>
      </c>
      <c r="K213">
        <v>1.109542</v>
      </c>
      <c r="L213">
        <v>367.25650000000002</v>
      </c>
      <c r="M213">
        <v>0.99997400000000003</v>
      </c>
      <c r="N213">
        <v>0</v>
      </c>
      <c r="O213">
        <v>1.390346E-3</v>
      </c>
      <c r="P213">
        <v>0.99801269999999997</v>
      </c>
      <c r="Q213">
        <v>-7.7507119999999999E-3</v>
      </c>
      <c r="R213">
        <v>6.2537540000000003E-2</v>
      </c>
      <c r="S213">
        <v>2.9953919999999998</v>
      </c>
      <c r="T213">
        <v>-0.2109124</v>
      </c>
      <c r="U213">
        <v>0.13946529999999999</v>
      </c>
      <c r="V213">
        <v>-6.1150339999999997E-2</v>
      </c>
      <c r="W213">
        <v>-6.6864490000000001E-4</v>
      </c>
      <c r="X213">
        <v>0.99812840000000003</v>
      </c>
      <c r="Y213">
        <v>-4.501289E-2</v>
      </c>
      <c r="Z213">
        <v>1.4841920000000001E-3</v>
      </c>
      <c r="AA213">
        <v>0.99898529999999996</v>
      </c>
      <c r="AB213">
        <v>28</v>
      </c>
      <c r="AC213">
        <v>16.185600000000001</v>
      </c>
      <c r="AD213">
        <v>-1.1595420000000001</v>
      </c>
      <c r="AE213">
        <v>0.76639999999997599</v>
      </c>
      <c r="AF213">
        <v>-0.74010513840818204</v>
      </c>
      <c r="AG213">
        <v>-1.1595420000000001</v>
      </c>
      <c r="AH213">
        <v>16.104182712209798</v>
      </c>
      <c r="AI213">
        <v>94.114006950343594</v>
      </c>
      <c r="AJ213">
        <v>92.631309221998706</v>
      </c>
      <c r="AK213">
        <v>16.162827540189198</v>
      </c>
      <c r="AL213">
        <v>90.038310531432799</v>
      </c>
      <c r="AM213">
        <v>93.505844239309496</v>
      </c>
      <c r="AN213">
        <v>1.00000005702733</v>
      </c>
    </row>
    <row r="214" spans="1:40" x14ac:dyDescent="0.3">
      <c r="A214" t="str">
        <f>"20200111160408681"</f>
        <v>20200111160408681</v>
      </c>
      <c r="B214" t="str">
        <f>"1578729848671279"</f>
        <v>1578729848671279</v>
      </c>
      <c r="C214" t="s">
        <v>40</v>
      </c>
      <c r="D214">
        <v>5.1003980000000002</v>
      </c>
      <c r="E214">
        <v>0.50820290000000001</v>
      </c>
      <c r="F214" t="s">
        <v>44</v>
      </c>
      <c r="G214">
        <v>-425.23970000000003</v>
      </c>
      <c r="H214">
        <v>-0.05</v>
      </c>
      <c r="I214">
        <v>367.9862</v>
      </c>
      <c r="J214">
        <v>-440.69589999999999</v>
      </c>
      <c r="K214">
        <v>1.1093010000000001</v>
      </c>
      <c r="L214">
        <v>367.25689999999997</v>
      </c>
      <c r="M214">
        <v>0.99997780000000003</v>
      </c>
      <c r="N214">
        <v>0</v>
      </c>
      <c r="O214">
        <v>1.3973290000000001E-3</v>
      </c>
      <c r="P214">
        <v>0.99803109999999995</v>
      </c>
      <c r="Q214">
        <v>-6.8624209999999996E-3</v>
      </c>
      <c r="R214">
        <v>6.234783E-2</v>
      </c>
      <c r="S214">
        <v>2.9955750000000001</v>
      </c>
      <c r="T214">
        <v>-0.22059719999999999</v>
      </c>
      <c r="U214">
        <v>0.13882449999999999</v>
      </c>
      <c r="V214">
        <v>-6.0953309999999997E-2</v>
      </c>
      <c r="W214">
        <v>-3.3936209999999999E-4</v>
      </c>
      <c r="X214">
        <v>0.99814060000000004</v>
      </c>
      <c r="Y214">
        <v>-4.4780359999999998E-2</v>
      </c>
      <c r="Z214">
        <v>1.5430190000000001E-3</v>
      </c>
      <c r="AA214">
        <v>0.99899570000000004</v>
      </c>
      <c r="AB214">
        <v>28</v>
      </c>
      <c r="AC214">
        <v>15.4561999999999</v>
      </c>
      <c r="AD214">
        <v>-1.1593009999999999</v>
      </c>
      <c r="AE214">
        <v>0.72930000000002304</v>
      </c>
      <c r="AF214">
        <v>-0.70375104134060196</v>
      </c>
      <c r="AG214">
        <v>-1.1593009999999999</v>
      </c>
      <c r="AH214">
        <v>15.370921839319999</v>
      </c>
      <c r="AI214">
        <v>94.308682247318899</v>
      </c>
      <c r="AJ214">
        <v>92.621431924524998</v>
      </c>
      <c r="AK214">
        <v>15.4306345471363</v>
      </c>
      <c r="AL214">
        <v>90.019444015666394</v>
      </c>
      <c r="AM214">
        <v>93.494533633568906</v>
      </c>
      <c r="AN214">
        <v>1.0000000392674699</v>
      </c>
    </row>
    <row r="215" spans="1:40" x14ac:dyDescent="0.3">
      <c r="A215" t="str">
        <f>"20200111160408701"</f>
        <v>20200111160408701</v>
      </c>
      <c r="B215" t="str">
        <f>"1578729848690799"</f>
        <v>1578729848690799</v>
      </c>
      <c r="C215" t="s">
        <v>40</v>
      </c>
      <c r="D215">
        <v>5.0939230000000002</v>
      </c>
      <c r="E215">
        <v>0.50850519999999999</v>
      </c>
      <c r="F215" t="s">
        <v>44</v>
      </c>
      <c r="G215">
        <v>-425.56479999999999</v>
      </c>
      <c r="H215">
        <v>-0.05</v>
      </c>
      <c r="I215">
        <v>367.94229999999999</v>
      </c>
      <c r="J215">
        <v>-440.43189999999998</v>
      </c>
      <c r="K215">
        <v>1.1090009999999999</v>
      </c>
      <c r="L215">
        <v>367.25729999999999</v>
      </c>
      <c r="M215">
        <v>0.99997930000000002</v>
      </c>
      <c r="N215">
        <v>0</v>
      </c>
      <c r="O215">
        <v>1.4035989999999999E-3</v>
      </c>
      <c r="P215">
        <v>0.99805999999999995</v>
      </c>
      <c r="Q215">
        <v>-6.2063839999999997E-3</v>
      </c>
      <c r="R215">
        <v>6.1950829999999998E-2</v>
      </c>
      <c r="S215">
        <v>2.9958800000000001</v>
      </c>
      <c r="T215">
        <v>-0.2295365</v>
      </c>
      <c r="U215">
        <v>0.13571169999999999</v>
      </c>
      <c r="V215">
        <v>-6.0549699999999998E-2</v>
      </c>
      <c r="W215" s="1">
        <v>9.1918510000000005E-5</v>
      </c>
      <c r="X215">
        <v>0.99816519999999997</v>
      </c>
      <c r="Y215">
        <v>-4.3727009999999997E-2</v>
      </c>
      <c r="Z215">
        <v>1.5644910000000001E-3</v>
      </c>
      <c r="AA215">
        <v>0.99904230000000005</v>
      </c>
      <c r="AB215">
        <v>28</v>
      </c>
      <c r="AC215">
        <v>14.867099999999899</v>
      </c>
      <c r="AD215">
        <v>-1.1590009999999999</v>
      </c>
      <c r="AE215">
        <v>0.68500000000000205</v>
      </c>
      <c r="AF215">
        <v>-0.66012812827522704</v>
      </c>
      <c r="AG215">
        <v>-1.1590009999999999</v>
      </c>
      <c r="AH215">
        <v>14.778423274400399</v>
      </c>
      <c r="AI215">
        <v>94.479806517195698</v>
      </c>
      <c r="AJ215">
        <v>92.5576091397363</v>
      </c>
      <c r="AK215">
        <v>14.838492070998401</v>
      </c>
      <c r="AL215">
        <v>89.994733457418704</v>
      </c>
      <c r="AM215">
        <v>93.4713655699871</v>
      </c>
      <c r="AN215">
        <v>1.0000000205550701</v>
      </c>
    </row>
    <row r="216" spans="1:40" x14ac:dyDescent="0.3">
      <c r="A216" t="str">
        <f>"20200111160408723"</f>
        <v>20200111160408723</v>
      </c>
      <c r="B216" t="str">
        <f>"1578729848721056"</f>
        <v>1578729848721056</v>
      </c>
      <c r="C216" t="s">
        <v>40</v>
      </c>
      <c r="D216">
        <v>5.0487070000000003</v>
      </c>
      <c r="E216">
        <v>0.50864069999999995</v>
      </c>
      <c r="F216" t="s">
        <v>44</v>
      </c>
      <c r="G216">
        <v>-425.62639999999999</v>
      </c>
      <c r="H216">
        <v>-0.05</v>
      </c>
      <c r="I216">
        <v>367.91460000000001</v>
      </c>
      <c r="J216">
        <v>-440.15170000000001</v>
      </c>
      <c r="K216">
        <v>1.108552</v>
      </c>
      <c r="L216">
        <v>367.2577</v>
      </c>
      <c r="M216">
        <v>0.99997800000000003</v>
      </c>
      <c r="N216">
        <v>0</v>
      </c>
      <c r="O216">
        <v>1.410452E-3</v>
      </c>
      <c r="P216">
        <v>0.99809740000000002</v>
      </c>
      <c r="Q216">
        <v>-4.608918E-3</v>
      </c>
      <c r="R216">
        <v>6.1486249999999999E-2</v>
      </c>
      <c r="S216">
        <v>2.9960939999999998</v>
      </c>
      <c r="T216">
        <v>-0.23453930000000001</v>
      </c>
      <c r="U216">
        <v>0.13299559999999999</v>
      </c>
      <c r="V216">
        <v>-6.0078390000000002E-2</v>
      </c>
      <c r="W216">
        <v>1.8566279999999999E-3</v>
      </c>
      <c r="X216">
        <v>0.99819199999999997</v>
      </c>
      <c r="Y216">
        <v>-4.281045E-2</v>
      </c>
      <c r="Z216">
        <v>1.5620670000000001E-3</v>
      </c>
      <c r="AA216">
        <v>0.99908200000000003</v>
      </c>
      <c r="AB216">
        <v>28</v>
      </c>
      <c r="AC216">
        <v>14.5253</v>
      </c>
      <c r="AD216">
        <v>-1.158552</v>
      </c>
      <c r="AE216">
        <v>0.65690000000000703</v>
      </c>
      <c r="AF216">
        <v>-0.63239670043750795</v>
      </c>
      <c r="AG216">
        <v>-1.158552</v>
      </c>
      <c r="AH216">
        <v>14.434569509872</v>
      </c>
      <c r="AI216">
        <v>94.584476150973401</v>
      </c>
      <c r="AJ216">
        <v>92.508596181653004</v>
      </c>
      <c r="AK216">
        <v>14.4947909698193</v>
      </c>
      <c r="AL216">
        <v>89.893622997214095</v>
      </c>
      <c r="AM216">
        <v>93.444318022089504</v>
      </c>
      <c r="AN216">
        <v>1.0000000644382501</v>
      </c>
    </row>
    <row r="217" spans="1:40" x14ac:dyDescent="0.3">
      <c r="A217" t="str">
        <f>"20200111160408747"</f>
        <v>20200111160408747</v>
      </c>
      <c r="B217" t="str">
        <f>"1578729848740576"</f>
        <v>1578729848740576</v>
      </c>
      <c r="C217" t="s">
        <v>40</v>
      </c>
      <c r="D217">
        <v>5.0722079999999998</v>
      </c>
      <c r="E217">
        <v>0.50876650000000001</v>
      </c>
      <c r="F217" t="s">
        <v>44</v>
      </c>
      <c r="G217">
        <v>-425.62630000000001</v>
      </c>
      <c r="H217">
        <v>-0.05</v>
      </c>
      <c r="I217">
        <v>367.89100000000002</v>
      </c>
      <c r="J217">
        <v>-439.85930000000002</v>
      </c>
      <c r="K217">
        <v>1.107866</v>
      </c>
      <c r="L217">
        <v>367.25810000000001</v>
      </c>
      <c r="M217">
        <v>0.99997389999999997</v>
      </c>
      <c r="N217">
        <v>0</v>
      </c>
      <c r="O217">
        <v>1.4176550000000001E-3</v>
      </c>
      <c r="P217">
        <v>0.99816859999999996</v>
      </c>
      <c r="Q217">
        <v>-3.4431779999999999E-3</v>
      </c>
      <c r="R217">
        <v>6.0394990000000003E-2</v>
      </c>
      <c r="S217">
        <v>2.996613</v>
      </c>
      <c r="T217">
        <v>-0.23901140000000001</v>
      </c>
      <c r="U217">
        <v>0.13064580000000001</v>
      </c>
      <c r="V217">
        <v>-5.8979499999999997E-2</v>
      </c>
      <c r="W217">
        <v>3.636177E-3</v>
      </c>
      <c r="X217">
        <v>0.99825260000000005</v>
      </c>
      <c r="Y217">
        <v>-4.2011380000000001E-2</v>
      </c>
      <c r="Z217">
        <v>1.5591369999999999E-3</v>
      </c>
      <c r="AA217">
        <v>0.99911589999999995</v>
      </c>
      <c r="AB217">
        <v>28</v>
      </c>
      <c r="AC217">
        <v>14.233000000000001</v>
      </c>
      <c r="AD217">
        <v>-1.1578660000000001</v>
      </c>
      <c r="AE217">
        <v>0.63289999999994895</v>
      </c>
      <c r="AF217">
        <v>-0.60870096899348003</v>
      </c>
      <c r="AG217">
        <v>-1.1578660000000001</v>
      </c>
      <c r="AH217">
        <v>14.1404865471614</v>
      </c>
      <c r="AI217">
        <v>94.676797278756993</v>
      </c>
      <c r="AJ217">
        <v>92.464871231938105</v>
      </c>
      <c r="AK217">
        <v>14.200863717889201</v>
      </c>
      <c r="AL217">
        <v>89.791661951132696</v>
      </c>
      <c r="AM217">
        <v>93.381260965740594</v>
      </c>
      <c r="AN217">
        <v>1.00000002830509</v>
      </c>
    </row>
    <row r="218" spans="1:40" x14ac:dyDescent="0.3">
      <c r="A218" t="str">
        <f>"20200111160408760"</f>
        <v>20200111160408760</v>
      </c>
      <c r="B218" t="str">
        <f>"1578729848751313"</f>
        <v>1578729848751313</v>
      </c>
      <c r="C218" t="s">
        <v>40</v>
      </c>
      <c r="D218">
        <v>5.1015329999999999</v>
      </c>
      <c r="E218">
        <v>0.50879359999999996</v>
      </c>
      <c r="F218" t="s">
        <v>44</v>
      </c>
      <c r="G218">
        <v>-425.40309999999999</v>
      </c>
      <c r="H218">
        <v>-0.05</v>
      </c>
      <c r="I218">
        <v>367.8698</v>
      </c>
      <c r="J218">
        <v>-439.67599999999999</v>
      </c>
      <c r="K218">
        <v>1.107316</v>
      </c>
      <c r="L218">
        <v>367.25839999999999</v>
      </c>
      <c r="M218">
        <v>0.99996960000000001</v>
      </c>
      <c r="N218">
        <v>0</v>
      </c>
      <c r="O218">
        <v>1.4221310000000001E-3</v>
      </c>
      <c r="P218">
        <v>0.99821420000000005</v>
      </c>
      <c r="Q218">
        <v>-3.1871310000000002E-3</v>
      </c>
      <c r="R218">
        <v>5.9651139999999998E-2</v>
      </c>
      <c r="S218">
        <v>2.9970400000000001</v>
      </c>
      <c r="T218">
        <v>-0.24004780000000001</v>
      </c>
      <c r="U218">
        <v>0.12680050000000001</v>
      </c>
      <c r="V218">
        <v>-5.8231499999999999E-2</v>
      </c>
      <c r="W218">
        <v>4.4534700000000002E-3</v>
      </c>
      <c r="X218">
        <v>0.99829319999999999</v>
      </c>
      <c r="Y218">
        <v>-4.0724200000000002E-2</v>
      </c>
      <c r="Z218">
        <v>1.5138949999999999E-3</v>
      </c>
      <c r="AA218">
        <v>0.99916930000000004</v>
      </c>
      <c r="AB218">
        <v>29</v>
      </c>
      <c r="AC218">
        <v>14.2728999999999</v>
      </c>
      <c r="AD218">
        <v>-1.157316</v>
      </c>
      <c r="AE218">
        <v>0.61140000000000305</v>
      </c>
      <c r="AF218">
        <v>-0.58724691972346998</v>
      </c>
      <c r="AG218">
        <v>-1.157316</v>
      </c>
      <c r="AH218">
        <v>14.1806913022589</v>
      </c>
      <c r="AI218">
        <v>94.661710663052702</v>
      </c>
      <c r="AJ218">
        <v>92.371362235981195</v>
      </c>
      <c r="AK218">
        <v>14.2399524254312</v>
      </c>
      <c r="AL218">
        <v>89.744834128248598</v>
      </c>
      <c r="AM218">
        <v>93.338340701782599</v>
      </c>
      <c r="AN218">
        <v>1.0000000270767599</v>
      </c>
    </row>
    <row r="219" spans="1:40" x14ac:dyDescent="0.3">
      <c r="A219" t="str">
        <f>"20200111160408780"</f>
        <v>20200111160408780</v>
      </c>
      <c r="B219" t="str">
        <f>"1578729848770831"</f>
        <v>1578729848770831</v>
      </c>
      <c r="C219" t="s">
        <v>40</v>
      </c>
      <c r="D219">
        <v>5.1453290000000003</v>
      </c>
      <c r="E219">
        <v>0.50890609999999903</v>
      </c>
      <c r="F219" t="s">
        <v>44</v>
      </c>
      <c r="G219">
        <v>-425.32260000000002</v>
      </c>
      <c r="H219">
        <v>-0.05</v>
      </c>
      <c r="I219">
        <v>367.85329999999999</v>
      </c>
      <c r="J219">
        <v>-439.42140000000001</v>
      </c>
      <c r="K219">
        <v>1.1064400000000001</v>
      </c>
      <c r="L219">
        <v>367.25869999999998</v>
      </c>
      <c r="M219">
        <v>0.99995979999999995</v>
      </c>
      <c r="N219">
        <v>0</v>
      </c>
      <c r="O219">
        <v>1.4290679999999999E-3</v>
      </c>
      <c r="P219">
        <v>0.99830479999999999</v>
      </c>
      <c r="Q219">
        <v>-2.9743130000000001E-3</v>
      </c>
      <c r="R219">
        <v>5.812879E-2</v>
      </c>
      <c r="S219">
        <v>2.9971920000000001</v>
      </c>
      <c r="T219">
        <v>-0.24166409999999999</v>
      </c>
      <c r="U219">
        <v>0.1242371</v>
      </c>
      <c r="V219">
        <v>-5.670203E-2</v>
      </c>
      <c r="W219">
        <v>5.8806249999999996E-3</v>
      </c>
      <c r="X219">
        <v>0.99837379999999998</v>
      </c>
      <c r="Y219">
        <v>-3.9863120000000002E-2</v>
      </c>
      <c r="Z219">
        <v>1.488802E-3</v>
      </c>
      <c r="AA219">
        <v>0.99920399999999998</v>
      </c>
      <c r="AB219">
        <v>29</v>
      </c>
      <c r="AC219">
        <v>14.098799999999899</v>
      </c>
      <c r="AD219">
        <v>-1.1564399999999999</v>
      </c>
      <c r="AE219">
        <v>0.59460000000001401</v>
      </c>
      <c r="AF219">
        <v>-0.57061819244961698</v>
      </c>
      <c r="AG219">
        <v>-1.1564399999999999</v>
      </c>
      <c r="AH219">
        <v>14.005574041146099</v>
      </c>
      <c r="AI219">
        <v>94.716308720465094</v>
      </c>
      <c r="AJ219">
        <v>92.333066972536201</v>
      </c>
      <c r="AK219">
        <v>14.064816487149001</v>
      </c>
      <c r="AL219">
        <v>89.6630630555876</v>
      </c>
      <c r="AM219">
        <v>93.250586759248307</v>
      </c>
      <c r="AN219">
        <v>0.99999997324147505</v>
      </c>
    </row>
    <row r="220" spans="1:40" x14ac:dyDescent="0.3">
      <c r="A220" t="str">
        <f>"20200111160408802"</f>
        <v>20200111160408802</v>
      </c>
      <c r="B220" t="str">
        <f>"1578729848791328"</f>
        <v>1578729848791328</v>
      </c>
      <c r="C220" t="s">
        <v>40</v>
      </c>
      <c r="D220">
        <v>5.1319809999999997</v>
      </c>
      <c r="E220">
        <v>0.50920849999999995</v>
      </c>
      <c r="F220" t="s">
        <v>44</v>
      </c>
      <c r="G220">
        <v>-425.29500000000002</v>
      </c>
      <c r="H220">
        <v>-0.05</v>
      </c>
      <c r="I220">
        <v>367.82119999999998</v>
      </c>
      <c r="J220">
        <v>-439.14949999999999</v>
      </c>
      <c r="K220">
        <v>1.1053759999999999</v>
      </c>
      <c r="L220">
        <v>367.25909999999999</v>
      </c>
      <c r="M220">
        <v>0.99994249999999996</v>
      </c>
      <c r="N220">
        <v>0</v>
      </c>
      <c r="O220">
        <v>1.437235E-3</v>
      </c>
      <c r="P220">
        <v>0.99843170000000003</v>
      </c>
      <c r="Q220">
        <v>-2.93085E-3</v>
      </c>
      <c r="R220">
        <v>5.5908739999999998E-2</v>
      </c>
      <c r="S220">
        <v>2.9973749999999999</v>
      </c>
      <c r="T220">
        <v>-0.2453777</v>
      </c>
      <c r="U220">
        <v>0.11935419999999999</v>
      </c>
      <c r="V220">
        <v>-5.4473720000000003E-2</v>
      </c>
      <c r="W220">
        <v>7.6887489999999999E-3</v>
      </c>
      <c r="X220">
        <v>0.99848559999999997</v>
      </c>
      <c r="Y220">
        <v>-3.8228959999999999E-2</v>
      </c>
      <c r="Z220">
        <v>1.4441409999999999E-3</v>
      </c>
      <c r="AA220">
        <v>0.99926789999999999</v>
      </c>
      <c r="AB220">
        <v>29</v>
      </c>
      <c r="AC220">
        <v>13.8544999999999</v>
      </c>
      <c r="AD220">
        <v>-1.155376</v>
      </c>
      <c r="AE220">
        <v>0.56209999999998606</v>
      </c>
      <c r="AF220">
        <v>-0.53844765031206399</v>
      </c>
      <c r="AG220">
        <v>-1.155376</v>
      </c>
      <c r="AH220">
        <v>13.7597588251761</v>
      </c>
      <c r="AI220">
        <v>94.796084930181195</v>
      </c>
      <c r="AJ220">
        <v>92.240958235376795</v>
      </c>
      <c r="AK220">
        <v>13.818675135501</v>
      </c>
      <c r="AL220">
        <v>89.559462791178007</v>
      </c>
      <c r="AM220">
        <v>93.122752309186694</v>
      </c>
      <c r="AN220">
        <v>0.99999999821959096</v>
      </c>
    </row>
    <row r="221" spans="1:40" x14ac:dyDescent="0.3">
      <c r="A221" t="str">
        <f>"20200111160408825"</f>
        <v>20200111160408825</v>
      </c>
      <c r="B221" t="str">
        <f>"1578729848820608"</f>
        <v>1578729848820608</v>
      </c>
      <c r="C221" t="s">
        <v>40</v>
      </c>
      <c r="D221">
        <v>5.1460460000000001</v>
      </c>
      <c r="E221">
        <v>0.50945200000000002</v>
      </c>
      <c r="F221" t="s">
        <v>44</v>
      </c>
      <c r="G221">
        <v>-425.09100000000001</v>
      </c>
      <c r="H221">
        <v>-0.05</v>
      </c>
      <c r="I221">
        <v>367.77620000000002</v>
      </c>
      <c r="J221">
        <v>-438.85879999999997</v>
      </c>
      <c r="K221">
        <v>1.10407099999999</v>
      </c>
      <c r="L221">
        <v>367.2595</v>
      </c>
      <c r="M221">
        <v>0.99991770000000002</v>
      </c>
      <c r="N221">
        <v>0</v>
      </c>
      <c r="O221">
        <v>1.445352E-3</v>
      </c>
      <c r="P221">
        <v>0.99857530000000005</v>
      </c>
      <c r="Q221">
        <v>-3.441244E-3</v>
      </c>
      <c r="R221">
        <v>5.3251340000000001E-2</v>
      </c>
      <c r="S221">
        <v>2.9977719999999999</v>
      </c>
      <c r="T221">
        <v>-0.24636749999999999</v>
      </c>
      <c r="U221">
        <v>0.11026</v>
      </c>
      <c r="V221">
        <v>-5.1807539999999999E-2</v>
      </c>
      <c r="W221">
        <v>9.2980149999999998E-3</v>
      </c>
      <c r="X221">
        <v>0.9986138</v>
      </c>
      <c r="Y221">
        <v>-3.5197630000000001E-2</v>
      </c>
      <c r="Z221">
        <v>1.32486E-3</v>
      </c>
      <c r="AA221">
        <v>0.99937949999999998</v>
      </c>
      <c r="AB221">
        <v>29</v>
      </c>
      <c r="AC221">
        <v>13.7677999999999</v>
      </c>
      <c r="AD221">
        <v>-1.1540709999999901</v>
      </c>
      <c r="AE221">
        <v>0.51670000000001404</v>
      </c>
      <c r="AF221">
        <v>-0.49333699364135403</v>
      </c>
      <c r="AG221">
        <v>-1.1540709999999901</v>
      </c>
      <c r="AH221">
        <v>13.6725977877191</v>
      </c>
      <c r="AI221">
        <v>94.8216391302944</v>
      </c>
      <c r="AJ221">
        <v>92.066459560335105</v>
      </c>
      <c r="AK221">
        <v>13.730083449385001</v>
      </c>
      <c r="AL221">
        <v>89.467255305116097</v>
      </c>
      <c r="AM221">
        <v>92.969811347946006</v>
      </c>
      <c r="AN221">
        <v>0.99999999791711502</v>
      </c>
    </row>
    <row r="222" spans="1:40" x14ac:dyDescent="0.3">
      <c r="A222" t="str">
        <f>"20200111160408848"</f>
        <v>20200111160408848</v>
      </c>
      <c r="B222" t="str">
        <f>"1578729848841104"</f>
        <v>1578729848841104</v>
      </c>
      <c r="C222" t="s">
        <v>40</v>
      </c>
      <c r="D222">
        <v>5.0510619999999999</v>
      </c>
      <c r="E222">
        <v>0.5096657</v>
      </c>
      <c r="F222" t="s">
        <v>44</v>
      </c>
      <c r="G222">
        <v>-424.77330000000001</v>
      </c>
      <c r="H222">
        <v>-0.05</v>
      </c>
      <c r="I222">
        <v>367.73160000000001</v>
      </c>
      <c r="J222">
        <v>-438.55739999999997</v>
      </c>
      <c r="K222">
        <v>1.102514</v>
      </c>
      <c r="L222">
        <v>367.25990000000002</v>
      </c>
      <c r="M222">
        <v>0.99988999999999995</v>
      </c>
      <c r="N222">
        <v>0</v>
      </c>
      <c r="O222">
        <v>1.4525110000000001E-3</v>
      </c>
      <c r="P222">
        <v>0.99867669999999997</v>
      </c>
      <c r="Q222">
        <v>-5.1889680000000004E-3</v>
      </c>
      <c r="R222">
        <v>5.1171849999999998E-2</v>
      </c>
      <c r="S222">
        <v>2.9980769999999999</v>
      </c>
      <c r="T222">
        <v>-0.24564150000000001</v>
      </c>
      <c r="U222">
        <v>0.1004944</v>
      </c>
      <c r="V222">
        <v>-4.9720689999999998E-2</v>
      </c>
      <c r="W222">
        <v>9.5607409999999993E-3</v>
      </c>
      <c r="X222">
        <v>0.99871739999999998</v>
      </c>
      <c r="Y222">
        <v>-3.1946839999999997E-2</v>
      </c>
      <c r="Z222">
        <v>1.1874069999999999E-3</v>
      </c>
      <c r="AA222">
        <v>0.99948890000000001</v>
      </c>
      <c r="AB222">
        <v>28</v>
      </c>
      <c r="AC222">
        <v>13.784099999999899</v>
      </c>
      <c r="AD222">
        <v>-1.152514</v>
      </c>
      <c r="AE222">
        <v>0.47169999999999801</v>
      </c>
      <c r="AF222">
        <v>-0.44854368962410701</v>
      </c>
      <c r="AG222">
        <v>-1.152514</v>
      </c>
      <c r="AH222">
        <v>13.6891823630431</v>
      </c>
      <c r="AI222">
        <v>94.809904225753002</v>
      </c>
      <c r="AJ222">
        <v>91.876698569425898</v>
      </c>
      <c r="AK222">
        <v>13.744933383990899</v>
      </c>
      <c r="AL222">
        <v>89.452201545918001</v>
      </c>
      <c r="AM222">
        <v>92.850091139662396</v>
      </c>
      <c r="AN222">
        <v>0.99999999992265198</v>
      </c>
    </row>
    <row r="223" spans="1:40" x14ac:dyDescent="0.3">
      <c r="A223" t="str">
        <f>"20200111160408871"</f>
        <v>20200111160408871</v>
      </c>
      <c r="B223" t="str">
        <f>"1578729848860623"</f>
        <v>1578729848860623</v>
      </c>
      <c r="C223" t="s">
        <v>40</v>
      </c>
      <c r="D223">
        <v>5.0660879999999997</v>
      </c>
      <c r="E223">
        <v>0.51001700000000005</v>
      </c>
      <c r="F223" t="s">
        <v>44</v>
      </c>
      <c r="G223">
        <v>-424.6515</v>
      </c>
      <c r="H223">
        <v>-0.05</v>
      </c>
      <c r="I223">
        <v>367.68810000000002</v>
      </c>
      <c r="J223">
        <v>-438.26690000000002</v>
      </c>
      <c r="K223">
        <v>1.1008039999999999</v>
      </c>
      <c r="L223">
        <v>367.2604</v>
      </c>
      <c r="M223">
        <v>0.99986980000000003</v>
      </c>
      <c r="N223">
        <v>0</v>
      </c>
      <c r="O223">
        <v>1.459791E-3</v>
      </c>
      <c r="P223">
        <v>0.99874940000000001</v>
      </c>
      <c r="Q223">
        <v>-6.6308419999999996E-3</v>
      </c>
      <c r="R223">
        <v>4.9554929999999997E-2</v>
      </c>
      <c r="S223">
        <v>2.997925</v>
      </c>
      <c r="T223">
        <v>-0.2484661</v>
      </c>
      <c r="U223">
        <v>9.2315670000000002E-2</v>
      </c>
      <c r="V223">
        <v>-4.8096760000000002E-2</v>
      </c>
      <c r="W223">
        <v>9.4281859999999999E-3</v>
      </c>
      <c r="X223">
        <v>0.99879819999999997</v>
      </c>
      <c r="Y223">
        <v>-2.9224179999999999E-2</v>
      </c>
      <c r="Z223">
        <v>1.0879170000000001E-3</v>
      </c>
      <c r="AA223">
        <v>0.99957229999999997</v>
      </c>
      <c r="AB223">
        <v>28</v>
      </c>
      <c r="AC223">
        <v>13.615399999999999</v>
      </c>
      <c r="AD223">
        <v>-1.1508039999999999</v>
      </c>
      <c r="AE223">
        <v>0.42770000000001501</v>
      </c>
      <c r="AF223">
        <v>-0.40493135783562101</v>
      </c>
      <c r="AG223">
        <v>-1.1508039999999999</v>
      </c>
      <c r="AH223">
        <v>13.5195215679306</v>
      </c>
      <c r="AI223">
        <v>94.863212518698404</v>
      </c>
      <c r="AJ223">
        <v>91.715587611067605</v>
      </c>
      <c r="AK223">
        <v>13.5744533104178</v>
      </c>
      <c r="AL223">
        <v>89.459796739365004</v>
      </c>
      <c r="AM223">
        <v>92.756927523086503</v>
      </c>
      <c r="AN223">
        <v>1.0000000166684899</v>
      </c>
    </row>
    <row r="224" spans="1:40" x14ac:dyDescent="0.3">
      <c r="A224" t="str">
        <f>"20200111160408893"</f>
        <v>20200111160408893</v>
      </c>
      <c r="B224" t="str">
        <f>"1578729848890880"</f>
        <v>1578729848890880</v>
      </c>
      <c r="C224" t="s">
        <v>40</v>
      </c>
      <c r="D224">
        <v>5.2235339999999999</v>
      </c>
      <c r="E224">
        <v>0.50167879999999998</v>
      </c>
      <c r="F224" t="s">
        <v>44</v>
      </c>
      <c r="G224">
        <v>-424.52969999999999</v>
      </c>
      <c r="H224">
        <v>-0.05</v>
      </c>
      <c r="I224">
        <v>367.64859999999999</v>
      </c>
      <c r="J224">
        <v>-437.97480000000002</v>
      </c>
      <c r="K224">
        <v>1.0989260000000001</v>
      </c>
      <c r="L224">
        <v>367.26080000000002</v>
      </c>
      <c r="M224">
        <v>0.99985329999999994</v>
      </c>
      <c r="N224">
        <v>0</v>
      </c>
      <c r="O224">
        <v>1.466686E-3</v>
      </c>
      <c r="P224">
        <v>0.99878500000000003</v>
      </c>
      <c r="Q224">
        <v>-8.0581230000000004E-3</v>
      </c>
      <c r="R224">
        <v>4.8616340000000001E-2</v>
      </c>
      <c r="S224">
        <v>2.9978940000000001</v>
      </c>
      <c r="T224">
        <v>-0.25114360000000002</v>
      </c>
      <c r="U224">
        <v>8.4716799999999995E-2</v>
      </c>
      <c r="V224">
        <v>-4.7151060000000002E-2</v>
      </c>
      <c r="W224">
        <v>8.9918989999999994E-3</v>
      </c>
      <c r="X224">
        <v>0.99884729999999999</v>
      </c>
      <c r="Y224">
        <v>-2.6692850000000001E-2</v>
      </c>
      <c r="Z224">
        <v>9.9325109999999993E-4</v>
      </c>
      <c r="AA224">
        <v>0.99964319999999895</v>
      </c>
      <c r="AB224">
        <v>29</v>
      </c>
      <c r="AC224">
        <v>13.4451</v>
      </c>
      <c r="AD224">
        <v>-1.1489259999999999</v>
      </c>
      <c r="AE224">
        <v>0.38779999999997</v>
      </c>
      <c r="AF224">
        <v>-0.36541087124334898</v>
      </c>
      <c r="AG224">
        <v>-1.1489259999999999</v>
      </c>
      <c r="AH224">
        <v>13.3482632130164</v>
      </c>
      <c r="AI224">
        <v>94.917665489547204</v>
      </c>
      <c r="AJ224">
        <v>91.5680896302609</v>
      </c>
      <c r="AK224">
        <v>13.4026000038152</v>
      </c>
      <c r="AL224">
        <v>89.484795195980794</v>
      </c>
      <c r="AM224">
        <v>92.702668104385907</v>
      </c>
      <c r="AN224">
        <v>1.0000000027120099</v>
      </c>
    </row>
    <row r="225" spans="1:40" x14ac:dyDescent="0.3">
      <c r="A225" t="str">
        <f>"20200111160408915"</f>
        <v>20200111160408915</v>
      </c>
      <c r="B225" t="str">
        <f>"1578729848911376"</f>
        <v>1578729848911376</v>
      </c>
      <c r="C225" t="s">
        <v>40</v>
      </c>
      <c r="D225">
        <v>5.1559160000000004</v>
      </c>
      <c r="E225">
        <v>0.50375820000000004</v>
      </c>
      <c r="F225" t="s">
        <v>43</v>
      </c>
      <c r="G225">
        <v>-158.19499999999999</v>
      </c>
      <c r="H225">
        <v>16.46688</v>
      </c>
      <c r="I225">
        <v>378.38630000000001</v>
      </c>
      <c r="J225">
        <v>-437.6936</v>
      </c>
      <c r="K225">
        <v>1.0969979999999999</v>
      </c>
      <c r="L225">
        <v>367.26119999999997</v>
      </c>
      <c r="M225">
        <v>0.99983889999999997</v>
      </c>
      <c r="N225">
        <v>0</v>
      </c>
      <c r="O225">
        <v>1.4738069999999999E-3</v>
      </c>
      <c r="P225">
        <v>0.99876640000000005</v>
      </c>
      <c r="Q225">
        <v>-9.8435950000000001E-3</v>
      </c>
      <c r="R225">
        <v>4.867262E-2</v>
      </c>
      <c r="S225">
        <v>2.9991759999999998</v>
      </c>
      <c r="T225">
        <v>0.1647419</v>
      </c>
      <c r="U225">
        <v>0.1192627</v>
      </c>
      <c r="V225">
        <v>-4.7200520000000003E-2</v>
      </c>
      <c r="W225">
        <v>8.0244340000000004E-3</v>
      </c>
      <c r="X225">
        <v>0.9988532</v>
      </c>
      <c r="Y225">
        <v>-3.8205549999999998E-2</v>
      </c>
      <c r="Z225">
        <v>-9.6721939999999998E-4</v>
      </c>
      <c r="AA225">
        <v>0.99926939999999997</v>
      </c>
      <c r="AB225">
        <v>29</v>
      </c>
      <c r="AC225">
        <v>279.49860000000001</v>
      </c>
      <c r="AD225">
        <v>15.369882</v>
      </c>
      <c r="AE225">
        <v>11.1251</v>
      </c>
      <c r="AF225">
        <v>-10.6808472050523</v>
      </c>
      <c r="AG225">
        <v>15.369882</v>
      </c>
      <c r="AH225">
        <v>278.67332011962498</v>
      </c>
      <c r="AI225">
        <v>86.845432115622998</v>
      </c>
      <c r="AJ225">
        <v>92.194928710054995</v>
      </c>
      <c r="AK225">
        <v>279.30115129767501</v>
      </c>
      <c r="AL225">
        <v>89.540228863529705</v>
      </c>
      <c r="AM225">
        <v>92.705482952299803</v>
      </c>
      <c r="AN225">
        <v>0.99999999788976501</v>
      </c>
    </row>
    <row r="226" spans="1:40" x14ac:dyDescent="0.3">
      <c r="A226" t="str">
        <f>"20200111160408937"</f>
        <v>20200111160408937</v>
      </c>
      <c r="B226" t="str">
        <f>"1578729848930896"</f>
        <v>1578729848930896</v>
      </c>
      <c r="C226" t="s">
        <v>40</v>
      </c>
      <c r="D226">
        <v>5.0485519999999999</v>
      </c>
      <c r="E226">
        <v>0.5060656</v>
      </c>
      <c r="F226" t="s">
        <v>44</v>
      </c>
      <c r="G226">
        <v>-426.28960000000001</v>
      </c>
      <c r="H226">
        <v>-0.05</v>
      </c>
      <c r="I226">
        <v>367.77620000000002</v>
      </c>
      <c r="J226">
        <v>-437.40300000000002</v>
      </c>
      <c r="K226">
        <v>1.0948260000000001</v>
      </c>
      <c r="L226">
        <v>367.26170000000002</v>
      </c>
      <c r="M226">
        <v>0.99982800000000005</v>
      </c>
      <c r="N226">
        <v>0</v>
      </c>
      <c r="O226">
        <v>1.480915E-3</v>
      </c>
      <c r="P226">
        <v>0.99870639999999999</v>
      </c>
      <c r="Q226">
        <v>-1.150055E-2</v>
      </c>
      <c r="R226">
        <v>4.9530980000000002E-2</v>
      </c>
      <c r="S226">
        <v>2.9941409999999999</v>
      </c>
      <c r="T226">
        <v>-0.30114629999999998</v>
      </c>
      <c r="U226">
        <v>0.13522339999999999</v>
      </c>
      <c r="V226">
        <v>-4.8051539999999997E-2</v>
      </c>
      <c r="W226">
        <v>6.9720819999999897E-3</v>
      </c>
      <c r="X226">
        <v>0.9988205</v>
      </c>
      <c r="Y226">
        <v>-4.3425789999999999E-2</v>
      </c>
      <c r="Z226">
        <v>2.028733E-3</v>
      </c>
      <c r="AA226">
        <v>0.99905460000000001</v>
      </c>
      <c r="AB226">
        <v>29</v>
      </c>
      <c r="AC226">
        <v>11.1134</v>
      </c>
      <c r="AD226">
        <v>-1.1448259999999999</v>
      </c>
      <c r="AE226">
        <v>0.51449999999999796</v>
      </c>
      <c r="AF226">
        <v>-0.49282014537427399</v>
      </c>
      <c r="AG226">
        <v>-1.1448259999999999</v>
      </c>
      <c r="AH226">
        <v>10.9976951919079</v>
      </c>
      <c r="AI226">
        <v>95.936993450807805</v>
      </c>
      <c r="AJ226">
        <v>92.565777334869495</v>
      </c>
      <c r="AK226">
        <v>11.068098201591701</v>
      </c>
      <c r="AL226">
        <v>89.600525880876404</v>
      </c>
      <c r="AM226">
        <v>92.754278086495503</v>
      </c>
      <c r="AN226">
        <v>0.99999997582201705</v>
      </c>
    </row>
    <row r="227" spans="1:40" x14ac:dyDescent="0.3">
      <c r="A227" t="str">
        <f>"20200111160408959"</f>
        <v>20200111160408959</v>
      </c>
      <c r="B227" t="str">
        <f>"1578729848951392"</f>
        <v>1578729848951392</v>
      </c>
      <c r="C227" t="s">
        <v>40</v>
      </c>
      <c r="D227">
        <v>5.0114999999999998</v>
      </c>
      <c r="E227">
        <v>0.50861599999999996</v>
      </c>
      <c r="F227" t="s">
        <v>44</v>
      </c>
      <c r="G227">
        <v>-425.63440000000003</v>
      </c>
      <c r="H227">
        <v>-0.05</v>
      </c>
      <c r="I227">
        <v>367.72719999999998</v>
      </c>
      <c r="J227">
        <v>-437.11759999999998</v>
      </c>
      <c r="K227">
        <v>1.0925039999999999</v>
      </c>
      <c r="L227">
        <v>367.26209999999998</v>
      </c>
      <c r="M227">
        <v>0.99982340000000003</v>
      </c>
      <c r="N227">
        <v>0</v>
      </c>
      <c r="O227">
        <v>1.4875929999999999E-3</v>
      </c>
      <c r="P227">
        <v>0.99866949999999999</v>
      </c>
      <c r="Q227">
        <v>-1.2117050000000001E-2</v>
      </c>
      <c r="R227">
        <v>5.0123380000000002E-2</v>
      </c>
      <c r="S227">
        <v>2.994659</v>
      </c>
      <c r="T227">
        <v>-0.29131560000000001</v>
      </c>
      <c r="U227">
        <v>0.1184692</v>
      </c>
      <c r="V227">
        <v>-4.8637470000000002E-2</v>
      </c>
      <c r="W227">
        <v>6.5968199999999998E-3</v>
      </c>
      <c r="X227">
        <v>0.99879470000000004</v>
      </c>
      <c r="Y227">
        <v>-3.7871050000000003E-2</v>
      </c>
      <c r="Z227">
        <v>1.6926279999999901E-3</v>
      </c>
      <c r="AA227">
        <v>0.99928119999999998</v>
      </c>
      <c r="AB227">
        <v>29</v>
      </c>
      <c r="AC227">
        <v>11.483199999999901</v>
      </c>
      <c r="AD227">
        <v>-1.142504</v>
      </c>
      <c r="AE227">
        <v>0.46510000000000601</v>
      </c>
      <c r="AF227">
        <v>-0.44362987644352198</v>
      </c>
      <c r="AG227">
        <v>-1.142504</v>
      </c>
      <c r="AH227">
        <v>11.371497640391</v>
      </c>
      <c r="AI227">
        <v>95.732970369462805</v>
      </c>
      <c r="AJ227">
        <v>92.234115236430199</v>
      </c>
      <c r="AK227">
        <v>11.437354652309599</v>
      </c>
      <c r="AL227">
        <v>89.622027309458005</v>
      </c>
      <c r="AM227">
        <v>92.787882387618893</v>
      </c>
      <c r="AN227">
        <v>0.99999998713510097</v>
      </c>
    </row>
    <row r="228" spans="1:40" x14ac:dyDescent="0.3">
      <c r="A228" t="str">
        <f>"20200111160409004"</f>
        <v>20200111160409004</v>
      </c>
      <c r="B228" t="str">
        <f>"1578729849001168"</f>
        <v>1578729849001168</v>
      </c>
      <c r="C228" t="s">
        <v>40</v>
      </c>
      <c r="D228">
        <v>4.9194329999999997</v>
      </c>
      <c r="E228">
        <v>0.51047580000000004</v>
      </c>
      <c r="F228" t="s">
        <v>44</v>
      </c>
      <c r="G228">
        <v>-424.94569999999999</v>
      </c>
      <c r="H228">
        <v>-0.05</v>
      </c>
      <c r="I228">
        <v>367.66489999999999</v>
      </c>
      <c r="J228">
        <v>-436.54430000000002</v>
      </c>
      <c r="K228">
        <v>1.087394</v>
      </c>
      <c r="L228">
        <v>367.26299999999998</v>
      </c>
      <c r="M228">
        <v>0.99982959999999999</v>
      </c>
      <c r="N228">
        <v>0</v>
      </c>
      <c r="O228">
        <v>1.5033049999999999E-3</v>
      </c>
      <c r="P228">
        <v>0.9985946</v>
      </c>
      <c r="Q228">
        <v>-1.257081E-2</v>
      </c>
      <c r="R228">
        <v>5.1487119999999997E-2</v>
      </c>
      <c r="S228">
        <v>2.9955750000000001</v>
      </c>
      <c r="T228">
        <v>-0.28117730000000002</v>
      </c>
      <c r="U228">
        <v>9.9121089999999995E-2</v>
      </c>
      <c r="V228">
        <v>-4.998549E-2</v>
      </c>
      <c r="W228">
        <v>5.8105300000000004E-3</v>
      </c>
      <c r="X228">
        <v>0.99873299999999998</v>
      </c>
      <c r="Y228">
        <v>-3.1436869999999999E-2</v>
      </c>
      <c r="Z228">
        <v>1.330981E-3</v>
      </c>
      <c r="AA228">
        <v>0.99950490000000003</v>
      </c>
      <c r="AB228">
        <v>29</v>
      </c>
      <c r="AC228">
        <v>11.598599999999999</v>
      </c>
      <c r="AD228">
        <v>-1.137394</v>
      </c>
      <c r="AE228">
        <v>0.40189999999995502</v>
      </c>
      <c r="AF228">
        <v>-0.38080281488768603</v>
      </c>
      <c r="AG228">
        <v>-1.137394</v>
      </c>
      <c r="AH228">
        <v>11.4888428114314</v>
      </c>
      <c r="AI228">
        <v>95.650768867334193</v>
      </c>
      <c r="AJ228">
        <v>91.898399142100502</v>
      </c>
      <c r="AK228">
        <v>11.551284995222</v>
      </c>
      <c r="AL228">
        <v>89.667079267032094</v>
      </c>
      <c r="AM228">
        <v>92.865200107919307</v>
      </c>
      <c r="AN228">
        <v>0.99999995837920896</v>
      </c>
    </row>
    <row r="229" spans="1:40" x14ac:dyDescent="0.3">
      <c r="A229" t="str">
        <f>"20200111160409027"</f>
        <v>20200111160409027</v>
      </c>
      <c r="B229" t="str">
        <f>"1578729849020688"</f>
        <v>1578729849020688</v>
      </c>
      <c r="C229" t="s">
        <v>40</v>
      </c>
      <c r="D229">
        <v>4.871067</v>
      </c>
      <c r="E229">
        <v>0.5112873</v>
      </c>
      <c r="F229" t="s">
        <v>44</v>
      </c>
      <c r="G229">
        <v>-423.74189999999999</v>
      </c>
      <c r="H229">
        <v>-0.05</v>
      </c>
      <c r="I229">
        <v>367.63380000000001</v>
      </c>
      <c r="J229">
        <v>-436.24900000000002</v>
      </c>
      <c r="K229">
        <v>1.084662</v>
      </c>
      <c r="L229">
        <v>367.26339999999999</v>
      </c>
      <c r="M229">
        <v>0.99983580000000005</v>
      </c>
      <c r="N229">
        <v>0</v>
      </c>
      <c r="O229">
        <v>1.51093E-3</v>
      </c>
      <c r="P229">
        <v>0.99855830000000001</v>
      </c>
      <c r="Q229">
        <v>-1.2535040000000001E-2</v>
      </c>
      <c r="R229">
        <v>5.2196239999999998E-2</v>
      </c>
      <c r="S229">
        <v>2.9963989999999998</v>
      </c>
      <c r="T229">
        <v>-0.26620850000000001</v>
      </c>
      <c r="U229">
        <v>8.6791989999999999E-2</v>
      </c>
      <c r="V229">
        <v>-5.068657E-2</v>
      </c>
      <c r="W229">
        <v>5.5072669999999997E-3</v>
      </c>
      <c r="X229">
        <v>0.99869940000000001</v>
      </c>
      <c r="Y229">
        <v>-2.734106E-2</v>
      </c>
      <c r="Z229">
        <v>1.0779240000000001E-3</v>
      </c>
      <c r="AA229">
        <v>0.9996256</v>
      </c>
      <c r="AB229">
        <v>29</v>
      </c>
      <c r="AC229">
        <v>12.507099999999999</v>
      </c>
      <c r="AD229">
        <v>-1.1346620000000001</v>
      </c>
      <c r="AE229">
        <v>0.37040000000001699</v>
      </c>
      <c r="AF229">
        <v>-0.348632281569557</v>
      </c>
      <c r="AG229">
        <v>-1.1346620000000001</v>
      </c>
      <c r="AH229">
        <v>12.405631892093499</v>
      </c>
      <c r="AI229">
        <v>95.223878919978702</v>
      </c>
      <c r="AJ229">
        <v>91.609744867928995</v>
      </c>
      <c r="AK229">
        <v>12.4622913207854</v>
      </c>
      <c r="AL229">
        <v>89.684455241256401</v>
      </c>
      <c r="AM229">
        <v>92.905415662703405</v>
      </c>
      <c r="AN229">
        <v>0.99999997496426596</v>
      </c>
    </row>
    <row r="230" spans="1:40" x14ac:dyDescent="0.3">
      <c r="A230" t="str">
        <f>"20200111160409048"</f>
        <v>20200111160409048</v>
      </c>
      <c r="B230" t="str">
        <f>"1578729849041184"</f>
        <v>1578729849041184</v>
      </c>
      <c r="C230" t="s">
        <v>40</v>
      </c>
      <c r="D230">
        <v>4.858562</v>
      </c>
      <c r="E230">
        <v>0.51247749999999903</v>
      </c>
      <c r="F230" t="s">
        <v>44</v>
      </c>
      <c r="G230">
        <v>-416.25369999999998</v>
      </c>
      <c r="H230">
        <v>-0.05</v>
      </c>
      <c r="I230">
        <v>367.76609999999999</v>
      </c>
      <c r="J230">
        <v>-435.96080000000001</v>
      </c>
      <c r="K230">
        <v>1.0820160000000001</v>
      </c>
      <c r="L230">
        <v>367.26389999999998</v>
      </c>
      <c r="M230">
        <v>0.99984439999999997</v>
      </c>
      <c r="N230">
        <v>0</v>
      </c>
      <c r="O230">
        <v>1.517996E-3</v>
      </c>
      <c r="P230">
        <v>0.99852580000000002</v>
      </c>
      <c r="Q230">
        <v>-1.146551E-2</v>
      </c>
      <c r="R230">
        <v>5.3054099999999903E-2</v>
      </c>
      <c r="S230">
        <v>2.998291</v>
      </c>
      <c r="T230">
        <v>-0.17014290000000001</v>
      </c>
      <c r="U230">
        <v>7.5378420000000002E-2</v>
      </c>
      <c r="V230">
        <v>-5.1538340000000002E-2</v>
      </c>
      <c r="W230">
        <v>6.0870909999999898E-3</v>
      </c>
      <c r="X230">
        <v>0.99865250000000005</v>
      </c>
      <c r="Y230">
        <v>-2.3579269999999999E-2</v>
      </c>
      <c r="Z230">
        <v>5.8230779999999995E-4</v>
      </c>
      <c r="AA230">
        <v>0.99972179999999999</v>
      </c>
      <c r="AB230">
        <v>29</v>
      </c>
      <c r="AC230">
        <v>19.707100000000001</v>
      </c>
      <c r="AD230">
        <v>-1.1320159999999999</v>
      </c>
      <c r="AE230">
        <v>0.50220000000001597</v>
      </c>
      <c r="AF230">
        <v>-0.47072730309348398</v>
      </c>
      <c r="AG230">
        <v>-1.1320159999999999</v>
      </c>
      <c r="AH230">
        <v>19.643067778273199</v>
      </c>
      <c r="AI230">
        <v>93.297322287707104</v>
      </c>
      <c r="AJ230">
        <v>91.372775728552298</v>
      </c>
      <c r="AK230">
        <v>19.681289494338699</v>
      </c>
      <c r="AL230">
        <v>89.651233234393999</v>
      </c>
      <c r="AM230">
        <v>92.954292871604196</v>
      </c>
      <c r="AN230">
        <v>1.0000000344615201</v>
      </c>
    </row>
    <row r="231" spans="1:40" x14ac:dyDescent="0.3">
      <c r="A231" t="str">
        <f>"20200111160409071"</f>
        <v>20200111160409071</v>
      </c>
      <c r="B231" t="str">
        <f>"1578729849060703"</f>
        <v>1578729849060703</v>
      </c>
      <c r="C231" t="s">
        <v>40</v>
      </c>
      <c r="D231">
        <v>4.8425229999999999</v>
      </c>
      <c r="E231">
        <v>0.51247169999999997</v>
      </c>
      <c r="F231" t="s">
        <v>44</v>
      </c>
      <c r="G231">
        <v>-421.31029999999998</v>
      </c>
      <c r="H231">
        <v>-0.05</v>
      </c>
      <c r="I231">
        <v>367.6198</v>
      </c>
      <c r="J231">
        <v>-435.66759999999999</v>
      </c>
      <c r="K231">
        <v>1.0794060000000001</v>
      </c>
      <c r="L231">
        <v>367.26429999999999</v>
      </c>
      <c r="M231">
        <v>0.99985579999999996</v>
      </c>
      <c r="N231">
        <v>0</v>
      </c>
      <c r="O231">
        <v>1.5245300000000001E-3</v>
      </c>
      <c r="P231">
        <v>0.99851140000000005</v>
      </c>
      <c r="Q231">
        <v>-1.104452E-2</v>
      </c>
      <c r="R231">
        <v>5.3414999999999997E-2</v>
      </c>
      <c r="S231">
        <v>2.9978940000000001</v>
      </c>
      <c r="T231">
        <v>-0.23164219999999999</v>
      </c>
      <c r="U231">
        <v>7.2845460000000001E-2</v>
      </c>
      <c r="V231">
        <v>-5.1892689999999998E-2</v>
      </c>
      <c r="W231">
        <v>5.8563060000000004E-3</v>
      </c>
      <c r="X231">
        <v>0.99863550000000001</v>
      </c>
      <c r="Y231">
        <v>-2.270428E-2</v>
      </c>
      <c r="Z231">
        <v>7.5810530000000001E-4</v>
      </c>
      <c r="AA231">
        <v>0.99974189999999996</v>
      </c>
      <c r="AB231">
        <v>29</v>
      </c>
      <c r="AC231">
        <v>14.3573</v>
      </c>
      <c r="AD231">
        <v>-1.1294059999999999</v>
      </c>
      <c r="AE231">
        <v>0.35550000000000598</v>
      </c>
      <c r="AF231">
        <v>-0.33155787746230297</v>
      </c>
      <c r="AG231">
        <v>-1.1294059999999999</v>
      </c>
      <c r="AH231">
        <v>14.269578432226901</v>
      </c>
      <c r="AI231">
        <v>94.524186047638395</v>
      </c>
      <c r="AJ231">
        <v>91.331044891786902</v>
      </c>
      <c r="AK231">
        <v>14.3180430636459</v>
      </c>
      <c r="AL231">
        <v>89.664456466245795</v>
      </c>
      <c r="AM231">
        <v>92.974619197666797</v>
      </c>
      <c r="AN231">
        <v>1.0000000047278199</v>
      </c>
    </row>
    <row r="232" spans="1:40" x14ac:dyDescent="0.3">
      <c r="A232" t="str">
        <f>"20200111160409092"</f>
        <v>20200111160409092</v>
      </c>
      <c r="B232" t="str">
        <f>"1578729849081199"</f>
        <v>1578729849081199</v>
      </c>
      <c r="C232" t="s">
        <v>40</v>
      </c>
      <c r="D232">
        <v>4.8401149999999999</v>
      </c>
      <c r="E232">
        <v>0.51247600000000004</v>
      </c>
      <c r="F232" t="s">
        <v>44</v>
      </c>
      <c r="G232">
        <v>-420.97800000000001</v>
      </c>
      <c r="H232">
        <v>-0.05</v>
      </c>
      <c r="I232">
        <v>367.62689999999998</v>
      </c>
      <c r="J232">
        <v>-435.39</v>
      </c>
      <c r="K232">
        <v>1.0770709999999999</v>
      </c>
      <c r="L232">
        <v>367.2647</v>
      </c>
      <c r="M232">
        <v>0.99986730000000001</v>
      </c>
      <c r="N232">
        <v>0</v>
      </c>
      <c r="O232">
        <v>1.531169E-3</v>
      </c>
      <c r="P232">
        <v>0.99853959999999997</v>
      </c>
      <c r="Q232">
        <v>-1.0676730000000001E-2</v>
      </c>
      <c r="R232">
        <v>5.2959279999999997E-2</v>
      </c>
      <c r="S232">
        <v>2.997986</v>
      </c>
      <c r="T232">
        <v>-0.2304986</v>
      </c>
      <c r="U232">
        <v>7.4005130000000002E-2</v>
      </c>
      <c r="V232">
        <v>-5.1429929999999999E-2</v>
      </c>
      <c r="W232">
        <v>5.527293E-3</v>
      </c>
      <c r="X232">
        <v>0.99866129999999997</v>
      </c>
      <c r="Y232">
        <v>-2.308294E-2</v>
      </c>
      <c r="Z232">
        <v>7.6837110000000004E-4</v>
      </c>
      <c r="AA232">
        <v>0.99973330000000005</v>
      </c>
      <c r="AB232">
        <v>29</v>
      </c>
      <c r="AC232">
        <v>14.4119999999999</v>
      </c>
      <c r="AD232">
        <v>-1.1270709999999999</v>
      </c>
      <c r="AE232">
        <v>0.36219999999997199</v>
      </c>
      <c r="AF232">
        <v>-0.33806323907372898</v>
      </c>
      <c r="AG232">
        <v>-1.1270709999999999</v>
      </c>
      <c r="AH232">
        <v>14.324984169889801</v>
      </c>
      <c r="AI232">
        <v>94.497442306969006</v>
      </c>
      <c r="AJ232">
        <v>91.351903910299598</v>
      </c>
      <c r="AK232">
        <v>14.373230230544801</v>
      </c>
      <c r="AL232">
        <v>89.683307823369105</v>
      </c>
      <c r="AM232">
        <v>92.948063609860199</v>
      </c>
      <c r="AN232">
        <v>0.99999999039270104</v>
      </c>
    </row>
    <row r="233" spans="1:40" x14ac:dyDescent="0.3">
      <c r="A233" t="str">
        <f>"20200111160409107"</f>
        <v>20200111160409107</v>
      </c>
      <c r="B233" t="str">
        <f>"1578729849100720"</f>
        <v>1578729849100720</v>
      </c>
      <c r="C233" t="s">
        <v>40</v>
      </c>
      <c r="D233">
        <v>4.8006729999999997</v>
      </c>
      <c r="E233">
        <v>0.51242989999999999</v>
      </c>
      <c r="F233" t="s">
        <v>44</v>
      </c>
      <c r="G233">
        <v>-420.55900000000003</v>
      </c>
      <c r="H233">
        <v>-0.05</v>
      </c>
      <c r="I233">
        <v>367.62490000000003</v>
      </c>
      <c r="J233">
        <v>-435.19749999999999</v>
      </c>
      <c r="K233">
        <v>1.075545</v>
      </c>
      <c r="L233">
        <v>367.26499999999999</v>
      </c>
      <c r="M233">
        <v>0.99987519999999996</v>
      </c>
      <c r="N233">
        <v>0</v>
      </c>
      <c r="O233">
        <v>1.536005E-3</v>
      </c>
      <c r="P233">
        <v>0.99856140000000004</v>
      </c>
      <c r="Q233">
        <v>-1.0192349999999999E-2</v>
      </c>
      <c r="R233">
        <v>5.2646070000000003E-2</v>
      </c>
      <c r="S233">
        <v>2.9980769999999999</v>
      </c>
      <c r="T233">
        <v>-0.22783590000000001</v>
      </c>
      <c r="U233">
        <v>7.2814939999999995E-2</v>
      </c>
      <c r="V233">
        <v>-5.1111829999999997E-2</v>
      </c>
      <c r="W233">
        <v>5.5129890000000003E-3</v>
      </c>
      <c r="X233">
        <v>0.9986777</v>
      </c>
      <c r="Y233">
        <v>-2.268334E-2</v>
      </c>
      <c r="Z233">
        <v>7.4397600000000003E-4</v>
      </c>
      <c r="AA233">
        <v>0.99974240000000003</v>
      </c>
      <c r="AB233">
        <v>29</v>
      </c>
      <c r="AC233">
        <v>14.638499999999899</v>
      </c>
      <c r="AD233">
        <v>-1.125545</v>
      </c>
      <c r="AE233">
        <v>0.35990000000003802</v>
      </c>
      <c r="AF233">
        <v>-0.33543012972119302</v>
      </c>
      <c r="AG233">
        <v>-1.125545</v>
      </c>
      <c r="AH233">
        <v>14.5530503126267</v>
      </c>
      <c r="AI233">
        <v>94.421329728841499</v>
      </c>
      <c r="AJ233">
        <v>91.320364331304503</v>
      </c>
      <c r="AK233">
        <v>14.600364321509099</v>
      </c>
      <c r="AL233">
        <v>89.684127391520605</v>
      </c>
      <c r="AM233">
        <v>92.929813338119601</v>
      </c>
      <c r="AN233">
        <v>0.99999998034547599</v>
      </c>
    </row>
    <row r="234" spans="1:40" x14ac:dyDescent="0.3">
      <c r="A234" t="str">
        <f>"20200111160409128"</f>
        <v>20200111160409128</v>
      </c>
      <c r="B234" t="str">
        <f>"1578729849121215"</f>
        <v>1578729849121215</v>
      </c>
      <c r="C234" t="s">
        <v>40</v>
      </c>
      <c r="D234">
        <v>4.7574500000000004</v>
      </c>
      <c r="E234">
        <v>0.51258820000000005</v>
      </c>
      <c r="F234" t="s">
        <v>44</v>
      </c>
      <c r="G234">
        <v>-420.32119999999998</v>
      </c>
      <c r="H234">
        <v>-0.05</v>
      </c>
      <c r="I234">
        <v>367.62310000000002</v>
      </c>
      <c r="J234">
        <v>-434.93270000000001</v>
      </c>
      <c r="K234">
        <v>1.0736059999999901</v>
      </c>
      <c r="L234">
        <v>367.2654</v>
      </c>
      <c r="M234">
        <v>0.99988569999999999</v>
      </c>
      <c r="N234">
        <v>0</v>
      </c>
      <c r="O234">
        <v>1.5425549999999999E-3</v>
      </c>
      <c r="P234">
        <v>0.99861440000000001</v>
      </c>
      <c r="Q234">
        <v>-9.2116109999999998E-3</v>
      </c>
      <c r="R234">
        <v>5.181467E-2</v>
      </c>
      <c r="S234">
        <v>2.9981990000000001</v>
      </c>
      <c r="T234">
        <v>-0.22684399999999999</v>
      </c>
      <c r="U234">
        <v>7.2174070000000007E-2</v>
      </c>
      <c r="V234">
        <v>-5.0274079999999999E-2</v>
      </c>
      <c r="W234">
        <v>5.8162519999999896E-3</v>
      </c>
      <c r="X234">
        <v>0.99871849999999995</v>
      </c>
      <c r="Y234">
        <v>-2.246343E-2</v>
      </c>
      <c r="Z234">
        <v>7.3191819999999998E-4</v>
      </c>
      <c r="AA234">
        <v>0.99974739999999995</v>
      </c>
      <c r="AB234">
        <v>29</v>
      </c>
      <c r="AC234">
        <v>14.611499999999999</v>
      </c>
      <c r="AD234">
        <v>-1.1236060000000001</v>
      </c>
      <c r="AE234">
        <v>0.357700000000022</v>
      </c>
      <c r="AF234">
        <v>-0.33318887764126798</v>
      </c>
      <c r="AG234">
        <v>-1.1236060000000001</v>
      </c>
      <c r="AH234">
        <v>14.5261864996722</v>
      </c>
      <c r="AI234">
        <v>94.421884591728201</v>
      </c>
      <c r="AJ234">
        <v>91.313969750307095</v>
      </c>
      <c r="AK234">
        <v>14.5733866858283</v>
      </c>
      <c r="AL234">
        <v>89.666751421258297</v>
      </c>
      <c r="AM234">
        <v>92.881756235305303</v>
      </c>
      <c r="AN234">
        <v>0.999999977074711</v>
      </c>
    </row>
    <row r="235" spans="1:40" x14ac:dyDescent="0.3">
      <c r="A235" t="str">
        <f>"20200111160409149"</f>
        <v>20200111160409149</v>
      </c>
      <c r="B235" t="str">
        <f>"1578729849141712"</f>
        <v>1578729849141712</v>
      </c>
      <c r="C235" t="s">
        <v>40</v>
      </c>
      <c r="D235">
        <v>4.7362880000000001</v>
      </c>
      <c r="E235">
        <v>0.51283459999999903</v>
      </c>
      <c r="F235" t="s">
        <v>44</v>
      </c>
      <c r="G235">
        <v>-419.82409999999999</v>
      </c>
      <c r="H235">
        <v>-0.05</v>
      </c>
      <c r="I235">
        <v>367.60919999999999</v>
      </c>
      <c r="J235">
        <v>-434.64089999999999</v>
      </c>
      <c r="K235">
        <v>1.071685</v>
      </c>
      <c r="L235">
        <v>367.26580000000001</v>
      </c>
      <c r="M235">
        <v>0.99989600000000001</v>
      </c>
      <c r="N235">
        <v>0</v>
      </c>
      <c r="O235">
        <v>1.549721E-3</v>
      </c>
      <c r="P235">
        <v>0.99868800000000002</v>
      </c>
      <c r="Q235">
        <v>-8.6870899999999997E-3</v>
      </c>
      <c r="R235">
        <v>5.0468939999999997E-2</v>
      </c>
      <c r="S235">
        <v>2.9985659999999998</v>
      </c>
      <c r="T235">
        <v>-0.222999</v>
      </c>
      <c r="U235">
        <v>6.8237300000000001E-2</v>
      </c>
      <c r="V235">
        <v>-4.892113E-2</v>
      </c>
      <c r="W235">
        <v>5.6293360000000004E-3</v>
      </c>
      <c r="X235">
        <v>0.99878679999999997</v>
      </c>
      <c r="Y235">
        <v>-2.114717E-2</v>
      </c>
      <c r="Z235">
        <v>6.7006849999999996E-4</v>
      </c>
      <c r="AA235">
        <v>0.99977609999999995</v>
      </c>
      <c r="AB235">
        <v>29</v>
      </c>
      <c r="AC235">
        <v>14.816800000000001</v>
      </c>
      <c r="AD235">
        <v>-1.121685</v>
      </c>
      <c r="AE235">
        <v>0.343399999999974</v>
      </c>
      <c r="AF235">
        <v>-0.31861033435188102</v>
      </c>
      <c r="AG235">
        <v>-1.121685</v>
      </c>
      <c r="AH235">
        <v>14.732924868686901</v>
      </c>
      <c r="AI235">
        <v>94.352776873278302</v>
      </c>
      <c r="AJ235">
        <v>91.238870260830595</v>
      </c>
      <c r="AK235">
        <v>14.778997427794399</v>
      </c>
      <c r="AL235">
        <v>89.677461108378395</v>
      </c>
      <c r="AM235">
        <v>92.804137945760402</v>
      </c>
      <c r="AN235">
        <v>1.00000001911925</v>
      </c>
    </row>
    <row r="236" spans="1:40" x14ac:dyDescent="0.3">
      <c r="A236" t="str">
        <f>"20200111160409171"</f>
        <v>20200111160409171</v>
      </c>
      <c r="B236" t="str">
        <f>"1578729849161231"</f>
        <v>1578729849161231</v>
      </c>
      <c r="C236" t="s">
        <v>40</v>
      </c>
      <c r="D236">
        <v>4.753755</v>
      </c>
      <c r="E236">
        <v>0.51299220000000001</v>
      </c>
      <c r="F236" t="s">
        <v>44</v>
      </c>
      <c r="G236">
        <v>-419.27780000000001</v>
      </c>
      <c r="H236">
        <v>-0.05</v>
      </c>
      <c r="I236">
        <v>367.58569999999997</v>
      </c>
      <c r="J236">
        <v>-434.35300000000001</v>
      </c>
      <c r="K236">
        <v>1.0700019999999999</v>
      </c>
      <c r="L236">
        <v>367.2663</v>
      </c>
      <c r="M236">
        <v>0.9999053</v>
      </c>
      <c r="N236">
        <v>0</v>
      </c>
      <c r="O236">
        <v>1.557302E-3</v>
      </c>
      <c r="P236">
        <v>0.99874499999999999</v>
      </c>
      <c r="Q236">
        <v>-8.0838239999999999E-3</v>
      </c>
      <c r="R236">
        <v>4.9432370000000003E-2</v>
      </c>
      <c r="S236">
        <v>2.9988709999999998</v>
      </c>
      <c r="T236">
        <v>-0.2189527</v>
      </c>
      <c r="U236">
        <v>6.2438960000000002E-2</v>
      </c>
      <c r="V236">
        <v>-4.787669E-2</v>
      </c>
      <c r="W236">
        <v>5.5783150000000004E-3</v>
      </c>
      <c r="X236">
        <v>0.99883759999999999</v>
      </c>
      <c r="Y236">
        <v>-1.9212199999999999E-2</v>
      </c>
      <c r="Z236">
        <v>5.8680210000000002E-4</v>
      </c>
      <c r="AA236">
        <v>0.99981529999999996</v>
      </c>
      <c r="AB236">
        <v>29</v>
      </c>
      <c r="AC236">
        <v>15.075199999999899</v>
      </c>
      <c r="AD236">
        <v>-1.1200019999999999</v>
      </c>
      <c r="AE236">
        <v>0.31939999999997298</v>
      </c>
      <c r="AF236">
        <v>-0.29429709087424599</v>
      </c>
      <c r="AG236">
        <v>-1.1200019999999999</v>
      </c>
      <c r="AH236">
        <v>14.992960423887601</v>
      </c>
      <c r="AI236">
        <v>94.271346475266597</v>
      </c>
      <c r="AJ236">
        <v>91.124515480781199</v>
      </c>
      <c r="AK236">
        <v>15.0376154203372</v>
      </c>
      <c r="AL236">
        <v>89.680384411503496</v>
      </c>
      <c r="AM236">
        <v>92.744224255151494</v>
      </c>
      <c r="AN236">
        <v>0.99999992310867403</v>
      </c>
    </row>
    <row r="237" spans="1:40" x14ac:dyDescent="0.3">
      <c r="A237" t="str">
        <f>"20200111160409193"</f>
        <v>20200111160409193</v>
      </c>
      <c r="B237" t="str">
        <f>"1578729849180751"</f>
        <v>1578729849180751</v>
      </c>
      <c r="C237" t="s">
        <v>40</v>
      </c>
      <c r="D237">
        <v>4.6620100000000004</v>
      </c>
      <c r="E237">
        <v>0.51297559999999998</v>
      </c>
      <c r="F237" t="s">
        <v>44</v>
      </c>
      <c r="G237">
        <v>-418.79050000000001</v>
      </c>
      <c r="H237">
        <v>-0.05</v>
      </c>
      <c r="I237">
        <v>367.56700000000001</v>
      </c>
      <c r="J237">
        <v>-434.06720000000001</v>
      </c>
      <c r="K237">
        <v>1.0685279999999999</v>
      </c>
      <c r="L237">
        <v>367.26679999999999</v>
      </c>
      <c r="M237">
        <v>0.99991319999999995</v>
      </c>
      <c r="N237">
        <v>0</v>
      </c>
      <c r="O237">
        <v>1.56518E-3</v>
      </c>
      <c r="P237">
        <v>0.99875919999999896</v>
      </c>
      <c r="Q237">
        <v>-7.6554229999999997E-3</v>
      </c>
      <c r="R237">
        <v>4.9209700000000002E-2</v>
      </c>
      <c r="S237">
        <v>2.9991759999999998</v>
      </c>
      <c r="T237">
        <v>-0.21584439999999999</v>
      </c>
      <c r="U237">
        <v>5.7952879999999998E-2</v>
      </c>
      <c r="V237">
        <v>-4.76462E-2</v>
      </c>
      <c r="W237">
        <v>5.4109469999999897E-3</v>
      </c>
      <c r="X237">
        <v>0.9988496</v>
      </c>
      <c r="Y237">
        <v>-1.7712539999999999E-2</v>
      </c>
      <c r="Z237">
        <v>5.2398869999999999E-4</v>
      </c>
      <c r="AA237">
        <v>0.99984300000000004</v>
      </c>
      <c r="AB237">
        <v>29</v>
      </c>
      <c r="AC237">
        <v>15.2767</v>
      </c>
      <c r="AD237">
        <v>-1.118528</v>
      </c>
      <c r="AE237">
        <v>0.300199999999961</v>
      </c>
      <c r="AF237">
        <v>-0.27481412866361599</v>
      </c>
      <c r="AG237">
        <v>-1.118528</v>
      </c>
      <c r="AH237">
        <v>15.195720477560499</v>
      </c>
      <c r="AI237">
        <v>94.209155008005894</v>
      </c>
      <c r="AJ237">
        <v>91.0360794314402</v>
      </c>
      <c r="AK237">
        <v>15.2393093191342</v>
      </c>
      <c r="AL237">
        <v>89.689974055008705</v>
      </c>
      <c r="AM237">
        <v>92.731000183394997</v>
      </c>
      <c r="AN237">
        <v>0.99999998107101795</v>
      </c>
    </row>
    <row r="238" spans="1:40" x14ac:dyDescent="0.3">
      <c r="A238" t="str">
        <f>"20200111160409215"</f>
        <v>20200111160409215</v>
      </c>
      <c r="B238" t="str">
        <f>"1578729849211008"</f>
        <v>1578729849211008</v>
      </c>
      <c r="C238" t="s">
        <v>40</v>
      </c>
      <c r="D238">
        <v>4.6655160000000002</v>
      </c>
      <c r="E238">
        <v>0.51289019999999996</v>
      </c>
      <c r="F238" t="s">
        <v>44</v>
      </c>
      <c r="G238">
        <v>-418.3066</v>
      </c>
      <c r="H238">
        <v>-0.05</v>
      </c>
      <c r="I238">
        <v>367.56869999999998</v>
      </c>
      <c r="J238">
        <v>-433.77519999999998</v>
      </c>
      <c r="K238">
        <v>1.0672140000000001</v>
      </c>
      <c r="L238">
        <v>367.2672</v>
      </c>
      <c r="M238">
        <v>0.99992040000000004</v>
      </c>
      <c r="N238">
        <v>0</v>
      </c>
      <c r="O238">
        <v>1.572604E-3</v>
      </c>
      <c r="P238">
        <v>0.99875970000000003</v>
      </c>
      <c r="Q238">
        <v>-7.4017789999999998E-3</v>
      </c>
      <c r="R238">
        <v>4.924104E-2</v>
      </c>
      <c r="S238">
        <v>2.9992679999999998</v>
      </c>
      <c r="T238">
        <v>-0.2128574</v>
      </c>
      <c r="U238">
        <v>5.7464599999999998E-2</v>
      </c>
      <c r="V238">
        <v>-4.7670089999999998E-2</v>
      </c>
      <c r="W238">
        <v>5.1129280000000001E-3</v>
      </c>
      <c r="X238">
        <v>0.99885000000000002</v>
      </c>
      <c r="Y238">
        <v>-1.7543420000000001E-2</v>
      </c>
      <c r="Z238">
        <v>5.1022250000000002E-4</v>
      </c>
      <c r="AA238">
        <v>0.99984600000000001</v>
      </c>
      <c r="AB238">
        <v>29</v>
      </c>
      <c r="AC238">
        <v>15.468599999999901</v>
      </c>
      <c r="AD238">
        <v>-1.1172139999999999</v>
      </c>
      <c r="AE238">
        <v>0.30149999999997501</v>
      </c>
      <c r="AF238">
        <v>-0.27573394668663598</v>
      </c>
      <c r="AG238">
        <v>-1.1172139999999999</v>
      </c>
      <c r="AH238">
        <v>15.388811366596601</v>
      </c>
      <c r="AI238">
        <v>94.151673584702706</v>
      </c>
      <c r="AJ238">
        <v>91.026505600782599</v>
      </c>
      <c r="AK238">
        <v>15.4317760354356</v>
      </c>
      <c r="AL238">
        <v>89.707049513896706</v>
      </c>
      <c r="AM238">
        <v>92.732366350883694</v>
      </c>
      <c r="AN238">
        <v>0.99999995100666905</v>
      </c>
    </row>
    <row r="239" spans="1:40" x14ac:dyDescent="0.3">
      <c r="A239" t="str">
        <f>"20200111160409239"</f>
        <v>20200111160409239</v>
      </c>
      <c r="B239" t="str">
        <f>"1578729849231504"</f>
        <v>1578729849231504</v>
      </c>
      <c r="C239" t="s">
        <v>40</v>
      </c>
      <c r="D239">
        <v>4.6738200000000001</v>
      </c>
      <c r="E239">
        <v>0.51276080000000002</v>
      </c>
      <c r="F239" t="s">
        <v>44</v>
      </c>
      <c r="G239">
        <v>-417.71179999999998</v>
      </c>
      <c r="H239">
        <v>-0.05</v>
      </c>
      <c r="I239">
        <v>367.57920000000001</v>
      </c>
      <c r="J239">
        <v>-433.46280000000002</v>
      </c>
      <c r="K239">
        <v>1.066001</v>
      </c>
      <c r="L239">
        <v>367.26769999999999</v>
      </c>
      <c r="M239">
        <v>0.99992689999999995</v>
      </c>
      <c r="N239">
        <v>0</v>
      </c>
      <c r="O239">
        <v>1.5806259999999999E-3</v>
      </c>
      <c r="P239">
        <v>0.99874589999999996</v>
      </c>
      <c r="Q239">
        <v>-6.9350559999999898E-3</v>
      </c>
      <c r="R239">
        <v>4.9584870000000003E-2</v>
      </c>
      <c r="S239">
        <v>2.9993590000000001</v>
      </c>
      <c r="T239">
        <v>-0.20860600000000001</v>
      </c>
      <c r="U239">
        <v>5.825806E-2</v>
      </c>
      <c r="V239">
        <v>-4.800637E-2</v>
      </c>
      <c r="W239">
        <v>5.0518940000000003E-3</v>
      </c>
      <c r="X239">
        <v>0.99883429999999995</v>
      </c>
      <c r="Y239">
        <v>-1.780021E-2</v>
      </c>
      <c r="Z239">
        <v>5.0840170000000004E-4</v>
      </c>
      <c r="AA239">
        <v>0.99984150000000005</v>
      </c>
      <c r="AB239">
        <v>30</v>
      </c>
      <c r="AC239">
        <v>15.750999999999999</v>
      </c>
      <c r="AD239">
        <v>-1.116001</v>
      </c>
      <c r="AE239">
        <v>0.31150000000002298</v>
      </c>
      <c r="AF239">
        <v>-0.285170355958074</v>
      </c>
      <c r="AG239">
        <v>-1.116001</v>
      </c>
      <c r="AH239">
        <v>15.672824239731399</v>
      </c>
      <c r="AI239">
        <v>94.072263967389404</v>
      </c>
      <c r="AJ239">
        <v>91.042393817867094</v>
      </c>
      <c r="AK239">
        <v>15.7150946549307</v>
      </c>
      <c r="AL239">
        <v>89.710546577345099</v>
      </c>
      <c r="AM239">
        <v>92.751654998093599</v>
      </c>
      <c r="AN239">
        <v>1.00000004602502</v>
      </c>
    </row>
    <row r="240" spans="1:40" x14ac:dyDescent="0.3">
      <c r="A240" t="str">
        <f>"20200111160409261"</f>
        <v>20200111160409261</v>
      </c>
      <c r="B240" t="str">
        <f>"1578729849251023"</f>
        <v>1578729849251023</v>
      </c>
      <c r="C240" t="s">
        <v>40</v>
      </c>
      <c r="D240">
        <v>4.6102109999999996</v>
      </c>
      <c r="E240">
        <v>0.5127777</v>
      </c>
      <c r="F240" t="s">
        <v>44</v>
      </c>
      <c r="G240">
        <v>-417.05</v>
      </c>
      <c r="H240">
        <v>-0.05</v>
      </c>
      <c r="I240">
        <v>367.59690000000001</v>
      </c>
      <c r="J240">
        <v>-433.16759999999999</v>
      </c>
      <c r="K240">
        <v>1.0650230000000001</v>
      </c>
      <c r="L240">
        <v>367.26819999999998</v>
      </c>
      <c r="M240">
        <v>0.99993200000000004</v>
      </c>
      <c r="N240">
        <v>0</v>
      </c>
      <c r="O240">
        <v>1.587951E-3</v>
      </c>
      <c r="P240">
        <v>0.99875000000000003</v>
      </c>
      <c r="Q240">
        <v>-5.9916939999999997E-3</v>
      </c>
      <c r="R240">
        <v>4.9623170000000001E-2</v>
      </c>
      <c r="S240">
        <v>2.99939</v>
      </c>
      <c r="T240">
        <v>-0.20394609999999999</v>
      </c>
      <c r="U240">
        <v>6.0150149999999999E-2</v>
      </c>
      <c r="V240">
        <v>-4.803719E-2</v>
      </c>
      <c r="W240">
        <v>5.5530429999999997E-3</v>
      </c>
      <c r="X240">
        <v>0.99883010000000005</v>
      </c>
      <c r="Y240">
        <v>-1.8423479999999999E-2</v>
      </c>
      <c r="Z240">
        <v>5.1772980000000003E-4</v>
      </c>
      <c r="AA240">
        <v>0.99983010000000005</v>
      </c>
      <c r="AB240">
        <v>30</v>
      </c>
      <c r="AC240">
        <v>16.1175999999999</v>
      </c>
      <c r="AD240">
        <v>-1.1150229999999901</v>
      </c>
      <c r="AE240">
        <v>0.32870000000002603</v>
      </c>
      <c r="AF240">
        <v>-0.30166078917144001</v>
      </c>
      <c r="AG240">
        <v>-1.1150229999999901</v>
      </c>
      <c r="AH240">
        <v>16.041360659263098</v>
      </c>
      <c r="AI240">
        <v>93.975490751902001</v>
      </c>
      <c r="AJ240">
        <v>91.077330874036406</v>
      </c>
      <c r="AK240">
        <v>16.082895489395199</v>
      </c>
      <c r="AL240">
        <v>89.681832433720203</v>
      </c>
      <c r="AM240">
        <v>92.753430397890298</v>
      </c>
      <c r="AN240">
        <v>0.99999998828783199</v>
      </c>
    </row>
    <row r="241" spans="1:40" x14ac:dyDescent="0.3">
      <c r="A241" t="str">
        <f>"20200111160409282"</f>
        <v>20200111160409282</v>
      </c>
      <c r="B241" t="str">
        <f>"1578729849270546"</f>
        <v>1578729849270546</v>
      </c>
      <c r="C241" t="s">
        <v>40</v>
      </c>
      <c r="D241">
        <v>4.6281410000000003</v>
      </c>
      <c r="E241">
        <v>0.50942319999999996</v>
      </c>
      <c r="F241" t="s">
        <v>44</v>
      </c>
      <c r="G241">
        <v>-416.29939999999999</v>
      </c>
      <c r="H241">
        <v>-0.05</v>
      </c>
      <c r="I241">
        <v>367.60469999999998</v>
      </c>
      <c r="J241">
        <v>-432.88850000000002</v>
      </c>
      <c r="K241">
        <v>1.0642339999999999</v>
      </c>
      <c r="L241">
        <v>367.26859999999999</v>
      </c>
      <c r="M241">
        <v>0.9999363</v>
      </c>
      <c r="N241">
        <v>0</v>
      </c>
      <c r="O241">
        <v>1.5949549999999999E-3</v>
      </c>
      <c r="P241">
        <v>0.9987473</v>
      </c>
      <c r="Q241">
        <v>-5.3224969999999998E-3</v>
      </c>
      <c r="R241">
        <v>4.97545E-2</v>
      </c>
      <c r="S241">
        <v>2.9995729999999998</v>
      </c>
      <c r="T241">
        <v>-0.19827810000000001</v>
      </c>
      <c r="U241">
        <v>5.9844969999999997E-2</v>
      </c>
      <c r="V241">
        <v>-4.8161420000000003E-2</v>
      </c>
      <c r="W241">
        <v>5.8524919999999999E-3</v>
      </c>
      <c r="X241">
        <v>0.9988224</v>
      </c>
      <c r="Y241">
        <v>-1.8315959999999999E-2</v>
      </c>
      <c r="Z241">
        <v>4.9933119999999995E-4</v>
      </c>
      <c r="AA241">
        <v>0.99983219999999995</v>
      </c>
      <c r="AB241">
        <v>30</v>
      </c>
      <c r="AC241">
        <v>16.589099999999998</v>
      </c>
      <c r="AD241">
        <v>-1.1142339999999999</v>
      </c>
      <c r="AE241">
        <v>0.33609999999998702</v>
      </c>
      <c r="AF241">
        <v>-0.30824900197971</v>
      </c>
      <c r="AG241">
        <v>-1.1142339999999999</v>
      </c>
      <c r="AH241">
        <v>16.515139879103099</v>
      </c>
      <c r="AI241">
        <v>93.859079494155196</v>
      </c>
      <c r="AJ241">
        <v>91.069280461600599</v>
      </c>
      <c r="AK241">
        <v>16.555554357384601</v>
      </c>
      <c r="AL241">
        <v>89.664674987931804</v>
      </c>
      <c r="AM241">
        <v>92.760561350639804</v>
      </c>
      <c r="AN241">
        <v>0.99999998039039295</v>
      </c>
    </row>
    <row r="242" spans="1:40" x14ac:dyDescent="0.3">
      <c r="A242" t="str">
        <f>"20200111160409305"</f>
        <v>20200111160409305</v>
      </c>
      <c r="B242" t="str">
        <f>"1578729849300800"</f>
        <v>1578729849300800</v>
      </c>
      <c r="C242" t="s">
        <v>40</v>
      </c>
      <c r="D242">
        <v>4.5982269999999996</v>
      </c>
      <c r="E242">
        <v>0.5114533</v>
      </c>
      <c r="F242" t="s">
        <v>44</v>
      </c>
      <c r="G242">
        <v>-409.64069999999998</v>
      </c>
      <c r="H242">
        <v>-0.05</v>
      </c>
      <c r="I242">
        <v>367.91640000000001</v>
      </c>
      <c r="J242">
        <v>-432.5813</v>
      </c>
      <c r="K242">
        <v>1.0634939999999999</v>
      </c>
      <c r="L242">
        <v>367.26909999999998</v>
      </c>
      <c r="M242">
        <v>0.99994019999999995</v>
      </c>
      <c r="N242">
        <v>0</v>
      </c>
      <c r="O242">
        <v>1.602306E-3</v>
      </c>
      <c r="P242">
        <v>0.99875659999999999</v>
      </c>
      <c r="Q242">
        <v>-4.8711149999999996E-3</v>
      </c>
      <c r="R242">
        <v>4.961484E-2</v>
      </c>
      <c r="S242">
        <v>2.9988709999999998</v>
      </c>
      <c r="T242">
        <v>-0.1437319</v>
      </c>
      <c r="U242">
        <v>8.3557129999999993E-2</v>
      </c>
      <c r="V242">
        <v>-4.80147E-2</v>
      </c>
      <c r="W242">
        <v>5.94452E-3</v>
      </c>
      <c r="X242">
        <v>0.99882890000000002</v>
      </c>
      <c r="Y242">
        <v>-2.6221999999999999E-2</v>
      </c>
      <c r="Z242">
        <v>5.511693E-4</v>
      </c>
      <c r="AA242">
        <v>0.99965599999999999</v>
      </c>
      <c r="AB242">
        <v>30</v>
      </c>
      <c r="AC242">
        <v>22.9406</v>
      </c>
      <c r="AD242">
        <v>-1.113494</v>
      </c>
      <c r="AE242">
        <v>0.64730000000002896</v>
      </c>
      <c r="AF242">
        <v>-0.609105276423208</v>
      </c>
      <c r="AG242">
        <v>-1.113494</v>
      </c>
      <c r="AH242">
        <v>22.887728316106902</v>
      </c>
      <c r="AI242">
        <v>92.784274455887498</v>
      </c>
      <c r="AJ242">
        <v>91.524438147052706</v>
      </c>
      <c r="AK242">
        <v>22.922892173495999</v>
      </c>
      <c r="AL242">
        <v>89.659402073190904</v>
      </c>
      <c r="AM242">
        <v>92.752146583571403</v>
      </c>
      <c r="AN242">
        <v>0.99999996010466397</v>
      </c>
    </row>
    <row r="243" spans="1:40" x14ac:dyDescent="0.3">
      <c r="A243" t="str">
        <f>"20200111160409328"</f>
        <v>20200111160409328</v>
      </c>
      <c r="B243" t="str">
        <f>"1578729849321295"</f>
        <v>1578729849321295</v>
      </c>
      <c r="C243" t="s">
        <v>40</v>
      </c>
      <c r="D243">
        <v>4.5528120000000003</v>
      </c>
      <c r="E243">
        <v>0.510934</v>
      </c>
      <c r="F243" t="s">
        <v>44</v>
      </c>
      <c r="G243">
        <v>-410.70530000000002</v>
      </c>
      <c r="H243">
        <v>-0.05</v>
      </c>
      <c r="I243">
        <v>367.76139999999998</v>
      </c>
      <c r="J243">
        <v>-432.27269999999999</v>
      </c>
      <c r="K243">
        <v>1.0628740000000001</v>
      </c>
      <c r="L243">
        <v>367.26960000000003</v>
      </c>
      <c r="M243">
        <v>0.99994349999999999</v>
      </c>
      <c r="N243">
        <v>0</v>
      </c>
      <c r="O243">
        <v>1.609704E-3</v>
      </c>
      <c r="P243">
        <v>0.99875420000000004</v>
      </c>
      <c r="Q243">
        <v>-4.8042720000000001E-3</v>
      </c>
      <c r="R243">
        <v>4.966984E-2</v>
      </c>
      <c r="S243">
        <v>2.9996339999999999</v>
      </c>
      <c r="T243">
        <v>-0.15268209999999999</v>
      </c>
      <c r="U243">
        <v>6.7504880000000003E-2</v>
      </c>
      <c r="V243">
        <v>-4.8061920000000001E-2</v>
      </c>
      <c r="W243">
        <v>5.6989519999999898E-3</v>
      </c>
      <c r="X243">
        <v>0.9988281</v>
      </c>
      <c r="Y243">
        <v>-2.086435E-2</v>
      </c>
      <c r="Z243">
        <v>4.487146E-4</v>
      </c>
      <c r="AA243">
        <v>0.99978219999999995</v>
      </c>
      <c r="AB243">
        <v>30</v>
      </c>
      <c r="AC243">
        <v>21.5673999999999</v>
      </c>
      <c r="AD243">
        <v>-1.1128739999999999</v>
      </c>
      <c r="AE243">
        <v>0.491799999999955</v>
      </c>
      <c r="AF243">
        <v>-0.45586718152561001</v>
      </c>
      <c r="AG243">
        <v>-1.1128739999999999</v>
      </c>
      <c r="AH243">
        <v>21.510919796868802</v>
      </c>
      <c r="AI243">
        <v>92.960910623362807</v>
      </c>
      <c r="AJ243">
        <v>91.214051124965493</v>
      </c>
      <c r="AK243">
        <v>21.544511457315298</v>
      </c>
      <c r="AL243">
        <v>89.673472335166593</v>
      </c>
      <c r="AM243">
        <v>92.754851214510097</v>
      </c>
      <c r="AN243">
        <v>0.99999999977879706</v>
      </c>
    </row>
    <row r="244" spans="1:40" x14ac:dyDescent="0.3">
      <c r="A244" t="str">
        <f>"20200111160409350"</f>
        <v>20200111160409350</v>
      </c>
      <c r="B244" t="str">
        <f>"1578729849340815"</f>
        <v>1578729849340815</v>
      </c>
      <c r="C244" t="s">
        <v>40</v>
      </c>
      <c r="D244">
        <v>4.6496240000000002</v>
      </c>
      <c r="E244">
        <v>0.51082749999999999</v>
      </c>
      <c r="F244" t="s">
        <v>44</v>
      </c>
      <c r="G244">
        <v>-411.1001</v>
      </c>
      <c r="H244">
        <v>-0.05</v>
      </c>
      <c r="I244">
        <v>367.77910000000003</v>
      </c>
      <c r="J244">
        <v>-431.97219999999999</v>
      </c>
      <c r="K244">
        <v>1.062357</v>
      </c>
      <c r="L244">
        <v>367.27010000000001</v>
      </c>
      <c r="M244">
        <v>0.99994629999999995</v>
      </c>
      <c r="N244">
        <v>0</v>
      </c>
      <c r="O244">
        <v>1.6168179999999999E-3</v>
      </c>
      <c r="P244">
        <v>0.99875000000000003</v>
      </c>
      <c r="Q244">
        <v>-3.986079E-3</v>
      </c>
      <c r="R244">
        <v>4.9827969999999999E-2</v>
      </c>
      <c r="S244">
        <v>2.9993590000000001</v>
      </c>
      <c r="T244">
        <v>-0.1576524</v>
      </c>
      <c r="U244">
        <v>7.2174070000000007E-2</v>
      </c>
      <c r="V244">
        <v>-4.8212739999999997E-2</v>
      </c>
      <c r="W244">
        <v>6.2515969999999898E-3</v>
      </c>
      <c r="X244">
        <v>0.99881750000000002</v>
      </c>
      <c r="Y244">
        <v>-2.241104E-2</v>
      </c>
      <c r="Z244">
        <v>5.0357750000000001E-4</v>
      </c>
      <c r="AA244">
        <v>0.99974870000000005</v>
      </c>
      <c r="AB244">
        <v>30</v>
      </c>
      <c r="AC244">
        <v>20.8720999999999</v>
      </c>
      <c r="AD244">
        <v>-1.112357</v>
      </c>
      <c r="AE244">
        <v>0.509000000000014</v>
      </c>
      <c r="AF244">
        <v>-0.473905969557738</v>
      </c>
      <c r="AG244">
        <v>-1.112357</v>
      </c>
      <c r="AH244">
        <v>20.813814484227201</v>
      </c>
      <c r="AI244">
        <v>93.058368780477196</v>
      </c>
      <c r="AJ244">
        <v>91.304331853366506</v>
      </c>
      <c r="AK244">
        <v>20.848904008298799</v>
      </c>
      <c r="AL244">
        <v>89.641807534361902</v>
      </c>
      <c r="AM244">
        <v>92.763511937016105</v>
      </c>
      <c r="AN244">
        <v>0.99999997453480305</v>
      </c>
    </row>
    <row r="245" spans="1:40" x14ac:dyDescent="0.3">
      <c r="A245" t="str">
        <f>"20200111160409372"</f>
        <v>20200111160409372</v>
      </c>
      <c r="B245" t="str">
        <f>"1578729849361311"</f>
        <v>1578729849361311</v>
      </c>
      <c r="C245" t="s">
        <v>40</v>
      </c>
      <c r="D245">
        <v>4.5768170000000001</v>
      </c>
      <c r="E245">
        <v>0.51119970000000003</v>
      </c>
      <c r="F245" t="s">
        <v>44</v>
      </c>
      <c r="G245">
        <v>-410.98750000000001</v>
      </c>
      <c r="H245">
        <v>-0.05</v>
      </c>
      <c r="I245">
        <v>367.78530000000001</v>
      </c>
      <c r="J245">
        <v>-431.68700000000001</v>
      </c>
      <c r="K245">
        <v>1.061939</v>
      </c>
      <c r="L245">
        <v>367.2706</v>
      </c>
      <c r="M245">
        <v>0.99994839999999996</v>
      </c>
      <c r="N245">
        <v>0</v>
      </c>
      <c r="O245">
        <v>1.624024E-3</v>
      </c>
      <c r="P245">
        <v>0.9987452</v>
      </c>
      <c r="Q245">
        <v>-4.2153599999999996E-3</v>
      </c>
      <c r="R245">
        <v>4.9904490000000003E-2</v>
      </c>
      <c r="S245">
        <v>2.9994809999999998</v>
      </c>
      <c r="T245">
        <v>-0.15899679999999999</v>
      </c>
      <c r="U245">
        <v>7.3638919999999997E-2</v>
      </c>
      <c r="V245">
        <v>-4.828242E-2</v>
      </c>
      <c r="W245">
        <v>5.8009940000000003E-3</v>
      </c>
      <c r="X245">
        <v>0.99881690000000001</v>
      </c>
      <c r="Y245">
        <v>-2.2889670000000001E-2</v>
      </c>
      <c r="Z245">
        <v>5.2013519999999998E-4</v>
      </c>
      <c r="AA245">
        <v>0.99973789999999996</v>
      </c>
      <c r="AB245">
        <v>30</v>
      </c>
      <c r="AC245">
        <v>20.699499999999901</v>
      </c>
      <c r="AD245">
        <v>-1.111939</v>
      </c>
      <c r="AE245">
        <v>0.51470000000000404</v>
      </c>
      <c r="AF245">
        <v>-0.47969776608268</v>
      </c>
      <c r="AG245">
        <v>-1.111939</v>
      </c>
      <c r="AH245">
        <v>20.640783551176199</v>
      </c>
      <c r="AI245">
        <v>93.082767686011593</v>
      </c>
      <c r="AJ245">
        <v>91.331330795549206</v>
      </c>
      <c r="AK245">
        <v>20.676277805567601</v>
      </c>
      <c r="AL245">
        <v>89.667625669852896</v>
      </c>
      <c r="AM245">
        <v>92.767501388489805</v>
      </c>
      <c r="AN245">
        <v>1.0000000216690199</v>
      </c>
    </row>
    <row r="246" spans="1:40" x14ac:dyDescent="0.3">
      <c r="A246" t="str">
        <f>"20200111160409393"</f>
        <v>20200111160409393</v>
      </c>
      <c r="B246" t="str">
        <f>"1578729849390593"</f>
        <v>1578729849390593</v>
      </c>
      <c r="C246" t="s">
        <v>40</v>
      </c>
      <c r="D246">
        <v>4.6304040000000004</v>
      </c>
      <c r="E246">
        <v>0.53201790000000004</v>
      </c>
      <c r="F246" t="s">
        <v>44</v>
      </c>
      <c r="G246">
        <v>-411.22910000000002</v>
      </c>
      <c r="H246">
        <v>-0.05</v>
      </c>
      <c r="I246">
        <v>367.75619999999998</v>
      </c>
      <c r="J246">
        <v>-431.3954</v>
      </c>
      <c r="K246">
        <v>1.0615810000000001</v>
      </c>
      <c r="L246">
        <v>367.27109999999999</v>
      </c>
      <c r="M246">
        <v>0.99995049999999996</v>
      </c>
      <c r="N246">
        <v>0</v>
      </c>
      <c r="O246">
        <v>1.631743E-3</v>
      </c>
      <c r="P246">
        <v>0.99873210000000001</v>
      </c>
      <c r="Q246">
        <v>-4.2033010000000004E-3</v>
      </c>
      <c r="R246">
        <v>5.0166040000000002E-2</v>
      </c>
      <c r="S246">
        <v>2.9995729999999998</v>
      </c>
      <c r="T246">
        <v>-0.1630346</v>
      </c>
      <c r="U246">
        <v>7.1197510000000006E-2</v>
      </c>
      <c r="V246">
        <v>-4.8535839999999997E-2</v>
      </c>
      <c r="W246">
        <v>5.61503E-3</v>
      </c>
      <c r="X246">
        <v>0.99880559999999996</v>
      </c>
      <c r="Y246">
        <v>-2.2067659999999999E-2</v>
      </c>
      <c r="Z246">
        <v>5.105757E-4</v>
      </c>
      <c r="AA246">
        <v>0.99975630000000004</v>
      </c>
      <c r="AB246">
        <v>30</v>
      </c>
      <c r="AC246">
        <v>20.1662999999999</v>
      </c>
      <c r="AD246">
        <v>-1.1115809999999999</v>
      </c>
      <c r="AE246">
        <v>0.48509999999998799</v>
      </c>
      <c r="AF246">
        <v>-0.45082261067760199</v>
      </c>
      <c r="AG246">
        <v>-1.1115809999999999</v>
      </c>
      <c r="AH246">
        <v>20.106012100408499</v>
      </c>
      <c r="AI246">
        <v>93.163639500872904</v>
      </c>
      <c r="AJ246">
        <v>91.284486714061401</v>
      </c>
      <c r="AK246">
        <v>20.141761986669199</v>
      </c>
      <c r="AL246">
        <v>89.678280769754195</v>
      </c>
      <c r="AM246">
        <v>92.782035840896199</v>
      </c>
      <c r="AN246">
        <v>0.99999994145888105</v>
      </c>
    </row>
    <row r="247" spans="1:40" x14ac:dyDescent="0.3">
      <c r="A247" t="str">
        <f>"20200111160409418"</f>
        <v>20200111160409418</v>
      </c>
      <c r="B247" t="str">
        <f>"1578729849411088"</f>
        <v>1578729849411088</v>
      </c>
      <c r="C247" t="s">
        <v>40</v>
      </c>
      <c r="D247">
        <v>4.6492750000000003</v>
      </c>
      <c r="E247">
        <v>0.53843189999999996</v>
      </c>
      <c r="F247" t="s">
        <v>44</v>
      </c>
      <c r="G247">
        <v>-405.3802</v>
      </c>
      <c r="H247">
        <v>-0.05</v>
      </c>
      <c r="I247">
        <v>366.43340000000001</v>
      </c>
      <c r="J247">
        <v>-431.05160000000001</v>
      </c>
      <c r="K247">
        <v>1.0612299999999999</v>
      </c>
      <c r="L247">
        <v>367.27159999999998</v>
      </c>
      <c r="M247">
        <v>0.99995230000000002</v>
      </c>
      <c r="N247">
        <v>0</v>
      </c>
      <c r="O247">
        <v>1.6408309999999999E-3</v>
      </c>
      <c r="P247">
        <v>0.99871639999999995</v>
      </c>
      <c r="Q247">
        <v>-4.1452939999999999E-3</v>
      </c>
      <c r="R247">
        <v>5.0484080000000001E-2</v>
      </c>
      <c r="S247">
        <v>3.0081180000000001</v>
      </c>
      <c r="T247">
        <v>-0.12853149999999999</v>
      </c>
      <c r="U247">
        <v>-9.6862790000000004E-2</v>
      </c>
      <c r="V247">
        <v>-4.8844970000000001E-2</v>
      </c>
      <c r="W247">
        <v>5.4719809999999999E-3</v>
      </c>
      <c r="X247">
        <v>0.9987914</v>
      </c>
      <c r="Y247">
        <v>3.3791509999999997E-2</v>
      </c>
      <c r="Z247">
        <v>-7.9147259999999997E-4</v>
      </c>
      <c r="AA247">
        <v>0.9994286</v>
      </c>
      <c r="AB247">
        <v>30</v>
      </c>
      <c r="AC247">
        <v>25.671399999999998</v>
      </c>
      <c r="AD247">
        <v>-1.1112299999999999</v>
      </c>
      <c r="AE247">
        <v>-0.83819999999997197</v>
      </c>
      <c r="AF247">
        <v>0.87867859320846897</v>
      </c>
      <c r="AG247">
        <v>-1.1112299999999999</v>
      </c>
      <c r="AH247">
        <v>25.622032189160699</v>
      </c>
      <c r="AI247">
        <v>92.481910010843507</v>
      </c>
      <c r="AJ247">
        <v>88.035875833542207</v>
      </c>
      <c r="AK247">
        <v>25.661166023496399</v>
      </c>
      <c r="AL247">
        <v>89.686477023886795</v>
      </c>
      <c r="AM247">
        <v>92.799766564933094</v>
      </c>
      <c r="AN247">
        <v>1.0000000171921599</v>
      </c>
    </row>
    <row r="248" spans="1:40" x14ac:dyDescent="0.3">
      <c r="A248" t="str">
        <f>"20200111160409439"</f>
        <v>20200111160409439</v>
      </c>
      <c r="B248" t="str">
        <f>"1578729849431586"</f>
        <v>1578729849431586</v>
      </c>
      <c r="C248" t="s">
        <v>40</v>
      </c>
      <c r="D248">
        <v>4.6449030000000002</v>
      </c>
      <c r="E248">
        <v>0.54106409999999905</v>
      </c>
      <c r="F248" t="s">
        <v>44</v>
      </c>
      <c r="G248">
        <v>-406.69150000000002</v>
      </c>
      <c r="H248">
        <v>-0.05</v>
      </c>
      <c r="I248">
        <v>366.08640000000003</v>
      </c>
      <c r="J248">
        <v>-430.77140000000003</v>
      </c>
      <c r="K248">
        <v>1.0609949999999999</v>
      </c>
      <c r="L248">
        <v>367.27210000000002</v>
      </c>
      <c r="M248">
        <v>0.99995369999999995</v>
      </c>
      <c r="N248">
        <v>0</v>
      </c>
      <c r="O248">
        <v>1.6480640000000001E-3</v>
      </c>
      <c r="P248">
        <v>0.99871129999999997</v>
      </c>
      <c r="Q248">
        <v>-3.9173330000000003E-3</v>
      </c>
      <c r="R248">
        <v>5.0600319999999997E-2</v>
      </c>
      <c r="S248">
        <v>3.0106809999999999</v>
      </c>
      <c r="T248">
        <v>-0.1373376</v>
      </c>
      <c r="U248">
        <v>-0.14648439999999999</v>
      </c>
      <c r="V248">
        <v>-4.8954009999999999E-2</v>
      </c>
      <c r="W248">
        <v>5.5592410000000004E-3</v>
      </c>
      <c r="X248">
        <v>0.99878560000000005</v>
      </c>
      <c r="Y248">
        <v>5.0189739999999997E-2</v>
      </c>
      <c r="Z248">
        <v>-1.218577E-3</v>
      </c>
      <c r="AA248">
        <v>0.99873889999999999</v>
      </c>
      <c r="AB248">
        <v>30</v>
      </c>
      <c r="AC248">
        <v>24.079899999999999</v>
      </c>
      <c r="AD248">
        <v>-1.110995</v>
      </c>
      <c r="AE248">
        <v>-1.18569999999999</v>
      </c>
      <c r="AF248">
        <v>1.2227887326679301</v>
      </c>
      <c r="AG248">
        <v>-1.110995</v>
      </c>
      <c r="AH248">
        <v>24.026890718478999</v>
      </c>
      <c r="AI248">
        <v>92.644033974384797</v>
      </c>
      <c r="AJ248">
        <v>87.086587629012499</v>
      </c>
      <c r="AK248">
        <v>24.083625137684301</v>
      </c>
      <c r="AL248">
        <v>89.681477324672102</v>
      </c>
      <c r="AM248">
        <v>92.8060229679201</v>
      </c>
      <c r="AN248">
        <v>1.0000000375114599</v>
      </c>
    </row>
    <row r="249" spans="1:40" x14ac:dyDescent="0.3">
      <c r="A249" t="str">
        <f>"20200111160409460"</f>
        <v>20200111160409460</v>
      </c>
      <c r="B249" t="str">
        <f>"1578729849451103"</f>
        <v>1578729849451103</v>
      </c>
      <c r="C249" t="s">
        <v>40</v>
      </c>
      <c r="D249">
        <v>4.657375</v>
      </c>
      <c r="E249">
        <v>0.54217329999999997</v>
      </c>
      <c r="F249" t="s">
        <v>44</v>
      </c>
      <c r="G249">
        <v>-406.08109999999999</v>
      </c>
      <c r="H249">
        <v>-0.05</v>
      </c>
      <c r="I249">
        <v>365.9024</v>
      </c>
      <c r="J249">
        <v>-430.47969999999998</v>
      </c>
      <c r="K249">
        <v>1.060786</v>
      </c>
      <c r="L249">
        <v>367.27260000000001</v>
      </c>
      <c r="M249">
        <v>0.99995480000000003</v>
      </c>
      <c r="N249">
        <v>0</v>
      </c>
      <c r="O249">
        <v>1.655583E-3</v>
      </c>
      <c r="P249">
        <v>0.9986891</v>
      </c>
      <c r="Q249">
        <v>-4.0507349999999998E-3</v>
      </c>
      <c r="R249">
        <v>5.1025040000000001E-2</v>
      </c>
      <c r="S249">
        <v>3.011841</v>
      </c>
      <c r="T249">
        <v>-0.13552449999999999</v>
      </c>
      <c r="U249">
        <v>-0.1670837</v>
      </c>
      <c r="V249">
        <v>-4.9371279999999997E-2</v>
      </c>
      <c r="W249">
        <v>5.2979389999999998E-3</v>
      </c>
      <c r="X249">
        <v>0.99876640000000005</v>
      </c>
      <c r="Y249">
        <v>5.6984340000000001E-2</v>
      </c>
      <c r="Z249">
        <v>-1.3548430000000001E-3</v>
      </c>
      <c r="AA249">
        <v>0.99837419999999999</v>
      </c>
      <c r="AB249">
        <v>30</v>
      </c>
      <c r="AC249">
        <v>24.398599999999899</v>
      </c>
      <c r="AD249">
        <v>-1.1107860000000001</v>
      </c>
      <c r="AE249">
        <v>-1.3702000000000101</v>
      </c>
      <c r="AF249">
        <v>1.4076853002257099</v>
      </c>
      <c r="AG249">
        <v>-1.1107860000000001</v>
      </c>
      <c r="AH249">
        <v>24.345995316746599</v>
      </c>
      <c r="AI249">
        <v>92.607958496911195</v>
      </c>
      <c r="AJ249">
        <v>86.690842768874404</v>
      </c>
      <c r="AK249">
        <v>24.411941983490699</v>
      </c>
      <c r="AL249">
        <v>89.696449021979603</v>
      </c>
      <c r="AM249">
        <v>92.829956304020698</v>
      </c>
      <c r="AN249">
        <v>0.99999995660772201</v>
      </c>
    </row>
    <row r="250" spans="1:40" x14ac:dyDescent="0.3">
      <c r="A250" t="str">
        <f>"20200111160409483"</f>
        <v>20200111160409483</v>
      </c>
      <c r="B250" t="str">
        <f>"1578729849481359"</f>
        <v>1578729849481359</v>
      </c>
      <c r="C250" t="s">
        <v>40</v>
      </c>
      <c r="D250">
        <v>4.696218</v>
      </c>
      <c r="E250">
        <v>0.54302439999999996</v>
      </c>
      <c r="F250" t="s">
        <v>44</v>
      </c>
      <c r="G250">
        <v>-405.9753</v>
      </c>
      <c r="H250">
        <v>-0.05</v>
      </c>
      <c r="I250">
        <v>365.85109999999997</v>
      </c>
      <c r="J250">
        <v>-430.178</v>
      </c>
      <c r="K250">
        <v>1.0606120000000001</v>
      </c>
      <c r="L250">
        <v>367.2731</v>
      </c>
      <c r="M250">
        <v>0.99995599999999996</v>
      </c>
      <c r="N250">
        <v>0</v>
      </c>
      <c r="O250">
        <v>1.66303E-3</v>
      </c>
      <c r="P250">
        <v>0.99871180000000004</v>
      </c>
      <c r="Q250">
        <v>-4.1508409999999997E-3</v>
      </c>
      <c r="R250">
        <v>5.057321E-2</v>
      </c>
      <c r="S250">
        <v>3.0122990000000001</v>
      </c>
      <c r="T250">
        <v>-0.1365479</v>
      </c>
      <c r="U250">
        <v>-0.1747437</v>
      </c>
      <c r="V250">
        <v>-4.8912230000000001E-2</v>
      </c>
      <c r="W250">
        <v>5.084318E-3</v>
      </c>
      <c r="X250">
        <v>0.99879010000000001</v>
      </c>
      <c r="Y250">
        <v>5.9510319999999998E-2</v>
      </c>
      <c r="Z250">
        <v>-1.42227E-3</v>
      </c>
      <c r="AA250">
        <v>0.99822670000000002</v>
      </c>
      <c r="AB250">
        <v>30</v>
      </c>
      <c r="AC250">
        <v>24.2027</v>
      </c>
      <c r="AD250">
        <v>-1.1106119999999999</v>
      </c>
      <c r="AE250">
        <v>-1.4220000000000199</v>
      </c>
      <c r="AF250">
        <v>1.4591875198825099</v>
      </c>
      <c r="AG250">
        <v>-1.1106119999999999</v>
      </c>
      <c r="AH250">
        <v>24.149624602935098</v>
      </c>
      <c r="AI250">
        <v>92.628321494862405</v>
      </c>
      <c r="AJ250">
        <v>86.542233476557001</v>
      </c>
      <c r="AK250">
        <v>24.219146469176302</v>
      </c>
      <c r="AL250">
        <v>89.708688770212902</v>
      </c>
      <c r="AM250">
        <v>92.803619367227498</v>
      </c>
      <c r="AN250">
        <v>0.99999996019555304</v>
      </c>
    </row>
    <row r="251" spans="1:40" x14ac:dyDescent="0.3">
      <c r="A251" t="str">
        <f>"20200111160409506"</f>
        <v>20200111160409506</v>
      </c>
      <c r="B251" t="str">
        <f>"1578729849500879"</f>
        <v>1578729849500879</v>
      </c>
      <c r="C251" t="s">
        <v>40</v>
      </c>
      <c r="D251">
        <v>4.7132069999999997</v>
      </c>
      <c r="E251">
        <v>0.54322300000000001</v>
      </c>
      <c r="F251" t="s">
        <v>44</v>
      </c>
      <c r="G251">
        <v>-405.63850000000002</v>
      </c>
      <c r="H251">
        <v>-0.05</v>
      </c>
      <c r="I251">
        <v>365.78309999999999</v>
      </c>
      <c r="J251">
        <v>-429.87209999999999</v>
      </c>
      <c r="K251">
        <v>1.0604640000000001</v>
      </c>
      <c r="L251">
        <v>367.27370000000002</v>
      </c>
      <c r="M251">
        <v>0.99995679999999998</v>
      </c>
      <c r="N251">
        <v>0</v>
      </c>
      <c r="O251">
        <v>1.670695E-3</v>
      </c>
      <c r="P251">
        <v>0.99871149999999997</v>
      </c>
      <c r="Q251">
        <v>-4.1593799999999998E-3</v>
      </c>
      <c r="R251">
        <v>5.057822E-2</v>
      </c>
      <c r="S251">
        <v>3.0125730000000002</v>
      </c>
      <c r="T251">
        <v>-0.13634360000000001</v>
      </c>
      <c r="U251">
        <v>-0.18292240000000001</v>
      </c>
      <c r="V251">
        <v>-4.8909880000000003E-2</v>
      </c>
      <c r="W251">
        <v>4.9779849999999999E-3</v>
      </c>
      <c r="X251">
        <v>0.99879079999999998</v>
      </c>
      <c r="Y251">
        <v>6.221049E-2</v>
      </c>
      <c r="Z251">
        <v>-1.48126299999999E-3</v>
      </c>
      <c r="AA251">
        <v>0.998062</v>
      </c>
      <c r="AB251">
        <v>30</v>
      </c>
      <c r="AC251">
        <v>24.2335999999999</v>
      </c>
      <c r="AD251">
        <v>-1.1104639999999999</v>
      </c>
      <c r="AE251">
        <v>-1.4906000000000199</v>
      </c>
      <c r="AF251">
        <v>1.52789043024146</v>
      </c>
      <c r="AG251">
        <v>-1.1104639999999999</v>
      </c>
      <c r="AH251">
        <v>24.180493474093598</v>
      </c>
      <c r="AI251">
        <v>92.624175545937007</v>
      </c>
      <c r="AJ251">
        <v>86.384463957760303</v>
      </c>
      <c r="AK251">
        <v>24.254151069719999</v>
      </c>
      <c r="AL251">
        <v>89.714781293732898</v>
      </c>
      <c r="AM251">
        <v>92.803482919869396</v>
      </c>
      <c r="AN251">
        <v>1.00000000943045</v>
      </c>
    </row>
    <row r="252" spans="1:40" x14ac:dyDescent="0.3">
      <c r="A252" t="str">
        <f>"20200111160409529"</f>
        <v>20200111160409529</v>
      </c>
      <c r="B252" t="str">
        <f>"1578729849521376"</f>
        <v>1578729849521376</v>
      </c>
      <c r="C252" t="s">
        <v>40</v>
      </c>
      <c r="D252">
        <v>4.7202909999999996</v>
      </c>
      <c r="E252">
        <v>0.54333580000000004</v>
      </c>
      <c r="F252" t="s">
        <v>44</v>
      </c>
      <c r="G252">
        <v>-405.56150000000002</v>
      </c>
      <c r="H252">
        <v>-0.05</v>
      </c>
      <c r="I252">
        <v>365.78469999999999</v>
      </c>
      <c r="J252">
        <v>-429.55650000000003</v>
      </c>
      <c r="K252">
        <v>1.060338</v>
      </c>
      <c r="L252">
        <v>367.27420000000001</v>
      </c>
      <c r="M252">
        <v>0.9999576</v>
      </c>
      <c r="N252">
        <v>0</v>
      </c>
      <c r="O252">
        <v>1.6780009999999999E-3</v>
      </c>
      <c r="P252">
        <v>0.99872590000000006</v>
      </c>
      <c r="Q252">
        <v>-4.3580609999999999E-3</v>
      </c>
      <c r="R252">
        <v>5.0273440000000003E-2</v>
      </c>
      <c r="S252">
        <v>3.0126650000000001</v>
      </c>
      <c r="T252">
        <v>-0.13761309999999999</v>
      </c>
      <c r="U252">
        <v>-0.18450929999999999</v>
      </c>
      <c r="V252">
        <v>-4.8597500000000002E-2</v>
      </c>
      <c r="W252">
        <v>4.6947459999999996E-3</v>
      </c>
      <c r="X252">
        <v>0.99880740000000001</v>
      </c>
      <c r="Y252">
        <v>6.2737929999999997E-2</v>
      </c>
      <c r="Z252">
        <v>-1.50733299999999E-3</v>
      </c>
      <c r="AA252">
        <v>0.9980289</v>
      </c>
      <c r="AB252">
        <v>30</v>
      </c>
      <c r="AC252">
        <v>23.995000000000001</v>
      </c>
      <c r="AD252">
        <v>-1.1103379999999901</v>
      </c>
      <c r="AE252">
        <v>-1.48950000000002</v>
      </c>
      <c r="AF252">
        <v>1.5265070895508901</v>
      </c>
      <c r="AG252">
        <v>-1.1103379999999901</v>
      </c>
      <c r="AH252">
        <v>23.941398814205499</v>
      </c>
      <c r="AI252">
        <v>92.649948922701498</v>
      </c>
      <c r="AJ252">
        <v>86.351751181589506</v>
      </c>
      <c r="AK252">
        <v>24.015695941394899</v>
      </c>
      <c r="AL252">
        <v>89.731009877490905</v>
      </c>
      <c r="AM252">
        <v>92.785559568023402</v>
      </c>
      <c r="AN252">
        <v>0.99999998997050699</v>
      </c>
    </row>
    <row r="253" spans="1:40" x14ac:dyDescent="0.3">
      <c r="A253" t="str">
        <f>"20200111160409550"</f>
        <v>20200111160409550</v>
      </c>
      <c r="B253" t="str">
        <f>"1578729849540895"</f>
        <v>1578729849540895</v>
      </c>
      <c r="C253" t="s">
        <v>40</v>
      </c>
      <c r="D253">
        <v>4.7831210000000004</v>
      </c>
      <c r="E253">
        <v>0.54343030000000003</v>
      </c>
      <c r="F253" t="s">
        <v>44</v>
      </c>
      <c r="G253">
        <v>-405.42829999999998</v>
      </c>
      <c r="H253">
        <v>-0.05</v>
      </c>
      <c r="I253">
        <v>365.78199999999998</v>
      </c>
      <c r="J253">
        <v>-429.25459999999998</v>
      </c>
      <c r="K253">
        <v>1.060236</v>
      </c>
      <c r="L253">
        <v>367.2747</v>
      </c>
      <c r="M253">
        <v>0.99995820000000002</v>
      </c>
      <c r="N253">
        <v>0</v>
      </c>
      <c r="O253">
        <v>1.6852289999999999E-3</v>
      </c>
      <c r="P253">
        <v>0.99872099999999997</v>
      </c>
      <c r="Q253">
        <v>-4.6530180000000001E-3</v>
      </c>
      <c r="R253">
        <v>5.0345250000000001E-2</v>
      </c>
      <c r="S253">
        <v>3.0125730000000002</v>
      </c>
      <c r="T253">
        <v>-0.1386336</v>
      </c>
      <c r="U253">
        <v>-0.1863098</v>
      </c>
      <c r="V253">
        <v>-4.8661879999999998E-2</v>
      </c>
      <c r="W253">
        <v>4.3309239999999999E-3</v>
      </c>
      <c r="X253">
        <v>0.99880590000000002</v>
      </c>
      <c r="Y253">
        <v>6.3339590000000001E-2</v>
      </c>
      <c r="Z253">
        <v>-1.53267299999999E-3</v>
      </c>
      <c r="AA253">
        <v>0.99799079999999996</v>
      </c>
      <c r="AB253">
        <v>31</v>
      </c>
      <c r="AC253">
        <v>23.8263</v>
      </c>
      <c r="AD253">
        <v>-1.110236</v>
      </c>
      <c r="AE253">
        <v>-1.4927000000000099</v>
      </c>
      <c r="AF253">
        <v>1.52954417673027</v>
      </c>
      <c r="AG253">
        <v>-1.110236</v>
      </c>
      <c r="AH253">
        <v>23.772335736998301</v>
      </c>
      <c r="AI253">
        <v>92.668423966996102</v>
      </c>
      <c r="AJ253">
        <v>86.318586710482705</v>
      </c>
      <c r="AK253">
        <v>23.847349449295798</v>
      </c>
      <c r="AL253">
        <v>89.751855552870694</v>
      </c>
      <c r="AM253">
        <v>92.789248123162395</v>
      </c>
      <c r="AN253">
        <v>0.99999998067131901</v>
      </c>
    </row>
    <row r="254" spans="1:40" x14ac:dyDescent="0.3">
      <c r="A254" t="str">
        <f>"20200111160409572"</f>
        <v>20200111160409572</v>
      </c>
      <c r="B254" t="str">
        <f>"1578729849561391"</f>
        <v>1578729849561391</v>
      </c>
      <c r="C254" t="s">
        <v>40</v>
      </c>
      <c r="D254">
        <v>4.7810249999999996</v>
      </c>
      <c r="E254">
        <v>0.54333299999999995</v>
      </c>
      <c r="F254" t="s">
        <v>44</v>
      </c>
      <c r="G254">
        <v>-405.2903</v>
      </c>
      <c r="H254">
        <v>-0.05</v>
      </c>
      <c r="I254">
        <v>365.78890000000001</v>
      </c>
      <c r="J254">
        <v>-428.9597</v>
      </c>
      <c r="K254">
        <v>1.060152</v>
      </c>
      <c r="L254">
        <v>367.27510000000001</v>
      </c>
      <c r="M254">
        <v>0.99995869999999998</v>
      </c>
      <c r="N254">
        <v>0</v>
      </c>
      <c r="O254">
        <v>1.692399E-3</v>
      </c>
      <c r="P254">
        <v>0.99874149999999995</v>
      </c>
      <c r="Q254">
        <v>-4.9869160000000001E-3</v>
      </c>
      <c r="R254">
        <v>4.9909960000000003E-2</v>
      </c>
      <c r="S254">
        <v>3.0125730000000002</v>
      </c>
      <c r="T254">
        <v>-0.1395689</v>
      </c>
      <c r="U254">
        <v>-0.18676760000000001</v>
      </c>
      <c r="V254">
        <v>-4.8219989999999997E-2</v>
      </c>
      <c r="W254">
        <v>3.9403980000000003E-3</v>
      </c>
      <c r="X254">
        <v>0.99882890000000002</v>
      </c>
      <c r="Y254">
        <v>6.3496720000000006E-2</v>
      </c>
      <c r="Z254">
        <v>-1.546962E-3</v>
      </c>
      <c r="AA254">
        <v>0.9979808</v>
      </c>
      <c r="AB254">
        <v>31</v>
      </c>
      <c r="AC254">
        <v>23.6694</v>
      </c>
      <c r="AD254">
        <v>-1.110152</v>
      </c>
      <c r="AE254">
        <v>-1.48619999999999</v>
      </c>
      <c r="AF254">
        <v>1.52292051780416</v>
      </c>
      <c r="AG254">
        <v>-1.110152</v>
      </c>
      <c r="AH254">
        <v>23.615105396908099</v>
      </c>
      <c r="AI254">
        <v>92.685936124053995</v>
      </c>
      <c r="AJ254">
        <v>86.310147489317998</v>
      </c>
      <c r="AK254">
        <v>23.690186307281898</v>
      </c>
      <c r="AL254">
        <v>89.774231225587201</v>
      </c>
      <c r="AM254">
        <v>92.763895359512105</v>
      </c>
      <c r="AN254">
        <v>0.999999932823602</v>
      </c>
    </row>
    <row r="255" spans="1:40" x14ac:dyDescent="0.3">
      <c r="A255" t="str">
        <f>"20200111160409594"</f>
        <v>20200111160409594</v>
      </c>
      <c r="B255" t="str">
        <f>"1578729849590672"</f>
        <v>1578729849590672</v>
      </c>
      <c r="C255" t="s">
        <v>40</v>
      </c>
      <c r="D255">
        <v>4.7597389999999997</v>
      </c>
      <c r="E255">
        <v>0.54356669999999996</v>
      </c>
      <c r="F255" t="s">
        <v>44</v>
      </c>
      <c r="G255">
        <v>-405.01769999999999</v>
      </c>
      <c r="H255">
        <v>-0.05</v>
      </c>
      <c r="I255">
        <v>365.7869</v>
      </c>
      <c r="J255">
        <v>-428.65100000000001</v>
      </c>
      <c r="K255">
        <v>1.060079</v>
      </c>
      <c r="L255">
        <v>367.27569999999997</v>
      </c>
      <c r="M255">
        <v>0.99995909999999999</v>
      </c>
      <c r="N255">
        <v>0</v>
      </c>
      <c r="O255">
        <v>1.7001900000000001E-3</v>
      </c>
      <c r="P255">
        <v>0.99876359999999997</v>
      </c>
      <c r="Q255">
        <v>-5.4519590000000001E-3</v>
      </c>
      <c r="R255">
        <v>4.9413510000000001E-2</v>
      </c>
      <c r="S255">
        <v>3.0124819999999999</v>
      </c>
      <c r="T255">
        <v>-0.13968410000000001</v>
      </c>
      <c r="U255">
        <v>-0.1872559</v>
      </c>
      <c r="V255">
        <v>-4.7715220000000003E-2</v>
      </c>
      <c r="W255">
        <v>3.4263710000000001E-3</v>
      </c>
      <c r="X255">
        <v>0.9988551</v>
      </c>
      <c r="Y255">
        <v>6.3667189999999999E-2</v>
      </c>
      <c r="Z255">
        <v>-1.5525820000000001E-3</v>
      </c>
      <c r="AA255">
        <v>0.99797000000000002</v>
      </c>
      <c r="AB255">
        <v>31</v>
      </c>
      <c r="AC255">
        <v>23.633299999999998</v>
      </c>
      <c r="AD255">
        <v>-1.110079</v>
      </c>
      <c r="AE255">
        <v>-1.4887999999999599</v>
      </c>
      <c r="AF255">
        <v>1.5256278886752299</v>
      </c>
      <c r="AG255">
        <v>-1.110079</v>
      </c>
      <c r="AH255">
        <v>23.578918620841002</v>
      </c>
      <c r="AI255">
        <v>92.6898386354666</v>
      </c>
      <c r="AJ255">
        <v>86.297948901615698</v>
      </c>
      <c r="AK255">
        <v>23.6542854292661</v>
      </c>
      <c r="AL255">
        <v>89.803683017841394</v>
      </c>
      <c r="AM255">
        <v>92.734935254979902</v>
      </c>
      <c r="AN255">
        <v>0.99999999651694305</v>
      </c>
    </row>
    <row r="256" spans="1:40" x14ac:dyDescent="0.3">
      <c r="A256" t="str">
        <f>"20200111160409618"</f>
        <v>20200111160409618</v>
      </c>
      <c r="B256" t="str">
        <f>"1578729849611168"</f>
        <v>1578729849611168</v>
      </c>
      <c r="C256" t="s">
        <v>40</v>
      </c>
      <c r="D256">
        <v>4.8215659999999998</v>
      </c>
      <c r="E256">
        <v>0.54371230000000004</v>
      </c>
      <c r="F256" t="s">
        <v>44</v>
      </c>
      <c r="G256">
        <v>-404.96260000000001</v>
      </c>
      <c r="H256">
        <v>-0.05</v>
      </c>
      <c r="I256">
        <v>365.7749</v>
      </c>
      <c r="J256">
        <v>-428.32760000000002</v>
      </c>
      <c r="K256">
        <v>1.060012</v>
      </c>
      <c r="L256">
        <v>367.27620000000002</v>
      </c>
      <c r="M256">
        <v>0.9999595</v>
      </c>
      <c r="N256">
        <v>0</v>
      </c>
      <c r="O256">
        <v>1.70848299999999E-3</v>
      </c>
      <c r="P256">
        <v>0.99881330000000002</v>
      </c>
      <c r="Q256">
        <v>-5.9626030000000003E-3</v>
      </c>
      <c r="R256">
        <v>4.8337770000000002E-2</v>
      </c>
      <c r="S256">
        <v>3.0123899999999999</v>
      </c>
      <c r="T256">
        <v>-0.14116570000000001</v>
      </c>
      <c r="U256">
        <v>-0.1908569</v>
      </c>
      <c r="V256">
        <v>-4.6631220000000001E-2</v>
      </c>
      <c r="W256">
        <v>2.8737189999999998E-3</v>
      </c>
      <c r="X256">
        <v>0.99890800000000002</v>
      </c>
      <c r="Y256">
        <v>6.4862799999999998E-2</v>
      </c>
      <c r="Z256">
        <v>-1.5973809999999999E-3</v>
      </c>
      <c r="AA256">
        <v>0.99789289999999997</v>
      </c>
      <c r="AB256">
        <v>31</v>
      </c>
      <c r="AC256">
        <v>23.364999999999998</v>
      </c>
      <c r="AD256">
        <v>-1.110012</v>
      </c>
      <c r="AE256">
        <v>-1.5013000000000101</v>
      </c>
      <c r="AF256">
        <v>1.5377616767280899</v>
      </c>
      <c r="AG256">
        <v>-1.110012</v>
      </c>
      <c r="AH256">
        <v>23.310007419224799</v>
      </c>
      <c r="AI256">
        <v>92.720435169294205</v>
      </c>
      <c r="AJ256">
        <v>86.225665244380806</v>
      </c>
      <c r="AK256">
        <v>23.387032379053</v>
      </c>
      <c r="AL256">
        <v>89.835347796698898</v>
      </c>
      <c r="AM256">
        <v>92.672752479220506</v>
      </c>
      <c r="AN256">
        <v>0.99999996070178898</v>
      </c>
    </row>
    <row r="257" spans="1:40" x14ac:dyDescent="0.3">
      <c r="A257" t="str">
        <f>"20200111160409874"</f>
        <v>20200111160409874</v>
      </c>
      <c r="B257" t="str">
        <f>"1578729849871095"</f>
        <v>1578729849871095</v>
      </c>
      <c r="C257" t="s">
        <v>40</v>
      </c>
      <c r="D257">
        <v>4.9964519999999997</v>
      </c>
      <c r="E257">
        <v>0.54379669999999902</v>
      </c>
      <c r="F257" t="s">
        <v>44</v>
      </c>
      <c r="G257">
        <v>-405.03969999999998</v>
      </c>
      <c r="H257">
        <v>-0.05</v>
      </c>
      <c r="I257">
        <v>365.76830000000001</v>
      </c>
      <c r="J257">
        <v>-424.74900000000002</v>
      </c>
      <c r="K257">
        <v>1.059755</v>
      </c>
      <c r="L257">
        <v>367.28269999999998</v>
      </c>
      <c r="M257">
        <v>0.99996010000000002</v>
      </c>
      <c r="N257">
        <v>0</v>
      </c>
      <c r="O257">
        <v>1.797009E-3</v>
      </c>
      <c r="P257">
        <v>0.99863290000000005</v>
      </c>
      <c r="Q257">
        <v>-5.9324240000000004E-3</v>
      </c>
      <c r="R257">
        <v>5.1936490000000002E-2</v>
      </c>
      <c r="S257">
        <v>3.012146</v>
      </c>
      <c r="T257">
        <v>-0.14357329999999999</v>
      </c>
      <c r="U257">
        <v>-0.19503780000000001</v>
      </c>
      <c r="V257">
        <v>-5.0142340000000001E-2</v>
      </c>
      <c r="W257">
        <v>2.8055319999999999E-3</v>
      </c>
      <c r="X257">
        <v>0.99873820000000002</v>
      </c>
      <c r="Y257">
        <v>6.6331329999999994E-2</v>
      </c>
      <c r="Z257">
        <v>-1.6638079999999999E-3</v>
      </c>
      <c r="AA257">
        <v>0.99779620000000002</v>
      </c>
      <c r="AB257">
        <v>31</v>
      </c>
      <c r="AC257">
        <v>19.709299999999999</v>
      </c>
      <c r="AD257">
        <v>-1.1097549999999901</v>
      </c>
      <c r="AE257">
        <v>-1.51439999999996</v>
      </c>
      <c r="AF257">
        <v>1.5449473722568701</v>
      </c>
      <c r="AG257">
        <v>-1.1097549999999901</v>
      </c>
      <c r="AH257">
        <v>19.644631204744901</v>
      </c>
      <c r="AI257">
        <v>93.223357137395894</v>
      </c>
      <c r="AJ257">
        <v>85.503242550888501</v>
      </c>
      <c r="AK257">
        <v>19.736513210633401</v>
      </c>
      <c r="AL257">
        <v>89.839254655675802</v>
      </c>
      <c r="AM257">
        <v>92.874160858443105</v>
      </c>
      <c r="AN257">
        <v>1.0000000587048501</v>
      </c>
    </row>
    <row r="258" spans="1:40" x14ac:dyDescent="0.3">
      <c r="A258" t="str">
        <f>"20200111160409963"</f>
        <v>20200111160409963</v>
      </c>
      <c r="B258" t="str">
        <f>"1578729849960885"</f>
        <v>1578729849960885</v>
      </c>
      <c r="C258" t="s">
        <v>40</v>
      </c>
      <c r="D258">
        <v>5.0437729999999998</v>
      </c>
      <c r="E258">
        <v>0.54391089999999997</v>
      </c>
      <c r="F258" t="s">
        <v>44</v>
      </c>
      <c r="G258">
        <v>-401.32209999999998</v>
      </c>
      <c r="H258">
        <v>-0.05</v>
      </c>
      <c r="I258">
        <v>365.84300000000002</v>
      </c>
      <c r="J258">
        <v>-423.4896</v>
      </c>
      <c r="K258">
        <v>1.0597430000000001</v>
      </c>
      <c r="L258">
        <v>367.28489999999999</v>
      </c>
      <c r="M258">
        <v>0.99995979999999995</v>
      </c>
      <c r="N258">
        <v>0</v>
      </c>
      <c r="O258">
        <v>1.8270999999999999E-3</v>
      </c>
      <c r="P258">
        <v>0.998691</v>
      </c>
      <c r="Q258">
        <v>-5.1363779999999996E-3</v>
      </c>
      <c r="R258">
        <v>5.0893000000000001E-2</v>
      </c>
      <c r="S258">
        <v>3.012848</v>
      </c>
      <c r="T258">
        <v>-0.14272199999999999</v>
      </c>
      <c r="U258">
        <v>-0.18515010000000001</v>
      </c>
      <c r="V258">
        <v>-4.9067779999999998E-2</v>
      </c>
      <c r="W258">
        <v>3.6447599999999999E-3</v>
      </c>
      <c r="X258">
        <v>0.99878880000000003</v>
      </c>
      <c r="Y258">
        <v>6.3088930000000001E-2</v>
      </c>
      <c r="Z258">
        <v>-1.5784799999999999E-3</v>
      </c>
      <c r="AA258">
        <v>0.99800659999999997</v>
      </c>
      <c r="AB258">
        <v>32</v>
      </c>
      <c r="AC258">
        <v>22.1675</v>
      </c>
      <c r="AD258">
        <v>-1.1097429999999999</v>
      </c>
      <c r="AE258">
        <v>-1.44189999999997</v>
      </c>
      <c r="AF258">
        <v>1.4787110975878199</v>
      </c>
      <c r="AG258">
        <v>-1.1097429999999999</v>
      </c>
      <c r="AH258">
        <v>22.109651195528901</v>
      </c>
      <c r="AI258">
        <v>92.867023970539705</v>
      </c>
      <c r="AJ258">
        <v>86.173710850753196</v>
      </c>
      <c r="AK258">
        <v>22.186815725203399</v>
      </c>
      <c r="AL258">
        <v>89.791170172125405</v>
      </c>
      <c r="AM258">
        <v>92.812524760524198</v>
      </c>
      <c r="AN258">
        <v>0.99999999915751303</v>
      </c>
    </row>
    <row r="259" spans="1:40" x14ac:dyDescent="0.3">
      <c r="A259" t="str">
        <f>"20200111160410041"</f>
        <v>20200111160410041</v>
      </c>
      <c r="B259" t="str">
        <f>"1578729850031085"</f>
        <v>1578729850031085</v>
      </c>
      <c r="C259" t="s">
        <v>40</v>
      </c>
      <c r="D259">
        <v>5.0289359999999999</v>
      </c>
      <c r="E259">
        <v>0.54410780000000003</v>
      </c>
      <c r="F259" t="s">
        <v>44</v>
      </c>
      <c r="G259">
        <v>-399.70729999999998</v>
      </c>
      <c r="H259">
        <v>-0.05</v>
      </c>
      <c r="I259">
        <v>365.79309999999998</v>
      </c>
      <c r="J259">
        <v>-422.3766</v>
      </c>
      <c r="K259">
        <v>1.059747</v>
      </c>
      <c r="L259">
        <v>367.28699999999998</v>
      </c>
      <c r="M259">
        <v>0.99995919999999905</v>
      </c>
      <c r="N259">
        <v>0</v>
      </c>
      <c r="O259">
        <v>1.8548250000000001E-3</v>
      </c>
      <c r="P259">
        <v>0.99868290000000004</v>
      </c>
      <c r="Q259">
        <v>-4.8020629999999996E-3</v>
      </c>
      <c r="R259">
        <v>5.1082950000000002E-2</v>
      </c>
      <c r="S259">
        <v>3.012848</v>
      </c>
      <c r="T259">
        <v>-0.14058709999999999</v>
      </c>
      <c r="U259">
        <v>-0.18899540000000001</v>
      </c>
      <c r="V259">
        <v>-4.9230120000000002E-2</v>
      </c>
      <c r="W259">
        <v>4.0300409999999998E-3</v>
      </c>
      <c r="X259">
        <v>0.99877939999999998</v>
      </c>
      <c r="Y259">
        <v>6.4386100000000002E-2</v>
      </c>
      <c r="Z259">
        <v>-1.5863439999999999E-3</v>
      </c>
      <c r="AA259">
        <v>0.99792380000000003</v>
      </c>
      <c r="AB259">
        <v>32</v>
      </c>
      <c r="AC259">
        <v>22.6693</v>
      </c>
      <c r="AD259">
        <v>-1.109747</v>
      </c>
      <c r="AE259">
        <v>-1.49389999999999</v>
      </c>
      <c r="AF259">
        <v>1.53229044980311</v>
      </c>
      <c r="AG259">
        <v>-1.109747</v>
      </c>
      <c r="AH259">
        <v>22.612534060787901</v>
      </c>
      <c r="AI259">
        <v>92.803211377888204</v>
      </c>
      <c r="AJ259">
        <v>86.123399210819997</v>
      </c>
      <c r="AK259">
        <v>22.691543558710599</v>
      </c>
      <c r="AL259">
        <v>89.769095050082001</v>
      </c>
      <c r="AM259">
        <v>92.821841455415907</v>
      </c>
      <c r="AN259">
        <v>1.0000000679050101</v>
      </c>
    </row>
    <row r="260" spans="1:40" x14ac:dyDescent="0.3">
      <c r="A260" t="str">
        <f>"20200111160410064"</f>
        <v>20200111160410064</v>
      </c>
      <c r="B260" t="str">
        <f>"1578729850061341"</f>
        <v>1578729850061341</v>
      </c>
      <c r="C260" t="s">
        <v>40</v>
      </c>
      <c r="D260">
        <v>5.01546</v>
      </c>
      <c r="E260">
        <v>0.54427999999999999</v>
      </c>
      <c r="F260" t="s">
        <v>41</v>
      </c>
      <c r="G260">
        <v>-399.70800000000003</v>
      </c>
      <c r="H260" s="1">
        <v>-1.0853189999999999E-6</v>
      </c>
      <c r="I260">
        <v>365.85829999999999</v>
      </c>
      <c r="J260">
        <v>-422.05880000000002</v>
      </c>
      <c r="K260">
        <v>1.0597460000000001</v>
      </c>
      <c r="L260">
        <v>367.2876</v>
      </c>
      <c r="M260">
        <v>0.99995909999999999</v>
      </c>
      <c r="N260">
        <v>0</v>
      </c>
      <c r="O260">
        <v>1.8628609999999999E-3</v>
      </c>
      <c r="P260">
        <v>0.99866860000000002</v>
      </c>
      <c r="Q260">
        <v>-4.3146800000000004E-3</v>
      </c>
      <c r="R260">
        <v>5.1407670000000003E-2</v>
      </c>
      <c r="S260">
        <v>3.0129700000000001</v>
      </c>
      <c r="T260">
        <v>-0.14085490000000001</v>
      </c>
      <c r="U260">
        <v>-0.1898804</v>
      </c>
      <c r="V260">
        <v>-4.95472E-2</v>
      </c>
      <c r="W260">
        <v>4.5331E-3</v>
      </c>
      <c r="X260">
        <v>0.99876149999999997</v>
      </c>
      <c r="Y260">
        <v>6.4682980000000001E-2</v>
      </c>
      <c r="Z260">
        <v>-1.5965879999999999E-3</v>
      </c>
      <c r="AA260">
        <v>0.99790460000000003</v>
      </c>
      <c r="AB260">
        <v>32</v>
      </c>
      <c r="AC260">
        <v>22.3507999999999</v>
      </c>
      <c r="AD260">
        <v>-1.0597470853190001</v>
      </c>
      <c r="AE260">
        <v>-1.42930000000001</v>
      </c>
      <c r="AF260">
        <v>1.46764957853545</v>
      </c>
      <c r="AG260">
        <v>-1.0597470853190001</v>
      </c>
      <c r="AH260">
        <v>22.298173851164101</v>
      </c>
      <c r="AI260">
        <v>92.715136193887702</v>
      </c>
      <c r="AJ260">
        <v>86.234265156225405</v>
      </c>
      <c r="AK260">
        <v>22.371535849533299</v>
      </c>
      <c r="AL260">
        <v>89.740271613384394</v>
      </c>
      <c r="AM260">
        <v>92.840037449975398</v>
      </c>
      <c r="AN260">
        <v>1.0000000039528401</v>
      </c>
    </row>
    <row r="261" spans="1:40" x14ac:dyDescent="0.3">
      <c r="A261" t="str">
        <f>"20200111160410144"</f>
        <v>20200111160410144</v>
      </c>
      <c r="B261" t="str">
        <f>"1578729850141165"</f>
        <v>1578729850141165</v>
      </c>
      <c r="C261" t="s">
        <v>40</v>
      </c>
      <c r="D261">
        <v>5.0695110000000003</v>
      </c>
      <c r="E261">
        <v>0.54438399999999998</v>
      </c>
      <c r="F261" t="s">
        <v>41</v>
      </c>
      <c r="G261">
        <v>-399.32049999999998</v>
      </c>
      <c r="H261" s="1">
        <v>-1.21922E-6</v>
      </c>
      <c r="I261">
        <v>365.85070000000002</v>
      </c>
      <c r="J261">
        <v>-420.9171</v>
      </c>
      <c r="K261">
        <v>1.0597399999999999</v>
      </c>
      <c r="L261">
        <v>367.28980000000001</v>
      </c>
      <c r="M261">
        <v>0.99995849999999997</v>
      </c>
      <c r="N261">
        <v>0</v>
      </c>
      <c r="O261">
        <v>1.890908E-3</v>
      </c>
      <c r="P261">
        <v>0.99865809999999999</v>
      </c>
      <c r="Q261">
        <v>-4.5746750000000003E-3</v>
      </c>
      <c r="R261">
        <v>5.1587279999999999E-2</v>
      </c>
      <c r="S261">
        <v>3.0131839999999999</v>
      </c>
      <c r="T261">
        <v>-0.14043240000000001</v>
      </c>
      <c r="U261">
        <v>-0.19039919999999999</v>
      </c>
      <c r="V261">
        <v>-4.9698689999999997E-2</v>
      </c>
      <c r="W261">
        <v>4.3328309999999997E-3</v>
      </c>
      <c r="X261">
        <v>0.9987549</v>
      </c>
      <c r="Y261">
        <v>6.4877850000000001E-2</v>
      </c>
      <c r="Z261">
        <v>-1.5975220000000001E-3</v>
      </c>
      <c r="AA261">
        <v>0.997892</v>
      </c>
      <c r="AB261">
        <v>32</v>
      </c>
      <c r="AC261">
        <v>21.596599999999999</v>
      </c>
      <c r="AD261">
        <v>-1.05974121922</v>
      </c>
      <c r="AE261">
        <v>-1.4390999999999901</v>
      </c>
      <c r="AF261">
        <v>1.47639700961345</v>
      </c>
      <c r="AG261">
        <v>-1.05974121922</v>
      </c>
      <c r="AH261">
        <v>21.542199055454901</v>
      </c>
      <c r="AI261">
        <v>92.809742532110604</v>
      </c>
      <c r="AJ261">
        <v>86.079358203449203</v>
      </c>
      <c r="AK261">
        <v>21.6187219725531</v>
      </c>
      <c r="AL261">
        <v>89.751746303953297</v>
      </c>
      <c r="AM261">
        <v>92.848725344589496</v>
      </c>
      <c r="AN261">
        <v>1.0000000417430901</v>
      </c>
    </row>
    <row r="262" spans="1:40" x14ac:dyDescent="0.3">
      <c r="A262" t="str">
        <f>"20200111160410210"</f>
        <v>20200111160410210</v>
      </c>
      <c r="B262" t="str">
        <f>"1578729850200700"</f>
        <v>1578729850200700</v>
      </c>
      <c r="C262" t="s">
        <v>40</v>
      </c>
      <c r="D262">
        <v>5.108816</v>
      </c>
      <c r="E262">
        <v>0.54212050000000001</v>
      </c>
      <c r="F262" t="s">
        <v>41</v>
      </c>
      <c r="G262">
        <v>-398.35070000000002</v>
      </c>
      <c r="H262" s="1">
        <v>-1.5461070000000001E-6</v>
      </c>
      <c r="I262">
        <v>365.86239999999998</v>
      </c>
      <c r="J262">
        <v>-419.94220000000001</v>
      </c>
      <c r="K262">
        <v>1.0597399999999999</v>
      </c>
      <c r="L262">
        <v>367.29160000000002</v>
      </c>
      <c r="M262">
        <v>0.99995789999999996</v>
      </c>
      <c r="N262">
        <v>0</v>
      </c>
      <c r="O262">
        <v>1.91483E-3</v>
      </c>
      <c r="P262">
        <v>0.99862689999999998</v>
      </c>
      <c r="Q262">
        <v>-4.8228389999999998E-3</v>
      </c>
      <c r="R262">
        <v>5.21666E-2</v>
      </c>
      <c r="S262">
        <v>3.0131839999999999</v>
      </c>
      <c r="T262">
        <v>-0.14150170000000001</v>
      </c>
      <c r="U262">
        <v>-0.19058230000000001</v>
      </c>
      <c r="V262">
        <v>-5.0254020000000003E-2</v>
      </c>
      <c r="W262">
        <v>4.1597409999999998E-3</v>
      </c>
      <c r="X262">
        <v>0.99872780000000005</v>
      </c>
      <c r="Y262">
        <v>6.4960900000000002E-2</v>
      </c>
      <c r="Z262">
        <v>-1.6127379999999901E-3</v>
      </c>
      <c r="AA262">
        <v>0.99788650000000001</v>
      </c>
      <c r="AB262">
        <v>32</v>
      </c>
      <c r="AC262">
        <v>21.5915</v>
      </c>
      <c r="AD262">
        <v>-1.0597415461070001</v>
      </c>
      <c r="AE262">
        <v>-1.42920000000003</v>
      </c>
      <c r="AF262">
        <v>1.4670244716730001</v>
      </c>
      <c r="AG262">
        <v>-1.0597415461070001</v>
      </c>
      <c r="AH262">
        <v>21.537067462408601</v>
      </c>
      <c r="AI262">
        <v>92.810491724440993</v>
      </c>
      <c r="AJ262">
        <v>86.103245140811595</v>
      </c>
      <c r="AK262">
        <v>21.612970360997799</v>
      </c>
      <c r="AL262">
        <v>89.761663708114497</v>
      </c>
      <c r="AM262">
        <v>92.880581536217093</v>
      </c>
      <c r="AN262">
        <v>0.99999999423209296</v>
      </c>
    </row>
    <row r="263" spans="1:40" x14ac:dyDescent="0.3">
      <c r="A263" t="str">
        <f>"20200111160410231"</f>
        <v>20200111160410231</v>
      </c>
      <c r="B263" t="str">
        <f>"1578729850221197"</f>
        <v>1578729850221197</v>
      </c>
      <c r="C263" t="s">
        <v>40</v>
      </c>
      <c r="D263">
        <v>4.9838719999999999</v>
      </c>
      <c r="E263">
        <v>0.48653649999999998</v>
      </c>
      <c r="F263" t="s">
        <v>41</v>
      </c>
      <c r="G263">
        <v>-398.10270000000003</v>
      </c>
      <c r="H263" s="1">
        <v>-1.5792709999999999E-6</v>
      </c>
      <c r="I263">
        <v>366.05500000000001</v>
      </c>
      <c r="J263">
        <v>-419.62959999999998</v>
      </c>
      <c r="K263">
        <v>1.0597760000000001</v>
      </c>
      <c r="L263">
        <v>367.29230000000001</v>
      </c>
      <c r="M263">
        <v>0.99995650000000003</v>
      </c>
      <c r="N263">
        <v>0</v>
      </c>
      <c r="O263">
        <v>1.922249E-3</v>
      </c>
      <c r="P263">
        <v>0.99861960000000005</v>
      </c>
      <c r="Q263">
        <v>-5.3627639999999999E-3</v>
      </c>
      <c r="R263">
        <v>5.2255019999999999E-2</v>
      </c>
      <c r="S263">
        <v>3.0123289999999998</v>
      </c>
      <c r="T263">
        <v>-0.14616999999999999</v>
      </c>
      <c r="U263">
        <v>-0.17056270000000001</v>
      </c>
      <c r="V263">
        <v>-5.0335060000000001E-2</v>
      </c>
      <c r="W263">
        <v>3.7582470000000002E-3</v>
      </c>
      <c r="X263">
        <v>0.99872530000000004</v>
      </c>
      <c r="Y263">
        <v>5.8379420000000001E-2</v>
      </c>
      <c r="Z263">
        <v>-1.507586E-3</v>
      </c>
      <c r="AA263">
        <v>0.99829330000000005</v>
      </c>
      <c r="AB263">
        <v>32</v>
      </c>
      <c r="AC263">
        <v>21.526899999999898</v>
      </c>
      <c r="AD263">
        <v>-1.059777579271</v>
      </c>
      <c r="AE263">
        <v>-1.2373000000000001</v>
      </c>
      <c r="AF263">
        <v>1.27559810034013</v>
      </c>
      <c r="AG263">
        <v>-1.059777579271</v>
      </c>
      <c r="AH263">
        <v>21.472611403196499</v>
      </c>
      <c r="AI263">
        <v>92.820567494684695</v>
      </c>
      <c r="AJ263">
        <v>86.600292693159702</v>
      </c>
      <c r="AK263">
        <v>21.536557745001801</v>
      </c>
      <c r="AL263">
        <v>89.784667798128893</v>
      </c>
      <c r="AM263">
        <v>92.885226150496706</v>
      </c>
      <c r="AN263">
        <v>0.999999983772903</v>
      </c>
    </row>
    <row r="264" spans="1:40" x14ac:dyDescent="0.3">
      <c r="A264" t="str">
        <f>"20200111160410254"</f>
        <v>20200111160410254</v>
      </c>
      <c r="B264" t="str">
        <f>"1578729850251454"</f>
        <v>1578729850251454</v>
      </c>
      <c r="C264" t="s">
        <v>40</v>
      </c>
      <c r="D264">
        <v>5.0654009999999996</v>
      </c>
      <c r="E264">
        <v>0.48727179999999998</v>
      </c>
      <c r="F264" t="s">
        <v>44</v>
      </c>
      <c r="G264">
        <v>-404.91640000000001</v>
      </c>
      <c r="H264">
        <v>-0.05</v>
      </c>
      <c r="I264">
        <v>368.66570000000002</v>
      </c>
      <c r="J264">
        <v>-419.30959999999999</v>
      </c>
      <c r="K264">
        <v>1.059822</v>
      </c>
      <c r="L264">
        <v>367.29289999999997</v>
      </c>
      <c r="M264">
        <v>0.99995429999999996</v>
      </c>
      <c r="N264">
        <v>0</v>
      </c>
      <c r="O264">
        <v>1.929474E-3</v>
      </c>
      <c r="P264">
        <v>0.99860439999999995</v>
      </c>
      <c r="Q264">
        <v>-5.5982280000000002E-3</v>
      </c>
      <c r="R264">
        <v>5.2518700000000001E-2</v>
      </c>
      <c r="S264">
        <v>2.9883419999999998</v>
      </c>
      <c r="T264">
        <v>-0.22540350000000001</v>
      </c>
      <c r="U264">
        <v>0.27896120000000002</v>
      </c>
      <c r="V264">
        <v>-5.059222E-2</v>
      </c>
      <c r="W264">
        <v>3.7515719999999999E-3</v>
      </c>
      <c r="X264">
        <v>0.99871239999999994</v>
      </c>
      <c r="Y264">
        <v>-9.0774160000000007E-2</v>
      </c>
      <c r="Z264">
        <v>3.2661809999999999E-3</v>
      </c>
      <c r="AA264">
        <v>0.99586609999999998</v>
      </c>
      <c r="AB264">
        <v>32</v>
      </c>
      <c r="AC264">
        <v>14.393199999999901</v>
      </c>
      <c r="AD264">
        <v>-1.1098219999999901</v>
      </c>
      <c r="AE264">
        <v>1.37280000000004</v>
      </c>
      <c r="AF264">
        <v>-1.3371465220527401</v>
      </c>
      <c r="AG264">
        <v>-1.1098219999999901</v>
      </c>
      <c r="AH264">
        <v>14.3114994727844</v>
      </c>
      <c r="AI264">
        <v>94.415121536128893</v>
      </c>
      <c r="AJ264">
        <v>95.337741378388898</v>
      </c>
      <c r="AK264">
        <v>14.416611351237499</v>
      </c>
      <c r="AL264">
        <v>89.785050264925005</v>
      </c>
      <c r="AM264">
        <v>92.899978962553106</v>
      </c>
      <c r="AN264">
        <v>1.00000005246537</v>
      </c>
    </row>
    <row r="265" spans="1:40" x14ac:dyDescent="0.3">
      <c r="A265" t="str">
        <f>"20200111160410269"</f>
        <v>20200111160410269</v>
      </c>
      <c r="B265" t="str">
        <f>"1578729850261213"</f>
        <v>1578729850261213</v>
      </c>
      <c r="C265" t="s">
        <v>40</v>
      </c>
      <c r="D265">
        <v>5.2441190000000004</v>
      </c>
      <c r="E265">
        <v>0.48675889999999999</v>
      </c>
      <c r="F265" t="s">
        <v>44</v>
      </c>
      <c r="G265">
        <v>-405.16160000000002</v>
      </c>
      <c r="H265">
        <v>-0.05</v>
      </c>
      <c r="I265">
        <v>368.59289999999999</v>
      </c>
      <c r="J265">
        <v>-419.101</v>
      </c>
      <c r="K265">
        <v>1.0598559999999999</v>
      </c>
      <c r="L265">
        <v>367.29329999999999</v>
      </c>
      <c r="M265">
        <v>0.99995299999999998</v>
      </c>
      <c r="N265">
        <v>0</v>
      </c>
      <c r="O265">
        <v>1.935797E-3</v>
      </c>
      <c r="P265">
        <v>0.99859759999999997</v>
      </c>
      <c r="Q265">
        <v>-5.684532E-3</v>
      </c>
      <c r="R265">
        <v>5.2637349999999999E-2</v>
      </c>
      <c r="S265">
        <v>2.9884029999999999</v>
      </c>
      <c r="T265">
        <v>-0.23442209999999999</v>
      </c>
      <c r="U265">
        <v>0.27459719999999999</v>
      </c>
      <c r="V265">
        <v>-5.0704119999999998E-2</v>
      </c>
      <c r="W265">
        <v>3.8173740000000001E-3</v>
      </c>
      <c r="X265">
        <v>0.99870639999999999</v>
      </c>
      <c r="Y265">
        <v>-8.9308029999999997E-2</v>
      </c>
      <c r="Z265">
        <v>3.3388419999999999E-3</v>
      </c>
      <c r="AA265">
        <v>0.99599839999999995</v>
      </c>
      <c r="AB265">
        <v>32</v>
      </c>
      <c r="AC265">
        <v>13.9393999999999</v>
      </c>
      <c r="AD265">
        <v>-1.109856</v>
      </c>
      <c r="AE265">
        <v>1.2995999999999901</v>
      </c>
      <c r="AF265">
        <v>-1.2646644274066701</v>
      </c>
      <c r="AG265">
        <v>-1.109856</v>
      </c>
      <c r="AH265">
        <v>13.854816016165399</v>
      </c>
      <c r="AI265">
        <v>94.561083059313006</v>
      </c>
      <c r="AJ265">
        <v>95.215492498500794</v>
      </c>
      <c r="AK265">
        <v>13.956614320689599</v>
      </c>
      <c r="AL265">
        <v>89.781280044682404</v>
      </c>
      <c r="AM265">
        <v>92.906399589079399</v>
      </c>
      <c r="AN265">
        <v>0.999999976765094</v>
      </c>
    </row>
    <row r="266" spans="1:40" x14ac:dyDescent="0.3">
      <c r="A266" t="str">
        <f>"20200111160410289"</f>
        <v>20200111160410289</v>
      </c>
      <c r="B266" t="str">
        <f>"1578729850280733"</f>
        <v>1578729850280733</v>
      </c>
      <c r="C266" t="s">
        <v>40</v>
      </c>
      <c r="D266">
        <v>5.5389099999999996</v>
      </c>
      <c r="E266">
        <v>0.48755789999999999</v>
      </c>
      <c r="F266" t="s">
        <v>44</v>
      </c>
      <c r="G266">
        <v>-404.82600000000002</v>
      </c>
      <c r="H266">
        <v>-0.05</v>
      </c>
      <c r="I266">
        <v>368.62479999999999</v>
      </c>
      <c r="J266">
        <v>-418.80059999999997</v>
      </c>
      <c r="K266">
        <v>1.0599019999999999</v>
      </c>
      <c r="L266">
        <v>367.29390000000001</v>
      </c>
      <c r="M266">
        <v>0.99995080000000003</v>
      </c>
      <c r="N266">
        <v>0</v>
      </c>
      <c r="O266">
        <v>1.948955E-3</v>
      </c>
      <c r="P266">
        <v>0.99856820000000002</v>
      </c>
      <c r="Q266">
        <v>-5.6367070000000003E-3</v>
      </c>
      <c r="R266">
        <v>5.319455E-2</v>
      </c>
      <c r="S266">
        <v>2.9881899999999999</v>
      </c>
      <c r="T266">
        <v>-0.23232659999999999</v>
      </c>
      <c r="U266">
        <v>0.27871699999999999</v>
      </c>
      <c r="V266">
        <v>-5.1248380000000003E-2</v>
      </c>
      <c r="W266">
        <v>4.0853549999999997E-3</v>
      </c>
      <c r="X266">
        <v>0.99867760000000005</v>
      </c>
      <c r="Y266">
        <v>-9.0663569999999999E-2</v>
      </c>
      <c r="Z266">
        <v>3.360596E-3</v>
      </c>
      <c r="AA266">
        <v>0.99587590000000004</v>
      </c>
      <c r="AB266">
        <v>32</v>
      </c>
      <c r="AC266">
        <v>13.974600000000001</v>
      </c>
      <c r="AD266">
        <v>-1.1099019999999999</v>
      </c>
      <c r="AE266">
        <v>1.33089999999998</v>
      </c>
      <c r="AF266">
        <v>-1.29556139631175</v>
      </c>
      <c r="AG266">
        <v>-1.1099019999999999</v>
      </c>
      <c r="AH266">
        <v>13.890335028694</v>
      </c>
      <c r="AI266">
        <v>94.548831469043506</v>
      </c>
      <c r="AJ266">
        <v>95.328601737301696</v>
      </c>
      <c r="AK266">
        <v>13.994705034068501</v>
      </c>
      <c r="AL266">
        <v>89.765925753696493</v>
      </c>
      <c r="AM266">
        <v>92.937627208322596</v>
      </c>
      <c r="AN266">
        <v>1.00000001765993</v>
      </c>
    </row>
    <row r="267" spans="1:40" x14ac:dyDescent="0.3">
      <c r="A267" t="str">
        <f>"20200111160410302"</f>
        <v>20200111160410302</v>
      </c>
      <c r="B267" t="str">
        <f>"1578729850291469"</f>
        <v>1578729850291469</v>
      </c>
      <c r="C267" t="s">
        <v>40</v>
      </c>
      <c r="D267">
        <v>5.1086689999999999</v>
      </c>
      <c r="E267">
        <v>0.48783609999999999</v>
      </c>
      <c r="F267" t="s">
        <v>44</v>
      </c>
      <c r="G267">
        <v>-403.39890000000003</v>
      </c>
      <c r="H267">
        <v>-0.05</v>
      </c>
      <c r="I267">
        <v>368.70010000000002</v>
      </c>
      <c r="J267">
        <v>-418.6103</v>
      </c>
      <c r="K267">
        <v>1.05992</v>
      </c>
      <c r="L267">
        <v>367.29430000000002</v>
      </c>
      <c r="M267">
        <v>0.99994930000000004</v>
      </c>
      <c r="N267">
        <v>0</v>
      </c>
      <c r="O267">
        <v>1.9538099999999998E-3</v>
      </c>
      <c r="P267">
        <v>0.99857209999999996</v>
      </c>
      <c r="Q267">
        <v>-5.6914390000000004E-3</v>
      </c>
      <c r="R267">
        <v>5.3119010000000001E-2</v>
      </c>
      <c r="S267">
        <v>2.9885250000000001</v>
      </c>
      <c r="T267">
        <v>-0.215364</v>
      </c>
      <c r="U267">
        <v>0.27285769999999998</v>
      </c>
      <c r="V267">
        <v>-5.1167879999999999E-2</v>
      </c>
      <c r="W267">
        <v>4.1726150000000002E-3</v>
      </c>
      <c r="X267">
        <v>0.99868140000000005</v>
      </c>
      <c r="Y267">
        <v>-8.8754379999999994E-2</v>
      </c>
      <c r="Z267">
        <v>3.0469080000000001E-3</v>
      </c>
      <c r="AA267">
        <v>0.99604890000000001</v>
      </c>
      <c r="AB267">
        <v>32</v>
      </c>
      <c r="AC267">
        <v>15.2113999999999</v>
      </c>
      <c r="AD267">
        <v>-1.10992</v>
      </c>
      <c r="AE267">
        <v>1.4057999999999899</v>
      </c>
      <c r="AF267">
        <v>-1.36884952823496</v>
      </c>
      <c r="AG267">
        <v>-1.10992</v>
      </c>
      <c r="AH267">
        <v>15.134224237706899</v>
      </c>
      <c r="AI267">
        <v>94.177480482816605</v>
      </c>
      <c r="AJ267">
        <v>95.168185301427101</v>
      </c>
      <c r="AK267">
        <v>15.236483016580401</v>
      </c>
      <c r="AL267">
        <v>89.760926089339193</v>
      </c>
      <c r="AM267">
        <v>92.933009760971601</v>
      </c>
      <c r="AN267">
        <v>1.00000005068279</v>
      </c>
    </row>
    <row r="268" spans="1:40" x14ac:dyDescent="0.3">
      <c r="A268" t="str">
        <f>"20200111160410321"</f>
        <v>20200111160410321</v>
      </c>
      <c r="B268" t="str">
        <f>"1578729850310988"</f>
        <v>1578729850310988</v>
      </c>
      <c r="C268" t="s">
        <v>40</v>
      </c>
      <c r="D268">
        <v>5.1556870000000004</v>
      </c>
      <c r="E268">
        <v>0.48807260000000002</v>
      </c>
      <c r="F268" t="s">
        <v>44</v>
      </c>
      <c r="G268">
        <v>-403.52749999999997</v>
      </c>
      <c r="H268">
        <v>-0.05</v>
      </c>
      <c r="I268">
        <v>368.66059999999999</v>
      </c>
      <c r="J268">
        <v>-418.33550000000002</v>
      </c>
      <c r="K268">
        <v>1.0599400000000001</v>
      </c>
      <c r="L268">
        <v>367.29480000000001</v>
      </c>
      <c r="M268">
        <v>0.99994740000000004</v>
      </c>
      <c r="N268">
        <v>0</v>
      </c>
      <c r="O268">
        <v>1.9660390000000002E-3</v>
      </c>
      <c r="P268">
        <v>0.99856500000000004</v>
      </c>
      <c r="Q268">
        <v>-6.4977630000000001E-3</v>
      </c>
      <c r="R268">
        <v>5.3161920000000001E-2</v>
      </c>
      <c r="S268">
        <v>2.9886469999999998</v>
      </c>
      <c r="T268">
        <v>-0.21992970000000001</v>
      </c>
      <c r="U268">
        <v>0.27075199999999999</v>
      </c>
      <c r="V268">
        <v>-5.1198479999999998E-2</v>
      </c>
      <c r="W268">
        <v>3.568468E-3</v>
      </c>
      <c r="X268">
        <v>0.99868210000000002</v>
      </c>
      <c r="Y268">
        <v>-8.8034879999999996E-2</v>
      </c>
      <c r="Z268">
        <v>3.084023E-3</v>
      </c>
      <c r="AA268">
        <v>0.99611260000000001</v>
      </c>
      <c r="AB268">
        <v>32</v>
      </c>
      <c r="AC268">
        <v>14.808</v>
      </c>
      <c r="AD268">
        <v>-1.1099399999999999</v>
      </c>
      <c r="AE268">
        <v>1.3657999999999699</v>
      </c>
      <c r="AF268">
        <v>-1.3292774756271</v>
      </c>
      <c r="AG268">
        <v>-1.1099399999999999</v>
      </c>
      <c r="AH268">
        <v>14.7286047922595</v>
      </c>
      <c r="AI268">
        <v>94.292254420281793</v>
      </c>
      <c r="AJ268">
        <v>95.157053713370502</v>
      </c>
      <c r="AK268">
        <v>14.830062189262</v>
      </c>
      <c r="AL268">
        <v>89.795541405760801</v>
      </c>
      <c r="AM268">
        <v>92.934758674106703</v>
      </c>
      <c r="AN268">
        <v>0.99999997758929304</v>
      </c>
    </row>
    <row r="269" spans="1:40" x14ac:dyDescent="0.3">
      <c r="A269" t="str">
        <f>"20200111160410343"</f>
        <v>20200111160410343</v>
      </c>
      <c r="B269" t="str">
        <f>"1578729850341244"</f>
        <v>1578729850341244</v>
      </c>
      <c r="C269" t="s">
        <v>40</v>
      </c>
      <c r="D269">
        <v>4.6948040000000004</v>
      </c>
      <c r="E269">
        <v>0.48918669999999997</v>
      </c>
      <c r="F269" t="s">
        <v>44</v>
      </c>
      <c r="G269">
        <v>-403.82049999999998</v>
      </c>
      <c r="H269">
        <v>-0.05</v>
      </c>
      <c r="I269">
        <v>368.60379999999998</v>
      </c>
      <c r="J269">
        <v>-418.02550000000002</v>
      </c>
      <c r="K269">
        <v>1.059963</v>
      </c>
      <c r="L269">
        <v>367.29539999999997</v>
      </c>
      <c r="M269">
        <v>0.99994519999999998</v>
      </c>
      <c r="N269">
        <v>0</v>
      </c>
      <c r="O269">
        <v>1.9710209999999999E-3</v>
      </c>
      <c r="P269">
        <v>0.99854770000000004</v>
      </c>
      <c r="Q269">
        <v>-7.8790519999999992E-3</v>
      </c>
      <c r="R269">
        <v>5.3300180000000003E-2</v>
      </c>
      <c r="S269">
        <v>2.9884949999999999</v>
      </c>
      <c r="T269">
        <v>-0.22852510000000001</v>
      </c>
      <c r="U269">
        <v>0.26950069999999998</v>
      </c>
      <c r="V269">
        <v>-5.1331990000000001E-2</v>
      </c>
      <c r="W269">
        <v>2.404036E-3</v>
      </c>
      <c r="X269">
        <v>0.99867870000000003</v>
      </c>
      <c r="Y269">
        <v>-8.7603639999999997E-2</v>
      </c>
      <c r="Z269">
        <v>3.1876230000000001E-3</v>
      </c>
      <c r="AA269">
        <v>0.99615030000000004</v>
      </c>
      <c r="AB269">
        <v>32</v>
      </c>
      <c r="AC269">
        <v>14.205</v>
      </c>
      <c r="AD269">
        <v>-1.10996299999999</v>
      </c>
      <c r="AE269">
        <v>1.3084</v>
      </c>
      <c r="AF269">
        <v>-1.27269233538653</v>
      </c>
      <c r="AG269">
        <v>-1.10996299999999</v>
      </c>
      <c r="AH269">
        <v>14.122051971147</v>
      </c>
      <c r="AI269">
        <v>94.476020627175899</v>
      </c>
      <c r="AJ269">
        <v>95.149637100073207</v>
      </c>
      <c r="AK269">
        <v>14.2226620404796</v>
      </c>
      <c r="AL269">
        <v>89.862258743729598</v>
      </c>
      <c r="AM269">
        <v>92.942408197420093</v>
      </c>
      <c r="AN269">
        <v>0.99999994921006796</v>
      </c>
    </row>
    <row r="270" spans="1:40" x14ac:dyDescent="0.3">
      <c r="A270" t="str">
        <f>"20200111160410355"</f>
        <v>20200111160410355</v>
      </c>
      <c r="B270" t="str">
        <f>"1578729850351004"</f>
        <v>1578729850351004</v>
      </c>
      <c r="C270" t="s">
        <v>40</v>
      </c>
      <c r="D270">
        <v>5.0353339999999998</v>
      </c>
      <c r="E270">
        <v>0.48946410000000001</v>
      </c>
      <c r="F270" t="s">
        <v>44</v>
      </c>
      <c r="G270">
        <v>-403.33280000000002</v>
      </c>
      <c r="H270">
        <v>-0.05</v>
      </c>
      <c r="I270">
        <v>368.5754</v>
      </c>
      <c r="J270">
        <v>-417.83839999999998</v>
      </c>
      <c r="K270">
        <v>1.059971</v>
      </c>
      <c r="L270">
        <v>367.29579999999999</v>
      </c>
      <c r="M270">
        <v>0.9999439</v>
      </c>
      <c r="N270">
        <v>0</v>
      </c>
      <c r="O270">
        <v>1.9738999999999998E-3</v>
      </c>
      <c r="P270">
        <v>0.99853919999999996</v>
      </c>
      <c r="Q270">
        <v>-8.3551240000000002E-3</v>
      </c>
      <c r="R270">
        <v>5.3384670000000002E-2</v>
      </c>
      <c r="S270">
        <v>2.9887079999999999</v>
      </c>
      <c r="T270">
        <v>-0.2257825</v>
      </c>
      <c r="U270">
        <v>0.260376</v>
      </c>
      <c r="V270">
        <v>-5.1413470000000003E-2</v>
      </c>
      <c r="W270">
        <v>2.0492700000000002E-3</v>
      </c>
      <c r="X270">
        <v>0.99867530000000004</v>
      </c>
      <c r="Y270">
        <v>-8.4590819999999997E-2</v>
      </c>
      <c r="Z270">
        <v>3.0360320000000001E-3</v>
      </c>
      <c r="AA270">
        <v>0.99641109999999999</v>
      </c>
      <c r="AB270">
        <v>32</v>
      </c>
      <c r="AC270">
        <v>14.5055999999999</v>
      </c>
      <c r="AD270">
        <v>-1.10997099999999</v>
      </c>
      <c r="AE270">
        <v>1.2796000000000101</v>
      </c>
      <c r="AF270">
        <v>-1.2437370860864201</v>
      </c>
      <c r="AG270">
        <v>-1.10997099999999</v>
      </c>
      <c r="AH270">
        <v>14.424290762985301</v>
      </c>
      <c r="AI270">
        <v>94.384121501588595</v>
      </c>
      <c r="AJ270">
        <v>94.928149856397795</v>
      </c>
      <c r="AK270">
        <v>14.520298949239701</v>
      </c>
      <c r="AL270">
        <v>89.882585389820804</v>
      </c>
      <c r="AM270">
        <v>92.947080512650302</v>
      </c>
      <c r="AN270">
        <v>0.99999994961753003</v>
      </c>
    </row>
    <row r="271" spans="1:40" x14ac:dyDescent="0.3">
      <c r="A271" t="str">
        <f>"20200111160410377"</f>
        <v>20200111160410377</v>
      </c>
      <c r="B271" t="str">
        <f>"1578729850370525"</f>
        <v>1578729850370525</v>
      </c>
      <c r="C271" t="s">
        <v>40</v>
      </c>
      <c r="D271">
        <v>5.1118290000000002</v>
      </c>
      <c r="E271">
        <v>0.48934640000000001</v>
      </c>
      <c r="F271" t="s">
        <v>44</v>
      </c>
      <c r="G271">
        <v>-403.3929</v>
      </c>
      <c r="H271">
        <v>-0.05</v>
      </c>
      <c r="I271">
        <v>368.54520000000002</v>
      </c>
      <c r="J271">
        <v>-417.52879999999999</v>
      </c>
      <c r="K271">
        <v>1.0599829999999999</v>
      </c>
      <c r="L271">
        <v>367.29649999999998</v>
      </c>
      <c r="M271">
        <v>0.99994179999999999</v>
      </c>
      <c r="N271">
        <v>0</v>
      </c>
      <c r="O271">
        <v>1.9799750000000001E-3</v>
      </c>
      <c r="P271">
        <v>0.99851489999999998</v>
      </c>
      <c r="Q271">
        <v>-9.3413049999999994E-3</v>
      </c>
      <c r="R271">
        <v>5.3674949999999999E-2</v>
      </c>
      <c r="S271">
        <v>2.9886469999999998</v>
      </c>
      <c r="T271">
        <v>-0.22964370000000001</v>
      </c>
      <c r="U271">
        <v>0.25848389999999999</v>
      </c>
      <c r="V271">
        <v>-5.1697840000000002E-2</v>
      </c>
      <c r="W271">
        <v>1.251046E-3</v>
      </c>
      <c r="X271">
        <v>0.99866200000000005</v>
      </c>
      <c r="Y271">
        <v>-8.3954180000000003E-2</v>
      </c>
      <c r="Z271">
        <v>3.063105E-3</v>
      </c>
      <c r="AA271">
        <v>0.99646489999999999</v>
      </c>
      <c r="AB271">
        <v>32</v>
      </c>
      <c r="AC271">
        <v>14.1358999999999</v>
      </c>
      <c r="AD271">
        <v>-1.1099829999999999</v>
      </c>
      <c r="AE271">
        <v>1.2487000000000399</v>
      </c>
      <c r="AF271">
        <v>-1.21328436620568</v>
      </c>
      <c r="AG271">
        <v>-1.1099829999999999</v>
      </c>
      <c r="AH271">
        <v>14.0523723001251</v>
      </c>
      <c r="AI271">
        <v>94.499688178804604</v>
      </c>
      <c r="AJ271">
        <v>94.934690156771694</v>
      </c>
      <c r="AK271">
        <v>14.1482609699882</v>
      </c>
      <c r="AL271">
        <v>89.928320326314605</v>
      </c>
      <c r="AM271">
        <v>92.9633913565482</v>
      </c>
      <c r="AN271">
        <v>1.0000000110103799</v>
      </c>
    </row>
    <row r="272" spans="1:40" x14ac:dyDescent="0.3">
      <c r="A272" t="str">
        <f>"20200111160410390"</f>
        <v>20200111160410390</v>
      </c>
      <c r="B272" t="str">
        <f>"1578729850381261"</f>
        <v>1578729850381261</v>
      </c>
      <c r="C272" t="s">
        <v>40</v>
      </c>
      <c r="D272">
        <v>5.1595069999999996</v>
      </c>
      <c r="E272">
        <v>0.48934650000000002</v>
      </c>
      <c r="F272" t="s">
        <v>44</v>
      </c>
      <c r="G272">
        <v>-403.49529999999999</v>
      </c>
      <c r="H272">
        <v>-0.05</v>
      </c>
      <c r="I272">
        <v>368.51819999999998</v>
      </c>
      <c r="J272">
        <v>-417.33749999999998</v>
      </c>
      <c r="K272">
        <v>1.0599909999999999</v>
      </c>
      <c r="L272">
        <v>367.29680000000002</v>
      </c>
      <c r="M272">
        <v>0.99994079999999996</v>
      </c>
      <c r="N272">
        <v>0</v>
      </c>
      <c r="O272">
        <v>1.9845689999999998E-3</v>
      </c>
      <c r="P272">
        <v>0.99851029999999996</v>
      </c>
      <c r="Q272">
        <v>-9.8213529999999997E-3</v>
      </c>
      <c r="R272">
        <v>5.3674119999999999E-2</v>
      </c>
      <c r="S272">
        <v>2.988251</v>
      </c>
      <c r="T272">
        <v>-0.23635600000000001</v>
      </c>
      <c r="U272">
        <v>0.26016240000000002</v>
      </c>
      <c r="V272">
        <v>-5.169261E-2</v>
      </c>
      <c r="W272">
        <v>8.7911300000000005E-4</v>
      </c>
      <c r="X272">
        <v>0.99866270000000001</v>
      </c>
      <c r="Y272">
        <v>-8.4500519999999996E-2</v>
      </c>
      <c r="Z272">
        <v>3.1738719999999999E-3</v>
      </c>
      <c r="AA272">
        <v>0.99641840000000004</v>
      </c>
      <c r="AB272">
        <v>32</v>
      </c>
      <c r="AC272">
        <v>13.842199999999901</v>
      </c>
      <c r="AD272">
        <v>-1.1099909999999999</v>
      </c>
      <c r="AE272">
        <v>1.2213999999999501</v>
      </c>
      <c r="AF272">
        <v>-1.1863555799102501</v>
      </c>
      <c r="AG272">
        <v>-1.1099909999999999</v>
      </c>
      <c r="AH272">
        <v>13.7568202835779</v>
      </c>
      <c r="AI272">
        <v>94.596022998829497</v>
      </c>
      <c r="AJ272">
        <v>94.928857859716103</v>
      </c>
      <c r="AK272">
        <v>13.8524230334164</v>
      </c>
      <c r="AL272">
        <v>89.949630531091501</v>
      </c>
      <c r="AM272">
        <v>92.963090026778801</v>
      </c>
      <c r="AN272">
        <v>1.00000004356978</v>
      </c>
    </row>
    <row r="273" spans="1:40" x14ac:dyDescent="0.3">
      <c r="A273" t="str">
        <f>"20200111160410403"</f>
        <v>20200111160410403</v>
      </c>
      <c r="B273" t="str">
        <f>"1578729850400780"</f>
        <v>1578729850400780</v>
      </c>
      <c r="C273" t="s">
        <v>40</v>
      </c>
      <c r="D273">
        <v>5.3309350000000002</v>
      </c>
      <c r="E273">
        <v>0.48904059999999999</v>
      </c>
      <c r="F273" t="s">
        <v>44</v>
      </c>
      <c r="G273">
        <v>-403.39839999999998</v>
      </c>
      <c r="H273">
        <v>-0.05</v>
      </c>
      <c r="I273">
        <v>368.50990000000002</v>
      </c>
      <c r="J273">
        <v>-417.14260000000002</v>
      </c>
      <c r="K273">
        <v>1.060003</v>
      </c>
      <c r="L273">
        <v>367.29719999999998</v>
      </c>
      <c r="M273">
        <v>0.99993940000000003</v>
      </c>
      <c r="N273">
        <v>0</v>
      </c>
      <c r="O273">
        <v>1.9898910000000001E-3</v>
      </c>
      <c r="P273">
        <v>0.99849469999999996</v>
      </c>
      <c r="Q273">
        <v>-9.9910829999999996E-3</v>
      </c>
      <c r="R273">
        <v>5.392835E-2</v>
      </c>
      <c r="S273">
        <v>2.988159</v>
      </c>
      <c r="T273">
        <v>-0.2379511</v>
      </c>
      <c r="U273">
        <v>0.2600403</v>
      </c>
      <c r="V273">
        <v>-5.1941189999999998E-2</v>
      </c>
      <c r="W273">
        <v>8.1330929999999903E-4</v>
      </c>
      <c r="X273">
        <v>0.99864980000000003</v>
      </c>
      <c r="Y273">
        <v>-8.445416E-2</v>
      </c>
      <c r="Z273">
        <v>3.193067E-3</v>
      </c>
      <c r="AA273">
        <v>0.99642220000000004</v>
      </c>
      <c r="AB273">
        <v>32</v>
      </c>
      <c r="AC273">
        <v>13.744199999999999</v>
      </c>
      <c r="AD273">
        <v>-1.1100030000000001</v>
      </c>
      <c r="AE273">
        <v>1.2127000000000401</v>
      </c>
      <c r="AF273">
        <v>-1.1777242532524499</v>
      </c>
      <c r="AG273">
        <v>-1.1100030000000001</v>
      </c>
      <c r="AH273">
        <v>13.6581896734021</v>
      </c>
      <c r="AI273">
        <v>94.629122234068106</v>
      </c>
      <c r="AJ273">
        <v>94.928334624238204</v>
      </c>
      <c r="AK273">
        <v>13.753737173268</v>
      </c>
      <c r="AL273">
        <v>89.953400803875198</v>
      </c>
      <c r="AM273">
        <v>92.977351781809006</v>
      </c>
      <c r="AN273">
        <v>0.99999998586533601</v>
      </c>
    </row>
    <row r="274" spans="1:40" x14ac:dyDescent="0.3">
      <c r="A274" t="str">
        <f>"20200111160410423"</f>
        <v>20200111160410423</v>
      </c>
      <c r="B274" t="str">
        <f>"1578729850410540"</f>
        <v>1578729850410540</v>
      </c>
      <c r="C274" t="s">
        <v>40</v>
      </c>
      <c r="D274">
        <v>5.1656879999999896</v>
      </c>
      <c r="E274">
        <v>0.48908289999999999</v>
      </c>
      <c r="F274" t="s">
        <v>44</v>
      </c>
      <c r="G274">
        <v>-403.30070000000001</v>
      </c>
      <c r="H274">
        <v>-0.05</v>
      </c>
      <c r="I274">
        <v>368.51760000000002</v>
      </c>
      <c r="J274">
        <v>-416.86720000000003</v>
      </c>
      <c r="K274">
        <v>1.060009</v>
      </c>
      <c r="L274">
        <v>367.2978</v>
      </c>
      <c r="M274">
        <v>0.9999382</v>
      </c>
      <c r="N274">
        <v>0</v>
      </c>
      <c r="O274">
        <v>1.9964280000000002E-3</v>
      </c>
      <c r="P274">
        <v>0.99843579999999998</v>
      </c>
      <c r="Q274">
        <v>-1.035492E-2</v>
      </c>
      <c r="R274">
        <v>5.4945330000000001E-2</v>
      </c>
      <c r="S274">
        <v>2.987854</v>
      </c>
      <c r="T274">
        <v>-0.23960029999999999</v>
      </c>
      <c r="U274">
        <v>0.26342769999999999</v>
      </c>
      <c r="V274">
        <v>-5.2952119999999998E-2</v>
      </c>
      <c r="W274">
        <v>5.8252E-4</v>
      </c>
      <c r="X274">
        <v>0.99859690000000001</v>
      </c>
      <c r="Y274">
        <v>-8.5570300000000002E-2</v>
      </c>
      <c r="Z274">
        <v>3.2593679999999999E-3</v>
      </c>
      <c r="AA274">
        <v>0.99632679999999996</v>
      </c>
      <c r="AB274">
        <v>32</v>
      </c>
      <c r="AC274">
        <v>13.5665</v>
      </c>
      <c r="AD274">
        <v>-1.110009</v>
      </c>
      <c r="AE274">
        <v>1.21980000000002</v>
      </c>
      <c r="AF274">
        <v>-1.18484310024055</v>
      </c>
      <c r="AG274">
        <v>-1.110009</v>
      </c>
      <c r="AH274">
        <v>13.479394363029099</v>
      </c>
      <c r="AI274">
        <v>94.689603058187402</v>
      </c>
      <c r="AJ274">
        <v>95.023406271333698</v>
      </c>
      <c r="AK274">
        <v>13.576820155925001</v>
      </c>
      <c r="AL274">
        <v>89.966624061215001</v>
      </c>
      <c r="AM274">
        <v>93.035353067591998</v>
      </c>
      <c r="AN274">
        <v>1.0000000175158199</v>
      </c>
    </row>
    <row r="275" spans="1:40" x14ac:dyDescent="0.3">
      <c r="A275" t="str">
        <f>"20200111160410444"</f>
        <v>20200111160410444</v>
      </c>
      <c r="B275" t="str">
        <f>"1578729850440796"</f>
        <v>1578729850440796</v>
      </c>
      <c r="C275" t="s">
        <v>40</v>
      </c>
      <c r="D275">
        <v>5.8639970000000003</v>
      </c>
      <c r="E275">
        <v>0.48946400000000001</v>
      </c>
      <c r="F275" t="s">
        <v>44</v>
      </c>
      <c r="G275">
        <v>-403.13929999999999</v>
      </c>
      <c r="H275">
        <v>-0.05</v>
      </c>
      <c r="I275">
        <v>368.5213</v>
      </c>
      <c r="J275">
        <v>-416.56220000000002</v>
      </c>
      <c r="K275">
        <v>1.0600160000000001</v>
      </c>
      <c r="L275">
        <v>367.29840000000002</v>
      </c>
      <c r="M275">
        <v>0.99993659999999995</v>
      </c>
      <c r="N275">
        <v>0</v>
      </c>
      <c r="O275">
        <v>2.0032660000000001E-3</v>
      </c>
      <c r="P275">
        <v>0.99837220000000004</v>
      </c>
      <c r="Q275">
        <v>-1.0336430000000001E-2</v>
      </c>
      <c r="R275">
        <v>5.6091630000000003E-2</v>
      </c>
      <c r="S275">
        <v>2.987549</v>
      </c>
      <c r="T275">
        <v>-0.24156659999999999</v>
      </c>
      <c r="U275">
        <v>0.2662659</v>
      </c>
      <c r="V275">
        <v>-5.409108E-2</v>
      </c>
      <c r="W275">
        <v>7.3367750000000002E-4</v>
      </c>
      <c r="X275">
        <v>0.99853579999999997</v>
      </c>
      <c r="Y275">
        <v>-8.6504070000000002E-2</v>
      </c>
      <c r="Z275">
        <v>3.3232909999999999E-3</v>
      </c>
      <c r="AA275">
        <v>0.99624599999999996</v>
      </c>
      <c r="AB275">
        <v>32</v>
      </c>
      <c r="AC275">
        <v>13.4229</v>
      </c>
      <c r="AD275">
        <v>-1.1100159999999999</v>
      </c>
      <c r="AE275">
        <v>1.2228999999999799</v>
      </c>
      <c r="AF275">
        <v>-1.1879492477315901</v>
      </c>
      <c r="AG275">
        <v>-1.1100159999999999</v>
      </c>
      <c r="AH275">
        <v>13.3348820630898</v>
      </c>
      <c r="AI275">
        <v>94.739733294798597</v>
      </c>
      <c r="AJ275">
        <v>95.090804002401896</v>
      </c>
      <c r="AK275">
        <v>13.433630878208501</v>
      </c>
      <c r="AL275">
        <v>89.957963374626402</v>
      </c>
      <c r="AM275">
        <v>93.100704516540901</v>
      </c>
      <c r="AN275">
        <v>1.00000006354993</v>
      </c>
    </row>
    <row r="276" spans="1:40" x14ac:dyDescent="0.3">
      <c r="A276" t="str">
        <f>"20200111160410467"</f>
        <v>20200111160410467</v>
      </c>
      <c r="B276" t="str">
        <f>"1578729850461293"</f>
        <v>1578729850461293</v>
      </c>
      <c r="C276" t="s">
        <v>40</v>
      </c>
      <c r="D276">
        <v>5.0217660000000004</v>
      </c>
      <c r="E276">
        <v>0.48930099999999999</v>
      </c>
      <c r="F276" t="s">
        <v>44</v>
      </c>
      <c r="G276">
        <v>-402.67939999999999</v>
      </c>
      <c r="H276">
        <v>-0.05</v>
      </c>
      <c r="I276">
        <v>368.53579999999999</v>
      </c>
      <c r="J276">
        <v>-416.22949999999997</v>
      </c>
      <c r="K276">
        <v>1.0600240000000001</v>
      </c>
      <c r="L276">
        <v>367.29910000000001</v>
      </c>
      <c r="M276">
        <v>0.99993529999999997</v>
      </c>
      <c r="N276">
        <v>0</v>
      </c>
      <c r="O276">
        <v>2.010487E-3</v>
      </c>
      <c r="P276">
        <v>0.99832489999999996</v>
      </c>
      <c r="Q276">
        <v>-1.020631E-2</v>
      </c>
      <c r="R276">
        <v>5.6952580000000003E-2</v>
      </c>
      <c r="S276">
        <v>2.987457</v>
      </c>
      <c r="T276">
        <v>-0.23886560000000001</v>
      </c>
      <c r="U276">
        <v>0.2662659</v>
      </c>
      <c r="V276">
        <v>-5.4945239999999999E-2</v>
      </c>
      <c r="W276">
        <v>9.9021580000000007E-4</v>
      </c>
      <c r="X276">
        <v>0.99848890000000001</v>
      </c>
      <c r="Y276">
        <v>-8.6505639999999995E-2</v>
      </c>
      <c r="Z276">
        <v>3.2858369999999998E-3</v>
      </c>
      <c r="AA276">
        <v>0.99624590000000002</v>
      </c>
      <c r="AB276">
        <v>32</v>
      </c>
      <c r="AC276">
        <v>13.550099999999899</v>
      </c>
      <c r="AD276">
        <v>-1.1100239999999999</v>
      </c>
      <c r="AE276">
        <v>1.2366999999999799</v>
      </c>
      <c r="AF276">
        <v>-1.20145726076982</v>
      </c>
      <c r="AG276">
        <v>-1.1100239999999999</v>
      </c>
      <c r="AH276">
        <v>13.462957173723</v>
      </c>
      <c r="AI276">
        <v>94.694815272101394</v>
      </c>
      <c r="AJ276">
        <v>95.099663673719405</v>
      </c>
      <c r="AK276">
        <v>13.5619640425542</v>
      </c>
      <c r="AL276">
        <v>89.943264805810799</v>
      </c>
      <c r="AM276">
        <v>93.149718013029499</v>
      </c>
      <c r="AN276">
        <v>1.0000000216745899</v>
      </c>
    </row>
    <row r="277" spans="1:40" x14ac:dyDescent="0.3">
      <c r="A277" t="str">
        <f>"20200111160410479"</f>
        <v>20200111160410479</v>
      </c>
      <c r="B277" t="str">
        <f>"1578729850471053"</f>
        <v>1578729850471053</v>
      </c>
      <c r="C277" t="s">
        <v>40</v>
      </c>
      <c r="D277">
        <v>5.0879209999999997</v>
      </c>
      <c r="E277">
        <v>0.489423</v>
      </c>
      <c r="F277" t="s">
        <v>44</v>
      </c>
      <c r="G277">
        <v>-402.34879999999998</v>
      </c>
      <c r="H277">
        <v>-0.05</v>
      </c>
      <c r="I277">
        <v>368.55520000000001</v>
      </c>
      <c r="J277">
        <v>-416.03879999999998</v>
      </c>
      <c r="K277">
        <v>1.0600290000000001</v>
      </c>
      <c r="L277">
        <v>367.29939999999999</v>
      </c>
      <c r="M277">
        <v>0.9999344</v>
      </c>
      <c r="N277">
        <v>0</v>
      </c>
      <c r="O277">
        <v>2.0148259999999999E-3</v>
      </c>
      <c r="P277">
        <v>0.99830140000000001</v>
      </c>
      <c r="Q277">
        <v>-1.0352770000000001E-2</v>
      </c>
      <c r="R277">
        <v>5.7334099999999999E-2</v>
      </c>
      <c r="S277">
        <v>2.9871829999999999</v>
      </c>
      <c r="T277">
        <v>-0.23888129999999999</v>
      </c>
      <c r="U277">
        <v>0.27032469999999997</v>
      </c>
      <c r="V277">
        <v>-5.5322330000000003E-2</v>
      </c>
      <c r="W277">
        <v>9.0963049999999998E-4</v>
      </c>
      <c r="X277">
        <v>0.99846820000000003</v>
      </c>
      <c r="Y277">
        <v>-8.7847869999999995E-2</v>
      </c>
      <c r="Z277">
        <v>3.3392819999999998E-3</v>
      </c>
      <c r="AA277">
        <v>0.99612829999999997</v>
      </c>
      <c r="AB277">
        <v>32</v>
      </c>
      <c r="AC277">
        <v>13.6899999999999</v>
      </c>
      <c r="AD277">
        <v>-1.1100289999999999</v>
      </c>
      <c r="AE277">
        <v>1.25580000000002</v>
      </c>
      <c r="AF277">
        <v>-1.2202571102903299</v>
      </c>
      <c r="AG277">
        <v>-1.1100289999999999</v>
      </c>
      <c r="AH277">
        <v>13.603810841509</v>
      </c>
      <c r="AI277">
        <v>94.646251969103005</v>
      </c>
      <c r="AJ277">
        <v>95.125693747982695</v>
      </c>
      <c r="AK277">
        <v>13.7034616505324</v>
      </c>
      <c r="AL277">
        <v>89.947882007739096</v>
      </c>
      <c r="AM277">
        <v>93.171356214658999</v>
      </c>
      <c r="AN277">
        <v>1.00000006701775</v>
      </c>
    </row>
    <row r="278" spans="1:40" x14ac:dyDescent="0.3">
      <c r="A278" t="str">
        <f>"20200111160410500"</f>
        <v>20200111160410500</v>
      </c>
      <c r="B278" t="str">
        <f>"1578729850490572"</f>
        <v>1578729850490572</v>
      </c>
      <c r="C278" t="s">
        <v>40</v>
      </c>
      <c r="D278">
        <v>5.1482780000000004</v>
      </c>
      <c r="E278">
        <v>0.489647</v>
      </c>
      <c r="F278" t="s">
        <v>44</v>
      </c>
      <c r="G278">
        <v>-402.17930000000001</v>
      </c>
      <c r="H278">
        <v>-0.05</v>
      </c>
      <c r="I278">
        <v>368.55309999999997</v>
      </c>
      <c r="J278">
        <v>-415.74259999999998</v>
      </c>
      <c r="K278">
        <v>1.0600339999999999</v>
      </c>
      <c r="L278">
        <v>367.3</v>
      </c>
      <c r="M278">
        <v>0.99993339999999997</v>
      </c>
      <c r="N278">
        <v>0</v>
      </c>
      <c r="O278">
        <v>2.022224E-3</v>
      </c>
      <c r="P278">
        <v>0.99829129999999999</v>
      </c>
      <c r="Q278">
        <v>-1.0117259999999999E-2</v>
      </c>
      <c r="R278">
        <v>5.7549639999999999E-2</v>
      </c>
      <c r="S278">
        <v>2.9871219999999998</v>
      </c>
      <c r="T278">
        <v>-0.2392436</v>
      </c>
      <c r="U278">
        <v>0.27020260000000001</v>
      </c>
      <c r="V278">
        <v>-5.5530839999999998E-2</v>
      </c>
      <c r="W278">
        <v>1.2376939999999999E-3</v>
      </c>
      <c r="X278">
        <v>0.99845620000000002</v>
      </c>
      <c r="Y278">
        <v>-8.7801299999999999E-2</v>
      </c>
      <c r="Z278">
        <v>3.3419550000000002E-3</v>
      </c>
      <c r="AA278">
        <v>0.99613240000000003</v>
      </c>
      <c r="AB278">
        <v>32</v>
      </c>
      <c r="AC278">
        <v>13.5632999999999</v>
      </c>
      <c r="AD278">
        <v>-1.110034</v>
      </c>
      <c r="AE278">
        <v>1.2530999999999599</v>
      </c>
      <c r="AF278">
        <v>-1.2175813605371999</v>
      </c>
      <c r="AG278">
        <v>-1.110034</v>
      </c>
      <c r="AH278">
        <v>13.476306807423899</v>
      </c>
      <c r="AI278">
        <v>94.689766550788903</v>
      </c>
      <c r="AJ278">
        <v>95.1626438491964</v>
      </c>
      <c r="AK278">
        <v>13.5766536752803</v>
      </c>
      <c r="AL278">
        <v>89.929085338989793</v>
      </c>
      <c r="AM278">
        <v>93.183322707921405</v>
      </c>
      <c r="AN278">
        <v>0.99999999469799095</v>
      </c>
    </row>
    <row r="279" spans="1:40" x14ac:dyDescent="0.3">
      <c r="A279" t="str">
        <f>"20200111160410521"</f>
        <v>20200111160410521</v>
      </c>
      <c r="B279" t="str">
        <f>"1578729850511068"</f>
        <v>1578729850511068</v>
      </c>
      <c r="C279" t="s">
        <v>40</v>
      </c>
      <c r="D279">
        <v>5.0674210000000004</v>
      </c>
      <c r="E279">
        <v>0.489763</v>
      </c>
      <c r="F279" t="s">
        <v>44</v>
      </c>
      <c r="G279">
        <v>-401.87419999999997</v>
      </c>
      <c r="H279">
        <v>-0.05</v>
      </c>
      <c r="I279">
        <v>368.54860000000002</v>
      </c>
      <c r="J279">
        <v>-415.43830000000003</v>
      </c>
      <c r="K279">
        <v>1.0600400000000001</v>
      </c>
      <c r="L279">
        <v>367.30070000000001</v>
      </c>
      <c r="M279">
        <v>0.9999323</v>
      </c>
      <c r="N279">
        <v>0</v>
      </c>
      <c r="O279">
        <v>2.0301429999999999E-3</v>
      </c>
      <c r="P279">
        <v>0.99830339999999995</v>
      </c>
      <c r="Q279">
        <v>-9.7698119999999992E-3</v>
      </c>
      <c r="R279">
        <v>5.7403650000000001E-2</v>
      </c>
      <c r="S279">
        <v>2.9872130000000001</v>
      </c>
      <c r="T279">
        <v>-0.2390988</v>
      </c>
      <c r="U279">
        <v>0.26895140000000001</v>
      </c>
      <c r="V279">
        <v>-5.5376540000000002E-2</v>
      </c>
      <c r="W279">
        <v>1.66970799999999E-3</v>
      </c>
      <c r="X279">
        <v>0.99846420000000002</v>
      </c>
      <c r="Y279">
        <v>-8.737847E-2</v>
      </c>
      <c r="Z279">
        <v>3.3224079999999998E-3</v>
      </c>
      <c r="AA279">
        <v>0.99616959999999999</v>
      </c>
      <c r="AB279">
        <v>32</v>
      </c>
      <c r="AC279">
        <v>13.5641</v>
      </c>
      <c r="AD279">
        <v>-1.1100399999999999</v>
      </c>
      <c r="AE279">
        <v>1.24790000000001</v>
      </c>
      <c r="AF279">
        <v>-1.21230759714318</v>
      </c>
      <c r="AG279">
        <v>-1.1100399999999999</v>
      </c>
      <c r="AH279">
        <v>13.4771038914005</v>
      </c>
      <c r="AI279">
        <v>94.689681255347594</v>
      </c>
      <c r="AJ279">
        <v>95.140100328410398</v>
      </c>
      <c r="AK279">
        <v>13.576973440767</v>
      </c>
      <c r="AL279">
        <v>89.904332739284399</v>
      </c>
      <c r="AM279">
        <v>93.174470145287202</v>
      </c>
      <c r="AN279">
        <v>1.0000000538944001</v>
      </c>
    </row>
    <row r="280" spans="1:40" x14ac:dyDescent="0.3">
      <c r="A280" t="str">
        <f>"20200111160410535"</f>
        <v>20200111160410535</v>
      </c>
      <c r="B280" t="str">
        <f>"1578729850530588"</f>
        <v>1578729850530588</v>
      </c>
      <c r="C280" t="s">
        <v>40</v>
      </c>
      <c r="D280">
        <v>5.0529039999999998</v>
      </c>
      <c r="E280">
        <v>0.49042609999999998</v>
      </c>
      <c r="F280" t="s">
        <v>44</v>
      </c>
      <c r="G280">
        <v>-401.5342</v>
      </c>
      <c r="H280">
        <v>-0.05</v>
      </c>
      <c r="I280">
        <v>368.54750000000001</v>
      </c>
      <c r="J280">
        <v>-415.25599999999997</v>
      </c>
      <c r="K280">
        <v>1.060044</v>
      </c>
      <c r="L280">
        <v>367.30110000000002</v>
      </c>
      <c r="M280">
        <v>0.99993200000000004</v>
      </c>
      <c r="N280">
        <v>0</v>
      </c>
      <c r="O280">
        <v>2.0344149999999999E-3</v>
      </c>
      <c r="P280">
        <v>0.99830770000000002</v>
      </c>
      <c r="Q280">
        <v>-9.5264860000000007E-3</v>
      </c>
      <c r="R280">
        <v>5.7371100000000001E-2</v>
      </c>
      <c r="S280">
        <v>2.9873660000000002</v>
      </c>
      <c r="T280">
        <v>-0.23849799999999999</v>
      </c>
      <c r="U280">
        <v>0.26788329999999999</v>
      </c>
      <c r="V280">
        <v>-5.5339859999999998E-2</v>
      </c>
      <c r="W280">
        <v>1.9586709999999999E-3</v>
      </c>
      <c r="X280">
        <v>0.99846570000000001</v>
      </c>
      <c r="Y280">
        <v>-8.7018880000000007E-2</v>
      </c>
      <c r="Z280">
        <v>3.2993269999999999E-3</v>
      </c>
      <c r="AA280">
        <v>0.99620120000000001</v>
      </c>
      <c r="AB280">
        <v>32</v>
      </c>
      <c r="AC280">
        <v>13.721799999999901</v>
      </c>
      <c r="AD280">
        <v>-1.110044</v>
      </c>
      <c r="AE280">
        <v>1.24639999999999</v>
      </c>
      <c r="AF280">
        <v>-1.2106219935644</v>
      </c>
      <c r="AG280">
        <v>-1.110044</v>
      </c>
      <c r="AH280">
        <v>13.6358019428879</v>
      </c>
      <c r="AI280">
        <v>94.635836008616494</v>
      </c>
      <c r="AJ280">
        <v>95.073565822605602</v>
      </c>
      <c r="AK280">
        <v>13.7343692217336</v>
      </c>
      <c r="AL280">
        <v>89.887776351571802</v>
      </c>
      <c r="AM280">
        <v>93.172366997725206</v>
      </c>
      <c r="AN280">
        <v>1.00000004528669</v>
      </c>
    </row>
    <row r="281" spans="1:40" x14ac:dyDescent="0.3">
      <c r="A281" t="str">
        <f>"20200111160410779"</f>
        <v>20200111160410779</v>
      </c>
      <c r="B281" t="str">
        <f>"1578729850770687"</f>
        <v>1578729850770687</v>
      </c>
      <c r="C281" t="s">
        <v>40</v>
      </c>
      <c r="D281">
        <v>4.9148180000000004</v>
      </c>
      <c r="E281">
        <v>0.4910601</v>
      </c>
      <c r="F281" t="s">
        <v>44</v>
      </c>
      <c r="G281">
        <v>-401.22199999999998</v>
      </c>
      <c r="H281">
        <v>-0.05</v>
      </c>
      <c r="I281">
        <v>368.53379999999999</v>
      </c>
      <c r="J281">
        <v>-411.5566</v>
      </c>
      <c r="K281">
        <v>1.058956</v>
      </c>
      <c r="L281">
        <v>367.30889999999999</v>
      </c>
      <c r="M281">
        <v>0.99999199999999999</v>
      </c>
      <c r="N281">
        <v>0</v>
      </c>
      <c r="O281">
        <v>2.1201369999999998E-3</v>
      </c>
      <c r="P281">
        <v>0.9982299</v>
      </c>
      <c r="Q281">
        <v>1.1509249999999999E-3</v>
      </c>
      <c r="R281">
        <v>5.9463929999999998E-2</v>
      </c>
      <c r="S281">
        <v>2.9877319999999998</v>
      </c>
      <c r="T281">
        <v>-0.23632059999999999</v>
      </c>
      <c r="U281">
        <v>0.2624512</v>
      </c>
      <c r="V281">
        <v>-5.7347469999999998E-2</v>
      </c>
      <c r="W281">
        <v>4.5736320000000002E-3</v>
      </c>
      <c r="X281">
        <v>0.9983438</v>
      </c>
      <c r="Y281">
        <v>-8.5136470000000006E-2</v>
      </c>
      <c r="Z281">
        <v>3.188228E-3</v>
      </c>
      <c r="AA281">
        <v>0.99636420000000003</v>
      </c>
      <c r="AB281">
        <v>35</v>
      </c>
      <c r="AC281">
        <v>10.3346</v>
      </c>
      <c r="AD281">
        <v>-1.1089560000000001</v>
      </c>
      <c r="AE281">
        <v>1.2248999999999901</v>
      </c>
      <c r="AF281">
        <v>-1.1894799438810499</v>
      </c>
      <c r="AG281">
        <v>-1.1089560000000001</v>
      </c>
      <c r="AH281">
        <v>10.221114156738301</v>
      </c>
      <c r="AI281">
        <v>96.150985057205801</v>
      </c>
      <c r="AJ281">
        <v>96.637925371790402</v>
      </c>
      <c r="AK281">
        <v>10.349677316317999</v>
      </c>
      <c r="AL281">
        <v>89.737949274885906</v>
      </c>
      <c r="AM281">
        <v>93.287606103277895</v>
      </c>
      <c r="AN281">
        <v>0.99999999671175599</v>
      </c>
    </row>
    <row r="282" spans="1:40" x14ac:dyDescent="0.3">
      <c r="A282" t="str">
        <f>"20200111160410793"</f>
        <v>20200111160410793</v>
      </c>
      <c r="B282" t="str">
        <f>"1578729850781421"</f>
        <v>1578729850781421</v>
      </c>
      <c r="C282" t="s">
        <v>40</v>
      </c>
      <c r="D282">
        <v>4.84483</v>
      </c>
      <c r="E282">
        <v>0.4917145</v>
      </c>
      <c r="F282" t="s">
        <v>41</v>
      </c>
      <c r="G282">
        <v>-396.11840000000001</v>
      </c>
      <c r="H282" s="1">
        <v>-1.815899E-6</v>
      </c>
      <c r="I282">
        <v>368.66699999999997</v>
      </c>
      <c r="J282">
        <v>-411.35649999999998</v>
      </c>
      <c r="K282">
        <v>1.0590459999999999</v>
      </c>
      <c r="L282">
        <v>367.30930000000001</v>
      </c>
      <c r="M282">
        <v>0.99999119999999997</v>
      </c>
      <c r="N282">
        <v>0</v>
      </c>
      <c r="O282">
        <v>2.1257339999999998E-3</v>
      </c>
      <c r="P282">
        <v>0.99823550000000005</v>
      </c>
      <c r="Q282">
        <v>1.3212229999999901E-3</v>
      </c>
      <c r="R282">
        <v>5.9364260000000002E-2</v>
      </c>
      <c r="S282">
        <v>2.9899290000000001</v>
      </c>
      <c r="T282">
        <v>-0.20508799999999999</v>
      </c>
      <c r="U282">
        <v>0.26303100000000001</v>
      </c>
      <c r="V282">
        <v>-5.7242170000000002E-2</v>
      </c>
      <c r="W282">
        <v>4.9155199999999996E-3</v>
      </c>
      <c r="X282">
        <v>0.99834820000000002</v>
      </c>
      <c r="Y282">
        <v>-8.5322110000000007E-2</v>
      </c>
      <c r="Z282">
        <v>2.771843E-3</v>
      </c>
      <c r="AA282">
        <v>0.99634959999999995</v>
      </c>
      <c r="AB282">
        <v>35</v>
      </c>
      <c r="AC282">
        <v>15.2380999999999</v>
      </c>
      <c r="AD282">
        <v>-1.059047815899</v>
      </c>
      <c r="AE282">
        <v>1.3576999999999599</v>
      </c>
      <c r="AF282">
        <v>-1.31898373258024</v>
      </c>
      <c r="AG282">
        <v>-1.059047815899</v>
      </c>
      <c r="AH282">
        <v>15.168262273634401</v>
      </c>
      <c r="AI282">
        <v>93.978942368536806</v>
      </c>
      <c r="AJ282">
        <v>94.969757240341707</v>
      </c>
      <c r="AK282">
        <v>15.2622894994471</v>
      </c>
      <c r="AL282">
        <v>89.718360309618703</v>
      </c>
      <c r="AM282">
        <v>93.281568256321506</v>
      </c>
      <c r="AN282">
        <v>0.99999997840320898</v>
      </c>
    </row>
    <row r="283" spans="1:40" x14ac:dyDescent="0.3">
      <c r="A283" t="str">
        <f>"20200111160410870"</f>
        <v>20200111160410870</v>
      </c>
      <c r="B283" t="str">
        <f>"1578729850861452"</f>
        <v>1578729850861452</v>
      </c>
      <c r="C283" t="s">
        <v>40</v>
      </c>
      <c r="D283">
        <v>4.8839160000000001</v>
      </c>
      <c r="E283">
        <v>0.49352030000000002</v>
      </c>
      <c r="F283" t="s">
        <v>41</v>
      </c>
      <c r="G283">
        <v>-395.90120000000002</v>
      </c>
      <c r="H283" s="1">
        <v>-1.9138670000000002E-6</v>
      </c>
      <c r="I283">
        <v>368.64</v>
      </c>
      <c r="J283">
        <v>-410.15260000000001</v>
      </c>
      <c r="K283">
        <v>1.05942</v>
      </c>
      <c r="L283">
        <v>367.31189999999998</v>
      </c>
      <c r="M283">
        <v>0.99998580000000004</v>
      </c>
      <c r="N283">
        <v>0</v>
      </c>
      <c r="O283">
        <v>2.1563509999999999E-3</v>
      </c>
      <c r="P283">
        <v>0.99822339999999998</v>
      </c>
      <c r="Q283">
        <v>1.8305800000000001E-3</v>
      </c>
      <c r="R283">
        <v>5.9552540000000001E-2</v>
      </c>
      <c r="S283">
        <v>2.9902950000000001</v>
      </c>
      <c r="T283">
        <v>-0.2049038</v>
      </c>
      <c r="U283">
        <v>0.25747680000000001</v>
      </c>
      <c r="V283">
        <v>-5.739963E-2</v>
      </c>
      <c r="W283">
        <v>6.6940919999999996E-3</v>
      </c>
      <c r="X283">
        <v>0.99832889999999996</v>
      </c>
      <c r="Y283">
        <v>-8.3448880000000003E-2</v>
      </c>
      <c r="Z283">
        <v>2.703165E-3</v>
      </c>
      <c r="AA283">
        <v>0.99650839999999996</v>
      </c>
      <c r="AB283">
        <v>35</v>
      </c>
      <c r="AC283">
        <v>14.251399999999901</v>
      </c>
      <c r="AD283">
        <v>-1.059421913867</v>
      </c>
      <c r="AE283">
        <v>1.3281000000000001</v>
      </c>
      <c r="AF283">
        <v>-1.29029654232794</v>
      </c>
      <c r="AG283">
        <v>-1.059421913867</v>
      </c>
      <c r="AH283">
        <v>14.1765634066637</v>
      </c>
      <c r="AI283">
        <v>94.256271208337793</v>
      </c>
      <c r="AJ283">
        <v>95.200513890064997</v>
      </c>
      <c r="AK283">
        <v>14.2745294136753</v>
      </c>
      <c r="AL283">
        <v>89.6164539393844</v>
      </c>
      <c r="AM283">
        <v>93.290638758942407</v>
      </c>
      <c r="AN283">
        <v>1.00000006048352</v>
      </c>
    </row>
    <row r="284" spans="1:40" x14ac:dyDescent="0.3">
      <c r="A284" t="str">
        <f>"20200111160411160"</f>
        <v>20200111160411160</v>
      </c>
      <c r="B284" t="str">
        <f>"1578729851151472"</f>
        <v>1578729851151472</v>
      </c>
      <c r="C284" t="s">
        <v>40</v>
      </c>
      <c r="D284">
        <v>5.097099</v>
      </c>
      <c r="E284">
        <v>0.49404720000000002</v>
      </c>
      <c r="F284" t="s">
        <v>41</v>
      </c>
      <c r="G284">
        <v>-394.69470000000001</v>
      </c>
      <c r="H284" s="1">
        <v>-2.4437169999999998E-6</v>
      </c>
      <c r="I284">
        <v>368.57089999999999</v>
      </c>
      <c r="J284">
        <v>-405.53519999999997</v>
      </c>
      <c r="K284">
        <v>1.0595209999999999</v>
      </c>
      <c r="L284">
        <v>367.32220000000001</v>
      </c>
      <c r="M284">
        <v>0.99996819999999997</v>
      </c>
      <c r="N284">
        <v>0</v>
      </c>
      <c r="O284">
        <v>2.2696529999999999E-3</v>
      </c>
      <c r="P284">
        <v>0.99816830000000001</v>
      </c>
      <c r="Q284">
        <v>3.358223E-3</v>
      </c>
      <c r="R284">
        <v>6.0408160000000002E-2</v>
      </c>
      <c r="S284">
        <v>2.9911500000000002</v>
      </c>
      <c r="T284">
        <v>-0.2049996</v>
      </c>
      <c r="U284">
        <v>0.2436218</v>
      </c>
      <c r="V284">
        <v>-5.8142399999999997E-2</v>
      </c>
      <c r="W284">
        <v>1.1001189999999999E-2</v>
      </c>
      <c r="X284">
        <v>0.99824769999999896</v>
      </c>
      <c r="Y284">
        <v>-7.8738119999999995E-2</v>
      </c>
      <c r="Z284">
        <v>2.5354589999999999E-3</v>
      </c>
      <c r="AA284">
        <v>0.99689209999999995</v>
      </c>
      <c r="AB284">
        <v>36</v>
      </c>
      <c r="AC284">
        <v>10.840499999999899</v>
      </c>
      <c r="AD284">
        <v>-1.059523443717</v>
      </c>
      <c r="AE284">
        <v>1.2486999999999799</v>
      </c>
      <c r="AF284">
        <v>-1.21265950456579</v>
      </c>
      <c r="AG284">
        <v>-1.059523443717</v>
      </c>
      <c r="AH284">
        <v>10.742035390156</v>
      </c>
      <c r="AI284">
        <v>95.597729622771595</v>
      </c>
      <c r="AJ284">
        <v>96.440805134621598</v>
      </c>
      <c r="AK284">
        <v>10.8620650580432</v>
      </c>
      <c r="AL284">
        <v>89.369665539608704</v>
      </c>
      <c r="AM284">
        <v>93.333395820148993</v>
      </c>
      <c r="AN284">
        <v>1.0000000177072299</v>
      </c>
    </row>
    <row r="285" spans="1:40" x14ac:dyDescent="0.3">
      <c r="A285" t="str">
        <f>"20200111160411182"</f>
        <v>20200111160411182</v>
      </c>
      <c r="B285" t="str">
        <f>"1578729851170991"</f>
        <v>1578729851170991</v>
      </c>
      <c r="C285" t="s">
        <v>40</v>
      </c>
      <c r="D285">
        <v>5.0449339999999996</v>
      </c>
      <c r="E285">
        <v>0.49514570000000002</v>
      </c>
      <c r="F285" t="s">
        <v>41</v>
      </c>
      <c r="G285">
        <v>-389.83580000000001</v>
      </c>
      <c r="H285" s="1">
        <v>-3.1431870000000002E-7</v>
      </c>
      <c r="I285">
        <v>368.59249999999997</v>
      </c>
      <c r="J285">
        <v>-405.18430000000001</v>
      </c>
      <c r="K285">
        <v>1.0595209999999999</v>
      </c>
      <c r="L285">
        <v>367.32299999999998</v>
      </c>
      <c r="M285">
        <v>0.99996759999999996</v>
      </c>
      <c r="N285">
        <v>0</v>
      </c>
      <c r="O285">
        <v>2.2779810000000001E-3</v>
      </c>
      <c r="P285">
        <v>0.99818910000000005</v>
      </c>
      <c r="Q285">
        <v>3.6407900000000001E-3</v>
      </c>
      <c r="R285">
        <v>6.0045899999999999E-2</v>
      </c>
      <c r="S285">
        <v>2.9915159999999998</v>
      </c>
      <c r="T285">
        <v>-0.20189080000000001</v>
      </c>
      <c r="U285">
        <v>0.24206539999999999</v>
      </c>
      <c r="V285">
        <v>-5.7771820000000002E-2</v>
      </c>
      <c r="W285">
        <v>1.1365470000000001E-2</v>
      </c>
      <c r="X285">
        <v>0.99826510000000002</v>
      </c>
      <c r="Y285">
        <v>-7.8211260000000005E-2</v>
      </c>
      <c r="Z285">
        <v>2.4785549999999999E-3</v>
      </c>
      <c r="AA285">
        <v>0.99693370000000003</v>
      </c>
      <c r="AB285">
        <v>36</v>
      </c>
      <c r="AC285">
        <v>15.3485</v>
      </c>
      <c r="AD285">
        <v>-1.0595213143186999</v>
      </c>
      <c r="AE285">
        <v>1.2694999999999299</v>
      </c>
      <c r="AF285">
        <v>-1.2287166898963999</v>
      </c>
      <c r="AG285">
        <v>-1.0595213143186999</v>
      </c>
      <c r="AH285">
        <v>15.2790381305943</v>
      </c>
      <c r="AI285">
        <v>93.954087618460605</v>
      </c>
      <c r="AJ285">
        <v>94.597743887419895</v>
      </c>
      <c r="AK285">
        <v>15.3649385392744</v>
      </c>
      <c r="AL285">
        <v>89.348792505713902</v>
      </c>
      <c r="AM285">
        <v>93.312139731718801</v>
      </c>
      <c r="AN285">
        <v>0.99999998348622099</v>
      </c>
    </row>
    <row r="286" spans="1:40" x14ac:dyDescent="0.3">
      <c r="A286" t="str">
        <f>"20200111160411196"</f>
        <v>20200111160411196</v>
      </c>
      <c r="B286" t="str">
        <f>"1578729851191488"</f>
        <v>1578729851191488</v>
      </c>
      <c r="C286" t="s">
        <v>40</v>
      </c>
      <c r="D286">
        <v>5.0581829999999997</v>
      </c>
      <c r="E286">
        <v>0.49608829999999998</v>
      </c>
      <c r="F286" t="s">
        <v>41</v>
      </c>
      <c r="G286">
        <v>-389.60730000000001</v>
      </c>
      <c r="H286" s="1">
        <v>-4.0799520000000001E-7</v>
      </c>
      <c r="I286">
        <v>368.53269999999998</v>
      </c>
      <c r="J286">
        <v>-404.9545</v>
      </c>
      <c r="K286">
        <v>1.05952</v>
      </c>
      <c r="L286">
        <v>367.32350000000002</v>
      </c>
      <c r="M286">
        <v>0.99996719999999895</v>
      </c>
      <c r="N286">
        <v>0</v>
      </c>
      <c r="O286">
        <v>2.283162E-3</v>
      </c>
      <c r="P286">
        <v>0.99819500000000005</v>
      </c>
      <c r="Q286">
        <v>3.6878229999999998E-3</v>
      </c>
      <c r="R286">
        <v>5.9943969999999999E-2</v>
      </c>
      <c r="S286">
        <v>2.9922179999999998</v>
      </c>
      <c r="T286">
        <v>-0.20352519999999999</v>
      </c>
      <c r="U286">
        <v>0.2323914</v>
      </c>
      <c r="V286">
        <v>-5.7664199999999902E-2</v>
      </c>
      <c r="W286">
        <v>1.145988E-2</v>
      </c>
      <c r="X286">
        <v>0.99827030000000005</v>
      </c>
      <c r="Y286">
        <v>-7.4988520000000003E-2</v>
      </c>
      <c r="Z286">
        <v>2.3886459999999999E-3</v>
      </c>
      <c r="AA286">
        <v>0.99718150000000005</v>
      </c>
      <c r="AB286">
        <v>36</v>
      </c>
      <c r="AC286">
        <v>15.3471999999999</v>
      </c>
      <c r="AD286">
        <v>-1.0595204079952001</v>
      </c>
      <c r="AE286">
        <v>1.2091999999999501</v>
      </c>
      <c r="AF286">
        <v>-1.1686202835276001</v>
      </c>
      <c r="AG286">
        <v>-1.0595204079952001</v>
      </c>
      <c r="AH286">
        <v>15.2775562141564</v>
      </c>
      <c r="AI286">
        <v>93.955673451960095</v>
      </c>
      <c r="AJ286">
        <v>94.374186194110905</v>
      </c>
      <c r="AK286">
        <v>15.3587753658532</v>
      </c>
      <c r="AL286">
        <v>89.343382896096898</v>
      </c>
      <c r="AM286">
        <v>93.305966241224993</v>
      </c>
      <c r="AN286">
        <v>1.00000004033667</v>
      </c>
    </row>
    <row r="287" spans="1:40" x14ac:dyDescent="0.3">
      <c r="A287" t="str">
        <f>"20200111160411214"</f>
        <v>20200111160411214</v>
      </c>
      <c r="B287" t="str">
        <f>"1578729851211008"</f>
        <v>1578729851211008</v>
      </c>
      <c r="C287" t="s">
        <v>40</v>
      </c>
      <c r="D287">
        <v>5.0533449999999904</v>
      </c>
      <c r="E287">
        <v>0.49696590000000002</v>
      </c>
      <c r="F287" t="s">
        <v>41</v>
      </c>
      <c r="G287">
        <v>-389.51729999999998</v>
      </c>
      <c r="H287" s="1">
        <v>-4.5240629999999998E-7</v>
      </c>
      <c r="I287">
        <v>368.48099999999999</v>
      </c>
      <c r="J287">
        <v>-404.66239999999999</v>
      </c>
      <c r="K287">
        <v>1.0595190000000001</v>
      </c>
      <c r="L287">
        <v>367.32420000000002</v>
      </c>
      <c r="M287">
        <v>0.99996669999999999</v>
      </c>
      <c r="N287">
        <v>0</v>
      </c>
      <c r="O287">
        <v>2.2898570000000002E-3</v>
      </c>
      <c r="P287">
        <v>0.99822010000000005</v>
      </c>
      <c r="Q287">
        <v>3.356777E-3</v>
      </c>
      <c r="R287">
        <v>5.9543459999999999E-2</v>
      </c>
      <c r="S287">
        <v>2.9927060000000001</v>
      </c>
      <c r="T287">
        <v>-0.20540030000000001</v>
      </c>
      <c r="U287">
        <v>0.22439580000000001</v>
      </c>
      <c r="V287">
        <v>-5.7257370000000002E-2</v>
      </c>
      <c r="W287">
        <v>1.1185240000000001E-2</v>
      </c>
      <c r="X287">
        <v>0.99829679999999998</v>
      </c>
      <c r="Y287">
        <v>-7.2323460000000006E-2</v>
      </c>
      <c r="Z287">
        <v>2.318774E-3</v>
      </c>
      <c r="AA287">
        <v>0.99737849999999995</v>
      </c>
      <c r="AB287">
        <v>36</v>
      </c>
      <c r="AC287">
        <v>15.145099999999999</v>
      </c>
      <c r="AD287">
        <v>-1.0595194524063001</v>
      </c>
      <c r="AE287">
        <v>1.1567999999999701</v>
      </c>
      <c r="AF287">
        <v>-1.1166823247806801</v>
      </c>
      <c r="AG287">
        <v>-1.0595194524063001</v>
      </c>
      <c r="AH287">
        <v>15.074361636055301</v>
      </c>
      <c r="AI287">
        <v>94.009539843561896</v>
      </c>
      <c r="AJ287">
        <v>94.236632737029097</v>
      </c>
      <c r="AK287">
        <v>15.152753532578799</v>
      </c>
      <c r="AL287">
        <v>89.359119596720802</v>
      </c>
      <c r="AM287">
        <v>93.282606369486103</v>
      </c>
      <c r="AN287">
        <v>1.0000000084517</v>
      </c>
    </row>
    <row r="288" spans="1:40" x14ac:dyDescent="0.3">
      <c r="A288" t="str">
        <f>"20200111160411227"</f>
        <v>20200111160411227</v>
      </c>
      <c r="B288" t="str">
        <f>"1578729851220768"</f>
        <v>1578729851220768</v>
      </c>
      <c r="C288" t="s">
        <v>40</v>
      </c>
      <c r="D288">
        <v>4.9958299999999998</v>
      </c>
      <c r="E288">
        <v>0.49747170000000002</v>
      </c>
      <c r="F288" t="s">
        <v>41</v>
      </c>
      <c r="G288">
        <v>-389.43549999999999</v>
      </c>
      <c r="H288" s="1">
        <v>-4.9500499999999995E-7</v>
      </c>
      <c r="I288">
        <v>368.4255</v>
      </c>
      <c r="J288">
        <v>-404.44439999999997</v>
      </c>
      <c r="K288">
        <v>1.059517</v>
      </c>
      <c r="L288">
        <v>367.32470000000001</v>
      </c>
      <c r="M288">
        <v>0.99996640000000003</v>
      </c>
      <c r="N288">
        <v>0</v>
      </c>
      <c r="O288">
        <v>2.2952480000000002E-3</v>
      </c>
      <c r="P288">
        <v>0.99824489999999999</v>
      </c>
      <c r="Q288">
        <v>3.3150609999999998E-3</v>
      </c>
      <c r="R288">
        <v>5.9128750000000001E-2</v>
      </c>
      <c r="S288">
        <v>2.993134</v>
      </c>
      <c r="T288">
        <v>-0.2082677</v>
      </c>
      <c r="U288">
        <v>0.21649170000000001</v>
      </c>
      <c r="V288">
        <v>-5.6837039999999998E-2</v>
      </c>
      <c r="W288">
        <v>1.118238E-2</v>
      </c>
      <c r="X288">
        <v>0.99832080000000001</v>
      </c>
      <c r="Y288">
        <v>-6.9689360000000006E-2</v>
      </c>
      <c r="Z288">
        <v>2.2591730000000002E-3</v>
      </c>
      <c r="AA288">
        <v>0.99756619999999996</v>
      </c>
      <c r="AB288">
        <v>36</v>
      </c>
      <c r="AC288">
        <v>15.008899999999899</v>
      </c>
      <c r="AD288">
        <v>-1.0595174950049999</v>
      </c>
      <c r="AE288">
        <v>1.10079999999999</v>
      </c>
      <c r="AF288">
        <v>-1.0610874420683001</v>
      </c>
      <c r="AG288">
        <v>-1.0595174950049999</v>
      </c>
      <c r="AH288">
        <v>14.9373478800201</v>
      </c>
      <c r="AI288">
        <v>94.047074192779206</v>
      </c>
      <c r="AJ288">
        <v>94.063230006471102</v>
      </c>
      <c r="AK288">
        <v>15.012423041290701</v>
      </c>
      <c r="AL288">
        <v>89.359283440074904</v>
      </c>
      <c r="AM288">
        <v>93.258482499446799</v>
      </c>
      <c r="AN288">
        <v>0.99999995722553203</v>
      </c>
    </row>
    <row r="289" spans="1:40" x14ac:dyDescent="0.3">
      <c r="A289" t="str">
        <f>"20200111160411241"</f>
        <v>20200111160411241</v>
      </c>
      <c r="B289" t="str">
        <f>"1578729851231504"</f>
        <v>1578729851231504</v>
      </c>
      <c r="C289" t="s">
        <v>40</v>
      </c>
      <c r="D289">
        <v>5.0121440000000002</v>
      </c>
      <c r="E289">
        <v>0.49790970000000001</v>
      </c>
      <c r="F289" t="s">
        <v>41</v>
      </c>
      <c r="G289">
        <v>-389.20819999999998</v>
      </c>
      <c r="H289" s="1">
        <v>-5.7917640000000005E-7</v>
      </c>
      <c r="I289">
        <v>368.39980000000003</v>
      </c>
      <c r="J289">
        <v>-404.22320000000002</v>
      </c>
      <c r="K289">
        <v>1.059515</v>
      </c>
      <c r="L289">
        <v>367.32530000000003</v>
      </c>
      <c r="M289">
        <v>0.99996609999999997</v>
      </c>
      <c r="N289">
        <v>0</v>
      </c>
      <c r="O289">
        <v>2.3006459999999999E-3</v>
      </c>
      <c r="P289">
        <v>0.99824029999999997</v>
      </c>
      <c r="Q289">
        <v>3.0102969999999999E-3</v>
      </c>
      <c r="R289">
        <v>5.9225750000000001E-2</v>
      </c>
      <c r="S289">
        <v>2.993439</v>
      </c>
      <c r="T289">
        <v>-0.20816080000000001</v>
      </c>
      <c r="U289">
        <v>0.21124270000000001</v>
      </c>
      <c r="V289">
        <v>-5.6928600000000003E-2</v>
      </c>
      <c r="W289">
        <v>1.091346E-2</v>
      </c>
      <c r="X289">
        <v>0.99831859999999994</v>
      </c>
      <c r="Y289">
        <v>-6.7940589999999995E-2</v>
      </c>
      <c r="Z289">
        <v>2.1968970000000002E-3</v>
      </c>
      <c r="AA289">
        <v>0.99768690000000004</v>
      </c>
      <c r="AB289">
        <v>36</v>
      </c>
      <c r="AC289">
        <v>15.015000000000001</v>
      </c>
      <c r="AD289">
        <v>-1.0595155791763999</v>
      </c>
      <c r="AE289">
        <v>1.0745</v>
      </c>
      <c r="AF289">
        <v>-1.0348254737829801</v>
      </c>
      <c r="AG289">
        <v>-1.0595155791763999</v>
      </c>
      <c r="AH289">
        <v>14.9434045227888</v>
      </c>
      <c r="AI289">
        <v>94.045934776450906</v>
      </c>
      <c r="AJ289">
        <v>93.961388231268302</v>
      </c>
      <c r="AK289">
        <v>15.0166166547399</v>
      </c>
      <c r="AL289">
        <v>89.374692387780001</v>
      </c>
      <c r="AM289">
        <v>93.263727496805302</v>
      </c>
      <c r="AN289">
        <v>0.99999999810654505</v>
      </c>
    </row>
    <row r="290" spans="1:40" x14ac:dyDescent="0.3">
      <c r="A290" t="str">
        <f>"20200111160411259"</f>
        <v>20200111160411259</v>
      </c>
      <c r="B290" t="str">
        <f>"1578729851251023"</f>
        <v>1578729851251023</v>
      </c>
      <c r="C290" t="s">
        <v>40</v>
      </c>
      <c r="D290">
        <v>5.0517500000000002</v>
      </c>
      <c r="E290">
        <v>0.49872610000000001</v>
      </c>
      <c r="F290" t="s">
        <v>41</v>
      </c>
      <c r="G290">
        <v>-389.01240000000001</v>
      </c>
      <c r="H290" s="1">
        <v>-6.5053169999999996E-7</v>
      </c>
      <c r="I290">
        <v>368.38209999999998</v>
      </c>
      <c r="J290">
        <v>-403.92329999999998</v>
      </c>
      <c r="K290">
        <v>1.059515</v>
      </c>
      <c r="L290">
        <v>367.32600000000002</v>
      </c>
      <c r="M290">
        <v>0.99996560000000001</v>
      </c>
      <c r="N290">
        <v>0</v>
      </c>
      <c r="O290">
        <v>2.3085710000000001E-3</v>
      </c>
      <c r="P290">
        <v>0.99826709999999996</v>
      </c>
      <c r="Q290">
        <v>2.6509070000000001E-3</v>
      </c>
      <c r="R290">
        <v>5.8786520000000002E-2</v>
      </c>
      <c r="S290">
        <v>2.9935610000000001</v>
      </c>
      <c r="T290">
        <v>-0.20851610000000001</v>
      </c>
      <c r="U290">
        <v>0.20800779999999999</v>
      </c>
      <c r="V290">
        <v>-5.6481799999999999E-2</v>
      </c>
      <c r="W290">
        <v>1.0599239999999999E-2</v>
      </c>
      <c r="X290">
        <v>0.99834730000000005</v>
      </c>
      <c r="Y290">
        <v>-6.6859020000000005E-2</v>
      </c>
      <c r="Z290">
        <v>2.1625030000000001E-3</v>
      </c>
      <c r="AA290">
        <v>0.99776010000000004</v>
      </c>
      <c r="AB290">
        <v>36</v>
      </c>
      <c r="AC290">
        <v>14.9108999999999</v>
      </c>
      <c r="AD290">
        <v>-1.0595156505317</v>
      </c>
      <c r="AE290">
        <v>1.05610000000001</v>
      </c>
      <c r="AF290">
        <v>-1.01656617903919</v>
      </c>
      <c r="AG290">
        <v>-1.0595156505317</v>
      </c>
      <c r="AH290">
        <v>14.838751247509901</v>
      </c>
      <c r="AI290">
        <v>94.074580642750306</v>
      </c>
      <c r="AJ290">
        <v>93.919068824177103</v>
      </c>
      <c r="AK290">
        <v>14.911221237563501</v>
      </c>
      <c r="AL290">
        <v>89.392696870691395</v>
      </c>
      <c r="AM290">
        <v>93.238074201908404</v>
      </c>
      <c r="AN290">
        <v>0.99999993451855096</v>
      </c>
    </row>
    <row r="291" spans="1:40" x14ac:dyDescent="0.3">
      <c r="A291" t="str">
        <f>"20200111160411281"</f>
        <v>20200111160411281</v>
      </c>
      <c r="B291" t="str">
        <f>"1578729851271519"</f>
        <v>1578729851271519</v>
      </c>
      <c r="C291" t="s">
        <v>40</v>
      </c>
      <c r="D291">
        <v>5.1166739999999997</v>
      </c>
      <c r="E291">
        <v>0.53076119999999904</v>
      </c>
      <c r="F291" t="s">
        <v>41</v>
      </c>
      <c r="G291">
        <v>-388.79500000000002</v>
      </c>
      <c r="H291" s="1">
        <v>-7.3592499999999997E-7</v>
      </c>
      <c r="I291">
        <v>368.33920000000001</v>
      </c>
      <c r="J291">
        <v>-403.5829</v>
      </c>
      <c r="K291">
        <v>1.059509</v>
      </c>
      <c r="L291">
        <v>367.32670000000002</v>
      </c>
      <c r="M291">
        <v>0.9999654</v>
      </c>
      <c r="N291">
        <v>0</v>
      </c>
      <c r="O291">
        <v>2.31679E-3</v>
      </c>
      <c r="P291">
        <v>0.99827940000000004</v>
      </c>
      <c r="Q291">
        <v>2.1145510000000001E-3</v>
      </c>
      <c r="R291">
        <v>5.8602080000000001E-2</v>
      </c>
      <c r="S291">
        <v>2.9939580000000001</v>
      </c>
      <c r="T291">
        <v>-0.2096819</v>
      </c>
      <c r="U291">
        <v>0.20053099999999999</v>
      </c>
      <c r="V291">
        <v>-5.62888E-2</v>
      </c>
      <c r="W291">
        <v>1.0108600000000001E-2</v>
      </c>
      <c r="X291">
        <v>0.99836340000000001</v>
      </c>
      <c r="Y291">
        <v>-6.4365679999999995E-2</v>
      </c>
      <c r="Z291">
        <v>2.0867809999999998E-3</v>
      </c>
      <c r="AA291">
        <v>0.99792420000000004</v>
      </c>
      <c r="AB291">
        <v>36</v>
      </c>
      <c r="AC291">
        <v>14.787899999999899</v>
      </c>
      <c r="AD291">
        <v>-1.0595097359250001</v>
      </c>
      <c r="AE291">
        <v>1.01249999999998</v>
      </c>
      <c r="AF291">
        <v>-0.97326298808499501</v>
      </c>
      <c r="AG291">
        <v>-1.0595097359250001</v>
      </c>
      <c r="AH291">
        <v>14.715021924937799</v>
      </c>
      <c r="AI291">
        <v>94.109351054094603</v>
      </c>
      <c r="AJ291">
        <v>93.784075872752595</v>
      </c>
      <c r="AK291">
        <v>14.785184205003899</v>
      </c>
      <c r="AL291">
        <v>89.420810045385807</v>
      </c>
      <c r="AM291">
        <v>93.226981099664798</v>
      </c>
      <c r="AN291">
        <v>1.00000004562947</v>
      </c>
    </row>
    <row r="292" spans="1:40" x14ac:dyDescent="0.3">
      <c r="A292" t="str">
        <f>"20200111160411293"</f>
        <v>20200111160411293</v>
      </c>
      <c r="B292" t="str">
        <f>"1578729851291040"</f>
        <v>1578729851291040</v>
      </c>
      <c r="C292" t="s">
        <v>40</v>
      </c>
      <c r="D292">
        <v>5.0878690000000004</v>
      </c>
      <c r="E292">
        <v>0.54315819999999904</v>
      </c>
      <c r="F292" t="s">
        <v>41</v>
      </c>
      <c r="G292">
        <v>-386.03609999999998</v>
      </c>
      <c r="H292" s="1">
        <v>-2.1485970000000002E-6</v>
      </c>
      <c r="I292">
        <v>366.99029999999999</v>
      </c>
      <c r="J292">
        <v>-403.3716</v>
      </c>
      <c r="K292">
        <v>1.059509</v>
      </c>
      <c r="L292">
        <v>367.3272</v>
      </c>
      <c r="M292">
        <v>0.99996510000000005</v>
      </c>
      <c r="N292">
        <v>0</v>
      </c>
      <c r="O292">
        <v>2.3221090000000002E-3</v>
      </c>
      <c r="P292">
        <v>0.99829610000000002</v>
      </c>
      <c r="Q292">
        <v>1.9903350000000002E-3</v>
      </c>
      <c r="R292">
        <v>5.832072E-2</v>
      </c>
      <c r="S292">
        <v>3.0089419999999998</v>
      </c>
      <c r="T292">
        <v>-0.1816854</v>
      </c>
      <c r="U292">
        <v>-5.7678220000000002E-2</v>
      </c>
      <c r="V292">
        <v>-5.600227E-2</v>
      </c>
      <c r="W292">
        <v>1.001086E-2</v>
      </c>
      <c r="X292">
        <v>0.9983805</v>
      </c>
      <c r="Y292">
        <v>2.1443859999999999E-2</v>
      </c>
      <c r="Z292">
        <v>-7.8683959999999999E-4</v>
      </c>
      <c r="AA292">
        <v>0.99976969999999998</v>
      </c>
      <c r="AB292">
        <v>36</v>
      </c>
      <c r="AC292">
        <v>17.3355</v>
      </c>
      <c r="AD292">
        <v>-1.0595111485969999</v>
      </c>
      <c r="AE292">
        <v>-0.33690000000001402</v>
      </c>
      <c r="AF292">
        <v>0.37575224967254001</v>
      </c>
      <c r="AG292">
        <v>-1.0595111485969999</v>
      </c>
      <c r="AH292">
        <v>17.270184046615899</v>
      </c>
      <c r="AI292">
        <v>93.5098189808988</v>
      </c>
      <c r="AJ292">
        <v>88.753596265977293</v>
      </c>
      <c r="AK292">
        <v>17.3067331010541</v>
      </c>
      <c r="AL292">
        <v>89.426410418887599</v>
      </c>
      <c r="AM292">
        <v>93.210534195429204</v>
      </c>
      <c r="AN292">
        <v>1.0000000471716699</v>
      </c>
    </row>
    <row r="293" spans="1:40" x14ac:dyDescent="0.3">
      <c r="A293" t="str">
        <f>"20200111160411306"</f>
        <v>20200111160411306</v>
      </c>
      <c r="B293" t="str">
        <f>"1578729851300801"</f>
        <v>1578729851300801</v>
      </c>
      <c r="C293" t="s">
        <v>40</v>
      </c>
      <c r="D293">
        <v>5.0651380000000001</v>
      </c>
      <c r="E293">
        <v>0.54636490000000004</v>
      </c>
      <c r="F293" t="s">
        <v>42</v>
      </c>
      <c r="G293">
        <v>-402.47210000000001</v>
      </c>
      <c r="H293">
        <v>1.000183</v>
      </c>
      <c r="I293">
        <v>367.28019999999998</v>
      </c>
      <c r="J293">
        <v>-403.16980000000001</v>
      </c>
      <c r="K293">
        <v>1.0595110000000001</v>
      </c>
      <c r="L293">
        <v>367.32769999999999</v>
      </c>
      <c r="M293">
        <v>0.99996499999999999</v>
      </c>
      <c r="N293">
        <v>0</v>
      </c>
      <c r="O293">
        <v>2.3268410000000001E-3</v>
      </c>
      <c r="P293">
        <v>0.99829909999999999</v>
      </c>
      <c r="Q293">
        <v>1.918552E-3</v>
      </c>
      <c r="R293">
        <v>5.827011E-2</v>
      </c>
      <c r="S293">
        <v>3.0146480000000002</v>
      </c>
      <c r="T293">
        <v>-0.19905490000000001</v>
      </c>
      <c r="U293">
        <v>-0.15631099999999901</v>
      </c>
      <c r="V293">
        <v>-5.5946589999999997E-2</v>
      </c>
      <c r="W293">
        <v>9.9626969999999995E-3</v>
      </c>
      <c r="X293">
        <v>0.9983841</v>
      </c>
      <c r="Y293">
        <v>5.3982299999999997E-2</v>
      </c>
      <c r="Z293">
        <v>-1.9324520000000001E-3</v>
      </c>
      <c r="AA293">
        <v>0.99853999999999998</v>
      </c>
      <c r="AB293">
        <v>36</v>
      </c>
      <c r="AC293">
        <v>0.69769999999999699</v>
      </c>
      <c r="AD293">
        <v>-5.9327999999999999E-2</v>
      </c>
      <c r="AE293">
        <v>-4.7500000000013601E-2</v>
      </c>
      <c r="AF293">
        <v>4.8772328435889398E-2</v>
      </c>
      <c r="AG293">
        <v>-5.9327999999999999E-2</v>
      </c>
      <c r="AH293">
        <v>0.69260266683877103</v>
      </c>
      <c r="AI293">
        <v>94.883940885810503</v>
      </c>
      <c r="AJ293">
        <v>85.971942723654294</v>
      </c>
      <c r="AK293">
        <v>0.69684790716284395</v>
      </c>
      <c r="AL293">
        <v>89.429170091026293</v>
      </c>
      <c r="AM293">
        <v>93.207337263143003</v>
      </c>
      <c r="AN293">
        <v>1.00000004369847</v>
      </c>
    </row>
    <row r="294" spans="1:40" x14ac:dyDescent="0.3">
      <c r="A294" t="str">
        <f>"20200111160411325"</f>
        <v>20200111160411325</v>
      </c>
      <c r="B294" t="str">
        <f>"1578729851321295"</f>
        <v>1578729851321295</v>
      </c>
      <c r="C294" t="s">
        <v>40</v>
      </c>
      <c r="D294">
        <v>5.0260809999999996</v>
      </c>
      <c r="E294">
        <v>0.54968450000000002</v>
      </c>
      <c r="F294" t="s">
        <v>42</v>
      </c>
      <c r="G294">
        <v>-402.15190000000001</v>
      </c>
      <c r="H294">
        <v>0.99061999999999995</v>
      </c>
      <c r="I294">
        <v>367.26620000000003</v>
      </c>
      <c r="J294">
        <v>-402.85660000000001</v>
      </c>
      <c r="K294">
        <v>1.0595129999999999</v>
      </c>
      <c r="L294">
        <v>367.32839999999999</v>
      </c>
      <c r="M294">
        <v>0.99996459999999998</v>
      </c>
      <c r="N294">
        <v>0</v>
      </c>
      <c r="O294">
        <v>2.334633E-3</v>
      </c>
      <c r="P294">
        <v>0.99831959999999997</v>
      </c>
      <c r="Q294">
        <v>1.786726E-3</v>
      </c>
      <c r="R294">
        <v>5.791984E-2</v>
      </c>
      <c r="S294">
        <v>3.0161129999999998</v>
      </c>
      <c r="T294">
        <v>-0.20421500000000001</v>
      </c>
      <c r="U294">
        <v>-0.18170169999999999</v>
      </c>
      <c r="V294">
        <v>-5.5588650000000003E-2</v>
      </c>
      <c r="W294">
        <v>9.8649500000000008E-3</v>
      </c>
      <c r="X294">
        <v>0.99840499999999999</v>
      </c>
      <c r="Y294">
        <v>6.2317450000000003E-2</v>
      </c>
      <c r="Z294">
        <v>-2.2631389999999999E-3</v>
      </c>
      <c r="AA294">
        <v>0.99805379999999999</v>
      </c>
      <c r="AB294">
        <v>36</v>
      </c>
      <c r="AC294">
        <v>0.70470000000000199</v>
      </c>
      <c r="AD294">
        <v>-6.8892999999999802E-2</v>
      </c>
      <c r="AE294">
        <v>-6.2199999999961599E-2</v>
      </c>
      <c r="AF294">
        <v>6.32453095054238E-2</v>
      </c>
      <c r="AG294">
        <v>-6.8892999999999802E-2</v>
      </c>
      <c r="AH294">
        <v>0.69793396275282604</v>
      </c>
      <c r="AI294">
        <v>95.614541894068594</v>
      </c>
      <c r="AJ294">
        <v>84.822118826005095</v>
      </c>
      <c r="AK294">
        <v>0.70417187602693998</v>
      </c>
      <c r="AL294">
        <v>89.434770820371995</v>
      </c>
      <c r="AM294">
        <v>93.186792937221497</v>
      </c>
      <c r="AN294">
        <v>0.99999997963616205</v>
      </c>
    </row>
    <row r="295" spans="1:40" x14ac:dyDescent="0.3">
      <c r="A295" t="str">
        <f>"20200111160411337"</f>
        <v>20200111160411337</v>
      </c>
      <c r="B295" t="str">
        <f>"1578729851331056"</f>
        <v>1578729851331056</v>
      </c>
      <c r="C295" t="s">
        <v>40</v>
      </c>
      <c r="D295">
        <v>5.0324019999999896</v>
      </c>
      <c r="E295">
        <v>0.55086329999999994</v>
      </c>
      <c r="F295" t="s">
        <v>42</v>
      </c>
      <c r="G295">
        <v>-401.82560000000001</v>
      </c>
      <c r="H295">
        <v>0.98852370000000001</v>
      </c>
      <c r="I295">
        <v>367.25670000000002</v>
      </c>
      <c r="J295">
        <v>-402.64490000000001</v>
      </c>
      <c r="K295">
        <v>1.059509</v>
      </c>
      <c r="L295">
        <v>367.32889999999998</v>
      </c>
      <c r="M295">
        <v>0.99996439999999998</v>
      </c>
      <c r="N295">
        <v>0</v>
      </c>
      <c r="O295">
        <v>2.3396150000000002E-3</v>
      </c>
      <c r="P295">
        <v>0.99832790000000005</v>
      </c>
      <c r="Q295">
        <v>1.598889E-3</v>
      </c>
      <c r="R295">
        <v>5.778672E-2</v>
      </c>
      <c r="S295">
        <v>3.0175169999999998</v>
      </c>
      <c r="T295">
        <v>-0.20802399999999999</v>
      </c>
      <c r="U295">
        <v>-0.2089539</v>
      </c>
      <c r="V295">
        <v>-5.5450670000000001E-2</v>
      </c>
      <c r="W295">
        <v>9.6975870000000006E-3</v>
      </c>
      <c r="X295">
        <v>0.99841429999999998</v>
      </c>
      <c r="Y295">
        <v>7.124163E-2</v>
      </c>
      <c r="Z295">
        <v>-2.6107389999999999E-3</v>
      </c>
      <c r="AA295">
        <v>0.99745569999999895</v>
      </c>
      <c r="AB295">
        <v>37</v>
      </c>
      <c r="AC295">
        <v>0.81929999999999803</v>
      </c>
      <c r="AD295">
        <v>-7.0985300000000098E-2</v>
      </c>
      <c r="AE295">
        <v>-7.2199999999952497E-2</v>
      </c>
      <c r="AF295">
        <v>7.3568707069078504E-2</v>
      </c>
      <c r="AG295">
        <v>-7.0985300000000098E-2</v>
      </c>
      <c r="AH295">
        <v>0.81307234888964997</v>
      </c>
      <c r="AI295">
        <v>94.969359446162997</v>
      </c>
      <c r="AJ295">
        <v>84.829821348956301</v>
      </c>
      <c r="AK295">
        <v>0.819474167991181</v>
      </c>
      <c r="AL295">
        <v>89.444360465973901</v>
      </c>
      <c r="AM295">
        <v>93.178869496093796</v>
      </c>
      <c r="AN295">
        <v>0.99999996722078</v>
      </c>
    </row>
    <row r="296" spans="1:40" x14ac:dyDescent="0.3">
      <c r="A296" t="str">
        <f>"20200111160411350"</f>
        <v>20200111160411350</v>
      </c>
      <c r="B296" t="str">
        <f>"1578729851340816"</f>
        <v>1578729851340816</v>
      </c>
      <c r="C296" t="s">
        <v>40</v>
      </c>
      <c r="D296">
        <v>4.9895490000000002</v>
      </c>
      <c r="E296">
        <v>0.55164290000000005</v>
      </c>
      <c r="F296" t="s">
        <v>42</v>
      </c>
      <c r="G296">
        <v>-401.81709999999998</v>
      </c>
      <c r="H296">
        <v>1.002105</v>
      </c>
      <c r="I296">
        <v>367.26859999999999</v>
      </c>
      <c r="J296">
        <v>-402.44569999999999</v>
      </c>
      <c r="K296">
        <v>1.05951</v>
      </c>
      <c r="L296">
        <v>367.32940000000002</v>
      </c>
      <c r="M296">
        <v>0.99996430000000003</v>
      </c>
      <c r="N296">
        <v>0</v>
      </c>
      <c r="O296">
        <v>2.3440700000000002E-3</v>
      </c>
      <c r="P296">
        <v>0.99831970000000003</v>
      </c>
      <c r="Q296">
        <v>1.4902540000000001E-3</v>
      </c>
      <c r="R296">
        <v>5.7927359999999997E-2</v>
      </c>
      <c r="S296">
        <v>3.018005</v>
      </c>
      <c r="T296">
        <v>-0.2095842</v>
      </c>
      <c r="U296">
        <v>-0.2185974</v>
      </c>
      <c r="V296">
        <v>-5.5586869999999997E-2</v>
      </c>
      <c r="W296">
        <v>9.6074690000000004E-3</v>
      </c>
      <c r="X296">
        <v>0.99840759999999995</v>
      </c>
      <c r="Y296">
        <v>7.4395810000000007E-2</v>
      </c>
      <c r="Z296">
        <v>-2.7391080000000001E-3</v>
      </c>
      <c r="AA296">
        <v>0.99722500000000003</v>
      </c>
      <c r="AB296">
        <v>37</v>
      </c>
      <c r="AC296">
        <v>0.62860000000000504</v>
      </c>
      <c r="AD296">
        <v>-5.7404999999999901E-2</v>
      </c>
      <c r="AE296">
        <v>-6.0800000000028803E-2</v>
      </c>
      <c r="AF296">
        <v>6.1763052396916103E-2</v>
      </c>
      <c r="AG296">
        <v>-5.7404999999999901E-2</v>
      </c>
      <c r="AH296">
        <v>0.62330574266113903</v>
      </c>
      <c r="AI296">
        <v>95.236462106199298</v>
      </c>
      <c r="AJ296">
        <v>84.3410629807085</v>
      </c>
      <c r="AK296">
        <v>0.62898335232400104</v>
      </c>
      <c r="AL296">
        <v>89.449524089100606</v>
      </c>
      <c r="AM296">
        <v>93.186682821969598</v>
      </c>
      <c r="AN296">
        <v>0.99999996965737004</v>
      </c>
    </row>
    <row r="297" spans="1:40" x14ac:dyDescent="0.3">
      <c r="A297" t="str">
        <f>"20200111160411362"</f>
        <v>20200111160411362</v>
      </c>
      <c r="B297" t="str">
        <f>"1578729851351552"</f>
        <v>1578729851351552</v>
      </c>
      <c r="C297" t="s">
        <v>40</v>
      </c>
      <c r="D297">
        <v>5.0272779999999999</v>
      </c>
      <c r="E297">
        <v>0.55224879999999998</v>
      </c>
      <c r="F297" t="s">
        <v>42</v>
      </c>
      <c r="G297">
        <v>-401.49560000000002</v>
      </c>
      <c r="H297">
        <v>0.99310019999999999</v>
      </c>
      <c r="I297">
        <v>367.25850000000003</v>
      </c>
      <c r="J297">
        <v>-402.23989999999998</v>
      </c>
      <c r="K297">
        <v>1.0595110000000001</v>
      </c>
      <c r="L297">
        <v>367.32990000000001</v>
      </c>
      <c r="M297">
        <v>0.99996419999999997</v>
      </c>
      <c r="N297">
        <v>0</v>
      </c>
      <c r="O297">
        <v>2.3485860000000002E-3</v>
      </c>
      <c r="P297">
        <v>0.9983339</v>
      </c>
      <c r="Q297">
        <v>1.06689E-3</v>
      </c>
      <c r="R297">
        <v>5.7695330000000003E-2</v>
      </c>
      <c r="S297">
        <v>3.0183719999999998</v>
      </c>
      <c r="T297">
        <v>-0.21111009999999999</v>
      </c>
      <c r="U297">
        <v>-0.2244263</v>
      </c>
      <c r="V297">
        <v>-5.5350480000000001E-2</v>
      </c>
      <c r="W297">
        <v>9.2026539999999993E-3</v>
      </c>
      <c r="X297">
        <v>0.9984246</v>
      </c>
      <c r="Y297">
        <v>7.6299679999999995E-2</v>
      </c>
      <c r="Z297">
        <v>-2.8251970000000002E-3</v>
      </c>
      <c r="AA297">
        <v>0.99708090000000005</v>
      </c>
      <c r="AB297">
        <v>37</v>
      </c>
      <c r="AC297">
        <v>0.744299999999952</v>
      </c>
      <c r="AD297">
        <v>-6.6410800000000103E-2</v>
      </c>
      <c r="AE297">
        <v>-7.1399999999982797E-2</v>
      </c>
      <c r="AF297">
        <v>7.2575390966904005E-2</v>
      </c>
      <c r="AG297">
        <v>-6.6410800000000103E-2</v>
      </c>
      <c r="AH297">
        <v>0.73830600909163202</v>
      </c>
      <c r="AI297">
        <v>95.115412602111505</v>
      </c>
      <c r="AJ297">
        <v>84.385868343645001</v>
      </c>
      <c r="AK297">
        <v>0.74483108473764204</v>
      </c>
      <c r="AL297">
        <v>89.472719335060603</v>
      </c>
      <c r="AM297">
        <v>93.173104895353404</v>
      </c>
      <c r="AN297">
        <v>1.00000002318101</v>
      </c>
    </row>
    <row r="298" spans="1:40" x14ac:dyDescent="0.3">
      <c r="A298" t="str">
        <f>"20200111160411382"</f>
        <v>20200111160411382</v>
      </c>
      <c r="B298" t="str">
        <f>"1578729851371071"</f>
        <v>1578729851371071</v>
      </c>
      <c r="C298" t="s">
        <v>40</v>
      </c>
      <c r="D298">
        <v>4.980423</v>
      </c>
      <c r="E298">
        <v>0.5533882</v>
      </c>
      <c r="F298" t="s">
        <v>42</v>
      </c>
      <c r="G298">
        <v>-401.48360000000002</v>
      </c>
      <c r="H298">
        <v>1.0062990000000001</v>
      </c>
      <c r="I298">
        <v>367.27199999999999</v>
      </c>
      <c r="J298">
        <v>-401.92219999999998</v>
      </c>
      <c r="K298">
        <v>1.05951</v>
      </c>
      <c r="L298">
        <v>367.3306</v>
      </c>
      <c r="M298">
        <v>0.99996390000000002</v>
      </c>
      <c r="N298">
        <v>0</v>
      </c>
      <c r="O298">
        <v>2.3560489999999998E-3</v>
      </c>
      <c r="P298">
        <v>0.99833249999999996</v>
      </c>
      <c r="Q298">
        <v>9.2250850000000001E-4</v>
      </c>
      <c r="R298">
        <v>5.7721479999999999E-2</v>
      </c>
      <c r="S298">
        <v>3.0185550000000001</v>
      </c>
      <c r="T298">
        <v>-0.212532</v>
      </c>
      <c r="U298">
        <v>-0.2298279</v>
      </c>
      <c r="V298">
        <v>-5.5369109999999999E-2</v>
      </c>
      <c r="W298">
        <v>9.0844040000000008E-3</v>
      </c>
      <c r="X298">
        <v>0.9984246</v>
      </c>
      <c r="Y298">
        <v>7.806979E-2</v>
      </c>
      <c r="Z298">
        <v>-2.9064910000000002E-3</v>
      </c>
      <c r="AA298">
        <v>0.99694369999999999</v>
      </c>
      <c r="AB298">
        <v>37</v>
      </c>
      <c r="AC298">
        <v>0.43859999999995097</v>
      </c>
      <c r="AD298">
        <v>-5.3210999999999897E-2</v>
      </c>
      <c r="AE298">
        <v>-5.86000000000126E-2</v>
      </c>
      <c r="AF298">
        <v>5.8783203975144499E-2</v>
      </c>
      <c r="AG298">
        <v>-5.3210999999999897E-2</v>
      </c>
      <c r="AH298">
        <v>0.43221075650320401</v>
      </c>
      <c r="AI298">
        <v>96.955172443498199</v>
      </c>
      <c r="AJ298">
        <v>82.254958712938205</v>
      </c>
      <c r="AK298">
        <v>0.439423501451225</v>
      </c>
      <c r="AL298">
        <v>89.479494818113096</v>
      </c>
      <c r="AM298">
        <v>93.174170723226894</v>
      </c>
      <c r="AN298">
        <v>0.99999997331169299</v>
      </c>
    </row>
    <row r="299" spans="1:40" x14ac:dyDescent="0.3">
      <c r="A299" t="str">
        <f>"20200111160411396"</f>
        <v>20200111160411396</v>
      </c>
      <c r="B299" t="str">
        <f>"1578729851391568"</f>
        <v>1578729851391568</v>
      </c>
      <c r="C299" t="s">
        <v>40</v>
      </c>
      <c r="D299">
        <v>4.9937100000000001</v>
      </c>
      <c r="E299">
        <v>0.55425740000000001</v>
      </c>
      <c r="F299" t="s">
        <v>42</v>
      </c>
      <c r="G299">
        <v>-401.15820000000002</v>
      </c>
      <c r="H299">
        <v>1.0051810000000001</v>
      </c>
      <c r="I299">
        <v>367.26990000000001</v>
      </c>
      <c r="J299">
        <v>-401.68540000000002</v>
      </c>
      <c r="K299">
        <v>1.05951</v>
      </c>
      <c r="L299">
        <v>367.33120000000002</v>
      </c>
      <c r="M299">
        <v>0.99996379999999996</v>
      </c>
      <c r="N299">
        <v>0</v>
      </c>
      <c r="O299">
        <v>2.3616959999999999E-3</v>
      </c>
      <c r="P299">
        <v>0.99833190000000005</v>
      </c>
      <c r="Q299">
        <v>7.7204409999999998E-4</v>
      </c>
      <c r="R299">
        <v>5.7729009999999997E-2</v>
      </c>
      <c r="S299">
        <v>3.019012</v>
      </c>
      <c r="T299">
        <v>-0.21501770000000001</v>
      </c>
      <c r="U299">
        <v>-0.23864750000000001</v>
      </c>
      <c r="V299">
        <v>-5.5370599999999999E-2</v>
      </c>
      <c r="W299">
        <v>8.9523229999999999E-3</v>
      </c>
      <c r="X299">
        <v>0.99842569999999997</v>
      </c>
      <c r="Y299">
        <v>8.0946859999999995E-2</v>
      </c>
      <c r="Z299">
        <v>-3.0421929999999999E-3</v>
      </c>
      <c r="AA299">
        <v>0.99671379999999998</v>
      </c>
      <c r="AB299">
        <v>37</v>
      </c>
      <c r="AC299">
        <v>0.52719999999999301</v>
      </c>
      <c r="AD299">
        <v>-5.4329000000000002E-2</v>
      </c>
      <c r="AE299">
        <v>-6.1300000000017001E-2</v>
      </c>
      <c r="AF299">
        <v>6.1896403282296703E-2</v>
      </c>
      <c r="AG299">
        <v>-5.4329000000000002E-2</v>
      </c>
      <c r="AH299">
        <v>0.521588523257005</v>
      </c>
      <c r="AI299">
        <v>95.905382524086903</v>
      </c>
      <c r="AJ299">
        <v>83.232414895797504</v>
      </c>
      <c r="AK299">
        <v>0.52805055872871498</v>
      </c>
      <c r="AL299">
        <v>89.487062804608996</v>
      </c>
      <c r="AM299">
        <v>93.174252476442007</v>
      </c>
      <c r="AN299">
        <v>0.99999996292597204</v>
      </c>
    </row>
    <row r="300" spans="1:40" x14ac:dyDescent="0.3">
      <c r="A300" t="str">
        <f>"20200111160411415"</f>
        <v>20200111160411415</v>
      </c>
      <c r="B300" t="str">
        <f>"1578729851411088"</f>
        <v>1578729851411088</v>
      </c>
      <c r="C300" t="s">
        <v>40</v>
      </c>
      <c r="D300">
        <v>4.9702479999999998</v>
      </c>
      <c r="E300">
        <v>0.55500569999999905</v>
      </c>
      <c r="F300" t="s">
        <v>42</v>
      </c>
      <c r="G300">
        <v>-400.83539999999999</v>
      </c>
      <c r="H300">
        <v>0.99850289999999997</v>
      </c>
      <c r="I300">
        <v>367.26190000000003</v>
      </c>
      <c r="J300">
        <v>-401.3759</v>
      </c>
      <c r="K300">
        <v>1.0595060000000001</v>
      </c>
      <c r="L300">
        <v>367.33190000000002</v>
      </c>
      <c r="M300">
        <v>0.99996359999999995</v>
      </c>
      <c r="N300">
        <v>0</v>
      </c>
      <c r="O300">
        <v>2.3693519999999999E-3</v>
      </c>
      <c r="P300">
        <v>0.99835910000000005</v>
      </c>
      <c r="Q300">
        <v>4.5722349999999999E-4</v>
      </c>
      <c r="R300">
        <v>5.7266060000000001E-2</v>
      </c>
      <c r="S300">
        <v>3.0193789999999998</v>
      </c>
      <c r="T300">
        <v>-0.21690999999999999</v>
      </c>
      <c r="U300">
        <v>-0.2453613</v>
      </c>
      <c r="V300">
        <v>-5.4900360000000002E-2</v>
      </c>
      <c r="W300">
        <v>8.6600319999999998E-3</v>
      </c>
      <c r="X300">
        <v>0.99845430000000002</v>
      </c>
      <c r="Y300">
        <v>8.3137710000000004E-2</v>
      </c>
      <c r="Z300">
        <v>-3.1472689999999998E-3</v>
      </c>
      <c r="AA300">
        <v>0.99653309999999995</v>
      </c>
      <c r="AB300">
        <v>37</v>
      </c>
      <c r="AC300">
        <v>0.54050000000000797</v>
      </c>
      <c r="AD300">
        <v>-6.10030999999999E-2</v>
      </c>
      <c r="AE300">
        <v>-6.9999999999993096E-2</v>
      </c>
      <c r="AF300">
        <v>7.0398514949065905E-2</v>
      </c>
      <c r="AG300">
        <v>-6.10030999999999E-2</v>
      </c>
      <c r="AH300">
        <v>0.53364698894581697</v>
      </c>
      <c r="AI300">
        <v>96.465839355491099</v>
      </c>
      <c r="AJ300">
        <v>82.484955552144797</v>
      </c>
      <c r="AK300">
        <v>0.54171619684811101</v>
      </c>
      <c r="AL300">
        <v>89.503810522420906</v>
      </c>
      <c r="AM300">
        <v>93.1472592961412</v>
      </c>
      <c r="AN300">
        <v>1.00000001743543</v>
      </c>
    </row>
    <row r="301" spans="1:40" x14ac:dyDescent="0.3">
      <c r="A301" t="str">
        <f>"20200111160411430"</f>
        <v>20200111160411430</v>
      </c>
      <c r="B301" t="str">
        <f>"1578729851420847"</f>
        <v>1578729851420847</v>
      </c>
      <c r="C301" t="s">
        <v>40</v>
      </c>
      <c r="D301">
        <v>4.9774580000000004</v>
      </c>
      <c r="E301">
        <v>0.55524059999999997</v>
      </c>
      <c r="F301" t="s">
        <v>42</v>
      </c>
      <c r="G301">
        <v>-400.50709999999998</v>
      </c>
      <c r="H301">
        <v>0.99670599999999998</v>
      </c>
      <c r="I301">
        <v>367.25900000000001</v>
      </c>
      <c r="J301">
        <v>-401.1311</v>
      </c>
      <c r="K301">
        <v>1.0596110000000001</v>
      </c>
      <c r="L301">
        <v>367.33249999999998</v>
      </c>
      <c r="M301">
        <v>0.99996019999999997</v>
      </c>
      <c r="N301">
        <v>0</v>
      </c>
      <c r="O301">
        <v>2.3747099999999999E-3</v>
      </c>
      <c r="P301">
        <v>0.99837399999999998</v>
      </c>
      <c r="Q301">
        <v>-2.426021E-4</v>
      </c>
      <c r="R301">
        <v>5.700413E-2</v>
      </c>
      <c r="S301">
        <v>3.0195310000000002</v>
      </c>
      <c r="T301">
        <v>-0.2184623</v>
      </c>
      <c r="U301">
        <v>-0.25280760000000002</v>
      </c>
      <c r="V301">
        <v>-5.4632930000000003E-2</v>
      </c>
      <c r="W301">
        <v>8.3558219999999902E-3</v>
      </c>
      <c r="X301">
        <v>0.99847160000000001</v>
      </c>
      <c r="Y301">
        <v>8.5570229999999997E-2</v>
      </c>
      <c r="Z301">
        <v>-3.257373E-3</v>
      </c>
      <c r="AA301">
        <v>0.99632679999999996</v>
      </c>
      <c r="AB301">
        <v>37</v>
      </c>
      <c r="AC301">
        <v>0.62400000000002298</v>
      </c>
      <c r="AD301">
        <v>-6.29050000000001E-2</v>
      </c>
      <c r="AE301">
        <v>-7.3499999999967203E-2</v>
      </c>
      <c r="AF301">
        <v>7.42375504002728E-2</v>
      </c>
      <c r="AG301">
        <v>-6.29050000000001E-2</v>
      </c>
      <c r="AH301">
        <v>0.61763288207407596</v>
      </c>
      <c r="AI301">
        <v>95.774160975446605</v>
      </c>
      <c r="AJ301">
        <v>83.146106128914894</v>
      </c>
      <c r="AK301">
        <v>0.62525085360482502</v>
      </c>
      <c r="AL301">
        <v>89.521241120792993</v>
      </c>
      <c r="AM301">
        <v>93.131904840980596</v>
      </c>
      <c r="AN301">
        <v>1.00000005640411</v>
      </c>
    </row>
    <row r="302" spans="1:40" x14ac:dyDescent="0.3">
      <c r="A302" t="str">
        <f>"20200111160411450"</f>
        <v>20200111160411450</v>
      </c>
      <c r="B302" t="str">
        <f>"1578729851441343"</f>
        <v>1578729851441343</v>
      </c>
      <c r="C302" t="s">
        <v>40</v>
      </c>
      <c r="D302">
        <v>4.9759089999999997</v>
      </c>
      <c r="E302">
        <v>0.55559919999999996</v>
      </c>
      <c r="F302" t="s">
        <v>42</v>
      </c>
      <c r="G302">
        <v>-400.1841</v>
      </c>
      <c r="H302">
        <v>0.99039820000000001</v>
      </c>
      <c r="I302">
        <v>367.25220000000002</v>
      </c>
      <c r="J302">
        <v>-400.81830000000002</v>
      </c>
      <c r="K302">
        <v>1.0600210000000001</v>
      </c>
      <c r="L302">
        <v>367.33330000000001</v>
      </c>
      <c r="M302">
        <v>0.99994899999999998</v>
      </c>
      <c r="N302">
        <v>0</v>
      </c>
      <c r="O302">
        <v>2.3810929999999999E-3</v>
      </c>
      <c r="P302">
        <v>0.99838850000000001</v>
      </c>
      <c r="Q302">
        <v>-1.7239600000000001E-3</v>
      </c>
      <c r="R302">
        <v>5.6722830000000002E-2</v>
      </c>
      <c r="S302">
        <v>3.0193789999999998</v>
      </c>
      <c r="T302">
        <v>-0.22076219999999999</v>
      </c>
      <c r="U302">
        <v>-0.2554321</v>
      </c>
      <c r="V302">
        <v>-5.4345480000000002E-2</v>
      </c>
      <c r="W302">
        <v>8.0816499999999993E-3</v>
      </c>
      <c r="X302">
        <v>0.99848950000000003</v>
      </c>
      <c r="Y302">
        <v>8.6433560000000006E-2</v>
      </c>
      <c r="Z302">
        <v>-3.3235489999999999E-3</v>
      </c>
      <c r="AA302">
        <v>0.99625209999999997</v>
      </c>
      <c r="AB302">
        <v>37</v>
      </c>
      <c r="AC302">
        <v>0.63420000000002097</v>
      </c>
      <c r="AD302">
        <v>-6.9622799999999804E-2</v>
      </c>
      <c r="AE302">
        <v>-8.1099999999992095E-2</v>
      </c>
      <c r="AF302">
        <v>8.1641835132200399E-2</v>
      </c>
      <c r="AG302">
        <v>-6.9622799999999804E-2</v>
      </c>
      <c r="AH302">
        <v>0.62657524899989503</v>
      </c>
      <c r="AI302">
        <v>96.287772097399696</v>
      </c>
      <c r="AJ302">
        <v>82.576268154327707</v>
      </c>
      <c r="AK302">
        <v>0.63569589127418002</v>
      </c>
      <c r="AL302">
        <v>89.536950528865006</v>
      </c>
      <c r="AM302">
        <v>93.115403196135105</v>
      </c>
      <c r="AN302">
        <v>1.0000000129366999</v>
      </c>
    </row>
    <row r="303" spans="1:40" x14ac:dyDescent="0.3">
      <c r="A303" t="str">
        <f>"20200111160411463"</f>
        <v>20200111160411463</v>
      </c>
      <c r="B303" t="str">
        <f>"1578729851460863"</f>
        <v>1578729851460863</v>
      </c>
      <c r="C303" t="s">
        <v>40</v>
      </c>
      <c r="D303">
        <v>4.9860379999999997</v>
      </c>
      <c r="E303">
        <v>0.55595430000000001</v>
      </c>
      <c r="F303" t="s">
        <v>42</v>
      </c>
      <c r="G303">
        <v>-399.8623</v>
      </c>
      <c r="H303">
        <v>0.98876240000000004</v>
      </c>
      <c r="I303">
        <v>367.25080000000003</v>
      </c>
      <c r="J303">
        <v>-400.59089999999998</v>
      </c>
      <c r="K303">
        <v>1.060492</v>
      </c>
      <c r="L303">
        <v>367.3338</v>
      </c>
      <c r="M303">
        <v>0.99993849999999995</v>
      </c>
      <c r="N303">
        <v>0</v>
      </c>
      <c r="O303">
        <v>2.3854319999999998E-3</v>
      </c>
      <c r="P303">
        <v>0.99837799999999999</v>
      </c>
      <c r="Q303">
        <v>-3.0118380000000002E-3</v>
      </c>
      <c r="R303">
        <v>5.6855349999999999E-2</v>
      </c>
      <c r="S303">
        <v>3.0192260000000002</v>
      </c>
      <c r="T303">
        <v>-0.22530839999999999</v>
      </c>
      <c r="U303">
        <v>-0.25933840000000002</v>
      </c>
      <c r="V303">
        <v>-5.4473679999999997E-2</v>
      </c>
      <c r="W303">
        <v>7.8046169999999998E-3</v>
      </c>
      <c r="X303">
        <v>0.9984847</v>
      </c>
      <c r="Y303">
        <v>8.7708410000000001E-2</v>
      </c>
      <c r="Z303">
        <v>-3.4395300000000001E-3</v>
      </c>
      <c r="AA303">
        <v>0.99614020000000003</v>
      </c>
      <c r="AB303">
        <v>36</v>
      </c>
      <c r="AC303">
        <v>0.72859999999997105</v>
      </c>
      <c r="AD303">
        <v>-7.1729600000000004E-2</v>
      </c>
      <c r="AE303">
        <v>-8.2999999999969903E-2</v>
      </c>
      <c r="AF303">
        <v>8.3934807567108902E-2</v>
      </c>
      <c r="AG303">
        <v>-7.1729600000000004E-2</v>
      </c>
      <c r="AH303">
        <v>0.72149668082954099</v>
      </c>
      <c r="AI303">
        <v>95.639775412270595</v>
      </c>
      <c r="AJ303">
        <v>83.364363454508194</v>
      </c>
      <c r="AK303">
        <v>0.72989564177732402</v>
      </c>
      <c r="AL303">
        <v>89.552823843132302</v>
      </c>
      <c r="AM303">
        <v>93.122752829860403</v>
      </c>
      <c r="AN303">
        <v>0.99999999499667402</v>
      </c>
    </row>
    <row r="304" spans="1:40" x14ac:dyDescent="0.3">
      <c r="A304" t="str">
        <f>"20200111160411481"</f>
        <v>20200111160411481</v>
      </c>
      <c r="B304" t="str">
        <f>"1578729851470623"</f>
        <v>1578729851470623</v>
      </c>
      <c r="C304" t="s">
        <v>40</v>
      </c>
      <c r="D304">
        <v>4.9688410000000003</v>
      </c>
      <c r="E304">
        <v>0.55614140000000001</v>
      </c>
      <c r="F304" t="s">
        <v>42</v>
      </c>
      <c r="G304">
        <v>-399.85160000000002</v>
      </c>
      <c r="H304">
        <v>1.004454</v>
      </c>
      <c r="I304">
        <v>367.26929999999999</v>
      </c>
      <c r="J304">
        <v>-400.30169999999998</v>
      </c>
      <c r="K304">
        <v>1.0609999999999999</v>
      </c>
      <c r="L304">
        <v>367.33449999999999</v>
      </c>
      <c r="M304">
        <v>0.99994059999999996</v>
      </c>
      <c r="N304">
        <v>0</v>
      </c>
      <c r="O304">
        <v>2.3913419999999999E-3</v>
      </c>
      <c r="P304">
        <v>0.99837169999999997</v>
      </c>
      <c r="Q304">
        <v>-2.8042919999999999E-3</v>
      </c>
      <c r="R304">
        <v>5.6977510000000002E-2</v>
      </c>
      <c r="S304">
        <v>3.0190730000000001</v>
      </c>
      <c r="T304">
        <v>-0.22916700000000001</v>
      </c>
      <c r="U304">
        <v>-0.26159670000000002</v>
      </c>
      <c r="V304">
        <v>-5.4589369999999998E-2</v>
      </c>
      <c r="W304">
        <v>7.8227369999999997E-3</v>
      </c>
      <c r="X304">
        <v>0.99847819999999998</v>
      </c>
      <c r="Y304">
        <v>8.844747E-2</v>
      </c>
      <c r="Z304">
        <v>-3.5267359999999999E-3</v>
      </c>
      <c r="AA304">
        <v>0.99607460000000003</v>
      </c>
      <c r="AB304">
        <v>36</v>
      </c>
      <c r="AC304">
        <v>0.45009999999996297</v>
      </c>
      <c r="AD304">
        <v>-5.6545999999999701E-2</v>
      </c>
      <c r="AE304">
        <v>-6.5200000000004296E-2</v>
      </c>
      <c r="AF304">
        <v>6.5267283853938901E-2</v>
      </c>
      <c r="AG304">
        <v>-5.6545999999999701E-2</v>
      </c>
      <c r="AH304">
        <v>0.44309323661925099</v>
      </c>
      <c r="AI304">
        <v>97.195757956017601</v>
      </c>
      <c r="AJ304">
        <v>81.620632750833707</v>
      </c>
      <c r="AK304">
        <v>0.45142982266947601</v>
      </c>
      <c r="AL304">
        <v>89.551785594071603</v>
      </c>
      <c r="AM304">
        <v>93.129392027272701</v>
      </c>
      <c r="AN304">
        <v>0.99999995520320295</v>
      </c>
    </row>
    <row r="305" spans="1:40" x14ac:dyDescent="0.3">
      <c r="A305" t="str">
        <f>"20200111160411495"</f>
        <v>20200111160411495</v>
      </c>
      <c r="B305" t="str">
        <f>"1578729851491119"</f>
        <v>1578729851491119</v>
      </c>
      <c r="C305" t="s">
        <v>40</v>
      </c>
      <c r="D305">
        <v>4.9337669999999996</v>
      </c>
      <c r="E305">
        <v>0.55621659999999995</v>
      </c>
      <c r="F305" t="s">
        <v>42</v>
      </c>
      <c r="G305">
        <v>-399.52929999999998</v>
      </c>
      <c r="H305">
        <v>1.0028010000000001</v>
      </c>
      <c r="I305">
        <v>367.267</v>
      </c>
      <c r="J305">
        <v>-400.08199999999999</v>
      </c>
      <c r="K305">
        <v>1.0613999999999999</v>
      </c>
      <c r="L305">
        <v>367.33499999999998</v>
      </c>
      <c r="M305">
        <v>0.99994959999999999</v>
      </c>
      <c r="N305">
        <v>0</v>
      </c>
      <c r="O305">
        <v>2.3956580000000002E-3</v>
      </c>
      <c r="P305">
        <v>0.99836780000000003</v>
      </c>
      <c r="Q305">
        <v>-1.7711739999999999E-3</v>
      </c>
      <c r="R305">
        <v>5.708734E-2</v>
      </c>
      <c r="S305">
        <v>3.0192260000000002</v>
      </c>
      <c r="T305">
        <v>-0.2276851</v>
      </c>
      <c r="U305">
        <v>-0.2629089</v>
      </c>
      <c r="V305">
        <v>-5.4695470000000003E-2</v>
      </c>
      <c r="W305">
        <v>7.9805650000000002E-3</v>
      </c>
      <c r="X305">
        <v>0.9984712</v>
      </c>
      <c r="Y305">
        <v>8.8879250000000007E-2</v>
      </c>
      <c r="Z305">
        <v>-3.5203029999999998E-3</v>
      </c>
      <c r="AA305">
        <v>0.99603620000000004</v>
      </c>
      <c r="AB305">
        <v>36</v>
      </c>
      <c r="AC305">
        <v>0.55270000000001496</v>
      </c>
      <c r="AD305">
        <v>-5.8598999999999797E-2</v>
      </c>
      <c r="AE305">
        <v>-6.7999999999983601E-2</v>
      </c>
      <c r="AF305">
        <v>6.8564710752021904E-2</v>
      </c>
      <c r="AG305">
        <v>-5.8598999999999797E-2</v>
      </c>
      <c r="AH305">
        <v>0.54648412190692797</v>
      </c>
      <c r="AI305">
        <v>96.073135229679494</v>
      </c>
      <c r="AJ305">
        <v>82.848744203340402</v>
      </c>
      <c r="AK305">
        <v>0.553877114401647</v>
      </c>
      <c r="AL305">
        <v>89.542742458359001</v>
      </c>
      <c r="AM305">
        <v>93.135484133140594</v>
      </c>
      <c r="AN305">
        <v>1.0000000105428399</v>
      </c>
    </row>
    <row r="306" spans="1:40" x14ac:dyDescent="0.3">
      <c r="A306" t="str">
        <f>"20200111160411508"</f>
        <v>20200111160411508</v>
      </c>
      <c r="B306" t="str">
        <f>"1578729851500881"</f>
        <v>1578729851500881</v>
      </c>
      <c r="C306" t="s">
        <v>40</v>
      </c>
      <c r="D306">
        <v>4.94198</v>
      </c>
      <c r="E306">
        <v>0.55640019999999901</v>
      </c>
      <c r="F306" t="s">
        <v>42</v>
      </c>
      <c r="G306">
        <v>-399.20729999999998</v>
      </c>
      <c r="H306">
        <v>0.99661109999999997</v>
      </c>
      <c r="I306">
        <v>367.25839999999999</v>
      </c>
      <c r="J306">
        <v>-399.86110000000002</v>
      </c>
      <c r="K306">
        <v>1.061863</v>
      </c>
      <c r="L306">
        <v>367.33550000000002</v>
      </c>
      <c r="M306">
        <v>0.99995979999999995</v>
      </c>
      <c r="N306">
        <v>0</v>
      </c>
      <c r="O306">
        <v>2.4003060000000001E-3</v>
      </c>
      <c r="P306">
        <v>0.99837419999999999</v>
      </c>
      <c r="Q306">
        <v>-7.9334149999999999E-4</v>
      </c>
      <c r="R306">
        <v>5.6996579999999998E-2</v>
      </c>
      <c r="S306">
        <v>3.0195310000000002</v>
      </c>
      <c r="T306">
        <v>-0.22399250000000001</v>
      </c>
      <c r="U306">
        <v>-0.26300050000000003</v>
      </c>
      <c r="V306">
        <v>-5.4600299999999997E-2</v>
      </c>
      <c r="W306">
        <v>7.8527760000000005E-3</v>
      </c>
      <c r="X306">
        <v>0.99847739999999996</v>
      </c>
      <c r="Y306">
        <v>8.8913329999999999E-2</v>
      </c>
      <c r="Z306">
        <v>-3.464618E-3</v>
      </c>
      <c r="AA306">
        <v>0.99603339999999996</v>
      </c>
      <c r="AB306">
        <v>36</v>
      </c>
      <c r="AC306">
        <v>0.65380000000004601</v>
      </c>
      <c r="AD306">
        <v>-6.5251900000000099E-2</v>
      </c>
      <c r="AE306">
        <v>-7.7100000000029895E-2</v>
      </c>
      <c r="AF306">
        <v>7.7903811463109804E-2</v>
      </c>
      <c r="AG306">
        <v>-6.5251900000000099E-2</v>
      </c>
      <c r="AH306">
        <v>0.64725427041116201</v>
      </c>
      <c r="AI306">
        <v>95.715755958029405</v>
      </c>
      <c r="AJ306">
        <v>83.136868694041098</v>
      </c>
      <c r="AK306">
        <v>0.65518310788631895</v>
      </c>
      <c r="AL306">
        <v>89.5500644482252</v>
      </c>
      <c r="AM306">
        <v>93.130019857922093</v>
      </c>
      <c r="AN306">
        <v>0.99999998858087802</v>
      </c>
    </row>
    <row r="307" spans="1:40" x14ac:dyDescent="0.3">
      <c r="A307" t="str">
        <f>"20200111160411527"</f>
        <v>20200111160411527</v>
      </c>
      <c r="B307" t="str">
        <f>"1578729851521375"</f>
        <v>1578729851521375</v>
      </c>
      <c r="C307" t="s">
        <v>40</v>
      </c>
      <c r="D307">
        <v>4.9379179999999998</v>
      </c>
      <c r="E307">
        <v>0.55661050000000001</v>
      </c>
      <c r="F307" t="s">
        <v>42</v>
      </c>
      <c r="G307">
        <v>-398.88170000000002</v>
      </c>
      <c r="H307">
        <v>0.99040689999999998</v>
      </c>
      <c r="I307">
        <v>367.24939999999998</v>
      </c>
      <c r="J307">
        <v>-399.54820000000001</v>
      </c>
      <c r="K307">
        <v>1.06273</v>
      </c>
      <c r="L307">
        <v>367.33629999999999</v>
      </c>
      <c r="M307">
        <v>0.99997340000000001</v>
      </c>
      <c r="N307">
        <v>0</v>
      </c>
      <c r="O307">
        <v>2.4068610000000002E-3</v>
      </c>
      <c r="P307">
        <v>0.99839279999999997</v>
      </c>
      <c r="Q307">
        <v>1.816675E-4</v>
      </c>
      <c r="R307">
        <v>5.6675570000000002E-2</v>
      </c>
      <c r="S307">
        <v>3.0198670000000001</v>
      </c>
      <c r="T307">
        <v>-0.22038289999999999</v>
      </c>
      <c r="U307">
        <v>-0.26470949999999999</v>
      </c>
      <c r="V307">
        <v>-5.4272109999999998E-2</v>
      </c>
      <c r="W307">
        <v>7.0598190000000002E-3</v>
      </c>
      <c r="X307">
        <v>0.99850119999999998</v>
      </c>
      <c r="Y307">
        <v>8.9476150000000004E-2</v>
      </c>
      <c r="Z307">
        <v>-3.4294199999999999E-3</v>
      </c>
      <c r="AA307">
        <v>0.99598310000000001</v>
      </c>
      <c r="AB307">
        <v>37</v>
      </c>
      <c r="AC307">
        <v>0.66649999999998499</v>
      </c>
      <c r="AD307">
        <v>-7.2323099999999904E-2</v>
      </c>
      <c r="AE307">
        <v>-8.6900000000014105E-2</v>
      </c>
      <c r="AF307">
        <v>8.7490989831672597E-2</v>
      </c>
      <c r="AG307">
        <v>-7.2323099999999904E-2</v>
      </c>
      <c r="AH307">
        <v>0.658662919082874</v>
      </c>
      <c r="AI307">
        <v>96.212009428375097</v>
      </c>
      <c r="AJ307">
        <v>82.433625741726303</v>
      </c>
      <c r="AK307">
        <v>0.66837275907244198</v>
      </c>
      <c r="AL307">
        <v>89.595498796759102</v>
      </c>
      <c r="AM307">
        <v>93.111169079705107</v>
      </c>
      <c r="AN307">
        <v>0.99999997468480195</v>
      </c>
    </row>
    <row r="308" spans="1:40" x14ac:dyDescent="0.3">
      <c r="A308" t="str">
        <f>"20200111160411539"</f>
        <v>20200111160411539</v>
      </c>
      <c r="B308" t="str">
        <f>"1578729851531135"</f>
        <v>1578729851531135</v>
      </c>
      <c r="C308" t="s">
        <v>40</v>
      </c>
      <c r="D308">
        <v>4.9637169999999999</v>
      </c>
      <c r="E308">
        <v>0.55673680000000003</v>
      </c>
      <c r="F308" t="s">
        <v>42</v>
      </c>
      <c r="G308">
        <v>-398.55169999999998</v>
      </c>
      <c r="H308">
        <v>0.9911778</v>
      </c>
      <c r="I308">
        <v>367.24770000000001</v>
      </c>
      <c r="J308">
        <v>-399.3365</v>
      </c>
      <c r="K308">
        <v>1.063453</v>
      </c>
      <c r="L308">
        <v>367.33679999999998</v>
      </c>
      <c r="M308">
        <v>0.99998089999999995</v>
      </c>
      <c r="N308">
        <v>0</v>
      </c>
      <c r="O308">
        <v>2.4117320000000002E-3</v>
      </c>
      <c r="P308">
        <v>0.99840309999999999</v>
      </c>
      <c r="Q308">
        <v>8.0232320000000004E-4</v>
      </c>
      <c r="R308">
        <v>5.6487500000000003E-2</v>
      </c>
      <c r="S308">
        <v>3.0200809999999998</v>
      </c>
      <c r="T308">
        <v>-0.21706449999999999</v>
      </c>
      <c r="U308">
        <v>-0.2673645</v>
      </c>
      <c r="V308">
        <v>-5.4079469999999998E-2</v>
      </c>
      <c r="W308">
        <v>6.5219579999999996E-3</v>
      </c>
      <c r="X308">
        <v>0.99851529999999999</v>
      </c>
      <c r="Y308">
        <v>9.0348719999999993E-2</v>
      </c>
      <c r="Z308">
        <v>-3.409151E-3</v>
      </c>
      <c r="AA308">
        <v>0.99590429999999996</v>
      </c>
      <c r="AB308">
        <v>37</v>
      </c>
      <c r="AC308">
        <v>0.78480000000001804</v>
      </c>
      <c r="AD308">
        <v>-7.2275199999999901E-2</v>
      </c>
      <c r="AE308">
        <v>-8.9099999999973506E-2</v>
      </c>
      <c r="AF308">
        <v>9.0236914763562298E-2</v>
      </c>
      <c r="AG308">
        <v>-7.2275199999999901E-2</v>
      </c>
      <c r="AH308">
        <v>0.77806780542217302</v>
      </c>
      <c r="AI308">
        <v>95.271876465368805</v>
      </c>
      <c r="AJ308">
        <v>83.384639076796404</v>
      </c>
      <c r="AK308">
        <v>0.78661039603832095</v>
      </c>
      <c r="AL308">
        <v>89.626316670043494</v>
      </c>
      <c r="AM308">
        <v>93.100103807018897</v>
      </c>
      <c r="AN308">
        <v>0.99999996467286101</v>
      </c>
    </row>
    <row r="309" spans="1:40" x14ac:dyDescent="0.3">
      <c r="A309" t="str">
        <f>"20200111160411552"</f>
        <v>20200111160411552</v>
      </c>
      <c r="B309" t="str">
        <f>"1578729851540895"</f>
        <v>1578729851540895</v>
      </c>
      <c r="C309" t="s">
        <v>40</v>
      </c>
      <c r="D309">
        <v>4.9013479999999996</v>
      </c>
      <c r="E309">
        <v>0.55682670000000001</v>
      </c>
      <c r="F309" t="s">
        <v>42</v>
      </c>
      <c r="G309">
        <v>-398.5428</v>
      </c>
      <c r="H309">
        <v>1.007018</v>
      </c>
      <c r="I309">
        <v>367.26589999999999</v>
      </c>
      <c r="J309">
        <v>-399.13639999999998</v>
      </c>
      <c r="K309">
        <v>1.0642259999999999</v>
      </c>
      <c r="L309">
        <v>367.33730000000003</v>
      </c>
      <c r="M309">
        <v>0.99998609999999999</v>
      </c>
      <c r="N309">
        <v>0</v>
      </c>
      <c r="O309">
        <v>2.4167659999999999E-3</v>
      </c>
      <c r="P309">
        <v>0.9984092</v>
      </c>
      <c r="Q309">
        <v>1.3958550000000001E-3</v>
      </c>
      <c r="R309">
        <v>5.6366079999999999E-2</v>
      </c>
      <c r="S309">
        <v>3.0201720000000001</v>
      </c>
      <c r="T309">
        <v>-0.214974</v>
      </c>
      <c r="U309">
        <v>-0.26873780000000003</v>
      </c>
      <c r="V309">
        <v>-5.3952970000000003E-2</v>
      </c>
      <c r="W309">
        <v>6.0828000000000002E-3</v>
      </c>
      <c r="X309">
        <v>0.998525</v>
      </c>
      <c r="Y309">
        <v>9.0803789999999995E-2</v>
      </c>
      <c r="Z309">
        <v>-3.3927330000000002E-3</v>
      </c>
      <c r="AA309">
        <v>0.99586300000000005</v>
      </c>
      <c r="AB309">
        <v>37</v>
      </c>
      <c r="AC309">
        <v>0.59359999999998003</v>
      </c>
      <c r="AD309">
        <v>-5.7208000000000099E-2</v>
      </c>
      <c r="AE309">
        <v>-7.1400000000039598E-2</v>
      </c>
      <c r="AF309">
        <v>7.2173605978645194E-2</v>
      </c>
      <c r="AG309">
        <v>-5.7208000000000099E-2</v>
      </c>
      <c r="AH309">
        <v>0.58804182450807696</v>
      </c>
      <c r="AI309">
        <v>95.515439167885802</v>
      </c>
      <c r="AJ309">
        <v>83.002769381826198</v>
      </c>
      <c r="AK309">
        <v>0.59521002346629603</v>
      </c>
      <c r="AL309">
        <v>89.6514791003776</v>
      </c>
      <c r="AM309">
        <v>93.092836307263596</v>
      </c>
      <c r="AN309">
        <v>1.0000000495263199</v>
      </c>
    </row>
    <row r="310" spans="1:40" x14ac:dyDescent="0.3">
      <c r="A310" t="str">
        <f>"20200111160411564"</f>
        <v>20200111160411564</v>
      </c>
      <c r="B310" t="str">
        <f>"1578729851561391"</f>
        <v>1578729851561391</v>
      </c>
      <c r="C310" t="s">
        <v>40</v>
      </c>
      <c r="D310">
        <v>4.8972699999999998</v>
      </c>
      <c r="E310">
        <v>0.55696060000000003</v>
      </c>
      <c r="F310" t="s">
        <v>42</v>
      </c>
      <c r="G310">
        <v>-398.21749999999997</v>
      </c>
      <c r="H310">
        <v>0.99952600000000003</v>
      </c>
      <c r="I310">
        <v>367.25490000000002</v>
      </c>
      <c r="J310">
        <v>-398.93439999999998</v>
      </c>
      <c r="K310">
        <v>1.065043</v>
      </c>
      <c r="L310">
        <v>367.33780000000002</v>
      </c>
      <c r="M310">
        <v>0.9999903</v>
      </c>
      <c r="N310">
        <v>0</v>
      </c>
      <c r="O310">
        <v>2.4217599999999998E-3</v>
      </c>
      <c r="P310">
        <v>0.99841979999999997</v>
      </c>
      <c r="Q310">
        <v>2.2158619999999999E-3</v>
      </c>
      <c r="R310">
        <v>5.6151479999999997E-2</v>
      </c>
      <c r="S310">
        <v>3.0203250000000001</v>
      </c>
      <c r="T310">
        <v>-0.21283250000000001</v>
      </c>
      <c r="U310">
        <v>-0.27001950000000002</v>
      </c>
      <c r="V310">
        <v>-5.3733530000000002E-2</v>
      </c>
      <c r="W310">
        <v>5.8915919999999898E-3</v>
      </c>
      <c r="X310">
        <v>0.99853800000000004</v>
      </c>
      <c r="Y310">
        <v>9.1227210000000003E-2</v>
      </c>
      <c r="Z310">
        <v>-3.374007E-3</v>
      </c>
      <c r="AA310">
        <v>0.99582440000000005</v>
      </c>
      <c r="AB310">
        <v>37</v>
      </c>
      <c r="AC310">
        <v>0.71690000000000897</v>
      </c>
      <c r="AD310">
        <v>-6.5516999999999895E-2</v>
      </c>
      <c r="AE310">
        <v>-8.2899999999995005E-2</v>
      </c>
      <c r="AF310">
        <v>8.3944078192972602E-2</v>
      </c>
      <c r="AG310">
        <v>-6.5516999999999895E-2</v>
      </c>
      <c r="AH310">
        <v>0.71083854422294501</v>
      </c>
      <c r="AI310">
        <v>95.229857344719804</v>
      </c>
      <c r="AJ310">
        <v>83.265040509919402</v>
      </c>
      <c r="AK310">
        <v>0.71877014511293003</v>
      </c>
      <c r="AL310">
        <v>89.662434714626301</v>
      </c>
      <c r="AM310">
        <v>93.080241229756894</v>
      </c>
      <c r="AN310">
        <v>1.0000000702732701</v>
      </c>
    </row>
    <row r="311" spans="1:40" x14ac:dyDescent="0.3">
      <c r="A311" t="str">
        <f>"20200111160411581"</f>
        <v>20200111160411581</v>
      </c>
      <c r="B311" t="str">
        <f>"1578729851571151"</f>
        <v>1578729851571151</v>
      </c>
      <c r="C311" t="s">
        <v>40</v>
      </c>
      <c r="D311">
        <v>4.8804259999999999</v>
      </c>
      <c r="E311">
        <v>0.55702089999999904</v>
      </c>
      <c r="F311" t="s">
        <v>42</v>
      </c>
      <c r="G311">
        <v>-397.8897</v>
      </c>
      <c r="H311">
        <v>0.99261509999999997</v>
      </c>
      <c r="I311">
        <v>367.24340000000001</v>
      </c>
      <c r="J311">
        <v>-398.64139999999998</v>
      </c>
      <c r="K311">
        <v>1.066317</v>
      </c>
      <c r="L311">
        <v>367.33850000000001</v>
      </c>
      <c r="M311">
        <v>0.99999459999999996</v>
      </c>
      <c r="N311">
        <v>0</v>
      </c>
      <c r="O311">
        <v>2.4297250000000002E-3</v>
      </c>
      <c r="P311">
        <v>0.998444</v>
      </c>
      <c r="Q311">
        <v>3.1507179999999998E-3</v>
      </c>
      <c r="R311">
        <v>5.5679529999999998E-2</v>
      </c>
      <c r="S311">
        <v>3.020508</v>
      </c>
      <c r="T311">
        <v>-0.2095841</v>
      </c>
      <c r="U311">
        <v>-0.27197270000000001</v>
      </c>
      <c r="V311">
        <v>-5.325324E-2</v>
      </c>
      <c r="W311">
        <v>5.4638760000000003E-3</v>
      </c>
      <c r="X311">
        <v>0.99856610000000001</v>
      </c>
      <c r="Y311">
        <v>9.1873969999999999E-2</v>
      </c>
      <c r="Z311">
        <v>-3.345256E-3</v>
      </c>
      <c r="AA311">
        <v>0.99576500000000001</v>
      </c>
      <c r="AB311">
        <v>37</v>
      </c>
      <c r="AC311">
        <v>0.75169999999997095</v>
      </c>
      <c r="AD311">
        <v>-7.3701899999999904E-2</v>
      </c>
      <c r="AE311">
        <v>-9.51000000000021E-2</v>
      </c>
      <c r="AF311">
        <v>9.6017651564623593E-2</v>
      </c>
      <c r="AG311">
        <v>-7.3701899999999904E-2</v>
      </c>
      <c r="AH311">
        <v>0.74442315660907099</v>
      </c>
      <c r="AI311">
        <v>95.608007855589804</v>
      </c>
      <c r="AJ311">
        <v>82.650417948792594</v>
      </c>
      <c r="AK311">
        <v>0.75419970536417502</v>
      </c>
      <c r="AL311">
        <v>89.686941410483797</v>
      </c>
      <c r="AM311">
        <v>93.052675471624099</v>
      </c>
      <c r="AN311">
        <v>1.00000000879032</v>
      </c>
    </row>
    <row r="312" spans="1:40" x14ac:dyDescent="0.3">
      <c r="A312" t="str">
        <f>"20200111160411595"</f>
        <v>20200111160411595</v>
      </c>
      <c r="B312" t="str">
        <f>"1578729851590671"</f>
        <v>1578729851590671</v>
      </c>
      <c r="C312" t="s">
        <v>40</v>
      </c>
      <c r="D312">
        <v>4.8553699999999997</v>
      </c>
      <c r="E312">
        <v>0.55708869999999999</v>
      </c>
      <c r="F312" t="s">
        <v>42</v>
      </c>
      <c r="G312">
        <v>-397.87740000000002</v>
      </c>
      <c r="H312">
        <v>1.014235</v>
      </c>
      <c r="I312">
        <v>367.26889999999997</v>
      </c>
      <c r="J312">
        <v>-398.42689999999999</v>
      </c>
      <c r="K312">
        <v>1.0673699999999999</v>
      </c>
      <c r="L312">
        <v>367.339</v>
      </c>
      <c r="M312">
        <v>0.99999550000000004</v>
      </c>
      <c r="N312">
        <v>0</v>
      </c>
      <c r="O312">
        <v>2.4358579999999999E-3</v>
      </c>
      <c r="P312">
        <v>0.99845110000000004</v>
      </c>
      <c r="Q312">
        <v>3.5394110000000001E-3</v>
      </c>
      <c r="R312">
        <v>5.5525640000000001E-2</v>
      </c>
      <c r="S312">
        <v>3.0205989999999998</v>
      </c>
      <c r="T312">
        <v>-0.20618790000000001</v>
      </c>
      <c r="U312">
        <v>-0.27380369999999998</v>
      </c>
      <c r="V312">
        <v>-5.3093300000000003E-2</v>
      </c>
      <c r="W312">
        <v>5.2793419999999898E-3</v>
      </c>
      <c r="X312">
        <v>0.99857560000000001</v>
      </c>
      <c r="Y312">
        <v>9.2481930000000004E-2</v>
      </c>
      <c r="Z312">
        <v>-3.3120860000000001E-3</v>
      </c>
      <c r="AA312">
        <v>0.99570890000000001</v>
      </c>
      <c r="AB312">
        <v>37</v>
      </c>
      <c r="AC312">
        <v>0.54949999999996602</v>
      </c>
      <c r="AD312">
        <v>-5.3135000000000099E-2</v>
      </c>
      <c r="AE312">
        <v>-7.0100000000024906E-2</v>
      </c>
      <c r="AF312">
        <v>7.0787016665531097E-2</v>
      </c>
      <c r="AG312">
        <v>-5.3135000000000099E-2</v>
      </c>
      <c r="AH312">
        <v>0.54431956188945496</v>
      </c>
      <c r="AI312">
        <v>95.529127286367796</v>
      </c>
      <c r="AJ312">
        <v>82.590451063499998</v>
      </c>
      <c r="AK312">
        <v>0.55146887075240703</v>
      </c>
      <c r="AL312">
        <v>89.697514579494197</v>
      </c>
      <c r="AM312">
        <v>93.043495473557002</v>
      </c>
      <c r="AN312">
        <v>0.99999999943610096</v>
      </c>
    </row>
    <row r="313" spans="1:40" x14ac:dyDescent="0.3">
      <c r="A313" t="str">
        <f>"20200111160411617"</f>
        <v>20200111160411617</v>
      </c>
      <c r="B313" t="str">
        <f>"1578729851611168"</f>
        <v>1578729851611168</v>
      </c>
      <c r="C313" t="s">
        <v>40</v>
      </c>
      <c r="D313">
        <v>4.861529</v>
      </c>
      <c r="E313">
        <v>0.55722169999999904</v>
      </c>
      <c r="F313" t="s">
        <v>42</v>
      </c>
      <c r="G313">
        <v>-397.55270000000002</v>
      </c>
      <c r="H313">
        <v>1.008348</v>
      </c>
      <c r="I313">
        <v>367.25940000000003</v>
      </c>
      <c r="J313">
        <v>-398.08019999999999</v>
      </c>
      <c r="K313">
        <v>1.069401</v>
      </c>
      <c r="L313">
        <v>367.3399</v>
      </c>
      <c r="M313">
        <v>0.99999610000000005</v>
      </c>
      <c r="N313">
        <v>0</v>
      </c>
      <c r="O313">
        <v>2.446068E-3</v>
      </c>
      <c r="P313">
        <v>0.99846440000000003</v>
      </c>
      <c r="Q313">
        <v>3.8270909999999999E-3</v>
      </c>
      <c r="R313">
        <v>5.5267139999999999E-2</v>
      </c>
      <c r="S313">
        <v>3.0206599999999999</v>
      </c>
      <c r="T313">
        <v>-0.2040344</v>
      </c>
      <c r="U313">
        <v>-0.27481080000000002</v>
      </c>
      <c r="V313">
        <v>-5.2824749999999997E-2</v>
      </c>
      <c r="W313">
        <v>5.2469179999999997E-3</v>
      </c>
      <c r="X313">
        <v>0.99858999999999998</v>
      </c>
      <c r="Y313">
        <v>9.2823310000000006E-2</v>
      </c>
      <c r="Z313">
        <v>-3.2896380000000001E-3</v>
      </c>
      <c r="AA313">
        <v>0.99567720000000004</v>
      </c>
      <c r="AB313">
        <v>37</v>
      </c>
      <c r="AC313">
        <v>0.52749999999997499</v>
      </c>
      <c r="AD313">
        <v>-6.1053000000000003E-2</v>
      </c>
      <c r="AE313">
        <v>-8.0499999999972205E-2</v>
      </c>
      <c r="AF313">
        <v>8.0733187792694894E-2</v>
      </c>
      <c r="AG313">
        <v>-6.1053000000000003E-2</v>
      </c>
      <c r="AH313">
        <v>0.52048783752879202</v>
      </c>
      <c r="AI313">
        <v>96.611845310479495</v>
      </c>
      <c r="AJ313">
        <v>81.183078122193393</v>
      </c>
      <c r="AK313">
        <v>0.53023853635469398</v>
      </c>
      <c r="AL313">
        <v>89.699372359611203</v>
      </c>
      <c r="AM313">
        <v>93.028086376532599</v>
      </c>
      <c r="AN313">
        <v>0.99999998623052999</v>
      </c>
    </row>
    <row r="314" spans="1:40" x14ac:dyDescent="0.3">
      <c r="A314" t="str">
        <f>"20200111160411628"</f>
        <v>20200111160411628</v>
      </c>
      <c r="B314" t="str">
        <f>"1578729851621904"</f>
        <v>1578729851621904</v>
      </c>
      <c r="C314" t="s">
        <v>40</v>
      </c>
      <c r="D314">
        <v>4.865049</v>
      </c>
      <c r="E314">
        <v>0.55727399999999905</v>
      </c>
      <c r="F314" t="s">
        <v>42</v>
      </c>
      <c r="G314">
        <v>-397.2226</v>
      </c>
      <c r="H314">
        <v>1.012351</v>
      </c>
      <c r="I314">
        <v>367.26089999999999</v>
      </c>
      <c r="J314">
        <v>-397.8775</v>
      </c>
      <c r="K314">
        <v>1.070786</v>
      </c>
      <c r="L314">
        <v>367.34039999999999</v>
      </c>
      <c r="M314">
        <v>0.999996</v>
      </c>
      <c r="N314">
        <v>0</v>
      </c>
      <c r="O314">
        <v>2.4520980000000002E-3</v>
      </c>
      <c r="P314">
        <v>0.99848320000000002</v>
      </c>
      <c r="Q314">
        <v>3.9746979999999996E-3</v>
      </c>
      <c r="R314">
        <v>5.491745E-2</v>
      </c>
      <c r="S314">
        <v>3.020721</v>
      </c>
      <c r="T314">
        <v>-0.2012119</v>
      </c>
      <c r="U314">
        <v>-0.27670289999999997</v>
      </c>
      <c r="V314">
        <v>-5.2468519999999998E-2</v>
      </c>
      <c r="W314">
        <v>5.4614930000000004E-3</v>
      </c>
      <c r="X314">
        <v>0.99860760000000004</v>
      </c>
      <c r="Y314">
        <v>9.3450519999999995E-2</v>
      </c>
      <c r="Z314">
        <v>-3.2652979999999998E-3</v>
      </c>
      <c r="AA314">
        <v>0.99561860000000002</v>
      </c>
      <c r="AB314">
        <v>37</v>
      </c>
      <c r="AC314">
        <v>0.65489999999999704</v>
      </c>
      <c r="AD314">
        <v>-5.8435000000000001E-2</v>
      </c>
      <c r="AE314">
        <v>-7.9499999999995893E-2</v>
      </c>
      <c r="AF314">
        <v>8.0474248354212699E-2</v>
      </c>
      <c r="AG314">
        <v>-5.8435000000000001E-2</v>
      </c>
      <c r="AH314">
        <v>0.64960634025568298</v>
      </c>
      <c r="AI314">
        <v>95.101389907036406</v>
      </c>
      <c r="AJ314">
        <v>82.938088195034496</v>
      </c>
      <c r="AK314">
        <v>0.65717512975884695</v>
      </c>
      <c r="AL314">
        <v>89.687077931885895</v>
      </c>
      <c r="AM314">
        <v>93.007650823304303</v>
      </c>
      <c r="AN314">
        <v>0.999999956137268</v>
      </c>
    </row>
    <row r="315" spans="1:40" x14ac:dyDescent="0.3">
      <c r="A315" t="str">
        <f>"20200111160411639"</f>
        <v>20200111160411639</v>
      </c>
      <c r="B315" t="str">
        <f>"1578729851630687"</f>
        <v>1578729851630687</v>
      </c>
      <c r="C315" t="s">
        <v>40</v>
      </c>
      <c r="D315">
        <v>4.8653069999999996</v>
      </c>
      <c r="E315">
        <v>0.55734830000000002</v>
      </c>
      <c r="F315" t="s">
        <v>42</v>
      </c>
      <c r="G315">
        <v>-396.89710000000002</v>
      </c>
      <c r="H315">
        <v>1.0059579999999999</v>
      </c>
      <c r="I315">
        <v>367.24979999999999</v>
      </c>
      <c r="J315">
        <v>-397.67680000000001</v>
      </c>
      <c r="K315">
        <v>1.0722780000000001</v>
      </c>
      <c r="L315">
        <v>367.34089999999998</v>
      </c>
      <c r="M315">
        <v>0.99999579999999999</v>
      </c>
      <c r="N315">
        <v>0</v>
      </c>
      <c r="O315">
        <v>2.4577100000000001E-3</v>
      </c>
      <c r="P315">
        <v>0.99846630000000003</v>
      </c>
      <c r="Q315">
        <v>4.1758139999999999E-3</v>
      </c>
      <c r="R315">
        <v>5.521102E-2</v>
      </c>
      <c r="S315">
        <v>3.0206909999999998</v>
      </c>
      <c r="T315">
        <v>-0.19985</v>
      </c>
      <c r="U315">
        <v>-0.27847290000000002</v>
      </c>
      <c r="V315">
        <v>-5.275697E-2</v>
      </c>
      <c r="W315">
        <v>5.8019480000000003E-3</v>
      </c>
      <c r="X315">
        <v>0.99859050000000005</v>
      </c>
      <c r="Y315">
        <v>9.4037079999999995E-2</v>
      </c>
      <c r="Z315">
        <v>-3.2629019999999998E-3</v>
      </c>
      <c r="AA315">
        <v>0.99556330000000004</v>
      </c>
      <c r="AB315">
        <v>37</v>
      </c>
      <c r="AC315">
        <v>0.77969999999999096</v>
      </c>
      <c r="AD315">
        <v>-6.6320000000000101E-2</v>
      </c>
      <c r="AE315">
        <v>-9.1099999999983E-2</v>
      </c>
      <c r="AF315">
        <v>9.2356808165577106E-2</v>
      </c>
      <c r="AG315">
        <v>-6.6320000000000101E-2</v>
      </c>
      <c r="AH315">
        <v>0.77394969227139099</v>
      </c>
      <c r="AI315">
        <v>94.863391689273598</v>
      </c>
      <c r="AJ315">
        <v>83.194971252576494</v>
      </c>
      <c r="AK315">
        <v>0.782257149907569</v>
      </c>
      <c r="AL315">
        <v>89.667570992776604</v>
      </c>
      <c r="AM315">
        <v>93.024206712163206</v>
      </c>
      <c r="AN315">
        <v>0.99999997358721204</v>
      </c>
    </row>
    <row r="316" spans="1:40" x14ac:dyDescent="0.3">
      <c r="A316" t="str">
        <f>"20200111160411653"</f>
        <v>20200111160411653</v>
      </c>
      <c r="B316" t="str">
        <f>"1578729851640687"</f>
        <v>1578729851640687</v>
      </c>
      <c r="C316" t="s">
        <v>40</v>
      </c>
      <c r="D316">
        <v>4.8736610000000002</v>
      </c>
      <c r="E316">
        <v>0.55737749999999997</v>
      </c>
      <c r="F316" t="s">
        <v>42</v>
      </c>
      <c r="G316">
        <v>-396.88810000000001</v>
      </c>
      <c r="H316">
        <v>1.0205839999999999</v>
      </c>
      <c r="I316">
        <v>367.26819999999998</v>
      </c>
      <c r="J316">
        <v>-397.47820000000002</v>
      </c>
      <c r="K316">
        <v>1.0738000000000001</v>
      </c>
      <c r="L316">
        <v>367.34140000000002</v>
      </c>
      <c r="M316">
        <v>0.99999559999999998</v>
      </c>
      <c r="N316">
        <v>0</v>
      </c>
      <c r="O316">
        <v>2.4628990000000002E-3</v>
      </c>
      <c r="P316">
        <v>0.99847830000000004</v>
      </c>
      <c r="Q316">
        <v>4.6769860000000002E-3</v>
      </c>
      <c r="R316">
        <v>5.4943680000000002E-2</v>
      </c>
      <c r="S316">
        <v>3.0207820000000001</v>
      </c>
      <c r="T316">
        <v>-0.19808829999999999</v>
      </c>
      <c r="U316">
        <v>-0.27804570000000001</v>
      </c>
      <c r="V316">
        <v>-5.2483960000000003E-2</v>
      </c>
      <c r="W316">
        <v>6.2997569999999996E-3</v>
      </c>
      <c r="X316">
        <v>0.99860190000000004</v>
      </c>
      <c r="Y316">
        <v>9.3903840000000002E-2</v>
      </c>
      <c r="Z316">
        <v>-3.2301080000000002E-3</v>
      </c>
      <c r="AA316">
        <v>0.99557600000000002</v>
      </c>
      <c r="AB316">
        <v>37</v>
      </c>
      <c r="AC316">
        <v>0.59010000000000595</v>
      </c>
      <c r="AD316">
        <v>-5.3216000000000097E-2</v>
      </c>
      <c r="AE316">
        <v>-7.3200000000042495E-2</v>
      </c>
      <c r="AF316">
        <v>7.4059958946381205E-2</v>
      </c>
      <c r="AG316">
        <v>-5.3216000000000097E-2</v>
      </c>
      <c r="AH316">
        <v>0.585230565153676</v>
      </c>
      <c r="AI316">
        <v>95.154824849151396</v>
      </c>
      <c r="AJ316">
        <v>82.787651602476302</v>
      </c>
      <c r="AK316">
        <v>0.59229353750081604</v>
      </c>
      <c r="AL316">
        <v>89.639048125788605</v>
      </c>
      <c r="AM316">
        <v>93.008551405176803</v>
      </c>
      <c r="AN316">
        <v>1.00000000383957</v>
      </c>
    </row>
    <row r="317" spans="1:40" x14ac:dyDescent="0.3">
      <c r="A317" t="str">
        <f>"20200111160411667"</f>
        <v>20200111160411667</v>
      </c>
      <c r="B317" t="str">
        <f>"1578729851661183"</f>
        <v>1578729851661183</v>
      </c>
      <c r="C317" t="s">
        <v>40</v>
      </c>
      <c r="D317">
        <v>4.8452510000000002</v>
      </c>
      <c r="E317">
        <v>0.55743219999999905</v>
      </c>
      <c r="F317" t="s">
        <v>42</v>
      </c>
      <c r="G317">
        <v>-396.56240000000003</v>
      </c>
      <c r="H317">
        <v>1.0146409999999999</v>
      </c>
      <c r="I317">
        <v>367.25630000000001</v>
      </c>
      <c r="J317">
        <v>-397.24130000000002</v>
      </c>
      <c r="K317">
        <v>1.0756479999999999</v>
      </c>
      <c r="L317">
        <v>367.34190000000001</v>
      </c>
      <c r="M317">
        <v>0.99999579999999999</v>
      </c>
      <c r="N317">
        <v>0</v>
      </c>
      <c r="O317">
        <v>2.4685639999999999E-3</v>
      </c>
      <c r="P317">
        <v>0.99847019999999997</v>
      </c>
      <c r="Q317">
        <v>5.3608880000000003E-3</v>
      </c>
      <c r="R317">
        <v>5.503429E-2</v>
      </c>
      <c r="S317">
        <v>3.0208740000000001</v>
      </c>
      <c r="T317">
        <v>-0.1954687</v>
      </c>
      <c r="U317">
        <v>-0.27929690000000001</v>
      </c>
      <c r="V317">
        <v>-5.256947E-2</v>
      </c>
      <c r="W317">
        <v>6.9072339999999999E-3</v>
      </c>
      <c r="X317">
        <v>0.99859339999999996</v>
      </c>
      <c r="Y317">
        <v>9.4320119999999993E-2</v>
      </c>
      <c r="Z317">
        <v>-3.201115E-3</v>
      </c>
      <c r="AA317">
        <v>0.99553670000000005</v>
      </c>
      <c r="AB317">
        <v>37</v>
      </c>
      <c r="AC317">
        <v>0.67889999999999795</v>
      </c>
      <c r="AD317">
        <v>-6.1006999999999999E-2</v>
      </c>
      <c r="AE317">
        <v>-8.5599999999999399E-2</v>
      </c>
      <c r="AF317">
        <v>8.6587389477719601E-2</v>
      </c>
      <c r="AG317">
        <v>-6.1006999999999999E-2</v>
      </c>
      <c r="AH317">
        <v>0.67333446856314505</v>
      </c>
      <c r="AI317">
        <v>95.135053139033502</v>
      </c>
      <c r="AJ317">
        <v>82.672269492797099</v>
      </c>
      <c r="AK317">
        <v>0.68161465405372501</v>
      </c>
      <c r="AL317">
        <v>89.604241504152895</v>
      </c>
      <c r="AM317">
        <v>93.013469692730894</v>
      </c>
      <c r="AN317">
        <v>1.00000001879058</v>
      </c>
    </row>
    <row r="318" spans="1:40" x14ac:dyDescent="0.3">
      <c r="A318" t="str">
        <f>"20200111160411683"</f>
        <v>20200111160411683</v>
      </c>
      <c r="B318" t="str">
        <f>"1578729851670942"</f>
        <v>1578729851670942</v>
      </c>
      <c r="C318" t="s">
        <v>40</v>
      </c>
      <c r="D318">
        <v>4.8931069999999997</v>
      </c>
      <c r="E318">
        <v>0.55746870000000004</v>
      </c>
      <c r="F318" t="s">
        <v>42</v>
      </c>
      <c r="G318">
        <v>-396.23110000000003</v>
      </c>
      <c r="H318">
        <v>1.011835</v>
      </c>
      <c r="I318">
        <v>367.2482</v>
      </c>
      <c r="J318">
        <v>-396.97219999999999</v>
      </c>
      <c r="K318">
        <v>1.077814</v>
      </c>
      <c r="L318">
        <v>367.3426</v>
      </c>
      <c r="M318">
        <v>0.999996</v>
      </c>
      <c r="N318">
        <v>0</v>
      </c>
      <c r="O318">
        <v>2.4745140000000001E-3</v>
      </c>
      <c r="P318">
        <v>0.99844719999999998</v>
      </c>
      <c r="Q318">
        <v>6.1090379999999998E-3</v>
      </c>
      <c r="R318">
        <v>5.5369990000000001E-2</v>
      </c>
      <c r="S318">
        <v>3.0209959999999998</v>
      </c>
      <c r="T318">
        <v>-0.1910548</v>
      </c>
      <c r="U318">
        <v>-0.27941890000000003</v>
      </c>
      <c r="V318">
        <v>-5.289874E-2</v>
      </c>
      <c r="W318">
        <v>7.51280099999999E-3</v>
      </c>
      <c r="X318">
        <v>0.9985716</v>
      </c>
      <c r="Y318">
        <v>9.4371079999999996E-2</v>
      </c>
      <c r="Z318">
        <v>-3.1308260000000002E-3</v>
      </c>
      <c r="AA318">
        <v>0.99553219999999998</v>
      </c>
      <c r="AB318">
        <v>37</v>
      </c>
      <c r="AC318">
        <v>0.74109999999996001</v>
      </c>
      <c r="AD318">
        <v>-6.5978999999999996E-2</v>
      </c>
      <c r="AE318">
        <v>-9.4400000000007298E-2</v>
      </c>
      <c r="AF318">
        <v>9.5488808176860104E-2</v>
      </c>
      <c r="AG318">
        <v>-6.5978999999999996E-2</v>
      </c>
      <c r="AH318">
        <v>0.73513047200189197</v>
      </c>
      <c r="AI318">
        <v>95.086134639552498</v>
      </c>
      <c r="AJ318">
        <v>82.599077950275998</v>
      </c>
      <c r="AK318">
        <v>0.74423662352356801</v>
      </c>
      <c r="AL318">
        <v>89.569544152220999</v>
      </c>
      <c r="AM318">
        <v>93.032375584151595</v>
      </c>
      <c r="AN318">
        <v>0.99999997959950604</v>
      </c>
    </row>
    <row r="319" spans="1:40" x14ac:dyDescent="0.3">
      <c r="A319" t="str">
        <f>"20200111160411719"</f>
        <v>20200111160411719</v>
      </c>
      <c r="B319" t="str">
        <f>"1578729851710959"</f>
        <v>1578729851710959</v>
      </c>
      <c r="C319" t="s">
        <v>40</v>
      </c>
      <c r="D319">
        <v>4.9500270000000004</v>
      </c>
      <c r="E319">
        <v>0.55381429999999998</v>
      </c>
      <c r="F319" t="s">
        <v>42</v>
      </c>
      <c r="G319">
        <v>-396.21120000000002</v>
      </c>
      <c r="H319">
        <v>1.030548</v>
      </c>
      <c r="I319">
        <v>367.27199999999999</v>
      </c>
      <c r="J319">
        <v>-396.37389999999999</v>
      </c>
      <c r="K319">
        <v>1.0827500000000001</v>
      </c>
      <c r="L319">
        <v>367.34410000000003</v>
      </c>
      <c r="M319">
        <v>0.99999590000000005</v>
      </c>
      <c r="N319">
        <v>0</v>
      </c>
      <c r="O319">
        <v>2.4883069999999999E-3</v>
      </c>
      <c r="P319">
        <v>0.99844089999999996</v>
      </c>
      <c r="Q319">
        <v>6.9847930000000004E-3</v>
      </c>
      <c r="R319">
        <v>5.5379480000000002E-2</v>
      </c>
      <c r="S319">
        <v>3.021271</v>
      </c>
      <c r="T319">
        <v>-0.18788679999999999</v>
      </c>
      <c r="U319">
        <v>-0.2790222</v>
      </c>
      <c r="V319">
        <v>-5.2894539999999997E-2</v>
      </c>
      <c r="W319">
        <v>8.4397429999999996E-3</v>
      </c>
      <c r="X319">
        <v>0.99856440000000002</v>
      </c>
      <c r="Y319">
        <v>9.4253429999999999E-2</v>
      </c>
      <c r="Z319">
        <v>-3.0759590000000001E-3</v>
      </c>
      <c r="AA319">
        <v>0.99554350000000003</v>
      </c>
      <c r="AB319">
        <v>37</v>
      </c>
      <c r="AC319">
        <v>0.16269999999997201</v>
      </c>
      <c r="AD319">
        <v>-5.2201999999999998E-2</v>
      </c>
      <c r="AE319">
        <v>-7.21000000000344E-2</v>
      </c>
      <c r="AF319">
        <v>6.6760182706049206E-2</v>
      </c>
      <c r="AG319">
        <v>-5.2201999999999998E-2</v>
      </c>
      <c r="AH319">
        <v>0.149643845285135</v>
      </c>
      <c r="AI319">
        <v>107.670642192385</v>
      </c>
      <c r="AJ319">
        <v>65.957052239459301</v>
      </c>
      <c r="AK319">
        <v>0.17197456565046601</v>
      </c>
      <c r="AL319">
        <v>89.516432586396107</v>
      </c>
      <c r="AM319">
        <v>93.032157093947404</v>
      </c>
      <c r="AN319">
        <v>0.99999996128553803</v>
      </c>
    </row>
    <row r="320" spans="1:40" x14ac:dyDescent="0.3">
      <c r="A320" t="str">
        <f>"20200111160411750"</f>
        <v>20200111160411750</v>
      </c>
      <c r="B320" t="str">
        <f>"1578729851741214"</f>
        <v>1578729851741214</v>
      </c>
      <c r="C320" t="s">
        <v>40</v>
      </c>
      <c r="D320">
        <v>4.9341720000000002</v>
      </c>
      <c r="E320">
        <v>0.55381429999999998</v>
      </c>
      <c r="F320" t="s">
        <v>46</v>
      </c>
      <c r="G320">
        <v>0</v>
      </c>
      <c r="H320">
        <v>0</v>
      </c>
      <c r="I320">
        <v>0</v>
      </c>
      <c r="J320">
        <v>-395.82929999999999</v>
      </c>
      <c r="K320">
        <v>1.0871109999999999</v>
      </c>
      <c r="L320">
        <v>367.34550000000002</v>
      </c>
      <c r="M320">
        <v>0.99999510000000003</v>
      </c>
      <c r="N320">
        <v>0</v>
      </c>
      <c r="O320">
        <v>2.5015689999999999E-3</v>
      </c>
      <c r="P320">
        <v>0.99844350000000004</v>
      </c>
      <c r="Q320">
        <v>6.5127500000000003E-3</v>
      </c>
      <c r="R320">
        <v>5.5390809999999999E-2</v>
      </c>
      <c r="S320">
        <v>3.0183409999999999</v>
      </c>
      <c r="T320">
        <v>0.26377109999999998</v>
      </c>
      <c r="U320">
        <v>-0.27938839999999998</v>
      </c>
      <c r="V320">
        <v>-5.2892649999999999E-2</v>
      </c>
      <c r="W320">
        <v>8.4216259999999998E-3</v>
      </c>
      <c r="X320">
        <v>0.99856469999999997</v>
      </c>
      <c r="Y320">
        <v>9.4294409999999995E-2</v>
      </c>
      <c r="Z320">
        <v>4.3213469999999997E-3</v>
      </c>
      <c r="AA320">
        <v>0.99553499999999995</v>
      </c>
      <c r="AB320">
        <v>38</v>
      </c>
      <c r="AC320">
        <v>3.0183409999999999</v>
      </c>
      <c r="AD320">
        <v>0.26377109999999998</v>
      </c>
      <c r="AE320">
        <v>-0.27938839999999998</v>
      </c>
      <c r="AF320">
        <v>0.28478175002359701</v>
      </c>
      <c r="AG320">
        <v>0.26377109999999998</v>
      </c>
      <c r="AH320">
        <v>2.9949547424510699</v>
      </c>
      <c r="AI320">
        <v>84.989328724054999</v>
      </c>
      <c r="AJ320">
        <v>84.568238133644499</v>
      </c>
      <c r="AK320">
        <v>3.0200049251072199</v>
      </c>
      <c r="AL320">
        <v>89.517470673578103</v>
      </c>
      <c r="AM320">
        <v>93.032048043439403</v>
      </c>
      <c r="AN320">
        <v>1.00000000814729</v>
      </c>
    </row>
    <row r="321" spans="1:40" x14ac:dyDescent="0.3">
      <c r="A321" t="str">
        <f>"20200111160411764"</f>
        <v>20200111160411764</v>
      </c>
      <c r="B321" t="str">
        <f>"1578729851760735"</f>
        <v>1578729851760735</v>
      </c>
      <c r="C321" t="s">
        <v>40</v>
      </c>
      <c r="D321">
        <v>4.9200980000000003</v>
      </c>
      <c r="E321">
        <v>0.50823869999999904</v>
      </c>
      <c r="F321" t="s">
        <v>46</v>
      </c>
      <c r="G321">
        <v>0</v>
      </c>
      <c r="H321">
        <v>0</v>
      </c>
      <c r="I321">
        <v>0</v>
      </c>
      <c r="J321">
        <v>-395.60759999999999</v>
      </c>
      <c r="K321">
        <v>1.0888059999999999</v>
      </c>
      <c r="L321">
        <v>367.34609999999998</v>
      </c>
      <c r="M321">
        <v>0.99999459999999996</v>
      </c>
      <c r="N321">
        <v>0</v>
      </c>
      <c r="O321">
        <v>2.506861E-3</v>
      </c>
      <c r="P321">
        <v>0.99845620000000002</v>
      </c>
      <c r="Q321">
        <v>6.3970499999999996E-3</v>
      </c>
      <c r="R321">
        <v>5.517698E-2</v>
      </c>
      <c r="S321">
        <v>3.018494</v>
      </c>
      <c r="T321">
        <v>0.26218799999999998</v>
      </c>
      <c r="U321">
        <v>-0.27960210000000002</v>
      </c>
      <c r="V321">
        <v>-5.2674029999999997E-2</v>
      </c>
      <c r="W321">
        <v>8.5498889999999998E-3</v>
      </c>
      <c r="X321">
        <v>0.9985752</v>
      </c>
      <c r="Y321">
        <v>9.4369030000000007E-2</v>
      </c>
      <c r="Z321">
        <v>4.2989650000000001E-3</v>
      </c>
      <c r="AA321">
        <v>0.99552799999999997</v>
      </c>
      <c r="AB321">
        <v>38</v>
      </c>
      <c r="AC321">
        <v>3.018494</v>
      </c>
      <c r="AD321">
        <v>0.26218799999999998</v>
      </c>
      <c r="AE321">
        <v>-0.27960210000000002</v>
      </c>
      <c r="AF321">
        <v>0.28503595282316702</v>
      </c>
      <c r="AG321">
        <v>0.26218799999999998</v>
      </c>
      <c r="AH321">
        <v>2.9953764752645902</v>
      </c>
      <c r="AI321">
        <v>85.019981137640499</v>
      </c>
      <c r="AJ321">
        <v>84.564179509943102</v>
      </c>
      <c r="AK321">
        <v>3.0203093004383401</v>
      </c>
      <c r="AL321">
        <v>89.510121497066805</v>
      </c>
      <c r="AM321">
        <v>93.019507295618496</v>
      </c>
      <c r="AN321">
        <v>1.0000000420466899</v>
      </c>
    </row>
    <row r="322" spans="1:40" x14ac:dyDescent="0.3">
      <c r="A322" t="str">
        <f>"20200111160411777"</f>
        <v>20200111160411777</v>
      </c>
      <c r="B322" t="str">
        <f>"1578729851771470"</f>
        <v>1578729851771470</v>
      </c>
      <c r="C322" t="s">
        <v>40</v>
      </c>
      <c r="D322">
        <v>4.9640700000000004</v>
      </c>
      <c r="E322">
        <v>0.50689139999999999</v>
      </c>
      <c r="F322" t="s">
        <v>41</v>
      </c>
      <c r="G322">
        <v>-378.56540000000001</v>
      </c>
      <c r="H322" s="1">
        <v>-9.0666430000000003E-7</v>
      </c>
      <c r="I322">
        <v>367.99110000000002</v>
      </c>
      <c r="J322">
        <v>-395.37240000000003</v>
      </c>
      <c r="K322">
        <v>1.090487</v>
      </c>
      <c r="L322">
        <v>367.34660000000002</v>
      </c>
      <c r="M322">
        <v>0.99999389999999999</v>
      </c>
      <c r="N322">
        <v>0</v>
      </c>
      <c r="O322">
        <v>2.5124240000000001E-3</v>
      </c>
      <c r="P322">
        <v>0.99846089999999998</v>
      </c>
      <c r="Q322">
        <v>6.1816960000000004E-3</v>
      </c>
      <c r="R322">
        <v>5.5115259999999999E-2</v>
      </c>
      <c r="S322">
        <v>2.999603</v>
      </c>
      <c r="T322">
        <v>-0.1916409</v>
      </c>
      <c r="U322">
        <v>0.1135559</v>
      </c>
      <c r="V322">
        <v>-5.2606390000000003E-2</v>
      </c>
      <c r="W322">
        <v>8.6257030000000002E-3</v>
      </c>
      <c r="X322">
        <v>0.99857810000000002</v>
      </c>
      <c r="Y322">
        <v>-3.5252470000000001E-2</v>
      </c>
      <c r="Z322">
        <v>9.6427630000000002E-4</v>
      </c>
      <c r="AA322">
        <v>0.99937799999999999</v>
      </c>
      <c r="AB322">
        <v>38</v>
      </c>
      <c r="AC322">
        <v>16.806999999999999</v>
      </c>
      <c r="AD322">
        <v>-1.0904879066643001</v>
      </c>
      <c r="AE322">
        <v>0.64449999999999297</v>
      </c>
      <c r="AF322">
        <v>-0.59975041032296705</v>
      </c>
      <c r="AG322">
        <v>-1.0904879066643001</v>
      </c>
      <c r="AH322">
        <v>16.738205211498801</v>
      </c>
      <c r="AI322">
        <v>93.725147281387606</v>
      </c>
      <c r="AJ322">
        <v>92.052100098728403</v>
      </c>
      <c r="AK322">
        <v>16.7844087811132</v>
      </c>
      <c r="AL322">
        <v>89.505777508093004</v>
      </c>
      <c r="AM322">
        <v>93.015628292873899</v>
      </c>
      <c r="AN322">
        <v>1.0000000284103401</v>
      </c>
    </row>
    <row r="323" spans="1:40" x14ac:dyDescent="0.3">
      <c r="A323" t="str">
        <f>"20200111160411795"</f>
        <v>20200111160411795</v>
      </c>
      <c r="B323" t="str">
        <f>"1578729851790990"</f>
        <v>1578729851790990</v>
      </c>
      <c r="C323" t="s">
        <v>40</v>
      </c>
      <c r="D323">
        <v>4.9115099999999998</v>
      </c>
      <c r="E323">
        <v>0.50557419999999997</v>
      </c>
      <c r="F323" t="s">
        <v>41</v>
      </c>
      <c r="G323">
        <v>-378.67700000000002</v>
      </c>
      <c r="H323" s="1">
        <v>-8.5599360000000001E-7</v>
      </c>
      <c r="I323">
        <v>368.03890000000001</v>
      </c>
      <c r="J323">
        <v>-395.0804</v>
      </c>
      <c r="K323">
        <v>1.0924609999999999</v>
      </c>
      <c r="L323">
        <v>367.34739999999999</v>
      </c>
      <c r="M323">
        <v>0.99999300000000002</v>
      </c>
      <c r="N323">
        <v>0</v>
      </c>
      <c r="O323">
        <v>2.5193170000000001E-3</v>
      </c>
      <c r="P323">
        <v>0.99845490000000003</v>
      </c>
      <c r="Q323">
        <v>6.1400700000000001E-3</v>
      </c>
      <c r="R323">
        <v>5.5231870000000002E-2</v>
      </c>
      <c r="S323">
        <v>2.9989620000000001</v>
      </c>
      <c r="T323">
        <v>-0.19588120000000001</v>
      </c>
      <c r="U323">
        <v>0.1243591</v>
      </c>
      <c r="V323">
        <v>-5.2716230000000003E-2</v>
      </c>
      <c r="W323">
        <v>8.9580449999999995E-3</v>
      </c>
      <c r="X323">
        <v>0.99856940000000005</v>
      </c>
      <c r="Y323">
        <v>-3.883723E-2</v>
      </c>
      <c r="Z323">
        <v>1.1021550000000001E-3</v>
      </c>
      <c r="AA323">
        <v>0.99924489999999999</v>
      </c>
      <c r="AB323">
        <v>38</v>
      </c>
      <c r="AC323">
        <v>16.403400000000001</v>
      </c>
      <c r="AD323">
        <v>-1.0924618559935999</v>
      </c>
      <c r="AE323">
        <v>0.69150000000001899</v>
      </c>
      <c r="AF323">
        <v>-0.64730623467154202</v>
      </c>
      <c r="AG323">
        <v>-1.0924618559935999</v>
      </c>
      <c r="AH323">
        <v>16.332774180113802</v>
      </c>
      <c r="AI323">
        <v>93.823690549834893</v>
      </c>
      <c r="AJ323">
        <v>92.269578632940295</v>
      </c>
      <c r="AK323">
        <v>16.382063077855499</v>
      </c>
      <c r="AL323">
        <v>89.486734988176806</v>
      </c>
      <c r="AM323">
        <v>93.0219394231775</v>
      </c>
      <c r="AN323">
        <v>1.00000004704599</v>
      </c>
    </row>
    <row r="324" spans="1:40" x14ac:dyDescent="0.3">
      <c r="A324" t="str">
        <f>"20200111160411810"</f>
        <v>20200111160411810</v>
      </c>
      <c r="B324" t="str">
        <f>"1578729851800751"</f>
        <v>1578729851800751</v>
      </c>
      <c r="C324" t="s">
        <v>40</v>
      </c>
      <c r="D324">
        <v>4.8980670000000002</v>
      </c>
      <c r="E324">
        <v>0.50510159999999904</v>
      </c>
      <c r="F324" t="s">
        <v>41</v>
      </c>
      <c r="G324">
        <v>-379.16379999999998</v>
      </c>
      <c r="H324" s="1">
        <v>-6.8225369999999999E-7</v>
      </c>
      <c r="I324">
        <v>368.0693</v>
      </c>
      <c r="J324">
        <v>-394.82990000000001</v>
      </c>
      <c r="K324">
        <v>1.094044</v>
      </c>
      <c r="L324">
        <v>367.34800000000001</v>
      </c>
      <c r="M324">
        <v>0.99999190000000004</v>
      </c>
      <c r="N324">
        <v>0</v>
      </c>
      <c r="O324">
        <v>2.5253810000000002E-3</v>
      </c>
      <c r="P324">
        <v>0.99846769999999996</v>
      </c>
      <c r="Q324">
        <v>5.536254E-3</v>
      </c>
      <c r="R324">
        <v>5.5060449999999997E-2</v>
      </c>
      <c r="S324">
        <v>2.998383</v>
      </c>
      <c r="T324">
        <v>-0.2057976</v>
      </c>
      <c r="U324">
        <v>0.13601679999999999</v>
      </c>
      <c r="V324">
        <v>-5.2538260000000003E-2</v>
      </c>
      <c r="W324">
        <v>8.6824439999999992E-3</v>
      </c>
      <c r="X324">
        <v>0.99858119999999995</v>
      </c>
      <c r="Y324">
        <v>-4.2699550000000003E-2</v>
      </c>
      <c r="Z324">
        <v>1.2898580000000001E-3</v>
      </c>
      <c r="AA324">
        <v>0.99908719999999995</v>
      </c>
      <c r="AB324">
        <v>38</v>
      </c>
      <c r="AC324">
        <v>15.6661</v>
      </c>
      <c r="AD324">
        <v>-1.0940446822537</v>
      </c>
      <c r="AE324">
        <v>0.72129999999998495</v>
      </c>
      <c r="AF324">
        <v>-0.67843294969915402</v>
      </c>
      <c r="AG324">
        <v>-1.0940446822537</v>
      </c>
      <c r="AH324">
        <v>15.591991101401099</v>
      </c>
      <c r="AI324">
        <v>94.009918120691694</v>
      </c>
      <c r="AJ324">
        <v>92.491461229281896</v>
      </c>
      <c r="AK324">
        <v>15.6450436733228</v>
      </c>
      <c r="AL324">
        <v>89.502526369043807</v>
      </c>
      <c r="AM324">
        <v>93.011720645684505</v>
      </c>
      <c r="AN324">
        <v>1.0000000332955301</v>
      </c>
    </row>
    <row r="325" spans="1:40" x14ac:dyDescent="0.3">
      <c r="A325" t="str">
        <f>"20200111160411830"</f>
        <v>20200111160411830</v>
      </c>
      <c r="B325" t="str">
        <f>"1578729851821246"</f>
        <v>1578729851821246</v>
      </c>
      <c r="C325" t="s">
        <v>40</v>
      </c>
      <c r="D325">
        <v>4.9512600000000004</v>
      </c>
      <c r="E325">
        <v>0.5047374</v>
      </c>
      <c r="F325" t="s">
        <v>41</v>
      </c>
      <c r="G325">
        <v>-379.10509999999999</v>
      </c>
      <c r="H325" s="1">
        <v>-6.9982620000000002E-7</v>
      </c>
      <c r="I325">
        <v>368.07830000000001</v>
      </c>
      <c r="J325">
        <v>-394.49639999999999</v>
      </c>
      <c r="K325">
        <v>1.095977</v>
      </c>
      <c r="L325">
        <v>367.34879999999998</v>
      </c>
      <c r="M325">
        <v>0.9999905</v>
      </c>
      <c r="N325">
        <v>0</v>
      </c>
      <c r="O325">
        <v>2.532926E-3</v>
      </c>
      <c r="P325">
        <v>0.99846679999999999</v>
      </c>
      <c r="Q325">
        <v>4.969457E-3</v>
      </c>
      <c r="R325">
        <v>5.5135440000000001E-2</v>
      </c>
      <c r="S325">
        <v>2.9980769999999999</v>
      </c>
      <c r="T325">
        <v>-0.20858940000000001</v>
      </c>
      <c r="U325">
        <v>0.13925170000000001</v>
      </c>
      <c r="V325">
        <v>-5.2605939999999997E-2</v>
      </c>
      <c r="W325">
        <v>8.5513199999999994E-3</v>
      </c>
      <c r="X325">
        <v>0.99857870000000004</v>
      </c>
      <c r="Y325">
        <v>-4.3767159999999999E-2</v>
      </c>
      <c r="Z325">
        <v>1.3439649999999999E-3</v>
      </c>
      <c r="AA325">
        <v>0.99904079999999995</v>
      </c>
      <c r="AB325">
        <v>38</v>
      </c>
      <c r="AC325">
        <v>15.391299999999999</v>
      </c>
      <c r="AD325">
        <v>-1.0959776998262001</v>
      </c>
      <c r="AE325">
        <v>0.72950000000003001</v>
      </c>
      <c r="AF325">
        <v>-0.68703656365058097</v>
      </c>
      <c r="AG325">
        <v>-1.0959776998262001</v>
      </c>
      <c r="AH325">
        <v>15.315614285596</v>
      </c>
      <c r="AI325">
        <v>94.088982207917596</v>
      </c>
      <c r="AJ325">
        <v>92.568484843310202</v>
      </c>
      <c r="AK325">
        <v>15.3701407704504</v>
      </c>
      <c r="AL325">
        <v>89.510039466083796</v>
      </c>
      <c r="AM325">
        <v>93.015600735926796</v>
      </c>
      <c r="AN325">
        <v>0.99999996504535704</v>
      </c>
    </row>
    <row r="326" spans="1:40" x14ac:dyDescent="0.3">
      <c r="A326" t="str">
        <f>"20200111160411842"</f>
        <v>20200111160411842</v>
      </c>
      <c r="B326" t="str">
        <f>"1578729851831007"</f>
        <v>1578729851831007</v>
      </c>
      <c r="C326" t="s">
        <v>40</v>
      </c>
      <c r="D326">
        <v>4.9660780000000004</v>
      </c>
      <c r="E326">
        <v>0.5045037</v>
      </c>
      <c r="F326" t="s">
        <v>41</v>
      </c>
      <c r="G326">
        <v>-379.26670000000001</v>
      </c>
      <c r="H326" s="1">
        <v>-6.4584980000000005E-7</v>
      </c>
      <c r="I326">
        <v>368.0745</v>
      </c>
      <c r="J326">
        <v>-394.26650000000001</v>
      </c>
      <c r="K326">
        <v>1.09721</v>
      </c>
      <c r="L326">
        <v>367.3494</v>
      </c>
      <c r="M326">
        <v>0.99998940000000003</v>
      </c>
      <c r="N326">
        <v>0</v>
      </c>
      <c r="O326">
        <v>2.538092E-3</v>
      </c>
      <c r="P326">
        <v>0.99846109999999999</v>
      </c>
      <c r="Q326">
        <v>4.5642180000000001E-3</v>
      </c>
      <c r="R326">
        <v>5.527232E-2</v>
      </c>
      <c r="S326">
        <v>2.997833</v>
      </c>
      <c r="T326">
        <v>-0.21573290000000001</v>
      </c>
      <c r="U326">
        <v>0.142852799999999</v>
      </c>
      <c r="V326">
        <v>-5.2737880000000001E-2</v>
      </c>
      <c r="W326">
        <v>8.4416500000000002E-3</v>
      </c>
      <c r="X326">
        <v>0.99857269999999998</v>
      </c>
      <c r="Y326">
        <v>-4.4953180000000002E-2</v>
      </c>
      <c r="Z326">
        <v>1.432172E-3</v>
      </c>
      <c r="AA326">
        <v>0.99898810000000005</v>
      </c>
      <c r="AB326">
        <v>38</v>
      </c>
      <c r="AC326">
        <v>14.999799999999899</v>
      </c>
      <c r="AD326">
        <v>-1.0972106458498001</v>
      </c>
      <c r="AE326">
        <v>0.72509999999999697</v>
      </c>
      <c r="AF326">
        <v>-0.68337849531205397</v>
      </c>
      <c r="AG326">
        <v>-1.0972106458498001</v>
      </c>
      <c r="AH326">
        <v>14.9219356889718</v>
      </c>
      <c r="AI326">
        <v>94.201005845743694</v>
      </c>
      <c r="AJ326">
        <v>92.622137302442098</v>
      </c>
      <c r="AK326">
        <v>14.977818334958901</v>
      </c>
      <c r="AL326">
        <v>89.516323333971997</v>
      </c>
      <c r="AM326">
        <v>93.023168227873199</v>
      </c>
      <c r="AN326">
        <v>0.99999999131345296</v>
      </c>
    </row>
    <row r="327" spans="1:40" x14ac:dyDescent="0.3">
      <c r="A327" t="str">
        <f>"20200111160411863"</f>
        <v>20200111160411863</v>
      </c>
      <c r="B327" t="str">
        <f>"1578729851851503"</f>
        <v>1578729851851503</v>
      </c>
      <c r="C327" t="s">
        <v>40</v>
      </c>
      <c r="D327">
        <v>5.0752959999999998</v>
      </c>
      <c r="E327">
        <v>0.50431250000000005</v>
      </c>
      <c r="F327" t="s">
        <v>41</v>
      </c>
      <c r="G327">
        <v>-379.20659999999998</v>
      </c>
      <c r="H327" s="1">
        <v>-6.6521860000000003E-7</v>
      </c>
      <c r="I327">
        <v>368.07850000000002</v>
      </c>
      <c r="J327">
        <v>-393.9307</v>
      </c>
      <c r="K327">
        <v>1.098824</v>
      </c>
      <c r="L327">
        <v>367.3503</v>
      </c>
      <c r="M327">
        <v>0.99998750000000003</v>
      </c>
      <c r="N327">
        <v>0</v>
      </c>
      <c r="O327">
        <v>2.5464749999999999E-3</v>
      </c>
      <c r="P327">
        <v>0.9984596</v>
      </c>
      <c r="Q327">
        <v>3.9834529999999996E-3</v>
      </c>
      <c r="R327">
        <v>5.5338900000000003E-2</v>
      </c>
      <c r="S327">
        <v>2.99762</v>
      </c>
      <c r="T327">
        <v>-0.21839529999999999</v>
      </c>
      <c r="U327">
        <v>0.14514160000000001</v>
      </c>
      <c r="V327">
        <v>-5.2796049999999997E-2</v>
      </c>
      <c r="W327">
        <v>8.2761940000000006E-3</v>
      </c>
      <c r="X327">
        <v>0.99857099999999999</v>
      </c>
      <c r="Y327">
        <v>-4.5704500000000002E-2</v>
      </c>
      <c r="Z327">
        <v>1.476584E-3</v>
      </c>
      <c r="AA327">
        <v>0.99895389999999995</v>
      </c>
      <c r="AB327">
        <v>38</v>
      </c>
      <c r="AC327">
        <v>14.7241</v>
      </c>
      <c r="AD327">
        <v>-1.0988246652186</v>
      </c>
      <c r="AE327">
        <v>0.72820000000001495</v>
      </c>
      <c r="AF327">
        <v>-0.68688660739257001</v>
      </c>
      <c r="AG327">
        <v>-1.0988246652186</v>
      </c>
      <c r="AH327">
        <v>14.644546001909299</v>
      </c>
      <c r="AI327">
        <v>94.2863404954023</v>
      </c>
      <c r="AJ327">
        <v>92.685428492078799</v>
      </c>
      <c r="AK327">
        <v>14.7017671202595</v>
      </c>
      <c r="AL327">
        <v>89.525803590478404</v>
      </c>
      <c r="AM327">
        <v>93.026501736181501</v>
      </c>
      <c r="AN327">
        <v>0.99999998016186298</v>
      </c>
    </row>
    <row r="328" spans="1:40" x14ac:dyDescent="0.3">
      <c r="A328" t="str">
        <f>"20200111160411879"</f>
        <v>20200111160411879</v>
      </c>
      <c r="B328" t="str">
        <f>"1578729851871022"</f>
        <v>1578729851871022</v>
      </c>
      <c r="C328" t="s">
        <v>40</v>
      </c>
      <c r="D328">
        <v>4.9812339999999997</v>
      </c>
      <c r="E328">
        <v>0.50399359999999904</v>
      </c>
      <c r="F328" t="s">
        <v>41</v>
      </c>
      <c r="G328">
        <v>-379.10270000000003</v>
      </c>
      <c r="H328" s="1">
        <v>-7.0095359999999997E-7</v>
      </c>
      <c r="I328">
        <v>368.07709999999997</v>
      </c>
      <c r="J328">
        <v>-393.64870000000002</v>
      </c>
      <c r="K328">
        <v>1.100023</v>
      </c>
      <c r="L328">
        <v>367.351</v>
      </c>
      <c r="M328">
        <v>0.99998620000000005</v>
      </c>
      <c r="N328">
        <v>0</v>
      </c>
      <c r="O328">
        <v>2.5533029999999998E-3</v>
      </c>
      <c r="P328">
        <v>0.99845130000000004</v>
      </c>
      <c r="Q328">
        <v>3.5941900000000001E-3</v>
      </c>
      <c r="R328">
        <v>5.5519560000000003E-2</v>
      </c>
      <c r="S328">
        <v>2.9974059999999998</v>
      </c>
      <c r="T328">
        <v>-0.2221216</v>
      </c>
      <c r="U328">
        <v>0.14694209999999999</v>
      </c>
      <c r="V328">
        <v>-5.2969870000000002E-2</v>
      </c>
      <c r="W328">
        <v>8.2161140000000001E-3</v>
      </c>
      <c r="X328">
        <v>0.99856230000000001</v>
      </c>
      <c r="Y328">
        <v>-4.6294229999999999E-2</v>
      </c>
      <c r="Z328">
        <v>1.5230969999999999E-3</v>
      </c>
      <c r="AA328">
        <v>0.99892669999999995</v>
      </c>
      <c r="AB328">
        <v>38</v>
      </c>
      <c r="AC328">
        <v>14.5459999999999</v>
      </c>
      <c r="AD328">
        <v>-1.1000237009536</v>
      </c>
      <c r="AE328">
        <v>0.72609999999997399</v>
      </c>
      <c r="AF328">
        <v>-0.68504886823000699</v>
      </c>
      <c r="AG328">
        <v>-1.1000237009536</v>
      </c>
      <c r="AH328">
        <v>14.4652858139356</v>
      </c>
      <c r="AI328">
        <v>94.343881512723698</v>
      </c>
      <c r="AJ328">
        <v>92.711395082836603</v>
      </c>
      <c r="AK328">
        <v>14.523217197761999</v>
      </c>
      <c r="AL328">
        <v>89.529246042334805</v>
      </c>
      <c r="AM328">
        <v>93.036473652812504</v>
      </c>
      <c r="AN328">
        <v>0.99999998931918299</v>
      </c>
    </row>
    <row r="329" spans="1:40" x14ac:dyDescent="0.3">
      <c r="A329" t="str">
        <f>"20200111160411897"</f>
        <v>20200111160411897</v>
      </c>
      <c r="B329" t="str">
        <f>"1578729851891518"</f>
        <v>1578729851891518</v>
      </c>
      <c r="C329" t="s">
        <v>40</v>
      </c>
      <c r="D329">
        <v>5.030939</v>
      </c>
      <c r="E329">
        <v>0.50391019999999997</v>
      </c>
      <c r="F329" t="s">
        <v>41</v>
      </c>
      <c r="G329">
        <v>-379.05040000000002</v>
      </c>
      <c r="H329" s="1">
        <v>-7.172716E-7</v>
      </c>
      <c r="I329">
        <v>368.08269999999999</v>
      </c>
      <c r="J329">
        <v>-393.34879999999998</v>
      </c>
      <c r="K329">
        <v>1.1011759999999999</v>
      </c>
      <c r="L329">
        <v>367.35180000000003</v>
      </c>
      <c r="M329">
        <v>0.99998450000000005</v>
      </c>
      <c r="N329">
        <v>0</v>
      </c>
      <c r="O329">
        <v>2.5607859999999998E-3</v>
      </c>
      <c r="P329">
        <v>0.99841310000000005</v>
      </c>
      <c r="Q329">
        <v>3.1896310000000001E-3</v>
      </c>
      <c r="R329">
        <v>5.6225659999999997E-2</v>
      </c>
      <c r="S329">
        <v>2.9971009999999998</v>
      </c>
      <c r="T329">
        <v>-0.22583800000000001</v>
      </c>
      <c r="U329">
        <v>0.15023800000000001</v>
      </c>
      <c r="V329">
        <v>-5.3668880000000002E-2</v>
      </c>
      <c r="W329">
        <v>8.1441150000000004E-3</v>
      </c>
      <c r="X329">
        <v>0.99852560000000001</v>
      </c>
      <c r="Y329">
        <v>-4.7380419999999999E-2</v>
      </c>
      <c r="Z329">
        <v>1.588901E-3</v>
      </c>
      <c r="AA329">
        <v>0.99887570000000003</v>
      </c>
      <c r="AB329">
        <v>38</v>
      </c>
      <c r="AC329">
        <v>14.2983999999999</v>
      </c>
      <c r="AD329">
        <v>-1.1011767172715901</v>
      </c>
      <c r="AE329">
        <v>0.73089999999996202</v>
      </c>
      <c r="AF329">
        <v>-0.69019900618817598</v>
      </c>
      <c r="AG329">
        <v>-1.1011767172715901</v>
      </c>
      <c r="AH329">
        <v>14.216126540841501</v>
      </c>
      <c r="AI329">
        <v>94.424078453423505</v>
      </c>
      <c r="AJ329">
        <v>92.779551966207194</v>
      </c>
      <c r="AK329">
        <v>14.275406076746901</v>
      </c>
      <c r="AL329">
        <v>89.533371435685098</v>
      </c>
      <c r="AM329">
        <v>93.076580464453698</v>
      </c>
      <c r="AN329">
        <v>1.0000000245724701</v>
      </c>
    </row>
    <row r="330" spans="1:40" x14ac:dyDescent="0.3">
      <c r="A330" t="str">
        <f>"20200111160411912"</f>
        <v>20200111160411912</v>
      </c>
      <c r="B330" t="str">
        <f>"1578729851901279"</f>
        <v>1578729851901279</v>
      </c>
      <c r="C330" t="s">
        <v>40</v>
      </c>
      <c r="D330">
        <v>5.178725</v>
      </c>
      <c r="E330">
        <v>0.50355059999999996</v>
      </c>
      <c r="F330" t="s">
        <v>41</v>
      </c>
      <c r="G330">
        <v>-378.86829999999998</v>
      </c>
      <c r="H330" s="1">
        <v>-7.7733069999999898E-7</v>
      </c>
      <c r="I330">
        <v>368.0899</v>
      </c>
      <c r="J330">
        <v>-393.08409999999998</v>
      </c>
      <c r="K330">
        <v>1.1020970000000001</v>
      </c>
      <c r="L330">
        <v>367.35250000000002</v>
      </c>
      <c r="M330">
        <v>0.99998310000000001</v>
      </c>
      <c r="N330">
        <v>0</v>
      </c>
      <c r="O330">
        <v>2.5672899999999998E-3</v>
      </c>
      <c r="P330">
        <v>0.99837290000000001</v>
      </c>
      <c r="Q330">
        <v>2.6362220000000001E-3</v>
      </c>
      <c r="R330">
        <v>5.6965549999999997E-2</v>
      </c>
      <c r="S330">
        <v>2.9968870000000001</v>
      </c>
      <c r="T330">
        <v>-0.2278985</v>
      </c>
      <c r="U330">
        <v>0.15277099999999999</v>
      </c>
      <c r="V330">
        <v>-5.4402239999999998E-2</v>
      </c>
      <c r="W330">
        <v>7.8666029999999998E-3</v>
      </c>
      <c r="X330">
        <v>0.99848809999999999</v>
      </c>
      <c r="Y330">
        <v>-4.8214840000000002E-2</v>
      </c>
      <c r="Z330">
        <v>1.6346030000000001E-3</v>
      </c>
      <c r="AA330">
        <v>0.99883560000000005</v>
      </c>
      <c r="AB330">
        <v>38</v>
      </c>
      <c r="AC330">
        <v>14.2158</v>
      </c>
      <c r="AD330">
        <v>-1.1020977773306999</v>
      </c>
      <c r="AE330">
        <v>0.73739999999997896</v>
      </c>
      <c r="AF330">
        <v>-0.696724690464675</v>
      </c>
      <c r="AG330">
        <v>-1.1020977773306999</v>
      </c>
      <c r="AH330">
        <v>14.1329307931583</v>
      </c>
      <c r="AI330">
        <v>94.453562525869103</v>
      </c>
      <c r="AJ330">
        <v>92.822280343362493</v>
      </c>
      <c r="AK330">
        <v>14.1929481648212</v>
      </c>
      <c r="AL330">
        <v>89.549272194064201</v>
      </c>
      <c r="AM330">
        <v>93.118654958353801</v>
      </c>
      <c r="AN330">
        <v>0.99999998650069299</v>
      </c>
    </row>
    <row r="331" spans="1:40" x14ac:dyDescent="0.3">
      <c r="A331" t="str">
        <f>"20200111160411930"</f>
        <v>20200111160411930</v>
      </c>
      <c r="B331" t="str">
        <f>"1578729851920798"</f>
        <v>1578729851920798</v>
      </c>
      <c r="C331" t="s">
        <v>40</v>
      </c>
      <c r="D331">
        <v>5.0169589999999999</v>
      </c>
      <c r="E331">
        <v>0.50329269999999904</v>
      </c>
      <c r="F331" t="s">
        <v>41</v>
      </c>
      <c r="G331">
        <v>-378.67939999999999</v>
      </c>
      <c r="H331" s="1">
        <v>-8.3615459999999999E-7</v>
      </c>
      <c r="I331">
        <v>368.1105</v>
      </c>
      <c r="J331">
        <v>-392.77289999999999</v>
      </c>
      <c r="K331">
        <v>1.103065</v>
      </c>
      <c r="L331">
        <v>367.35329999999999</v>
      </c>
      <c r="M331">
        <v>0.99998140000000002</v>
      </c>
      <c r="N331">
        <v>0</v>
      </c>
      <c r="O331">
        <v>2.5749290000000001E-3</v>
      </c>
      <c r="P331">
        <v>0.99827030000000005</v>
      </c>
      <c r="Q331">
        <v>1.9802359999999998E-3</v>
      </c>
      <c r="R331">
        <v>5.8760800000000002E-2</v>
      </c>
      <c r="S331">
        <v>2.9964900000000001</v>
      </c>
      <c r="T331">
        <v>-0.22925789999999999</v>
      </c>
      <c r="U331">
        <v>0.157684299999999</v>
      </c>
      <c r="V331">
        <v>-5.6190120000000003E-2</v>
      </c>
      <c r="W331">
        <v>7.5137550000000004E-3</v>
      </c>
      <c r="X331">
        <v>0.99839180000000005</v>
      </c>
      <c r="Y331">
        <v>-4.9840959999999997E-2</v>
      </c>
      <c r="Z331">
        <v>1.7059620000000001E-3</v>
      </c>
      <c r="AA331">
        <v>0.99875570000000002</v>
      </c>
      <c r="AB331">
        <v>38</v>
      </c>
      <c r="AC331">
        <v>14.093500000000001</v>
      </c>
      <c r="AD331">
        <v>-1.1030658361546</v>
      </c>
      <c r="AE331">
        <v>0.75720000000001098</v>
      </c>
      <c r="AF331">
        <v>-0.71653046098255102</v>
      </c>
      <c r="AG331">
        <v>-1.1030658361546</v>
      </c>
      <c r="AH331">
        <v>14.0098281944116</v>
      </c>
      <c r="AI331">
        <v>94.496051600929505</v>
      </c>
      <c r="AJ331">
        <v>92.927832546072906</v>
      </c>
      <c r="AK331">
        <v>14.071441154954099</v>
      </c>
      <c r="AL331">
        <v>89.569489493346495</v>
      </c>
      <c r="AM331">
        <v>93.221244357382105</v>
      </c>
      <c r="AN331">
        <v>0.99999998620352704</v>
      </c>
    </row>
    <row r="332" spans="1:40" x14ac:dyDescent="0.3">
      <c r="A332" t="str">
        <f>"20200111160411945"</f>
        <v>20200111160411945</v>
      </c>
      <c r="B332" t="str">
        <f>"1578729851941388"</f>
        <v>1578729851941388</v>
      </c>
      <c r="C332" t="s">
        <v>40</v>
      </c>
      <c r="D332">
        <v>5.101235</v>
      </c>
      <c r="E332">
        <v>0.50313989999999997</v>
      </c>
      <c r="F332" t="s">
        <v>41</v>
      </c>
      <c r="G332">
        <v>-378.47109999999998</v>
      </c>
      <c r="H332" s="1">
        <v>-9.0003790000000001E-7</v>
      </c>
      <c r="I332">
        <v>368.14019999999999</v>
      </c>
      <c r="J332">
        <v>-392.53059999999999</v>
      </c>
      <c r="K332">
        <v>1.103753</v>
      </c>
      <c r="L332">
        <v>367.35390000000001</v>
      </c>
      <c r="M332">
        <v>0.99998019999999999</v>
      </c>
      <c r="N332">
        <v>0</v>
      </c>
      <c r="O332">
        <v>2.5804920000000002E-3</v>
      </c>
      <c r="P332">
        <v>0.99824480000000004</v>
      </c>
      <c r="Q332">
        <v>1.282753E-3</v>
      </c>
      <c r="R332">
        <v>5.9209770000000002E-2</v>
      </c>
      <c r="S332">
        <v>2.9958800000000001</v>
      </c>
      <c r="T332">
        <v>-0.23106399999999999</v>
      </c>
      <c r="U332">
        <v>0.164856</v>
      </c>
      <c r="V332">
        <v>-5.663352E-2</v>
      </c>
      <c r="W332">
        <v>7.0397910000000001E-3</v>
      </c>
      <c r="X332">
        <v>0.99837019999999999</v>
      </c>
      <c r="Y332">
        <v>-5.2220639999999999E-2</v>
      </c>
      <c r="Z332">
        <v>1.810737E-3</v>
      </c>
      <c r="AA332">
        <v>0.99863389999999996</v>
      </c>
      <c r="AB332">
        <v>38</v>
      </c>
      <c r="AC332">
        <v>14.0595</v>
      </c>
      <c r="AD332">
        <v>-1.1037539000379</v>
      </c>
      <c r="AE332">
        <v>0.78629999999998201</v>
      </c>
      <c r="AF332">
        <v>-0.74543642436357904</v>
      </c>
      <c r="AG332">
        <v>-1.1037539000379</v>
      </c>
      <c r="AH332">
        <v>13.975616610606</v>
      </c>
      <c r="AI332">
        <v>94.509298945573505</v>
      </c>
      <c r="AJ332">
        <v>93.053169518046403</v>
      </c>
      <c r="AK332">
        <v>14.0389389834582</v>
      </c>
      <c r="AL332">
        <v>89.596646349437194</v>
      </c>
      <c r="AM332">
        <v>93.246679339853799</v>
      </c>
      <c r="AN332">
        <v>0.99999998524647604</v>
      </c>
    </row>
    <row r="333" spans="1:40" x14ac:dyDescent="0.3">
      <c r="A333" t="str">
        <f>"20200111160411961"</f>
        <v>20200111160411961</v>
      </c>
      <c r="B333" t="str">
        <f>"1578729851951148"</f>
        <v>1578729851951148</v>
      </c>
      <c r="C333" t="s">
        <v>40</v>
      </c>
      <c r="D333">
        <v>5.0012889999999999</v>
      </c>
      <c r="E333">
        <v>0.50320450000000005</v>
      </c>
      <c r="F333" t="s">
        <v>41</v>
      </c>
      <c r="G333">
        <v>-378.34870000000001</v>
      </c>
      <c r="H333" s="1">
        <v>-9.5144549999999999E-7</v>
      </c>
      <c r="I333">
        <v>368.14640000000003</v>
      </c>
      <c r="J333">
        <v>-392.22160000000002</v>
      </c>
      <c r="K333">
        <v>1.1045119999999999</v>
      </c>
      <c r="L333">
        <v>367.35480000000001</v>
      </c>
      <c r="M333">
        <v>0.99997849999999999</v>
      </c>
      <c r="N333">
        <v>0</v>
      </c>
      <c r="O333">
        <v>2.5878210000000001E-3</v>
      </c>
      <c r="P333">
        <v>0.99817489999999998</v>
      </c>
      <c r="Q333">
        <v>6.8160710000000002E-4</v>
      </c>
      <c r="R333">
        <v>6.0385729999999999E-2</v>
      </c>
      <c r="S333">
        <v>2.9956670000000001</v>
      </c>
      <c r="T333">
        <v>-0.23314760000000001</v>
      </c>
      <c r="U333">
        <v>0.1674194</v>
      </c>
      <c r="V333">
        <v>-5.7802350000000002E-2</v>
      </c>
      <c r="W333">
        <v>6.7002909999999997E-3</v>
      </c>
      <c r="X333">
        <v>0.99830560000000002</v>
      </c>
      <c r="Y333">
        <v>-5.3063949999999999E-2</v>
      </c>
      <c r="Z333">
        <v>1.8592750000000001E-3</v>
      </c>
      <c r="AA333">
        <v>0.99858939999999996</v>
      </c>
      <c r="AB333">
        <v>38</v>
      </c>
      <c r="AC333">
        <v>13.8729</v>
      </c>
      <c r="AD333">
        <v>-1.1045129514454901</v>
      </c>
      <c r="AE333">
        <v>0.79160000000001596</v>
      </c>
      <c r="AF333">
        <v>-0.75095143246415197</v>
      </c>
      <c r="AG333">
        <v>-1.1045129514454901</v>
      </c>
      <c r="AH333">
        <v>13.7877877003873</v>
      </c>
      <c r="AI333">
        <v>94.573323938728095</v>
      </c>
      <c r="AJ333">
        <v>93.1175326508816</v>
      </c>
      <c r="AK333">
        <v>13.8523271180254</v>
      </c>
      <c r="AL333">
        <v>89.616098746378398</v>
      </c>
      <c r="AM333">
        <v>93.313752019101699</v>
      </c>
      <c r="AN333">
        <v>1.00000003827818</v>
      </c>
    </row>
    <row r="334" spans="1:40" x14ac:dyDescent="0.3">
      <c r="A334" t="str">
        <f>"20200111160411977"</f>
        <v>20200111160411977</v>
      </c>
      <c r="B334" t="str">
        <f>"1578729851970668"</f>
        <v>1578729851970668</v>
      </c>
      <c r="C334" t="s">
        <v>40</v>
      </c>
      <c r="D334">
        <v>5.0361529999999997</v>
      </c>
      <c r="E334">
        <v>0.50311019999999995</v>
      </c>
      <c r="F334" t="s">
        <v>41</v>
      </c>
      <c r="G334">
        <v>-378.1884</v>
      </c>
      <c r="H334" s="1">
        <v>-1.0192989999999999E-6</v>
      </c>
      <c r="I334">
        <v>368.15179999999998</v>
      </c>
      <c r="J334">
        <v>-391.97649999999999</v>
      </c>
      <c r="K334">
        <v>1.10504</v>
      </c>
      <c r="L334">
        <v>367.35539999999997</v>
      </c>
      <c r="M334">
        <v>0.99997740000000002</v>
      </c>
      <c r="N334">
        <v>0</v>
      </c>
      <c r="O334">
        <v>2.5930739999999999E-3</v>
      </c>
      <c r="P334">
        <v>0.99813819999999998</v>
      </c>
      <c r="Q334">
        <v>4.8733130000000002E-4</v>
      </c>
      <c r="R334">
        <v>6.0994369999999999E-2</v>
      </c>
      <c r="S334">
        <v>2.9953310000000002</v>
      </c>
      <c r="T334">
        <v>-0.23575270000000001</v>
      </c>
      <c r="U334">
        <v>0.1701355</v>
      </c>
      <c r="V334">
        <v>-5.8405949999999998E-2</v>
      </c>
      <c r="W334">
        <v>6.6974299999999999E-3</v>
      </c>
      <c r="X334">
        <v>0.99827049999999995</v>
      </c>
      <c r="Y334">
        <v>-5.3961339999999997E-2</v>
      </c>
      <c r="Z334">
        <v>1.9149690000000001E-3</v>
      </c>
      <c r="AA334">
        <v>0.99854120000000002</v>
      </c>
      <c r="AB334">
        <v>38</v>
      </c>
      <c r="AC334">
        <v>13.788099999999901</v>
      </c>
      <c r="AD334">
        <v>-1.1050410192989999</v>
      </c>
      <c r="AE334">
        <v>0.79640000000000499</v>
      </c>
      <c r="AF334">
        <v>-0.755804568363169</v>
      </c>
      <c r="AG334">
        <v>-1.1050410192989999</v>
      </c>
      <c r="AH334">
        <v>13.702398917925001</v>
      </c>
      <c r="AI334">
        <v>94.603718217934301</v>
      </c>
      <c r="AJ334">
        <v>93.157153338727696</v>
      </c>
      <c r="AK334">
        <v>13.7676465783316</v>
      </c>
      <c r="AL334">
        <v>89.616262678106295</v>
      </c>
      <c r="AM334">
        <v>93.348394951811898</v>
      </c>
      <c r="AN334">
        <v>1.0000000508671201</v>
      </c>
    </row>
    <row r="335" spans="1:40" x14ac:dyDescent="0.3">
      <c r="A335" t="str">
        <f>"20200111160411997"</f>
        <v>20200111160411997</v>
      </c>
      <c r="B335" t="str">
        <f>"1578729851991164"</f>
        <v>1578729851991164</v>
      </c>
      <c r="C335" t="s">
        <v>40</v>
      </c>
      <c r="D335">
        <v>5.0700560000000001</v>
      </c>
      <c r="E335">
        <v>0.50297579999999997</v>
      </c>
      <c r="F335" t="s">
        <v>41</v>
      </c>
      <c r="G335">
        <v>-378.01519999999999</v>
      </c>
      <c r="H335" s="1">
        <v>-1.091959E-6</v>
      </c>
      <c r="I335">
        <v>368.16090000000003</v>
      </c>
      <c r="J335">
        <v>-391.63940000000002</v>
      </c>
      <c r="K335">
        <v>1.105694</v>
      </c>
      <c r="L335">
        <v>367.35629999999998</v>
      </c>
      <c r="M335">
        <v>0.99997579999999997</v>
      </c>
      <c r="N335">
        <v>0</v>
      </c>
      <c r="O335">
        <v>2.60093E-3</v>
      </c>
      <c r="P335">
        <v>0.99803410000000004</v>
      </c>
      <c r="Q335">
        <v>2.117213E-4</v>
      </c>
      <c r="R335">
        <v>6.2673259999999995E-2</v>
      </c>
      <c r="S335">
        <v>2.9951780000000001</v>
      </c>
      <c r="T335">
        <v>-0.2370678</v>
      </c>
      <c r="U335">
        <v>0.172821</v>
      </c>
      <c r="V335">
        <v>-6.0077150000000003E-2</v>
      </c>
      <c r="W335">
        <v>6.6673899999999996E-3</v>
      </c>
      <c r="X335">
        <v>0.99817140000000004</v>
      </c>
      <c r="Y335">
        <v>-5.4844249999999997E-2</v>
      </c>
      <c r="Z335">
        <v>1.9599029999999998E-3</v>
      </c>
      <c r="AA335">
        <v>0.99849299999999996</v>
      </c>
      <c r="AB335">
        <v>38</v>
      </c>
      <c r="AC335">
        <v>13.6242</v>
      </c>
      <c r="AD335">
        <v>-1.1056950919589901</v>
      </c>
      <c r="AE335">
        <v>0.80460000000005005</v>
      </c>
      <c r="AF335">
        <v>-0.76414546751103496</v>
      </c>
      <c r="AG335">
        <v>-1.1056950919589901</v>
      </c>
      <c r="AH335">
        <v>13.537393737073099</v>
      </c>
      <c r="AI335">
        <v>94.661999764602598</v>
      </c>
      <c r="AJ335">
        <v>93.230747297444097</v>
      </c>
      <c r="AK335">
        <v>13.603951967147101</v>
      </c>
      <c r="AL335">
        <v>89.617983835839297</v>
      </c>
      <c r="AM335">
        <v>93.444318013881897</v>
      </c>
      <c r="AN335">
        <v>0.99999993090974404</v>
      </c>
    </row>
    <row r="336" spans="1:40" x14ac:dyDescent="0.3">
      <c r="A336" t="str">
        <f>"20200111160412010"</f>
        <v>20200111160412010</v>
      </c>
      <c r="B336" t="str">
        <f>"1578729852000924"</f>
        <v>1578729852000924</v>
      </c>
      <c r="C336" t="s">
        <v>40</v>
      </c>
      <c r="D336">
        <v>5.0783969999999998</v>
      </c>
      <c r="E336">
        <v>0.50302579999999997</v>
      </c>
      <c r="F336" t="s">
        <v>41</v>
      </c>
      <c r="G336">
        <v>-377.77420000000001</v>
      </c>
      <c r="H336" s="1">
        <v>-1.191103E-6</v>
      </c>
      <c r="I336">
        <v>368.1848</v>
      </c>
      <c r="J336">
        <v>-391.39749999999998</v>
      </c>
      <c r="K336">
        <v>1.1061099999999999</v>
      </c>
      <c r="L336">
        <v>367.35700000000003</v>
      </c>
      <c r="M336">
        <v>0.99997469999999999</v>
      </c>
      <c r="N336">
        <v>0</v>
      </c>
      <c r="O336">
        <v>2.6069470000000001E-3</v>
      </c>
      <c r="P336">
        <v>0.99799660000000001</v>
      </c>
      <c r="Q336">
        <v>3.054477E-4</v>
      </c>
      <c r="R336">
        <v>6.3267870000000004E-2</v>
      </c>
      <c r="S336">
        <v>2.9946899999999999</v>
      </c>
      <c r="T336">
        <v>-0.2388139</v>
      </c>
      <c r="U336">
        <v>0.17895510000000001</v>
      </c>
      <c r="V336">
        <v>-6.0665799999999999E-2</v>
      </c>
      <c r="W336">
        <v>6.9248759999999999E-3</v>
      </c>
      <c r="X336">
        <v>0.99813410000000002</v>
      </c>
      <c r="Y336">
        <v>-5.6876830000000003E-2</v>
      </c>
      <c r="Z336">
        <v>2.0548620000000002E-3</v>
      </c>
      <c r="AA336">
        <v>0.99837909999999996</v>
      </c>
      <c r="AB336">
        <v>38</v>
      </c>
      <c r="AC336">
        <v>13.623299999999899</v>
      </c>
      <c r="AD336">
        <v>-1.1061111911029999</v>
      </c>
      <c r="AE336">
        <v>0.82780000000002396</v>
      </c>
      <c r="AF336">
        <v>-0.78711144911338704</v>
      </c>
      <c r="AG336">
        <v>-1.1061111911029999</v>
      </c>
      <c r="AH336">
        <v>13.5365041798782</v>
      </c>
      <c r="AI336">
        <v>94.663600697803204</v>
      </c>
      <c r="AJ336">
        <v>93.327848830635205</v>
      </c>
      <c r="AK336">
        <v>13.6044100133842</v>
      </c>
      <c r="AL336">
        <v>89.603230655395393</v>
      </c>
      <c r="AM336">
        <v>93.478113460046202</v>
      </c>
      <c r="AN336">
        <v>0.99999998739003204</v>
      </c>
    </row>
    <row r="337" spans="1:40" x14ac:dyDescent="0.3">
      <c r="A337" t="str">
        <f>"20200111160412023"</f>
        <v>20200111160412023</v>
      </c>
      <c r="B337" t="str">
        <f>"1578729852010684"</f>
        <v>1578729852010684</v>
      </c>
      <c r="C337" t="s">
        <v>40</v>
      </c>
      <c r="D337">
        <v>5.0920040000000002</v>
      </c>
      <c r="E337">
        <v>0.50308980000000003</v>
      </c>
      <c r="F337" t="s">
        <v>41</v>
      </c>
      <c r="G337">
        <v>-377.54379999999998</v>
      </c>
      <c r="H337" s="1">
        <v>-1.2890700000000001E-6</v>
      </c>
      <c r="I337">
        <v>368.18979999999999</v>
      </c>
      <c r="J337">
        <v>-391.17239999999998</v>
      </c>
      <c r="K337">
        <v>1.106465</v>
      </c>
      <c r="L337">
        <v>367.35750000000002</v>
      </c>
      <c r="M337">
        <v>0.99997369999999997</v>
      </c>
      <c r="N337">
        <v>0</v>
      </c>
      <c r="O337">
        <v>2.612479E-3</v>
      </c>
      <c r="P337">
        <v>0.99795509999999998</v>
      </c>
      <c r="Q337">
        <v>-1.3704409999999999E-4</v>
      </c>
      <c r="R337">
        <v>6.3918859999999994E-2</v>
      </c>
      <c r="S337">
        <v>2.9946899999999999</v>
      </c>
      <c r="T337">
        <v>-0.23910210000000001</v>
      </c>
      <c r="U337">
        <v>0.18005370000000001</v>
      </c>
      <c r="V337">
        <v>-6.1311299999999999E-2</v>
      </c>
      <c r="W337">
        <v>6.625906E-3</v>
      </c>
      <c r="X337">
        <v>0.99809669999999895</v>
      </c>
      <c r="Y337">
        <v>-5.7234720000000003E-2</v>
      </c>
      <c r="Z337">
        <v>2.0711229999999998E-3</v>
      </c>
      <c r="AA337">
        <v>0.99835859999999998</v>
      </c>
      <c r="AB337">
        <v>39</v>
      </c>
      <c r="AC337">
        <v>13.6286</v>
      </c>
      <c r="AD337">
        <v>-1.1064662890700001</v>
      </c>
      <c r="AE337">
        <v>0.83229999999997495</v>
      </c>
      <c r="AF337">
        <v>-0.79149428826335699</v>
      </c>
      <c r="AG337">
        <v>-1.1064662890700001</v>
      </c>
      <c r="AH337">
        <v>13.5418009154986</v>
      </c>
      <c r="AI337">
        <v>94.663193438990007</v>
      </c>
      <c r="AJ337">
        <v>93.3450312427574</v>
      </c>
      <c r="AK337">
        <v>13.6099633685106</v>
      </c>
      <c r="AL337">
        <v>89.620360772985606</v>
      </c>
      <c r="AM337">
        <v>93.515160579474696</v>
      </c>
      <c r="AN337">
        <v>1.00000000034445</v>
      </c>
    </row>
    <row r="338" spans="1:40" x14ac:dyDescent="0.3">
      <c r="A338" t="str">
        <f>"20200111160412042"</f>
        <v>20200111160412042</v>
      </c>
      <c r="B338" t="str">
        <f>"1578729852031179"</f>
        <v>1578729852031179</v>
      </c>
      <c r="C338" t="s">
        <v>40</v>
      </c>
      <c r="D338">
        <v>5.0872089999999996</v>
      </c>
      <c r="E338">
        <v>0.50318669999999999</v>
      </c>
      <c r="F338" t="s">
        <v>41</v>
      </c>
      <c r="G338">
        <v>-377.42320000000001</v>
      </c>
      <c r="H338" s="1">
        <v>-1.3406149999999999E-6</v>
      </c>
      <c r="I338">
        <v>368.1909</v>
      </c>
      <c r="J338">
        <v>-390.85879999999997</v>
      </c>
      <c r="K338">
        <v>1.1068789999999999</v>
      </c>
      <c r="L338">
        <v>367.35840000000002</v>
      </c>
      <c r="M338">
        <v>0.99997250000000004</v>
      </c>
      <c r="N338">
        <v>0</v>
      </c>
      <c r="O338">
        <v>2.6201309999999999E-3</v>
      </c>
      <c r="P338">
        <v>0.99791039999999998</v>
      </c>
      <c r="Q338">
        <v>-9.1251169999999999E-4</v>
      </c>
      <c r="R338">
        <v>6.4608470000000001E-2</v>
      </c>
      <c r="S338">
        <v>2.994507</v>
      </c>
      <c r="T338">
        <v>-0.2409808</v>
      </c>
      <c r="U338">
        <v>0.1815186</v>
      </c>
      <c r="V338">
        <v>-6.1993050000000001E-2</v>
      </c>
      <c r="W338">
        <v>6.0332099999999998E-3</v>
      </c>
      <c r="X338">
        <v>0.99805829999999995</v>
      </c>
      <c r="Y338">
        <v>-5.7713069999999998E-2</v>
      </c>
      <c r="Z338">
        <v>2.1060240000000002E-3</v>
      </c>
      <c r="AA338">
        <v>0.99833099999999997</v>
      </c>
      <c r="AB338">
        <v>39</v>
      </c>
      <c r="AC338">
        <v>13.4355999999999</v>
      </c>
      <c r="AD338">
        <v>-1.1068803406150001</v>
      </c>
      <c r="AE338">
        <v>0.83249999999998103</v>
      </c>
      <c r="AF338">
        <v>-0.79193881570004998</v>
      </c>
      <c r="AG338">
        <v>-1.1068803406150001</v>
      </c>
      <c r="AH338">
        <v>13.347490299408401</v>
      </c>
      <c r="AI338">
        <v>94.732291353775594</v>
      </c>
      <c r="AJ338">
        <v>93.395516172474203</v>
      </c>
      <c r="AK338">
        <v>13.416700356982499</v>
      </c>
      <c r="AL338">
        <v>89.654320417071901</v>
      </c>
      <c r="AM338">
        <v>93.554284101821494</v>
      </c>
      <c r="AN338">
        <v>0.99999995403504705</v>
      </c>
    </row>
    <row r="339" spans="1:40" x14ac:dyDescent="0.3">
      <c r="A339" t="str">
        <f>"20200111160412056"</f>
        <v>20200111160412056</v>
      </c>
      <c r="B339" t="str">
        <f>"1578729852050700"</f>
        <v>1578729852050700</v>
      </c>
      <c r="C339" t="s">
        <v>40</v>
      </c>
      <c r="D339">
        <v>5.0774410000000003</v>
      </c>
      <c r="E339">
        <v>0.50325829999999905</v>
      </c>
      <c r="F339" t="s">
        <v>41</v>
      </c>
      <c r="G339">
        <v>-377.31389999999999</v>
      </c>
      <c r="H339" s="1">
        <v>-1.3887980000000001E-6</v>
      </c>
      <c r="I339">
        <v>368.18349999999998</v>
      </c>
      <c r="J339">
        <v>-390.60820000000001</v>
      </c>
      <c r="K339">
        <v>1.1071709999999999</v>
      </c>
      <c r="L339">
        <v>367.35910000000001</v>
      </c>
      <c r="M339">
        <v>0.99997150000000001</v>
      </c>
      <c r="N339">
        <v>0</v>
      </c>
      <c r="O339">
        <v>2.6263929999999999E-3</v>
      </c>
      <c r="P339">
        <v>0.9979015</v>
      </c>
      <c r="Q339">
        <v>-1.451889E-3</v>
      </c>
      <c r="R339">
        <v>6.473371E-2</v>
      </c>
      <c r="S339">
        <v>2.9942319999999998</v>
      </c>
      <c r="T339">
        <v>-0.24468670000000001</v>
      </c>
      <c r="U339">
        <v>0.1824036</v>
      </c>
      <c r="V339">
        <v>-6.2112649999999998E-2</v>
      </c>
      <c r="W339">
        <v>5.6279049999999999E-3</v>
      </c>
      <c r="X339">
        <v>0.99805330000000003</v>
      </c>
      <c r="Y339">
        <v>-5.7999889999999998E-2</v>
      </c>
      <c r="Z339">
        <v>2.1496599999999999E-3</v>
      </c>
      <c r="AA339">
        <v>0.99831429999999999</v>
      </c>
      <c r="AB339">
        <v>39</v>
      </c>
      <c r="AC339">
        <v>13.2943</v>
      </c>
      <c r="AD339">
        <v>-1.1071723887979901</v>
      </c>
      <c r="AE339">
        <v>0.82439999999996805</v>
      </c>
      <c r="AF339">
        <v>-0.784062916331557</v>
      </c>
      <c r="AG339">
        <v>-1.1071723887979901</v>
      </c>
      <c r="AH339">
        <v>13.2051811249486</v>
      </c>
      <c r="AI339">
        <v>94.784298839282798</v>
      </c>
      <c r="AJ339">
        <v>93.397970483905198</v>
      </c>
      <c r="AK339">
        <v>13.2746899737049</v>
      </c>
      <c r="AL339">
        <v>89.6775431009047</v>
      </c>
      <c r="AM339">
        <v>93.561141364683394</v>
      </c>
      <c r="AN339">
        <v>1.0000000221228</v>
      </c>
    </row>
    <row r="340" spans="1:40" x14ac:dyDescent="0.3">
      <c r="A340" t="str">
        <f>"20200111160412074"</f>
        <v>20200111160412074</v>
      </c>
      <c r="B340" t="str">
        <f>"1578729852071198"</f>
        <v>1578729852071198</v>
      </c>
      <c r="C340" t="s">
        <v>40</v>
      </c>
      <c r="D340">
        <v>5.0908769999999999</v>
      </c>
      <c r="E340">
        <v>0.50336159999999996</v>
      </c>
      <c r="F340" t="s">
        <v>41</v>
      </c>
      <c r="G340">
        <v>-377.23520000000002</v>
      </c>
      <c r="H340" s="1">
        <v>-1.4243249999999999E-6</v>
      </c>
      <c r="I340">
        <v>368.1737</v>
      </c>
      <c r="J340">
        <v>-390.2928</v>
      </c>
      <c r="K340">
        <v>1.107502</v>
      </c>
      <c r="L340">
        <v>367.35989999999998</v>
      </c>
      <c r="M340">
        <v>0.99997029999999998</v>
      </c>
      <c r="N340">
        <v>0</v>
      </c>
      <c r="O340">
        <v>2.634052E-3</v>
      </c>
      <c r="P340">
        <v>0.99789479999999997</v>
      </c>
      <c r="Q340">
        <v>-1.77801E-3</v>
      </c>
      <c r="R340">
        <v>6.4829330000000004E-2</v>
      </c>
      <c r="S340">
        <v>2.99411</v>
      </c>
      <c r="T340">
        <v>-0.24788640000000001</v>
      </c>
      <c r="U340">
        <v>0.1824036</v>
      </c>
      <c r="V340">
        <v>-6.2200749999999999E-2</v>
      </c>
      <c r="W340">
        <v>5.4591070000000004E-3</v>
      </c>
      <c r="X340">
        <v>0.99804870000000001</v>
      </c>
      <c r="Y340">
        <v>-5.7989930000000002E-2</v>
      </c>
      <c r="Z340">
        <v>2.17672E-3</v>
      </c>
      <c r="AA340">
        <v>0.99831479999999995</v>
      </c>
      <c r="AB340">
        <v>39</v>
      </c>
      <c r="AC340">
        <v>13.0575999999999</v>
      </c>
      <c r="AD340">
        <v>-1.1075034243249999</v>
      </c>
      <c r="AE340">
        <v>0.81380000000001396</v>
      </c>
      <c r="AF340">
        <v>-0.77385638411617197</v>
      </c>
      <c r="AG340">
        <v>-1.1075034243249999</v>
      </c>
      <c r="AH340">
        <v>12.966777778915301</v>
      </c>
      <c r="AI340">
        <v>94.873203988153307</v>
      </c>
      <c r="AJ340">
        <v>93.415357108957195</v>
      </c>
      <c r="AK340">
        <v>13.0369760107895</v>
      </c>
      <c r="AL340">
        <v>89.687214646421495</v>
      </c>
      <c r="AM340">
        <v>93.5661958222354</v>
      </c>
      <c r="AN340">
        <v>0.99999997136074403</v>
      </c>
    </row>
    <row r="341" spans="1:40" x14ac:dyDescent="0.3">
      <c r="A341" t="str">
        <f>"20200111160412087"</f>
        <v>20200111160412087</v>
      </c>
      <c r="B341" t="str">
        <f>"1578729852080956"</f>
        <v>1578729852080956</v>
      </c>
      <c r="C341" t="s">
        <v>40</v>
      </c>
      <c r="D341">
        <v>5.0992300000000004</v>
      </c>
      <c r="E341">
        <v>0.50340589999999996</v>
      </c>
      <c r="F341" t="s">
        <v>41</v>
      </c>
      <c r="G341">
        <v>-377.03870000000001</v>
      </c>
      <c r="H341" s="1">
        <v>-1.5100069999999999E-6</v>
      </c>
      <c r="I341">
        <v>368.16570000000002</v>
      </c>
      <c r="J341">
        <v>-390.06040000000002</v>
      </c>
      <c r="K341">
        <v>1.107718</v>
      </c>
      <c r="L341">
        <v>367.3605</v>
      </c>
      <c r="M341">
        <v>0.99996940000000001</v>
      </c>
      <c r="N341">
        <v>0</v>
      </c>
      <c r="O341">
        <v>2.6397360000000002E-3</v>
      </c>
      <c r="P341">
        <v>0.99789349999999999</v>
      </c>
      <c r="Q341">
        <v>-1.9714699999999999E-3</v>
      </c>
      <c r="R341">
        <v>6.4846249999999994E-2</v>
      </c>
      <c r="S341">
        <v>2.9940190000000002</v>
      </c>
      <c r="T341">
        <v>-0.25017850000000003</v>
      </c>
      <c r="U341">
        <v>0.18203739999999999</v>
      </c>
      <c r="V341">
        <v>-6.221173E-2</v>
      </c>
      <c r="W341">
        <v>5.3732780000000004E-3</v>
      </c>
      <c r="X341">
        <v>0.99804850000000001</v>
      </c>
      <c r="Y341">
        <v>-5.7861389999999999E-2</v>
      </c>
      <c r="Z341">
        <v>2.1910219999999999E-3</v>
      </c>
      <c r="AA341">
        <v>0.99832220000000005</v>
      </c>
      <c r="AB341">
        <v>39</v>
      </c>
      <c r="AC341">
        <v>13.021699999999999</v>
      </c>
      <c r="AD341">
        <v>-1.1077195100069901</v>
      </c>
      <c r="AE341">
        <v>0.80520000000001302</v>
      </c>
      <c r="AF341">
        <v>-0.76530542924452205</v>
      </c>
      <c r="AG341">
        <v>-1.1077195100069901</v>
      </c>
      <c r="AH341">
        <v>12.9305655121765</v>
      </c>
      <c r="AI341">
        <v>94.887876679794005</v>
      </c>
      <c r="AJ341">
        <v>93.387143303635895</v>
      </c>
      <c r="AK341">
        <v>13.0004715059712</v>
      </c>
      <c r="AL341">
        <v>89.692132363865696</v>
      </c>
      <c r="AM341">
        <v>93.566824433550707</v>
      </c>
      <c r="AN341">
        <v>0.99999998990915395</v>
      </c>
    </row>
    <row r="342" spans="1:40" x14ac:dyDescent="0.3">
      <c r="A342" t="str">
        <f>"20200111160412108"</f>
        <v>20200111160412108</v>
      </c>
      <c r="B342" t="str">
        <f>"1578729852101452"</f>
        <v>1578729852101452</v>
      </c>
      <c r="C342" t="s">
        <v>40</v>
      </c>
      <c r="D342">
        <v>5.0786879999999996</v>
      </c>
      <c r="E342">
        <v>0.50356069999999997</v>
      </c>
      <c r="F342" t="s">
        <v>41</v>
      </c>
      <c r="G342">
        <v>-376.85399999999998</v>
      </c>
      <c r="H342" s="1">
        <v>-1.5900429999999999E-6</v>
      </c>
      <c r="I342">
        <v>368.16120000000001</v>
      </c>
      <c r="J342">
        <v>-389.70069999999998</v>
      </c>
      <c r="K342">
        <v>1.1080110000000001</v>
      </c>
      <c r="L342">
        <v>367.36149999999998</v>
      </c>
      <c r="M342">
        <v>0.99996830000000003</v>
      </c>
      <c r="N342">
        <v>0</v>
      </c>
      <c r="O342">
        <v>2.6479329999999999E-3</v>
      </c>
      <c r="P342">
        <v>0.99790690000000004</v>
      </c>
      <c r="Q342">
        <v>-1.630049E-3</v>
      </c>
      <c r="R342">
        <v>6.4648490000000003E-2</v>
      </c>
      <c r="S342">
        <v>2.99411</v>
      </c>
      <c r="T342">
        <v>-0.25113790000000003</v>
      </c>
      <c r="U342">
        <v>0.18154909999999999</v>
      </c>
      <c r="V342">
        <v>-6.2005959999999999E-2</v>
      </c>
      <c r="W342">
        <v>5.8658419999999996E-3</v>
      </c>
      <c r="X342">
        <v>0.99805860000000002</v>
      </c>
      <c r="Y342">
        <v>-5.7688320000000001E-2</v>
      </c>
      <c r="Z342">
        <v>2.191414E-3</v>
      </c>
      <c r="AA342">
        <v>0.99833229999999995</v>
      </c>
      <c r="AB342">
        <v>39</v>
      </c>
      <c r="AC342">
        <v>12.846699999999901</v>
      </c>
      <c r="AD342">
        <v>-1.108012590043</v>
      </c>
      <c r="AE342">
        <v>0.79970000000002905</v>
      </c>
      <c r="AF342">
        <v>-0.760046979479437</v>
      </c>
      <c r="AG342">
        <v>-1.108012590043</v>
      </c>
      <c r="AH342">
        <v>12.7542616686173</v>
      </c>
      <c r="AI342">
        <v>94.956294370494007</v>
      </c>
      <c r="AJ342">
        <v>93.410314670865006</v>
      </c>
      <c r="AK342">
        <v>12.8248412864359</v>
      </c>
      <c r="AL342">
        <v>89.663910102250199</v>
      </c>
      <c r="AM342">
        <v>93.555021314591002</v>
      </c>
      <c r="AN342">
        <v>1.0000000581059201</v>
      </c>
    </row>
    <row r="343" spans="1:40" x14ac:dyDescent="0.3">
      <c r="A343" t="str">
        <f>"20200111160412121"</f>
        <v>20200111160412121</v>
      </c>
      <c r="B343" t="str">
        <f>"1578729852111212"</f>
        <v>1578729852111212</v>
      </c>
      <c r="C343" t="s">
        <v>40</v>
      </c>
      <c r="D343">
        <v>5.0324679999999997</v>
      </c>
      <c r="E343">
        <v>0.50368429999999997</v>
      </c>
      <c r="F343" t="s">
        <v>41</v>
      </c>
      <c r="G343">
        <v>-376.51029999999997</v>
      </c>
      <c r="H343" s="1">
        <v>-1.739017E-6</v>
      </c>
      <c r="I343">
        <v>368.15260000000001</v>
      </c>
      <c r="J343">
        <v>-389.4599</v>
      </c>
      <c r="K343">
        <v>1.1081780000000001</v>
      </c>
      <c r="L343">
        <v>367.3621</v>
      </c>
      <c r="M343">
        <v>0.99996759999999996</v>
      </c>
      <c r="N343">
        <v>0</v>
      </c>
      <c r="O343">
        <v>2.6533009999999998E-3</v>
      </c>
      <c r="P343">
        <v>0.99790140000000005</v>
      </c>
      <c r="Q343">
        <v>-1.8028580000000001E-3</v>
      </c>
      <c r="R343">
        <v>6.4729460000000003E-2</v>
      </c>
      <c r="S343">
        <v>2.9942630000000001</v>
      </c>
      <c r="T343">
        <v>-0.25152249999999998</v>
      </c>
      <c r="U343">
        <v>0.179595899999999</v>
      </c>
      <c r="V343">
        <v>-6.2081669999999999E-2</v>
      </c>
      <c r="W343">
        <v>5.7866899999999997E-3</v>
      </c>
      <c r="X343">
        <v>0.99805429999999995</v>
      </c>
      <c r="Y343">
        <v>-5.7032770000000003E-2</v>
      </c>
      <c r="Z343">
        <v>2.1667800000000001E-3</v>
      </c>
      <c r="AA343">
        <v>0.99836990000000003</v>
      </c>
      <c r="AB343">
        <v>39</v>
      </c>
      <c r="AC343">
        <v>12.9496</v>
      </c>
      <c r="AD343">
        <v>-1.1081797390170001</v>
      </c>
      <c r="AE343">
        <v>0.79050000000000797</v>
      </c>
      <c r="AF343">
        <v>-0.75066012713167196</v>
      </c>
      <c r="AG343">
        <v>-1.1081797390170001</v>
      </c>
      <c r="AH343">
        <v>12.8578394871728</v>
      </c>
      <c r="AI343">
        <v>94.917650984917699</v>
      </c>
      <c r="AJ343">
        <v>93.341221683713997</v>
      </c>
      <c r="AK343">
        <v>12.9273194916167</v>
      </c>
      <c r="AL343">
        <v>89.668445236112007</v>
      </c>
      <c r="AM343">
        <v>93.559366180288094</v>
      </c>
      <c r="AN343">
        <v>1.0000000026398099</v>
      </c>
    </row>
    <row r="344" spans="1:40" x14ac:dyDescent="0.3">
      <c r="A344" t="str">
        <f>"20200111160412141"</f>
        <v>20200111160412141</v>
      </c>
      <c r="B344" t="str">
        <f>"1578729852130732"</f>
        <v>1578729852130732</v>
      </c>
      <c r="C344" t="s">
        <v>40</v>
      </c>
      <c r="D344">
        <v>6.159821</v>
      </c>
      <c r="E344">
        <v>0.50378029999999996</v>
      </c>
      <c r="F344" t="s">
        <v>41</v>
      </c>
      <c r="G344">
        <v>-376.30599999999998</v>
      </c>
      <c r="H344" s="1">
        <v>-1.827466E-6</v>
      </c>
      <c r="I344">
        <v>368.14800000000002</v>
      </c>
      <c r="J344">
        <v>-389.12909999999999</v>
      </c>
      <c r="K344">
        <v>1.108382</v>
      </c>
      <c r="L344">
        <v>367.363</v>
      </c>
      <c r="M344">
        <v>0.99996669999999999</v>
      </c>
      <c r="N344">
        <v>0</v>
      </c>
      <c r="O344">
        <v>2.660777E-3</v>
      </c>
      <c r="P344">
        <v>0.99791209999999997</v>
      </c>
      <c r="Q344">
        <v>-2.324011E-3</v>
      </c>
      <c r="R344">
        <v>6.4545839999999993E-2</v>
      </c>
      <c r="S344">
        <v>2.9942630000000001</v>
      </c>
      <c r="T344">
        <v>-0.2522587</v>
      </c>
      <c r="U344">
        <v>0.17892459999999999</v>
      </c>
      <c r="V344">
        <v>-6.1890479999999998E-2</v>
      </c>
      <c r="W344">
        <v>5.3828139999999997E-3</v>
      </c>
      <c r="X344">
        <v>0.99806850000000003</v>
      </c>
      <c r="Y344">
        <v>-5.6801959999999999E-2</v>
      </c>
      <c r="Z344">
        <v>2.162789E-3</v>
      </c>
      <c r="AA344">
        <v>0.99838309999999997</v>
      </c>
      <c r="AB344">
        <v>39</v>
      </c>
      <c r="AC344">
        <v>12.8231</v>
      </c>
      <c r="AD344">
        <v>-1.1083838274660001</v>
      </c>
      <c r="AE344">
        <v>0.78499999999996795</v>
      </c>
      <c r="AF344">
        <v>-0.74532903405597195</v>
      </c>
      <c r="AG344">
        <v>-1.1083838274660001</v>
      </c>
      <c r="AH344">
        <v>12.730386363179001</v>
      </c>
      <c r="AI344">
        <v>94.967502477938694</v>
      </c>
      <c r="AJ344">
        <v>93.3506849949582</v>
      </c>
      <c r="AK344">
        <v>12.8002643345288</v>
      </c>
      <c r="AL344">
        <v>89.691586007627393</v>
      </c>
      <c r="AM344">
        <v>93.548382262172495</v>
      </c>
      <c r="AN344">
        <v>1.0000000684467101</v>
      </c>
    </row>
    <row r="345" spans="1:40" x14ac:dyDescent="0.3">
      <c r="A345" t="str">
        <f>"20200111160412154"</f>
        <v>20200111160412154</v>
      </c>
      <c r="B345" t="str">
        <f>"1578729852151228"</f>
        <v>1578729852151228</v>
      </c>
      <c r="C345" t="s">
        <v>40</v>
      </c>
      <c r="D345">
        <v>5.0995030000000003</v>
      </c>
      <c r="E345">
        <v>0.4997357</v>
      </c>
      <c r="F345" t="s">
        <v>41</v>
      </c>
      <c r="G345">
        <v>-376.0702</v>
      </c>
      <c r="H345" s="1">
        <v>-1.9305239999999998E-6</v>
      </c>
      <c r="I345">
        <v>368.13749999999999</v>
      </c>
      <c r="J345">
        <v>-388.9042</v>
      </c>
      <c r="K345">
        <v>1.1085</v>
      </c>
      <c r="L345">
        <v>367.36360000000002</v>
      </c>
      <c r="M345">
        <v>0.99996609999999997</v>
      </c>
      <c r="N345">
        <v>0</v>
      </c>
      <c r="O345">
        <v>2.6660339999999999E-3</v>
      </c>
      <c r="P345">
        <v>0.99791350000000001</v>
      </c>
      <c r="Q345">
        <v>-2.8792140000000002E-3</v>
      </c>
      <c r="R345">
        <v>6.4503130000000006E-2</v>
      </c>
      <c r="S345">
        <v>2.9942319999999998</v>
      </c>
      <c r="T345">
        <v>-0.25413639999999998</v>
      </c>
      <c r="U345">
        <v>0.177612299999999</v>
      </c>
      <c r="V345">
        <v>-6.1842569999999999E-2</v>
      </c>
      <c r="W345">
        <v>4.9007390000000003E-3</v>
      </c>
      <c r="X345">
        <v>0.99807389999999996</v>
      </c>
      <c r="Y345">
        <v>-5.6360050000000002E-2</v>
      </c>
      <c r="Z345">
        <v>2.1597320000000001E-3</v>
      </c>
      <c r="AA345">
        <v>0.99840819999999997</v>
      </c>
      <c r="AB345">
        <v>39</v>
      </c>
      <c r="AC345">
        <v>12.834</v>
      </c>
      <c r="AD345">
        <v>-1.108501930524</v>
      </c>
      <c r="AE345">
        <v>0.77389999999996895</v>
      </c>
      <c r="AF345">
        <v>-0.73422274760520201</v>
      </c>
      <c r="AG345">
        <v>-1.108501930524</v>
      </c>
      <c r="AH345">
        <v>12.7413097073182</v>
      </c>
      <c r="AI345">
        <v>94.964054840039694</v>
      </c>
      <c r="AJ345">
        <v>93.298043410723295</v>
      </c>
      <c r="AK345">
        <v>12.810496970487799</v>
      </c>
      <c r="AL345">
        <v>89.7192072191108</v>
      </c>
      <c r="AM345">
        <v>93.545623301809201</v>
      </c>
      <c r="AN345">
        <v>1.00000001528408</v>
      </c>
    </row>
    <row r="346" spans="1:40" x14ac:dyDescent="0.3">
      <c r="A346" t="str">
        <f>"20200111160412166"</f>
        <v>20200111160412166</v>
      </c>
      <c r="B346" t="str">
        <f>"1578729852160987"</f>
        <v>1578729852160987</v>
      </c>
      <c r="C346" t="s">
        <v>40</v>
      </c>
      <c r="D346">
        <v>5.0325620000000004</v>
      </c>
      <c r="E346">
        <v>0.4997357</v>
      </c>
      <c r="F346" t="s">
        <v>43</v>
      </c>
      <c r="G346">
        <v>-168.84350000000001</v>
      </c>
      <c r="H346">
        <v>10.58211</v>
      </c>
      <c r="I346">
        <v>381.15609999999998</v>
      </c>
      <c r="J346">
        <v>-388.68700000000001</v>
      </c>
      <c r="K346">
        <v>1.1086039999999999</v>
      </c>
      <c r="L346">
        <v>367.36419999999998</v>
      </c>
      <c r="M346">
        <v>0.99996549999999995</v>
      </c>
      <c r="N346">
        <v>0</v>
      </c>
      <c r="O346">
        <v>2.6713090000000002E-3</v>
      </c>
      <c r="P346">
        <v>0.9978979</v>
      </c>
      <c r="Q346">
        <v>-3.0158849999999998E-3</v>
      </c>
      <c r="R346">
        <v>6.4735580000000001E-2</v>
      </c>
      <c r="S346">
        <v>2.994507</v>
      </c>
      <c r="T346">
        <v>0.12891459999999999</v>
      </c>
      <c r="U346">
        <v>0.18768309999999999</v>
      </c>
      <c r="V346">
        <v>-6.2069600000000003E-2</v>
      </c>
      <c r="W346">
        <v>4.831597E-3</v>
      </c>
      <c r="X346">
        <v>0.99806010000000001</v>
      </c>
      <c r="Y346">
        <v>-5.983393E-2</v>
      </c>
      <c r="Z346">
        <v>-1.1712440000000001E-3</v>
      </c>
      <c r="AA346">
        <v>0.99820759999999997</v>
      </c>
      <c r="AB346">
        <v>39</v>
      </c>
      <c r="AC346">
        <v>219.84349999999901</v>
      </c>
      <c r="AD346">
        <v>9.4735060000000004</v>
      </c>
      <c r="AE346">
        <v>13.791899999999901</v>
      </c>
      <c r="AF346">
        <v>-13.1801840442536</v>
      </c>
      <c r="AG346">
        <v>9.4735060000000004</v>
      </c>
      <c r="AH346">
        <v>219.473610922055</v>
      </c>
      <c r="AI346">
        <v>87.5328202040577</v>
      </c>
      <c r="AJ346">
        <v>93.436691327607406</v>
      </c>
      <c r="AK346">
        <v>220.073011654173</v>
      </c>
      <c r="AL346">
        <v>89.723168798592297</v>
      </c>
      <c r="AM346">
        <v>93.558655314877498</v>
      </c>
      <c r="AN346">
        <v>0.999999971392869</v>
      </c>
    </row>
    <row r="347" spans="1:40" x14ac:dyDescent="0.3">
      <c r="A347" t="str">
        <f>"20200111160412178"</f>
        <v>20200111160412178</v>
      </c>
      <c r="B347" t="str">
        <f>"1578729852170747"</f>
        <v>1578729852170747</v>
      </c>
      <c r="C347" t="s">
        <v>40</v>
      </c>
      <c r="D347">
        <v>6.153734</v>
      </c>
      <c r="E347">
        <v>0.49905630000000001</v>
      </c>
      <c r="F347" t="s">
        <v>43</v>
      </c>
      <c r="G347">
        <v>-168.84350000000001</v>
      </c>
      <c r="H347">
        <v>10.544560000000001</v>
      </c>
      <c r="I347">
        <v>381.20370000000003</v>
      </c>
      <c r="J347">
        <v>-388.46170000000001</v>
      </c>
      <c r="K347">
        <v>1.1087</v>
      </c>
      <c r="L347">
        <v>367.3648</v>
      </c>
      <c r="M347">
        <v>0.99996499999999999</v>
      </c>
      <c r="N347">
        <v>0</v>
      </c>
      <c r="O347">
        <v>2.6765949999999999E-3</v>
      </c>
      <c r="P347">
        <v>0.99789139999999998</v>
      </c>
      <c r="Q347">
        <v>-3.1738059999999999E-3</v>
      </c>
      <c r="R347">
        <v>6.4830180000000001E-2</v>
      </c>
      <c r="S347">
        <v>2.9944760000000001</v>
      </c>
      <c r="T347">
        <v>0.1285279</v>
      </c>
      <c r="U347">
        <v>0.18850710000000001</v>
      </c>
      <c r="V347">
        <v>-6.2159109999999997E-2</v>
      </c>
      <c r="W347">
        <v>4.7381389999999997E-3</v>
      </c>
      <c r="X347">
        <v>0.99805500000000003</v>
      </c>
      <c r="Y347">
        <v>-6.0102959999999997E-2</v>
      </c>
      <c r="Z347">
        <v>-1.173274E-3</v>
      </c>
      <c r="AA347">
        <v>0.99819150000000001</v>
      </c>
      <c r="AB347">
        <v>39</v>
      </c>
      <c r="AC347">
        <v>219.6182</v>
      </c>
      <c r="AD347">
        <v>9.4358599999999999</v>
      </c>
      <c r="AE347">
        <v>13.838900000000001</v>
      </c>
      <c r="AF347">
        <v>-13.226683390146199</v>
      </c>
      <c r="AG347">
        <v>9.4358599999999999</v>
      </c>
      <c r="AH347">
        <v>219.25132333455699</v>
      </c>
      <c r="AI347">
        <v>87.540164148169893</v>
      </c>
      <c r="AJ347">
        <v>93.452274765610397</v>
      </c>
      <c r="AK347">
        <v>219.85250371873701</v>
      </c>
      <c r="AL347">
        <v>89.728523615138101</v>
      </c>
      <c r="AM347">
        <v>93.563792166304097</v>
      </c>
      <c r="AN347">
        <v>0.99999999397108696</v>
      </c>
    </row>
    <row r="348" spans="1:40" x14ac:dyDescent="0.3">
      <c r="A348" t="str">
        <f>"20200111160412197"</f>
        <v>20200111160412197</v>
      </c>
      <c r="B348" t="str">
        <f>"1578729852191244"</f>
        <v>1578729852191244</v>
      </c>
      <c r="C348" t="s">
        <v>40</v>
      </c>
      <c r="D348">
        <v>5.1528169999999998</v>
      </c>
      <c r="E348">
        <v>0.49935590000000002</v>
      </c>
      <c r="F348" t="s">
        <v>45</v>
      </c>
      <c r="G348">
        <v>-223.19890000000001</v>
      </c>
      <c r="H348">
        <v>8.8524849999999997</v>
      </c>
      <c r="I348">
        <v>378.05059999999997</v>
      </c>
      <c r="J348">
        <v>-388.14420000000001</v>
      </c>
      <c r="K348">
        <v>1.1088089999999999</v>
      </c>
      <c r="L348">
        <v>367.3657</v>
      </c>
      <c r="M348">
        <v>0.99996439999999998</v>
      </c>
      <c r="N348">
        <v>0</v>
      </c>
      <c r="O348">
        <v>2.6841830000000001E-3</v>
      </c>
      <c r="P348">
        <v>0.99786660000000005</v>
      </c>
      <c r="Q348">
        <v>-3.6528760000000002E-3</v>
      </c>
      <c r="R348">
        <v>6.518272E-2</v>
      </c>
      <c r="S348">
        <v>2.994202</v>
      </c>
      <c r="T348">
        <v>0.1403017</v>
      </c>
      <c r="U348">
        <v>0.19360350000000001</v>
      </c>
      <c r="V348">
        <v>-6.2504249999999997E-2</v>
      </c>
      <c r="W348">
        <v>4.3437980000000003E-3</v>
      </c>
      <c r="X348">
        <v>0.99803529999999996</v>
      </c>
      <c r="Y348">
        <v>-6.1781259999999998E-2</v>
      </c>
      <c r="Z348">
        <v>-1.3195909999999999E-3</v>
      </c>
      <c r="AA348">
        <v>0.9980888</v>
      </c>
      <c r="AB348">
        <v>39</v>
      </c>
      <c r="AC348">
        <v>164.9453</v>
      </c>
      <c r="AD348">
        <v>7.7436759999999998</v>
      </c>
      <c r="AE348">
        <v>10.684899999999899</v>
      </c>
      <c r="AF348">
        <v>-10.2196737815866</v>
      </c>
      <c r="AG348">
        <v>7.7436759999999998</v>
      </c>
      <c r="AH348">
        <v>164.61209551803199</v>
      </c>
      <c r="AI348">
        <v>87.311847588025103</v>
      </c>
      <c r="AJ348">
        <v>93.552555554467205</v>
      </c>
      <c r="AK348">
        <v>165.11071510060401</v>
      </c>
      <c r="AL348">
        <v>89.751117938538698</v>
      </c>
      <c r="AM348">
        <v>93.583599338427305</v>
      </c>
      <c r="AN348">
        <v>1.0000000549476</v>
      </c>
    </row>
    <row r="349" spans="1:40" x14ac:dyDescent="0.3">
      <c r="A349" t="str">
        <f>"20200111160412209"</f>
        <v>20200111160412209</v>
      </c>
      <c r="B349" t="str">
        <f>"1578729852201003"</f>
        <v>1578729852201003</v>
      </c>
      <c r="C349" t="s">
        <v>40</v>
      </c>
      <c r="D349">
        <v>5.1589929999999997</v>
      </c>
      <c r="E349">
        <v>0.49919350000000001</v>
      </c>
      <c r="F349" t="s">
        <v>43</v>
      </c>
      <c r="G349">
        <v>-168.84350000000001</v>
      </c>
      <c r="H349">
        <v>9.9465679999999992</v>
      </c>
      <c r="I349">
        <v>381.53190000000001</v>
      </c>
      <c r="J349">
        <v>-387.92140000000001</v>
      </c>
      <c r="K349">
        <v>1.1088800000000001</v>
      </c>
      <c r="L349">
        <v>367.36630000000002</v>
      </c>
      <c r="M349">
        <v>0.99996379999999996</v>
      </c>
      <c r="N349">
        <v>0</v>
      </c>
      <c r="O349">
        <v>2.6896820000000001E-3</v>
      </c>
      <c r="P349">
        <v>0.99785330000000005</v>
      </c>
      <c r="Q349">
        <v>-3.8969030000000002E-3</v>
      </c>
      <c r="R349">
        <v>6.5374370000000001E-2</v>
      </c>
      <c r="S349">
        <v>2.9942630000000001</v>
      </c>
      <c r="T349">
        <v>0.1206691</v>
      </c>
      <c r="U349">
        <v>0.19342039999999999</v>
      </c>
      <c r="V349">
        <v>-6.2690369999999995E-2</v>
      </c>
      <c r="W349">
        <v>4.1544950000000002E-3</v>
      </c>
      <c r="X349">
        <v>0.99802440000000003</v>
      </c>
      <c r="Y349">
        <v>-6.1730519999999997E-2</v>
      </c>
      <c r="Z349">
        <v>-1.133837E-3</v>
      </c>
      <c r="AA349">
        <v>0.99809219999999998</v>
      </c>
      <c r="AB349">
        <v>39</v>
      </c>
      <c r="AC349">
        <v>219.0779</v>
      </c>
      <c r="AD349">
        <v>8.837688</v>
      </c>
      <c r="AE349">
        <v>14.1655999999999</v>
      </c>
      <c r="AF349">
        <v>-13.554313936453701</v>
      </c>
      <c r="AG349">
        <v>8.837688</v>
      </c>
      <c r="AH349">
        <v>218.76069233570399</v>
      </c>
      <c r="AI349">
        <v>87.690995483200297</v>
      </c>
      <c r="AJ349">
        <v>93.545488293534603</v>
      </c>
      <c r="AK349">
        <v>219.35830202358301</v>
      </c>
      <c r="AL349">
        <v>89.761964291139094</v>
      </c>
      <c r="AM349">
        <v>93.594281505166407</v>
      </c>
      <c r="AN349">
        <v>1.0000000226574</v>
      </c>
    </row>
    <row r="350" spans="1:40" x14ac:dyDescent="0.3">
      <c r="A350" t="str">
        <f>"20200111160412222"</f>
        <v>20200111160412222</v>
      </c>
      <c r="B350" t="str">
        <f>"1578729852210763"</f>
        <v>1578729852210763</v>
      </c>
      <c r="C350" t="s">
        <v>40</v>
      </c>
      <c r="D350">
        <v>5.1311030000000004</v>
      </c>
      <c r="E350">
        <v>0.49915979999999999</v>
      </c>
      <c r="F350" t="s">
        <v>43</v>
      </c>
      <c r="G350">
        <v>-168.84350000000001</v>
      </c>
      <c r="H350">
        <v>10.72579</v>
      </c>
      <c r="I350">
        <v>381.61200000000002</v>
      </c>
      <c r="J350">
        <v>-387.70269999999999</v>
      </c>
      <c r="K350">
        <v>1.108943</v>
      </c>
      <c r="L350">
        <v>367.36689999999999</v>
      </c>
      <c r="M350">
        <v>0.99996350000000001</v>
      </c>
      <c r="N350">
        <v>0</v>
      </c>
      <c r="O350">
        <v>2.6950160000000002E-3</v>
      </c>
      <c r="P350">
        <v>0.99780950000000002</v>
      </c>
      <c r="Q350">
        <v>-4.0912520000000001E-3</v>
      </c>
      <c r="R350">
        <v>6.6027199999999994E-2</v>
      </c>
      <c r="S350">
        <v>2.9942319999999998</v>
      </c>
      <c r="T350">
        <v>0.13143969999999999</v>
      </c>
      <c r="U350">
        <v>0.19470209999999999</v>
      </c>
      <c r="V350">
        <v>-6.3337619999999997E-2</v>
      </c>
      <c r="W350">
        <v>4.0114460000000001E-3</v>
      </c>
      <c r="X350">
        <v>0.99798410000000004</v>
      </c>
      <c r="Y350">
        <v>-6.2142019999999999E-2</v>
      </c>
      <c r="Z350">
        <v>-1.2437259999999999E-3</v>
      </c>
      <c r="AA350">
        <v>0.99806649999999997</v>
      </c>
      <c r="AB350">
        <v>39</v>
      </c>
      <c r="AC350">
        <v>218.85919999999999</v>
      </c>
      <c r="AD350">
        <v>9.6168469999999999</v>
      </c>
      <c r="AE350">
        <v>14.2450999999999</v>
      </c>
      <c r="AF350">
        <v>-13.628996067094301</v>
      </c>
      <c r="AG350">
        <v>9.6168469999999999</v>
      </c>
      <c r="AH350">
        <v>218.47674326873999</v>
      </c>
      <c r="AI350">
        <v>87.484481202804503</v>
      </c>
      <c r="AJ350">
        <v>93.56959447154</v>
      </c>
      <c r="AK350">
        <v>219.11257524234699</v>
      </c>
      <c r="AL350">
        <v>89.770160459144407</v>
      </c>
      <c r="AM350">
        <v>93.6314383084502</v>
      </c>
      <c r="AN350">
        <v>1.0000000048295401</v>
      </c>
    </row>
    <row r="351" spans="1:40" x14ac:dyDescent="0.3">
      <c r="A351" t="str">
        <f>"20200111160412241"</f>
        <v>20200111160412241</v>
      </c>
      <c r="B351" t="str">
        <f>"1578729852231259"</f>
        <v>1578729852231259</v>
      </c>
      <c r="C351" t="s">
        <v>40</v>
      </c>
      <c r="D351">
        <v>5.0170700000000004</v>
      </c>
      <c r="E351">
        <v>0.50853249999999905</v>
      </c>
      <c r="F351" t="s">
        <v>43</v>
      </c>
      <c r="G351">
        <v>-168.84350000000001</v>
      </c>
      <c r="H351">
        <v>10.29419</v>
      </c>
      <c r="I351">
        <v>381.77769999999998</v>
      </c>
      <c r="J351">
        <v>-387.36779999999999</v>
      </c>
      <c r="K351">
        <v>1.1090279999999999</v>
      </c>
      <c r="L351">
        <v>367.36779999999999</v>
      </c>
      <c r="M351">
        <v>0.99996289999999999</v>
      </c>
      <c r="N351">
        <v>0</v>
      </c>
      <c r="O351">
        <v>2.7028289999999999E-3</v>
      </c>
      <c r="P351">
        <v>0.99774200000000002</v>
      </c>
      <c r="Q351">
        <v>-4.2804009999999997E-3</v>
      </c>
      <c r="R351">
        <v>6.7029980000000003E-2</v>
      </c>
      <c r="S351">
        <v>2.994049</v>
      </c>
      <c r="T351">
        <v>0.12565770000000001</v>
      </c>
      <c r="U351">
        <v>0.1971436</v>
      </c>
      <c r="V351">
        <v>-6.433266E-2</v>
      </c>
      <c r="W351">
        <v>3.8931909999999998E-3</v>
      </c>
      <c r="X351">
        <v>0.9979209</v>
      </c>
      <c r="Y351">
        <v>-6.2952729999999998E-2</v>
      </c>
      <c r="Z351">
        <v>-1.205764E-3</v>
      </c>
      <c r="AA351">
        <v>0.99801580000000001</v>
      </c>
      <c r="AB351">
        <v>39</v>
      </c>
      <c r="AC351">
        <v>218.52430000000001</v>
      </c>
      <c r="AD351">
        <v>9.1851619999999894</v>
      </c>
      <c r="AE351">
        <v>14.409899999999899</v>
      </c>
      <c r="AF351">
        <v>-13.794927175309599</v>
      </c>
      <c r="AG351">
        <v>9.1851619999999894</v>
      </c>
      <c r="AH351">
        <v>218.17865312422799</v>
      </c>
      <c r="AI351">
        <v>87.594111631816602</v>
      </c>
      <c r="AJ351">
        <v>93.617862494429701</v>
      </c>
      <c r="AK351">
        <v>218.80720256847201</v>
      </c>
      <c r="AL351">
        <v>89.776936020100905</v>
      </c>
      <c r="AM351">
        <v>93.688565225250898</v>
      </c>
      <c r="AN351">
        <v>0.99999998536782397</v>
      </c>
    </row>
    <row r="352" spans="1:40" x14ac:dyDescent="0.3">
      <c r="A352" t="str">
        <f>"20200111160412263"</f>
        <v>20200111160412263</v>
      </c>
      <c r="B352" t="str">
        <f>"1578729852250779"</f>
        <v>1578729852250779</v>
      </c>
      <c r="C352" t="s">
        <v>40</v>
      </c>
      <c r="D352">
        <v>5.1045410000000002</v>
      </c>
      <c r="E352">
        <v>0.50707060000000004</v>
      </c>
      <c r="F352" t="s">
        <v>41</v>
      </c>
      <c r="G352">
        <v>-374.90589999999997</v>
      </c>
      <c r="H352" s="1">
        <v>-2.458032E-6</v>
      </c>
      <c r="I352">
        <v>367.97949999999997</v>
      </c>
      <c r="J352">
        <v>-386.99529999999999</v>
      </c>
      <c r="K352">
        <v>1.1091040000000001</v>
      </c>
      <c r="L352">
        <v>367.36880000000002</v>
      </c>
      <c r="M352">
        <v>0.99996229999999997</v>
      </c>
      <c r="N352">
        <v>0</v>
      </c>
      <c r="O352">
        <v>2.7117690000000002E-3</v>
      </c>
      <c r="P352">
        <v>0.99770300000000001</v>
      </c>
      <c r="Q352">
        <v>-4.1819960000000003E-3</v>
      </c>
      <c r="R352">
        <v>6.7613510000000002E-2</v>
      </c>
      <c r="S352">
        <v>2.9957889999999998</v>
      </c>
      <c r="T352">
        <v>-0.26660450000000002</v>
      </c>
      <c r="U352">
        <v>0.14706420000000001</v>
      </c>
      <c r="V352">
        <v>-6.4907919999999994E-2</v>
      </c>
      <c r="W352">
        <v>4.0634219999999997E-3</v>
      </c>
      <c r="X352">
        <v>0.99788299999999996</v>
      </c>
      <c r="Y352">
        <v>-4.6151230000000001E-2</v>
      </c>
      <c r="Z352">
        <v>1.8075820000000001E-3</v>
      </c>
      <c r="AA352">
        <v>0.99893279999999995</v>
      </c>
      <c r="AB352">
        <v>39</v>
      </c>
      <c r="AC352">
        <v>12.089399999999999</v>
      </c>
      <c r="AD352">
        <v>-1.109106458032</v>
      </c>
      <c r="AE352">
        <v>0.61069999999995095</v>
      </c>
      <c r="AF352">
        <v>-0.57310168543694795</v>
      </c>
      <c r="AG352">
        <v>-1.109106458032</v>
      </c>
      <c r="AH352">
        <v>11.990350496327199</v>
      </c>
      <c r="AI352">
        <v>95.278824219474402</v>
      </c>
      <c r="AJ352">
        <v>92.736478529299603</v>
      </c>
      <c r="AK352">
        <v>12.055167676223901</v>
      </c>
      <c r="AL352">
        <v>89.767182431953799</v>
      </c>
      <c r="AM352">
        <v>93.721596892144305</v>
      </c>
      <c r="AN352">
        <v>1.00000001558303</v>
      </c>
    </row>
    <row r="353" spans="1:40" x14ac:dyDescent="0.3">
      <c r="A353" t="str">
        <f>"20200111160412276"</f>
        <v>20200111160412276</v>
      </c>
      <c r="B353" t="str">
        <f>"1578729852271276"</f>
        <v>1578729852271276</v>
      </c>
      <c r="C353" t="s">
        <v>40</v>
      </c>
      <c r="D353">
        <v>5.0363329999999999</v>
      </c>
      <c r="E353">
        <v>0.50711609999999996</v>
      </c>
      <c r="F353" t="s">
        <v>41</v>
      </c>
      <c r="G353">
        <v>-374.46629999999999</v>
      </c>
      <c r="H353" s="1">
        <v>-2.6360339999999999E-6</v>
      </c>
      <c r="I353">
        <v>368.03899999999999</v>
      </c>
      <c r="J353">
        <v>-386.76949999999999</v>
      </c>
      <c r="K353">
        <v>1.109145</v>
      </c>
      <c r="L353">
        <v>367.36939999999998</v>
      </c>
      <c r="M353">
        <v>0.99996200000000002</v>
      </c>
      <c r="N353">
        <v>0</v>
      </c>
      <c r="O353">
        <v>2.7164939999999999E-3</v>
      </c>
      <c r="P353">
        <v>0.997664</v>
      </c>
      <c r="Q353">
        <v>-4.5535619999999997E-3</v>
      </c>
      <c r="R353">
        <v>6.8162219999999996E-2</v>
      </c>
      <c r="S353">
        <v>2.9949650000000001</v>
      </c>
      <c r="T353">
        <v>-0.26512279999999999</v>
      </c>
      <c r="U353">
        <v>0.16021729999999901</v>
      </c>
      <c r="V353">
        <v>-6.5451860000000001E-2</v>
      </c>
      <c r="W353">
        <v>3.7310680000000001E-3</v>
      </c>
      <c r="X353">
        <v>0.99784870000000003</v>
      </c>
      <c r="Y353">
        <v>-5.0519880000000003E-2</v>
      </c>
      <c r="Z353">
        <v>1.9902969999999998E-3</v>
      </c>
      <c r="AA353">
        <v>0.99872110000000003</v>
      </c>
      <c r="AB353">
        <v>39</v>
      </c>
      <c r="AC353">
        <v>12.3032</v>
      </c>
      <c r="AD353">
        <v>-1.109147636034</v>
      </c>
      <c r="AE353">
        <v>0.66960000000000197</v>
      </c>
      <c r="AF353">
        <v>-0.63106118108485898</v>
      </c>
      <c r="AG353">
        <v>-1.109147636034</v>
      </c>
      <c r="AH353">
        <v>12.2060651044811</v>
      </c>
      <c r="AI353">
        <v>95.1852385389289</v>
      </c>
      <c r="AJ353">
        <v>92.959592471759393</v>
      </c>
      <c r="AK353">
        <v>12.2725902737614</v>
      </c>
      <c r="AL353">
        <v>89.786225043303006</v>
      </c>
      <c r="AM353">
        <v>93.752824419003105</v>
      </c>
      <c r="AN353">
        <v>0.99999994746878296</v>
      </c>
    </row>
    <row r="354" spans="1:40" x14ac:dyDescent="0.3">
      <c r="A354" t="str">
        <f>"20200111160412288"</f>
        <v>20200111160412288</v>
      </c>
      <c r="B354" t="str">
        <f>"1578729852281036"</f>
        <v>1578729852281036</v>
      </c>
      <c r="C354" t="s">
        <v>40</v>
      </c>
      <c r="D354">
        <v>5.0506190000000002</v>
      </c>
      <c r="E354">
        <v>0.50720089999999995</v>
      </c>
      <c r="F354" t="s">
        <v>41</v>
      </c>
      <c r="G354">
        <v>-374.44299999999998</v>
      </c>
      <c r="H354" s="1">
        <v>-2.646762E-6</v>
      </c>
      <c r="I354">
        <v>368.03489999999999</v>
      </c>
      <c r="J354">
        <v>-386.5453</v>
      </c>
      <c r="K354">
        <v>1.1091789999999999</v>
      </c>
      <c r="L354">
        <v>367.37009999999998</v>
      </c>
      <c r="M354">
        <v>0.99996149999999995</v>
      </c>
      <c r="N354">
        <v>0</v>
      </c>
      <c r="O354">
        <v>2.7217019999999999E-3</v>
      </c>
      <c r="P354">
        <v>0.99765289999999995</v>
      </c>
      <c r="Q354">
        <v>-4.5295429999999996E-3</v>
      </c>
      <c r="R354">
        <v>6.8321380000000001E-2</v>
      </c>
      <c r="S354">
        <v>2.9947509999999999</v>
      </c>
      <c r="T354">
        <v>-0.26947019999999999</v>
      </c>
      <c r="U354">
        <v>0.1616821</v>
      </c>
      <c r="V354">
        <v>-6.5605529999999995E-2</v>
      </c>
      <c r="W354">
        <v>3.7925789999999999E-3</v>
      </c>
      <c r="X354">
        <v>0.99783840000000001</v>
      </c>
      <c r="Y354">
        <v>-5.0997489999999999E-2</v>
      </c>
      <c r="Z354">
        <v>2.0438829999999998E-3</v>
      </c>
      <c r="AA354">
        <v>0.99869669999999999</v>
      </c>
      <c r="AB354">
        <v>39</v>
      </c>
      <c r="AC354">
        <v>12.1022999999999</v>
      </c>
      <c r="AD354">
        <v>-1.1091816467619999</v>
      </c>
      <c r="AE354">
        <v>0.66480000000001305</v>
      </c>
      <c r="AF354">
        <v>-0.626609966357075</v>
      </c>
      <c r="AG354">
        <v>-1.1091816467619999</v>
      </c>
      <c r="AH354">
        <v>12.0035404802867</v>
      </c>
      <c r="AI354">
        <v>95.272259854806506</v>
      </c>
      <c r="AJ354">
        <v>92.988247339727806</v>
      </c>
      <c r="AK354">
        <v>12.0709530707949</v>
      </c>
      <c r="AL354">
        <v>89.782700702571205</v>
      </c>
      <c r="AM354">
        <v>93.761648871843093</v>
      </c>
      <c r="AN354">
        <v>0.99999997086830505</v>
      </c>
    </row>
    <row r="355" spans="1:40" x14ac:dyDescent="0.3">
      <c r="A355" t="str">
        <f>"20200111160412300"</f>
        <v>20200111160412300</v>
      </c>
      <c r="B355" t="str">
        <f>"1578729852290795"</f>
        <v>1578729852290795</v>
      </c>
      <c r="C355" t="s">
        <v>40</v>
      </c>
      <c r="D355">
        <v>5.0266690000000001</v>
      </c>
      <c r="E355">
        <v>0.50736190000000003</v>
      </c>
      <c r="F355" t="s">
        <v>41</v>
      </c>
      <c r="G355">
        <v>-374.18259999999998</v>
      </c>
      <c r="H355" s="1">
        <v>-2.7582999999999999E-6</v>
      </c>
      <c r="I355">
        <v>368.036</v>
      </c>
      <c r="J355">
        <v>-386.32690000000002</v>
      </c>
      <c r="K355">
        <v>1.1092120000000001</v>
      </c>
      <c r="L355">
        <v>367.3707</v>
      </c>
      <c r="M355">
        <v>0.9999614</v>
      </c>
      <c r="N355">
        <v>0</v>
      </c>
      <c r="O355">
        <v>2.726979E-3</v>
      </c>
      <c r="P355">
        <v>0.99763950000000001</v>
      </c>
      <c r="Q355">
        <v>-4.6665650000000001E-3</v>
      </c>
      <c r="R355">
        <v>6.851409E-2</v>
      </c>
      <c r="S355">
        <v>2.9947810000000001</v>
      </c>
      <c r="T355">
        <v>-0.26868989999999998</v>
      </c>
      <c r="U355">
        <v>0.1613464</v>
      </c>
      <c r="V355">
        <v>-6.5793509999999999E-2</v>
      </c>
      <c r="W355">
        <v>3.6900600000000002E-3</v>
      </c>
      <c r="X355">
        <v>0.99782649999999995</v>
      </c>
      <c r="Y355">
        <v>-5.0881669999999997E-2</v>
      </c>
      <c r="Z355">
        <v>2.0323199999999998E-3</v>
      </c>
      <c r="AA355">
        <v>0.9987026</v>
      </c>
      <c r="AB355">
        <v>39</v>
      </c>
      <c r="AC355">
        <v>12.144299999999999</v>
      </c>
      <c r="AD355">
        <v>-1.1092147583</v>
      </c>
      <c r="AE355">
        <v>0.665300000000002</v>
      </c>
      <c r="AF355">
        <v>-0.62696443846315697</v>
      </c>
      <c r="AG355">
        <v>-1.1092147583</v>
      </c>
      <c r="AH355">
        <v>12.0458793947345</v>
      </c>
      <c r="AI355">
        <v>95.254030574068594</v>
      </c>
      <c r="AJ355">
        <v>92.979444650674594</v>
      </c>
      <c r="AK355">
        <v>12.113077733574499</v>
      </c>
      <c r="AL355">
        <v>89.788574669417997</v>
      </c>
      <c r="AM355">
        <v>93.772440932981098</v>
      </c>
      <c r="AN355">
        <v>1.00000006330158</v>
      </c>
    </row>
    <row r="356" spans="1:40" x14ac:dyDescent="0.3">
      <c r="A356" t="str">
        <f>"20200111160412312"</f>
        <v>20200111160412312</v>
      </c>
      <c r="B356" t="str">
        <f>"1578729852301532"</f>
        <v>1578729852301532</v>
      </c>
      <c r="C356" t="s">
        <v>40</v>
      </c>
      <c r="D356">
        <v>5.0907859999999996</v>
      </c>
      <c r="E356">
        <v>0.50734970000000001</v>
      </c>
      <c r="F356" t="s">
        <v>41</v>
      </c>
      <c r="G356">
        <v>-374.065</v>
      </c>
      <c r="H356" s="1">
        <v>-2.8099730000000001E-6</v>
      </c>
      <c r="I356">
        <v>368.02910000000003</v>
      </c>
      <c r="J356">
        <v>-386.12259999999998</v>
      </c>
      <c r="K356">
        <v>1.1092360000000001</v>
      </c>
      <c r="L356">
        <v>367.37119999999999</v>
      </c>
      <c r="M356">
        <v>0.99996099999999999</v>
      </c>
      <c r="N356">
        <v>0</v>
      </c>
      <c r="O356">
        <v>2.7317399999999999E-3</v>
      </c>
      <c r="P356">
        <v>0.99762819999999997</v>
      </c>
      <c r="Q356">
        <v>-4.6681559999999997E-3</v>
      </c>
      <c r="R356">
        <v>6.8675059999999996E-2</v>
      </c>
      <c r="S356">
        <v>2.9947810000000001</v>
      </c>
      <c r="T356">
        <v>-0.2709068</v>
      </c>
      <c r="U356">
        <v>0.16082759999999999</v>
      </c>
      <c r="V356">
        <v>-6.5949560000000004E-2</v>
      </c>
      <c r="W356">
        <v>3.7181929999999998E-3</v>
      </c>
      <c r="X356">
        <v>0.99781600000000004</v>
      </c>
      <c r="Y356">
        <v>-5.0701959999999997E-2</v>
      </c>
      <c r="Z356">
        <v>2.0404939999999999E-3</v>
      </c>
      <c r="AA356">
        <v>0.99871180000000004</v>
      </c>
      <c r="AB356">
        <v>39</v>
      </c>
      <c r="AC356">
        <v>12.0575999999999</v>
      </c>
      <c r="AD356">
        <v>-1.109238809973</v>
      </c>
      <c r="AE356">
        <v>0.65790000000004001</v>
      </c>
      <c r="AF356">
        <v>-0.61972890888174703</v>
      </c>
      <c r="AG356">
        <v>-1.109238809973</v>
      </c>
      <c r="AH356">
        <v>11.958447410822201</v>
      </c>
      <c r="AI356">
        <v>95.292402416900799</v>
      </c>
      <c r="AJ356">
        <v>92.966615420684704</v>
      </c>
      <c r="AK356">
        <v>12.025761478403499</v>
      </c>
      <c r="AL356">
        <v>89.786962736343199</v>
      </c>
      <c r="AM356">
        <v>93.781402210543106</v>
      </c>
      <c r="AN356">
        <v>0.99999996963968796</v>
      </c>
    </row>
    <row r="357" spans="1:40" x14ac:dyDescent="0.3">
      <c r="A357" t="str">
        <f>"20200111160412329"</f>
        <v>20200111160412329</v>
      </c>
      <c r="B357" t="str">
        <f>"1578729852321051"</f>
        <v>1578729852321051</v>
      </c>
      <c r="C357" t="s">
        <v>40</v>
      </c>
      <c r="D357">
        <v>5.0442450000000001</v>
      </c>
      <c r="E357">
        <v>0.507633</v>
      </c>
      <c r="F357" t="s">
        <v>41</v>
      </c>
      <c r="G357">
        <v>-373.7278</v>
      </c>
      <c r="H357" s="1">
        <v>-2.953241E-6</v>
      </c>
      <c r="I357">
        <v>368.0369</v>
      </c>
      <c r="J357">
        <v>-385.80650000000003</v>
      </c>
      <c r="K357">
        <v>1.109273</v>
      </c>
      <c r="L357">
        <v>367.37209999999999</v>
      </c>
      <c r="M357">
        <v>0.99996059999999998</v>
      </c>
      <c r="N357">
        <v>0</v>
      </c>
      <c r="O357">
        <v>2.7393029999999998E-3</v>
      </c>
      <c r="P357">
        <v>0.99762399999999996</v>
      </c>
      <c r="Q357">
        <v>-4.1545829999999999E-3</v>
      </c>
      <c r="R357">
        <v>6.8769350000000007E-2</v>
      </c>
      <c r="S357">
        <v>2.9948429999999999</v>
      </c>
      <c r="T357">
        <v>-0.26801350000000002</v>
      </c>
      <c r="U357">
        <v>0.16085820000000001</v>
      </c>
      <c r="V357">
        <v>-6.6036010000000006E-2</v>
      </c>
      <c r="W357">
        <v>4.2756119999999998E-3</v>
      </c>
      <c r="X357">
        <v>0.99780809999999998</v>
      </c>
      <c r="Y357">
        <v>-5.0707629999999997E-2</v>
      </c>
      <c r="Z357">
        <v>2.0183250000000001E-3</v>
      </c>
      <c r="AA357">
        <v>0.99871149999999997</v>
      </c>
      <c r="AB357">
        <v>39</v>
      </c>
      <c r="AC357">
        <v>12.0787</v>
      </c>
      <c r="AD357">
        <v>-1.1092759532409999</v>
      </c>
      <c r="AE357">
        <v>0.66480000000001305</v>
      </c>
      <c r="AF357">
        <v>-0.62644159196081695</v>
      </c>
      <c r="AG357">
        <v>-1.1092759532409999</v>
      </c>
      <c r="AH357">
        <v>11.979742621392701</v>
      </c>
      <c r="AI357">
        <v>95.283096119507704</v>
      </c>
      <c r="AJ357">
        <v>92.9933696358042</v>
      </c>
      <c r="AK357">
        <v>12.047288304153399</v>
      </c>
      <c r="AL357">
        <v>89.755024736054906</v>
      </c>
      <c r="AM357">
        <v>93.786374543916097</v>
      </c>
      <c r="AN357">
        <v>1.00000001995015</v>
      </c>
    </row>
    <row r="358" spans="1:40" x14ac:dyDescent="0.3">
      <c r="A358" t="str">
        <f>"20200111160412342"</f>
        <v>20200111160412342</v>
      </c>
      <c r="B358" t="str">
        <f>"1578729852330812"</f>
        <v>1578729852330812</v>
      </c>
      <c r="C358" t="s">
        <v>40</v>
      </c>
      <c r="D358">
        <v>5.0253129999999997</v>
      </c>
      <c r="E358">
        <v>0.50772649999999997</v>
      </c>
      <c r="F358" t="s">
        <v>41</v>
      </c>
      <c r="G358">
        <v>-373.21719999999999</v>
      </c>
      <c r="H358" s="1">
        <v>-3.1715160000000001E-6</v>
      </c>
      <c r="I358">
        <v>368.04109999999997</v>
      </c>
      <c r="J358">
        <v>-385.58920000000001</v>
      </c>
      <c r="K358">
        <v>1.109299</v>
      </c>
      <c r="L358">
        <v>367.37270000000001</v>
      </c>
      <c r="M358">
        <v>0.99996039999999997</v>
      </c>
      <c r="N358">
        <v>0</v>
      </c>
      <c r="O358">
        <v>2.7443680000000001E-3</v>
      </c>
      <c r="P358">
        <v>0.99762899999999999</v>
      </c>
      <c r="Q358">
        <v>-4.1029040000000001E-3</v>
      </c>
      <c r="R358">
        <v>6.8699850000000007E-2</v>
      </c>
      <c r="S358">
        <v>2.9950869999999998</v>
      </c>
      <c r="T358">
        <v>-0.26390530000000001</v>
      </c>
      <c r="U358">
        <v>0.15917970000000001</v>
      </c>
      <c r="V358">
        <v>-6.596175E-2</v>
      </c>
      <c r="W358">
        <v>4.3552419999999996E-3</v>
      </c>
      <c r="X358">
        <v>0.99781260000000005</v>
      </c>
      <c r="Y358">
        <v>-5.0148100000000001E-2</v>
      </c>
      <c r="Z358">
        <v>1.9623449999999999E-3</v>
      </c>
      <c r="AA358">
        <v>0.99873979999999996</v>
      </c>
      <c r="AB358">
        <v>39</v>
      </c>
      <c r="AC358">
        <v>12.372</v>
      </c>
      <c r="AD358">
        <v>-1.1093021715160001</v>
      </c>
      <c r="AE358">
        <v>0.66839999999996202</v>
      </c>
      <c r="AF358">
        <v>-0.62939773408289401</v>
      </c>
      <c r="AG358">
        <v>-1.1093021715160001</v>
      </c>
      <c r="AH358">
        <v>12.2753890917869</v>
      </c>
      <c r="AI358">
        <v>95.156940838460002</v>
      </c>
      <c r="AJ358">
        <v>92.935164162918397</v>
      </c>
      <c r="AK358">
        <v>12.3414695304149</v>
      </c>
      <c r="AL358">
        <v>89.750462213946093</v>
      </c>
      <c r="AM358">
        <v>93.782111979752003</v>
      </c>
      <c r="AN358">
        <v>0.99999995265734898</v>
      </c>
    </row>
    <row r="359" spans="1:40" x14ac:dyDescent="0.3">
      <c r="A359" t="str">
        <f>"20200111160412354"</f>
        <v>20200111160412354</v>
      </c>
      <c r="B359" t="str">
        <f>"1578729852351307"</f>
        <v>1578729852351307</v>
      </c>
      <c r="C359" t="s">
        <v>40</v>
      </c>
      <c r="D359">
        <v>5.0787630000000004</v>
      </c>
      <c r="E359">
        <v>0.50788929999999999</v>
      </c>
      <c r="F359" t="s">
        <v>41</v>
      </c>
      <c r="G359">
        <v>-372.99369999999999</v>
      </c>
      <c r="H359" s="1">
        <v>-3.268188E-6</v>
      </c>
      <c r="I359">
        <v>368.03660000000002</v>
      </c>
      <c r="J359">
        <v>-385.38459999999998</v>
      </c>
      <c r="K359">
        <v>1.109316</v>
      </c>
      <c r="L359">
        <v>367.37329999999997</v>
      </c>
      <c r="M359">
        <v>0.99996010000000002</v>
      </c>
      <c r="N359">
        <v>0</v>
      </c>
      <c r="O359">
        <v>2.749151E-3</v>
      </c>
      <c r="P359">
        <v>0.99764819999999999</v>
      </c>
      <c r="Q359">
        <v>-3.8135930000000001E-3</v>
      </c>
      <c r="R359">
        <v>6.8437319999999996E-2</v>
      </c>
      <c r="S359">
        <v>2.9951780000000001</v>
      </c>
      <c r="T359">
        <v>-0.263789099999999</v>
      </c>
      <c r="U359">
        <v>0.15789790000000001</v>
      </c>
      <c r="V359">
        <v>-6.5694269999999999E-2</v>
      </c>
      <c r="W359">
        <v>4.6694750000000002E-3</v>
      </c>
      <c r="X359">
        <v>0.99782890000000002</v>
      </c>
      <c r="Y359">
        <v>-4.9717360000000002E-2</v>
      </c>
      <c r="Z359">
        <v>1.9421079999999999E-3</v>
      </c>
      <c r="AA359">
        <v>0.99876140000000002</v>
      </c>
      <c r="AB359">
        <v>39</v>
      </c>
      <c r="AC359">
        <v>12.390899999999901</v>
      </c>
      <c r="AD359">
        <v>-1.109319268188</v>
      </c>
      <c r="AE359">
        <v>0.66330000000004896</v>
      </c>
      <c r="AF359">
        <v>-0.62424275384245298</v>
      </c>
      <c r="AG359">
        <v>-1.109319268188</v>
      </c>
      <c r="AH359">
        <v>12.294417681872</v>
      </c>
      <c r="AI359">
        <v>95.149211058223699</v>
      </c>
      <c r="AJ359">
        <v>92.906667697818094</v>
      </c>
      <c r="AK359">
        <v>12.3601365037295</v>
      </c>
      <c r="AL359">
        <v>89.732457825032398</v>
      </c>
      <c r="AM359">
        <v>93.766758111019897</v>
      </c>
      <c r="AN359">
        <v>1.0000000273914</v>
      </c>
    </row>
    <row r="360" spans="1:40" x14ac:dyDescent="0.3">
      <c r="A360" t="str">
        <f>"20200111160412378"</f>
        <v>20200111160412378</v>
      </c>
      <c r="B360" t="str">
        <f>"1578729852370828"</f>
        <v>1578729852370828</v>
      </c>
      <c r="C360" t="s">
        <v>40</v>
      </c>
      <c r="D360">
        <v>5.0453099999999997</v>
      </c>
      <c r="E360">
        <v>0.52396949999999998</v>
      </c>
      <c r="F360" t="s">
        <v>41</v>
      </c>
      <c r="G360">
        <v>-372.60610000000003</v>
      </c>
      <c r="H360" s="1">
        <v>-3.4341409999999999E-6</v>
      </c>
      <c r="I360">
        <v>368.03859999999997</v>
      </c>
      <c r="J360">
        <v>-384.93419999999998</v>
      </c>
      <c r="K360">
        <v>1.1093519999999999</v>
      </c>
      <c r="L360">
        <v>367.37450000000001</v>
      </c>
      <c r="M360">
        <v>0.99995970000000001</v>
      </c>
      <c r="N360">
        <v>0</v>
      </c>
      <c r="O360">
        <v>2.7599009999999999E-3</v>
      </c>
      <c r="P360">
        <v>0.99768639999999997</v>
      </c>
      <c r="Q360">
        <v>-3.456382E-3</v>
      </c>
      <c r="R360">
        <v>6.789763E-2</v>
      </c>
      <c r="S360">
        <v>2.9953919999999998</v>
      </c>
      <c r="T360">
        <v>-0.26003389999999998</v>
      </c>
      <c r="U360">
        <v>0.15597529999999901</v>
      </c>
      <c r="V360">
        <v>-6.5143610000000005E-2</v>
      </c>
      <c r="W360">
        <v>5.0776420000000003E-3</v>
      </c>
      <c r="X360">
        <v>0.99786300000000006</v>
      </c>
      <c r="Y360">
        <v>-4.9071150000000001E-2</v>
      </c>
      <c r="Z360">
        <v>1.885552E-3</v>
      </c>
      <c r="AA360">
        <v>0.9987935</v>
      </c>
      <c r="AB360">
        <v>40</v>
      </c>
      <c r="AC360">
        <v>12.3280999999999</v>
      </c>
      <c r="AD360">
        <v>-1.1093554341409999</v>
      </c>
      <c r="AE360">
        <v>0.66409999999996205</v>
      </c>
      <c r="AF360">
        <v>-0.62502541547273804</v>
      </c>
      <c r="AG360">
        <v>-1.1093554341409999</v>
      </c>
      <c r="AH360">
        <v>12.231131362222101</v>
      </c>
      <c r="AI360">
        <v>95.175792148246302</v>
      </c>
      <c r="AJ360">
        <v>92.925338166754699</v>
      </c>
      <c r="AK360">
        <v>12.297231422120101</v>
      </c>
      <c r="AL360">
        <v>89.709071299063794</v>
      </c>
      <c r="AM360">
        <v>93.735147011551206</v>
      </c>
      <c r="AN360">
        <v>1.0000000195705501</v>
      </c>
    </row>
    <row r="361" spans="1:40" x14ac:dyDescent="0.3">
      <c r="A361" t="str">
        <f>"20200111160412391"</f>
        <v>20200111160412391</v>
      </c>
      <c r="B361" t="str">
        <f>"1578729852381564"</f>
        <v>1578729852381564</v>
      </c>
      <c r="C361" t="s">
        <v>40</v>
      </c>
      <c r="D361">
        <v>5.2134119999999999</v>
      </c>
      <c r="E361">
        <v>0.53510609999999903</v>
      </c>
      <c r="F361" t="s">
        <v>41</v>
      </c>
      <c r="G361">
        <v>-366.75099999999998</v>
      </c>
      <c r="H361" s="1">
        <v>-1.750246E-6</v>
      </c>
      <c r="I361">
        <v>367.50720000000001</v>
      </c>
      <c r="J361">
        <v>-384.7319</v>
      </c>
      <c r="K361">
        <v>1.1093679999999999</v>
      </c>
      <c r="L361">
        <v>367.375</v>
      </c>
      <c r="M361">
        <v>0.9999595</v>
      </c>
      <c r="N361">
        <v>0</v>
      </c>
      <c r="O361">
        <v>2.7645199999999999E-3</v>
      </c>
      <c r="P361">
        <v>0.99770930000000002</v>
      </c>
      <c r="Q361">
        <v>-3.6085710000000001E-3</v>
      </c>
      <c r="R361">
        <v>6.7552710000000002E-2</v>
      </c>
      <c r="S361">
        <v>3.0048219999999999</v>
      </c>
      <c r="T361">
        <v>-0.1833225</v>
      </c>
      <c r="U361">
        <v>2.1942139999999999E-2</v>
      </c>
      <c r="V361">
        <v>-6.4794409999999997E-2</v>
      </c>
      <c r="W361">
        <v>4.9460370000000003E-3</v>
      </c>
      <c r="X361">
        <v>0.99788639999999995</v>
      </c>
      <c r="Y361">
        <v>-4.5342480000000003E-3</v>
      </c>
      <c r="Z361" s="1">
        <v>-3.0322869999999999E-5</v>
      </c>
      <c r="AA361">
        <v>0.99998969999999998</v>
      </c>
      <c r="AB361">
        <v>40</v>
      </c>
      <c r="AC361">
        <v>17.980899999999998</v>
      </c>
      <c r="AD361">
        <v>-1.109369750246</v>
      </c>
      <c r="AE361">
        <v>0.132200000000011</v>
      </c>
      <c r="AF361">
        <v>-8.2176323698788703E-2</v>
      </c>
      <c r="AG361">
        <v>-1.109369750246</v>
      </c>
      <c r="AH361">
        <v>17.9130139449769</v>
      </c>
      <c r="AI361">
        <v>93.543818030442097</v>
      </c>
      <c r="AJ361">
        <v>90.262843735233801</v>
      </c>
      <c r="AK361">
        <v>17.947521354879999</v>
      </c>
      <c r="AL361">
        <v>89.716611805682007</v>
      </c>
      <c r="AM361">
        <v>93.715094239011705</v>
      </c>
      <c r="AN361">
        <v>1.0000000230771</v>
      </c>
    </row>
    <row r="362" spans="1:40" x14ac:dyDescent="0.3">
      <c r="A362" t="str">
        <f>"20200111160412409"</f>
        <v>20200111160412409</v>
      </c>
      <c r="B362" t="str">
        <f>"1578729852401083"</f>
        <v>1578729852401083</v>
      </c>
      <c r="C362" t="s">
        <v>40</v>
      </c>
      <c r="D362">
        <v>5.187106</v>
      </c>
      <c r="E362">
        <v>0.54862889999999997</v>
      </c>
      <c r="F362" t="s">
        <v>42</v>
      </c>
      <c r="G362">
        <v>-383.77069999999998</v>
      </c>
      <c r="H362">
        <v>1.045561</v>
      </c>
      <c r="I362">
        <v>367.35359999999997</v>
      </c>
      <c r="J362">
        <v>-384.40030000000002</v>
      </c>
      <c r="K362">
        <v>1.109383</v>
      </c>
      <c r="L362">
        <v>367.37599999999998</v>
      </c>
      <c r="M362">
        <v>0.99995919999999905</v>
      </c>
      <c r="N362">
        <v>0</v>
      </c>
      <c r="O362">
        <v>2.772311E-3</v>
      </c>
      <c r="P362">
        <v>0.99777380000000004</v>
      </c>
      <c r="Q362">
        <v>-3.3310599999999998E-3</v>
      </c>
      <c r="R362">
        <v>6.6607410000000006E-2</v>
      </c>
      <c r="S362">
        <v>3.0106510000000002</v>
      </c>
      <c r="T362">
        <v>-0.19996330000000001</v>
      </c>
      <c r="U362">
        <v>-6.6772460000000006E-2</v>
      </c>
      <c r="V362">
        <v>-6.3841190000000006E-2</v>
      </c>
      <c r="W362">
        <v>5.2559779999999997E-3</v>
      </c>
      <c r="X362">
        <v>0.99794620000000001</v>
      </c>
      <c r="Y362">
        <v>2.4884030000000001E-2</v>
      </c>
      <c r="Z362">
        <v>-1.009287E-3</v>
      </c>
      <c r="AA362">
        <v>0.99968979999999996</v>
      </c>
      <c r="AB362">
        <v>40</v>
      </c>
      <c r="AC362">
        <v>0.62960000000003902</v>
      </c>
      <c r="AD362">
        <v>-6.3822000000000004E-2</v>
      </c>
      <c r="AE362">
        <v>-2.24000000000046E-2</v>
      </c>
      <c r="AF362">
        <v>2.3900145203066998E-2</v>
      </c>
      <c r="AG362">
        <v>-6.3822000000000004E-2</v>
      </c>
      <c r="AH362">
        <v>0.62314037027728697</v>
      </c>
      <c r="AI362">
        <v>95.843572836981807</v>
      </c>
      <c r="AJ362">
        <v>87.8035341151122</v>
      </c>
      <c r="AK362">
        <v>0.62685595290628104</v>
      </c>
      <c r="AL362">
        <v>89.698853247937393</v>
      </c>
      <c r="AM362">
        <v>93.660370753156997</v>
      </c>
      <c r="AN362">
        <v>0.99999997046989497</v>
      </c>
    </row>
    <row r="363" spans="1:40" x14ac:dyDescent="0.3">
      <c r="A363" t="str">
        <f>"20200111160412421"</f>
        <v>20200111160412421</v>
      </c>
      <c r="B363" t="str">
        <f>"1578729852410844"</f>
        <v>1578729852410844</v>
      </c>
      <c r="C363" t="s">
        <v>40</v>
      </c>
      <c r="D363">
        <v>5.112959</v>
      </c>
      <c r="E363">
        <v>0.55195709999999998</v>
      </c>
      <c r="F363" t="s">
        <v>42</v>
      </c>
      <c r="G363">
        <v>-383.41759999999999</v>
      </c>
      <c r="H363">
        <v>1.0440860000000001</v>
      </c>
      <c r="I363">
        <v>367.31779999999998</v>
      </c>
      <c r="J363">
        <v>-384.18630000000002</v>
      </c>
      <c r="K363">
        <v>1.1093930000000001</v>
      </c>
      <c r="L363">
        <v>367.3766</v>
      </c>
      <c r="M363">
        <v>0.99995909999999999</v>
      </c>
      <c r="N363">
        <v>0</v>
      </c>
      <c r="O363">
        <v>2.7769370000000002E-3</v>
      </c>
      <c r="P363">
        <v>0.99779300000000004</v>
      </c>
      <c r="Q363">
        <v>-3.077537E-3</v>
      </c>
      <c r="R363">
        <v>6.6331390000000004E-2</v>
      </c>
      <c r="S363">
        <v>3.0178829999999999</v>
      </c>
      <c r="T363">
        <v>-0.20086809999999999</v>
      </c>
      <c r="U363">
        <v>-0.177612299999999</v>
      </c>
      <c r="V363">
        <v>-6.3559859999999996E-2</v>
      </c>
      <c r="W363">
        <v>5.5292010000000001E-3</v>
      </c>
      <c r="X363">
        <v>0.99796269999999998</v>
      </c>
      <c r="Y363">
        <v>6.1382140000000002E-2</v>
      </c>
      <c r="Z363">
        <v>-2.2232369999999999E-3</v>
      </c>
      <c r="AA363">
        <v>0.99811179999999999</v>
      </c>
      <c r="AB363">
        <v>40</v>
      </c>
      <c r="AC363">
        <v>0.76870000000002303</v>
      </c>
      <c r="AD363">
        <v>-6.5307000000000004E-2</v>
      </c>
      <c r="AE363">
        <v>-5.8800000000019198E-2</v>
      </c>
      <c r="AF363">
        <v>6.0500343786901098E-2</v>
      </c>
      <c r="AG363">
        <v>-6.5307000000000004E-2</v>
      </c>
      <c r="AH363">
        <v>0.76305817213215799</v>
      </c>
      <c r="AI363">
        <v>94.876558761105699</v>
      </c>
      <c r="AJ363">
        <v>85.466691753129794</v>
      </c>
      <c r="AK363">
        <v>0.76823373390199601</v>
      </c>
      <c r="AL363">
        <v>89.683198500981604</v>
      </c>
      <c r="AM363">
        <v>93.644224011832506</v>
      </c>
      <c r="AN363">
        <v>0.99999998922910305</v>
      </c>
    </row>
    <row r="364" spans="1:40" x14ac:dyDescent="0.3">
      <c r="A364" t="str">
        <f>"20200111160412434"</f>
        <v>20200111160412434</v>
      </c>
      <c r="B364" t="str">
        <f>"1578729852431340"</f>
        <v>1578729852431340</v>
      </c>
      <c r="C364" t="s">
        <v>40</v>
      </c>
      <c r="D364">
        <v>5.0775800000000002</v>
      </c>
      <c r="E364">
        <v>0.55610519999999997</v>
      </c>
      <c r="F364" t="s">
        <v>41</v>
      </c>
      <c r="G364">
        <v>-367.33069999999998</v>
      </c>
      <c r="H364" s="1">
        <v>-1.794411E-6</v>
      </c>
      <c r="I364">
        <v>366.23390000000001</v>
      </c>
      <c r="J364">
        <v>-383.98020000000002</v>
      </c>
      <c r="K364">
        <v>1.109407</v>
      </c>
      <c r="L364">
        <v>367.37709999999998</v>
      </c>
      <c r="M364">
        <v>0.99995880000000004</v>
      </c>
      <c r="N364">
        <v>0</v>
      </c>
      <c r="O364">
        <v>2.781866E-3</v>
      </c>
      <c r="P364">
        <v>0.99781540000000002</v>
      </c>
      <c r="Q364">
        <v>-3.0772669999999998E-3</v>
      </c>
      <c r="R364">
        <v>6.5992019999999998E-2</v>
      </c>
      <c r="S364">
        <v>3.0195919999999998</v>
      </c>
      <c r="T364">
        <v>-0.19874069999999999</v>
      </c>
      <c r="U364">
        <v>-0.20468140000000001</v>
      </c>
      <c r="V364">
        <v>-6.3215809999999997E-2</v>
      </c>
      <c r="W364">
        <v>5.5473199999999997E-3</v>
      </c>
      <c r="X364">
        <v>0.99798450000000005</v>
      </c>
      <c r="Y364">
        <v>7.0247309999999993E-2</v>
      </c>
      <c r="Z364">
        <v>-2.489298E-3</v>
      </c>
      <c r="AA364">
        <v>0.99752649999999998</v>
      </c>
      <c r="AB364">
        <v>40</v>
      </c>
      <c r="AC364">
        <v>16.6495</v>
      </c>
      <c r="AD364">
        <v>-1.109408794411</v>
      </c>
      <c r="AE364">
        <v>-1.14319999999997</v>
      </c>
      <c r="AF364">
        <v>1.1842804777031399</v>
      </c>
      <c r="AG364">
        <v>-1.109408794411</v>
      </c>
      <c r="AH364">
        <v>16.5730166826669</v>
      </c>
      <c r="AI364">
        <v>93.8199925209734</v>
      </c>
      <c r="AJ364">
        <v>85.912685522451795</v>
      </c>
      <c r="AK364">
        <v>16.652272820457299</v>
      </c>
      <c r="AL364">
        <v>89.682160357945307</v>
      </c>
      <c r="AM364">
        <v>93.624471564349804</v>
      </c>
      <c r="AN364">
        <v>1.0000000368166899</v>
      </c>
    </row>
    <row r="365" spans="1:40" x14ac:dyDescent="0.3">
      <c r="A365" t="str">
        <f>"20200111160412445"</f>
        <v>20200111160412445</v>
      </c>
      <c r="B365" t="str">
        <f>"1578729852441100"</f>
        <v>1578729852441100</v>
      </c>
      <c r="C365" t="s">
        <v>40</v>
      </c>
      <c r="D365">
        <v>5.1004430000000003</v>
      </c>
      <c r="E365">
        <v>0.55751119999999899</v>
      </c>
      <c r="F365" t="s">
        <v>42</v>
      </c>
      <c r="G365">
        <v>-383.05779999999999</v>
      </c>
      <c r="H365">
        <v>1.049428</v>
      </c>
      <c r="I365">
        <v>367.30430000000001</v>
      </c>
      <c r="J365">
        <v>-383.74700000000001</v>
      </c>
      <c r="K365">
        <v>1.109416</v>
      </c>
      <c r="L365">
        <v>367.37779999999998</v>
      </c>
      <c r="M365">
        <v>0.99995869999999998</v>
      </c>
      <c r="N365">
        <v>0</v>
      </c>
      <c r="O365">
        <v>2.787383E-3</v>
      </c>
      <c r="P365">
        <v>0.99783440000000001</v>
      </c>
      <c r="Q365">
        <v>-2.8690429999999999E-3</v>
      </c>
      <c r="R365">
        <v>6.5716040000000003E-2</v>
      </c>
      <c r="S365">
        <v>3.0217589999999999</v>
      </c>
      <c r="T365">
        <v>-0.19643050000000001</v>
      </c>
      <c r="U365">
        <v>-0.2389221</v>
      </c>
      <c r="V365">
        <v>-6.2934000000000004E-2</v>
      </c>
      <c r="W365">
        <v>5.7747689999999999E-3</v>
      </c>
      <c r="X365">
        <v>0.99800100000000003</v>
      </c>
      <c r="Y365">
        <v>8.1423110000000007E-2</v>
      </c>
      <c r="Z365">
        <v>-2.8203070000000002E-3</v>
      </c>
      <c r="AA365">
        <v>0.99667559999999999</v>
      </c>
      <c r="AB365">
        <v>40</v>
      </c>
      <c r="AC365">
        <v>0.68919999999997095</v>
      </c>
      <c r="AD365">
        <v>-5.9987999999999903E-2</v>
      </c>
      <c r="AE365">
        <v>-7.3499999999967203E-2</v>
      </c>
      <c r="AF365">
        <v>7.4860090573720103E-2</v>
      </c>
      <c r="AG365">
        <v>-5.9987999999999903E-2</v>
      </c>
      <c r="AH365">
        <v>0.68386972763641596</v>
      </c>
      <c r="AI365">
        <v>94.983448770861301</v>
      </c>
      <c r="AJ365">
        <v>83.752965962463804</v>
      </c>
      <c r="AK365">
        <v>0.69056527401992296</v>
      </c>
      <c r="AL365">
        <v>89.669128274982896</v>
      </c>
      <c r="AM365">
        <v>93.608297303147694</v>
      </c>
      <c r="AN365">
        <v>1.000000016157</v>
      </c>
    </row>
    <row r="366" spans="1:40" x14ac:dyDescent="0.3">
      <c r="A366" t="str">
        <f>"20200111160412457"</f>
        <v>20200111160412457</v>
      </c>
      <c r="B366" t="str">
        <f>"1578729852450859"</f>
        <v>1578729852450859</v>
      </c>
      <c r="C366" t="s">
        <v>40</v>
      </c>
      <c r="D366">
        <v>5.12913</v>
      </c>
      <c r="E366">
        <v>0.55857579999999996</v>
      </c>
      <c r="F366" t="s">
        <v>42</v>
      </c>
      <c r="G366">
        <v>-382.70569999999998</v>
      </c>
      <c r="H366">
        <v>1.0418400000000001</v>
      </c>
      <c r="I366">
        <v>367.29109999999997</v>
      </c>
      <c r="J366">
        <v>-383.53379999999999</v>
      </c>
      <c r="K366">
        <v>1.1094200000000001</v>
      </c>
      <c r="L366">
        <v>367.3784</v>
      </c>
      <c r="M366">
        <v>0.99995849999999997</v>
      </c>
      <c r="N366">
        <v>0</v>
      </c>
      <c r="O366">
        <v>2.7923179999999998E-3</v>
      </c>
      <c r="P366">
        <v>0.99784830000000002</v>
      </c>
      <c r="Q366">
        <v>-2.7391500000000001E-3</v>
      </c>
      <c r="R366">
        <v>6.5510760000000001E-2</v>
      </c>
      <c r="S366">
        <v>3.022491</v>
      </c>
      <c r="T366">
        <v>-0.19631470000000001</v>
      </c>
      <c r="U366">
        <v>-0.25091550000000001</v>
      </c>
      <c r="V366">
        <v>-6.2724080000000002E-2</v>
      </c>
      <c r="W366">
        <v>5.9216319999999996E-3</v>
      </c>
      <c r="X366">
        <v>0.99801329999999999</v>
      </c>
      <c r="Y366">
        <v>8.5329630000000004E-2</v>
      </c>
      <c r="Z366">
        <v>-2.9443550000000001E-3</v>
      </c>
      <c r="AA366">
        <v>0.99634840000000002</v>
      </c>
      <c r="AB366">
        <v>40</v>
      </c>
      <c r="AC366">
        <v>0.82810000000000605</v>
      </c>
      <c r="AD366">
        <v>-6.7580000000000195E-2</v>
      </c>
      <c r="AE366">
        <v>-8.7300000000027397E-2</v>
      </c>
      <c r="AF366">
        <v>8.9025675809955199E-2</v>
      </c>
      <c r="AG366">
        <v>-6.7580000000000195E-2</v>
      </c>
      <c r="AH366">
        <v>0.82243581891857398</v>
      </c>
      <c r="AI366">
        <v>94.6703117598407</v>
      </c>
      <c r="AJ366">
        <v>83.821995825273504</v>
      </c>
      <c r="AK366">
        <v>0.82999596601048897</v>
      </c>
      <c r="AL366">
        <v>89.660713482585507</v>
      </c>
      <c r="AM366">
        <v>93.596249051666803</v>
      </c>
      <c r="AN366">
        <v>0.99999996145713899</v>
      </c>
    </row>
    <row r="367" spans="1:40" x14ac:dyDescent="0.3">
      <c r="A367" t="str">
        <f>"20200111160412476"</f>
        <v>20200111160412476</v>
      </c>
      <c r="B367" t="str">
        <f>"1578729852471356"</f>
        <v>1578729852471356</v>
      </c>
      <c r="C367" t="s">
        <v>40</v>
      </c>
      <c r="D367">
        <v>5.1026499999999997</v>
      </c>
      <c r="E367">
        <v>0.55988700000000002</v>
      </c>
      <c r="F367" t="s">
        <v>42</v>
      </c>
      <c r="G367">
        <v>-382.6961</v>
      </c>
      <c r="H367">
        <v>1.054997</v>
      </c>
      <c r="I367">
        <v>367.30599999999998</v>
      </c>
      <c r="J367">
        <v>-383.21719999999999</v>
      </c>
      <c r="K367">
        <v>1.1094280000000001</v>
      </c>
      <c r="L367">
        <v>367.3793</v>
      </c>
      <c r="M367">
        <v>0.99995840000000003</v>
      </c>
      <c r="N367">
        <v>0</v>
      </c>
      <c r="O367">
        <v>2.799667E-3</v>
      </c>
      <c r="P367">
        <v>0.9978688</v>
      </c>
      <c r="Q367">
        <v>-2.952171E-3</v>
      </c>
      <c r="R367">
        <v>6.5188040000000003E-2</v>
      </c>
      <c r="S367">
        <v>3.0230410000000001</v>
      </c>
      <c r="T367">
        <v>-0.1966251</v>
      </c>
      <c r="U367">
        <v>-0.26022339999999999</v>
      </c>
      <c r="V367">
        <v>-6.2394360000000003E-2</v>
      </c>
      <c r="W367">
        <v>5.7323309999999898E-3</v>
      </c>
      <c r="X367">
        <v>0.99803509999999995</v>
      </c>
      <c r="Y367">
        <v>8.836078E-2</v>
      </c>
      <c r="Z367">
        <v>-3.0468560000000001E-3</v>
      </c>
      <c r="AA367">
        <v>0.99608390000000002</v>
      </c>
      <c r="AB367">
        <v>40</v>
      </c>
      <c r="AC367">
        <v>0.52109999999998902</v>
      </c>
      <c r="AD367">
        <v>-5.4431000000000097E-2</v>
      </c>
      <c r="AE367">
        <v>-7.3300000000017407E-2</v>
      </c>
      <c r="AF367">
        <v>7.3967301470201904E-2</v>
      </c>
      <c r="AG367">
        <v>-5.4431000000000097E-2</v>
      </c>
      <c r="AH367">
        <v>0.515378721527883</v>
      </c>
      <c r="AI367">
        <v>95.968158959853994</v>
      </c>
      <c r="AJ367">
        <v>81.832665715019203</v>
      </c>
      <c r="AK367">
        <v>0.52349701245709002</v>
      </c>
      <c r="AL367">
        <v>89.671559824333698</v>
      </c>
      <c r="AM367">
        <v>93.577316029418796</v>
      </c>
      <c r="AN367">
        <v>0.99999998830525605</v>
      </c>
    </row>
    <row r="368" spans="1:40" x14ac:dyDescent="0.3">
      <c r="A368" t="str">
        <f>"20200111160412489"</f>
        <v>20200111160412489</v>
      </c>
      <c r="B368" t="str">
        <f>"1578729852481115"</f>
        <v>1578729852481115</v>
      </c>
      <c r="C368" t="s">
        <v>40</v>
      </c>
      <c r="D368">
        <v>6.6816630000000004</v>
      </c>
      <c r="E368">
        <v>0.56041739999999995</v>
      </c>
      <c r="F368" t="s">
        <v>42</v>
      </c>
      <c r="G368">
        <v>-382.34190000000001</v>
      </c>
      <c r="H368">
        <v>1.0512220000000001</v>
      </c>
      <c r="I368">
        <v>367.30079999999998</v>
      </c>
      <c r="J368">
        <v>-382.97559999999999</v>
      </c>
      <c r="K368">
        <v>1.1094329999999999</v>
      </c>
      <c r="L368">
        <v>367.37990000000002</v>
      </c>
      <c r="M368">
        <v>0.99995829999999997</v>
      </c>
      <c r="N368">
        <v>0</v>
      </c>
      <c r="O368">
        <v>2.805316E-3</v>
      </c>
      <c r="P368">
        <v>0.99788960000000004</v>
      </c>
      <c r="Q368">
        <v>-3.0596780000000001E-3</v>
      </c>
      <c r="R368">
        <v>6.4865809999999996E-2</v>
      </c>
      <c r="S368">
        <v>3.0234990000000002</v>
      </c>
      <c r="T368">
        <v>-0.20115279999999999</v>
      </c>
      <c r="U368">
        <v>-0.27090449999999999</v>
      </c>
      <c r="V368">
        <v>-6.2066009999999998E-2</v>
      </c>
      <c r="W368">
        <v>5.6412559999999999E-3</v>
      </c>
      <c r="X368">
        <v>0.9980561</v>
      </c>
      <c r="Y368">
        <v>9.1828510000000002E-2</v>
      </c>
      <c r="Z368">
        <v>-3.2312869999999998E-3</v>
      </c>
      <c r="AA368">
        <v>0.99576960000000003</v>
      </c>
      <c r="AB368">
        <v>40</v>
      </c>
      <c r="AC368">
        <v>0.63369999999997595</v>
      </c>
      <c r="AD368">
        <v>-5.8210999999999999E-2</v>
      </c>
      <c r="AE368">
        <v>-7.9100000000039403E-2</v>
      </c>
      <c r="AF368">
        <v>8.0211042474509497E-2</v>
      </c>
      <c r="AG368">
        <v>-5.8210999999999999E-2</v>
      </c>
      <c r="AH368">
        <v>0.628255667094343</v>
      </c>
      <c r="AI368">
        <v>95.251239673087696</v>
      </c>
      <c r="AJ368">
        <v>82.7242599856786</v>
      </c>
      <c r="AK368">
        <v>0.63602477553315895</v>
      </c>
      <c r="AL368">
        <v>89.676778124400798</v>
      </c>
      <c r="AM368">
        <v>93.558464242078401</v>
      </c>
      <c r="AN368">
        <v>0.99999999605689305</v>
      </c>
    </row>
    <row r="369" spans="1:40" x14ac:dyDescent="0.3">
      <c r="A369" t="str">
        <f>"20200111160412501"</f>
        <v>20200111160412501</v>
      </c>
      <c r="B369" t="str">
        <f>"1578729852490876"</f>
        <v>1578729852490876</v>
      </c>
      <c r="C369" t="s">
        <v>40</v>
      </c>
      <c r="D369">
        <v>5.1658390000000001</v>
      </c>
      <c r="E369">
        <v>0.5607955</v>
      </c>
      <c r="F369" t="s">
        <v>42</v>
      </c>
      <c r="G369">
        <v>-381.9873</v>
      </c>
      <c r="H369">
        <v>1.0469809999999999</v>
      </c>
      <c r="I369">
        <v>367.28919999999999</v>
      </c>
      <c r="J369">
        <v>-382.7559</v>
      </c>
      <c r="K369">
        <v>1.109437</v>
      </c>
      <c r="L369">
        <v>367.38049999999998</v>
      </c>
      <c r="M369">
        <v>0.99995789999999996</v>
      </c>
      <c r="N369">
        <v>0</v>
      </c>
      <c r="O369">
        <v>2.8106160000000002E-3</v>
      </c>
      <c r="P369">
        <v>0.99790290000000004</v>
      </c>
      <c r="Q369">
        <v>-3.207274E-3</v>
      </c>
      <c r="R369">
        <v>6.4647070000000001E-2</v>
      </c>
      <c r="S369">
        <v>3.023682</v>
      </c>
      <c r="T369">
        <v>-0.19123229999999999</v>
      </c>
      <c r="U369">
        <v>-0.27658080000000002</v>
      </c>
      <c r="V369">
        <v>-6.1841899999999998E-2</v>
      </c>
      <c r="W369">
        <v>5.5086980000000002E-3</v>
      </c>
      <c r="X369">
        <v>0.99807080000000004</v>
      </c>
      <c r="Y369">
        <v>9.3698699999999996E-2</v>
      </c>
      <c r="Z369">
        <v>-3.1310999999999999E-3</v>
      </c>
      <c r="AA369">
        <v>0.99559569999999997</v>
      </c>
      <c r="AB369">
        <v>40</v>
      </c>
      <c r="AC369">
        <v>0.76859999999999196</v>
      </c>
      <c r="AD369">
        <v>-6.2455999999999998E-2</v>
      </c>
      <c r="AE369">
        <v>-9.1299999999989695E-2</v>
      </c>
      <c r="AF369">
        <v>9.2855359631204504E-2</v>
      </c>
      <c r="AG369">
        <v>-6.2455999999999998E-2</v>
      </c>
      <c r="AH369">
        <v>0.763369876341641</v>
      </c>
      <c r="AI369">
        <v>94.643230231943306</v>
      </c>
      <c r="AJ369">
        <v>83.064683867544204</v>
      </c>
      <c r="AK369">
        <v>0.77152863709268305</v>
      </c>
      <c r="AL369">
        <v>89.684373271565406</v>
      </c>
      <c r="AM369">
        <v>93.545595971121699</v>
      </c>
      <c r="AN369">
        <v>1.00000004408095</v>
      </c>
    </row>
    <row r="370" spans="1:40" x14ac:dyDescent="0.3">
      <c r="A370" t="str">
        <f>"20200111160412514"</f>
        <v>20200111160412514</v>
      </c>
      <c r="B370" t="str">
        <f>"1578729852511372"</f>
        <v>1578729852511372</v>
      </c>
      <c r="C370" t="s">
        <v>40</v>
      </c>
      <c r="D370">
        <v>5.0961999999999996</v>
      </c>
      <c r="E370">
        <v>0.56177460000000001</v>
      </c>
      <c r="F370" t="s">
        <v>41</v>
      </c>
      <c r="G370">
        <v>-364.66419999999999</v>
      </c>
      <c r="H370" s="1">
        <v>-2.9660870000000001E-6</v>
      </c>
      <c r="I370">
        <v>365.69979999999998</v>
      </c>
      <c r="J370">
        <v>-382.54250000000002</v>
      </c>
      <c r="K370">
        <v>1.10944</v>
      </c>
      <c r="L370">
        <v>367.38119999999998</v>
      </c>
      <c r="M370">
        <v>0.99995780000000001</v>
      </c>
      <c r="N370">
        <v>0</v>
      </c>
      <c r="O370">
        <v>2.8156240000000001E-3</v>
      </c>
      <c r="P370">
        <v>0.99790749999999995</v>
      </c>
      <c r="Q370">
        <v>-3.2130269999999998E-3</v>
      </c>
      <c r="R370">
        <v>6.4578079999999996E-2</v>
      </c>
      <c r="S370">
        <v>3.0239259999999999</v>
      </c>
      <c r="T370">
        <v>-0.18543580000000001</v>
      </c>
      <c r="U370">
        <v>-0.28091430000000001</v>
      </c>
      <c r="V370">
        <v>-6.1768129999999997E-2</v>
      </c>
      <c r="W370">
        <v>5.5158500000000001E-3</v>
      </c>
      <c r="X370">
        <v>0.9980753</v>
      </c>
      <c r="Y370">
        <v>9.5119850000000006E-2</v>
      </c>
      <c r="Z370">
        <v>-3.0796759999999999E-3</v>
      </c>
      <c r="AA370">
        <v>0.99546100000000004</v>
      </c>
      <c r="AB370">
        <v>40</v>
      </c>
      <c r="AC370">
        <v>17.878299999999999</v>
      </c>
      <c r="AD370">
        <v>-1.109442966087</v>
      </c>
      <c r="AE370">
        <v>-1.68139999999999</v>
      </c>
      <c r="AF370">
        <v>1.7251487705560999</v>
      </c>
      <c r="AG370">
        <v>-1.109442966087</v>
      </c>
      <c r="AH370">
        <v>17.805529331111298</v>
      </c>
      <c r="AI370">
        <v>93.548852195613904</v>
      </c>
      <c r="AJ370">
        <v>84.465978607217295</v>
      </c>
      <c r="AK370">
        <v>17.923277511008301</v>
      </c>
      <c r="AL370">
        <v>89.683963476902903</v>
      </c>
      <c r="AM370">
        <v>93.541361342454294</v>
      </c>
      <c r="AN370">
        <v>1.0000000154774999</v>
      </c>
    </row>
    <row r="371" spans="1:40" x14ac:dyDescent="0.3">
      <c r="A371" t="str">
        <f>"20200111160412530"</f>
        <v>20200111160412530</v>
      </c>
      <c r="B371" t="str">
        <f>"1578729852521131"</f>
        <v>1578729852521131</v>
      </c>
      <c r="C371" t="s">
        <v>40</v>
      </c>
      <c r="D371">
        <v>5.1241779999999997</v>
      </c>
      <c r="E371">
        <v>0.56223259999999997</v>
      </c>
      <c r="F371" t="s">
        <v>42</v>
      </c>
      <c r="G371">
        <v>-381.62459999999999</v>
      </c>
      <c r="H371">
        <v>1.0521480000000001</v>
      </c>
      <c r="I371">
        <v>367.29349999999999</v>
      </c>
      <c r="J371">
        <v>-382.23599999999999</v>
      </c>
      <c r="K371">
        <v>1.109443</v>
      </c>
      <c r="L371">
        <v>367.38200000000001</v>
      </c>
      <c r="M371">
        <v>0.99995780000000001</v>
      </c>
      <c r="N371">
        <v>0</v>
      </c>
      <c r="O371">
        <v>2.8225770000000002E-3</v>
      </c>
      <c r="P371">
        <v>0.99792519999999996</v>
      </c>
      <c r="Q371">
        <v>-3.502313E-3</v>
      </c>
      <c r="R371">
        <v>6.4291349999999997E-2</v>
      </c>
      <c r="S371">
        <v>3.0243530000000001</v>
      </c>
      <c r="T371">
        <v>-0.1888164</v>
      </c>
      <c r="U371">
        <v>-0.28860469999999999</v>
      </c>
      <c r="V371">
        <v>-6.1474099999999997E-2</v>
      </c>
      <c r="W371">
        <v>5.2454869999999897E-3</v>
      </c>
      <c r="X371">
        <v>0.99809490000000001</v>
      </c>
      <c r="Y371">
        <v>9.7611130000000004E-2</v>
      </c>
      <c r="Z371">
        <v>-3.2128500000000002E-3</v>
      </c>
      <c r="AA371">
        <v>0.99521950000000003</v>
      </c>
      <c r="AB371">
        <v>40</v>
      </c>
      <c r="AC371">
        <v>0.61140000000000305</v>
      </c>
      <c r="AD371">
        <v>-5.7295000000000103E-2</v>
      </c>
      <c r="AE371">
        <v>-8.8499999999953602E-2</v>
      </c>
      <c r="AF371">
        <v>8.9455976333349105E-2</v>
      </c>
      <c r="AG371">
        <v>-5.7295000000000103E-2</v>
      </c>
      <c r="AH371">
        <v>0.60593576598865995</v>
      </c>
      <c r="AI371">
        <v>95.344029542165799</v>
      </c>
      <c r="AJ371">
        <v>81.601927877887405</v>
      </c>
      <c r="AK371">
        <v>0.61517740630733297</v>
      </c>
      <c r="AL371">
        <v>89.699454356568793</v>
      </c>
      <c r="AM371">
        <v>93.524477234730298</v>
      </c>
      <c r="AN371">
        <v>1.0000000047553399</v>
      </c>
    </row>
    <row r="372" spans="1:40" x14ac:dyDescent="0.3">
      <c r="A372" t="str">
        <f>"20200111160412542"</f>
        <v>20200111160412542</v>
      </c>
      <c r="B372" t="str">
        <f>"1578729852530892"</f>
        <v>1578729852530892</v>
      </c>
      <c r="C372" t="s">
        <v>40</v>
      </c>
      <c r="D372">
        <v>5.1220379999999999</v>
      </c>
      <c r="E372">
        <v>0.56261890000000003</v>
      </c>
      <c r="F372" t="s">
        <v>42</v>
      </c>
      <c r="G372">
        <v>-381.26859999999999</v>
      </c>
      <c r="H372">
        <v>1.0487010000000001</v>
      </c>
      <c r="I372">
        <v>367.28789999999998</v>
      </c>
      <c r="J372">
        <v>-382.02589999999998</v>
      </c>
      <c r="K372">
        <v>1.109445</v>
      </c>
      <c r="L372">
        <v>367.38260000000002</v>
      </c>
      <c r="M372">
        <v>0.9999576</v>
      </c>
      <c r="N372">
        <v>0</v>
      </c>
      <c r="O372">
        <v>2.8275900000000001E-3</v>
      </c>
      <c r="P372">
        <v>0.99792369999999997</v>
      </c>
      <c r="Q372">
        <v>-3.5062579999999999E-3</v>
      </c>
      <c r="R372">
        <v>6.4312519999999998E-2</v>
      </c>
      <c r="S372">
        <v>3.0244450000000001</v>
      </c>
      <c r="T372">
        <v>-0.19014700000000001</v>
      </c>
      <c r="U372">
        <v>-0.2930603</v>
      </c>
      <c r="V372">
        <v>-6.1490280000000001E-2</v>
      </c>
      <c r="W372">
        <v>5.253593E-3</v>
      </c>
      <c r="X372">
        <v>0.99809380000000003</v>
      </c>
      <c r="Y372">
        <v>9.9060350000000005E-2</v>
      </c>
      <c r="Z372">
        <v>-3.280842E-3</v>
      </c>
      <c r="AA372">
        <v>0.99507599999999996</v>
      </c>
      <c r="AB372">
        <v>40</v>
      </c>
      <c r="AC372">
        <v>0.75729999999998598</v>
      </c>
      <c r="AD372">
        <v>-6.0743999999999902E-2</v>
      </c>
      <c r="AE372">
        <v>-9.4700000000045706E-2</v>
      </c>
      <c r="AF372">
        <v>9.6231431681135293E-2</v>
      </c>
      <c r="AG372">
        <v>-6.0743999999999902E-2</v>
      </c>
      <c r="AH372">
        <v>0.75226375680940905</v>
      </c>
      <c r="AI372">
        <v>94.579363011975801</v>
      </c>
      <c r="AJ372">
        <v>82.710174732288706</v>
      </c>
      <c r="AK372">
        <v>0.76082263490803603</v>
      </c>
      <c r="AL372">
        <v>89.698989892350497</v>
      </c>
      <c r="AM372">
        <v>93.525406414408707</v>
      </c>
      <c r="AN372">
        <v>0.999999944186162</v>
      </c>
    </row>
    <row r="373" spans="1:40" x14ac:dyDescent="0.3">
      <c r="A373" t="str">
        <f>"20200111160412554"</f>
        <v>20200111160412554</v>
      </c>
      <c r="B373" t="str">
        <f>"1578729852551388"</f>
        <v>1578729852551388</v>
      </c>
      <c r="C373" t="s">
        <v>40</v>
      </c>
      <c r="D373">
        <v>5.1153810000000002</v>
      </c>
      <c r="E373">
        <v>0.56324989999999997</v>
      </c>
      <c r="F373" t="s">
        <v>41</v>
      </c>
      <c r="G373">
        <v>-364.47309999999999</v>
      </c>
      <c r="H373" s="1">
        <v>-3.0542159999999999E-6</v>
      </c>
      <c r="I373">
        <v>365.6651</v>
      </c>
      <c r="J373">
        <v>-381.82510000000002</v>
      </c>
      <c r="K373">
        <v>1.109448</v>
      </c>
      <c r="L373">
        <v>367.38310000000001</v>
      </c>
      <c r="M373">
        <v>0.99995750000000005</v>
      </c>
      <c r="N373">
        <v>0</v>
      </c>
      <c r="O373">
        <v>2.832074E-3</v>
      </c>
      <c r="P373">
        <v>0.99793699999999996</v>
      </c>
      <c r="Q373">
        <v>-3.55077E-3</v>
      </c>
      <c r="R373">
        <v>6.4104949999999994E-2</v>
      </c>
      <c r="S373">
        <v>3.0246279999999999</v>
      </c>
      <c r="T373">
        <v>-0.19117439999999999</v>
      </c>
      <c r="U373">
        <v>-0.295929</v>
      </c>
      <c r="V373">
        <v>-6.12785E-2</v>
      </c>
      <c r="W373">
        <v>5.2197379999999998E-3</v>
      </c>
      <c r="X373">
        <v>0.99810710000000002</v>
      </c>
      <c r="Y373">
        <v>9.9989930000000005E-2</v>
      </c>
      <c r="Z373">
        <v>-3.327745E-3</v>
      </c>
      <c r="AA373">
        <v>0.9949829</v>
      </c>
      <c r="AB373">
        <v>40</v>
      </c>
      <c r="AC373">
        <v>17.352</v>
      </c>
      <c r="AD373">
        <v>-1.1094510542160001</v>
      </c>
      <c r="AE373">
        <v>-1.71800000000001</v>
      </c>
      <c r="AF373">
        <v>1.7600119618661301</v>
      </c>
      <c r="AG373">
        <v>-1.1094510542160001</v>
      </c>
      <c r="AH373">
        <v>17.2771204641586</v>
      </c>
      <c r="AI373">
        <v>93.655340446574797</v>
      </c>
      <c r="AJ373">
        <v>84.183371577973901</v>
      </c>
      <c r="AK373">
        <v>17.401937112880901</v>
      </c>
      <c r="AL373">
        <v>89.700929696819799</v>
      </c>
      <c r="AM373">
        <v>93.513248252893106</v>
      </c>
      <c r="AN373">
        <v>1.00000004164872</v>
      </c>
    </row>
    <row r="374" spans="1:40" x14ac:dyDescent="0.3">
      <c r="A374" t="str">
        <f>"20200111160412566"</f>
        <v>20200111160412566</v>
      </c>
      <c r="B374" t="str">
        <f>"1578729852561147"</f>
        <v>1578729852561147</v>
      </c>
      <c r="C374" t="s">
        <v>40</v>
      </c>
      <c r="D374">
        <v>5.1071470000000003</v>
      </c>
      <c r="E374">
        <v>0.56355149999999998</v>
      </c>
      <c r="F374" t="s">
        <v>42</v>
      </c>
      <c r="G374">
        <v>-380.90730000000002</v>
      </c>
      <c r="H374">
        <v>1.051121</v>
      </c>
      <c r="I374">
        <v>367.29140000000001</v>
      </c>
      <c r="J374">
        <v>-381.60539999999997</v>
      </c>
      <c r="K374">
        <v>1.1094520000000001</v>
      </c>
      <c r="L374">
        <v>367.38380000000001</v>
      </c>
      <c r="M374">
        <v>0.99995730000000005</v>
      </c>
      <c r="N374">
        <v>0</v>
      </c>
      <c r="O374">
        <v>2.83709E-3</v>
      </c>
      <c r="P374">
        <v>0.99794919999999998</v>
      </c>
      <c r="Q374">
        <v>-3.5632760000000002E-3</v>
      </c>
      <c r="R374">
        <v>6.3913860000000003E-2</v>
      </c>
      <c r="S374">
        <v>3.024902</v>
      </c>
      <c r="T374">
        <v>-0.19240650000000001</v>
      </c>
      <c r="U374">
        <v>-0.30160520000000002</v>
      </c>
      <c r="V374">
        <v>-6.1082409999999997E-2</v>
      </c>
      <c r="W374">
        <v>5.2192609999999898E-3</v>
      </c>
      <c r="X374">
        <v>0.99811910000000004</v>
      </c>
      <c r="Y374">
        <v>0.1018288</v>
      </c>
      <c r="Z374">
        <v>-3.4071399999999999E-3</v>
      </c>
      <c r="AA374">
        <v>0.99479609999999996</v>
      </c>
      <c r="AB374">
        <v>40</v>
      </c>
      <c r="AC374">
        <v>0.69809999999995398</v>
      </c>
      <c r="AD374">
        <v>-5.8331000000000098E-2</v>
      </c>
      <c r="AE374">
        <v>-9.2399999999997803E-2</v>
      </c>
      <c r="AF374">
        <v>9.3737097204042205E-2</v>
      </c>
      <c r="AG374">
        <v>-5.8331000000000098E-2</v>
      </c>
      <c r="AH374">
        <v>0.69307944664667098</v>
      </c>
      <c r="AI374">
        <v>94.767590463690098</v>
      </c>
      <c r="AJ374">
        <v>82.297639215533906</v>
      </c>
      <c r="AK374">
        <v>0.70181783129049602</v>
      </c>
      <c r="AL374">
        <v>89.700957020696407</v>
      </c>
      <c r="AM374">
        <v>93.501991952431894</v>
      </c>
      <c r="AN374">
        <v>1.0000000196408001</v>
      </c>
    </row>
    <row r="375" spans="1:40" x14ac:dyDescent="0.3">
      <c r="A375" t="str">
        <f>"20200111160412577"</f>
        <v>20200111160412577</v>
      </c>
      <c r="B375" t="str">
        <f>"1578729852570908"</f>
        <v>1578729852570908</v>
      </c>
      <c r="C375" t="s">
        <v>40</v>
      </c>
      <c r="D375">
        <v>5.1275259999999996</v>
      </c>
      <c r="E375">
        <v>0.56379319999999999</v>
      </c>
      <c r="F375" t="s">
        <v>42</v>
      </c>
      <c r="G375">
        <v>-380.55410000000001</v>
      </c>
      <c r="H375">
        <v>1.0424180000000001</v>
      </c>
      <c r="I375">
        <v>367.27749999999997</v>
      </c>
      <c r="J375">
        <v>-381.39519999999999</v>
      </c>
      <c r="K375">
        <v>1.109453</v>
      </c>
      <c r="L375">
        <v>367.38440000000003</v>
      </c>
      <c r="M375">
        <v>0.99995710000000004</v>
      </c>
      <c r="N375">
        <v>0</v>
      </c>
      <c r="O375">
        <v>2.8422859999999999E-3</v>
      </c>
      <c r="P375">
        <v>0.99794499999999997</v>
      </c>
      <c r="Q375">
        <v>-3.6493039999999999E-3</v>
      </c>
      <c r="R375">
        <v>6.3974160000000002E-2</v>
      </c>
      <c r="S375">
        <v>3.0249329999999999</v>
      </c>
      <c r="T375">
        <v>-0.19311400000000001</v>
      </c>
      <c r="U375">
        <v>-0.30447390000000002</v>
      </c>
      <c r="V375">
        <v>-6.1137169999999998E-2</v>
      </c>
      <c r="W375">
        <v>5.143445E-3</v>
      </c>
      <c r="X375">
        <v>0.99811609999999995</v>
      </c>
      <c r="Y375">
        <v>0.1027636</v>
      </c>
      <c r="Z375">
        <v>-3.4495110000000002E-3</v>
      </c>
      <c r="AA375">
        <v>0.99469980000000002</v>
      </c>
      <c r="AB375">
        <v>40</v>
      </c>
      <c r="AC375">
        <v>0.84109999999998297</v>
      </c>
      <c r="AD375">
        <v>-6.70349999999999E-2</v>
      </c>
      <c r="AE375">
        <v>-0.106900000000052</v>
      </c>
      <c r="AF375">
        <v>0.10861137926818699</v>
      </c>
      <c r="AG375">
        <v>-6.70349999999999E-2</v>
      </c>
      <c r="AH375">
        <v>0.83556961348221703</v>
      </c>
      <c r="AI375">
        <v>94.5487237011491</v>
      </c>
      <c r="AJ375">
        <v>82.593942260824804</v>
      </c>
      <c r="AK375">
        <v>0.84526132166706902</v>
      </c>
      <c r="AL375">
        <v>89.705301003715604</v>
      </c>
      <c r="AM375">
        <v>93.505134151623096</v>
      </c>
      <c r="AN375">
        <v>0.99999997883064295</v>
      </c>
    </row>
    <row r="376" spans="1:40" x14ac:dyDescent="0.3">
      <c r="A376" t="str">
        <f>"20200111160412590"</f>
        <v>20200111160412590</v>
      </c>
      <c r="B376" t="str">
        <f>"1578729852580667"</f>
        <v>1578729852580667</v>
      </c>
      <c r="C376" t="s">
        <v>40</v>
      </c>
      <c r="D376">
        <v>5.1233740000000001</v>
      </c>
      <c r="E376">
        <v>0.56400220000000001</v>
      </c>
      <c r="F376" t="s">
        <v>42</v>
      </c>
      <c r="G376">
        <v>-380.54079999999999</v>
      </c>
      <c r="H376">
        <v>1.0547899999999999</v>
      </c>
      <c r="I376">
        <v>367.29750000000001</v>
      </c>
      <c r="J376">
        <v>-381.16629999999998</v>
      </c>
      <c r="K376">
        <v>1.1094569999999999</v>
      </c>
      <c r="L376">
        <v>367.38499999999999</v>
      </c>
      <c r="M376">
        <v>0.99995719999999999</v>
      </c>
      <c r="N376">
        <v>0</v>
      </c>
      <c r="O376">
        <v>2.8475990000000001E-3</v>
      </c>
      <c r="P376">
        <v>0.99794539999999998</v>
      </c>
      <c r="Q376">
        <v>-3.7825089999999999E-3</v>
      </c>
      <c r="R376">
        <v>6.3961180000000006E-2</v>
      </c>
      <c r="S376">
        <v>3.0250849999999998</v>
      </c>
      <c r="T376">
        <v>-0.1938288</v>
      </c>
      <c r="U376">
        <v>-0.30615229999999999</v>
      </c>
      <c r="V376">
        <v>-6.1119119999999999E-2</v>
      </c>
      <c r="W376">
        <v>5.0218540000000001E-3</v>
      </c>
      <c r="X376">
        <v>0.9981179</v>
      </c>
      <c r="Y376">
        <v>0.1033075</v>
      </c>
      <c r="Z376">
        <v>-3.479687E-3</v>
      </c>
      <c r="AA376">
        <v>0.99464339999999996</v>
      </c>
      <c r="AB376">
        <v>40</v>
      </c>
      <c r="AC376">
        <v>0.62549999999998795</v>
      </c>
      <c r="AD376">
        <v>-5.4667E-2</v>
      </c>
      <c r="AE376">
        <v>-8.7499999999977193E-2</v>
      </c>
      <c r="AF376">
        <v>8.86169969851235E-2</v>
      </c>
      <c r="AG376">
        <v>-5.4667E-2</v>
      </c>
      <c r="AH376">
        <v>0.62059895877086002</v>
      </c>
      <c r="AI376">
        <v>94.983753510818502</v>
      </c>
      <c r="AJ376">
        <v>81.873516493983104</v>
      </c>
      <c r="AK376">
        <v>0.62927300964775001</v>
      </c>
      <c r="AL376">
        <v>89.712267766631896</v>
      </c>
      <c r="AM376">
        <v>93.5040955790884</v>
      </c>
      <c r="AN376">
        <v>1.0000000540737799</v>
      </c>
    </row>
    <row r="377" spans="1:40" x14ac:dyDescent="0.3">
      <c r="A377" t="str">
        <f>"20200111160412602"</f>
        <v>20200111160412602</v>
      </c>
      <c r="B377" t="str">
        <f>"1578729852591403"</f>
        <v>1578729852591403</v>
      </c>
      <c r="C377" t="s">
        <v>40</v>
      </c>
      <c r="D377">
        <v>5.1157029999999999</v>
      </c>
      <c r="E377">
        <v>0.5642066</v>
      </c>
      <c r="F377" t="s">
        <v>42</v>
      </c>
      <c r="G377">
        <v>-380.19099999999997</v>
      </c>
      <c r="H377">
        <v>1.0465120000000001</v>
      </c>
      <c r="I377">
        <v>367.28579999999999</v>
      </c>
      <c r="J377">
        <v>-380.9511</v>
      </c>
      <c r="K377">
        <v>1.1094569999999999</v>
      </c>
      <c r="L377">
        <v>367.38569999999999</v>
      </c>
      <c r="M377">
        <v>0.99995699999999998</v>
      </c>
      <c r="N377">
        <v>0</v>
      </c>
      <c r="O377">
        <v>2.8526189999999998E-3</v>
      </c>
      <c r="P377">
        <v>0.99795719999999999</v>
      </c>
      <c r="Q377">
        <v>-3.8096359999999999E-3</v>
      </c>
      <c r="R377">
        <v>6.3772209999999996E-2</v>
      </c>
      <c r="S377">
        <v>3.0251769999999998</v>
      </c>
      <c r="T377">
        <v>-0.1952226</v>
      </c>
      <c r="U377">
        <v>-0.3077087</v>
      </c>
      <c r="V377">
        <v>-6.0924939999999997E-2</v>
      </c>
      <c r="W377">
        <v>5.0051649999999998E-3</v>
      </c>
      <c r="X377">
        <v>0.99812979999999996</v>
      </c>
      <c r="Y377">
        <v>0.103811899999999</v>
      </c>
      <c r="Z377">
        <v>-3.5209989999999999E-3</v>
      </c>
      <c r="AA377">
        <v>0.99459070000000005</v>
      </c>
      <c r="AB377">
        <v>40</v>
      </c>
      <c r="AC377">
        <v>0.76010000000002198</v>
      </c>
      <c r="AD377">
        <v>-6.2944999999999807E-2</v>
      </c>
      <c r="AE377">
        <v>-9.9899999999990996E-2</v>
      </c>
      <c r="AF377">
        <v>0.101384491185926</v>
      </c>
      <c r="AG377">
        <v>-6.2944999999999807E-2</v>
      </c>
      <c r="AH377">
        <v>0.75472410400240098</v>
      </c>
      <c r="AI377">
        <v>94.725261941212395</v>
      </c>
      <c r="AJ377">
        <v>82.349077503723905</v>
      </c>
      <c r="AK377">
        <v>0.76410036071203202</v>
      </c>
      <c r="AL377">
        <v>89.713223972016195</v>
      </c>
      <c r="AM377">
        <v>93.492948872410295</v>
      </c>
      <c r="AN377">
        <v>0.99999999881935997</v>
      </c>
    </row>
    <row r="378" spans="1:40" x14ac:dyDescent="0.3">
      <c r="A378" t="str">
        <f>"20200111160412614"</f>
        <v>20200111160412614</v>
      </c>
      <c r="B378" t="str">
        <f>"1578729852610924"</f>
        <v>1578729852610924</v>
      </c>
      <c r="C378" t="s">
        <v>40</v>
      </c>
      <c r="D378">
        <v>5.1966809999999999</v>
      </c>
      <c r="E378">
        <v>0.5644903</v>
      </c>
      <c r="F378" t="s">
        <v>41</v>
      </c>
      <c r="G378">
        <v>-363.77879999999999</v>
      </c>
      <c r="H378" s="1">
        <v>-3.359101E-6</v>
      </c>
      <c r="I378">
        <v>365.62540000000001</v>
      </c>
      <c r="J378">
        <v>-380.7328</v>
      </c>
      <c r="K378">
        <v>1.1094569999999999</v>
      </c>
      <c r="L378">
        <v>367.38630000000001</v>
      </c>
      <c r="M378">
        <v>0.99995690000000004</v>
      </c>
      <c r="N378">
        <v>0</v>
      </c>
      <c r="O378">
        <v>2.8576410000000002E-3</v>
      </c>
      <c r="P378">
        <v>0.99796320000000005</v>
      </c>
      <c r="Q378">
        <v>-3.8916469999999998E-3</v>
      </c>
      <c r="R378">
        <v>6.3672999999999993E-2</v>
      </c>
      <c r="S378">
        <v>3.0252080000000001</v>
      </c>
      <c r="T378">
        <v>-0.1954505</v>
      </c>
      <c r="U378">
        <v>-0.31008909999999901</v>
      </c>
      <c r="V378">
        <v>-6.0820720000000002E-2</v>
      </c>
      <c r="W378">
        <v>4.933163E-3</v>
      </c>
      <c r="X378">
        <v>0.99813649999999998</v>
      </c>
      <c r="Y378">
        <v>0.10458820000000001</v>
      </c>
      <c r="Z378">
        <v>-3.5502379999999998E-3</v>
      </c>
      <c r="AA378">
        <v>0.99450930000000004</v>
      </c>
      <c r="AB378">
        <v>40</v>
      </c>
      <c r="AC378">
        <v>16.954000000000001</v>
      </c>
      <c r="AD378">
        <v>-1.1094603591009999</v>
      </c>
      <c r="AE378">
        <v>-1.7608999999999899</v>
      </c>
      <c r="AF378">
        <v>1.80170998837336</v>
      </c>
      <c r="AG378">
        <v>-1.1094603591009999</v>
      </c>
      <c r="AH378">
        <v>16.877395475359599</v>
      </c>
      <c r="AI378">
        <v>93.739822272681494</v>
      </c>
      <c r="AJ378">
        <v>83.906589765519499</v>
      </c>
      <c r="AK378">
        <v>17.0095131970998</v>
      </c>
      <c r="AL378">
        <v>89.717349429584701</v>
      </c>
      <c r="AM378">
        <v>93.486965138074297</v>
      </c>
      <c r="AN378">
        <v>0.99999998435537596</v>
      </c>
    </row>
    <row r="379" spans="1:40" x14ac:dyDescent="0.3">
      <c r="A379" t="str">
        <f>"20200111160412632"</f>
        <v>20200111160412632</v>
      </c>
      <c r="B379" t="str">
        <f>"1578729852620683"</f>
        <v>1578729852620683</v>
      </c>
      <c r="C379" t="s">
        <v>40</v>
      </c>
      <c r="D379">
        <v>5.1471260000000001</v>
      </c>
      <c r="E379">
        <v>0.56478339999999905</v>
      </c>
      <c r="F379" t="s">
        <v>42</v>
      </c>
      <c r="G379">
        <v>-379.82679999999999</v>
      </c>
      <c r="H379">
        <v>1.0506530000000001</v>
      </c>
      <c r="I379">
        <v>367.29250000000002</v>
      </c>
      <c r="J379">
        <v>-380.42529999999999</v>
      </c>
      <c r="K379">
        <v>1.109453</v>
      </c>
      <c r="L379">
        <v>367.38720000000001</v>
      </c>
      <c r="M379">
        <v>0.99995679999999998</v>
      </c>
      <c r="N379">
        <v>0</v>
      </c>
      <c r="O379">
        <v>2.864971E-3</v>
      </c>
      <c r="P379">
        <v>0.99799559999999998</v>
      </c>
      <c r="Q379">
        <v>-4.0603449999999999E-3</v>
      </c>
      <c r="R379">
        <v>6.3157260000000007E-2</v>
      </c>
      <c r="S379">
        <v>3.0252690000000002</v>
      </c>
      <c r="T379">
        <v>-0.19646749999999999</v>
      </c>
      <c r="U379">
        <v>-0.31213380000000002</v>
      </c>
      <c r="V379">
        <v>-6.0297700000000003E-2</v>
      </c>
      <c r="W379">
        <v>4.7786690000000001E-3</v>
      </c>
      <c r="X379">
        <v>0.99816899999999997</v>
      </c>
      <c r="Y379">
        <v>0.1052549</v>
      </c>
      <c r="Z379">
        <v>-3.5905210000000002E-3</v>
      </c>
      <c r="AA379">
        <v>0.99443879999999996</v>
      </c>
      <c r="AB379">
        <v>40</v>
      </c>
      <c r="AC379">
        <v>0.59850000000000103</v>
      </c>
      <c r="AD379">
        <v>-5.8799999999999901E-2</v>
      </c>
      <c r="AE379">
        <v>-9.4699999999988904E-2</v>
      </c>
      <c r="AF379">
        <v>9.5514952028955394E-2</v>
      </c>
      <c r="AG379">
        <v>-5.8799999999999901E-2</v>
      </c>
      <c r="AH379">
        <v>0.59264560433219005</v>
      </c>
      <c r="AI379">
        <v>95.594397443410401</v>
      </c>
      <c r="AJ379">
        <v>80.844536223598595</v>
      </c>
      <c r="AK379">
        <v>0.60316611177631696</v>
      </c>
      <c r="AL379">
        <v>89.726201392658695</v>
      </c>
      <c r="AM379">
        <v>93.456940177637506</v>
      </c>
      <c r="AN379">
        <v>1.0000000004318499</v>
      </c>
    </row>
    <row r="380" spans="1:40" x14ac:dyDescent="0.3">
      <c r="A380" t="str">
        <f>"20200111160412646"</f>
        <v>20200111160412646</v>
      </c>
      <c r="B380" t="str">
        <f>"1578729852641180"</f>
        <v>1578729852641180</v>
      </c>
      <c r="C380" t="s">
        <v>40</v>
      </c>
      <c r="D380">
        <v>5.1285749999999997</v>
      </c>
      <c r="E380">
        <v>0.56540349999999995</v>
      </c>
      <c r="F380" t="s">
        <v>42</v>
      </c>
      <c r="G380">
        <v>-379.46809999999999</v>
      </c>
      <c r="H380">
        <v>1.04735</v>
      </c>
      <c r="I380">
        <v>367.2869</v>
      </c>
      <c r="J380">
        <v>-380.17110000000002</v>
      </c>
      <c r="K380">
        <v>1.1094539999999999</v>
      </c>
      <c r="L380">
        <v>367.3879</v>
      </c>
      <c r="M380">
        <v>0.99995650000000003</v>
      </c>
      <c r="N380">
        <v>0</v>
      </c>
      <c r="O380">
        <v>2.8711209999999999E-3</v>
      </c>
      <c r="P380">
        <v>0.99800339999999998</v>
      </c>
      <c r="Q380">
        <v>-4.2252540000000003E-3</v>
      </c>
      <c r="R380">
        <v>6.3018459999999998E-2</v>
      </c>
      <c r="S380">
        <v>3.025299</v>
      </c>
      <c r="T380">
        <v>-0.19641230000000001</v>
      </c>
      <c r="U380">
        <v>-0.3164978</v>
      </c>
      <c r="V380">
        <v>-6.0152570000000002E-2</v>
      </c>
      <c r="W380">
        <v>4.6246530000000003E-3</v>
      </c>
      <c r="X380">
        <v>0.99817849999999997</v>
      </c>
      <c r="Y380">
        <v>0.1066762</v>
      </c>
      <c r="Z380">
        <v>-3.6355749999999998E-3</v>
      </c>
      <c r="AA380">
        <v>0.99428709999999998</v>
      </c>
      <c r="AB380">
        <v>40</v>
      </c>
      <c r="AC380">
        <v>0.70300000000003104</v>
      </c>
      <c r="AD380">
        <v>-6.2104000000000097E-2</v>
      </c>
      <c r="AE380">
        <v>-0.10099999999999899</v>
      </c>
      <c r="AF380">
        <v>0.102236324194186</v>
      </c>
      <c r="AG380">
        <v>-6.2104000000000097E-2</v>
      </c>
      <c r="AH380">
        <v>0.69737472061943695</v>
      </c>
      <c r="AI380">
        <v>95.035450745625695</v>
      </c>
      <c r="AJ380">
        <v>81.659752009625393</v>
      </c>
      <c r="AK380">
        <v>0.70755966091897704</v>
      </c>
      <c r="AL380">
        <v>89.735025961759504</v>
      </c>
      <c r="AM380">
        <v>93.448607061772606</v>
      </c>
      <c r="AN380">
        <v>1.0000000184776101</v>
      </c>
    </row>
    <row r="381" spans="1:40" x14ac:dyDescent="0.3">
      <c r="A381" t="str">
        <f>"20200111160412658"</f>
        <v>20200111160412658</v>
      </c>
      <c r="B381" t="str">
        <f>"1578729852650940"</f>
        <v>1578729852650940</v>
      </c>
      <c r="C381" t="s">
        <v>40</v>
      </c>
      <c r="D381">
        <v>5.1247069999999999</v>
      </c>
      <c r="E381">
        <v>0.5658223</v>
      </c>
      <c r="F381" t="s">
        <v>42</v>
      </c>
      <c r="G381">
        <v>-379.11020000000002</v>
      </c>
      <c r="H381">
        <v>1.041067</v>
      </c>
      <c r="I381">
        <v>367.27449999999999</v>
      </c>
      <c r="J381">
        <v>-379.91890000000001</v>
      </c>
      <c r="K381">
        <v>1.1094539999999999</v>
      </c>
      <c r="L381">
        <v>367.3886</v>
      </c>
      <c r="M381">
        <v>0.99995650000000003</v>
      </c>
      <c r="N381">
        <v>0</v>
      </c>
      <c r="O381">
        <v>2.8771550000000002E-3</v>
      </c>
      <c r="P381">
        <v>0.99802000000000002</v>
      </c>
      <c r="Q381">
        <v>-4.3161470000000002E-3</v>
      </c>
      <c r="R381">
        <v>6.2748230000000002E-2</v>
      </c>
      <c r="S381">
        <v>3.0254819999999998</v>
      </c>
      <c r="T381">
        <v>-0.19534019999999999</v>
      </c>
      <c r="U381">
        <v>-0.32177729999999999</v>
      </c>
      <c r="V381">
        <v>-5.987605E-2</v>
      </c>
      <c r="W381">
        <v>4.5445440000000002E-3</v>
      </c>
      <c r="X381">
        <v>0.99819550000000001</v>
      </c>
      <c r="Y381">
        <v>0.1083908</v>
      </c>
      <c r="Z381">
        <v>-3.6707530000000001E-3</v>
      </c>
      <c r="AA381">
        <v>0.99410160000000003</v>
      </c>
      <c r="AB381">
        <v>40</v>
      </c>
      <c r="AC381">
        <v>0.80869999999998698</v>
      </c>
      <c r="AD381">
        <v>-6.8387000000000198E-2</v>
      </c>
      <c r="AE381">
        <v>-0.114100000000007</v>
      </c>
      <c r="AF381">
        <v>0.11561573315842499</v>
      </c>
      <c r="AG381">
        <v>-6.8387000000000198E-2</v>
      </c>
      <c r="AH381">
        <v>0.80273993360368801</v>
      </c>
      <c r="AI381">
        <v>94.819886785727206</v>
      </c>
      <c r="AJ381">
        <v>81.8042554628896</v>
      </c>
      <c r="AK381">
        <v>0.81390121054389197</v>
      </c>
      <c r="AL381">
        <v>89.739615919273007</v>
      </c>
      <c r="AM381">
        <v>93.4327335681525</v>
      </c>
      <c r="AN381">
        <v>1.00000002523201</v>
      </c>
    </row>
    <row r="382" spans="1:40" x14ac:dyDescent="0.3">
      <c r="A382" t="str">
        <f>"20200111160412678"</f>
        <v>20200111160412678</v>
      </c>
      <c r="B382" t="str">
        <f>"1578729852671436"</f>
        <v>1578729852671436</v>
      </c>
      <c r="C382" t="s">
        <v>40</v>
      </c>
      <c r="D382">
        <v>5.1173699999999904</v>
      </c>
      <c r="E382">
        <v>0.56652559999999996</v>
      </c>
      <c r="F382" t="s">
        <v>41</v>
      </c>
      <c r="G382">
        <v>-362.68920000000003</v>
      </c>
      <c r="H382" s="1">
        <v>-3.8430939999999999E-6</v>
      </c>
      <c r="I382">
        <v>365.53210000000001</v>
      </c>
      <c r="J382">
        <v>-379.59379999999999</v>
      </c>
      <c r="K382">
        <v>1.109456</v>
      </c>
      <c r="L382">
        <v>367.3895</v>
      </c>
      <c r="M382">
        <v>0.99995639999999997</v>
      </c>
      <c r="N382">
        <v>0</v>
      </c>
      <c r="O382">
        <v>2.8848459999999999E-3</v>
      </c>
      <c r="P382">
        <v>0.99802449999999998</v>
      </c>
      <c r="Q382">
        <v>-4.3061660000000002E-3</v>
      </c>
      <c r="R382">
        <v>6.2680949999999999E-2</v>
      </c>
      <c r="S382">
        <v>3.025604</v>
      </c>
      <c r="T382">
        <v>-0.1948233</v>
      </c>
      <c r="U382">
        <v>-0.32598880000000002</v>
      </c>
      <c r="V382">
        <v>-5.9801790000000001E-2</v>
      </c>
      <c r="W382">
        <v>4.5674319999999997E-3</v>
      </c>
      <c r="X382">
        <v>0.99819979999999997</v>
      </c>
      <c r="Y382">
        <v>0.1097607</v>
      </c>
      <c r="Z382">
        <v>-3.7050659999999999E-3</v>
      </c>
      <c r="AA382">
        <v>0.99395109999999998</v>
      </c>
      <c r="AB382">
        <v>40</v>
      </c>
      <c r="AC382">
        <v>16.904599999999899</v>
      </c>
      <c r="AD382">
        <v>-1.1094598430939999</v>
      </c>
      <c r="AE382">
        <v>-1.85739999999998</v>
      </c>
      <c r="AF382">
        <v>1.8980831181201401</v>
      </c>
      <c r="AG382">
        <v>-1.1094598430939999</v>
      </c>
      <c r="AH382">
        <v>16.8275530469204</v>
      </c>
      <c r="AI382">
        <v>93.748415277425295</v>
      </c>
      <c r="AJ382">
        <v>83.564458012752397</v>
      </c>
      <c r="AK382">
        <v>16.970567527741999</v>
      </c>
      <c r="AL382">
        <v>89.738304507565402</v>
      </c>
      <c r="AM382">
        <v>93.428471621095795</v>
      </c>
      <c r="AN382">
        <v>0.99999997812115904</v>
      </c>
    </row>
    <row r="383" spans="1:40" x14ac:dyDescent="0.3">
      <c r="A383" t="str">
        <f>"20200111160412700"</f>
        <v>20200111160412700</v>
      </c>
      <c r="B383" t="str">
        <f>"1578729852690955"</f>
        <v>1578729852690955</v>
      </c>
      <c r="C383" t="s">
        <v>40</v>
      </c>
      <c r="D383">
        <v>5.1637680000000001</v>
      </c>
      <c r="E383">
        <v>0.56696329999999995</v>
      </c>
      <c r="F383" t="s">
        <v>42</v>
      </c>
      <c r="G383">
        <v>-378.73</v>
      </c>
      <c r="H383">
        <v>1.0541720000000001</v>
      </c>
      <c r="I383">
        <v>367.2946</v>
      </c>
      <c r="J383">
        <v>-379.18329999999997</v>
      </c>
      <c r="K383">
        <v>1.1094630000000001</v>
      </c>
      <c r="L383">
        <v>367.39069999999998</v>
      </c>
      <c r="M383">
        <v>0.99995619999999996</v>
      </c>
      <c r="N383">
        <v>0</v>
      </c>
      <c r="O383">
        <v>2.894017E-3</v>
      </c>
      <c r="P383">
        <v>0.99802800000000003</v>
      </c>
      <c r="Q383">
        <v>-3.870606E-3</v>
      </c>
      <c r="R383">
        <v>6.2651620000000005E-2</v>
      </c>
      <c r="S383">
        <v>3.02597</v>
      </c>
      <c r="T383">
        <v>-0.1937932</v>
      </c>
      <c r="U383">
        <v>-0.33187870000000003</v>
      </c>
      <c r="V383">
        <v>-5.9762629999999997E-2</v>
      </c>
      <c r="W383">
        <v>5.0185159999999998E-3</v>
      </c>
      <c r="X383">
        <v>0.99819999999999998</v>
      </c>
      <c r="Y383">
        <v>0.1116675</v>
      </c>
      <c r="Z383">
        <v>-3.7460900000000001E-3</v>
      </c>
      <c r="AA383">
        <v>0.99373860000000003</v>
      </c>
      <c r="AB383">
        <v>40</v>
      </c>
      <c r="AC383">
        <v>0.45329999999995602</v>
      </c>
      <c r="AD383">
        <v>-5.5290999999999903E-2</v>
      </c>
      <c r="AE383">
        <v>-9.6099999999978494E-2</v>
      </c>
      <c r="AF383">
        <v>9.6044047092205598E-2</v>
      </c>
      <c r="AG383">
        <v>-5.5290999999999903E-2</v>
      </c>
      <c r="AH383">
        <v>0.446660492395972</v>
      </c>
      <c r="AI383">
        <v>96.900454100380401</v>
      </c>
      <c r="AJ383">
        <v>77.8646434827305</v>
      </c>
      <c r="AK383">
        <v>0.46020337800831301</v>
      </c>
      <c r="AL383">
        <v>89.712459006428105</v>
      </c>
      <c r="AM383">
        <v>93.426231220571395</v>
      </c>
      <c r="AN383">
        <v>0.99999999872367895</v>
      </c>
    </row>
    <row r="384" spans="1:40" x14ac:dyDescent="0.3">
      <c r="A384" t="str">
        <f>"20200111160412713"</f>
        <v>20200111160412713</v>
      </c>
      <c r="B384" t="str">
        <f>"1578729852700716"</f>
        <v>1578729852700716</v>
      </c>
      <c r="C384" t="s">
        <v>40</v>
      </c>
      <c r="D384">
        <v>5.1376999999999997</v>
      </c>
      <c r="E384">
        <v>0.56724049999999904</v>
      </c>
      <c r="F384" t="s">
        <v>41</v>
      </c>
      <c r="G384">
        <v>-361.63889999999998</v>
      </c>
      <c r="H384" s="1">
        <v>-4.3092180000000003E-6</v>
      </c>
      <c r="I384">
        <v>365.4443</v>
      </c>
      <c r="J384">
        <v>-378.95319999999998</v>
      </c>
      <c r="K384">
        <v>1.109464</v>
      </c>
      <c r="L384">
        <v>367.39139999999998</v>
      </c>
      <c r="M384">
        <v>0.99995619999999996</v>
      </c>
      <c r="N384">
        <v>0</v>
      </c>
      <c r="O384">
        <v>2.899226E-3</v>
      </c>
      <c r="P384">
        <v>0.99802480000000005</v>
      </c>
      <c r="Q384">
        <v>-3.6651029999999999E-3</v>
      </c>
      <c r="R384">
        <v>6.2715629999999994E-2</v>
      </c>
      <c r="S384">
        <v>3.0262449999999999</v>
      </c>
      <c r="T384">
        <v>-0.1913726</v>
      </c>
      <c r="U384">
        <v>-0.33572390000000002</v>
      </c>
      <c r="V384">
        <v>-5.9821590000000001E-2</v>
      </c>
      <c r="W384">
        <v>5.2326129999999997E-3</v>
      </c>
      <c r="X384">
        <v>0.99819539999999995</v>
      </c>
      <c r="Y384">
        <v>0.11291370000000001</v>
      </c>
      <c r="Z384">
        <v>-3.738374E-3</v>
      </c>
      <c r="AA384">
        <v>0.99359770000000003</v>
      </c>
      <c r="AB384">
        <v>41</v>
      </c>
      <c r="AC384">
        <v>17.314299999999999</v>
      </c>
      <c r="AD384">
        <v>-1.109468309218</v>
      </c>
      <c r="AE384">
        <v>-1.9470999999999701</v>
      </c>
      <c r="AF384">
        <v>1.9892260948325999</v>
      </c>
      <c r="AG384">
        <v>-1.109468309218</v>
      </c>
      <c r="AH384">
        <v>17.238683685066999</v>
      </c>
      <c r="AI384">
        <v>93.658224604479699</v>
      </c>
      <c r="AJ384">
        <v>83.417572501839601</v>
      </c>
      <c r="AK384">
        <v>17.388506421752101</v>
      </c>
      <c r="AL384">
        <v>89.700192000040104</v>
      </c>
      <c r="AM384">
        <v>93.429619139068606</v>
      </c>
      <c r="AN384">
        <v>1.00000002972504</v>
      </c>
    </row>
    <row r="385" spans="1:40" x14ac:dyDescent="0.3">
      <c r="A385" t="str">
        <f>"20200111160412727"</f>
        <v>20200111160412727</v>
      </c>
      <c r="B385" t="str">
        <f>"1578729852721211"</f>
        <v>1578729852721211</v>
      </c>
      <c r="C385" t="s">
        <v>40</v>
      </c>
      <c r="D385">
        <v>5.2250779999999999</v>
      </c>
      <c r="E385">
        <v>0.56785769999999902</v>
      </c>
      <c r="F385" t="s">
        <v>42</v>
      </c>
      <c r="G385">
        <v>-378.01499999999999</v>
      </c>
      <c r="H385">
        <v>1.0503610000000001</v>
      </c>
      <c r="I385">
        <v>367.2867</v>
      </c>
      <c r="J385">
        <v>-378.70830000000001</v>
      </c>
      <c r="K385">
        <v>1.1094649999999999</v>
      </c>
      <c r="L385">
        <v>367.39210000000003</v>
      </c>
      <c r="M385">
        <v>0.99995599999999996</v>
      </c>
      <c r="N385">
        <v>0</v>
      </c>
      <c r="O385">
        <v>2.904729E-3</v>
      </c>
      <c r="P385">
        <v>0.99801830000000002</v>
      </c>
      <c r="Q385">
        <v>-3.7000589999999999E-3</v>
      </c>
      <c r="R385">
        <v>6.2816839999999999E-2</v>
      </c>
      <c r="S385">
        <v>3.0263979999999999</v>
      </c>
      <c r="T385">
        <v>-0.19075239999999999</v>
      </c>
      <c r="U385">
        <v>-0.33712769999999997</v>
      </c>
      <c r="V385">
        <v>-5.9917270000000002E-2</v>
      </c>
      <c r="W385">
        <v>5.2059109999999997E-3</v>
      </c>
      <c r="X385">
        <v>0.99818969999999996</v>
      </c>
      <c r="Y385">
        <v>0.1133695</v>
      </c>
      <c r="Z385">
        <v>-3.740653E-3</v>
      </c>
      <c r="AA385">
        <v>0.99354580000000003</v>
      </c>
      <c r="AB385">
        <v>41</v>
      </c>
      <c r="AC385">
        <v>0.69330000000002101</v>
      </c>
      <c r="AD385">
        <v>-5.9103999999999803E-2</v>
      </c>
      <c r="AE385">
        <v>-0.105400000000031</v>
      </c>
      <c r="AF385">
        <v>0.10665586153569601</v>
      </c>
      <c r="AG385">
        <v>-5.9103999999999803E-2</v>
      </c>
      <c r="AH385">
        <v>0.68810301233537796</v>
      </c>
      <c r="AI385">
        <v>94.851667518597395</v>
      </c>
      <c r="AJ385">
        <v>81.189275582450307</v>
      </c>
      <c r="AK385">
        <v>0.69882366245065197</v>
      </c>
      <c r="AL385">
        <v>89.701721902684298</v>
      </c>
      <c r="AM385">
        <v>93.435110993055105</v>
      </c>
      <c r="AN385">
        <v>0.99999992896983803</v>
      </c>
    </row>
    <row r="386" spans="1:40" x14ac:dyDescent="0.3">
      <c r="A386" t="str">
        <f>"20200111160412742"</f>
        <v>20200111160412742</v>
      </c>
      <c r="B386" t="str">
        <f>"1578729852730971"</f>
        <v>1578729852730971</v>
      </c>
      <c r="C386" t="s">
        <v>40</v>
      </c>
      <c r="D386">
        <v>5.1682230000000002</v>
      </c>
      <c r="E386">
        <v>0.56810309999999997</v>
      </c>
      <c r="F386" t="s">
        <v>42</v>
      </c>
      <c r="G386">
        <v>-377.65539999999999</v>
      </c>
      <c r="H386">
        <v>1.043237</v>
      </c>
      <c r="I386">
        <v>367.27280000000002</v>
      </c>
      <c r="J386">
        <v>-378.39789999999999</v>
      </c>
      <c r="K386">
        <v>1.109467</v>
      </c>
      <c r="L386">
        <v>367.39299999999997</v>
      </c>
      <c r="M386">
        <v>0.99995599999999996</v>
      </c>
      <c r="N386">
        <v>0</v>
      </c>
      <c r="O386">
        <v>2.9118920000000001E-3</v>
      </c>
      <c r="P386">
        <v>0.99803920000000002</v>
      </c>
      <c r="Q386">
        <v>-4.2744280000000003E-3</v>
      </c>
      <c r="R386">
        <v>6.2449820000000003E-2</v>
      </c>
      <c r="S386">
        <v>3.026764</v>
      </c>
      <c r="T386">
        <v>-0.19065480000000001</v>
      </c>
      <c r="U386">
        <v>-0.34173579999999998</v>
      </c>
      <c r="V386">
        <v>-5.9543319999999997E-2</v>
      </c>
      <c r="W386">
        <v>4.6427719999999999E-3</v>
      </c>
      <c r="X386">
        <v>0.99821490000000002</v>
      </c>
      <c r="Y386">
        <v>0.1148546</v>
      </c>
      <c r="Z386">
        <v>-3.785006E-3</v>
      </c>
      <c r="AA386">
        <v>0.99337509999999996</v>
      </c>
      <c r="AB386">
        <v>41</v>
      </c>
      <c r="AC386">
        <v>0.74250000000000604</v>
      </c>
      <c r="AD386">
        <v>-6.6229999999999997E-2</v>
      </c>
      <c r="AE386">
        <v>-0.12020000000001101</v>
      </c>
      <c r="AF386">
        <v>0.12142025914244101</v>
      </c>
      <c r="AG386">
        <v>-6.6229999999999997E-2</v>
      </c>
      <c r="AH386">
        <v>0.73643707582801898</v>
      </c>
      <c r="AI386">
        <v>95.070860427366199</v>
      </c>
      <c r="AJ386">
        <v>80.637572333379495</v>
      </c>
      <c r="AK386">
        <v>0.749312257262846</v>
      </c>
      <c r="AL386">
        <v>89.733987796688496</v>
      </c>
      <c r="AM386">
        <v>93.413636986579306</v>
      </c>
      <c r="AN386">
        <v>0.99999997443523803</v>
      </c>
    </row>
    <row r="387" spans="1:40" x14ac:dyDescent="0.3">
      <c r="A387" t="str">
        <f>"20200111160412754"</f>
        <v>20200111160412754</v>
      </c>
      <c r="B387" t="str">
        <f>"1578729852751468"</f>
        <v>1578729852751468</v>
      </c>
      <c r="C387" t="s">
        <v>40</v>
      </c>
      <c r="D387">
        <v>5.1527240000000001</v>
      </c>
      <c r="E387">
        <v>0.56850500000000004</v>
      </c>
      <c r="F387" t="s">
        <v>41</v>
      </c>
      <c r="G387">
        <v>-360.98039999999997</v>
      </c>
      <c r="H387" s="1">
        <v>-4.5981780000000001E-6</v>
      </c>
      <c r="I387">
        <v>365.40789999999998</v>
      </c>
      <c r="J387">
        <v>-378.19110000000001</v>
      </c>
      <c r="K387">
        <v>1.1094660000000001</v>
      </c>
      <c r="L387">
        <v>367.39359999999999</v>
      </c>
      <c r="M387">
        <v>0.99995590000000001</v>
      </c>
      <c r="N387">
        <v>0</v>
      </c>
      <c r="O387">
        <v>2.9167469999999999E-3</v>
      </c>
      <c r="P387">
        <v>0.99805969999999999</v>
      </c>
      <c r="Q387">
        <v>-4.5497769999999996E-3</v>
      </c>
      <c r="R387">
        <v>6.209812E-2</v>
      </c>
      <c r="S387">
        <v>3.0266109999999999</v>
      </c>
      <c r="T387">
        <v>-0.19279060000000001</v>
      </c>
      <c r="U387">
        <v>-0.34494019999999997</v>
      </c>
      <c r="V387">
        <v>-5.9186879999999997E-2</v>
      </c>
      <c r="W387">
        <v>4.3752699999999997E-3</v>
      </c>
      <c r="X387">
        <v>0.99823729999999999</v>
      </c>
      <c r="Y387">
        <v>0.115896</v>
      </c>
      <c r="Z387">
        <v>-3.860624E-3</v>
      </c>
      <c r="AA387">
        <v>0.99325390000000002</v>
      </c>
      <c r="AB387">
        <v>41</v>
      </c>
      <c r="AC387">
        <v>17.210699999999999</v>
      </c>
      <c r="AD387">
        <v>-1.109470598178</v>
      </c>
      <c r="AE387">
        <v>-1.9857</v>
      </c>
      <c r="AF387">
        <v>2.0275776811924699</v>
      </c>
      <c r="AG387">
        <v>-1.109470598178</v>
      </c>
      <c r="AH387">
        <v>17.1345656336959</v>
      </c>
      <c r="AI387">
        <v>93.679156848054603</v>
      </c>
      <c r="AJ387">
        <v>83.251423956965795</v>
      </c>
      <c r="AK387">
        <v>17.289746548660698</v>
      </c>
      <c r="AL387">
        <v>89.749314687040695</v>
      </c>
      <c r="AM387">
        <v>93.393174097728405</v>
      </c>
      <c r="AN387">
        <v>0.99999996843149797</v>
      </c>
    </row>
    <row r="388" spans="1:40" x14ac:dyDescent="0.3">
      <c r="A388" t="str">
        <f>"20200111160412767"</f>
        <v>20200111160412767</v>
      </c>
      <c r="B388" t="str">
        <f>"1578729852761227"</f>
        <v>1578729852761227</v>
      </c>
      <c r="C388" t="s">
        <v>40</v>
      </c>
      <c r="D388">
        <v>5.1780229999999996</v>
      </c>
      <c r="E388">
        <v>0.56872279999999997</v>
      </c>
      <c r="F388" t="s">
        <v>42</v>
      </c>
      <c r="G388">
        <v>-377.28570000000002</v>
      </c>
      <c r="H388">
        <v>1.051787</v>
      </c>
      <c r="I388">
        <v>367.28910000000002</v>
      </c>
      <c r="J388">
        <v>-377.97629999999998</v>
      </c>
      <c r="K388">
        <v>1.1094649999999999</v>
      </c>
      <c r="L388">
        <v>367.39429999999999</v>
      </c>
      <c r="M388">
        <v>0.9999557</v>
      </c>
      <c r="N388">
        <v>0</v>
      </c>
      <c r="O388">
        <v>2.9217800000000001E-3</v>
      </c>
      <c r="P388">
        <v>0.99807140000000005</v>
      </c>
      <c r="Q388">
        <v>-4.6588569999999998E-3</v>
      </c>
      <c r="R388">
        <v>6.190358E-2</v>
      </c>
      <c r="S388">
        <v>3.026672</v>
      </c>
      <c r="T388">
        <v>-0.19283649999999999</v>
      </c>
      <c r="U388">
        <v>-0.34896850000000001</v>
      </c>
      <c r="V388">
        <v>-5.8987459999999999E-2</v>
      </c>
      <c r="W388">
        <v>4.2732270000000001E-3</v>
      </c>
      <c r="X388">
        <v>0.99824959999999996</v>
      </c>
      <c r="Y388">
        <v>0.1172007</v>
      </c>
      <c r="Z388">
        <v>-3.9028790000000002E-3</v>
      </c>
      <c r="AA388">
        <v>0.9931006</v>
      </c>
      <c r="AB388">
        <v>41</v>
      </c>
      <c r="AC388">
        <v>0.69059999999996002</v>
      </c>
      <c r="AD388">
        <v>-5.7677999999999903E-2</v>
      </c>
      <c r="AE388">
        <v>-0.105199999999968</v>
      </c>
      <c r="AF388">
        <v>0.106491441819917</v>
      </c>
      <c r="AG388">
        <v>-5.7677999999999903E-2</v>
      </c>
      <c r="AH388">
        <v>0.685615703895604</v>
      </c>
      <c r="AI388">
        <v>94.752019037667694</v>
      </c>
      <c r="AJ388">
        <v>81.1712319557694</v>
      </c>
      <c r="AK388">
        <v>0.69622989902269306</v>
      </c>
      <c r="AL388">
        <v>89.755161388335296</v>
      </c>
      <c r="AM388">
        <v>93.381726388333107</v>
      </c>
      <c r="AN388">
        <v>1.0000000224032</v>
      </c>
    </row>
    <row r="389" spans="1:40" x14ac:dyDescent="0.3">
      <c r="A389" t="str">
        <f>"20200111160412778"</f>
        <v>20200111160412778</v>
      </c>
      <c r="B389" t="str">
        <f>"1578729852770987"</f>
        <v>1578729852770987</v>
      </c>
      <c r="C389" t="s">
        <v>40</v>
      </c>
      <c r="D389">
        <v>5.1797940000000002</v>
      </c>
      <c r="E389">
        <v>0.5688879</v>
      </c>
      <c r="F389" t="s">
        <v>42</v>
      </c>
      <c r="G389">
        <v>-376.9264</v>
      </c>
      <c r="H389">
        <v>1.0428010000000001</v>
      </c>
      <c r="I389">
        <v>367.27199999999999</v>
      </c>
      <c r="J389">
        <v>-377.74149999999997</v>
      </c>
      <c r="K389">
        <v>1.1094649999999999</v>
      </c>
      <c r="L389">
        <v>367.39499999999998</v>
      </c>
      <c r="M389">
        <v>0.9999557</v>
      </c>
      <c r="N389">
        <v>0</v>
      </c>
      <c r="O389">
        <v>2.9272870000000002E-3</v>
      </c>
      <c r="P389">
        <v>0.99808249999999998</v>
      </c>
      <c r="Q389">
        <v>-4.9555709999999998E-3</v>
      </c>
      <c r="R389">
        <v>6.1699789999999997E-2</v>
      </c>
      <c r="S389">
        <v>3.0267029999999999</v>
      </c>
      <c r="T389">
        <v>-0.19246949999999999</v>
      </c>
      <c r="U389">
        <v>-0.3514099</v>
      </c>
      <c r="V389">
        <v>-5.8778080000000003E-2</v>
      </c>
      <c r="W389">
        <v>3.9847440000000001E-3</v>
      </c>
      <c r="X389">
        <v>0.99826309999999996</v>
      </c>
      <c r="Y389">
        <v>0.1179949</v>
      </c>
      <c r="Z389">
        <v>-3.9207360000000002E-3</v>
      </c>
      <c r="AA389">
        <v>0.99300650000000001</v>
      </c>
      <c r="AB389">
        <v>41</v>
      </c>
      <c r="AC389">
        <v>0.81509999999997196</v>
      </c>
      <c r="AD389">
        <v>-6.6663999999999807E-2</v>
      </c>
      <c r="AE389">
        <v>-0.12299999999999001</v>
      </c>
      <c r="AF389">
        <v>0.124570897671735</v>
      </c>
      <c r="AG389">
        <v>-6.6663999999999807E-2</v>
      </c>
      <c r="AH389">
        <v>0.80944262517377896</v>
      </c>
      <c r="AI389">
        <v>94.6535935625853</v>
      </c>
      <c r="AJ389">
        <v>81.250984519496399</v>
      </c>
      <c r="AK389">
        <v>0.82168081448392105</v>
      </c>
      <c r="AL389">
        <v>89.771690377337407</v>
      </c>
      <c r="AM389">
        <v>93.369704965190806</v>
      </c>
      <c r="AN389">
        <v>0.99999997884741998</v>
      </c>
    </row>
    <row r="390" spans="1:40" x14ac:dyDescent="0.3">
      <c r="A390" t="str">
        <f>"20200111160412800"</f>
        <v>20200111160412800</v>
      </c>
      <c r="B390" t="str">
        <f>"1578729852791483"</f>
        <v>1578729852791483</v>
      </c>
      <c r="C390" t="s">
        <v>40</v>
      </c>
      <c r="D390">
        <v>5.8764580000000004</v>
      </c>
      <c r="E390">
        <v>0.568990199999999</v>
      </c>
      <c r="F390" t="s">
        <v>41</v>
      </c>
      <c r="G390">
        <v>-360.32470000000001</v>
      </c>
      <c r="H390" s="1">
        <v>-4.8878050000000004E-6</v>
      </c>
      <c r="I390">
        <v>365.36090000000002</v>
      </c>
      <c r="J390">
        <v>-377.36900000000003</v>
      </c>
      <c r="K390">
        <v>1.109459</v>
      </c>
      <c r="L390">
        <v>367.39600000000002</v>
      </c>
      <c r="M390">
        <v>0.9999555</v>
      </c>
      <c r="N390">
        <v>0</v>
      </c>
      <c r="O390">
        <v>2.9361719999999999E-3</v>
      </c>
      <c r="P390">
        <v>0.99811539999999999</v>
      </c>
      <c r="Q390">
        <v>-5.1836429999999999E-3</v>
      </c>
      <c r="R390">
        <v>6.1143400000000001E-2</v>
      </c>
      <c r="S390">
        <v>3.0266419999999998</v>
      </c>
      <c r="T390">
        <v>-0.19279940000000001</v>
      </c>
      <c r="U390">
        <v>-0.35345460000000001</v>
      </c>
      <c r="V390">
        <v>-5.8212140000000002E-2</v>
      </c>
      <c r="W390">
        <v>3.7696909999999999E-3</v>
      </c>
      <c r="X390">
        <v>0.99829710000000005</v>
      </c>
      <c r="Y390">
        <v>0.1186656</v>
      </c>
      <c r="Z390">
        <v>-3.9492040000000004E-3</v>
      </c>
      <c r="AA390">
        <v>0.99292639999999999</v>
      </c>
      <c r="AB390">
        <v>41</v>
      </c>
      <c r="AC390">
        <v>17.0443</v>
      </c>
      <c r="AD390">
        <v>-1.109463887805</v>
      </c>
      <c r="AE390">
        <v>-2.03509999999994</v>
      </c>
      <c r="AF390">
        <v>2.0764637326847701</v>
      </c>
      <c r="AG390">
        <v>-1.109463887805</v>
      </c>
      <c r="AH390">
        <v>16.967369084926599</v>
      </c>
      <c r="AI390">
        <v>93.713509338561906</v>
      </c>
      <c r="AJ390">
        <v>83.022846116276</v>
      </c>
      <c r="AK390">
        <v>17.129921932560599</v>
      </c>
      <c r="AL390">
        <v>89.784012100155493</v>
      </c>
      <c r="AM390">
        <v>93.337220317656801</v>
      </c>
      <c r="AN390">
        <v>0.99999998184101202</v>
      </c>
    </row>
    <row r="391" spans="1:40" x14ac:dyDescent="0.3">
      <c r="A391" t="str">
        <f>"20200111160412824"</f>
        <v>20200111160412824</v>
      </c>
      <c r="B391" t="str">
        <f>"1578729852820764"</f>
        <v>1578729852820764</v>
      </c>
      <c r="C391" t="s">
        <v>40</v>
      </c>
      <c r="D391">
        <v>5.220853</v>
      </c>
      <c r="E391">
        <v>0.52268870000000001</v>
      </c>
      <c r="F391" t="s">
        <v>41</v>
      </c>
      <c r="G391">
        <v>-359.98880000000003</v>
      </c>
      <c r="H391" s="1">
        <v>-5.0337499999999999E-6</v>
      </c>
      <c r="I391">
        <v>365.35050000000001</v>
      </c>
      <c r="J391">
        <v>-376.91980000000001</v>
      </c>
      <c r="K391">
        <v>1.1094580000000001</v>
      </c>
      <c r="L391">
        <v>367.39729999999997</v>
      </c>
      <c r="M391">
        <v>0.99995540000000005</v>
      </c>
      <c r="N391">
        <v>0</v>
      </c>
      <c r="O391">
        <v>2.9468950000000002E-3</v>
      </c>
      <c r="P391">
        <v>0.99811819999999896</v>
      </c>
      <c r="Q391">
        <v>-5.6712350000000002E-3</v>
      </c>
      <c r="R391">
        <v>6.1058849999999998E-2</v>
      </c>
      <c r="S391">
        <v>3.0264890000000002</v>
      </c>
      <c r="T391">
        <v>-0.19319430000000001</v>
      </c>
      <c r="U391">
        <v>-0.35617070000000001</v>
      </c>
      <c r="V391">
        <v>-5.8117040000000002E-2</v>
      </c>
      <c r="W391">
        <v>3.296195E-3</v>
      </c>
      <c r="X391">
        <v>0.99830430000000003</v>
      </c>
      <c r="Y391">
        <v>0.1195582</v>
      </c>
      <c r="Z391">
        <v>-3.9863110000000002E-3</v>
      </c>
      <c r="AA391">
        <v>0.99281920000000001</v>
      </c>
      <c r="AB391">
        <v>41</v>
      </c>
      <c r="AC391">
        <v>16.930999999999901</v>
      </c>
      <c r="AD391">
        <v>-1.10946303375</v>
      </c>
      <c r="AE391">
        <v>-2.0467999999999602</v>
      </c>
      <c r="AF391">
        <v>2.0878509357799899</v>
      </c>
      <c r="AG391">
        <v>-1.10946303375</v>
      </c>
      <c r="AH391">
        <v>16.853567979649501</v>
      </c>
      <c r="AI391">
        <v>93.737831399346902</v>
      </c>
      <c r="AJ391">
        <v>82.938072783067895</v>
      </c>
      <c r="AK391">
        <v>17.018601099913099</v>
      </c>
      <c r="AL391">
        <v>89.811141589509006</v>
      </c>
      <c r="AM391">
        <v>93.3317566848052</v>
      </c>
      <c r="AN391">
        <v>0.99999996531916402</v>
      </c>
    </row>
    <row r="392" spans="1:40" x14ac:dyDescent="0.3">
      <c r="A392" t="str">
        <f>"20200111160412836"</f>
        <v>20200111160412836</v>
      </c>
      <c r="B392" t="str">
        <f>"1578729852831500"</f>
        <v>1578729852831500</v>
      </c>
      <c r="C392" t="s">
        <v>40</v>
      </c>
      <c r="D392">
        <v>4.8326739999999999</v>
      </c>
      <c r="E392">
        <v>0.41698299999999999</v>
      </c>
      <c r="F392" t="s">
        <v>47</v>
      </c>
      <c r="G392">
        <v>-194.11500000000001</v>
      </c>
      <c r="H392" s="1">
        <v>-7.0801509999999997E-6</v>
      </c>
      <c r="I392">
        <v>367.53840000000002</v>
      </c>
      <c r="J392">
        <v>-376.69349999999997</v>
      </c>
      <c r="K392">
        <v>1.109456</v>
      </c>
      <c r="L392">
        <v>367.39800000000002</v>
      </c>
      <c r="M392">
        <v>0.99995520000000004</v>
      </c>
      <c r="N392">
        <v>0</v>
      </c>
      <c r="O392">
        <v>2.9522279999999999E-3</v>
      </c>
      <c r="P392">
        <v>0.99810679999999996</v>
      </c>
      <c r="Q392">
        <v>-5.797651E-3</v>
      </c>
      <c r="R392">
        <v>6.1229869999999999E-2</v>
      </c>
      <c r="S392">
        <v>3.0053709999999998</v>
      </c>
      <c r="T392">
        <v>-1.8239970000000001E-2</v>
      </c>
      <c r="U392">
        <v>2.319336E-3</v>
      </c>
      <c r="V392">
        <v>-5.8283189999999999E-2</v>
      </c>
      <c r="W392">
        <v>3.1765080000000002E-3</v>
      </c>
      <c r="X392">
        <v>0.99829500000000004</v>
      </c>
      <c r="Y392">
        <v>2.180525E-3</v>
      </c>
      <c r="Z392" s="1">
        <v>-2.4534850000000001E-5</v>
      </c>
      <c r="AA392">
        <v>0.99999760000000004</v>
      </c>
      <c r="AB392">
        <v>41</v>
      </c>
      <c r="AC392">
        <v>182.57849999999999</v>
      </c>
      <c r="AD392">
        <v>-1.1094630801509999</v>
      </c>
      <c r="AE392">
        <v>0.140399999999999</v>
      </c>
      <c r="AF392">
        <v>0.398621052166725</v>
      </c>
      <c r="AG392">
        <v>-1.1094630801509999</v>
      </c>
      <c r="AH392">
        <v>182.571377262054</v>
      </c>
      <c r="AI392">
        <v>90.348174062089598</v>
      </c>
      <c r="AJ392">
        <v>89.874902254864097</v>
      </c>
      <c r="AK392">
        <v>182.57518342434301</v>
      </c>
      <c r="AL392">
        <v>89.817999185337897</v>
      </c>
      <c r="AM392">
        <v>93.341291304354897</v>
      </c>
      <c r="AN392">
        <v>0.99999996373232403</v>
      </c>
    </row>
    <row r="393" spans="1:40" x14ac:dyDescent="0.3">
      <c r="A393" t="str">
        <f>"20200111160412867"</f>
        <v>20200111160412867</v>
      </c>
      <c r="B393" t="str">
        <f>"1578729852860780"</f>
        <v>1578729852860780</v>
      </c>
      <c r="C393" t="s">
        <v>40</v>
      </c>
      <c r="D393">
        <v>4.9969590000000004</v>
      </c>
      <c r="E393">
        <v>0.40627079999999999</v>
      </c>
      <c r="F393" t="s">
        <v>41</v>
      </c>
      <c r="G393">
        <v>-327.2586</v>
      </c>
      <c r="H393">
        <v>7.9986130000000003E-2</v>
      </c>
      <c r="I393">
        <v>381.601</v>
      </c>
      <c r="J393">
        <v>-376.13299999999998</v>
      </c>
      <c r="K393">
        <v>1.109448</v>
      </c>
      <c r="L393">
        <v>367.3997</v>
      </c>
      <c r="M393">
        <v>0.99995520000000004</v>
      </c>
      <c r="N393">
        <v>0</v>
      </c>
      <c r="O393">
        <v>2.9652620000000002E-3</v>
      </c>
      <c r="P393">
        <v>0.99805880000000002</v>
      </c>
      <c r="Q393">
        <v>-5.7556539999999998E-3</v>
      </c>
      <c r="R393">
        <v>6.2011980000000001E-2</v>
      </c>
      <c r="S393">
        <v>2.9533079999999998</v>
      </c>
      <c r="T393">
        <v>-6.1501739999999999E-2</v>
      </c>
      <c r="U393">
        <v>0.84851069999999995</v>
      </c>
      <c r="V393">
        <v>-5.9051949999999999E-2</v>
      </c>
      <c r="W393">
        <v>3.235637E-3</v>
      </c>
      <c r="X393">
        <v>0.99824970000000002</v>
      </c>
      <c r="Y393">
        <v>-0.27323199999999997</v>
      </c>
      <c r="Z393">
        <v>2.72778E-3</v>
      </c>
      <c r="AA393">
        <v>0.96194429999999997</v>
      </c>
      <c r="AB393">
        <v>41</v>
      </c>
      <c r="AC393">
        <v>48.874400000000001</v>
      </c>
      <c r="AD393">
        <v>-1.02946187</v>
      </c>
      <c r="AE393">
        <v>14.2013</v>
      </c>
      <c r="AF393">
        <v>-14.0505578640312</v>
      </c>
      <c r="AG393">
        <v>-1.02946187</v>
      </c>
      <c r="AH393">
        <v>48.896292674698401</v>
      </c>
      <c r="AI393">
        <v>91.159228932062504</v>
      </c>
      <c r="AJ393">
        <v>106.032230084646</v>
      </c>
      <c r="AK393">
        <v>50.885414465856897</v>
      </c>
      <c r="AL393">
        <v>89.814611338469206</v>
      </c>
      <c r="AM393">
        <v>93.385414640224397</v>
      </c>
      <c r="AN393">
        <v>1.00000003284784</v>
      </c>
    </row>
    <row r="394" spans="1:40" x14ac:dyDescent="0.3">
      <c r="A394" t="str">
        <f>"20200111160412880"</f>
        <v>20200111160412880</v>
      </c>
      <c r="B394" t="str">
        <f>"1578729852871516"</f>
        <v>1578729852871516</v>
      </c>
      <c r="C394" t="s">
        <v>40</v>
      </c>
      <c r="D394">
        <v>4.9005489999999998</v>
      </c>
      <c r="E394">
        <v>0.40431420000000001</v>
      </c>
      <c r="F394" t="s">
        <v>41</v>
      </c>
      <c r="G394">
        <v>-341.06259999999997</v>
      </c>
      <c r="H394" s="1">
        <v>-5.8903350000000001E-6</v>
      </c>
      <c r="I394">
        <v>378.56349999999998</v>
      </c>
      <c r="J394">
        <v>-375.8775</v>
      </c>
      <c r="K394">
        <v>1.1094489999999999</v>
      </c>
      <c r="L394">
        <v>367.40050000000002</v>
      </c>
      <c r="M394">
        <v>0.99995500000000004</v>
      </c>
      <c r="N394">
        <v>0</v>
      </c>
      <c r="O394">
        <v>2.9713069999999999E-3</v>
      </c>
      <c r="P394">
        <v>0.99804409999999999</v>
      </c>
      <c r="Q394">
        <v>-5.7016719999999996E-3</v>
      </c>
      <c r="R394">
        <v>6.2254900000000002E-2</v>
      </c>
      <c r="S394">
        <v>2.9470209999999999</v>
      </c>
      <c r="T394">
        <v>-9.322917E-2</v>
      </c>
      <c r="U394">
        <v>0.93811040000000001</v>
      </c>
      <c r="V394">
        <v>-5.9288970000000003E-2</v>
      </c>
      <c r="W394">
        <v>3.2971490000000001E-3</v>
      </c>
      <c r="X394">
        <v>0.99823539999999999</v>
      </c>
      <c r="Y394">
        <v>-0.30035959999999901</v>
      </c>
      <c r="Z394">
        <v>4.543549E-3</v>
      </c>
      <c r="AA394">
        <v>0.95381519999999997</v>
      </c>
      <c r="AB394">
        <v>41</v>
      </c>
      <c r="AC394">
        <v>34.814900000000002</v>
      </c>
      <c r="AD394">
        <v>-1.1094548903350001</v>
      </c>
      <c r="AE394">
        <v>11.162999999999901</v>
      </c>
      <c r="AF394">
        <v>-11.0493259978082</v>
      </c>
      <c r="AG394">
        <v>-1.1094548903350001</v>
      </c>
      <c r="AH394">
        <v>34.8158561853691</v>
      </c>
      <c r="AI394">
        <v>91.739735382228304</v>
      </c>
      <c r="AJ394">
        <v>107.607604161396</v>
      </c>
      <c r="AK394">
        <v>36.543978123349298</v>
      </c>
      <c r="AL394">
        <v>89.811086932468001</v>
      </c>
      <c r="AM394">
        <v>93.399019644468694</v>
      </c>
      <c r="AN394">
        <v>0.99999998348417396</v>
      </c>
    </row>
    <row r="395" spans="1:40" x14ac:dyDescent="0.3">
      <c r="A395" t="str">
        <f>"20200111160412894"</f>
        <v>20200111160412894</v>
      </c>
      <c r="B395" t="str">
        <f>"1578729852891036"</f>
        <v>1578729852891036</v>
      </c>
      <c r="C395" t="s">
        <v>40</v>
      </c>
      <c r="D395">
        <v>4.8616070000000002</v>
      </c>
      <c r="E395">
        <v>0.40199200000000002</v>
      </c>
      <c r="F395" t="s">
        <v>41</v>
      </c>
      <c r="G395">
        <v>-343.02210000000002</v>
      </c>
      <c r="H395" s="1">
        <v>-5.0466829999999996E-6</v>
      </c>
      <c r="I395">
        <v>378.0496</v>
      </c>
      <c r="J395">
        <v>-375.63389999999998</v>
      </c>
      <c r="K395">
        <v>1.109451</v>
      </c>
      <c r="L395">
        <v>367.40120000000002</v>
      </c>
      <c r="M395">
        <v>0.99995500000000004</v>
      </c>
      <c r="N395">
        <v>0</v>
      </c>
      <c r="O395">
        <v>2.976818E-3</v>
      </c>
      <c r="P395">
        <v>0.99803640000000005</v>
      </c>
      <c r="Q395">
        <v>-5.567949E-3</v>
      </c>
      <c r="R395">
        <v>6.2389100000000003E-2</v>
      </c>
      <c r="S395">
        <v>2.9457399999999998</v>
      </c>
      <c r="T395">
        <v>-9.9470970000000006E-2</v>
      </c>
      <c r="U395">
        <v>0.95477290000000004</v>
      </c>
      <c r="V395">
        <v>-5.941747E-2</v>
      </c>
      <c r="W395">
        <v>3.4382919999999999E-3</v>
      </c>
      <c r="X395">
        <v>0.99822730000000004</v>
      </c>
      <c r="Y395">
        <v>-0.30533949999999999</v>
      </c>
      <c r="Z395">
        <v>4.9272889999999996E-3</v>
      </c>
      <c r="AA395">
        <v>0.95223080000000004</v>
      </c>
      <c r="AB395">
        <v>41</v>
      </c>
      <c r="AC395">
        <v>32.611799999999903</v>
      </c>
      <c r="AD395">
        <v>-1.1094560466829999</v>
      </c>
      <c r="AE395">
        <v>10.648399999999899</v>
      </c>
      <c r="AF395">
        <v>-10.5402458505824</v>
      </c>
      <c r="AG395">
        <v>-1.1094560466829999</v>
      </c>
      <c r="AH395">
        <v>32.609250381146801</v>
      </c>
      <c r="AI395">
        <v>91.854223018822594</v>
      </c>
      <c r="AJ395">
        <v>107.912321812393</v>
      </c>
      <c r="AK395">
        <v>34.288349125184901</v>
      </c>
      <c r="AL395">
        <v>89.802999991519997</v>
      </c>
      <c r="AM395">
        <v>93.406396759864506</v>
      </c>
      <c r="AN395">
        <v>1.00000000002918</v>
      </c>
    </row>
    <row r="396" spans="1:40" x14ac:dyDescent="0.3">
      <c r="A396" t="str">
        <f>"20200111160412911"</f>
        <v>20200111160412911</v>
      </c>
      <c r="B396" t="str">
        <f>"1578729852900796"</f>
        <v>1578729852900796</v>
      </c>
      <c r="C396" t="s">
        <v>40</v>
      </c>
      <c r="D396">
        <v>4.8609260000000001</v>
      </c>
      <c r="E396">
        <v>0.40111629999999998</v>
      </c>
      <c r="F396" t="s">
        <v>41</v>
      </c>
      <c r="G396">
        <v>-343.24700000000001</v>
      </c>
      <c r="H396" s="1">
        <v>-4.9719340000000003E-6</v>
      </c>
      <c r="I396">
        <v>378.11509999999998</v>
      </c>
      <c r="J396">
        <v>-375.3272</v>
      </c>
      <c r="K396">
        <v>1.109459</v>
      </c>
      <c r="L396">
        <v>367.40210000000002</v>
      </c>
      <c r="M396">
        <v>0.99995480000000003</v>
      </c>
      <c r="N396">
        <v>0</v>
      </c>
      <c r="O396">
        <v>2.9841680000000002E-3</v>
      </c>
      <c r="P396">
        <v>0.99803220000000004</v>
      </c>
      <c r="Q396">
        <v>-5.0942039999999997E-3</v>
      </c>
      <c r="R396">
        <v>6.2499220000000001E-2</v>
      </c>
      <c r="S396">
        <v>2.944458</v>
      </c>
      <c r="T396">
        <v>-0.10086639999999999</v>
      </c>
      <c r="U396">
        <v>0.97406009999999998</v>
      </c>
      <c r="V396">
        <v>-5.9520660000000003E-2</v>
      </c>
      <c r="W396">
        <v>3.9208469999999999E-3</v>
      </c>
      <c r="X396">
        <v>0.99821939999999998</v>
      </c>
      <c r="Y396">
        <v>-0.31107449999999998</v>
      </c>
      <c r="Z396">
        <v>5.0888929999999997E-3</v>
      </c>
      <c r="AA396">
        <v>0.95037190000000005</v>
      </c>
      <c r="AB396">
        <v>41</v>
      </c>
      <c r="AC396">
        <v>32.080199999999998</v>
      </c>
      <c r="AD396">
        <v>-1.109463971934</v>
      </c>
      <c r="AE396">
        <v>10.7129999999999</v>
      </c>
      <c r="AF396">
        <v>-10.6058032340529</v>
      </c>
      <c r="AG396">
        <v>-1.109463971934</v>
      </c>
      <c r="AH396">
        <v>32.077510596798597</v>
      </c>
      <c r="AI396">
        <v>91.880838040985594</v>
      </c>
      <c r="AJ396">
        <v>108.295460931569</v>
      </c>
      <c r="AK396">
        <v>33.803559851474198</v>
      </c>
      <c r="AL396">
        <v>89.775351445094401</v>
      </c>
      <c r="AM396">
        <v>93.412325605523804</v>
      </c>
      <c r="AN396">
        <v>1.00000002627219</v>
      </c>
    </row>
    <row r="397" spans="1:40" x14ac:dyDescent="0.3">
      <c r="A397" t="str">
        <f>"20200111160412923"</f>
        <v>20200111160412923</v>
      </c>
      <c r="B397" t="str">
        <f>"1578729852911533"</f>
        <v>1578729852911533</v>
      </c>
      <c r="C397" t="s">
        <v>40</v>
      </c>
      <c r="D397">
        <v>4.8681320000000001</v>
      </c>
      <c r="E397">
        <v>0.40058959999999999</v>
      </c>
      <c r="F397" t="s">
        <v>41</v>
      </c>
      <c r="G397">
        <v>-342.5095</v>
      </c>
      <c r="H397" s="1">
        <v>-5.2952060000000003E-6</v>
      </c>
      <c r="I397">
        <v>378.3408</v>
      </c>
      <c r="J397">
        <v>-375.09480000000002</v>
      </c>
      <c r="K397">
        <v>1.109459</v>
      </c>
      <c r="L397">
        <v>367.40280000000001</v>
      </c>
      <c r="M397">
        <v>0.99995469999999997</v>
      </c>
      <c r="N397">
        <v>0</v>
      </c>
      <c r="O397">
        <v>2.9897389999999999E-3</v>
      </c>
      <c r="P397">
        <v>0.99804409999999999</v>
      </c>
      <c r="Q397">
        <v>-4.6246909999999898E-3</v>
      </c>
      <c r="R397">
        <v>6.234191E-2</v>
      </c>
      <c r="S397">
        <v>2.9439389999999999</v>
      </c>
      <c r="T397">
        <v>-9.9525210000000003E-2</v>
      </c>
      <c r="U397">
        <v>0.98126219999999997</v>
      </c>
      <c r="V397">
        <v>-5.9357739999999999E-2</v>
      </c>
      <c r="W397">
        <v>4.3976800000000002E-3</v>
      </c>
      <c r="X397">
        <v>0.99822710000000003</v>
      </c>
      <c r="Y397">
        <v>-0.31321569999999999</v>
      </c>
      <c r="Z397">
        <v>5.0552660000000001E-3</v>
      </c>
      <c r="AA397">
        <v>0.94966850000000003</v>
      </c>
      <c r="AB397">
        <v>41</v>
      </c>
      <c r="AC397">
        <v>32.585299999999997</v>
      </c>
      <c r="AD397">
        <v>-1.1094642952060001</v>
      </c>
      <c r="AE397">
        <v>10.937999999999899</v>
      </c>
      <c r="AF397">
        <v>-10.829242905168201</v>
      </c>
      <c r="AG397">
        <v>-1.1094642952060001</v>
      </c>
      <c r="AH397">
        <v>32.583909190948297</v>
      </c>
      <c r="AI397">
        <v>91.850678590278207</v>
      </c>
      <c r="AJ397">
        <v>108.384196523979</v>
      </c>
      <c r="AK397">
        <v>34.3542508444798</v>
      </c>
      <c r="AL397">
        <v>89.748030687213998</v>
      </c>
      <c r="AM397">
        <v>93.402981177320399</v>
      </c>
      <c r="AN397">
        <v>1.0000000120308401</v>
      </c>
    </row>
    <row r="398" spans="1:40" x14ac:dyDescent="0.3">
      <c r="A398" t="str">
        <f>"20200111160412935"</f>
        <v>20200111160412935</v>
      </c>
      <c r="B398" t="str">
        <f>"1578729852931051"</f>
        <v>1578729852931051</v>
      </c>
      <c r="C398" t="s">
        <v>40</v>
      </c>
      <c r="D398">
        <v>4.8881509999999997</v>
      </c>
      <c r="E398">
        <v>0.39933869999999999</v>
      </c>
      <c r="F398" t="s">
        <v>41</v>
      </c>
      <c r="G398">
        <v>-342.16250000000002</v>
      </c>
      <c r="H398" s="1">
        <v>-5.4425209999999999E-6</v>
      </c>
      <c r="I398">
        <v>378.42009999999999</v>
      </c>
      <c r="J398">
        <v>-374.87939999999998</v>
      </c>
      <c r="K398">
        <v>1.109464</v>
      </c>
      <c r="L398">
        <v>367.40339999999998</v>
      </c>
      <c r="M398">
        <v>0.99995480000000003</v>
      </c>
      <c r="N398">
        <v>0</v>
      </c>
      <c r="O398">
        <v>2.9945990000000001E-3</v>
      </c>
      <c r="P398">
        <v>0.99805829999999995</v>
      </c>
      <c r="Q398">
        <v>-4.5368600000000002E-3</v>
      </c>
      <c r="R398">
        <v>6.2123449999999997E-2</v>
      </c>
      <c r="S398">
        <v>2.9439090000000001</v>
      </c>
      <c r="T398">
        <v>-9.9177959999999996E-2</v>
      </c>
      <c r="U398">
        <v>0.9848633</v>
      </c>
      <c r="V398">
        <v>-5.9134480000000003E-2</v>
      </c>
      <c r="W398">
        <v>4.4916160000000004E-3</v>
      </c>
      <c r="X398">
        <v>0.99823989999999996</v>
      </c>
      <c r="Y398">
        <v>-0.31425969999999998</v>
      </c>
      <c r="Z398">
        <v>5.0536929999999997E-3</v>
      </c>
      <c r="AA398">
        <v>0.94932360000000005</v>
      </c>
      <c r="AB398">
        <v>41</v>
      </c>
      <c r="AC398">
        <v>32.716899999999903</v>
      </c>
      <c r="AD398">
        <v>-1.1094694425210001</v>
      </c>
      <c r="AE398">
        <v>11.0167</v>
      </c>
      <c r="AF398">
        <v>-10.9074068089728</v>
      </c>
      <c r="AG398">
        <v>-1.1094694425210001</v>
      </c>
      <c r="AH398">
        <v>32.715954291065501</v>
      </c>
      <c r="AI398">
        <v>91.842644509483506</v>
      </c>
      <c r="AJ398">
        <v>108.43824094387</v>
      </c>
      <c r="AK398">
        <v>34.504146285851</v>
      </c>
      <c r="AL398">
        <v>89.742648489435396</v>
      </c>
      <c r="AM398">
        <v>93.3901682147727</v>
      </c>
      <c r="AN398">
        <v>0.99999997964558496</v>
      </c>
    </row>
    <row r="399" spans="1:40" x14ac:dyDescent="0.3">
      <c r="A399" t="str">
        <f>"20200111160412947"</f>
        <v>20200111160412947</v>
      </c>
      <c r="B399" t="str">
        <f>"1578729852940811"</f>
        <v>1578729852940811</v>
      </c>
      <c r="C399" t="s">
        <v>40</v>
      </c>
      <c r="D399">
        <v>4.8683300000000003</v>
      </c>
      <c r="E399">
        <v>0.39889530000000001</v>
      </c>
      <c r="F399" t="s">
        <v>41</v>
      </c>
      <c r="G399">
        <v>-341.95389999999998</v>
      </c>
      <c r="H399" s="1">
        <v>-5.5404210000000003E-6</v>
      </c>
      <c r="I399">
        <v>378.5206</v>
      </c>
      <c r="J399">
        <v>-374.6574</v>
      </c>
      <c r="K399">
        <v>1.109464</v>
      </c>
      <c r="L399">
        <v>367.40410000000003</v>
      </c>
      <c r="M399">
        <v>0.99995449999999997</v>
      </c>
      <c r="N399">
        <v>0</v>
      </c>
      <c r="O399">
        <v>3.0001120000000001E-3</v>
      </c>
      <c r="P399">
        <v>0.99805029999999995</v>
      </c>
      <c r="Q399">
        <v>-4.0596670000000003E-3</v>
      </c>
      <c r="R399">
        <v>6.2284800000000001E-2</v>
      </c>
      <c r="S399">
        <v>2.9435120000000001</v>
      </c>
      <c r="T399">
        <v>-9.9185819999999994E-2</v>
      </c>
      <c r="U399">
        <v>0.99386600000000003</v>
      </c>
      <c r="V399">
        <v>-5.9290000000000002E-2</v>
      </c>
      <c r="W399">
        <v>4.975124E-3</v>
      </c>
      <c r="X399">
        <v>0.99822840000000002</v>
      </c>
      <c r="Y399">
        <v>-0.31689919999999999</v>
      </c>
      <c r="Z399">
        <v>5.0954240000000003E-3</v>
      </c>
      <c r="AA399">
        <v>0.94844550000000005</v>
      </c>
      <c r="AB399">
        <v>41</v>
      </c>
      <c r="AC399">
        <v>32.703499999999998</v>
      </c>
      <c r="AD399">
        <v>-1.109469540421</v>
      </c>
      <c r="AE399">
        <v>11.116499999999901</v>
      </c>
      <c r="AF399">
        <v>-11.006975829438399</v>
      </c>
      <c r="AG399">
        <v>-1.109469540421</v>
      </c>
      <c r="AH399">
        <v>32.702965108400498</v>
      </c>
      <c r="AI399">
        <v>91.841614186619907</v>
      </c>
      <c r="AJ399">
        <v>108.60190758570999</v>
      </c>
      <c r="AK399">
        <v>34.523446618960698</v>
      </c>
      <c r="AL399">
        <v>89.714945215517901</v>
      </c>
      <c r="AM399">
        <v>93.399102335513007</v>
      </c>
      <c r="AN399">
        <v>0.99999999726268696</v>
      </c>
    </row>
    <row r="400" spans="1:40" x14ac:dyDescent="0.3">
      <c r="A400" t="str">
        <f>"20200111160412959"</f>
        <v>20200111160412959</v>
      </c>
      <c r="B400" t="str">
        <f>"1578729852951548"</f>
        <v>1578729852951548</v>
      </c>
      <c r="C400" t="s">
        <v>40</v>
      </c>
      <c r="D400">
        <v>4.9189790000000002</v>
      </c>
      <c r="E400">
        <v>0.3988216</v>
      </c>
      <c r="F400" t="s">
        <v>41</v>
      </c>
      <c r="G400">
        <v>-341.2835</v>
      </c>
      <c r="H400" s="1">
        <v>-5.8335470000000004E-6</v>
      </c>
      <c r="I400">
        <v>378.72160000000002</v>
      </c>
      <c r="J400">
        <v>-374.43299999999999</v>
      </c>
      <c r="K400">
        <v>1.1094649999999999</v>
      </c>
      <c r="L400">
        <v>367.40480000000002</v>
      </c>
      <c r="M400">
        <v>0.99995460000000003</v>
      </c>
      <c r="N400">
        <v>0</v>
      </c>
      <c r="O400">
        <v>3.0052690000000001E-3</v>
      </c>
      <c r="P400">
        <v>0.99806660000000003</v>
      </c>
      <c r="Q400">
        <v>-3.9974770000000001E-3</v>
      </c>
      <c r="R400">
        <v>6.2026440000000002E-2</v>
      </c>
      <c r="S400">
        <v>2.9432070000000001</v>
      </c>
      <c r="T400">
        <v>-9.7842929999999995E-2</v>
      </c>
      <c r="U400">
        <v>0.9980774</v>
      </c>
      <c r="V400">
        <v>-5.902628E-2</v>
      </c>
      <c r="W400">
        <v>5.044265E-3</v>
      </c>
      <c r="X400">
        <v>0.99824369999999996</v>
      </c>
      <c r="Y400">
        <v>-0.31814530000000002</v>
      </c>
      <c r="Z400">
        <v>5.0458209999999998E-3</v>
      </c>
      <c r="AA400">
        <v>0.9480286</v>
      </c>
      <c r="AB400">
        <v>41</v>
      </c>
      <c r="AC400">
        <v>33.149500000000003</v>
      </c>
      <c r="AD400">
        <v>-1.1094708335469901</v>
      </c>
      <c r="AE400">
        <v>11.316800000000001</v>
      </c>
      <c r="AF400">
        <v>-11.205879549976499</v>
      </c>
      <c r="AG400">
        <v>-1.1094708335469901</v>
      </c>
      <c r="AH400">
        <v>33.150104444854499</v>
      </c>
      <c r="AI400">
        <v>91.815990032614593</v>
      </c>
      <c r="AJ400">
        <v>108.677028155597</v>
      </c>
      <c r="AK400">
        <v>35.0104568196966</v>
      </c>
      <c r="AL400">
        <v>89.710983683563995</v>
      </c>
      <c r="AM400">
        <v>93.383966706509497</v>
      </c>
      <c r="AN400">
        <v>1.0000000154648501</v>
      </c>
    </row>
    <row r="401" spans="1:40" x14ac:dyDescent="0.3">
      <c r="A401" t="str">
        <f>"20200111160412971"</f>
        <v>20200111160412971</v>
      </c>
      <c r="B401" t="str">
        <f>"1578729852961308"</f>
        <v>1578729852961308</v>
      </c>
      <c r="C401" t="s">
        <v>40</v>
      </c>
      <c r="D401">
        <v>4.9583519999999996</v>
      </c>
      <c r="E401">
        <v>0.3986788</v>
      </c>
      <c r="F401" t="s">
        <v>41</v>
      </c>
      <c r="G401">
        <v>-341.32589999999999</v>
      </c>
      <c r="H401" s="1">
        <v>-5.8013069999999998E-6</v>
      </c>
      <c r="I401">
        <v>378.63159999999999</v>
      </c>
      <c r="J401">
        <v>-374.22059999999999</v>
      </c>
      <c r="K401">
        <v>1.1094630000000001</v>
      </c>
      <c r="L401">
        <v>367.40550000000002</v>
      </c>
      <c r="M401">
        <v>0.99995449999999997</v>
      </c>
      <c r="N401">
        <v>0</v>
      </c>
      <c r="O401">
        <v>3.010665E-3</v>
      </c>
      <c r="P401">
        <v>0.99806899999999998</v>
      </c>
      <c r="Q401">
        <v>-3.9873159999999899E-3</v>
      </c>
      <c r="R401">
        <v>6.1985279999999997E-2</v>
      </c>
      <c r="S401">
        <v>2.9433590000000001</v>
      </c>
      <c r="T401">
        <v>-9.8636390000000004E-2</v>
      </c>
      <c r="U401">
        <v>0.99810790000000005</v>
      </c>
      <c r="V401">
        <v>-5.8980089999999999E-2</v>
      </c>
      <c r="W401">
        <v>5.0599989999999999E-3</v>
      </c>
      <c r="X401">
        <v>0.99824630000000003</v>
      </c>
      <c r="Y401">
        <v>-0.31813150000000001</v>
      </c>
      <c r="Z401">
        <v>5.0860599999999999E-3</v>
      </c>
      <c r="AA401">
        <v>0.94803300000000001</v>
      </c>
      <c r="AB401">
        <v>41</v>
      </c>
      <c r="AC401">
        <v>32.8947</v>
      </c>
      <c r="AD401">
        <v>-1.10946880130699</v>
      </c>
      <c r="AE401">
        <v>11.226099999999899</v>
      </c>
      <c r="AF401">
        <v>-11.1156843537899</v>
      </c>
      <c r="AG401">
        <v>-1.10946880130699</v>
      </c>
      <c r="AH401">
        <v>32.894833729033998</v>
      </c>
      <c r="AI401">
        <v>91.830135447386397</v>
      </c>
      <c r="AJ401">
        <v>108.670923949277</v>
      </c>
      <c r="AK401">
        <v>34.7398826384741</v>
      </c>
      <c r="AL401">
        <v>89.710082165657298</v>
      </c>
      <c r="AM401">
        <v>93.381316001690806</v>
      </c>
      <c r="AN401">
        <v>0.999999965034988</v>
      </c>
    </row>
    <row r="402" spans="1:40" x14ac:dyDescent="0.3">
      <c r="A402" t="str">
        <f>"20200111160413204"</f>
        <v>20200111160413204</v>
      </c>
      <c r="B402" t="str">
        <f>"1578729853201403"</f>
        <v>1578729853201403</v>
      </c>
      <c r="C402" t="s">
        <v>40</v>
      </c>
      <c r="D402">
        <v>5.9828700000000001</v>
      </c>
      <c r="E402">
        <v>0.3986788</v>
      </c>
      <c r="F402" t="s">
        <v>41</v>
      </c>
      <c r="G402">
        <v>-341.74349999999998</v>
      </c>
      <c r="H402" s="1">
        <v>-5.6049929999999997E-6</v>
      </c>
      <c r="I402">
        <v>378.42899999999997</v>
      </c>
      <c r="J402">
        <v>-369.88549999999998</v>
      </c>
      <c r="K402">
        <v>1.109456</v>
      </c>
      <c r="L402">
        <v>367.4187</v>
      </c>
      <c r="M402">
        <v>0.99995299999999998</v>
      </c>
      <c r="N402">
        <v>0</v>
      </c>
      <c r="O402">
        <v>3.1129420000000001E-3</v>
      </c>
      <c r="P402">
        <v>0.99805540000000004</v>
      </c>
      <c r="Q402">
        <v>-2.9948729999999999E-3</v>
      </c>
      <c r="R402">
        <v>6.226247E-2</v>
      </c>
      <c r="S402">
        <v>2.9433590000000001</v>
      </c>
      <c r="T402">
        <v>-0.10054979999999999</v>
      </c>
      <c r="U402">
        <v>0.999054</v>
      </c>
      <c r="V402">
        <v>-5.9155369999999999E-2</v>
      </c>
      <c r="W402">
        <v>6.1705359999999999E-3</v>
      </c>
      <c r="X402">
        <v>0.9982297</v>
      </c>
      <c r="Y402">
        <v>-0.31830150000000001</v>
      </c>
      <c r="Z402">
        <v>5.1838379999999996E-3</v>
      </c>
      <c r="AA402">
        <v>0.94797529999999997</v>
      </c>
      <c r="AB402">
        <v>42</v>
      </c>
      <c r="AC402">
        <v>28.141999999999999</v>
      </c>
      <c r="AD402">
        <v>-1.109461604993</v>
      </c>
      <c r="AE402">
        <v>11.010300000000001</v>
      </c>
      <c r="AF402">
        <v>-10.9079356835548</v>
      </c>
      <c r="AG402">
        <v>-1.109461604993</v>
      </c>
      <c r="AH402">
        <v>28.138211876472202</v>
      </c>
      <c r="AI402">
        <v>92.105434229351403</v>
      </c>
      <c r="AJ402">
        <v>111.189100896767</v>
      </c>
      <c r="AK402">
        <v>30.198889607645501</v>
      </c>
      <c r="AL402">
        <v>89.646452080470993</v>
      </c>
      <c r="AM402">
        <v>93.391397611971499</v>
      </c>
      <c r="AN402">
        <v>0.99999998363822595</v>
      </c>
    </row>
    <row r="403" spans="1:40" x14ac:dyDescent="0.3">
      <c r="A403" t="str">
        <f>"20200111160413216"</f>
        <v>20200111160413216</v>
      </c>
      <c r="B403" t="str">
        <f>"1578729853211163"</f>
        <v>1578729853211163</v>
      </c>
      <c r="C403" t="s">
        <v>40</v>
      </c>
      <c r="D403">
        <v>4.9046459999999996</v>
      </c>
      <c r="E403">
        <v>0.48073139999999998</v>
      </c>
      <c r="F403" t="s">
        <v>41</v>
      </c>
      <c r="G403">
        <v>-336.53480000000002</v>
      </c>
      <c r="H403" s="1">
        <v>-3.672341E-6</v>
      </c>
      <c r="I403">
        <v>378.74990000000003</v>
      </c>
      <c r="J403">
        <v>-369.65690000000001</v>
      </c>
      <c r="K403">
        <v>1.1094539999999999</v>
      </c>
      <c r="L403">
        <v>367.41950000000003</v>
      </c>
      <c r="M403">
        <v>0.99995310000000004</v>
      </c>
      <c r="N403">
        <v>0</v>
      </c>
      <c r="O403">
        <v>3.1181590000000001E-3</v>
      </c>
      <c r="P403">
        <v>0.99804930000000003</v>
      </c>
      <c r="Q403">
        <v>-2.9340389999999998E-3</v>
      </c>
      <c r="R403">
        <v>6.236655E-2</v>
      </c>
      <c r="S403">
        <v>2.9431759999999998</v>
      </c>
      <c r="T403">
        <v>-9.7908739999999994E-2</v>
      </c>
      <c r="U403">
        <v>0.99996949999999996</v>
      </c>
      <c r="V403">
        <v>-5.9254349999999997E-2</v>
      </c>
      <c r="W403">
        <v>6.2377689999999998E-3</v>
      </c>
      <c r="X403">
        <v>0.99822339999999998</v>
      </c>
      <c r="Y403">
        <v>-0.31858740000000002</v>
      </c>
      <c r="Z403">
        <v>5.0522539999999999E-3</v>
      </c>
      <c r="AA403">
        <v>0.94787999999999994</v>
      </c>
      <c r="AB403">
        <v>42</v>
      </c>
      <c r="AC403">
        <v>33.122099999999897</v>
      </c>
      <c r="AD403">
        <v>-1.1094576723409999</v>
      </c>
      <c r="AE403">
        <v>11.3303999999999</v>
      </c>
      <c r="AF403">
        <v>-11.215794968528501</v>
      </c>
      <c r="AG403">
        <v>-1.1094576723409999</v>
      </c>
      <c r="AH403">
        <v>33.1239992645122</v>
      </c>
      <c r="AI403">
        <v>91.817086825512106</v>
      </c>
      <c r="AJ403">
        <v>108.706114054148</v>
      </c>
      <c r="AK403">
        <v>34.988916536214603</v>
      </c>
      <c r="AL403">
        <v>89.642599834975101</v>
      </c>
      <c r="AM403">
        <v>93.397080280541502</v>
      </c>
      <c r="AN403">
        <v>0.99999997203178903</v>
      </c>
    </row>
    <row r="404" spans="1:40" x14ac:dyDescent="0.3">
      <c r="A404" t="str">
        <f>"20200111160413228"</f>
        <v>20200111160413228</v>
      </c>
      <c r="B404" t="str">
        <f>"1578729853220923"</f>
        <v>1578729853220923</v>
      </c>
      <c r="C404" t="s">
        <v>40</v>
      </c>
      <c r="D404">
        <v>4.9281100000000002</v>
      </c>
      <c r="E404">
        <v>0.49326740000000002</v>
      </c>
      <c r="F404" t="s">
        <v>41</v>
      </c>
      <c r="G404">
        <v>-353.45670000000001</v>
      </c>
      <c r="H404" s="1">
        <v>-2.8398849999999999E-6</v>
      </c>
      <c r="I404">
        <v>369.33170000000001</v>
      </c>
      <c r="J404">
        <v>-369.42750000000001</v>
      </c>
      <c r="K404">
        <v>1.1094539999999999</v>
      </c>
      <c r="L404">
        <v>367.42020000000002</v>
      </c>
      <c r="M404">
        <v>0.99995310000000004</v>
      </c>
      <c r="N404">
        <v>0</v>
      </c>
      <c r="O404">
        <v>3.1236749999999998E-3</v>
      </c>
      <c r="P404">
        <v>0.99805619999999995</v>
      </c>
      <c r="Q404">
        <v>-3.0023620000000002E-3</v>
      </c>
      <c r="R404">
        <v>6.2250359999999998E-2</v>
      </c>
      <c r="S404">
        <v>2.9833069999999999</v>
      </c>
      <c r="T404">
        <v>-0.20430760000000001</v>
      </c>
      <c r="U404">
        <v>0.35214230000000002</v>
      </c>
      <c r="V404">
        <v>-5.9132520000000001E-2</v>
      </c>
      <c r="W404">
        <v>6.175303E-3</v>
      </c>
      <c r="X404">
        <v>0.99823110000000004</v>
      </c>
      <c r="Y404">
        <v>-0.1138651</v>
      </c>
      <c r="Z404">
        <v>3.6680279999999998E-3</v>
      </c>
      <c r="AA404">
        <v>0.99348939999999997</v>
      </c>
      <c r="AB404">
        <v>42</v>
      </c>
      <c r="AC404">
        <v>15.970799999999899</v>
      </c>
      <c r="AD404">
        <v>-1.109456839885</v>
      </c>
      <c r="AE404">
        <v>1.91149999999998</v>
      </c>
      <c r="AF404">
        <v>-1.85278612416537</v>
      </c>
      <c r="AG404">
        <v>-1.109456839885</v>
      </c>
      <c r="AH404">
        <v>15.9010420140085</v>
      </c>
      <c r="AI404">
        <v>93.964471061977505</v>
      </c>
      <c r="AJ404">
        <v>96.646122667923393</v>
      </c>
      <c r="AK404">
        <v>16.0470199112711</v>
      </c>
      <c r="AL404">
        <v>89.646178972998996</v>
      </c>
      <c r="AM404">
        <v>93.390085926081596</v>
      </c>
      <c r="AN404">
        <v>1.0000000591479401</v>
      </c>
    </row>
    <row r="405" spans="1:40" x14ac:dyDescent="0.3">
      <c r="A405" t="str">
        <f>"20200111160413258"</f>
        <v>20200111160413258</v>
      </c>
      <c r="B405" t="str">
        <f>"1578729853251179"</f>
        <v>1578729853251179</v>
      </c>
      <c r="C405" t="s">
        <v>40</v>
      </c>
      <c r="D405">
        <v>4.8315109999999999</v>
      </c>
      <c r="E405">
        <v>0.50486549999999997</v>
      </c>
      <c r="F405" t="s">
        <v>41</v>
      </c>
      <c r="G405">
        <v>-355.24619999999999</v>
      </c>
      <c r="H405" s="1">
        <v>-2.1978980000000001E-6</v>
      </c>
      <c r="I405">
        <v>368.62310000000002</v>
      </c>
      <c r="J405">
        <v>-368.85489999999999</v>
      </c>
      <c r="K405">
        <v>1.109456</v>
      </c>
      <c r="L405">
        <v>367.42200000000003</v>
      </c>
      <c r="M405">
        <v>0.99995270000000003</v>
      </c>
      <c r="N405">
        <v>0</v>
      </c>
      <c r="O405">
        <v>3.1373740000000001E-3</v>
      </c>
      <c r="P405">
        <v>0.99806879999999998</v>
      </c>
      <c r="Q405">
        <v>-3.011012E-3</v>
      </c>
      <c r="R405">
        <v>6.2045999999999997E-2</v>
      </c>
      <c r="S405">
        <v>2.9893190000000001</v>
      </c>
      <c r="T405">
        <v>-0.23386299999999999</v>
      </c>
      <c r="U405">
        <v>0.25357059999999998</v>
      </c>
      <c r="V405">
        <v>-5.8914510000000003E-2</v>
      </c>
      <c r="W405">
        <v>6.1815029999999997E-3</v>
      </c>
      <c r="X405">
        <v>0.99824389999999996</v>
      </c>
      <c r="Y405">
        <v>-8.1158620000000001E-2</v>
      </c>
      <c r="Z405">
        <v>2.919502E-3</v>
      </c>
      <c r="AA405">
        <v>0.9966969</v>
      </c>
      <c r="AB405">
        <v>42</v>
      </c>
      <c r="AC405">
        <v>13.608700000000001</v>
      </c>
      <c r="AD405">
        <v>-1.109458197898</v>
      </c>
      <c r="AE405">
        <v>1.20110000000005</v>
      </c>
      <c r="AF405">
        <v>-1.15080705724636</v>
      </c>
      <c r="AG405">
        <v>-1.109458197898</v>
      </c>
      <c r="AH405">
        <v>13.523215082052801</v>
      </c>
      <c r="AI405">
        <v>94.673284040369097</v>
      </c>
      <c r="AJ405">
        <v>94.8640733371154</v>
      </c>
      <c r="AK405">
        <v>13.6173639347471</v>
      </c>
      <c r="AL405">
        <v>89.645823713999803</v>
      </c>
      <c r="AM405">
        <v>93.377573124735804</v>
      </c>
      <c r="AN405">
        <v>1.0000000071775399</v>
      </c>
    </row>
    <row r="406" spans="1:40" x14ac:dyDescent="0.3">
      <c r="A406" t="str">
        <f>"20200111160413271"</f>
        <v>20200111160413271</v>
      </c>
      <c r="B406" t="str">
        <f>"1578729853260939"</f>
        <v>1578729853260939</v>
      </c>
      <c r="C406" t="s">
        <v>40</v>
      </c>
      <c r="D406">
        <v>4.7508569999999999</v>
      </c>
      <c r="E406">
        <v>0.50783990000000001</v>
      </c>
      <c r="F406" t="s">
        <v>41</v>
      </c>
      <c r="G406">
        <v>-354.81060000000002</v>
      </c>
      <c r="H406" s="1">
        <v>-2.4642020000000001E-6</v>
      </c>
      <c r="I406">
        <v>368.17520000000002</v>
      </c>
      <c r="J406">
        <v>-368.61360000000002</v>
      </c>
      <c r="K406">
        <v>1.1094550000000001</v>
      </c>
      <c r="L406">
        <v>367.42270000000002</v>
      </c>
      <c r="M406">
        <v>0.99995270000000003</v>
      </c>
      <c r="N406">
        <v>0</v>
      </c>
      <c r="O406">
        <v>3.1429489999999999E-3</v>
      </c>
      <c r="P406">
        <v>0.99808490000000005</v>
      </c>
      <c r="Q406">
        <v>-3.148461E-3</v>
      </c>
      <c r="R406">
        <v>6.178194E-2</v>
      </c>
      <c r="S406">
        <v>2.9951479999999999</v>
      </c>
      <c r="T406">
        <v>-0.23660539999999999</v>
      </c>
      <c r="U406">
        <v>0.1606445</v>
      </c>
      <c r="V406">
        <v>-5.8644670000000003E-2</v>
      </c>
      <c r="W406">
        <v>6.0508519999999998E-3</v>
      </c>
      <c r="X406">
        <v>0.99826060000000005</v>
      </c>
      <c r="Y406">
        <v>-5.0272709999999998E-2</v>
      </c>
      <c r="Z406">
        <v>1.7334500000000001E-3</v>
      </c>
      <c r="AA406">
        <v>0.99873400000000001</v>
      </c>
      <c r="AB406">
        <v>42</v>
      </c>
      <c r="AC406">
        <v>13.8029999999999</v>
      </c>
      <c r="AD406">
        <v>-1.1094574642020001</v>
      </c>
      <c r="AE406">
        <v>0.75249999999999695</v>
      </c>
      <c r="AF406">
        <v>-0.70457382395560197</v>
      </c>
      <c r="AG406">
        <v>-1.1094574642020001</v>
      </c>
      <c r="AH406">
        <v>13.716939634985501</v>
      </c>
      <c r="AI406">
        <v>94.618085889415994</v>
      </c>
      <c r="AJ406">
        <v>92.940426984816895</v>
      </c>
      <c r="AK406">
        <v>13.7797588182128</v>
      </c>
      <c r="AL406">
        <v>89.653309608546493</v>
      </c>
      <c r="AM406">
        <v>93.362082631053696</v>
      </c>
      <c r="AN406">
        <v>1.0000000178208399</v>
      </c>
    </row>
    <row r="407" spans="1:40" x14ac:dyDescent="0.3">
      <c r="A407" t="str">
        <f>"20200111160413285"</f>
        <v>20200111160413285</v>
      </c>
      <c r="B407" t="str">
        <f>"1578729853281436"</f>
        <v>1578729853281436</v>
      </c>
      <c r="C407" t="s">
        <v>40</v>
      </c>
      <c r="D407">
        <v>4.7278260000000003</v>
      </c>
      <c r="E407">
        <v>0.51082249999999996</v>
      </c>
      <c r="F407" t="s">
        <v>41</v>
      </c>
      <c r="G407">
        <v>-354.69920000000002</v>
      </c>
      <c r="H407" s="1">
        <v>-2.533164E-6</v>
      </c>
      <c r="I407">
        <v>368.0557</v>
      </c>
      <c r="J407">
        <v>-368.35969999999998</v>
      </c>
      <c r="K407">
        <v>1.109456</v>
      </c>
      <c r="L407">
        <v>367.42349999999999</v>
      </c>
      <c r="M407">
        <v>0.99995259999999997</v>
      </c>
      <c r="N407">
        <v>0</v>
      </c>
      <c r="O407">
        <v>3.1489389999999999E-3</v>
      </c>
      <c r="P407">
        <v>0.99806760000000005</v>
      </c>
      <c r="Q407">
        <v>-3.243176E-3</v>
      </c>
      <c r="R407">
        <v>6.205492E-2</v>
      </c>
      <c r="S407">
        <v>2.9965519999999999</v>
      </c>
      <c r="T407">
        <v>-0.2389281</v>
      </c>
      <c r="U407">
        <v>0.136322</v>
      </c>
      <c r="V407">
        <v>-5.8911730000000002E-2</v>
      </c>
      <c r="W407">
        <v>5.9621619999999896E-3</v>
      </c>
      <c r="X407">
        <v>0.99824539999999995</v>
      </c>
      <c r="Y407">
        <v>-4.2176320000000003E-2</v>
      </c>
      <c r="Z407">
        <v>1.4273650000000001E-3</v>
      </c>
      <c r="AA407">
        <v>0.99910909999999997</v>
      </c>
      <c r="AB407">
        <v>42</v>
      </c>
      <c r="AC407">
        <v>13.6604999999999</v>
      </c>
      <c r="AD407">
        <v>-1.1094585331639999</v>
      </c>
      <c r="AE407">
        <v>0.63220000000001098</v>
      </c>
      <c r="AF407">
        <v>-0.58532632356291803</v>
      </c>
      <c r="AG407">
        <v>-1.1094585331639999</v>
      </c>
      <c r="AH407">
        <v>13.5730846741143</v>
      </c>
      <c r="AI407">
        <v>94.668625593062401</v>
      </c>
      <c r="AJ407">
        <v>92.469295868821902</v>
      </c>
      <c r="AK407">
        <v>13.630925599992899</v>
      </c>
      <c r="AL407">
        <v>89.6583912597862</v>
      </c>
      <c r="AM407">
        <v>93.377409052806996</v>
      </c>
      <c r="AN407">
        <v>1.00000000896423</v>
      </c>
    </row>
    <row r="408" spans="1:40" x14ac:dyDescent="0.3">
      <c r="A408" t="str">
        <f>"20200111160413301"</f>
        <v>20200111160413301</v>
      </c>
      <c r="B408" t="str">
        <f>"1578729853291195"</f>
        <v>1578729853291195</v>
      </c>
      <c r="C408" t="s">
        <v>40</v>
      </c>
      <c r="D408">
        <v>4.7126910000000004</v>
      </c>
      <c r="E408">
        <v>0.51202409999999998</v>
      </c>
      <c r="F408" t="s">
        <v>42</v>
      </c>
      <c r="G408">
        <v>-367.27769999999998</v>
      </c>
      <c r="H408">
        <v>1.02457</v>
      </c>
      <c r="I408">
        <v>367.46409999999997</v>
      </c>
      <c r="J408">
        <v>-368.04289999999997</v>
      </c>
      <c r="K408">
        <v>1.109453</v>
      </c>
      <c r="L408">
        <v>367.42450000000002</v>
      </c>
      <c r="M408">
        <v>0.99995250000000002</v>
      </c>
      <c r="N408">
        <v>0</v>
      </c>
      <c r="O408">
        <v>3.1563519999999999E-3</v>
      </c>
      <c r="P408">
        <v>0.99804760000000003</v>
      </c>
      <c r="Q408">
        <v>-3.3986609999999999E-3</v>
      </c>
      <c r="R408">
        <v>6.2363429999999997E-2</v>
      </c>
      <c r="S408">
        <v>2.9980470000000001</v>
      </c>
      <c r="T408">
        <v>-0.23537269999999999</v>
      </c>
      <c r="U408">
        <v>0.1130676</v>
      </c>
      <c r="V408">
        <v>-5.9212609999999999E-2</v>
      </c>
      <c r="W408">
        <v>5.8148210000000004E-3</v>
      </c>
      <c r="X408">
        <v>0.99822840000000002</v>
      </c>
      <c r="Y408">
        <v>-3.4436429999999997E-2</v>
      </c>
      <c r="Z408">
        <v>1.1018860000000001E-3</v>
      </c>
      <c r="AA408">
        <v>0.99940629999999997</v>
      </c>
      <c r="AB408">
        <v>42</v>
      </c>
      <c r="AC408">
        <v>0.765199999999992</v>
      </c>
      <c r="AD408">
        <v>-8.4883E-2</v>
      </c>
      <c r="AE408">
        <v>3.95999999999503E-2</v>
      </c>
      <c r="AF408">
        <v>-3.6733648975988499E-2</v>
      </c>
      <c r="AG408">
        <v>-8.4883E-2</v>
      </c>
      <c r="AH408">
        <v>0.75604271659481304</v>
      </c>
      <c r="AI408">
        <v>96.398443899424606</v>
      </c>
      <c r="AJ408">
        <v>92.781627536809793</v>
      </c>
      <c r="AK408">
        <v>0.76167911483258899</v>
      </c>
      <c r="AL408">
        <v>89.666833401203505</v>
      </c>
      <c r="AM408">
        <v>93.394675940736903</v>
      </c>
      <c r="AN408">
        <v>0.99999994194641495</v>
      </c>
    </row>
    <row r="409" spans="1:40" x14ac:dyDescent="0.3">
      <c r="A409" t="str">
        <f>"20200111160413313"</f>
        <v>20200111160413313</v>
      </c>
      <c r="B409" t="str">
        <f>"1578729853300955"</f>
        <v>1578729853300955</v>
      </c>
      <c r="C409" t="s">
        <v>40</v>
      </c>
      <c r="D409">
        <v>4.6852090000000004</v>
      </c>
      <c r="E409">
        <v>0.51303889999999996</v>
      </c>
      <c r="F409" t="s">
        <v>41</v>
      </c>
      <c r="G409">
        <v>-353.83699999999999</v>
      </c>
      <c r="H409" s="1">
        <v>-2.927302E-6</v>
      </c>
      <c r="I409">
        <v>367.91890000000001</v>
      </c>
      <c r="J409">
        <v>-367.82139999999998</v>
      </c>
      <c r="K409">
        <v>1.1094539999999999</v>
      </c>
      <c r="L409">
        <v>367.42520000000002</v>
      </c>
      <c r="M409">
        <v>0.99995239999999996</v>
      </c>
      <c r="N409">
        <v>0</v>
      </c>
      <c r="O409">
        <v>3.1615110000000001E-3</v>
      </c>
      <c r="P409">
        <v>0.99803779999999997</v>
      </c>
      <c r="Q409">
        <v>-3.2759759999999999E-3</v>
      </c>
      <c r="R409">
        <v>6.2532379999999999E-2</v>
      </c>
      <c r="S409">
        <v>2.9985659999999998</v>
      </c>
      <c r="T409">
        <v>-0.23418130000000001</v>
      </c>
      <c r="U409">
        <v>0.10437009999999999</v>
      </c>
      <c r="V409">
        <v>-5.9376320000000003E-2</v>
      </c>
      <c r="W409">
        <v>5.9430890000000004E-3</v>
      </c>
      <c r="X409">
        <v>0.99821800000000005</v>
      </c>
      <c r="Y409">
        <v>-3.1539409999999997E-2</v>
      </c>
      <c r="Z409">
        <v>9.8287240000000001E-4</v>
      </c>
      <c r="AA409">
        <v>0.999502</v>
      </c>
      <c r="AB409">
        <v>42</v>
      </c>
      <c r="AC409">
        <v>13.9843999999999</v>
      </c>
      <c r="AD409">
        <v>-1.1094569273019901</v>
      </c>
      <c r="AE409">
        <v>0.49369999999998898</v>
      </c>
      <c r="AF409">
        <v>-0.44667589407557501</v>
      </c>
      <c r="AG409">
        <v>-1.1094569273019901</v>
      </c>
      <c r="AH409">
        <v>13.8985213051228</v>
      </c>
      <c r="AI409">
        <v>94.561643450166898</v>
      </c>
      <c r="AJ409">
        <v>91.840759682296493</v>
      </c>
      <c r="AK409">
        <v>13.9498856087367</v>
      </c>
      <c r="AL409">
        <v>89.659484085844696</v>
      </c>
      <c r="AM409">
        <v>93.404074824032406</v>
      </c>
      <c r="AN409">
        <v>1.0000000216038001</v>
      </c>
    </row>
    <row r="410" spans="1:40" x14ac:dyDescent="0.3">
      <c r="A410" t="str">
        <f>"20200111160413327"</f>
        <v>20200111160413327</v>
      </c>
      <c r="B410" t="str">
        <f>"1578729853321451"</f>
        <v>1578729853321451</v>
      </c>
      <c r="C410" t="s">
        <v>40</v>
      </c>
      <c r="D410">
        <v>4.70092</v>
      </c>
      <c r="E410">
        <v>0.51442829999999995</v>
      </c>
      <c r="F410" t="s">
        <v>41</v>
      </c>
      <c r="G410">
        <v>-353.63740000000001</v>
      </c>
      <c r="H410" s="1">
        <v>-3.0193890000000002E-6</v>
      </c>
      <c r="I410">
        <v>367.88260000000002</v>
      </c>
      <c r="J410">
        <v>-367.553</v>
      </c>
      <c r="K410">
        <v>1.1094539999999999</v>
      </c>
      <c r="L410">
        <v>367.42610000000002</v>
      </c>
      <c r="M410">
        <v>0.99995230000000002</v>
      </c>
      <c r="N410">
        <v>0</v>
      </c>
      <c r="O410">
        <v>3.168035E-3</v>
      </c>
      <c r="P410">
        <v>0.99801680000000004</v>
      </c>
      <c r="Q410">
        <v>-3.1140149999999999E-3</v>
      </c>
      <c r="R410">
        <v>6.2872070000000002E-2</v>
      </c>
      <c r="S410">
        <v>2.9990230000000002</v>
      </c>
      <c r="T410">
        <v>-0.2345786</v>
      </c>
      <c r="U410">
        <v>9.6710210000000005E-2</v>
      </c>
      <c r="V410">
        <v>-5.9709909999999998E-2</v>
      </c>
      <c r="W410">
        <v>6.1118860000000004E-3</v>
      </c>
      <c r="X410">
        <v>0.99819709999999995</v>
      </c>
      <c r="Y410">
        <v>-2.898502E-2</v>
      </c>
      <c r="Z410">
        <v>8.8419499999999995E-4</v>
      </c>
      <c r="AA410">
        <v>0.99957940000000001</v>
      </c>
      <c r="AB410">
        <v>42</v>
      </c>
      <c r="AC410">
        <v>13.9156</v>
      </c>
      <c r="AD410">
        <v>-1.1094570193889901</v>
      </c>
      <c r="AE410">
        <v>0.45650000000000501</v>
      </c>
      <c r="AF410">
        <v>-0.40980857729640902</v>
      </c>
      <c r="AG410">
        <v>-1.1094570193889901</v>
      </c>
      <c r="AH410">
        <v>13.829166030658</v>
      </c>
      <c r="AI410">
        <v>94.584776678252595</v>
      </c>
      <c r="AJ410">
        <v>91.697385970820307</v>
      </c>
      <c r="AK410">
        <v>13.879649529127301</v>
      </c>
      <c r="AL410">
        <v>89.649812560918306</v>
      </c>
      <c r="AM410">
        <v>93.423225860375297</v>
      </c>
      <c r="AN410">
        <v>1.0000000394755399</v>
      </c>
    </row>
    <row r="411" spans="1:40" x14ac:dyDescent="0.3">
      <c r="A411" t="str">
        <f>"20200111160413339"</f>
        <v>20200111160413339</v>
      </c>
      <c r="B411" t="str">
        <f>"1578729853331212"</f>
        <v>1578729853331212</v>
      </c>
      <c r="C411" t="s">
        <v>40</v>
      </c>
      <c r="D411">
        <v>4.7408580000000002</v>
      </c>
      <c r="E411">
        <v>0.51496719999999996</v>
      </c>
      <c r="F411" t="s">
        <v>42</v>
      </c>
      <c r="G411">
        <v>-366.52350000000001</v>
      </c>
      <c r="H411">
        <v>1.028535</v>
      </c>
      <c r="I411">
        <v>367.4556</v>
      </c>
      <c r="J411">
        <v>-367.32229999999998</v>
      </c>
      <c r="K411">
        <v>1.1094520000000001</v>
      </c>
      <c r="L411">
        <v>367.42680000000001</v>
      </c>
      <c r="M411">
        <v>0.99995239999999996</v>
      </c>
      <c r="N411">
        <v>0</v>
      </c>
      <c r="O411">
        <v>3.1730740000000001E-3</v>
      </c>
      <c r="P411">
        <v>0.99802170000000001</v>
      </c>
      <c r="Q411">
        <v>-3.0699260000000002E-3</v>
      </c>
      <c r="R411">
        <v>6.2799400000000005E-2</v>
      </c>
      <c r="S411">
        <v>2.9997560000000001</v>
      </c>
      <c r="T411">
        <v>-0.23601459999999999</v>
      </c>
      <c r="U411">
        <v>8.6914060000000001E-2</v>
      </c>
      <c r="V411">
        <v>-5.9632310000000001E-2</v>
      </c>
      <c r="W411">
        <v>6.1619539999999999E-3</v>
      </c>
      <c r="X411">
        <v>0.99820140000000002</v>
      </c>
      <c r="Y411">
        <v>-2.571992E-2</v>
      </c>
      <c r="Z411">
        <v>7.6080220000000005E-4</v>
      </c>
      <c r="AA411">
        <v>0.99966889999999997</v>
      </c>
      <c r="AB411">
        <v>42</v>
      </c>
      <c r="AC411">
        <v>0.79879999999997098</v>
      </c>
      <c r="AD411">
        <v>-8.09170000000001E-2</v>
      </c>
      <c r="AE411">
        <v>2.8799999999989698E-2</v>
      </c>
      <c r="AF411">
        <v>-2.5998661228239201E-2</v>
      </c>
      <c r="AG411">
        <v>-8.09170000000001E-2</v>
      </c>
      <c r="AH411">
        <v>0.79078341559574095</v>
      </c>
      <c r="AI411">
        <v>95.839329334224104</v>
      </c>
      <c r="AJ411">
        <v>91.883040501835595</v>
      </c>
      <c r="AK411">
        <v>0.79533760231484496</v>
      </c>
      <c r="AL411">
        <v>89.646943810991104</v>
      </c>
      <c r="AM411">
        <v>93.418772845510304</v>
      </c>
      <c r="AN411">
        <v>1.00000000851749</v>
      </c>
    </row>
    <row r="412" spans="1:40" x14ac:dyDescent="0.3">
      <c r="A412" t="str">
        <f>"20200111160413351"</f>
        <v>20200111160413351</v>
      </c>
      <c r="B412" t="str">
        <f>"1578729853340971"</f>
        <v>1578729853340971</v>
      </c>
      <c r="C412" t="s">
        <v>40</v>
      </c>
      <c r="D412">
        <v>4.6527000000000003</v>
      </c>
      <c r="E412">
        <v>0.51557209999999998</v>
      </c>
      <c r="F412" t="s">
        <v>41</v>
      </c>
      <c r="G412">
        <v>-353.2894</v>
      </c>
      <c r="H412" s="1">
        <v>-3.1810710000000002E-6</v>
      </c>
      <c r="I412">
        <v>367.81290000000001</v>
      </c>
      <c r="J412">
        <v>-367.10449999999997</v>
      </c>
      <c r="K412">
        <v>1.109451</v>
      </c>
      <c r="L412">
        <v>367.42750000000001</v>
      </c>
      <c r="M412">
        <v>0.99995230000000002</v>
      </c>
      <c r="N412">
        <v>0</v>
      </c>
      <c r="O412">
        <v>3.178293E-3</v>
      </c>
      <c r="P412">
        <v>0.99802040000000003</v>
      </c>
      <c r="Q412">
        <v>-3.5053850000000002E-3</v>
      </c>
      <c r="R412">
        <v>6.2796640000000001E-2</v>
      </c>
      <c r="S412">
        <v>3.0000309999999999</v>
      </c>
      <c r="T412">
        <v>-0.2371829</v>
      </c>
      <c r="U412">
        <v>8.255005E-2</v>
      </c>
      <c r="V412">
        <v>-5.9624379999999998E-2</v>
      </c>
      <c r="W412">
        <v>5.7323309999999898E-3</v>
      </c>
      <c r="X412">
        <v>0.99820439999999999</v>
      </c>
      <c r="Y412">
        <v>-2.4262889999999999E-2</v>
      </c>
      <c r="Z412">
        <v>7.0659409999999998E-4</v>
      </c>
      <c r="AA412">
        <v>0.99970539999999997</v>
      </c>
      <c r="AB412">
        <v>42</v>
      </c>
      <c r="AC412">
        <v>13.8150999999999</v>
      </c>
      <c r="AD412">
        <v>-1.1094541810709999</v>
      </c>
      <c r="AE412">
        <v>0.38540000000000402</v>
      </c>
      <c r="AF412">
        <v>-0.33930120092136601</v>
      </c>
      <c r="AG412">
        <v>-1.1094541810709999</v>
      </c>
      <c r="AH412">
        <v>13.727789784138199</v>
      </c>
      <c r="AI412">
        <v>94.619090454729005</v>
      </c>
      <c r="AJ412">
        <v>91.415855707180995</v>
      </c>
      <c r="AK412">
        <v>13.776727704441701</v>
      </c>
      <c r="AL412">
        <v>89.671559820043896</v>
      </c>
      <c r="AM412">
        <v>93.418309040710497</v>
      </c>
      <c r="AN412">
        <v>0.99999997524421802</v>
      </c>
    </row>
    <row r="413" spans="1:40" x14ac:dyDescent="0.3">
      <c r="A413" t="str">
        <f>"20200111160413363"</f>
        <v>20200111160413363</v>
      </c>
      <c r="B413" t="str">
        <f>"1578729853361467"</f>
        <v>1578729853361467</v>
      </c>
      <c r="C413" t="s">
        <v>40</v>
      </c>
      <c r="D413">
        <v>4.6631179999999999</v>
      </c>
      <c r="E413">
        <v>0.51596629999999999</v>
      </c>
      <c r="F413" t="s">
        <v>42</v>
      </c>
      <c r="G413">
        <v>-366.1404</v>
      </c>
      <c r="H413">
        <v>1.0327090000000001</v>
      </c>
      <c r="I413">
        <v>367.45240000000001</v>
      </c>
      <c r="J413">
        <v>-366.87450000000001</v>
      </c>
      <c r="K413">
        <v>1.10945</v>
      </c>
      <c r="L413">
        <v>367.42829999999998</v>
      </c>
      <c r="M413">
        <v>0.99995199999999995</v>
      </c>
      <c r="N413">
        <v>0</v>
      </c>
      <c r="O413">
        <v>3.1838080000000002E-3</v>
      </c>
      <c r="P413">
        <v>0.99803730000000002</v>
      </c>
      <c r="Q413">
        <v>-3.657516E-3</v>
      </c>
      <c r="R413">
        <v>6.2515230000000005E-2</v>
      </c>
      <c r="S413">
        <v>3.0002439999999999</v>
      </c>
      <c r="T413">
        <v>-0.23899200000000001</v>
      </c>
      <c r="U413">
        <v>7.7850340000000004E-2</v>
      </c>
      <c r="V413">
        <v>-5.9337399999999998E-2</v>
      </c>
      <c r="W413">
        <v>5.5864209999999899E-3</v>
      </c>
      <c r="X413">
        <v>0.99822239999999995</v>
      </c>
      <c r="Y413">
        <v>-2.2694510000000001E-2</v>
      </c>
      <c r="Z413">
        <v>6.4913500000000001E-4</v>
      </c>
      <c r="AA413">
        <v>0.99974220000000003</v>
      </c>
      <c r="AB413">
        <v>42</v>
      </c>
      <c r="AC413">
        <v>0.73410000000001197</v>
      </c>
      <c r="AD413">
        <v>-7.6740999999999907E-2</v>
      </c>
      <c r="AE413">
        <v>2.4100000000032599E-2</v>
      </c>
      <c r="AF413">
        <v>-2.15275422948536E-2</v>
      </c>
      <c r="AG413">
        <v>-7.6740999999999907E-2</v>
      </c>
      <c r="AH413">
        <v>0.72624508131292997</v>
      </c>
      <c r="AI413">
        <v>96.029328273976702</v>
      </c>
      <c r="AJ413">
        <v>91.697878966951194</v>
      </c>
      <c r="AK413">
        <v>0.73060559420899596</v>
      </c>
      <c r="AL413">
        <v>89.679920004457799</v>
      </c>
      <c r="AM413">
        <v>93.401833802821102</v>
      </c>
      <c r="AN413">
        <v>1.0000000475000499</v>
      </c>
    </row>
    <row r="414" spans="1:40" x14ac:dyDescent="0.3">
      <c r="A414" t="str">
        <f>"20200111160413380"</f>
        <v>20200111160413380</v>
      </c>
      <c r="B414" t="str">
        <f>"1578729853371227"</f>
        <v>1578729853371227</v>
      </c>
      <c r="C414" t="s">
        <v>40</v>
      </c>
      <c r="D414">
        <v>4.6941160000000002</v>
      </c>
      <c r="E414">
        <v>0.51634679999999999</v>
      </c>
      <c r="F414" t="s">
        <v>41</v>
      </c>
      <c r="G414">
        <v>-352.94740000000002</v>
      </c>
      <c r="H414" s="1">
        <v>-3.3348470000000001E-6</v>
      </c>
      <c r="I414">
        <v>367.77300000000002</v>
      </c>
      <c r="J414">
        <v>-366.56540000000001</v>
      </c>
      <c r="K414">
        <v>1.1094520000000001</v>
      </c>
      <c r="L414">
        <v>367.42919999999998</v>
      </c>
      <c r="M414">
        <v>0.99995199999999995</v>
      </c>
      <c r="N414">
        <v>0</v>
      </c>
      <c r="O414">
        <v>3.1909830000000001E-3</v>
      </c>
      <c r="P414">
        <v>0.99805250000000001</v>
      </c>
      <c r="Q414">
        <v>-4.0086490000000004E-3</v>
      </c>
      <c r="R414">
        <v>6.2250149999999997E-2</v>
      </c>
      <c r="S414">
        <v>3.000397</v>
      </c>
      <c r="T414">
        <v>-0.239013</v>
      </c>
      <c r="U414">
        <v>7.4279789999999998E-2</v>
      </c>
      <c r="V414">
        <v>-5.906525E-2</v>
      </c>
      <c r="W414">
        <v>5.2431029999999998E-3</v>
      </c>
      <c r="X414">
        <v>0.99824040000000003</v>
      </c>
      <c r="Y414">
        <v>-2.150084E-2</v>
      </c>
      <c r="Z414">
        <v>6.0113639999999997E-4</v>
      </c>
      <c r="AA414">
        <v>0.99976869999999995</v>
      </c>
      <c r="AB414">
        <v>42</v>
      </c>
      <c r="AC414">
        <v>13.617999999999901</v>
      </c>
      <c r="AD414">
        <v>-1.109455334847</v>
      </c>
      <c r="AE414">
        <v>0.34380000000004401</v>
      </c>
      <c r="AF414">
        <v>-0.29836251120704699</v>
      </c>
      <c r="AG414">
        <v>-1.109455334847</v>
      </c>
      <c r="AH414">
        <v>13.529286713781101</v>
      </c>
      <c r="AI414">
        <v>94.686857785365504</v>
      </c>
      <c r="AJ414">
        <v>91.263343923592899</v>
      </c>
      <c r="AK414">
        <v>13.5779788743321</v>
      </c>
      <c r="AL414">
        <v>89.699590963686603</v>
      </c>
      <c r="AM414">
        <v>93.386206821153607</v>
      </c>
      <c r="AN414">
        <v>1.00000004503939</v>
      </c>
    </row>
    <row r="415" spans="1:40" x14ac:dyDescent="0.3">
      <c r="A415" t="str">
        <f>"20200111160413392"</f>
        <v>20200111160413392</v>
      </c>
      <c r="B415" t="str">
        <f>"1578729853380988"</f>
        <v>1578729853380988</v>
      </c>
      <c r="C415" t="s">
        <v>40</v>
      </c>
      <c r="D415">
        <v>4.646598</v>
      </c>
      <c r="E415">
        <v>0.51673389999999997</v>
      </c>
      <c r="F415" t="s">
        <v>41</v>
      </c>
      <c r="G415">
        <v>-352.68090000000001</v>
      </c>
      <c r="H415" s="1">
        <v>-3.4528510000000001E-6</v>
      </c>
      <c r="I415">
        <v>367.75209999999998</v>
      </c>
      <c r="J415">
        <v>-366.3272</v>
      </c>
      <c r="K415">
        <v>1.1094520000000001</v>
      </c>
      <c r="L415">
        <v>367.43</v>
      </c>
      <c r="M415">
        <v>0.99995199999999995</v>
      </c>
      <c r="N415">
        <v>0</v>
      </c>
      <c r="O415">
        <v>3.1963790000000001E-3</v>
      </c>
      <c r="P415">
        <v>0.99806439999999996</v>
      </c>
      <c r="Q415">
        <v>-3.9268840000000003E-3</v>
      </c>
      <c r="R415">
        <v>6.206851E-2</v>
      </c>
      <c r="S415">
        <v>3.0005489999999999</v>
      </c>
      <c r="T415">
        <v>-0.23976140000000001</v>
      </c>
      <c r="U415">
        <v>6.97937E-2</v>
      </c>
      <c r="V415">
        <v>-5.8878149999999997E-2</v>
      </c>
      <c r="W415">
        <v>5.3317939999999999E-3</v>
      </c>
      <c r="X415">
        <v>0.998251</v>
      </c>
      <c r="Y415">
        <v>-2.00047E-2</v>
      </c>
      <c r="Z415">
        <v>5.4289010000000001E-4</v>
      </c>
      <c r="AA415">
        <v>0.99979969999999996</v>
      </c>
      <c r="AB415">
        <v>42</v>
      </c>
      <c r="AC415">
        <v>13.646299999999901</v>
      </c>
      <c r="AD415">
        <v>-1.1094554528509999</v>
      </c>
      <c r="AE415">
        <v>0.32209999999997702</v>
      </c>
      <c r="AF415">
        <v>-0.27665014610100902</v>
      </c>
      <c r="AG415">
        <v>-1.1094554528509999</v>
      </c>
      <c r="AH415">
        <v>13.557695793164299</v>
      </c>
      <c r="AI415">
        <v>94.677243760232898</v>
      </c>
      <c r="AJ415">
        <v>91.168980818447395</v>
      </c>
      <c r="AK415">
        <v>13.605827498729401</v>
      </c>
      <c r="AL415">
        <v>89.694509278014394</v>
      </c>
      <c r="AM415">
        <v>93.375469472258402</v>
      </c>
      <c r="AN415">
        <v>1.00000006178783</v>
      </c>
    </row>
    <row r="416" spans="1:40" x14ac:dyDescent="0.3">
      <c r="A416" t="str">
        <f>"20200111160413404"</f>
        <v>20200111160413404</v>
      </c>
      <c r="B416" t="str">
        <f>"1578729853401483"</f>
        <v>1578729853401483</v>
      </c>
      <c r="C416" t="s">
        <v>40</v>
      </c>
      <c r="D416">
        <v>4.9274709999999997</v>
      </c>
      <c r="E416">
        <v>0.51696529999999996</v>
      </c>
      <c r="F416" t="s">
        <v>42</v>
      </c>
      <c r="G416">
        <v>-365.38369999999998</v>
      </c>
      <c r="H416">
        <v>1.034068</v>
      </c>
      <c r="I416">
        <v>367.45069999999998</v>
      </c>
      <c r="J416">
        <v>-366.1071</v>
      </c>
      <c r="K416">
        <v>1.1094469999999901</v>
      </c>
      <c r="L416">
        <v>367.4307</v>
      </c>
      <c r="M416">
        <v>0.99995179999999995</v>
      </c>
      <c r="N416">
        <v>0</v>
      </c>
      <c r="O416">
        <v>3.2015400000000001E-3</v>
      </c>
      <c r="P416">
        <v>0.998081</v>
      </c>
      <c r="Q416">
        <v>-3.9101259999999999E-3</v>
      </c>
      <c r="R416">
        <v>6.1796289999999997E-2</v>
      </c>
      <c r="S416">
        <v>3.0007929999999998</v>
      </c>
      <c r="T416">
        <v>-0.23977770000000001</v>
      </c>
      <c r="U416">
        <v>6.622314E-2</v>
      </c>
      <c r="V416">
        <v>-5.8600630000000001E-2</v>
      </c>
      <c r="W416">
        <v>5.3542049999999999E-3</v>
      </c>
      <c r="X416">
        <v>0.99826720000000002</v>
      </c>
      <c r="Y416">
        <v>-1.8812430000000002E-2</v>
      </c>
      <c r="Z416">
        <v>4.9492579999999996E-4</v>
      </c>
      <c r="AA416">
        <v>0.99982289999999996</v>
      </c>
      <c r="AB416">
        <v>42</v>
      </c>
      <c r="AC416">
        <v>0.72340000000002602</v>
      </c>
      <c r="AD416">
        <v>-7.5378999999999793E-2</v>
      </c>
      <c r="AE416">
        <v>1.99999999999818E-2</v>
      </c>
      <c r="AF416">
        <v>-1.7494001569933599E-2</v>
      </c>
      <c r="AG416">
        <v>-7.5378999999999793E-2</v>
      </c>
      <c r="AH416">
        <v>0.71569535024781405</v>
      </c>
      <c r="AI416">
        <v>96.010600516768505</v>
      </c>
      <c r="AJ416">
        <v>91.400222740119602</v>
      </c>
      <c r="AK416">
        <v>0.71986656270330396</v>
      </c>
      <c r="AL416">
        <v>89.693225201038899</v>
      </c>
      <c r="AM416">
        <v>93.359541454587003</v>
      </c>
      <c r="AN416">
        <v>1.0000000519717001</v>
      </c>
    </row>
    <row r="417" spans="1:40" x14ac:dyDescent="0.3">
      <c r="A417" t="str">
        <f>"20200111160413416"</f>
        <v>20200111160413416</v>
      </c>
      <c r="B417" t="str">
        <f>"1578729853411245"</f>
        <v>1578729853411245</v>
      </c>
      <c r="C417" t="s">
        <v>40</v>
      </c>
      <c r="D417">
        <v>4.9499550000000001</v>
      </c>
      <c r="E417">
        <v>0.51693120000000004</v>
      </c>
      <c r="F417" t="s">
        <v>42</v>
      </c>
      <c r="G417">
        <v>-365.0129</v>
      </c>
      <c r="H417">
        <v>1.0223899999999999</v>
      </c>
      <c r="I417">
        <v>367.45350000000002</v>
      </c>
      <c r="J417">
        <v>-365.88130000000001</v>
      </c>
      <c r="K417">
        <v>1.1094440000000001</v>
      </c>
      <c r="L417">
        <v>367.43150000000003</v>
      </c>
      <c r="M417">
        <v>0.9999517</v>
      </c>
      <c r="N417">
        <v>0</v>
      </c>
      <c r="O417">
        <v>3.2067580000000001E-3</v>
      </c>
      <c r="P417">
        <v>0.99809809999999999</v>
      </c>
      <c r="Q417">
        <v>-3.9936620000000003E-3</v>
      </c>
      <c r="R417">
        <v>6.1517450000000001E-2</v>
      </c>
      <c r="S417">
        <v>3.0009459999999999</v>
      </c>
      <c r="T417">
        <v>-0.23906759999999999</v>
      </c>
      <c r="U417">
        <v>6.3415529999999998E-2</v>
      </c>
      <c r="V417">
        <v>-5.8316479999999997E-2</v>
      </c>
      <c r="W417">
        <v>5.2764810000000004E-3</v>
      </c>
      <c r="X417">
        <v>0.99828419999999896</v>
      </c>
      <c r="Y417">
        <v>-1.7874399999999999E-2</v>
      </c>
      <c r="Z417">
        <v>4.5572910000000002E-4</v>
      </c>
      <c r="AA417">
        <v>0.99984010000000001</v>
      </c>
      <c r="AB417">
        <v>42</v>
      </c>
      <c r="AC417">
        <v>0.86840000000000805</v>
      </c>
      <c r="AD417">
        <v>-8.7054000000000104E-2</v>
      </c>
      <c r="AE417">
        <v>2.1999999999991301E-2</v>
      </c>
      <c r="AF417">
        <v>-1.9023962264315901E-2</v>
      </c>
      <c r="AG417">
        <v>-8.7054000000000104E-2</v>
      </c>
      <c r="AH417">
        <v>0.85983088968747201</v>
      </c>
      <c r="AI417">
        <v>95.7798342429667</v>
      </c>
      <c r="AJ417">
        <v>91.2674759103013</v>
      </c>
      <c r="AK417">
        <v>0.86443592528132696</v>
      </c>
      <c r="AL417">
        <v>89.697678504728898</v>
      </c>
      <c r="AM417">
        <v>93.3432315309621</v>
      </c>
      <c r="AN417">
        <v>0.99999999853048605</v>
      </c>
    </row>
    <row r="418" spans="1:40" x14ac:dyDescent="0.3">
      <c r="A418" t="str">
        <f>"20200111160413427"</f>
        <v>20200111160413427</v>
      </c>
      <c r="B418" t="str">
        <f>"1578729853421003"</f>
        <v>1578729853421003</v>
      </c>
      <c r="C418" t="s">
        <v>40</v>
      </c>
      <c r="D418">
        <v>4.9284220000000003</v>
      </c>
      <c r="E418">
        <v>0.51688579999999995</v>
      </c>
      <c r="F418" t="s">
        <v>41</v>
      </c>
      <c r="G418">
        <v>-351.97109999999998</v>
      </c>
      <c r="H418" s="1">
        <v>-3.762433E-6</v>
      </c>
      <c r="I418">
        <v>367.7235</v>
      </c>
      <c r="J418">
        <v>-365.65570000000002</v>
      </c>
      <c r="K418">
        <v>1.109442</v>
      </c>
      <c r="L418">
        <v>367.43220000000002</v>
      </c>
      <c r="M418">
        <v>0.99995179999999995</v>
      </c>
      <c r="N418">
        <v>0</v>
      </c>
      <c r="O418">
        <v>3.211916E-3</v>
      </c>
      <c r="P418">
        <v>0.99810259999999995</v>
      </c>
      <c r="Q418">
        <v>-3.9989520000000001E-3</v>
      </c>
      <c r="R418">
        <v>6.1443289999999998E-2</v>
      </c>
      <c r="S418">
        <v>3.0008849999999998</v>
      </c>
      <c r="T418">
        <v>-0.2393429</v>
      </c>
      <c r="U418">
        <v>6.30188E-2</v>
      </c>
      <c r="V418">
        <v>-5.8236980000000001E-2</v>
      </c>
      <c r="W418">
        <v>5.2774340000000001E-3</v>
      </c>
      <c r="X418">
        <v>0.99828879999999998</v>
      </c>
      <c r="Y418">
        <v>-1.7737880000000001E-2</v>
      </c>
      <c r="Z418">
        <v>4.504167E-4</v>
      </c>
      <c r="AA418">
        <v>0.99984260000000003</v>
      </c>
      <c r="AB418">
        <v>42</v>
      </c>
      <c r="AC418">
        <v>13.6846</v>
      </c>
      <c r="AD418">
        <v>-1.1094457624330001</v>
      </c>
      <c r="AE418">
        <v>0.29129999999997802</v>
      </c>
      <c r="AF418">
        <v>-0.24572843654295201</v>
      </c>
      <c r="AG418">
        <v>-1.1094457624330001</v>
      </c>
      <c r="AH418">
        <v>13.5961413446439</v>
      </c>
      <c r="AI418">
        <v>94.664244142407497</v>
      </c>
      <c r="AJ418">
        <v>91.035416540950294</v>
      </c>
      <c r="AK418">
        <v>13.643544694390901</v>
      </c>
      <c r="AL418">
        <v>89.697623890249403</v>
      </c>
      <c r="AM418">
        <v>93.338668834823096</v>
      </c>
      <c r="AN418">
        <v>0.99999996267729097</v>
      </c>
    </row>
    <row r="419" spans="1:40" x14ac:dyDescent="0.3">
      <c r="A419" t="str">
        <f>"20200111160413439"</f>
        <v>20200111160413439</v>
      </c>
      <c r="B419" t="str">
        <f>"1578729853430765"</f>
        <v>1578729853430765</v>
      </c>
      <c r="C419" t="s">
        <v>40</v>
      </c>
      <c r="D419">
        <v>4.6488509999999996</v>
      </c>
      <c r="E419">
        <v>0.51716070000000003</v>
      </c>
      <c r="F419" t="s">
        <v>42</v>
      </c>
      <c r="G419">
        <v>-364.62869999999998</v>
      </c>
      <c r="H419">
        <v>1.027663</v>
      </c>
      <c r="I419">
        <v>367.45359999999999</v>
      </c>
      <c r="J419">
        <v>-365.42680000000001</v>
      </c>
      <c r="K419">
        <v>1.109445</v>
      </c>
      <c r="L419">
        <v>367.43290000000002</v>
      </c>
      <c r="M419">
        <v>0.9999517</v>
      </c>
      <c r="N419">
        <v>0</v>
      </c>
      <c r="O419">
        <v>3.217134E-3</v>
      </c>
      <c r="P419">
        <v>0.99811179999999999</v>
      </c>
      <c r="Q419">
        <v>-3.9332120000000002E-3</v>
      </c>
      <c r="R419">
        <v>6.1298800000000001E-2</v>
      </c>
      <c r="S419">
        <v>3.0008240000000002</v>
      </c>
      <c r="T419">
        <v>-0.23910310000000001</v>
      </c>
      <c r="U419">
        <v>6.3232419999999998E-2</v>
      </c>
      <c r="V419">
        <v>-5.8087479999999997E-2</v>
      </c>
      <c r="W419">
        <v>5.3484819999999999E-3</v>
      </c>
      <c r="X419">
        <v>0.9982972</v>
      </c>
      <c r="Y419">
        <v>-1.7804130000000001E-2</v>
      </c>
      <c r="Z419">
        <v>4.5219539999999999E-4</v>
      </c>
      <c r="AA419">
        <v>0.99984139999999999</v>
      </c>
      <c r="AB419">
        <v>42</v>
      </c>
      <c r="AC419">
        <v>0.79810000000003301</v>
      </c>
      <c r="AD419">
        <v>-8.1781999999999994E-2</v>
      </c>
      <c r="AE419">
        <v>2.0699999999976602E-2</v>
      </c>
      <c r="AF419">
        <v>-1.79438982198496E-2</v>
      </c>
      <c r="AG419">
        <v>-8.1781999999999994E-2</v>
      </c>
      <c r="AH419">
        <v>0.78987414387625299</v>
      </c>
      <c r="AI419">
        <v>95.909714277656704</v>
      </c>
      <c r="AJ419">
        <v>91.301388121306104</v>
      </c>
      <c r="AK419">
        <v>0.79429934040736105</v>
      </c>
      <c r="AL419">
        <v>89.693553102901603</v>
      </c>
      <c r="AM419">
        <v>93.3300895026115</v>
      </c>
      <c r="AN419">
        <v>1.00000003056014</v>
      </c>
    </row>
    <row r="420" spans="1:40" x14ac:dyDescent="0.3">
      <c r="A420" t="str">
        <f>"20200111160413450"</f>
        <v>20200111160413450</v>
      </c>
      <c r="B420" t="str">
        <f>"1578729853441500"</f>
        <v>1578729853441500</v>
      </c>
      <c r="C420" t="s">
        <v>40</v>
      </c>
      <c r="D420">
        <v>4.6556410000000001</v>
      </c>
      <c r="E420">
        <v>0.51733169999999995</v>
      </c>
      <c r="F420" t="s">
        <v>41</v>
      </c>
      <c r="G420">
        <v>-351.49590000000001</v>
      </c>
      <c r="H420" s="1">
        <v>-3.9679840000000004E-6</v>
      </c>
      <c r="I420">
        <v>367.71409999999997</v>
      </c>
      <c r="J420">
        <v>-365.2226</v>
      </c>
      <c r="K420">
        <v>1.1094459999999999</v>
      </c>
      <c r="L420">
        <v>367.43349999999998</v>
      </c>
      <c r="M420">
        <v>0.99995160000000005</v>
      </c>
      <c r="N420">
        <v>0</v>
      </c>
      <c r="O420">
        <v>3.221996E-3</v>
      </c>
      <c r="P420">
        <v>0.99809760000000003</v>
      </c>
      <c r="Q420">
        <v>-4.1242609999999997E-3</v>
      </c>
      <c r="R420">
        <v>6.1516559999999998E-2</v>
      </c>
      <c r="S420">
        <v>3.001007</v>
      </c>
      <c r="T420">
        <v>-0.23899570000000001</v>
      </c>
      <c r="U420">
        <v>6.0577390000000002E-2</v>
      </c>
      <c r="V420">
        <v>-5.829985E-2</v>
      </c>
      <c r="W420">
        <v>5.1629950000000001E-3</v>
      </c>
      <c r="X420">
        <v>0.9982858</v>
      </c>
      <c r="Y420">
        <v>-1.691666E-2</v>
      </c>
      <c r="Z420">
        <v>4.163037E-4</v>
      </c>
      <c r="AA420">
        <v>0.99985679999999999</v>
      </c>
      <c r="AB420">
        <v>42</v>
      </c>
      <c r="AC420">
        <v>13.7266999999999</v>
      </c>
      <c r="AD420">
        <v>-1.109449967984</v>
      </c>
      <c r="AE420">
        <v>0.28059999999999202</v>
      </c>
      <c r="AF420">
        <v>-0.23483582233345299</v>
      </c>
      <c r="AG420">
        <v>-1.109449967984</v>
      </c>
      <c r="AH420">
        <v>13.6384759771541</v>
      </c>
      <c r="AI420">
        <v>94.649916992705499</v>
      </c>
      <c r="AJ420">
        <v>90.986457140041196</v>
      </c>
      <c r="AK420">
        <v>13.685541789579201</v>
      </c>
      <c r="AL420">
        <v>89.704180872576899</v>
      </c>
      <c r="AM420">
        <v>93.342274964916896</v>
      </c>
      <c r="AN420">
        <v>1.0000000337545101</v>
      </c>
    </row>
    <row r="421" spans="1:40" x14ac:dyDescent="0.3">
      <c r="A421" t="str">
        <f>"20200111160413462"</f>
        <v>20200111160413462</v>
      </c>
      <c r="B421" t="str">
        <f>"1578729853450886"</f>
        <v>1578729853450886</v>
      </c>
      <c r="C421" t="s">
        <v>40</v>
      </c>
      <c r="D421">
        <v>4.6325149999999997</v>
      </c>
      <c r="E421">
        <v>0.51753439999999995</v>
      </c>
      <c r="F421" t="s">
        <v>42</v>
      </c>
      <c r="G421">
        <v>-364.24509999999998</v>
      </c>
      <c r="H421">
        <v>1.031531</v>
      </c>
      <c r="I421">
        <v>367.45249999999999</v>
      </c>
      <c r="J421">
        <v>-364.99889999999999</v>
      </c>
      <c r="K421">
        <v>1.1094459999999999</v>
      </c>
      <c r="L421">
        <v>367.43430000000001</v>
      </c>
      <c r="M421">
        <v>0.99995149999999999</v>
      </c>
      <c r="N421">
        <v>0</v>
      </c>
      <c r="O421">
        <v>3.2271539999999999E-3</v>
      </c>
      <c r="P421">
        <v>0.99809519999999996</v>
      </c>
      <c r="Q421">
        <v>-4.1350290000000001E-3</v>
      </c>
      <c r="R421">
        <v>6.1554360000000002E-2</v>
      </c>
      <c r="S421">
        <v>3.0010379999999999</v>
      </c>
      <c r="T421">
        <v>-0.2395822</v>
      </c>
      <c r="U421">
        <v>5.9783940000000001E-2</v>
      </c>
      <c r="V421">
        <v>-5.8333169999999997E-2</v>
      </c>
      <c r="W421">
        <v>5.1582260000000001E-3</v>
      </c>
      <c r="X421">
        <v>0.9982839</v>
      </c>
      <c r="Y421">
        <v>-1.6647700000000001E-2</v>
      </c>
      <c r="Z421">
        <v>4.0618989999999998E-4</v>
      </c>
      <c r="AA421">
        <v>0.99986140000000001</v>
      </c>
      <c r="AB421">
        <v>43</v>
      </c>
      <c r="AC421">
        <v>0.75380000000001202</v>
      </c>
      <c r="AD421">
        <v>-7.7914999999999901E-2</v>
      </c>
      <c r="AE421">
        <v>1.81999999999789E-2</v>
      </c>
      <c r="AF421">
        <v>-1.5600593118122201E-2</v>
      </c>
      <c r="AG421">
        <v>-7.7914999999999901E-2</v>
      </c>
      <c r="AH421">
        <v>0.74589043390760901</v>
      </c>
      <c r="AI421">
        <v>95.962140054120297</v>
      </c>
      <c r="AJ421">
        <v>91.198189168363797</v>
      </c>
      <c r="AK421">
        <v>0.75011110185459695</v>
      </c>
      <c r="AL421">
        <v>89.704454126208105</v>
      </c>
      <c r="AM421">
        <v>93.344187185111807</v>
      </c>
      <c r="AN421">
        <v>1.0000000555084601</v>
      </c>
    </row>
    <row r="422" spans="1:40" x14ac:dyDescent="0.3">
      <c r="A422" t="str">
        <f>"20200111160413475"</f>
        <v>20200111160413475</v>
      </c>
      <c r="B422" t="str">
        <f>"1578729853471381"</f>
        <v>1578729853471381</v>
      </c>
      <c r="C422" t="s">
        <v>40</v>
      </c>
      <c r="D422">
        <v>4.6328800000000001</v>
      </c>
      <c r="E422">
        <v>0.5179359</v>
      </c>
      <c r="F422" t="s">
        <v>41</v>
      </c>
      <c r="G422">
        <v>-351.1438</v>
      </c>
      <c r="H422" s="1">
        <v>-4.1209069999999998E-6</v>
      </c>
      <c r="I422">
        <v>367.70350000000002</v>
      </c>
      <c r="J422">
        <v>-364.76490000000001</v>
      </c>
      <c r="K422">
        <v>1.109448</v>
      </c>
      <c r="L422">
        <v>367.435</v>
      </c>
      <c r="M422">
        <v>0.99995149999999999</v>
      </c>
      <c r="N422">
        <v>0</v>
      </c>
      <c r="O422">
        <v>3.2324760000000002E-3</v>
      </c>
      <c r="P422">
        <v>0.99807319999999999</v>
      </c>
      <c r="Q422">
        <v>-4.090967E-3</v>
      </c>
      <c r="R422">
        <v>6.191547E-2</v>
      </c>
      <c r="S422">
        <v>3.0011290000000002</v>
      </c>
      <c r="T422">
        <v>-0.24031440000000001</v>
      </c>
      <c r="U422">
        <v>5.8319089999999997E-2</v>
      </c>
      <c r="V422">
        <v>-5.8688730000000001E-2</v>
      </c>
      <c r="W422">
        <v>5.2106790000000002E-3</v>
      </c>
      <c r="X422">
        <v>0.99826269999999995</v>
      </c>
      <c r="Y422">
        <v>-1.6155260000000001E-2</v>
      </c>
      <c r="Z422">
        <v>3.8730889999999998E-4</v>
      </c>
      <c r="AA422">
        <v>0.99986940000000002</v>
      </c>
      <c r="AB422">
        <v>43</v>
      </c>
      <c r="AC422">
        <v>13.6211</v>
      </c>
      <c r="AD422">
        <v>-1.1094521209070001</v>
      </c>
      <c r="AE422">
        <v>0.268500000000017</v>
      </c>
      <c r="AF422">
        <v>-0.22298802589165001</v>
      </c>
      <c r="AG422">
        <v>-1.1094521209070001</v>
      </c>
      <c r="AH422">
        <v>13.532155761162301</v>
      </c>
      <c r="AI422">
        <v>94.686355863363801</v>
      </c>
      <c r="AJ422">
        <v>90.944056273729103</v>
      </c>
      <c r="AK422">
        <v>13.5793905317078</v>
      </c>
      <c r="AL422">
        <v>89.701448724397494</v>
      </c>
      <c r="AM422">
        <v>93.3645957160319</v>
      </c>
      <c r="AN422">
        <v>0.99999996820797099</v>
      </c>
    </row>
    <row r="423" spans="1:40" x14ac:dyDescent="0.3">
      <c r="A423" t="str">
        <f>"20200111160413490"</f>
        <v>20200111160413490</v>
      </c>
      <c r="B423" t="str">
        <f>"1578729853481141"</f>
        <v>1578729853481141</v>
      </c>
      <c r="C423" t="s">
        <v>40</v>
      </c>
      <c r="D423">
        <v>4.7836879999999997</v>
      </c>
      <c r="E423">
        <v>0.51803390000000005</v>
      </c>
      <c r="F423" t="s">
        <v>42</v>
      </c>
      <c r="G423">
        <v>-363.85770000000002</v>
      </c>
      <c r="H423">
        <v>1.036837</v>
      </c>
      <c r="I423">
        <v>367.45190000000002</v>
      </c>
      <c r="J423">
        <v>-364.4554</v>
      </c>
      <c r="K423">
        <v>1.109451</v>
      </c>
      <c r="L423">
        <v>367.43599999999998</v>
      </c>
      <c r="M423">
        <v>0.99995120000000004</v>
      </c>
      <c r="N423">
        <v>0</v>
      </c>
      <c r="O423">
        <v>3.2400160000000001E-3</v>
      </c>
      <c r="P423">
        <v>0.99805739999999998</v>
      </c>
      <c r="Q423">
        <v>-3.3296760000000002E-3</v>
      </c>
      <c r="R423">
        <v>6.2213320000000003E-2</v>
      </c>
      <c r="S423">
        <v>3.001312</v>
      </c>
      <c r="T423">
        <v>-0.24028330000000001</v>
      </c>
      <c r="U423">
        <v>5.6304930000000003E-2</v>
      </c>
      <c r="V423">
        <v>-5.897931E-2</v>
      </c>
      <c r="W423">
        <v>5.9902949999999996E-3</v>
      </c>
      <c r="X423">
        <v>0.99824120000000005</v>
      </c>
      <c r="Y423">
        <v>-1.5477980000000001E-2</v>
      </c>
      <c r="Z423">
        <v>3.5956950000000002E-4</v>
      </c>
      <c r="AA423">
        <v>0.99988010000000005</v>
      </c>
      <c r="AB423">
        <v>43</v>
      </c>
      <c r="AC423">
        <v>0.59769999999997403</v>
      </c>
      <c r="AD423">
        <v>-7.2613999999999901E-2</v>
      </c>
      <c r="AE423">
        <v>1.5900000000044601E-2</v>
      </c>
      <c r="AF423">
        <v>-1.37603215870323E-2</v>
      </c>
      <c r="AG423">
        <v>-7.2613999999999901E-2</v>
      </c>
      <c r="AH423">
        <v>0.58906024326486905</v>
      </c>
      <c r="AI423">
        <v>97.025553583862802</v>
      </c>
      <c r="AJ423">
        <v>91.338173814139296</v>
      </c>
      <c r="AK423">
        <v>0.59367845644039097</v>
      </c>
      <c r="AL423">
        <v>89.656779314793397</v>
      </c>
      <c r="AM423">
        <v>93.381288622995498</v>
      </c>
      <c r="AN423">
        <v>0.99999996800985103</v>
      </c>
    </row>
    <row r="424" spans="1:40" x14ac:dyDescent="0.3">
      <c r="A424" t="str">
        <f>"20200111160413502"</f>
        <v>20200111160413502</v>
      </c>
      <c r="B424" t="str">
        <f>"1578729853490901"</f>
        <v>1578729853490901</v>
      </c>
      <c r="C424" t="s">
        <v>40</v>
      </c>
      <c r="D424">
        <v>4.9032369999999998</v>
      </c>
      <c r="E424">
        <v>0.51805659999999998</v>
      </c>
      <c r="F424" t="s">
        <v>42</v>
      </c>
      <c r="G424">
        <v>-363.48169999999999</v>
      </c>
      <c r="H424">
        <v>1.0325169999999999</v>
      </c>
      <c r="I424">
        <v>367.45400000000001</v>
      </c>
      <c r="J424">
        <v>-364.22410000000002</v>
      </c>
      <c r="K424">
        <v>1.1094580000000001</v>
      </c>
      <c r="L424">
        <v>367.43680000000001</v>
      </c>
      <c r="M424">
        <v>0.99995100000000003</v>
      </c>
      <c r="N424">
        <v>0</v>
      </c>
      <c r="O424">
        <v>3.2457609999999998E-3</v>
      </c>
      <c r="P424">
        <v>0.99804269999999995</v>
      </c>
      <c r="Q424">
        <v>-3.1556930000000002E-3</v>
      </c>
      <c r="R424">
        <v>6.2458710000000001E-2</v>
      </c>
      <c r="S424">
        <v>3.0015559999999999</v>
      </c>
      <c r="T424">
        <v>-0.2372264</v>
      </c>
      <c r="U424">
        <v>5.6182860000000001E-2</v>
      </c>
      <c r="V424">
        <v>-5.9219149999999998E-2</v>
      </c>
      <c r="W424">
        <v>6.1843640000000004E-3</v>
      </c>
      <c r="X424">
        <v>0.9982259</v>
      </c>
      <c r="Y424">
        <v>-1.5431210000000001E-2</v>
      </c>
      <c r="Z424">
        <v>3.5268229999999999E-4</v>
      </c>
      <c r="AA424">
        <v>0.99988089999999996</v>
      </c>
      <c r="AB424">
        <v>43</v>
      </c>
      <c r="AC424">
        <v>0.74240000000003104</v>
      </c>
      <c r="AD424">
        <v>-7.6941000000000107E-2</v>
      </c>
      <c r="AE424">
        <v>1.7200000000002501E-2</v>
      </c>
      <c r="AF424">
        <v>-1.46330634306173E-2</v>
      </c>
      <c r="AG424">
        <v>-7.6941000000000107E-2</v>
      </c>
      <c r="AH424">
        <v>0.73456626570461403</v>
      </c>
      <c r="AI424">
        <v>95.978375741644996</v>
      </c>
      <c r="AJ424">
        <v>91.141220251972399</v>
      </c>
      <c r="AK424">
        <v>0.73872974946023795</v>
      </c>
      <c r="AL424">
        <v>89.645659803084797</v>
      </c>
      <c r="AM424">
        <v>93.395058486658201</v>
      </c>
      <c r="AN424">
        <v>1.0000000507578</v>
      </c>
    </row>
    <row r="425" spans="1:40" x14ac:dyDescent="0.3">
      <c r="A425" t="str">
        <f>"20200111160413514"</f>
        <v>20200111160413514</v>
      </c>
      <c r="B425" t="str">
        <f>"1578729853511397"</f>
        <v>1578729853511397</v>
      </c>
      <c r="C425" t="s">
        <v>40</v>
      </c>
      <c r="D425">
        <v>4.6785680000000003</v>
      </c>
      <c r="E425">
        <v>0.5183198</v>
      </c>
      <c r="F425" t="s">
        <v>41</v>
      </c>
      <c r="G425">
        <v>-350.10879999999997</v>
      </c>
      <c r="H425" s="1">
        <v>-4.5647469999999999E-6</v>
      </c>
      <c r="I425">
        <v>367.70440000000002</v>
      </c>
      <c r="J425">
        <v>-364.01749999999998</v>
      </c>
      <c r="K425">
        <v>1.1094679999999999</v>
      </c>
      <c r="L425">
        <v>367.4375</v>
      </c>
      <c r="M425">
        <v>0.99995060000000002</v>
      </c>
      <c r="N425">
        <v>0</v>
      </c>
      <c r="O425">
        <v>3.2506810000000001E-3</v>
      </c>
      <c r="P425">
        <v>0.99803560000000002</v>
      </c>
      <c r="Q425">
        <v>-3.2665260000000001E-3</v>
      </c>
      <c r="R425">
        <v>6.2564949999999994E-2</v>
      </c>
      <c r="S425">
        <v>3.0015869999999998</v>
      </c>
      <c r="T425">
        <v>-0.23592360000000001</v>
      </c>
      <c r="U425">
        <v>5.6915279999999999E-2</v>
      </c>
      <c r="V425">
        <v>-5.9320089999999999E-2</v>
      </c>
      <c r="W425">
        <v>6.1047339999999997E-3</v>
      </c>
      <c r="X425">
        <v>0.99822029999999995</v>
      </c>
      <c r="Y425">
        <v>-1.5669700000000002E-2</v>
      </c>
      <c r="Z425">
        <v>3.5971799999999997E-4</v>
      </c>
      <c r="AA425">
        <v>0.99987720000000002</v>
      </c>
      <c r="AB425">
        <v>43</v>
      </c>
      <c r="AC425">
        <v>13.9087</v>
      </c>
      <c r="AD425">
        <v>-1.1094725647470001</v>
      </c>
      <c r="AE425">
        <v>0.26690000000002101</v>
      </c>
      <c r="AF425">
        <v>-0.220282711268045</v>
      </c>
      <c r="AG425">
        <v>-1.1094725647470001</v>
      </c>
      <c r="AH425">
        <v>13.8215801887353</v>
      </c>
      <c r="AI425">
        <v>94.588771143412202</v>
      </c>
      <c r="AJ425">
        <v>90.913079475443894</v>
      </c>
      <c r="AK425">
        <v>13.867787594221699</v>
      </c>
      <c r="AL425">
        <v>89.650222318096993</v>
      </c>
      <c r="AM425">
        <v>93.400850881775298</v>
      </c>
      <c r="AN425">
        <v>0.99999995409345299</v>
      </c>
    </row>
    <row r="426" spans="1:40" x14ac:dyDescent="0.3">
      <c r="A426" t="str">
        <f>"20200111160413527"</f>
        <v>20200111160413527</v>
      </c>
      <c r="B426" t="str">
        <f>"1578729853521157"</f>
        <v>1578729853521157</v>
      </c>
      <c r="C426" t="s">
        <v>40</v>
      </c>
      <c r="D426">
        <v>4.6445150000000002</v>
      </c>
      <c r="E426">
        <v>0.51846130000000001</v>
      </c>
      <c r="F426" t="s">
        <v>42</v>
      </c>
      <c r="G426">
        <v>-363.09350000000001</v>
      </c>
      <c r="H426">
        <v>1.036977</v>
      </c>
      <c r="I426">
        <v>367.45420000000001</v>
      </c>
      <c r="J426">
        <v>-363.7824</v>
      </c>
      <c r="K426">
        <v>1.109478</v>
      </c>
      <c r="L426">
        <v>367.43819999999999</v>
      </c>
      <c r="M426">
        <v>0.99995020000000001</v>
      </c>
      <c r="N426">
        <v>0</v>
      </c>
      <c r="O426">
        <v>3.256386E-3</v>
      </c>
      <c r="P426">
        <v>0.99802880000000005</v>
      </c>
      <c r="Q426">
        <v>-2.6865790000000001E-3</v>
      </c>
      <c r="R426">
        <v>6.2700770000000003E-2</v>
      </c>
      <c r="S426">
        <v>3.0016780000000001</v>
      </c>
      <c r="T426">
        <v>-0.23568149999999999</v>
      </c>
      <c r="U426">
        <v>5.4931639999999997E-2</v>
      </c>
      <c r="V426">
        <v>-5.9450749999999997E-2</v>
      </c>
      <c r="W426">
        <v>6.72604E-3</v>
      </c>
      <c r="X426">
        <v>0.9982086</v>
      </c>
      <c r="Y426">
        <v>-1.5005020000000001E-2</v>
      </c>
      <c r="Z426">
        <v>3.3284189999999999E-4</v>
      </c>
      <c r="AA426">
        <v>0.99988730000000003</v>
      </c>
      <c r="AB426">
        <v>43</v>
      </c>
      <c r="AC426">
        <v>0.68889999999998897</v>
      </c>
      <c r="AD426">
        <v>-7.2500999999999899E-2</v>
      </c>
      <c r="AE426">
        <v>1.6000000000019499E-2</v>
      </c>
      <c r="AF426">
        <v>-1.3605876119099299E-2</v>
      </c>
      <c r="AG426">
        <v>-7.2500999999999899E-2</v>
      </c>
      <c r="AH426">
        <v>0.68140540150397599</v>
      </c>
      <c r="AI426">
        <v>96.072174970511497</v>
      </c>
      <c r="AJ426">
        <v>91.143894220487596</v>
      </c>
      <c r="AK426">
        <v>0.68538663254017695</v>
      </c>
      <c r="AL426">
        <v>89.614623397197093</v>
      </c>
      <c r="AM426">
        <v>93.4083639010247</v>
      </c>
      <c r="AN426">
        <v>1.0000000202018</v>
      </c>
    </row>
    <row r="427" spans="1:40" x14ac:dyDescent="0.3">
      <c r="A427" t="str">
        <f>"20200111160413538"</f>
        <v>20200111160413538</v>
      </c>
      <c r="B427" t="str">
        <f>"1578729853530917"</f>
        <v>1578729853530917</v>
      </c>
      <c r="C427" t="s">
        <v>40</v>
      </c>
      <c r="D427">
        <v>4.9025800000000004</v>
      </c>
      <c r="E427">
        <v>0.51842390000000005</v>
      </c>
      <c r="F427" t="s">
        <v>42</v>
      </c>
      <c r="G427">
        <v>-362.72210000000001</v>
      </c>
      <c r="H427">
        <v>1.026904</v>
      </c>
      <c r="I427">
        <v>367.45710000000003</v>
      </c>
      <c r="J427">
        <v>-363.5301</v>
      </c>
      <c r="K427">
        <v>1.109497</v>
      </c>
      <c r="L427">
        <v>367.4391</v>
      </c>
      <c r="M427">
        <v>0.99994959999999999</v>
      </c>
      <c r="N427">
        <v>0</v>
      </c>
      <c r="O427">
        <v>3.2619649999999999E-3</v>
      </c>
      <c r="P427">
        <v>0.99803059999999999</v>
      </c>
      <c r="Q427">
        <v>-2.5645400000000001E-3</v>
      </c>
      <c r="R427">
        <v>6.2678339999999999E-2</v>
      </c>
      <c r="S427">
        <v>3.001862</v>
      </c>
      <c r="T427">
        <v>-0.23402049999999999</v>
      </c>
      <c r="U427">
        <v>5.4412839999999997E-2</v>
      </c>
      <c r="V427">
        <v>-5.9422589999999997E-2</v>
      </c>
      <c r="W427">
        <v>6.9162939999999999E-3</v>
      </c>
      <c r="X427">
        <v>0.99820889999999995</v>
      </c>
      <c r="Y427">
        <v>-1.482664E-2</v>
      </c>
      <c r="Z427">
        <v>3.231075E-4</v>
      </c>
      <c r="AA427">
        <v>0.99988999999999995</v>
      </c>
      <c r="AB427">
        <v>43</v>
      </c>
      <c r="AC427">
        <v>0.80799999999999195</v>
      </c>
      <c r="AD427">
        <v>-8.2592999999999903E-2</v>
      </c>
      <c r="AE427">
        <v>1.80000000000291E-2</v>
      </c>
      <c r="AF427">
        <v>-1.5205320117292699E-2</v>
      </c>
      <c r="AG427">
        <v>-8.2592999999999903E-2</v>
      </c>
      <c r="AH427">
        <v>0.79970268136677902</v>
      </c>
      <c r="AI427">
        <v>95.895522698210399</v>
      </c>
      <c r="AJ427">
        <v>91.089274459157807</v>
      </c>
      <c r="AK427">
        <v>0.80410023255442797</v>
      </c>
      <c r="AL427">
        <v>89.603722362236198</v>
      </c>
      <c r="AM427">
        <v>93.406752245262695</v>
      </c>
      <c r="AN427">
        <v>0.99999994368210399</v>
      </c>
    </row>
    <row r="428" spans="1:40" x14ac:dyDescent="0.3">
      <c r="A428" t="str">
        <f>"20200111160413550"</f>
        <v>20200111160413550</v>
      </c>
      <c r="B428" t="str">
        <f>"1578729853541653"</f>
        <v>1578729853541653</v>
      </c>
      <c r="C428" t="s">
        <v>40</v>
      </c>
      <c r="D428">
        <v>4.6882270000000004</v>
      </c>
      <c r="E428">
        <v>0.51856270000000004</v>
      </c>
      <c r="F428" t="s">
        <v>41</v>
      </c>
      <c r="G428">
        <v>-349.2638</v>
      </c>
      <c r="H428" s="1">
        <v>-7.773285E-7</v>
      </c>
      <c r="I428">
        <v>367.69810000000001</v>
      </c>
      <c r="J428">
        <v>-363.31740000000002</v>
      </c>
      <c r="K428">
        <v>1.1095139999999999</v>
      </c>
      <c r="L428">
        <v>367.43970000000002</v>
      </c>
      <c r="M428">
        <v>0.99994899999999998</v>
      </c>
      <c r="N428">
        <v>0</v>
      </c>
      <c r="O428">
        <v>3.2666119999999999E-3</v>
      </c>
      <c r="P428">
        <v>0.99802259999999998</v>
      </c>
      <c r="Q428">
        <v>-2.2549419999999998E-3</v>
      </c>
      <c r="R428">
        <v>6.2818289999999999E-2</v>
      </c>
      <c r="S428">
        <v>3.0018919999999998</v>
      </c>
      <c r="T428">
        <v>-0.2334591</v>
      </c>
      <c r="U428">
        <v>5.450439E-2</v>
      </c>
      <c r="V428">
        <v>-5.9557600000000002E-2</v>
      </c>
      <c r="W428">
        <v>7.3006140000000004E-3</v>
      </c>
      <c r="X428">
        <v>0.99819820000000004</v>
      </c>
      <c r="Y428">
        <v>-1.48524E-2</v>
      </c>
      <c r="Z428">
        <v>3.229703E-4</v>
      </c>
      <c r="AA428">
        <v>0.99988969999999999</v>
      </c>
      <c r="AB428">
        <v>43</v>
      </c>
      <c r="AC428">
        <v>14.053599999999999</v>
      </c>
      <c r="AD428">
        <v>-1.1095147773284999</v>
      </c>
      <c r="AE428">
        <v>0.25839999999999402</v>
      </c>
      <c r="AF428">
        <v>-0.21117308789109401</v>
      </c>
      <c r="AG428">
        <v>-1.1095147773284999</v>
      </c>
      <c r="AH428">
        <v>13.967341352988999</v>
      </c>
      <c r="AI428">
        <v>94.541314248457894</v>
      </c>
      <c r="AJ428">
        <v>90.866192397772807</v>
      </c>
      <c r="AK428">
        <v>14.012931227444</v>
      </c>
      <c r="AL428">
        <v>89.581701925200306</v>
      </c>
      <c r="AM428">
        <v>93.414510715873007</v>
      </c>
      <c r="AN428">
        <v>1.0000000265828799</v>
      </c>
    </row>
    <row r="429" spans="1:40" x14ac:dyDescent="0.3">
      <c r="A429" t="str">
        <f>"20200111160413562"</f>
        <v>20200111160413562</v>
      </c>
      <c r="B429" t="str">
        <f>"1578729853551656"</f>
        <v>1578729853551656</v>
      </c>
      <c r="C429" t="s">
        <v>40</v>
      </c>
      <c r="D429">
        <v>4.6071339999999896</v>
      </c>
      <c r="E429">
        <v>0.51867489999999905</v>
      </c>
      <c r="F429" t="s">
        <v>42</v>
      </c>
      <c r="G429">
        <v>-362.3347</v>
      </c>
      <c r="H429">
        <v>1.0333619999999999</v>
      </c>
      <c r="I429">
        <v>367.4572</v>
      </c>
      <c r="J429">
        <v>-363.08409999999998</v>
      </c>
      <c r="K429">
        <v>1.1095389999999901</v>
      </c>
      <c r="L429">
        <v>367.44049999999999</v>
      </c>
      <c r="M429">
        <v>0.99994799999999995</v>
      </c>
      <c r="N429">
        <v>0</v>
      </c>
      <c r="O429">
        <v>3.2718719999999999E-3</v>
      </c>
      <c r="P429">
        <v>0.99801490000000004</v>
      </c>
      <c r="Q429">
        <v>-2.5934930000000001E-3</v>
      </c>
      <c r="R429">
        <v>6.2928170000000005E-2</v>
      </c>
      <c r="S429">
        <v>3.002014</v>
      </c>
      <c r="T429">
        <v>-0.23282890000000001</v>
      </c>
      <c r="U429">
        <v>5.3985600000000002E-2</v>
      </c>
      <c r="V429">
        <v>-5.9661939999999997E-2</v>
      </c>
      <c r="W429">
        <v>7.0579099999999997E-3</v>
      </c>
      <c r="X429">
        <v>0.99819369999999996</v>
      </c>
      <c r="Y429">
        <v>-1.4674400000000001E-2</v>
      </c>
      <c r="Z429">
        <v>3.14789E-4</v>
      </c>
      <c r="AA429">
        <v>0.99989229999999996</v>
      </c>
      <c r="AB429">
        <v>43</v>
      </c>
      <c r="AC429">
        <v>0.74939999999997997</v>
      </c>
      <c r="AD429">
        <v>-7.6176999999999703E-2</v>
      </c>
      <c r="AE429">
        <v>1.6700000000014301E-2</v>
      </c>
      <c r="AF429">
        <v>-1.4102211558485799E-2</v>
      </c>
      <c r="AG429">
        <v>-7.6176999999999703E-2</v>
      </c>
      <c r="AH429">
        <v>0.74178963063833703</v>
      </c>
      <c r="AI429">
        <v>95.862300365303298</v>
      </c>
      <c r="AJ429">
        <v>91.089122642796596</v>
      </c>
      <c r="AK429">
        <v>0.74582415073688801</v>
      </c>
      <c r="AL429">
        <v>89.595608192199606</v>
      </c>
      <c r="AM429">
        <v>93.420493849957595</v>
      </c>
      <c r="AN429">
        <v>1.0000000119489101</v>
      </c>
    </row>
    <row r="430" spans="1:40" x14ac:dyDescent="0.3">
      <c r="A430" t="str">
        <f>"20200111160413575"</f>
        <v>20200111160413575</v>
      </c>
      <c r="B430" t="str">
        <f>"1578729853571176"</f>
        <v>1578729853571176</v>
      </c>
      <c r="C430" t="s">
        <v>40</v>
      </c>
      <c r="D430">
        <v>4.6336219999999999</v>
      </c>
      <c r="E430">
        <v>0.51874100000000001</v>
      </c>
      <c r="F430" t="s">
        <v>41</v>
      </c>
      <c r="G430">
        <v>-348.83679999999998</v>
      </c>
      <c r="H430" s="1">
        <v>-9.42726199999999E-7</v>
      </c>
      <c r="I430">
        <v>367.69279999999998</v>
      </c>
      <c r="J430">
        <v>-362.8546</v>
      </c>
      <c r="K430">
        <v>1.1095710000000001</v>
      </c>
      <c r="L430">
        <v>367.44119999999998</v>
      </c>
      <c r="M430">
        <v>0.99994649999999996</v>
      </c>
      <c r="N430">
        <v>0</v>
      </c>
      <c r="O430">
        <v>3.277075E-3</v>
      </c>
      <c r="P430">
        <v>0.99801090000000003</v>
      </c>
      <c r="Q430">
        <v>-2.5242720000000001E-3</v>
      </c>
      <c r="R430">
        <v>6.2989400000000001E-2</v>
      </c>
      <c r="S430">
        <v>3.0019529999999999</v>
      </c>
      <c r="T430">
        <v>-0.23378309999999999</v>
      </c>
      <c r="U430">
        <v>5.316162E-2</v>
      </c>
      <c r="V430">
        <v>-5.9718489999999999E-2</v>
      </c>
      <c r="W430">
        <v>7.2700969999999997E-3</v>
      </c>
      <c r="X430">
        <v>0.99818879999999999</v>
      </c>
      <c r="Y430">
        <v>-1.439577E-2</v>
      </c>
      <c r="Z430">
        <v>3.0484540000000001E-4</v>
      </c>
      <c r="AA430">
        <v>0.99989629999999996</v>
      </c>
      <c r="AB430">
        <v>43</v>
      </c>
      <c r="AC430">
        <v>14.017799999999999</v>
      </c>
      <c r="AD430">
        <v>-1.1095719427262001</v>
      </c>
      <c r="AE430">
        <v>0.25159999999999599</v>
      </c>
      <c r="AF430">
        <v>-0.20437894529666301</v>
      </c>
      <c r="AG430">
        <v>-1.1095719427262001</v>
      </c>
      <c r="AH430">
        <v>13.931291784233901</v>
      </c>
      <c r="AI430">
        <v>94.5532802053458</v>
      </c>
      <c r="AJ430">
        <v>90.840497147302699</v>
      </c>
      <c r="AK430">
        <v>13.9769027837654</v>
      </c>
      <c r="AL430">
        <v>89.583450462620107</v>
      </c>
      <c r="AM430">
        <v>93.423744990592596</v>
      </c>
      <c r="AN430">
        <v>1.0000000164018501</v>
      </c>
    </row>
    <row r="431" spans="1:40" x14ac:dyDescent="0.3">
      <c r="A431" t="str">
        <f>"20200111160413586"</f>
        <v>20200111160413586</v>
      </c>
      <c r="B431" t="str">
        <f>"1578729853580936"</f>
        <v>1578729853580936</v>
      </c>
      <c r="C431" t="s">
        <v>40</v>
      </c>
      <c r="D431">
        <v>4.6576750000000002</v>
      </c>
      <c r="E431">
        <v>0.51886049999999995</v>
      </c>
      <c r="F431" t="s">
        <v>41</v>
      </c>
      <c r="G431">
        <v>-348.58569999999997</v>
      </c>
      <c r="H431" s="1">
        <v>-1.038941E-6</v>
      </c>
      <c r="I431">
        <v>367.6936</v>
      </c>
      <c r="J431">
        <v>-362.62020000000001</v>
      </c>
      <c r="K431">
        <v>1.10961</v>
      </c>
      <c r="L431">
        <v>367.44200000000001</v>
      </c>
      <c r="M431">
        <v>0.99994490000000003</v>
      </c>
      <c r="N431">
        <v>0</v>
      </c>
      <c r="O431">
        <v>3.2813069999999998E-3</v>
      </c>
      <c r="P431">
        <v>0.99800129999999998</v>
      </c>
      <c r="Q431">
        <v>-2.7234519999999999E-3</v>
      </c>
      <c r="R431">
        <v>6.3136129999999999E-2</v>
      </c>
      <c r="S431">
        <v>3.0021059999999999</v>
      </c>
      <c r="T431">
        <v>-0.23344709999999999</v>
      </c>
      <c r="U431">
        <v>5.3100590000000003E-2</v>
      </c>
      <c r="V431">
        <v>-5.9860829999999997E-2</v>
      </c>
      <c r="W431">
        <v>7.239105E-3</v>
      </c>
      <c r="X431">
        <v>0.99818050000000003</v>
      </c>
      <c r="Y431">
        <v>-1.43705E-2</v>
      </c>
      <c r="Z431">
        <v>3.0308320000000001E-4</v>
      </c>
      <c r="AA431">
        <v>0.99989669999999997</v>
      </c>
      <c r="AB431">
        <v>43</v>
      </c>
      <c r="AC431">
        <v>14.0345</v>
      </c>
      <c r="AD431">
        <v>-1.1096110389410001</v>
      </c>
      <c r="AE431">
        <v>0.251600000000053</v>
      </c>
      <c r="AF431">
        <v>-0.20426838666048899</v>
      </c>
      <c r="AG431">
        <v>-1.1096110389410001</v>
      </c>
      <c r="AH431">
        <v>13.948088935735299</v>
      </c>
      <c r="AI431">
        <v>94.547981150207704</v>
      </c>
      <c r="AJ431">
        <v>90.839031059684501</v>
      </c>
      <c r="AK431">
        <v>13.993646672354901</v>
      </c>
      <c r="AL431">
        <v>89.585226220406199</v>
      </c>
      <c r="AM431">
        <v>93.431914529778098</v>
      </c>
      <c r="AN431">
        <v>1.00000001709486</v>
      </c>
    </row>
    <row r="432" spans="1:40" x14ac:dyDescent="0.3">
      <c r="A432" t="str">
        <f>"20200111160413603"</f>
        <v>20200111160413603</v>
      </c>
      <c r="B432" t="str">
        <f>"1578729853591672"</f>
        <v>1578729853591672</v>
      </c>
      <c r="C432" t="s">
        <v>40</v>
      </c>
      <c r="D432">
        <v>4.7063319999999997</v>
      </c>
      <c r="E432">
        <v>0.51889319999999906</v>
      </c>
      <c r="F432" t="s">
        <v>42</v>
      </c>
      <c r="G432">
        <v>-361.57499999999999</v>
      </c>
      <c r="H432">
        <v>1.028178</v>
      </c>
      <c r="I432">
        <v>367.46010000000001</v>
      </c>
      <c r="J432">
        <v>-362.30919999999998</v>
      </c>
      <c r="K432">
        <v>1.109672</v>
      </c>
      <c r="L432">
        <v>367.44299999999998</v>
      </c>
      <c r="M432">
        <v>0.99994190000000005</v>
      </c>
      <c r="N432">
        <v>0</v>
      </c>
      <c r="O432">
        <v>3.2840780000000002E-3</v>
      </c>
      <c r="P432">
        <v>0.99799800000000005</v>
      </c>
      <c r="Q432">
        <v>-2.6155449999999999E-3</v>
      </c>
      <c r="R432">
        <v>6.3193570000000004E-2</v>
      </c>
      <c r="S432">
        <v>3.0020449999999999</v>
      </c>
      <c r="T432">
        <v>-0.23404739999999999</v>
      </c>
      <c r="U432">
        <v>5.2551269999999997E-2</v>
      </c>
      <c r="V432">
        <v>-5.9915379999999997E-2</v>
      </c>
      <c r="W432">
        <v>7.6377290000000002E-3</v>
      </c>
      <c r="X432">
        <v>0.99817429999999996</v>
      </c>
      <c r="Y432">
        <v>-1.418557E-2</v>
      </c>
      <c r="Z432">
        <v>2.964531E-4</v>
      </c>
      <c r="AA432">
        <v>0.99989930000000005</v>
      </c>
      <c r="AB432">
        <v>43</v>
      </c>
      <c r="AC432">
        <v>0.73419999999998697</v>
      </c>
      <c r="AD432">
        <v>-8.14939999999999E-2</v>
      </c>
      <c r="AE432">
        <v>1.7099999999970798E-2</v>
      </c>
      <c r="AF432">
        <v>-1.45099402159669E-2</v>
      </c>
      <c r="AG432">
        <v>-8.14939999999999E-2</v>
      </c>
      <c r="AH432">
        <v>0.72532085017550996</v>
      </c>
      <c r="AI432">
        <v>96.409355775214806</v>
      </c>
      <c r="AJ432">
        <v>91.146041038464801</v>
      </c>
      <c r="AK432">
        <v>0.73002886662130995</v>
      </c>
      <c r="AL432">
        <v>89.562386134913197</v>
      </c>
      <c r="AM432">
        <v>93.435055766010706</v>
      </c>
      <c r="AN432">
        <v>1.00000006042265</v>
      </c>
    </row>
    <row r="433" spans="1:40" x14ac:dyDescent="0.3">
      <c r="A433" t="str">
        <f>"20200111160413615"</f>
        <v>20200111160413615</v>
      </c>
      <c r="B433" t="str">
        <f>"1578729853611192"</f>
        <v>1578729853611192</v>
      </c>
      <c r="C433" t="s">
        <v>40</v>
      </c>
      <c r="D433">
        <v>4.6459549999999998</v>
      </c>
      <c r="E433">
        <v>0.51914380000000004</v>
      </c>
      <c r="F433" t="s">
        <v>41</v>
      </c>
      <c r="G433">
        <v>-348.08409999999998</v>
      </c>
      <c r="H433" s="1">
        <v>-1.232128E-6</v>
      </c>
      <c r="I433">
        <v>367.69150000000002</v>
      </c>
      <c r="J433">
        <v>-362.09820000000002</v>
      </c>
      <c r="K433">
        <v>1.109718</v>
      </c>
      <c r="L433">
        <v>367.44369999999998</v>
      </c>
      <c r="M433">
        <v>0.99993949999999998</v>
      </c>
      <c r="N433">
        <v>0</v>
      </c>
      <c r="O433">
        <v>3.2863689999999999E-3</v>
      </c>
      <c r="P433">
        <v>0.99799760000000004</v>
      </c>
      <c r="Q433">
        <v>-2.8819850000000001E-3</v>
      </c>
      <c r="R433">
        <v>6.3186329999999999E-2</v>
      </c>
      <c r="S433">
        <v>3.002075</v>
      </c>
      <c r="T433">
        <v>-0.23418639999999999</v>
      </c>
      <c r="U433">
        <v>5.2429199999999898E-2</v>
      </c>
      <c r="V433">
        <v>-5.9905880000000002E-2</v>
      </c>
      <c r="W433">
        <v>7.6062580000000003E-3</v>
      </c>
      <c r="X433">
        <v>0.99817500000000003</v>
      </c>
      <c r="Y433">
        <v>-1.414254E-2</v>
      </c>
      <c r="Z433">
        <v>2.9477129999999998E-4</v>
      </c>
      <c r="AA433">
        <v>0.99989989999999995</v>
      </c>
      <c r="AB433">
        <v>43</v>
      </c>
      <c r="AC433">
        <v>14.014099999999999</v>
      </c>
      <c r="AD433">
        <v>-1.1097192321280001</v>
      </c>
      <c r="AE433">
        <v>0.24780000000003999</v>
      </c>
      <c r="AF433">
        <v>-0.20048389721142501</v>
      </c>
      <c r="AG433">
        <v>-1.1097192321280001</v>
      </c>
      <c r="AH433">
        <v>13.927534692217</v>
      </c>
      <c r="AI433">
        <v>94.555123542322505</v>
      </c>
      <c r="AJ433">
        <v>90.824703590729996</v>
      </c>
      <c r="AK433">
        <v>13.9731132239778</v>
      </c>
      <c r="AL433">
        <v>89.564189294589596</v>
      </c>
      <c r="AM433">
        <v>93.434510015123394</v>
      </c>
      <c r="AN433">
        <v>0.99999995012216703</v>
      </c>
    </row>
    <row r="434" spans="1:40" x14ac:dyDescent="0.3">
      <c r="A434" t="str">
        <f>"20200111160413626"</f>
        <v>20200111160413626</v>
      </c>
      <c r="B434" t="str">
        <f>"1578729853620952"</f>
        <v>1578729853620952</v>
      </c>
      <c r="C434" t="s">
        <v>40</v>
      </c>
      <c r="D434">
        <v>5.0615410000000001</v>
      </c>
      <c r="E434">
        <v>0.51928269999999999</v>
      </c>
      <c r="F434" t="s">
        <v>42</v>
      </c>
      <c r="G434">
        <v>-361.1782</v>
      </c>
      <c r="H434">
        <v>1.037696</v>
      </c>
      <c r="I434">
        <v>367.45890000000003</v>
      </c>
      <c r="J434">
        <v>-361.86430000000001</v>
      </c>
      <c r="K434">
        <v>1.1097669999999999</v>
      </c>
      <c r="L434">
        <v>367.44450000000001</v>
      </c>
      <c r="M434">
        <v>0.99993659999999995</v>
      </c>
      <c r="N434">
        <v>0</v>
      </c>
      <c r="O434">
        <v>3.2894809999999999E-3</v>
      </c>
      <c r="P434">
        <v>0.99800440000000001</v>
      </c>
      <c r="Q434">
        <v>-3.1417530000000002E-3</v>
      </c>
      <c r="R434">
        <v>6.3065350000000006E-2</v>
      </c>
      <c r="S434">
        <v>3.0021360000000001</v>
      </c>
      <c r="T434">
        <v>-0.2352774</v>
      </c>
      <c r="U434">
        <v>5.044556E-2</v>
      </c>
      <c r="V434">
        <v>-5.9782130000000003E-2</v>
      </c>
      <c r="W434">
        <v>7.6115039999999998E-3</v>
      </c>
      <c r="X434">
        <v>0.99818240000000003</v>
      </c>
      <c r="Y434">
        <v>-1.3480310000000001E-2</v>
      </c>
      <c r="Z434">
        <v>2.6998369999999997E-4</v>
      </c>
      <c r="AA434">
        <v>0.9999091</v>
      </c>
      <c r="AB434">
        <v>43</v>
      </c>
      <c r="AC434">
        <v>0.68610000000001004</v>
      </c>
      <c r="AD434">
        <v>-7.2070999999999996E-2</v>
      </c>
      <c r="AE434">
        <v>1.44000000000232E-2</v>
      </c>
      <c r="AF434">
        <v>-1.2010409723653101E-2</v>
      </c>
      <c r="AG434">
        <v>-7.2070999999999996E-2</v>
      </c>
      <c r="AH434">
        <v>0.67865841023690698</v>
      </c>
      <c r="AI434">
        <v>96.060936994557196</v>
      </c>
      <c r="AJ434">
        <v>91.013873768460101</v>
      </c>
      <c r="AK434">
        <v>0.68258019072341702</v>
      </c>
      <c r="AL434">
        <v>89.563888721260398</v>
      </c>
      <c r="AM434">
        <v>93.427406791060903</v>
      </c>
      <c r="AN434">
        <v>0.99999997086511805</v>
      </c>
    </row>
    <row r="435" spans="1:40" x14ac:dyDescent="0.3">
      <c r="A435" t="str">
        <f>"20200111160413638"</f>
        <v>20200111160413638</v>
      </c>
      <c r="B435" t="str">
        <f>"1578729853631688"</f>
        <v>1578729853631688</v>
      </c>
      <c r="C435" t="s">
        <v>40</v>
      </c>
      <c r="D435">
        <v>4.685505</v>
      </c>
      <c r="E435">
        <v>0.51937709999999904</v>
      </c>
      <c r="F435" t="s">
        <v>42</v>
      </c>
      <c r="G435">
        <v>-360.8134</v>
      </c>
      <c r="H435">
        <v>1.027712</v>
      </c>
      <c r="I435">
        <v>367.46140000000003</v>
      </c>
      <c r="J435">
        <v>-361.6354</v>
      </c>
      <c r="K435">
        <v>1.1098140000000001</v>
      </c>
      <c r="L435">
        <v>367.44529999999997</v>
      </c>
      <c r="M435">
        <v>0.99993379999999998</v>
      </c>
      <c r="N435">
        <v>0</v>
      </c>
      <c r="O435">
        <v>3.2935540000000002E-3</v>
      </c>
      <c r="P435">
        <v>0.99799700000000002</v>
      </c>
      <c r="Q435">
        <v>-3.7853180000000002E-3</v>
      </c>
      <c r="R435">
        <v>6.3150670000000006E-2</v>
      </c>
      <c r="S435">
        <v>3.0021969999999998</v>
      </c>
      <c r="T435">
        <v>-0.23453679999999999</v>
      </c>
      <c r="U435">
        <v>4.873657E-2</v>
      </c>
      <c r="V435">
        <v>-5.986321E-2</v>
      </c>
      <c r="W435">
        <v>7.2338599999999999E-3</v>
      </c>
      <c r="X435">
        <v>0.99818039999999997</v>
      </c>
      <c r="Y435">
        <v>-1.29088E-2</v>
      </c>
      <c r="Z435">
        <v>2.4652529999999998E-4</v>
      </c>
      <c r="AA435">
        <v>0.99991669999999999</v>
      </c>
      <c r="AB435">
        <v>43</v>
      </c>
      <c r="AC435">
        <v>0.82200000000000195</v>
      </c>
      <c r="AD435">
        <v>-8.2101999999999606E-2</v>
      </c>
      <c r="AE435">
        <v>1.6100000000051198E-2</v>
      </c>
      <c r="AF435">
        <v>-1.3260211337458E-2</v>
      </c>
      <c r="AG435">
        <v>-8.2101999999999606E-2</v>
      </c>
      <c r="AH435">
        <v>0.81393176280727297</v>
      </c>
      <c r="AI435">
        <v>95.759232555843496</v>
      </c>
      <c r="AJ435">
        <v>90.933354580661401</v>
      </c>
      <c r="AK435">
        <v>0.81816959495893604</v>
      </c>
      <c r="AL435">
        <v>89.585526746580697</v>
      </c>
      <c r="AM435">
        <v>93.432050995737399</v>
      </c>
      <c r="AN435">
        <v>1.00000002179308</v>
      </c>
    </row>
    <row r="436" spans="1:40" x14ac:dyDescent="0.3">
      <c r="A436" t="str">
        <f>"20200111160413649"</f>
        <v>20200111160413649</v>
      </c>
      <c r="B436" t="str">
        <f>"1578729853641449"</f>
        <v>1578729853641449</v>
      </c>
      <c r="C436" t="s">
        <v>40</v>
      </c>
      <c r="D436">
        <v>4.676774</v>
      </c>
      <c r="E436">
        <v>0.51945390000000002</v>
      </c>
      <c r="F436" t="s">
        <v>41</v>
      </c>
      <c r="G436">
        <v>-347.57530000000003</v>
      </c>
      <c r="H436" s="1">
        <v>-1.4713880000000001E-6</v>
      </c>
      <c r="I436">
        <v>367.67290000000003</v>
      </c>
      <c r="J436">
        <v>-361.43</v>
      </c>
      <c r="K436">
        <v>1.109847</v>
      </c>
      <c r="L436">
        <v>367.44589999999999</v>
      </c>
      <c r="M436">
        <v>0.99993120000000002</v>
      </c>
      <c r="N436">
        <v>0</v>
      </c>
      <c r="O436">
        <v>3.2978320000000001E-3</v>
      </c>
      <c r="P436">
        <v>0.99800999999999995</v>
      </c>
      <c r="Q436">
        <v>-4.0551550000000004E-3</v>
      </c>
      <c r="R436">
        <v>6.2926510000000005E-2</v>
      </c>
      <c r="S436">
        <v>3.0020449999999999</v>
      </c>
      <c r="T436">
        <v>-0.2369628</v>
      </c>
      <c r="U436">
        <v>4.8614499999999998E-2</v>
      </c>
      <c r="V436">
        <v>-5.9634760000000002E-2</v>
      </c>
      <c r="W436">
        <v>7.1980969999999997E-3</v>
      </c>
      <c r="X436">
        <v>0.99819429999999998</v>
      </c>
      <c r="Y436">
        <v>-1.2864230000000001E-2</v>
      </c>
      <c r="Z436">
        <v>2.4698629999999998E-4</v>
      </c>
      <c r="AA436">
        <v>0.99991719999999895</v>
      </c>
      <c r="AB436">
        <v>43</v>
      </c>
      <c r="AC436">
        <v>13.8546999999999</v>
      </c>
      <c r="AD436">
        <v>-1.1098484713879999</v>
      </c>
      <c r="AE436">
        <v>0.22700000000003201</v>
      </c>
      <c r="AF436">
        <v>-0.180149684062126</v>
      </c>
      <c r="AG436">
        <v>-1.1098484713879999</v>
      </c>
      <c r="AH436">
        <v>13.767053611257699</v>
      </c>
      <c r="AI436">
        <v>94.6086116439227</v>
      </c>
      <c r="AJ436">
        <v>90.749704896012801</v>
      </c>
      <c r="AK436">
        <v>13.812891901167999</v>
      </c>
      <c r="AL436">
        <v>89.587575855273101</v>
      </c>
      <c r="AM436">
        <v>93.418937233497999</v>
      </c>
      <c r="AN436">
        <v>0.99999998887658403</v>
      </c>
    </row>
    <row r="437" spans="1:40" x14ac:dyDescent="0.3">
      <c r="A437" t="str">
        <f>"20200111160413660"</f>
        <v>20200111160413660</v>
      </c>
      <c r="B437" t="str">
        <f>"1578729853651210"</f>
        <v>1578729853651210</v>
      </c>
      <c r="C437" t="s">
        <v>40</v>
      </c>
      <c r="D437">
        <v>4.7561879999999999</v>
      </c>
      <c r="E437">
        <v>0.51948819999999996</v>
      </c>
      <c r="F437" t="s">
        <v>42</v>
      </c>
      <c r="G437">
        <v>-360.43079999999998</v>
      </c>
      <c r="H437">
        <v>1.0306329999999999</v>
      </c>
      <c r="I437">
        <v>367.46159999999998</v>
      </c>
      <c r="J437">
        <v>-361.20639999999997</v>
      </c>
      <c r="K437">
        <v>1.1098809999999999</v>
      </c>
      <c r="L437">
        <v>367.44670000000002</v>
      </c>
      <c r="M437">
        <v>0.99992820000000004</v>
      </c>
      <c r="N437">
        <v>0</v>
      </c>
      <c r="O437">
        <v>3.3032389999999999E-3</v>
      </c>
      <c r="P437">
        <v>0.99802999999999997</v>
      </c>
      <c r="Q437">
        <v>-5.0554980000000003E-3</v>
      </c>
      <c r="R437">
        <v>6.2535400000000005E-2</v>
      </c>
      <c r="S437">
        <v>3.002014</v>
      </c>
      <c r="T437">
        <v>-0.23808499999999999</v>
      </c>
      <c r="U437">
        <v>4.7485350000000003E-2</v>
      </c>
      <c r="V437">
        <v>-5.9238100000000002E-2</v>
      </c>
      <c r="W437">
        <v>6.4480500000000003E-3</v>
      </c>
      <c r="X437">
        <v>0.99822310000000003</v>
      </c>
      <c r="Y437">
        <v>-1.2483899999999999E-2</v>
      </c>
      <c r="Z437">
        <v>2.326695E-4</v>
      </c>
      <c r="AA437">
        <v>0.99992199999999998</v>
      </c>
      <c r="AB437">
        <v>43</v>
      </c>
      <c r="AC437">
        <v>0.77559999999999696</v>
      </c>
      <c r="AD437">
        <v>-7.9247999999999902E-2</v>
      </c>
      <c r="AE437">
        <v>1.4899999999954601E-2</v>
      </c>
      <c r="AF437">
        <v>-1.2210327602393999E-2</v>
      </c>
      <c r="AG437">
        <v>-7.9247999999999902E-2</v>
      </c>
      <c r="AH437">
        <v>0.76763383920214001</v>
      </c>
      <c r="AI437">
        <v>95.893407694507104</v>
      </c>
      <c r="AJ437">
        <v>90.911295474721001</v>
      </c>
      <c r="AK437">
        <v>0.771810241375673</v>
      </c>
      <c r="AL437">
        <v>89.630551404875604</v>
      </c>
      <c r="AM437">
        <v>93.396151859398003</v>
      </c>
      <c r="AN437">
        <v>1.00000004360701</v>
      </c>
    </row>
    <row r="438" spans="1:40" x14ac:dyDescent="0.3">
      <c r="A438" t="str">
        <f>"20200111160413672"</f>
        <v>20200111160413672</v>
      </c>
      <c r="B438" t="str">
        <f>"1578729853660969"</f>
        <v>1578729853660969</v>
      </c>
      <c r="C438" t="s">
        <v>40</v>
      </c>
      <c r="D438">
        <v>4.6640569999999997</v>
      </c>
      <c r="E438">
        <v>0.51956279999999999</v>
      </c>
      <c r="F438" t="s">
        <v>41</v>
      </c>
      <c r="G438">
        <v>-347.39960000000002</v>
      </c>
      <c r="H438" s="1">
        <v>-1.557027E-6</v>
      </c>
      <c r="I438">
        <v>367.6583</v>
      </c>
      <c r="J438">
        <v>-360.99540000000002</v>
      </c>
      <c r="K438">
        <v>1.1099049999999999</v>
      </c>
      <c r="L438">
        <v>367.44740000000002</v>
      </c>
      <c r="M438">
        <v>0.99992559999999997</v>
      </c>
      <c r="N438">
        <v>0</v>
      </c>
      <c r="O438">
        <v>3.3088340000000001E-3</v>
      </c>
      <c r="P438">
        <v>0.99802190000000002</v>
      </c>
      <c r="Q438">
        <v>-5.5512690000000002E-3</v>
      </c>
      <c r="R438">
        <v>6.2623360000000003E-2</v>
      </c>
      <c r="S438">
        <v>3.0018009999999999</v>
      </c>
      <c r="T438">
        <v>-0.24130450000000001</v>
      </c>
      <c r="U438">
        <v>4.6020510000000001E-2</v>
      </c>
      <c r="V438">
        <v>-5.9320539999999998E-2</v>
      </c>
      <c r="W438">
        <v>6.175781E-3</v>
      </c>
      <c r="X438">
        <v>0.99821990000000005</v>
      </c>
      <c r="Y438">
        <v>-1.199241E-2</v>
      </c>
      <c r="Z438">
        <v>2.1565169999999999E-4</v>
      </c>
      <c r="AA438">
        <v>0.99992809999999999</v>
      </c>
      <c r="AB438">
        <v>43</v>
      </c>
      <c r="AC438">
        <v>13.595799999999899</v>
      </c>
      <c r="AD438">
        <v>-1.1099065570269999</v>
      </c>
      <c r="AE438">
        <v>0.21089999999998099</v>
      </c>
      <c r="AF438">
        <v>-0.16481138866508299</v>
      </c>
      <c r="AG438">
        <v>-1.1099065570269999</v>
      </c>
      <c r="AH438">
        <v>13.506432366036</v>
      </c>
      <c r="AI438">
        <v>94.697442568397804</v>
      </c>
      <c r="AJ438">
        <v>90.699113436207995</v>
      </c>
      <c r="AK438">
        <v>13.5529616917289</v>
      </c>
      <c r="AL438">
        <v>89.646151570445696</v>
      </c>
      <c r="AM438">
        <v>93.400877979528701</v>
      </c>
      <c r="AN438">
        <v>1.0000000177464301</v>
      </c>
    </row>
    <row r="439" spans="1:40" x14ac:dyDescent="0.3">
      <c r="A439" t="str">
        <f>"20200111160413686"</f>
        <v>20200111160413686</v>
      </c>
      <c r="B439" t="str">
        <f>"1578729853681464"</f>
        <v>1578729853681464</v>
      </c>
      <c r="C439" t="s">
        <v>40</v>
      </c>
      <c r="D439">
        <v>4.6660469999999998</v>
      </c>
      <c r="E439">
        <v>0.51970850000000002</v>
      </c>
      <c r="F439" t="s">
        <v>42</v>
      </c>
      <c r="G439">
        <v>-360.04880000000003</v>
      </c>
      <c r="H439">
        <v>1.0333699999999999</v>
      </c>
      <c r="I439">
        <v>367.46179999999998</v>
      </c>
      <c r="J439">
        <v>-360.74149999999997</v>
      </c>
      <c r="K439">
        <v>1.109934</v>
      </c>
      <c r="L439">
        <v>367.44819999999999</v>
      </c>
      <c r="M439">
        <v>0.99992250000000005</v>
      </c>
      <c r="N439">
        <v>0</v>
      </c>
      <c r="O439">
        <v>3.3154859999999999E-3</v>
      </c>
      <c r="P439">
        <v>0.99802749999999996</v>
      </c>
      <c r="Q439">
        <v>-6.11949E-3</v>
      </c>
      <c r="R439">
        <v>6.248165E-2</v>
      </c>
      <c r="S439">
        <v>3.001709</v>
      </c>
      <c r="T439">
        <v>-0.24275160000000001</v>
      </c>
      <c r="U439">
        <v>4.58374E-2</v>
      </c>
      <c r="V439">
        <v>-5.917215E-2</v>
      </c>
      <c r="W439">
        <v>5.8687039999999998E-3</v>
      </c>
      <c r="X439">
        <v>0.99823050000000002</v>
      </c>
      <c r="Y439">
        <v>-1.1925130000000001E-2</v>
      </c>
      <c r="Z439">
        <v>2.136939E-4</v>
      </c>
      <c r="AA439">
        <v>0.99992890000000001</v>
      </c>
      <c r="AB439">
        <v>43</v>
      </c>
      <c r="AC439">
        <v>0.69269999999994503</v>
      </c>
      <c r="AD439">
        <v>-7.6563999999999799E-2</v>
      </c>
      <c r="AE439">
        <v>1.35999999999967E-2</v>
      </c>
      <c r="AF439">
        <v>-1.1166752853957801E-2</v>
      </c>
      <c r="AG439">
        <v>-7.6563999999999799E-2</v>
      </c>
      <c r="AH439">
        <v>0.68438350456024399</v>
      </c>
      <c r="AI439">
        <v>96.382463306781204</v>
      </c>
      <c r="AJ439">
        <v>90.934784423965496</v>
      </c>
      <c r="AK439">
        <v>0.68874343828414297</v>
      </c>
      <c r="AL439">
        <v>89.663746085280494</v>
      </c>
      <c r="AM439">
        <v>93.392354656418803</v>
      </c>
      <c r="AN439">
        <v>0.99999995807625497</v>
      </c>
    </row>
    <row r="440" spans="1:40" x14ac:dyDescent="0.3">
      <c r="A440" t="str">
        <f>"20200111160413699"</f>
        <v>20200111160413699</v>
      </c>
      <c r="B440" t="str">
        <f>"1578729853691223"</f>
        <v>1578729853691223</v>
      </c>
      <c r="C440" t="s">
        <v>40</v>
      </c>
      <c r="D440">
        <v>4.7398009999999999</v>
      </c>
      <c r="E440">
        <v>0.51974220000000004</v>
      </c>
      <c r="F440" t="s">
        <v>42</v>
      </c>
      <c r="G440">
        <v>-359.67669999999998</v>
      </c>
      <c r="H440">
        <v>1.0234399999999999</v>
      </c>
      <c r="I440">
        <v>367.4633</v>
      </c>
      <c r="J440">
        <v>-360.48630000000003</v>
      </c>
      <c r="K440">
        <v>1.109958</v>
      </c>
      <c r="L440">
        <v>367.44900000000001</v>
      </c>
      <c r="M440">
        <v>0.99991949999999996</v>
      </c>
      <c r="N440">
        <v>0</v>
      </c>
      <c r="O440">
        <v>3.321919E-3</v>
      </c>
      <c r="P440">
        <v>0.99804729999999997</v>
      </c>
      <c r="Q440">
        <v>-6.6393540000000001E-3</v>
      </c>
      <c r="R440">
        <v>6.2109020000000001E-2</v>
      </c>
      <c r="S440">
        <v>3.0016780000000001</v>
      </c>
      <c r="T440">
        <v>-0.24412919999999999</v>
      </c>
      <c r="U440">
        <v>4.3884279999999998E-2</v>
      </c>
      <c r="V440">
        <v>-5.8792860000000002E-2</v>
      </c>
      <c r="W440">
        <v>5.5930969999999896E-3</v>
      </c>
      <c r="X440">
        <v>0.99825450000000004</v>
      </c>
      <c r="Y440">
        <v>-1.1270219999999999E-2</v>
      </c>
      <c r="Z440">
        <v>1.877956E-4</v>
      </c>
      <c r="AA440">
        <v>0.99993650000000001</v>
      </c>
      <c r="AB440">
        <v>42</v>
      </c>
      <c r="AC440">
        <v>0.80960000000004495</v>
      </c>
      <c r="AD440">
        <v>-8.6518000000000095E-2</v>
      </c>
      <c r="AE440">
        <v>1.42999999999915E-2</v>
      </c>
      <c r="AF440">
        <v>-1.14792399936122E-2</v>
      </c>
      <c r="AG440">
        <v>-8.6518000000000095E-2</v>
      </c>
      <c r="AH440">
        <v>0.80050401177015695</v>
      </c>
      <c r="AI440">
        <v>96.167920461098504</v>
      </c>
      <c r="AJ440">
        <v>90.8215660589387</v>
      </c>
      <c r="AK440">
        <v>0.80524767005868902</v>
      </c>
      <c r="AL440">
        <v>89.679537465420196</v>
      </c>
      <c r="AM440">
        <v>93.370579309145597</v>
      </c>
      <c r="AN440">
        <v>0.99999996494563903</v>
      </c>
    </row>
    <row r="441" spans="1:40" x14ac:dyDescent="0.3">
      <c r="A441" t="str">
        <f>"20200111160413715"</f>
        <v>20200111160413715</v>
      </c>
      <c r="B441" t="str">
        <f>"1578729853711720"</f>
        <v>1578729853711720</v>
      </c>
      <c r="C441" t="s">
        <v>40</v>
      </c>
      <c r="D441">
        <v>4.9484469999999998</v>
      </c>
      <c r="E441">
        <v>0.51974370000000003</v>
      </c>
      <c r="F441" t="s">
        <v>41</v>
      </c>
      <c r="G441">
        <v>-346.94330000000002</v>
      </c>
      <c r="H441" s="1">
        <v>-1.775523E-6</v>
      </c>
      <c r="I441">
        <v>367.64249999999998</v>
      </c>
      <c r="J441">
        <v>-360.1909</v>
      </c>
      <c r="K441">
        <v>1.1099859999999999</v>
      </c>
      <c r="L441">
        <v>367.45</v>
      </c>
      <c r="M441">
        <v>0.99991609999999997</v>
      </c>
      <c r="N441">
        <v>0</v>
      </c>
      <c r="O441">
        <v>3.3292009999999999E-3</v>
      </c>
      <c r="P441">
        <v>0.99808269999999999</v>
      </c>
      <c r="Q441">
        <v>-7.0991569999999896E-3</v>
      </c>
      <c r="R441">
        <v>6.1487069999999998E-2</v>
      </c>
      <c r="S441">
        <v>3.0014949999999998</v>
      </c>
      <c r="T441">
        <v>-0.2459971</v>
      </c>
      <c r="U441">
        <v>4.2877199999999997E-2</v>
      </c>
      <c r="V441">
        <v>-5.8164109999999998E-2</v>
      </c>
      <c r="W441">
        <v>5.3995040000000003E-3</v>
      </c>
      <c r="X441">
        <v>0.99829239999999997</v>
      </c>
      <c r="Y441">
        <v>-1.092914E-2</v>
      </c>
      <c r="Z441">
        <v>1.7469E-4</v>
      </c>
      <c r="AA441">
        <v>0.9999403</v>
      </c>
      <c r="AB441">
        <v>42</v>
      </c>
      <c r="AC441">
        <v>13.247599999999901</v>
      </c>
      <c r="AD441">
        <v>-1.1099877755230001</v>
      </c>
      <c r="AE441">
        <v>0.19249999999999501</v>
      </c>
      <c r="AF441">
        <v>-0.147357264869345</v>
      </c>
      <c r="AG441">
        <v>-1.1099877755230001</v>
      </c>
      <c r="AH441">
        <v>13.1558277924309</v>
      </c>
      <c r="AI441">
        <v>94.822454784944</v>
      </c>
      <c r="AJ441">
        <v>90.641738127927496</v>
      </c>
      <c r="AK441">
        <v>13.203393197561599</v>
      </c>
      <c r="AL441">
        <v>89.690629695886898</v>
      </c>
      <c r="AM441">
        <v>93.334488704192694</v>
      </c>
      <c r="AN441">
        <v>0.99999996711664796</v>
      </c>
    </row>
    <row r="442" spans="1:40" x14ac:dyDescent="0.3">
      <c r="A442" t="str">
        <f>"20200111160413728"</f>
        <v>20200111160413728</v>
      </c>
      <c r="B442" t="str">
        <f>"1578729853721480"</f>
        <v>1578729853721480</v>
      </c>
      <c r="C442" t="s">
        <v>40</v>
      </c>
      <c r="D442">
        <v>4.9347640000000004</v>
      </c>
      <c r="E442">
        <v>0.51982720000000004</v>
      </c>
      <c r="F442" t="s">
        <v>42</v>
      </c>
      <c r="G442">
        <v>-359.28859999999997</v>
      </c>
      <c r="H442">
        <v>1.0356299999999901</v>
      </c>
      <c r="I442">
        <v>367.4622</v>
      </c>
      <c r="J442">
        <v>-359.95010000000002</v>
      </c>
      <c r="K442">
        <v>1.1100019999999999</v>
      </c>
      <c r="L442">
        <v>367.45080000000002</v>
      </c>
      <c r="M442">
        <v>0.99991350000000001</v>
      </c>
      <c r="N442">
        <v>0</v>
      </c>
      <c r="O442">
        <v>3.3349320000000001E-3</v>
      </c>
      <c r="P442">
        <v>0.99808779999999997</v>
      </c>
      <c r="Q442">
        <v>-7.3868329999999998E-3</v>
      </c>
      <c r="R442">
        <v>6.1366549999999999E-2</v>
      </c>
      <c r="S442">
        <v>3.001465</v>
      </c>
      <c r="T442">
        <v>-0.24743809999999999</v>
      </c>
      <c r="U442">
        <v>4.1137699999999902E-2</v>
      </c>
      <c r="V442">
        <v>-5.803751E-2</v>
      </c>
      <c r="W442">
        <v>5.3165340000000004E-3</v>
      </c>
      <c r="X442">
        <v>0.99830030000000003</v>
      </c>
      <c r="Y442">
        <v>-1.034584E-2</v>
      </c>
      <c r="Z442">
        <v>1.5123839999999999E-4</v>
      </c>
      <c r="AA442">
        <v>0.99994649999999996</v>
      </c>
      <c r="AB442">
        <v>42</v>
      </c>
      <c r="AC442">
        <v>0.66150000000004605</v>
      </c>
      <c r="AD442">
        <v>-7.4372000000000105E-2</v>
      </c>
      <c r="AE442">
        <v>1.13999999999805E-2</v>
      </c>
      <c r="AF442">
        <v>-9.0789731499458792E-3</v>
      </c>
      <c r="AG442">
        <v>-7.4372000000000105E-2</v>
      </c>
      <c r="AH442">
        <v>0.65327911490254997</v>
      </c>
      <c r="AI442">
        <v>96.494204682079499</v>
      </c>
      <c r="AJ442">
        <v>90.796219174784298</v>
      </c>
      <c r="AK442">
        <v>0.65756157438320295</v>
      </c>
      <c r="AL442">
        <v>89.695383621435994</v>
      </c>
      <c r="AM442">
        <v>93.327220909094905</v>
      </c>
      <c r="AN442">
        <v>1.0000000535404301</v>
      </c>
    </row>
    <row r="443" spans="1:40" x14ac:dyDescent="0.3">
      <c r="A443" t="str">
        <f>"20200111160413739"</f>
        <v>20200111160413739</v>
      </c>
      <c r="B443" t="str">
        <f>"1578729853731239"</f>
        <v>1578729853731239</v>
      </c>
      <c r="C443" t="s">
        <v>40</v>
      </c>
      <c r="D443">
        <v>4.7286489999999999</v>
      </c>
      <c r="E443">
        <v>0.51991960000000004</v>
      </c>
      <c r="F443" t="s">
        <v>42</v>
      </c>
      <c r="G443">
        <v>-358.91829999999999</v>
      </c>
      <c r="H443">
        <v>1.0250140000000001</v>
      </c>
      <c r="I443">
        <v>367.46420000000001</v>
      </c>
      <c r="J443">
        <v>-359.71910000000003</v>
      </c>
      <c r="K443">
        <v>1.1100159999999999</v>
      </c>
      <c r="L443">
        <v>367.45159999999998</v>
      </c>
      <c r="M443">
        <v>0.9999112</v>
      </c>
      <c r="N443">
        <v>0</v>
      </c>
      <c r="O443">
        <v>3.3400109999999999E-3</v>
      </c>
      <c r="P443">
        <v>0.99810449999999995</v>
      </c>
      <c r="Q443">
        <v>-7.7945050000000002E-3</v>
      </c>
      <c r="R443">
        <v>6.104855E-2</v>
      </c>
      <c r="S443">
        <v>3.001465</v>
      </c>
      <c r="T443">
        <v>-0.24745600000000001</v>
      </c>
      <c r="U443">
        <v>4.0008540000000002E-2</v>
      </c>
      <c r="V443">
        <v>-5.7714349999999998E-2</v>
      </c>
      <c r="W443">
        <v>5.0924239999999999E-3</v>
      </c>
      <c r="X443">
        <v>0.99832019999999999</v>
      </c>
      <c r="Y443">
        <v>-9.9659499999999995E-3</v>
      </c>
      <c r="Z443">
        <v>1.351979E-4</v>
      </c>
      <c r="AA443">
        <v>0.99995029999999996</v>
      </c>
      <c r="AB443">
        <v>42</v>
      </c>
      <c r="AC443">
        <v>0.80080000000003704</v>
      </c>
      <c r="AD443">
        <v>-8.5001999999999994E-2</v>
      </c>
      <c r="AE443">
        <v>1.26000000000203E-2</v>
      </c>
      <c r="AF443">
        <v>-9.8144735098674891E-3</v>
      </c>
      <c r="AG443">
        <v>-8.5001999999999994E-2</v>
      </c>
      <c r="AH443">
        <v>0.79191725846785699</v>
      </c>
      <c r="AI443">
        <v>96.126032167313099</v>
      </c>
      <c r="AJ443">
        <v>90.710047819799996</v>
      </c>
      <c r="AK443">
        <v>0.79652658973415502</v>
      </c>
      <c r="AL443">
        <v>89.708224350899002</v>
      </c>
      <c r="AM443">
        <v>93.308670001461905</v>
      </c>
      <c r="AN443">
        <v>1.0000000503530699</v>
      </c>
    </row>
    <row r="444" spans="1:40" x14ac:dyDescent="0.3">
      <c r="A444" t="str">
        <f>"20200111160413750"</f>
        <v>20200111160413750</v>
      </c>
      <c r="B444" t="str">
        <f>"1578729853741000"</f>
        <v>1578729853741000</v>
      </c>
      <c r="C444" t="s">
        <v>40</v>
      </c>
      <c r="D444">
        <v>4.768014</v>
      </c>
      <c r="E444">
        <v>0.52001269999999999</v>
      </c>
      <c r="F444" t="s">
        <v>41</v>
      </c>
      <c r="G444">
        <v>-346.31040000000002</v>
      </c>
      <c r="H444" s="1">
        <v>-2.0781909999999998E-6</v>
      </c>
      <c r="I444">
        <v>367.62299999999999</v>
      </c>
      <c r="J444">
        <v>-359.51909999999998</v>
      </c>
      <c r="K444">
        <v>1.1100239999999999</v>
      </c>
      <c r="L444">
        <v>367.45229999999998</v>
      </c>
      <c r="M444">
        <v>0.9999091</v>
      </c>
      <c r="N444">
        <v>0</v>
      </c>
      <c r="O444">
        <v>3.344404E-3</v>
      </c>
      <c r="P444">
        <v>0.99812469999999998</v>
      </c>
      <c r="Q444">
        <v>-7.9730280000000001E-3</v>
      </c>
      <c r="R444">
        <v>6.0692509999999998E-2</v>
      </c>
      <c r="S444">
        <v>3.001404</v>
      </c>
      <c r="T444">
        <v>-0.24846650000000001</v>
      </c>
      <c r="U444">
        <v>3.8360600000000002E-2</v>
      </c>
      <c r="V444">
        <v>-5.7353519999999998E-2</v>
      </c>
      <c r="W444">
        <v>5.0633370000000002E-3</v>
      </c>
      <c r="X444">
        <v>0.99834109999999998</v>
      </c>
      <c r="Y444">
        <v>-9.4145940000000001E-3</v>
      </c>
      <c r="Z444">
        <v>1.12606E-4</v>
      </c>
      <c r="AA444">
        <v>0.9999557</v>
      </c>
      <c r="AB444">
        <v>42</v>
      </c>
      <c r="AC444">
        <v>13.208699999999901</v>
      </c>
      <c r="AD444">
        <v>-1.1100260781910001</v>
      </c>
      <c r="AE444">
        <v>0.17070000000006699</v>
      </c>
      <c r="AF444">
        <v>-0.12563293786020599</v>
      </c>
      <c r="AG444">
        <v>-1.1100260781910001</v>
      </c>
      <c r="AH444">
        <v>13.116579295615701</v>
      </c>
      <c r="AI444">
        <v>94.837063836071493</v>
      </c>
      <c r="AJ444">
        <v>90.5487724223984</v>
      </c>
      <c r="AK444">
        <v>13.164064491923201</v>
      </c>
      <c r="AL444">
        <v>89.709890922293297</v>
      </c>
      <c r="AM444">
        <v>93.287961048474003</v>
      </c>
      <c r="AN444">
        <v>1.00000000779358</v>
      </c>
    </row>
    <row r="445" spans="1:40" x14ac:dyDescent="0.3">
      <c r="A445" t="str">
        <f>"20200111160413761"</f>
        <v>20200111160413761</v>
      </c>
      <c r="B445" t="str">
        <f>"1578729853750761"</f>
        <v>1578729853750761</v>
      </c>
      <c r="C445" t="s">
        <v>40</v>
      </c>
      <c r="D445">
        <v>4.7458109999999998</v>
      </c>
      <c r="E445">
        <v>0.52001269999999999</v>
      </c>
      <c r="F445" t="s">
        <v>42</v>
      </c>
      <c r="G445">
        <v>-358.53769999999997</v>
      </c>
      <c r="H445">
        <v>1.0286879999999901</v>
      </c>
      <c r="I445">
        <v>367.464</v>
      </c>
      <c r="J445">
        <v>-359.29090000000002</v>
      </c>
      <c r="K445">
        <v>1.110034</v>
      </c>
      <c r="L445">
        <v>367.45299999999997</v>
      </c>
      <c r="M445">
        <v>0.99990699999999999</v>
      </c>
      <c r="N445">
        <v>0</v>
      </c>
      <c r="O445">
        <v>3.3492280000000001E-3</v>
      </c>
      <c r="P445">
        <v>0.99813969999999996</v>
      </c>
      <c r="Q445">
        <v>-8.4875039999999999E-3</v>
      </c>
      <c r="R445">
        <v>6.0375610000000003E-2</v>
      </c>
      <c r="S445">
        <v>3.0014340000000002</v>
      </c>
      <c r="T445">
        <v>-0.24885850000000001</v>
      </c>
      <c r="U445">
        <v>3.6560059999999998E-2</v>
      </c>
      <c r="V445">
        <v>-5.7031810000000002E-2</v>
      </c>
      <c r="W445">
        <v>4.7119129999999999E-3</v>
      </c>
      <c r="X445">
        <v>0.99836119999999995</v>
      </c>
      <c r="Y445">
        <v>-8.8118759999999997E-3</v>
      </c>
      <c r="Z445" s="1">
        <v>8.7439459999999898E-5</v>
      </c>
      <c r="AA445">
        <v>0.99996119999999999</v>
      </c>
      <c r="AB445">
        <v>42</v>
      </c>
      <c r="AC445">
        <v>0.75320000000004905</v>
      </c>
      <c r="AD445">
        <v>-8.1346000000000099E-2</v>
      </c>
      <c r="AE445">
        <v>1.0999999999967199E-2</v>
      </c>
      <c r="AF445">
        <v>-8.3793622882119296E-3</v>
      </c>
      <c r="AG445">
        <v>-8.1346000000000099E-2</v>
      </c>
      <c r="AH445">
        <v>0.74454995534566903</v>
      </c>
      <c r="AI445">
        <v>96.234743125640605</v>
      </c>
      <c r="AJ445">
        <v>90.644794647495104</v>
      </c>
      <c r="AK445">
        <v>0.74902738363399901</v>
      </c>
      <c r="AL445">
        <v>89.730026261207598</v>
      </c>
      <c r="AM445">
        <v>93.269492507502207</v>
      </c>
      <c r="AN445">
        <v>0.99999995757071602</v>
      </c>
    </row>
    <row r="446" spans="1:40" x14ac:dyDescent="0.3">
      <c r="A446" t="str">
        <f>"20200111160413775"</f>
        <v>20200111160413775</v>
      </c>
      <c r="B446" t="str">
        <f>"1578729853771256"</f>
        <v>1578729853771256</v>
      </c>
      <c r="C446" t="s">
        <v>40</v>
      </c>
      <c r="D446">
        <v>4.7217770000000003</v>
      </c>
      <c r="E446">
        <v>0.53501799999999999</v>
      </c>
      <c r="F446" t="s">
        <v>41</v>
      </c>
      <c r="G446">
        <v>-345.9873</v>
      </c>
      <c r="H446" s="1">
        <v>-2.2329420000000001E-6</v>
      </c>
      <c r="I446">
        <v>367.61160000000001</v>
      </c>
      <c r="J446">
        <v>-359.07060000000001</v>
      </c>
      <c r="K446">
        <v>1.1100369999999999</v>
      </c>
      <c r="L446">
        <v>367.4538</v>
      </c>
      <c r="M446">
        <v>0.99990500000000004</v>
      </c>
      <c r="N446">
        <v>0</v>
      </c>
      <c r="O446">
        <v>3.3539949999999998E-3</v>
      </c>
      <c r="P446">
        <v>0.9981411</v>
      </c>
      <c r="Q446">
        <v>-8.9359639999999994E-3</v>
      </c>
      <c r="R446">
        <v>6.0285699999999998E-2</v>
      </c>
      <c r="S446">
        <v>3.0012819999999998</v>
      </c>
      <c r="T446">
        <v>-0.25042340000000002</v>
      </c>
      <c r="U446">
        <v>3.5766600000000003E-2</v>
      </c>
      <c r="V446">
        <v>-5.6937630000000003E-2</v>
      </c>
      <c r="W446">
        <v>4.4062629999999997E-3</v>
      </c>
      <c r="X446">
        <v>0.99836800000000003</v>
      </c>
      <c r="Y446">
        <v>-8.5441079999999999E-3</v>
      </c>
      <c r="Z446" s="1">
        <v>7.6443040000000003E-5</v>
      </c>
      <c r="AA446">
        <v>0.99996350000000001</v>
      </c>
      <c r="AB446">
        <v>42</v>
      </c>
      <c r="AC446">
        <v>13.083299999999999</v>
      </c>
      <c r="AD446">
        <v>-1.1100392329419999</v>
      </c>
      <c r="AE446">
        <v>0.15780000000000799</v>
      </c>
      <c r="AF446">
        <v>-0.113099836405487</v>
      </c>
      <c r="AG446">
        <v>-1.1100392329419999</v>
      </c>
      <c r="AH446">
        <v>12.990258917378601</v>
      </c>
      <c r="AI446">
        <v>94.883970504598693</v>
      </c>
      <c r="AJ446">
        <v>90.498833749156304</v>
      </c>
      <c r="AK446">
        <v>13.038090558521199</v>
      </c>
      <c r="AL446">
        <v>89.747538906244202</v>
      </c>
      <c r="AM446">
        <v>93.264082901026697</v>
      </c>
      <c r="AN446">
        <v>0.99999998614382102</v>
      </c>
    </row>
    <row r="447" spans="1:40" x14ac:dyDescent="0.3">
      <c r="A447" t="str">
        <f>"20200111160413787"</f>
        <v>20200111160413787</v>
      </c>
      <c r="B447" t="str">
        <f>"1578729853781016"</f>
        <v>1578729853781016</v>
      </c>
      <c r="C447" t="s">
        <v>40</v>
      </c>
      <c r="D447">
        <v>4.7738769999999997</v>
      </c>
      <c r="E447">
        <v>0.55796179999999995</v>
      </c>
      <c r="F447" t="s">
        <v>41</v>
      </c>
      <c r="G447">
        <v>-329.65100000000001</v>
      </c>
      <c r="H447" s="1">
        <v>-9.2288309999999999E-7</v>
      </c>
      <c r="I447">
        <v>366.5419</v>
      </c>
      <c r="J447">
        <v>-358.82119999999998</v>
      </c>
      <c r="K447">
        <v>1.1100449999999999</v>
      </c>
      <c r="L447">
        <v>367.4547</v>
      </c>
      <c r="M447">
        <v>0.99990299999999999</v>
      </c>
      <c r="N447">
        <v>0</v>
      </c>
      <c r="O447">
        <v>3.3593249999999998E-3</v>
      </c>
      <c r="P447">
        <v>0.99815149999999997</v>
      </c>
      <c r="Q447">
        <v>-9.2221479999999995E-3</v>
      </c>
      <c r="R447">
        <v>6.0070360000000003E-2</v>
      </c>
      <c r="S447">
        <v>3.0101930000000001</v>
      </c>
      <c r="T447">
        <v>-0.113578</v>
      </c>
      <c r="U447">
        <v>-9.3292239999999999E-2</v>
      </c>
      <c r="V447">
        <v>-5.671677E-2</v>
      </c>
      <c r="W447">
        <v>4.2756110000000003E-3</v>
      </c>
      <c r="X447">
        <v>0.99838110000000002</v>
      </c>
      <c r="Y447">
        <v>3.4308310000000002E-2</v>
      </c>
      <c r="Z447">
        <v>-7.7354889999999997E-4</v>
      </c>
      <c r="AA447">
        <v>0.99941100000000005</v>
      </c>
      <c r="AB447">
        <v>42</v>
      </c>
      <c r="AC447">
        <v>29.170199999999902</v>
      </c>
      <c r="AD447">
        <v>-1.1100459228830999</v>
      </c>
      <c r="AE447">
        <v>-0.91280000000000405</v>
      </c>
      <c r="AF447">
        <v>1.00933577920438</v>
      </c>
      <c r="AG447">
        <v>-1.1100459228830999</v>
      </c>
      <c r="AH447">
        <v>29.124833850856501</v>
      </c>
      <c r="AI447">
        <v>92.181371216204596</v>
      </c>
      <c r="AJ447">
        <v>88.015180254751499</v>
      </c>
      <c r="AK447">
        <v>29.163451570520301</v>
      </c>
      <c r="AL447">
        <v>89.755024775441697</v>
      </c>
      <c r="AM447">
        <v>93.251406231227804</v>
      </c>
      <c r="AN447">
        <v>0.99999994684293103</v>
      </c>
    </row>
    <row r="448" spans="1:40" x14ac:dyDescent="0.3">
      <c r="A448" t="str">
        <f>"20200111160413798"</f>
        <v>20200111160413798</v>
      </c>
      <c r="B448" t="str">
        <f>"1578729853790776"</f>
        <v>1578729853790776</v>
      </c>
      <c r="C448" t="s">
        <v>40</v>
      </c>
      <c r="D448">
        <v>4.7477869999999998</v>
      </c>
      <c r="E448">
        <v>0.55788269999999995</v>
      </c>
      <c r="F448" t="s">
        <v>41</v>
      </c>
      <c r="G448">
        <v>-331.05630000000002</v>
      </c>
      <c r="H448" s="1">
        <v>-4.6529629999999998E-6</v>
      </c>
      <c r="I448">
        <v>364.91570000000002</v>
      </c>
      <c r="J448">
        <v>-358.59500000000003</v>
      </c>
      <c r="K448">
        <v>1.1100509999999999</v>
      </c>
      <c r="L448">
        <v>367.4554</v>
      </c>
      <c r="M448">
        <v>0.99990140000000005</v>
      </c>
      <c r="N448">
        <v>0</v>
      </c>
      <c r="O448">
        <v>3.3638700000000001E-3</v>
      </c>
      <c r="P448">
        <v>0.99816660000000001</v>
      </c>
      <c r="Q448">
        <v>-9.4377660000000002E-3</v>
      </c>
      <c r="R448">
        <v>5.9786300000000001E-2</v>
      </c>
      <c r="S448">
        <v>3.0210569999999999</v>
      </c>
      <c r="T448">
        <v>-0.1207823</v>
      </c>
      <c r="U448">
        <v>-0.27624510000000002</v>
      </c>
      <c r="V448">
        <v>-5.6427810000000002E-2</v>
      </c>
      <c r="W448">
        <v>4.1893049999999999E-3</v>
      </c>
      <c r="X448">
        <v>0.99839789999999995</v>
      </c>
      <c r="Y448">
        <v>9.4332280000000004E-2</v>
      </c>
      <c r="Z448">
        <v>-2.015209E-3</v>
      </c>
      <c r="AA448">
        <v>0.9955387</v>
      </c>
      <c r="AB448">
        <v>42</v>
      </c>
      <c r="AC448">
        <v>27.538699999999999</v>
      </c>
      <c r="AD448">
        <v>-1.1100556529629999</v>
      </c>
      <c r="AE448">
        <v>-2.5396999999999799</v>
      </c>
      <c r="AF448">
        <v>2.6280966989212802</v>
      </c>
      <c r="AG448">
        <v>-1.1100556529629999</v>
      </c>
      <c r="AH448">
        <v>27.485717698141698</v>
      </c>
      <c r="AI448">
        <v>92.302238005409706</v>
      </c>
      <c r="AJ448">
        <v>84.538164918568697</v>
      </c>
      <c r="AK448">
        <v>27.6333818631288</v>
      </c>
      <c r="AL448">
        <v>89.759969804073293</v>
      </c>
      <c r="AM448">
        <v>93.234821953675606</v>
      </c>
      <c r="AN448">
        <v>1.00000000737109</v>
      </c>
    </row>
    <row r="449" spans="1:40" x14ac:dyDescent="0.3">
      <c r="A449" t="str">
        <f>"20200111160413816"</f>
        <v>20200111160413816</v>
      </c>
      <c r="B449" t="str">
        <f>"1578729853811271"</f>
        <v>1578729853811271</v>
      </c>
      <c r="C449" t="s">
        <v>40</v>
      </c>
      <c r="D449">
        <v>4.7697120000000002</v>
      </c>
      <c r="E449">
        <v>0.55847360000000001</v>
      </c>
      <c r="F449" t="s">
        <v>41</v>
      </c>
      <c r="G449">
        <v>-331.34879999999998</v>
      </c>
      <c r="H449" s="1">
        <v>-4.5191709999999997E-6</v>
      </c>
      <c r="I449">
        <v>364.9624</v>
      </c>
      <c r="J449">
        <v>-358.28820000000002</v>
      </c>
      <c r="K449">
        <v>1.1100570000000001</v>
      </c>
      <c r="L449">
        <v>367.45639999999997</v>
      </c>
      <c r="M449">
        <v>0.99989899999999998</v>
      </c>
      <c r="N449">
        <v>0</v>
      </c>
      <c r="O449">
        <v>3.3706299999999999E-3</v>
      </c>
      <c r="P449">
        <v>0.99818450000000003</v>
      </c>
      <c r="Q449">
        <v>-9.6288080000000009E-3</v>
      </c>
      <c r="R449">
        <v>5.9454460000000001E-2</v>
      </c>
      <c r="S449">
        <v>3.020905</v>
      </c>
      <c r="T449">
        <v>-0.1230764</v>
      </c>
      <c r="U449">
        <v>-0.27639770000000002</v>
      </c>
      <c r="V449">
        <v>-5.608933E-2</v>
      </c>
      <c r="W449">
        <v>4.1587869999999997E-3</v>
      </c>
      <c r="X449">
        <v>0.99841709999999995</v>
      </c>
      <c r="Y449">
        <v>9.4390429999999997E-2</v>
      </c>
      <c r="Z449">
        <v>-2.0550109999999998E-3</v>
      </c>
      <c r="AA449">
        <v>0.99553309999999995</v>
      </c>
      <c r="AB449">
        <v>42</v>
      </c>
      <c r="AC449">
        <v>26.939399999999999</v>
      </c>
      <c r="AD449">
        <v>-1.1100615191709999</v>
      </c>
      <c r="AE449">
        <v>-2.49399999999997</v>
      </c>
      <c r="AF449">
        <v>2.58045305522002</v>
      </c>
      <c r="AG449">
        <v>-1.1100615191709999</v>
      </c>
      <c r="AH449">
        <v>26.8855780427062</v>
      </c>
      <c r="AI449">
        <v>92.353502961827601</v>
      </c>
      <c r="AJ449">
        <v>84.517597220051996</v>
      </c>
      <c r="AK449">
        <v>27.031930771533599</v>
      </c>
      <c r="AL449">
        <v>89.761718371806296</v>
      </c>
      <c r="AM449">
        <v>93.215397134936893</v>
      </c>
      <c r="AN449">
        <v>1.00000000701078</v>
      </c>
    </row>
    <row r="450" spans="1:40" x14ac:dyDescent="0.3">
      <c r="A450" t="str">
        <f>"20200111160413827"</f>
        <v>20200111160413827</v>
      </c>
      <c r="B450" t="str">
        <f>"1578729853821031"</f>
        <v>1578729853821031</v>
      </c>
      <c r="C450" t="s">
        <v>40</v>
      </c>
      <c r="D450">
        <v>4.7752080000000001</v>
      </c>
      <c r="E450">
        <v>0.55793590000000004</v>
      </c>
      <c r="F450" t="s">
        <v>41</v>
      </c>
      <c r="G450">
        <v>-329.24310000000003</v>
      </c>
      <c r="H450" s="1">
        <v>-1.541648E-6</v>
      </c>
      <c r="I450">
        <v>364.73809999999997</v>
      </c>
      <c r="J450">
        <v>-358.05919999999998</v>
      </c>
      <c r="K450">
        <v>1.1100620000000001</v>
      </c>
      <c r="L450">
        <v>367.4572</v>
      </c>
      <c r="M450">
        <v>0.99989749999999999</v>
      </c>
      <c r="N450">
        <v>0</v>
      </c>
      <c r="O450">
        <v>3.3754560000000002E-3</v>
      </c>
      <c r="P450">
        <v>0.9981833</v>
      </c>
      <c r="Q450">
        <v>-9.6509920000000006E-3</v>
      </c>
      <c r="R450">
        <v>5.9474899999999997E-2</v>
      </c>
      <c r="S450">
        <v>3.0211790000000001</v>
      </c>
      <c r="T450">
        <v>-0.11546439999999999</v>
      </c>
      <c r="U450">
        <v>-0.28274539999999998</v>
      </c>
      <c r="V450">
        <v>-5.6104550000000003E-2</v>
      </c>
      <c r="W450">
        <v>4.2484319999999999E-3</v>
      </c>
      <c r="X450">
        <v>0.99841590000000002</v>
      </c>
      <c r="Y450">
        <v>9.6468869999999998E-2</v>
      </c>
      <c r="Z450">
        <v>-1.9674470000000002E-3</v>
      </c>
      <c r="AA450">
        <v>0.99533400000000005</v>
      </c>
      <c r="AB450">
        <v>42</v>
      </c>
      <c r="AC450">
        <v>28.816099999999899</v>
      </c>
      <c r="AD450">
        <v>-1.110063541648</v>
      </c>
      <c r="AE450">
        <v>-2.7191000000000201</v>
      </c>
      <c r="AF450">
        <v>2.8122249723125199</v>
      </c>
      <c r="AG450">
        <v>-1.110063541648</v>
      </c>
      <c r="AH450">
        <v>28.7644478369062</v>
      </c>
      <c r="AI450">
        <v>92.199557257787504</v>
      </c>
      <c r="AJ450">
        <v>84.416087297656404</v>
      </c>
      <c r="AK450">
        <v>28.922902857830302</v>
      </c>
      <c r="AL450">
        <v>89.7565820542236</v>
      </c>
      <c r="AM450">
        <v>93.216271668178805</v>
      </c>
      <c r="AN450">
        <v>1.0000000395389801</v>
      </c>
    </row>
    <row r="451" spans="1:40" x14ac:dyDescent="0.3">
      <c r="A451" t="str">
        <f>"20200111160413838"</f>
        <v>20200111160413838</v>
      </c>
      <c r="B451" t="str">
        <f>"1578729853830792"</f>
        <v>1578729853830792</v>
      </c>
      <c r="C451" t="s">
        <v>40</v>
      </c>
      <c r="D451">
        <v>4.9712480000000001</v>
      </c>
      <c r="E451">
        <v>0.55678190000000005</v>
      </c>
      <c r="F451" t="s">
        <v>41</v>
      </c>
      <c r="G451">
        <v>-329.02120000000002</v>
      </c>
      <c r="H451" s="1">
        <v>-1.6052070000000001E-6</v>
      </c>
      <c r="I451">
        <v>364.78300000000002</v>
      </c>
      <c r="J451">
        <v>-357.8424</v>
      </c>
      <c r="K451">
        <v>1.1100669999999999</v>
      </c>
      <c r="L451">
        <v>367.4579</v>
      </c>
      <c r="M451">
        <v>0.99989620000000001</v>
      </c>
      <c r="N451">
        <v>0</v>
      </c>
      <c r="O451">
        <v>3.3796070000000002E-3</v>
      </c>
      <c r="P451">
        <v>0.99819360000000001</v>
      </c>
      <c r="Q451">
        <v>-9.8134239999999994E-3</v>
      </c>
      <c r="R451">
        <v>5.9273529999999998E-2</v>
      </c>
      <c r="S451">
        <v>3.020905</v>
      </c>
      <c r="T451">
        <v>-0.1154825</v>
      </c>
      <c r="U451">
        <v>-0.27819820000000001</v>
      </c>
      <c r="V451">
        <v>-5.5899369999999997E-2</v>
      </c>
      <c r="W451">
        <v>4.1831059999999998E-3</v>
      </c>
      <c r="X451">
        <v>0.99842759999999997</v>
      </c>
      <c r="Y451">
        <v>9.4996919999999999E-2</v>
      </c>
      <c r="Z451">
        <v>-1.940163E-3</v>
      </c>
      <c r="AA451">
        <v>0.99547560000000002</v>
      </c>
      <c r="AB451">
        <v>42</v>
      </c>
      <c r="AC451">
        <v>28.821199999999902</v>
      </c>
      <c r="AD451">
        <v>-1.1100686052069999</v>
      </c>
      <c r="AE451">
        <v>-2.6748999999999801</v>
      </c>
      <c r="AF451">
        <v>2.7682271248166002</v>
      </c>
      <c r="AG451">
        <v>-1.1100686052069999</v>
      </c>
      <c r="AH451">
        <v>28.769680219439099</v>
      </c>
      <c r="AI451">
        <v>92.199494266987202</v>
      </c>
      <c r="AJ451">
        <v>84.503903092013601</v>
      </c>
      <c r="AK451">
        <v>28.923862702820699</v>
      </c>
      <c r="AL451">
        <v>89.760324971214004</v>
      </c>
      <c r="AM451">
        <v>93.204496523020893</v>
      </c>
      <c r="AN451">
        <v>0.99999995519198104</v>
      </c>
    </row>
    <row r="452" spans="1:40" x14ac:dyDescent="0.3">
      <c r="A452" t="str">
        <f>"20200111160413849"</f>
        <v>20200111160413849</v>
      </c>
      <c r="B452" t="str">
        <f>"1578729853841528"</f>
        <v>1578729853841528</v>
      </c>
      <c r="C452" t="s">
        <v>40</v>
      </c>
      <c r="D452">
        <v>4.7186199999999996</v>
      </c>
      <c r="E452">
        <v>0.55629059999999997</v>
      </c>
      <c r="F452" t="s">
        <v>41</v>
      </c>
      <c r="G452">
        <v>-327.88630000000001</v>
      </c>
      <c r="H452" s="1">
        <v>-1.9919419999999998E-6</v>
      </c>
      <c r="I452">
        <v>364.78100000000001</v>
      </c>
      <c r="J452">
        <v>-357.65100000000001</v>
      </c>
      <c r="K452">
        <v>1.110069</v>
      </c>
      <c r="L452">
        <v>367.45859999999999</v>
      </c>
      <c r="M452">
        <v>0.99989490000000003</v>
      </c>
      <c r="N452">
        <v>0</v>
      </c>
      <c r="O452">
        <v>3.3836320000000001E-3</v>
      </c>
      <c r="P452">
        <v>0.99820109999999995</v>
      </c>
      <c r="Q452">
        <v>-9.7798889999999999E-3</v>
      </c>
      <c r="R452">
        <v>5.915111E-2</v>
      </c>
      <c r="S452">
        <v>3.0203549999999999</v>
      </c>
      <c r="T452">
        <v>-0.1119237</v>
      </c>
      <c r="U452">
        <v>-0.26989750000000001</v>
      </c>
      <c r="V452">
        <v>-5.5772710000000003E-2</v>
      </c>
      <c r="W452">
        <v>4.2975449999999998E-3</v>
      </c>
      <c r="X452">
        <v>0.99843419999999905</v>
      </c>
      <c r="Y452">
        <v>9.2309730000000007E-2</v>
      </c>
      <c r="Z452">
        <v>-1.8314640000000001E-3</v>
      </c>
      <c r="AA452">
        <v>0.99572870000000002</v>
      </c>
      <c r="AB452">
        <v>42</v>
      </c>
      <c r="AC452">
        <v>29.764700000000001</v>
      </c>
      <c r="AD452">
        <v>-1.110070991942</v>
      </c>
      <c r="AE452">
        <v>-2.67759999999998</v>
      </c>
      <c r="AF452">
        <v>2.7744794024458299</v>
      </c>
      <c r="AG452">
        <v>-1.110070991942</v>
      </c>
      <c r="AH452">
        <v>29.7144703454174</v>
      </c>
      <c r="AI452">
        <v>92.130199576059198</v>
      </c>
      <c r="AJ452">
        <v>84.665683287008804</v>
      </c>
      <c r="AK452">
        <v>29.8643557015791</v>
      </c>
      <c r="AL452">
        <v>89.753768040923802</v>
      </c>
      <c r="AM452">
        <v>93.197229580822096</v>
      </c>
      <c r="AN452">
        <v>0.99999995790170404</v>
      </c>
    </row>
    <row r="453" spans="1:40" x14ac:dyDescent="0.3">
      <c r="A453" t="str">
        <f>"20200111160413862"</f>
        <v>20200111160413862</v>
      </c>
      <c r="B453" t="str">
        <f>"1578729853851288"</f>
        <v>1578729853851288</v>
      </c>
      <c r="C453" t="s">
        <v>40</v>
      </c>
      <c r="D453">
        <v>4.8038160000000003</v>
      </c>
      <c r="E453">
        <v>0.55612709999999999</v>
      </c>
      <c r="F453" t="s">
        <v>41</v>
      </c>
      <c r="G453">
        <v>-327.44400000000002</v>
      </c>
      <c r="H453" s="1">
        <v>-2.1385529999999999E-6</v>
      </c>
      <c r="I453">
        <v>364.79559999999998</v>
      </c>
      <c r="J453">
        <v>-357.40960000000001</v>
      </c>
      <c r="K453">
        <v>1.1100719999999999</v>
      </c>
      <c r="L453">
        <v>367.45940000000002</v>
      </c>
      <c r="M453">
        <v>0.99989349999999999</v>
      </c>
      <c r="N453">
        <v>0</v>
      </c>
      <c r="O453">
        <v>3.3886760000000002E-3</v>
      </c>
      <c r="P453">
        <v>0.99820580000000003</v>
      </c>
      <c r="Q453">
        <v>-9.8213239999999993E-3</v>
      </c>
      <c r="R453">
        <v>5.9066250000000001E-2</v>
      </c>
      <c r="S453">
        <v>3.020111</v>
      </c>
      <c r="T453">
        <v>-0.1109855</v>
      </c>
      <c r="U453">
        <v>-0.26623540000000001</v>
      </c>
      <c r="V453">
        <v>-5.5683179999999999E-2</v>
      </c>
      <c r="W453">
        <v>4.3509509999999996E-3</v>
      </c>
      <c r="X453">
        <v>0.99843899999999997</v>
      </c>
      <c r="Y453">
        <v>9.1125730000000002E-2</v>
      </c>
      <c r="Z453">
        <v>-1.7948440000000001E-3</v>
      </c>
      <c r="AA453">
        <v>0.99583770000000005</v>
      </c>
      <c r="AB453">
        <v>42</v>
      </c>
      <c r="AC453">
        <v>29.965599999999899</v>
      </c>
      <c r="AD453">
        <v>-1.110074138553</v>
      </c>
      <c r="AE453">
        <v>-2.6638000000000299</v>
      </c>
      <c r="AF453">
        <v>2.76157856555808</v>
      </c>
      <c r="AG453">
        <v>-1.110074138553</v>
      </c>
      <c r="AH453">
        <v>29.915668014543002</v>
      </c>
      <c r="AI453">
        <v>92.116098106498399</v>
      </c>
      <c r="AJ453">
        <v>84.725852821000998</v>
      </c>
      <c r="AK453">
        <v>30.063362644973399</v>
      </c>
      <c r="AL453">
        <v>89.750708082288796</v>
      </c>
      <c r="AM453">
        <v>93.192092486829395</v>
      </c>
      <c r="AN453">
        <v>0.99999999201525802</v>
      </c>
    </row>
    <row r="454" spans="1:40" x14ac:dyDescent="0.3">
      <c r="A454" t="str">
        <f>"20200111160413875"</f>
        <v>20200111160413875</v>
      </c>
      <c r="B454" t="str">
        <f>"1578729853870808"</f>
        <v>1578729853870808</v>
      </c>
      <c r="C454" t="s">
        <v>40</v>
      </c>
      <c r="D454">
        <v>4.8054209999999999</v>
      </c>
      <c r="E454">
        <v>0.55595229999999995</v>
      </c>
      <c r="F454" t="s">
        <v>41</v>
      </c>
      <c r="G454">
        <v>-326.86520000000002</v>
      </c>
      <c r="H454" s="1">
        <v>-2.3408659999999998E-6</v>
      </c>
      <c r="I454">
        <v>364.7756</v>
      </c>
      <c r="J454">
        <v>-357.17290000000003</v>
      </c>
      <c r="K454">
        <v>1.1100779999999999</v>
      </c>
      <c r="L454">
        <v>367.46019999999999</v>
      </c>
      <c r="M454">
        <v>0.99989240000000001</v>
      </c>
      <c r="N454">
        <v>0</v>
      </c>
      <c r="O454">
        <v>3.393442E-3</v>
      </c>
      <c r="P454">
        <v>0.99820909999999996</v>
      </c>
      <c r="Q454">
        <v>-9.8829209999999994E-3</v>
      </c>
      <c r="R454">
        <v>5.9002239999999997E-2</v>
      </c>
      <c r="S454">
        <v>3.0199889999999998</v>
      </c>
      <c r="T454">
        <v>-0.1097552</v>
      </c>
      <c r="U454">
        <v>-0.26535029999999998</v>
      </c>
      <c r="V454">
        <v>-5.5614139999999999E-2</v>
      </c>
      <c r="W454">
        <v>4.372885E-3</v>
      </c>
      <c r="X454">
        <v>0.99844279999999996</v>
      </c>
      <c r="Y454">
        <v>9.0845969999999998E-2</v>
      </c>
      <c r="Z454">
        <v>-1.7701559999999999E-3</v>
      </c>
      <c r="AA454">
        <v>0.99586339999999995</v>
      </c>
      <c r="AB454">
        <v>42</v>
      </c>
      <c r="AC454">
        <v>30.307700000000001</v>
      </c>
      <c r="AD454">
        <v>-1.110080340866</v>
      </c>
      <c r="AE454">
        <v>-2.6845999999999801</v>
      </c>
      <c r="AF454">
        <v>2.7837370219530402</v>
      </c>
      <c r="AG454">
        <v>-1.110080340866</v>
      </c>
      <c r="AH454">
        <v>30.2581380793901</v>
      </c>
      <c r="AI454">
        <v>92.092240294179405</v>
      </c>
      <c r="AJ454">
        <v>84.743606992316202</v>
      </c>
      <c r="AK454">
        <v>30.406189998123899</v>
      </c>
      <c r="AL454">
        <v>89.749451356663101</v>
      </c>
      <c r="AM454">
        <v>93.188130762243205</v>
      </c>
      <c r="AN454">
        <v>1.0000000397815001</v>
      </c>
    </row>
    <row r="455" spans="1:40" x14ac:dyDescent="0.3">
      <c r="A455" t="str">
        <f>"20200111160413888"</f>
        <v>20200111160413888</v>
      </c>
      <c r="B455" t="str">
        <f>"1578729853881544"</f>
        <v>1578729853881544</v>
      </c>
      <c r="C455" t="s">
        <v>40</v>
      </c>
      <c r="D455">
        <v>4.893491</v>
      </c>
      <c r="E455">
        <v>0.555888099999999</v>
      </c>
      <c r="F455" t="s">
        <v>41</v>
      </c>
      <c r="G455">
        <v>-326.34690000000001</v>
      </c>
      <c r="H455" s="1">
        <v>-2.5208169999999999E-6</v>
      </c>
      <c r="I455">
        <v>364.76220000000001</v>
      </c>
      <c r="J455">
        <v>-356.91890000000001</v>
      </c>
      <c r="K455">
        <v>1.110082</v>
      </c>
      <c r="L455">
        <v>367.46109999999999</v>
      </c>
      <c r="M455">
        <v>0.99989119999999998</v>
      </c>
      <c r="N455">
        <v>0</v>
      </c>
      <c r="O455">
        <v>3.398734E-3</v>
      </c>
      <c r="P455">
        <v>0.99818799999999996</v>
      </c>
      <c r="Q455">
        <v>-9.9755659999999999E-3</v>
      </c>
      <c r="R455">
        <v>5.9340850000000001E-2</v>
      </c>
      <c r="S455">
        <v>3.0199579999999999</v>
      </c>
      <c r="T455">
        <v>-0.1087519</v>
      </c>
      <c r="U455">
        <v>-0.26431270000000001</v>
      </c>
      <c r="V455">
        <v>-5.594789E-2</v>
      </c>
      <c r="W455">
        <v>4.3643019999999996E-3</v>
      </c>
      <c r="X455">
        <v>0.99842419999999998</v>
      </c>
      <c r="Y455">
        <v>9.0513899999999994E-2</v>
      </c>
      <c r="Z455">
        <v>-1.748253E-3</v>
      </c>
      <c r="AA455">
        <v>0.99589369999999999</v>
      </c>
      <c r="AB455">
        <v>42</v>
      </c>
      <c r="AC455">
        <v>30.571999999999999</v>
      </c>
      <c r="AD455">
        <v>-1.110084520817</v>
      </c>
      <c r="AE455">
        <v>-2.6988999999999801</v>
      </c>
      <c r="AF455">
        <v>2.7991392184705002</v>
      </c>
      <c r="AG455">
        <v>-1.110084520817</v>
      </c>
      <c r="AH455">
        <v>30.5227180569015</v>
      </c>
      <c r="AI455">
        <v>92.0741831280518</v>
      </c>
      <c r="AJ455">
        <v>84.760246576396796</v>
      </c>
      <c r="AK455">
        <v>30.6708947634209</v>
      </c>
      <c r="AL455">
        <v>89.749943133151106</v>
      </c>
      <c r="AM455">
        <v>93.207283083407205</v>
      </c>
      <c r="AN455">
        <v>1.0000000483365099</v>
      </c>
    </row>
    <row r="456" spans="1:40" x14ac:dyDescent="0.3">
      <c r="A456" t="str">
        <f>"20200111160413905"</f>
        <v>20200111160413905</v>
      </c>
      <c r="B456" t="str">
        <f>"1578729853901067"</f>
        <v>1578729853901067</v>
      </c>
      <c r="C456" t="s">
        <v>40</v>
      </c>
      <c r="D456">
        <v>4.8310750000000002</v>
      </c>
      <c r="E456">
        <v>0.55563709999999999</v>
      </c>
      <c r="F456" t="s">
        <v>41</v>
      </c>
      <c r="G456">
        <v>-326.28379999999999</v>
      </c>
      <c r="H456" s="1">
        <v>-2.5331660000000001E-6</v>
      </c>
      <c r="I456">
        <v>364.79640000000001</v>
      </c>
      <c r="J456">
        <v>-356.58940000000001</v>
      </c>
      <c r="K456">
        <v>1.110088</v>
      </c>
      <c r="L456">
        <v>367.4622</v>
      </c>
      <c r="M456">
        <v>0.99988969999999999</v>
      </c>
      <c r="N456">
        <v>0</v>
      </c>
      <c r="O456">
        <v>3.4055880000000002E-3</v>
      </c>
      <c r="P456">
        <v>0.99816419999999995</v>
      </c>
      <c r="Q456">
        <v>-9.8596480000000004E-3</v>
      </c>
      <c r="R456">
        <v>5.9761509999999997E-2</v>
      </c>
      <c r="S456">
        <v>3.0199280000000002</v>
      </c>
      <c r="T456">
        <v>-0.109429</v>
      </c>
      <c r="U456">
        <v>-0.26266479999999998</v>
      </c>
      <c r="V456">
        <v>-5.6361550000000003E-2</v>
      </c>
      <c r="W456">
        <v>4.5788770000000003E-3</v>
      </c>
      <c r="X456">
        <v>0.99839990000000001</v>
      </c>
      <c r="Y456">
        <v>8.9981850000000002E-2</v>
      </c>
      <c r="Z456">
        <v>-1.74982E-3</v>
      </c>
      <c r="AA456">
        <v>0.99594190000000005</v>
      </c>
      <c r="AB456">
        <v>42</v>
      </c>
      <c r="AC456">
        <v>30.305599999999998</v>
      </c>
      <c r="AD456">
        <v>-1.110090533166</v>
      </c>
      <c r="AE456">
        <v>-2.6657999999999902</v>
      </c>
      <c r="AF456">
        <v>2.7653218353112599</v>
      </c>
      <c r="AG456">
        <v>-1.110090533166</v>
      </c>
      <c r="AH456">
        <v>30.256060346089999</v>
      </c>
      <c r="AI456">
        <v>92.092517544472699</v>
      </c>
      <c r="AJ456">
        <v>84.777830006949102</v>
      </c>
      <c r="AK456">
        <v>30.4024422293821</v>
      </c>
      <c r="AL456">
        <v>89.737648749777193</v>
      </c>
      <c r="AM456">
        <v>93.231025078226907</v>
      </c>
      <c r="AN456">
        <v>0.99999997537649599</v>
      </c>
    </row>
    <row r="457" spans="1:40" x14ac:dyDescent="0.3">
      <c r="A457" t="str">
        <f>"20200111160413919"</f>
        <v>20200111160413919</v>
      </c>
      <c r="B457" t="str">
        <f>"1578729853910824"</f>
        <v>1578729853910824</v>
      </c>
      <c r="C457" t="s">
        <v>40</v>
      </c>
      <c r="D457">
        <v>4.8721779999999999</v>
      </c>
      <c r="E457">
        <v>0.55566700000000002</v>
      </c>
      <c r="F457" t="s">
        <v>41</v>
      </c>
      <c r="G457">
        <v>-325.75220000000002</v>
      </c>
      <c r="H457" s="1">
        <v>-2.709321E-6</v>
      </c>
      <c r="I457">
        <v>364.8143</v>
      </c>
      <c r="J457">
        <v>-356.32850000000002</v>
      </c>
      <c r="K457">
        <v>1.1100939999999999</v>
      </c>
      <c r="L457">
        <v>367.4631</v>
      </c>
      <c r="M457">
        <v>0.99988880000000002</v>
      </c>
      <c r="N457">
        <v>0</v>
      </c>
      <c r="O457">
        <v>3.4111580000000001E-3</v>
      </c>
      <c r="P457">
        <v>0.99814400000000003</v>
      </c>
      <c r="Q457">
        <v>-9.8278500000000008E-3</v>
      </c>
      <c r="R457">
        <v>6.0101090000000003E-2</v>
      </c>
      <c r="S457">
        <v>3.0199579999999999</v>
      </c>
      <c r="T457">
        <v>-0.10871359999999999</v>
      </c>
      <c r="U457">
        <v>-0.25930789999999998</v>
      </c>
      <c r="V457">
        <v>-5.6695240000000001E-2</v>
      </c>
      <c r="W457">
        <v>4.6804409999999996E-3</v>
      </c>
      <c r="X457">
        <v>0.9983805</v>
      </c>
      <c r="Y457">
        <v>8.8889090000000004E-2</v>
      </c>
      <c r="Z457">
        <v>-1.7190279999999901E-3</v>
      </c>
      <c r="AA457">
        <v>0.99604000000000004</v>
      </c>
      <c r="AB457">
        <v>42</v>
      </c>
      <c r="AC457">
        <v>30.5763</v>
      </c>
      <c r="AD457">
        <v>-1.1100967093209999</v>
      </c>
      <c r="AE457">
        <v>-2.6487999999999898</v>
      </c>
      <c r="AF457">
        <v>2.7494990209501702</v>
      </c>
      <c r="AG457">
        <v>-1.1100967093209999</v>
      </c>
      <c r="AH457">
        <v>30.5271472154745</v>
      </c>
      <c r="AI457">
        <v>92.074211436747504</v>
      </c>
      <c r="AJ457">
        <v>84.853408031667897</v>
      </c>
      <c r="AK457">
        <v>30.670813107668099</v>
      </c>
      <c r="AL457">
        <v>89.731829489168703</v>
      </c>
      <c r="AM457">
        <v>93.250176575065694</v>
      </c>
      <c r="AN457">
        <v>0.99999993977342905</v>
      </c>
    </row>
    <row r="458" spans="1:40" x14ac:dyDescent="0.3">
      <c r="A458" t="str">
        <f>"20200111160413936"</f>
        <v>20200111160413936</v>
      </c>
      <c r="B458" t="str">
        <f>"1578729853931320"</f>
        <v>1578729853931320</v>
      </c>
      <c r="C458" t="s">
        <v>40</v>
      </c>
      <c r="D458">
        <v>4.874441</v>
      </c>
      <c r="E458">
        <v>0.55566260000000001</v>
      </c>
      <c r="F458" t="s">
        <v>41</v>
      </c>
      <c r="G458">
        <v>-325.56490000000002</v>
      </c>
      <c r="H458" s="1">
        <v>-2.769773E-6</v>
      </c>
      <c r="I458">
        <v>364.82659999999998</v>
      </c>
      <c r="J458">
        <v>-356.04820000000001</v>
      </c>
      <c r="K458">
        <v>1.1101000000000001</v>
      </c>
      <c r="L458">
        <v>367.46409999999997</v>
      </c>
      <c r="M458">
        <v>0.99988770000000005</v>
      </c>
      <c r="N458">
        <v>0</v>
      </c>
      <c r="O458">
        <v>3.4172159999999998E-3</v>
      </c>
      <c r="P458">
        <v>0.99810679999999996</v>
      </c>
      <c r="Q458">
        <v>-9.5629770000000003E-3</v>
      </c>
      <c r="R458">
        <v>6.075974E-2</v>
      </c>
      <c r="S458">
        <v>3.0200809999999998</v>
      </c>
      <c r="T458">
        <v>-0.1089787</v>
      </c>
      <c r="U458">
        <v>-0.25881959999999998</v>
      </c>
      <c r="V458">
        <v>-5.7348299999999998E-2</v>
      </c>
      <c r="W458">
        <v>5.0127929999999998E-3</v>
      </c>
      <c r="X458">
        <v>0.99834160000000005</v>
      </c>
      <c r="Y458">
        <v>8.8731640000000001E-2</v>
      </c>
      <c r="Z458">
        <v>-1.7205439999999901E-3</v>
      </c>
      <c r="AA458">
        <v>0.99605410000000005</v>
      </c>
      <c r="AB458">
        <v>42</v>
      </c>
      <c r="AC458">
        <v>30.4832999999999</v>
      </c>
      <c r="AD458">
        <v>-1.1101027697729999</v>
      </c>
      <c r="AE458">
        <v>-2.6374999999999802</v>
      </c>
      <c r="AF458">
        <v>2.73805953091858</v>
      </c>
      <c r="AG458">
        <v>-1.1101027697729999</v>
      </c>
      <c r="AH458">
        <v>30.4340469989497</v>
      </c>
      <c r="AI458">
        <v>92.080581026052698</v>
      </c>
      <c r="AJ458">
        <v>84.859111717387506</v>
      </c>
      <c r="AK458">
        <v>30.577124045413299</v>
      </c>
      <c r="AL458">
        <v>89.712786901151901</v>
      </c>
      <c r="AM458">
        <v>93.287660809965402</v>
      </c>
      <c r="AN458">
        <v>0.99999995294855404</v>
      </c>
    </row>
    <row r="459" spans="1:40" x14ac:dyDescent="0.3">
      <c r="A459" t="str">
        <f>"20200111160413952"</f>
        <v>20200111160413952</v>
      </c>
      <c r="B459" t="str">
        <f>"1578729853941080"</f>
        <v>1578729853941080</v>
      </c>
      <c r="C459" t="s">
        <v>40</v>
      </c>
      <c r="D459">
        <v>4.886914</v>
      </c>
      <c r="E459">
        <v>0.55571219999999999</v>
      </c>
      <c r="F459" t="s">
        <v>41</v>
      </c>
      <c r="G459">
        <v>-325.3141</v>
      </c>
      <c r="H459" s="1">
        <v>-2.8487840000000001E-6</v>
      </c>
      <c r="I459">
        <v>364.85039999999998</v>
      </c>
      <c r="J459">
        <v>-355.71789999999999</v>
      </c>
      <c r="K459">
        <v>1.110112</v>
      </c>
      <c r="L459">
        <v>367.46519999999998</v>
      </c>
      <c r="M459">
        <v>0.99988659999999996</v>
      </c>
      <c r="N459">
        <v>0</v>
      </c>
      <c r="O459">
        <v>3.4242529999999999E-3</v>
      </c>
      <c r="P459">
        <v>0.99805219999999994</v>
      </c>
      <c r="Q459">
        <v>-8.9873839999999993E-3</v>
      </c>
      <c r="R459">
        <v>6.1736079999999999E-2</v>
      </c>
      <c r="S459">
        <v>3.0202640000000001</v>
      </c>
      <c r="T459">
        <v>-0.1090904</v>
      </c>
      <c r="U459">
        <v>-0.25683590000000001</v>
      </c>
      <c r="V459">
        <v>-5.831778E-2</v>
      </c>
      <c r="W459">
        <v>5.6593750000000003E-3</v>
      </c>
      <c r="X459">
        <v>0.998282</v>
      </c>
      <c r="Y459">
        <v>8.8084330000000002E-2</v>
      </c>
      <c r="Z459">
        <v>-1.7108379999999999E-3</v>
      </c>
      <c r="AA459">
        <v>0.99611159999999999</v>
      </c>
      <c r="AB459">
        <v>42</v>
      </c>
      <c r="AC459">
        <v>30.403799999999901</v>
      </c>
      <c r="AD459">
        <v>-1.110114848784</v>
      </c>
      <c r="AE459">
        <v>-2.6147999999999998</v>
      </c>
      <c r="AF459">
        <v>2.7153128166469598</v>
      </c>
      <c r="AG459">
        <v>-1.110114848784</v>
      </c>
      <c r="AH459">
        <v>30.354496928478198</v>
      </c>
      <c r="AI459">
        <v>92.086146738915005</v>
      </c>
      <c r="AJ459">
        <v>84.888303451794101</v>
      </c>
      <c r="AK459">
        <v>30.4959138648234</v>
      </c>
      <c r="AL459">
        <v>89.675739957715706</v>
      </c>
      <c r="AM459">
        <v>93.343313240957301</v>
      </c>
      <c r="AN459">
        <v>0.99999997175675903</v>
      </c>
    </row>
    <row r="460" spans="1:40" x14ac:dyDescent="0.3">
      <c r="A460" t="str">
        <f>"20200111160413967"</f>
        <v>20200111160413967</v>
      </c>
      <c r="B460" t="str">
        <f>"1578729853961576"</f>
        <v>1578729853961576</v>
      </c>
      <c r="C460" t="s">
        <v>40</v>
      </c>
      <c r="D460">
        <v>4.8486560000000001</v>
      </c>
      <c r="E460">
        <v>0.55574069999999998</v>
      </c>
      <c r="F460" t="s">
        <v>41</v>
      </c>
      <c r="G460">
        <v>-324.55160000000001</v>
      </c>
      <c r="H460" s="1">
        <v>-3.1666369999999998E-6</v>
      </c>
      <c r="I460">
        <v>364.84160000000003</v>
      </c>
      <c r="J460">
        <v>-355.44650000000001</v>
      </c>
      <c r="K460">
        <v>1.110117</v>
      </c>
      <c r="L460">
        <v>367.46609999999998</v>
      </c>
      <c r="M460">
        <v>0.99988580000000005</v>
      </c>
      <c r="N460">
        <v>0</v>
      </c>
      <c r="O460">
        <v>3.430055E-3</v>
      </c>
      <c r="P460">
        <v>0.99804150000000003</v>
      </c>
      <c r="Q460">
        <v>-8.845136E-3</v>
      </c>
      <c r="R460">
        <v>6.1925309999999997E-2</v>
      </c>
      <c r="S460">
        <v>3.0205989999999998</v>
      </c>
      <c r="T460">
        <v>-0.1075908</v>
      </c>
      <c r="U460">
        <v>-0.25427250000000001</v>
      </c>
      <c r="V460">
        <v>-5.8501450000000003E-2</v>
      </c>
      <c r="W460">
        <v>5.8553519999999899E-3</v>
      </c>
      <c r="X460">
        <v>0.9982702</v>
      </c>
      <c r="Y460">
        <v>8.7243539999999994E-2</v>
      </c>
      <c r="Z460">
        <v>-1.672471E-3</v>
      </c>
      <c r="AA460">
        <v>0.9961856</v>
      </c>
      <c r="AB460">
        <v>42</v>
      </c>
      <c r="AC460">
        <v>30.8949</v>
      </c>
      <c r="AD460">
        <v>-1.110120166637</v>
      </c>
      <c r="AE460">
        <v>-2.6244999999999501</v>
      </c>
      <c r="AF460">
        <v>2.72697162338785</v>
      </c>
      <c r="AG460">
        <v>-1.110120166637</v>
      </c>
      <c r="AH460">
        <v>30.846174310073099</v>
      </c>
      <c r="AI460">
        <v>92.0531224422771</v>
      </c>
      <c r="AJ460">
        <v>84.947872038701206</v>
      </c>
      <c r="AK460">
        <v>30.986371368499299</v>
      </c>
      <c r="AL460">
        <v>89.664511142042898</v>
      </c>
      <c r="AM460">
        <v>93.353858454951606</v>
      </c>
      <c r="AN460">
        <v>1.00000004850359</v>
      </c>
    </row>
    <row r="461" spans="1:40" x14ac:dyDescent="0.3">
      <c r="A461" t="str">
        <f>"20200111160413983"</f>
        <v>20200111160413983</v>
      </c>
      <c r="B461" t="str">
        <f>"1578729853971336"</f>
        <v>1578729853971336</v>
      </c>
      <c r="C461" t="s">
        <v>40</v>
      </c>
      <c r="D461">
        <v>4.8733309999999896</v>
      </c>
      <c r="E461">
        <v>0.55579419999999902</v>
      </c>
      <c r="F461" t="s">
        <v>41</v>
      </c>
      <c r="G461">
        <v>-324.3229</v>
      </c>
      <c r="H461" s="1">
        <v>-3.2628100000000002E-6</v>
      </c>
      <c r="I461">
        <v>364.85239999999999</v>
      </c>
      <c r="J461">
        <v>-355.14670000000001</v>
      </c>
      <c r="K461">
        <v>1.1101259999999999</v>
      </c>
      <c r="L461">
        <v>367.46719999999999</v>
      </c>
      <c r="M461">
        <v>0.99988489999999997</v>
      </c>
      <c r="N461">
        <v>0</v>
      </c>
      <c r="O461">
        <v>3.4362189999999999E-3</v>
      </c>
      <c r="P461">
        <v>0.99801810000000002</v>
      </c>
      <c r="Q461">
        <v>-9.377837E-3</v>
      </c>
      <c r="R461">
        <v>6.2225950000000002E-2</v>
      </c>
      <c r="S461">
        <v>3.0206599999999999</v>
      </c>
      <c r="T461">
        <v>-0.1077412</v>
      </c>
      <c r="U461">
        <v>-0.2536621</v>
      </c>
      <c r="V461">
        <v>-5.8795790000000001E-2</v>
      </c>
      <c r="W461">
        <v>5.3751850000000002E-3</v>
      </c>
      <c r="X461">
        <v>0.99825560000000002</v>
      </c>
      <c r="Y461">
        <v>8.704808E-2</v>
      </c>
      <c r="Z461">
        <v>-1.6715300000000001E-3</v>
      </c>
      <c r="AA461">
        <v>0.9962027</v>
      </c>
      <c r="AB461">
        <v>42</v>
      </c>
      <c r="AC461">
        <v>30.823799999999999</v>
      </c>
      <c r="AD461">
        <v>-1.1101292628099999</v>
      </c>
      <c r="AE461">
        <v>-2.6147999999999998</v>
      </c>
      <c r="AF461">
        <v>2.7172141265562302</v>
      </c>
      <c r="AG461">
        <v>-1.1101292628099999</v>
      </c>
      <c r="AH461">
        <v>30.774998815362</v>
      </c>
      <c r="AI461">
        <v>92.057903907552699</v>
      </c>
      <c r="AJ461">
        <v>84.954273439774099</v>
      </c>
      <c r="AK461">
        <v>30.914659818203301</v>
      </c>
      <c r="AL461">
        <v>89.692023114733999</v>
      </c>
      <c r="AM461">
        <v>93.3707431922399</v>
      </c>
      <c r="AN461">
        <v>1.0000000402334299</v>
      </c>
    </row>
    <row r="462" spans="1:40" x14ac:dyDescent="0.3">
      <c r="A462" t="str">
        <f>"20200111160413995"</f>
        <v>20200111160413995</v>
      </c>
      <c r="B462" t="str">
        <f>"1578729853990856"</f>
        <v>1578729853990856</v>
      </c>
      <c r="C462" t="s">
        <v>40</v>
      </c>
      <c r="D462">
        <v>4.8525289999999996</v>
      </c>
      <c r="E462">
        <v>0.55614580000000002</v>
      </c>
      <c r="F462" t="s">
        <v>41</v>
      </c>
      <c r="G462">
        <v>-324.75349999999997</v>
      </c>
      <c r="H462" s="1">
        <v>-3.0659740000000001E-6</v>
      </c>
      <c r="I462">
        <v>364.92070000000001</v>
      </c>
      <c r="J462">
        <v>-354.91719999999998</v>
      </c>
      <c r="K462">
        <v>1.1101299999999901</v>
      </c>
      <c r="L462">
        <v>367.46800000000002</v>
      </c>
      <c r="M462">
        <v>0.99988440000000001</v>
      </c>
      <c r="N462">
        <v>0</v>
      </c>
      <c r="O462">
        <v>3.4411989999999998E-3</v>
      </c>
      <c r="P462">
        <v>0.99802089999999999</v>
      </c>
      <c r="Q462">
        <v>-9.3723890000000001E-3</v>
      </c>
      <c r="R462">
        <v>6.2182080000000001E-2</v>
      </c>
      <c r="S462">
        <v>3.0206909999999998</v>
      </c>
      <c r="T462">
        <v>-0.110332399999999</v>
      </c>
      <c r="U462">
        <v>-0.25308229999999998</v>
      </c>
      <c r="V462">
        <v>-5.8747220000000003E-2</v>
      </c>
      <c r="W462">
        <v>5.4166689999999998E-3</v>
      </c>
      <c r="X462">
        <v>0.99825819999999998</v>
      </c>
      <c r="Y462">
        <v>8.6859660000000005E-2</v>
      </c>
      <c r="Z462">
        <v>-1.7084470000000001E-3</v>
      </c>
      <c r="AA462">
        <v>0.99621910000000002</v>
      </c>
      <c r="AB462">
        <v>42</v>
      </c>
      <c r="AC462">
        <v>30.163699999999999</v>
      </c>
      <c r="AD462">
        <v>-1.1101330659740001</v>
      </c>
      <c r="AE462">
        <v>-2.5472999999999999</v>
      </c>
      <c r="AF462">
        <v>2.6475348868980699</v>
      </c>
      <c r="AG462">
        <v>-1.1101330659740001</v>
      </c>
      <c r="AH462">
        <v>30.114253546306799</v>
      </c>
      <c r="AI462">
        <v>92.103093217631894</v>
      </c>
      <c r="AJ462">
        <v>84.975683109274399</v>
      </c>
      <c r="AK462">
        <v>30.250786817085601</v>
      </c>
      <c r="AL462">
        <v>89.689646211178399</v>
      </c>
      <c r="AM462">
        <v>93.367956350873399</v>
      </c>
      <c r="AN462">
        <v>1.0000000050140101</v>
      </c>
    </row>
    <row r="463" spans="1:40" x14ac:dyDescent="0.3">
      <c r="A463" t="str">
        <f>"20200111160414008"</f>
        <v>20200111160414008</v>
      </c>
      <c r="B463" t="str">
        <f>"1578729854001591"</f>
        <v>1578729854001591</v>
      </c>
      <c r="C463" t="s">
        <v>40</v>
      </c>
      <c r="D463">
        <v>4.9594199999999997</v>
      </c>
      <c r="E463">
        <v>0.55614580000000002</v>
      </c>
      <c r="F463" t="s">
        <v>41</v>
      </c>
      <c r="G463">
        <v>-324.87830000000002</v>
      </c>
      <c r="H463" s="1">
        <v>-3.0118230000000001E-6</v>
      </c>
      <c r="I463">
        <v>364.92430000000002</v>
      </c>
      <c r="J463">
        <v>-354.67039999999997</v>
      </c>
      <c r="K463">
        <v>1.1101350000000001</v>
      </c>
      <c r="L463">
        <v>367.46879999999999</v>
      </c>
      <c r="M463">
        <v>0.99988379999999999</v>
      </c>
      <c r="N463">
        <v>0</v>
      </c>
      <c r="O463">
        <v>3.4462920000000001E-3</v>
      </c>
      <c r="P463">
        <v>0.99802049999999998</v>
      </c>
      <c r="Q463">
        <v>-9.4844179999999997E-3</v>
      </c>
      <c r="R463">
        <v>6.2169849999999999E-2</v>
      </c>
      <c r="S463">
        <v>3.0208439999999999</v>
      </c>
      <c r="T463">
        <v>-0.1116394</v>
      </c>
      <c r="U463">
        <v>-0.25579829999999998</v>
      </c>
      <c r="V463">
        <v>-5.8729629999999998E-2</v>
      </c>
      <c r="W463">
        <v>5.3413289999999997E-3</v>
      </c>
      <c r="X463">
        <v>0.99825969999999997</v>
      </c>
      <c r="Y463">
        <v>8.7747889999999995E-2</v>
      </c>
      <c r="Z463">
        <v>-1.745087E-3</v>
      </c>
      <c r="AA463">
        <v>0.99614119999999995</v>
      </c>
      <c r="AB463">
        <v>42</v>
      </c>
      <c r="AC463">
        <v>29.792099999999898</v>
      </c>
      <c r="AD463">
        <v>-1.110138011823</v>
      </c>
      <c r="AE463">
        <v>-2.54449999999997</v>
      </c>
      <c r="AF463">
        <v>2.6435244826744002</v>
      </c>
      <c r="AG463">
        <v>-1.110138011823</v>
      </c>
      <c r="AH463">
        <v>29.742154516591899</v>
      </c>
      <c r="AI463">
        <v>92.129209987058303</v>
      </c>
      <c r="AJ463">
        <v>84.920817571170602</v>
      </c>
      <c r="AK463">
        <v>29.880033189148499</v>
      </c>
      <c r="AL463">
        <v>89.693962955669704</v>
      </c>
      <c r="AM463">
        <v>93.366945195415099</v>
      </c>
      <c r="AN463">
        <v>1.0000000639397499</v>
      </c>
    </row>
    <row r="464" spans="1:40" x14ac:dyDescent="0.3">
      <c r="A464" t="str">
        <f>"20200111160414020"</f>
        <v>20200111160414020</v>
      </c>
      <c r="B464" t="str">
        <f>"1578729854011352"</f>
        <v>1578729854011352</v>
      </c>
      <c r="C464" t="s">
        <v>40</v>
      </c>
      <c r="D464">
        <v>4.9228809999999896</v>
      </c>
      <c r="E464">
        <v>0.58785159999999903</v>
      </c>
      <c r="F464" t="s">
        <v>41</v>
      </c>
      <c r="G464">
        <v>-324.68369999999999</v>
      </c>
      <c r="H464" s="1">
        <v>-3.094478E-6</v>
      </c>
      <c r="I464">
        <v>364.9289</v>
      </c>
      <c r="J464">
        <v>-354.44839999999999</v>
      </c>
      <c r="K464">
        <v>1.1101399999999999</v>
      </c>
      <c r="L464">
        <v>367.46960000000001</v>
      </c>
      <c r="M464">
        <v>0.99988339999999998</v>
      </c>
      <c r="N464">
        <v>0</v>
      </c>
      <c r="O464">
        <v>3.4509559999999998E-3</v>
      </c>
      <c r="P464">
        <v>0.99801640000000003</v>
      </c>
      <c r="Q464">
        <v>-9.3879719999999996E-3</v>
      </c>
      <c r="R464">
        <v>6.2252090000000003E-2</v>
      </c>
      <c r="S464">
        <v>3.020813</v>
      </c>
      <c r="T464">
        <v>-0.1118331</v>
      </c>
      <c r="U464">
        <v>-0.25585940000000001</v>
      </c>
      <c r="V464">
        <v>-5.8807180000000001E-2</v>
      </c>
      <c r="W464">
        <v>5.4667359999999998E-3</v>
      </c>
      <c r="X464">
        <v>0.99825439999999999</v>
      </c>
      <c r="Y464">
        <v>8.7773149999999994E-2</v>
      </c>
      <c r="Z464">
        <v>-1.748767E-3</v>
      </c>
      <c r="AA464">
        <v>0.99613890000000005</v>
      </c>
      <c r="AB464">
        <v>42</v>
      </c>
      <c r="AC464">
        <v>29.764700000000001</v>
      </c>
      <c r="AD464">
        <v>-1.110143094478</v>
      </c>
      <c r="AE464">
        <v>-2.54070000000001</v>
      </c>
      <c r="AF464">
        <v>2.6397673157358299</v>
      </c>
      <c r="AG464">
        <v>-1.110143094478</v>
      </c>
      <c r="AH464">
        <v>29.714717100064099</v>
      </c>
      <c r="AI464">
        <v>92.131192282633506</v>
      </c>
      <c r="AJ464">
        <v>84.923339962318494</v>
      </c>
      <c r="AK464">
        <v>29.852390214324299</v>
      </c>
      <c r="AL464">
        <v>89.686777541976994</v>
      </c>
      <c r="AM464">
        <v>93.371398714508999</v>
      </c>
      <c r="AN464">
        <v>1.0000000083706999</v>
      </c>
    </row>
    <row r="465" spans="1:40" x14ac:dyDescent="0.3">
      <c r="A465" t="str">
        <f>"20200111160414031"</f>
        <v>20200111160414031</v>
      </c>
      <c r="B465" t="str">
        <f>"1578729854021112"</f>
        <v>1578729854021112</v>
      </c>
      <c r="C465" t="s">
        <v>40</v>
      </c>
      <c r="D465">
        <v>4.920204</v>
      </c>
      <c r="E465">
        <v>0.58837600000000001</v>
      </c>
      <c r="F465" t="s">
        <v>41</v>
      </c>
      <c r="G465">
        <v>-331.45890000000003</v>
      </c>
      <c r="H465" s="1">
        <v>-4.7076919999999996E-6</v>
      </c>
      <c r="I465">
        <v>363.63350000000003</v>
      </c>
      <c r="J465">
        <v>-354.23540000000003</v>
      </c>
      <c r="K465">
        <v>1.1101449999999999</v>
      </c>
      <c r="L465">
        <v>367.47030000000001</v>
      </c>
      <c r="M465">
        <v>0.99988290000000002</v>
      </c>
      <c r="N465">
        <v>0</v>
      </c>
      <c r="O465">
        <v>3.45547E-3</v>
      </c>
      <c r="P465">
        <v>0.99802460000000004</v>
      </c>
      <c r="Q465">
        <v>-9.3317499999999998E-3</v>
      </c>
      <c r="R465">
        <v>6.212794E-2</v>
      </c>
      <c r="S465">
        <v>3.0361940000000001</v>
      </c>
      <c r="T465">
        <v>-0.1466151</v>
      </c>
      <c r="U465">
        <v>-0.50662229999999997</v>
      </c>
      <c r="V465">
        <v>-5.8678630000000002E-2</v>
      </c>
      <c r="W465">
        <v>5.5497039999999999E-3</v>
      </c>
      <c r="X465">
        <v>0.99826150000000002</v>
      </c>
      <c r="Y465">
        <v>0.16779910000000001</v>
      </c>
      <c r="Z465">
        <v>-4.1869749999999999E-3</v>
      </c>
      <c r="AA465">
        <v>0.98581229999999997</v>
      </c>
      <c r="AB465">
        <v>42</v>
      </c>
      <c r="AC465">
        <v>22.776499999999999</v>
      </c>
      <c r="AD465">
        <v>-1.1101497076919999</v>
      </c>
      <c r="AE465">
        <v>-3.8367999999999798</v>
      </c>
      <c r="AF465">
        <v>3.9064648981208498</v>
      </c>
      <c r="AG465">
        <v>-1.1101497076919999</v>
      </c>
      <c r="AH465">
        <v>22.7106399899907</v>
      </c>
      <c r="AI465">
        <v>92.758084263650403</v>
      </c>
      <c r="AJ465">
        <v>80.240043338081193</v>
      </c>
      <c r="AK465">
        <v>23.070892248214001</v>
      </c>
      <c r="AL465">
        <v>89.682023751513597</v>
      </c>
      <c r="AM465">
        <v>93.364022052512894</v>
      </c>
      <c r="AN465">
        <v>1.0000000016077</v>
      </c>
    </row>
    <row r="466" spans="1:40" x14ac:dyDescent="0.3">
      <c r="A466" t="str">
        <f>"20200111160414043"</f>
        <v>20200111160414043</v>
      </c>
      <c r="B466" t="str">
        <f>"1578729854041608"</f>
        <v>1578729854041608</v>
      </c>
      <c r="C466" t="s">
        <v>40</v>
      </c>
      <c r="D466">
        <v>4.8954610000000001</v>
      </c>
      <c r="E466">
        <v>0.58970719999999899</v>
      </c>
      <c r="F466" t="s">
        <v>41</v>
      </c>
      <c r="G466">
        <v>-330.65289999999999</v>
      </c>
      <c r="H466" s="1">
        <v>-5.0772119999999998E-6</v>
      </c>
      <c r="I466">
        <v>363.49950000000001</v>
      </c>
      <c r="J466">
        <v>-354.02069999999998</v>
      </c>
      <c r="K466">
        <v>1.1101460000000001</v>
      </c>
      <c r="L466">
        <v>367.471</v>
      </c>
      <c r="M466">
        <v>0.99988259999999995</v>
      </c>
      <c r="N466">
        <v>0</v>
      </c>
      <c r="O466">
        <v>3.4599909999999999E-3</v>
      </c>
      <c r="P466">
        <v>0.99803070000000005</v>
      </c>
      <c r="Q466">
        <v>-9.3447549999999997E-3</v>
      </c>
      <c r="R466">
        <v>6.2028270000000003E-2</v>
      </c>
      <c r="S466">
        <v>3.036438</v>
      </c>
      <c r="T466">
        <v>-0.14294019999999999</v>
      </c>
      <c r="U466">
        <v>-0.51126099999999997</v>
      </c>
      <c r="V466">
        <v>-5.8574370000000001E-2</v>
      </c>
      <c r="W466">
        <v>5.5611489999999996E-3</v>
      </c>
      <c r="X466">
        <v>0.99826749999999997</v>
      </c>
      <c r="Y466">
        <v>0.16926340000000001</v>
      </c>
      <c r="Z466">
        <v>-4.1157279999999999E-3</v>
      </c>
      <c r="AA466">
        <v>0.9855623</v>
      </c>
      <c r="AB466">
        <v>42</v>
      </c>
      <c r="AC466">
        <v>23.3677999999999</v>
      </c>
      <c r="AD466">
        <v>-1.11015107721199</v>
      </c>
      <c r="AE466">
        <v>-3.97149999999999</v>
      </c>
      <c r="AF466">
        <v>4.0434677719822796</v>
      </c>
      <c r="AG466">
        <v>-1.11015107721199</v>
      </c>
      <c r="AH466">
        <v>23.3027996916931</v>
      </c>
      <c r="AI466">
        <v>92.687425545806605</v>
      </c>
      <c r="AJ466">
        <v>80.156134335864294</v>
      </c>
      <c r="AK466">
        <v>23.677046701572898</v>
      </c>
      <c r="AL466">
        <v>89.681367972326001</v>
      </c>
      <c r="AM466">
        <v>93.358038422500599</v>
      </c>
      <c r="AN466">
        <v>0.99999994237767098</v>
      </c>
    </row>
    <row r="467" spans="1:40" x14ac:dyDescent="0.3">
      <c r="A467" t="str">
        <f>"20200111160414057"</f>
        <v>20200111160414057</v>
      </c>
      <c r="B467" t="str">
        <f>"1578729854051368"</f>
        <v>1578729854051368</v>
      </c>
      <c r="C467" t="s">
        <v>40</v>
      </c>
      <c r="D467">
        <v>4.8497459999999997</v>
      </c>
      <c r="E467">
        <v>0.59025130000000003</v>
      </c>
      <c r="F467" t="s">
        <v>41</v>
      </c>
      <c r="G467">
        <v>-329.89710000000002</v>
      </c>
      <c r="H467" s="1">
        <v>-1.6961229999999999E-6</v>
      </c>
      <c r="I467">
        <v>363.32100000000003</v>
      </c>
      <c r="J467">
        <v>-353.76780000000002</v>
      </c>
      <c r="K467">
        <v>1.110152</v>
      </c>
      <c r="L467">
        <v>367.47190000000001</v>
      </c>
      <c r="M467">
        <v>0.99988220000000005</v>
      </c>
      <c r="N467">
        <v>0</v>
      </c>
      <c r="O467">
        <v>3.4653420000000002E-3</v>
      </c>
      <c r="P467">
        <v>0.99802939999999996</v>
      </c>
      <c r="Q467">
        <v>-9.0912969999999999E-3</v>
      </c>
      <c r="R467">
        <v>6.2088280000000003E-2</v>
      </c>
      <c r="S467">
        <v>3.0370789999999999</v>
      </c>
      <c r="T467">
        <v>-0.13976340000000001</v>
      </c>
      <c r="U467">
        <v>-0.52246090000000001</v>
      </c>
      <c r="V467">
        <v>-5.8629029999999999E-2</v>
      </c>
      <c r="W467">
        <v>5.8400939999999997E-3</v>
      </c>
      <c r="X467">
        <v>0.99826280000000001</v>
      </c>
      <c r="Y467">
        <v>0.17277049999999999</v>
      </c>
      <c r="Z467">
        <v>-4.1025940000000002E-3</v>
      </c>
      <c r="AA467">
        <v>0.98495359999999998</v>
      </c>
      <c r="AB467">
        <v>42</v>
      </c>
      <c r="AC467">
        <v>23.870699999999999</v>
      </c>
      <c r="AD467">
        <v>-1.1101536961229901</v>
      </c>
      <c r="AE467">
        <v>-4.1509000000000302</v>
      </c>
      <c r="AF467">
        <v>4.2247349868345596</v>
      </c>
      <c r="AG467">
        <v>-1.1101536961229901</v>
      </c>
      <c r="AH467">
        <v>23.806191666849301</v>
      </c>
      <c r="AI467">
        <v>92.628921847261395</v>
      </c>
      <c r="AJ467">
        <v>79.936846665229794</v>
      </c>
      <c r="AK467">
        <v>24.203627592093799</v>
      </c>
      <c r="AL467">
        <v>89.665385374398298</v>
      </c>
      <c r="AM467">
        <v>93.361180659708396</v>
      </c>
      <c r="AN467">
        <v>1.0000000438602501</v>
      </c>
    </row>
    <row r="468" spans="1:40" x14ac:dyDescent="0.3">
      <c r="A468" t="str">
        <f>"20200111160414071"</f>
        <v>20200111160414071</v>
      </c>
      <c r="B468" t="str">
        <f>"1578729854061128"</f>
        <v>1578729854061128</v>
      </c>
      <c r="C468" t="s">
        <v>40</v>
      </c>
      <c r="D468">
        <v>4.8522239999999996</v>
      </c>
      <c r="E468">
        <v>0.59062429999999999</v>
      </c>
      <c r="F468" t="s">
        <v>41</v>
      </c>
      <c r="G468">
        <v>-329.46129999999999</v>
      </c>
      <c r="H468" s="1">
        <v>-1.860989E-6</v>
      </c>
      <c r="I468">
        <v>363.25880000000001</v>
      </c>
      <c r="J468">
        <v>-353.49639999999999</v>
      </c>
      <c r="K468">
        <v>1.1101570000000001</v>
      </c>
      <c r="L468">
        <v>367.47289999999998</v>
      </c>
      <c r="M468">
        <v>0.99988189999999999</v>
      </c>
      <c r="N468">
        <v>0</v>
      </c>
      <c r="O468">
        <v>3.471231E-3</v>
      </c>
      <c r="P468">
        <v>0.99799870000000002</v>
      </c>
      <c r="Q468">
        <v>-8.6102839999999993E-3</v>
      </c>
      <c r="R468">
        <v>6.2649280000000002E-2</v>
      </c>
      <c r="S468">
        <v>3.0374759999999998</v>
      </c>
      <c r="T468">
        <v>-0.13873089999999999</v>
      </c>
      <c r="U468">
        <v>-0.52648930000000005</v>
      </c>
      <c r="V468">
        <v>-5.918433E-2</v>
      </c>
      <c r="W468">
        <v>6.3460069999999999E-3</v>
      </c>
      <c r="X468">
        <v>0.99822690000000003</v>
      </c>
      <c r="Y468">
        <v>0.1740246</v>
      </c>
      <c r="Z468">
        <v>-4.1000180000000004E-3</v>
      </c>
      <c r="AA468">
        <v>0.98473270000000002</v>
      </c>
      <c r="AB468">
        <v>42</v>
      </c>
      <c r="AC468">
        <v>24.0351</v>
      </c>
      <c r="AD468">
        <v>-1.1101588609890001</v>
      </c>
      <c r="AE468">
        <v>-4.21409999999997</v>
      </c>
      <c r="AF468">
        <v>4.2886387073612804</v>
      </c>
      <c r="AG468">
        <v>-1.1101588609890001</v>
      </c>
      <c r="AH468">
        <v>23.970710777930702</v>
      </c>
      <c r="AI468">
        <v>92.610263946537501</v>
      </c>
      <c r="AJ468">
        <v>79.856440236243699</v>
      </c>
      <c r="AK468">
        <v>24.3766250711232</v>
      </c>
      <c r="AL468">
        <v>89.636398141737999</v>
      </c>
      <c r="AM468">
        <v>93.393063515787702</v>
      </c>
      <c r="AN468">
        <v>1.0000000003030001</v>
      </c>
    </row>
    <row r="469" spans="1:40" x14ac:dyDescent="0.3">
      <c r="A469" t="str">
        <f>"20200111160414082"</f>
        <v>20200111160414082</v>
      </c>
      <c r="B469" t="str">
        <f>"1578729854070888"</f>
        <v>1578729854070888</v>
      </c>
      <c r="C469" t="s">
        <v>40</v>
      </c>
      <c r="D469">
        <v>4.8775079999999997</v>
      </c>
      <c r="E469">
        <v>0.59093130000000005</v>
      </c>
      <c r="F469" t="s">
        <v>41</v>
      </c>
      <c r="G469">
        <v>-329.04910000000001</v>
      </c>
      <c r="H469" s="1">
        <v>-2.010259E-6</v>
      </c>
      <c r="I469">
        <v>363.22489999999999</v>
      </c>
      <c r="J469">
        <v>-353.2901</v>
      </c>
      <c r="K469">
        <v>1.11016</v>
      </c>
      <c r="L469">
        <v>367.47359999999998</v>
      </c>
      <c r="M469">
        <v>0.99988160000000004</v>
      </c>
      <c r="N469">
        <v>0</v>
      </c>
      <c r="O469">
        <v>3.475625E-3</v>
      </c>
      <c r="P469">
        <v>0.99798920000000002</v>
      </c>
      <c r="Q469">
        <v>-8.3619490000000005E-3</v>
      </c>
      <c r="R469">
        <v>6.2832680000000002E-2</v>
      </c>
      <c r="S469">
        <v>3.0379640000000001</v>
      </c>
      <c r="T469">
        <v>-0.13795439999999901</v>
      </c>
      <c r="U469">
        <v>-0.52786250000000001</v>
      </c>
      <c r="V469">
        <v>-5.936321E-2</v>
      </c>
      <c r="W469">
        <v>6.6120780000000004E-3</v>
      </c>
      <c r="X469">
        <v>0.9982145</v>
      </c>
      <c r="Y469">
        <v>0.17443610000000001</v>
      </c>
      <c r="Z469">
        <v>-4.0857580000000001E-3</v>
      </c>
      <c r="AA469">
        <v>0.98465999999999998</v>
      </c>
      <c r="AB469">
        <v>42</v>
      </c>
      <c r="AC469">
        <v>24.2409999999999</v>
      </c>
      <c r="AD469">
        <v>-1.110162010259</v>
      </c>
      <c r="AE469">
        <v>-4.2486999999999799</v>
      </c>
      <c r="AF469">
        <v>4.3241374773028003</v>
      </c>
      <c r="AG469">
        <v>-1.110162010259</v>
      </c>
      <c r="AH469">
        <v>24.1768887911721</v>
      </c>
      <c r="AI469">
        <v>92.588067347886906</v>
      </c>
      <c r="AJ469">
        <v>79.859629609020502</v>
      </c>
      <c r="AK469">
        <v>24.585617263602298</v>
      </c>
      <c r="AL469">
        <v>89.621153056983005</v>
      </c>
      <c r="AM469">
        <v>93.403336892767399</v>
      </c>
      <c r="AN469">
        <v>0.99999994914361401</v>
      </c>
    </row>
    <row r="470" spans="1:40" x14ac:dyDescent="0.3">
      <c r="A470" t="str">
        <f>"20200111160414094"</f>
        <v>20200111160414094</v>
      </c>
      <c r="B470" t="str">
        <f>"1578729854091384"</f>
        <v>1578729854091384</v>
      </c>
      <c r="C470" t="s">
        <v>40</v>
      </c>
      <c r="D470">
        <v>4.8652870000000004</v>
      </c>
      <c r="E470">
        <v>0.59162479999999995</v>
      </c>
      <c r="F470" t="s">
        <v>41</v>
      </c>
      <c r="G470">
        <v>-328.83479999999997</v>
      </c>
      <c r="H470" s="1">
        <v>-2.0869470000000001E-6</v>
      </c>
      <c r="I470">
        <v>363.21089999999998</v>
      </c>
      <c r="J470">
        <v>-353.07979999999998</v>
      </c>
      <c r="K470">
        <v>1.1101639999999999</v>
      </c>
      <c r="L470">
        <v>367.47430000000003</v>
      </c>
      <c r="M470">
        <v>0.99988120000000003</v>
      </c>
      <c r="N470">
        <v>0</v>
      </c>
      <c r="O470">
        <v>3.4805690000000002E-3</v>
      </c>
      <c r="P470">
        <v>0.99796149999999995</v>
      </c>
      <c r="Q470">
        <v>-8.2220660000000001E-3</v>
      </c>
      <c r="R470">
        <v>6.3289109999999996E-2</v>
      </c>
      <c r="S470">
        <v>3.0382389999999999</v>
      </c>
      <c r="T470">
        <v>-0.13792179999999901</v>
      </c>
      <c r="U470">
        <v>-0.52957149999999997</v>
      </c>
      <c r="V470">
        <v>-5.9814859999999997E-2</v>
      </c>
      <c r="W470">
        <v>6.7670469999999896E-3</v>
      </c>
      <c r="X470">
        <v>0.99818649999999998</v>
      </c>
      <c r="Y470">
        <v>0.17496310000000001</v>
      </c>
      <c r="Z470">
        <v>-4.0963249999999996E-3</v>
      </c>
      <c r="AA470">
        <v>0.98456650000000001</v>
      </c>
      <c r="AB470">
        <v>42</v>
      </c>
      <c r="AC470">
        <v>24.245000000000001</v>
      </c>
      <c r="AD470">
        <v>-1.110166086947</v>
      </c>
      <c r="AE470">
        <v>-4.2634000000000398</v>
      </c>
      <c r="AF470">
        <v>4.3389455839864004</v>
      </c>
      <c r="AG470">
        <v>-1.110166086947</v>
      </c>
      <c r="AH470">
        <v>24.180833684954202</v>
      </c>
      <c r="AI470">
        <v>92.5873936084691</v>
      </c>
      <c r="AJ470">
        <v>79.827253104817004</v>
      </c>
      <c r="AK470">
        <v>24.592105140081401</v>
      </c>
      <c r="AL470">
        <v>89.612273788364007</v>
      </c>
      <c r="AM470">
        <v>93.429264726322401</v>
      </c>
      <c r="AN470">
        <v>0.99999994959208305</v>
      </c>
    </row>
    <row r="471" spans="1:40" x14ac:dyDescent="0.3">
      <c r="A471" t="str">
        <f>"20200111160414106"</f>
        <v>20200111160414106</v>
      </c>
      <c r="B471" t="str">
        <f>"1578729854101144"</f>
        <v>1578729854101144</v>
      </c>
      <c r="C471" t="s">
        <v>40</v>
      </c>
      <c r="D471">
        <v>5.0275210000000001</v>
      </c>
      <c r="E471">
        <v>0.59150639999999999</v>
      </c>
      <c r="F471" t="s">
        <v>41</v>
      </c>
      <c r="G471">
        <v>-328.66660000000002</v>
      </c>
      <c r="H471" s="1">
        <v>-2.1506019999999998E-6</v>
      </c>
      <c r="I471">
        <v>363.18669999999997</v>
      </c>
      <c r="J471">
        <v>-352.863</v>
      </c>
      <c r="K471">
        <v>1.1101650000000001</v>
      </c>
      <c r="L471">
        <v>367.4751</v>
      </c>
      <c r="M471">
        <v>0.99988109999999997</v>
      </c>
      <c r="N471">
        <v>0</v>
      </c>
      <c r="O471">
        <v>3.485513E-3</v>
      </c>
      <c r="P471">
        <v>0.99795900000000004</v>
      </c>
      <c r="Q471">
        <v>-7.8746749999999994E-3</v>
      </c>
      <c r="R471">
        <v>6.3373029999999997E-2</v>
      </c>
      <c r="S471">
        <v>3.0388489999999999</v>
      </c>
      <c r="T471">
        <v>-0.13818839999999999</v>
      </c>
      <c r="U471">
        <v>-0.53369140000000004</v>
      </c>
      <c r="V471">
        <v>-5.9893719999999998E-2</v>
      </c>
      <c r="W471">
        <v>7.130389E-3</v>
      </c>
      <c r="X471">
        <v>0.99817929999999999</v>
      </c>
      <c r="Y471">
        <v>0.17622769999999999</v>
      </c>
      <c r="Z471">
        <v>-4.1316920000000002E-3</v>
      </c>
      <c r="AA471">
        <v>0.98434080000000002</v>
      </c>
      <c r="AB471">
        <v>42</v>
      </c>
      <c r="AC471">
        <v>24.196400000000001</v>
      </c>
      <c r="AD471">
        <v>-1.1101671506020001</v>
      </c>
      <c r="AE471">
        <v>-4.2884000000000198</v>
      </c>
      <c r="AF471">
        <v>4.3638137786896598</v>
      </c>
      <c r="AG471">
        <v>-1.1101671506020001</v>
      </c>
      <c r="AH471">
        <v>24.132050483975899</v>
      </c>
      <c r="AI471">
        <v>92.5919901203808</v>
      </c>
      <c r="AJ471">
        <v>79.749935206636707</v>
      </c>
      <c r="AK471">
        <v>24.5485478665952</v>
      </c>
      <c r="AL471">
        <v>89.591455345144695</v>
      </c>
      <c r="AM471">
        <v>93.433799772198896</v>
      </c>
      <c r="AN471">
        <v>1.0000000075456099</v>
      </c>
    </row>
    <row r="472" spans="1:40" x14ac:dyDescent="0.3">
      <c r="A472" t="str">
        <f>"20200111160414117"</f>
        <v>20200111160414117</v>
      </c>
      <c r="B472" t="str">
        <f>"1578729854111880"</f>
        <v>1578729854111880</v>
      </c>
      <c r="C472" t="s">
        <v>40</v>
      </c>
      <c r="D472">
        <v>5.1396829999999998</v>
      </c>
      <c r="E472">
        <v>0.59092029999999995</v>
      </c>
      <c r="F472" t="s">
        <v>41</v>
      </c>
      <c r="G472">
        <v>-329.11200000000002</v>
      </c>
      <c r="H472" s="1">
        <v>-1.964976E-6</v>
      </c>
      <c r="I472">
        <v>363.31470000000002</v>
      </c>
      <c r="J472">
        <v>-352.63869999999997</v>
      </c>
      <c r="K472">
        <v>1.1101719999999999</v>
      </c>
      <c r="L472">
        <v>367.47590000000002</v>
      </c>
      <c r="M472">
        <v>0.99988089999999996</v>
      </c>
      <c r="N472">
        <v>0</v>
      </c>
      <c r="O472">
        <v>3.4907649999999998E-3</v>
      </c>
      <c r="P472">
        <v>0.9979479</v>
      </c>
      <c r="Q472">
        <v>-7.691046E-3</v>
      </c>
      <c r="R472">
        <v>6.3570340000000003E-2</v>
      </c>
      <c r="S472">
        <v>3.038818</v>
      </c>
      <c r="T472">
        <v>-0.14203950000000001</v>
      </c>
      <c r="U472">
        <v>-0.53228759999999997</v>
      </c>
      <c r="V472">
        <v>-6.0085920000000001E-2</v>
      </c>
      <c r="W472">
        <v>7.3282709999999999E-3</v>
      </c>
      <c r="X472">
        <v>0.99816629999999995</v>
      </c>
      <c r="Y472">
        <v>0.17578360000000001</v>
      </c>
      <c r="Z472">
        <v>-4.2368759999999997E-3</v>
      </c>
      <c r="AA472">
        <v>0.98441970000000001</v>
      </c>
      <c r="AB472">
        <v>41</v>
      </c>
      <c r="AC472">
        <v>23.526700000000002</v>
      </c>
      <c r="AD472">
        <v>-1.1101739649759901</v>
      </c>
      <c r="AE472">
        <v>-4.1612</v>
      </c>
      <c r="AF472">
        <v>4.2341679177674596</v>
      </c>
      <c r="AG472">
        <v>-1.1101739649759901</v>
      </c>
      <c r="AH472">
        <v>23.461372686624799</v>
      </c>
      <c r="AI472">
        <v>92.666162977852807</v>
      </c>
      <c r="AJ472">
        <v>79.769722225779901</v>
      </c>
      <c r="AK472">
        <v>23.866224513505799</v>
      </c>
      <c r="AL472">
        <v>89.580117238912706</v>
      </c>
      <c r="AM472">
        <v>93.444837159597597</v>
      </c>
      <c r="AN472">
        <v>0.99999999189689204</v>
      </c>
    </row>
    <row r="473" spans="1:40" x14ac:dyDescent="0.3">
      <c r="A473" t="str">
        <f>"20200111160414131"</f>
        <v>20200111160414131</v>
      </c>
      <c r="B473" t="str">
        <f>"1578729854121640"</f>
        <v>1578729854121640</v>
      </c>
      <c r="C473" t="s">
        <v>40</v>
      </c>
      <c r="D473">
        <v>4.948823</v>
      </c>
      <c r="E473">
        <v>0.59078609999999998</v>
      </c>
      <c r="F473" t="s">
        <v>41</v>
      </c>
      <c r="G473">
        <v>-329.23</v>
      </c>
      <c r="H473" s="1">
        <v>-1.8975039999999999E-6</v>
      </c>
      <c r="I473">
        <v>363.41730000000001</v>
      </c>
      <c r="J473">
        <v>-352.39</v>
      </c>
      <c r="K473">
        <v>1.1101780000000001</v>
      </c>
      <c r="L473">
        <v>367.47669999999999</v>
      </c>
      <c r="M473">
        <v>0.99988060000000001</v>
      </c>
      <c r="N473">
        <v>0</v>
      </c>
      <c r="O473">
        <v>3.4963749999999999E-3</v>
      </c>
      <c r="P473">
        <v>0.99793980000000004</v>
      </c>
      <c r="Q473">
        <v>-7.7315140000000001E-3</v>
      </c>
      <c r="R473">
        <v>6.3691699999999907E-2</v>
      </c>
      <c r="S473">
        <v>3.0386350000000002</v>
      </c>
      <c r="T473">
        <v>-0.14410889999999901</v>
      </c>
      <c r="U473">
        <v>-0.52682499999999999</v>
      </c>
      <c r="V473">
        <v>-6.0201589999999999E-2</v>
      </c>
      <c r="W473">
        <v>7.3025219999999997E-3</v>
      </c>
      <c r="X473">
        <v>0.99815949999999998</v>
      </c>
      <c r="Y473">
        <v>0.1740776</v>
      </c>
      <c r="Z473">
        <v>-4.259578E-3</v>
      </c>
      <c r="AA473">
        <v>0.98472269999999895</v>
      </c>
      <c r="AB473">
        <v>41</v>
      </c>
      <c r="AC473">
        <v>23.159999999999901</v>
      </c>
      <c r="AD473">
        <v>-1.110179897504</v>
      </c>
      <c r="AE473">
        <v>-4.0593999999999797</v>
      </c>
      <c r="AF473">
        <v>4.13115083475651</v>
      </c>
      <c r="AG473">
        <v>-1.110179897504</v>
      </c>
      <c r="AH473">
        <v>23.094179801928</v>
      </c>
      <c r="AI473">
        <v>92.709255419140504</v>
      </c>
      <c r="AJ473">
        <v>79.858042025626801</v>
      </c>
      <c r="AK473">
        <v>23.487018698594099</v>
      </c>
      <c r="AL473">
        <v>89.581592579460406</v>
      </c>
      <c r="AM473">
        <v>93.4514761754359</v>
      </c>
      <c r="AN473">
        <v>0.999999972853168</v>
      </c>
    </row>
    <row r="474" spans="1:40" x14ac:dyDescent="0.3">
      <c r="A474" t="str">
        <f>"20200111160414145"</f>
        <v>20200111160414145</v>
      </c>
      <c r="B474" t="str">
        <f>"1578729854141160"</f>
        <v>1578729854141160</v>
      </c>
      <c r="C474" t="s">
        <v>40</v>
      </c>
      <c r="D474">
        <v>4.9607169999999998</v>
      </c>
      <c r="E474">
        <v>0.59066830000000003</v>
      </c>
      <c r="F474" t="s">
        <v>41</v>
      </c>
      <c r="G474">
        <v>-329.56369999999998</v>
      </c>
      <c r="H474" s="1">
        <v>-1.753485E-6</v>
      </c>
      <c r="I474">
        <v>363.53190000000001</v>
      </c>
      <c r="J474">
        <v>-352.1592</v>
      </c>
      <c r="K474">
        <v>1.1101840000000001</v>
      </c>
      <c r="L474">
        <v>367.4776</v>
      </c>
      <c r="M474">
        <v>0.9998804</v>
      </c>
      <c r="N474">
        <v>0</v>
      </c>
      <c r="O474">
        <v>3.5015250000000001E-3</v>
      </c>
      <c r="P474">
        <v>0.99794439999999995</v>
      </c>
      <c r="Q474">
        <v>-7.6137189999999997E-3</v>
      </c>
      <c r="R474">
        <v>6.3637379999999993E-2</v>
      </c>
      <c r="S474">
        <v>3.0385740000000001</v>
      </c>
      <c r="T474">
        <v>-0.1477832</v>
      </c>
      <c r="U474">
        <v>-0.52511600000000003</v>
      </c>
      <c r="V474">
        <v>-6.0142519999999998E-2</v>
      </c>
      <c r="W474">
        <v>7.4326949999999996E-3</v>
      </c>
      <c r="X474">
        <v>0.9981622</v>
      </c>
      <c r="Y474">
        <v>0.1735389</v>
      </c>
      <c r="Z474">
        <v>-4.3556050000000002E-3</v>
      </c>
      <c r="AA474">
        <v>0.98481739999999995</v>
      </c>
      <c r="AB474">
        <v>41</v>
      </c>
      <c r="AC474">
        <v>22.595500000000001</v>
      </c>
      <c r="AD474">
        <v>-1.1101857534849999</v>
      </c>
      <c r="AE474">
        <v>-3.94569999999998</v>
      </c>
      <c r="AF474">
        <v>4.0153969353385603</v>
      </c>
      <c r="AG474">
        <v>-1.1101857534849999</v>
      </c>
      <c r="AH474">
        <v>22.528767528047599</v>
      </c>
      <c r="AI474">
        <v>92.777471224935297</v>
      </c>
      <c r="AJ474">
        <v>79.894053930183901</v>
      </c>
      <c r="AK474">
        <v>22.9107243728429</v>
      </c>
      <c r="AL474">
        <v>89.574134055786104</v>
      </c>
      <c r="AM474">
        <v>93.448088445985803</v>
      </c>
      <c r="AN474">
        <v>1.0000000725878699</v>
      </c>
    </row>
    <row r="475" spans="1:40" x14ac:dyDescent="0.3">
      <c r="A475" t="str">
        <f>"20200111160414155"</f>
        <v>20200111160414155</v>
      </c>
      <c r="B475" t="str">
        <f>"1578729854150920"</f>
        <v>1578729854150920</v>
      </c>
      <c r="C475" t="s">
        <v>40</v>
      </c>
      <c r="D475">
        <v>4.9524999999999997</v>
      </c>
      <c r="E475">
        <v>0.59067860000000005</v>
      </c>
      <c r="F475" t="s">
        <v>41</v>
      </c>
      <c r="G475">
        <v>-330.30829999999997</v>
      </c>
      <c r="H475" s="1">
        <v>-5.1876220000000003E-6</v>
      </c>
      <c r="I475">
        <v>363.71050000000002</v>
      </c>
      <c r="J475">
        <v>-351.93360000000001</v>
      </c>
      <c r="K475">
        <v>1.1101890000000001</v>
      </c>
      <c r="L475">
        <v>367.47840000000002</v>
      </c>
      <c r="M475">
        <v>0.99988030000000006</v>
      </c>
      <c r="N475">
        <v>0</v>
      </c>
      <c r="O475">
        <v>3.5064520000000002E-3</v>
      </c>
      <c r="P475">
        <v>0.99794159999999998</v>
      </c>
      <c r="Q475">
        <v>-7.2797969999999898E-3</v>
      </c>
      <c r="R475">
        <v>6.3717200000000002E-2</v>
      </c>
      <c r="S475">
        <v>3.0383610000000001</v>
      </c>
      <c r="T475">
        <v>-0.15437129999999999</v>
      </c>
      <c r="U475">
        <v>-0.52380369999999998</v>
      </c>
      <c r="V475">
        <v>-6.0217079999999999E-2</v>
      </c>
      <c r="W475">
        <v>7.7769609999999998E-3</v>
      </c>
      <c r="X475">
        <v>0.99815500000000001</v>
      </c>
      <c r="Y475">
        <v>0.17312420000000001</v>
      </c>
      <c r="Z475">
        <v>-4.539815E-3</v>
      </c>
      <c r="AA475">
        <v>0.98488949999999997</v>
      </c>
      <c r="AB475">
        <v>41</v>
      </c>
      <c r="AC475">
        <v>21.625299999999999</v>
      </c>
      <c r="AD475">
        <v>-1.1101941876219901</v>
      </c>
      <c r="AE475">
        <v>-3.7678999999999898</v>
      </c>
      <c r="AF475">
        <v>3.8339067267141398</v>
      </c>
      <c r="AG475">
        <v>-1.1101941876219901</v>
      </c>
      <c r="AH475">
        <v>21.556813155073101</v>
      </c>
      <c r="AI475">
        <v>92.902705914330298</v>
      </c>
      <c r="AJ475">
        <v>79.915319939946997</v>
      </c>
      <c r="AK475">
        <v>21.9232197755281</v>
      </c>
      <c r="AL475">
        <v>89.554408461500003</v>
      </c>
      <c r="AM475">
        <v>93.452377626760807</v>
      </c>
      <c r="AN475">
        <v>0.99999999093556002</v>
      </c>
    </row>
    <row r="476" spans="1:40" x14ac:dyDescent="0.3">
      <c r="A476" t="str">
        <f>"20200111160414172"</f>
        <v>20200111160414172</v>
      </c>
      <c r="B476" t="str">
        <f>"1578729854161656"</f>
        <v>1578729854161656</v>
      </c>
      <c r="C476" t="s">
        <v>40</v>
      </c>
      <c r="D476">
        <v>4.9761360000000003</v>
      </c>
      <c r="E476">
        <v>0.59066319999999894</v>
      </c>
      <c r="F476" t="s">
        <v>41</v>
      </c>
      <c r="G476">
        <v>-330.26080000000002</v>
      </c>
      <c r="H476" s="1">
        <v>-5.2020689999999999E-6</v>
      </c>
      <c r="I476">
        <v>363.7439</v>
      </c>
      <c r="J476">
        <v>-351.63830000000002</v>
      </c>
      <c r="K476">
        <v>1.110193</v>
      </c>
      <c r="L476">
        <v>367.4794</v>
      </c>
      <c r="M476">
        <v>0.99987999999999999</v>
      </c>
      <c r="N476">
        <v>0</v>
      </c>
      <c r="O476">
        <v>3.5129129999999999E-3</v>
      </c>
      <c r="P476">
        <v>0.99797000000000002</v>
      </c>
      <c r="Q476">
        <v>-6.6132959999999899E-3</v>
      </c>
      <c r="R476">
        <v>6.3343559999999993E-2</v>
      </c>
      <c r="S476">
        <v>3.038513</v>
      </c>
      <c r="T476">
        <v>-0.15564829999999999</v>
      </c>
      <c r="U476">
        <v>-0.52355959999999901</v>
      </c>
      <c r="V476">
        <v>-5.9836920000000002E-2</v>
      </c>
      <c r="W476">
        <v>8.4564299999999992E-3</v>
      </c>
      <c r="X476">
        <v>0.99817230000000001</v>
      </c>
      <c r="Y476">
        <v>0.1730419</v>
      </c>
      <c r="Z476">
        <v>-4.5753620000000004E-3</v>
      </c>
      <c r="AA476">
        <v>0.98490390000000005</v>
      </c>
      <c r="AB476">
        <v>41</v>
      </c>
      <c r="AC476">
        <v>21.377500000000001</v>
      </c>
      <c r="AD476">
        <v>-1.110198202069</v>
      </c>
      <c r="AE476">
        <v>-3.7355</v>
      </c>
      <c r="AF476">
        <v>3.8006360432676698</v>
      </c>
      <c r="AG476">
        <v>-1.110198202069</v>
      </c>
      <c r="AH476">
        <v>21.308477082044799</v>
      </c>
      <c r="AI476">
        <v>92.936227990433494</v>
      </c>
      <c r="AJ476">
        <v>79.886922269743593</v>
      </c>
      <c r="AK476">
        <v>21.673222417012401</v>
      </c>
      <c r="AL476">
        <v>89.515476454203394</v>
      </c>
      <c r="AM476">
        <v>93.430575121412105</v>
      </c>
      <c r="AN476">
        <v>0.99999995434535904</v>
      </c>
    </row>
    <row r="477" spans="1:40" x14ac:dyDescent="0.3">
      <c r="A477" t="str">
        <f>"20200111160414183"</f>
        <v>20200111160414183</v>
      </c>
      <c r="B477" t="str">
        <f>"1578729854171415"</f>
        <v>1578729854171415</v>
      </c>
      <c r="C477" t="s">
        <v>40</v>
      </c>
      <c r="D477">
        <v>4.9859660000000003</v>
      </c>
      <c r="E477">
        <v>0.59069899999999997</v>
      </c>
      <c r="F477" t="s">
        <v>41</v>
      </c>
      <c r="G477">
        <v>-329.92779999999999</v>
      </c>
      <c r="H477" s="1">
        <v>-1.5765709999999999E-6</v>
      </c>
      <c r="I477">
        <v>363.73110000000003</v>
      </c>
      <c r="J477">
        <v>-351.43340000000001</v>
      </c>
      <c r="K477">
        <v>1.1102000000000001</v>
      </c>
      <c r="L477">
        <v>367.48009999999999</v>
      </c>
      <c r="M477">
        <v>0.99987969999999904</v>
      </c>
      <c r="N477">
        <v>0</v>
      </c>
      <c r="O477">
        <v>3.517442E-3</v>
      </c>
      <c r="P477">
        <v>0.99797829999999998</v>
      </c>
      <c r="Q477">
        <v>-6.2719339999999998E-3</v>
      </c>
      <c r="R477">
        <v>6.3246440000000001E-2</v>
      </c>
      <c r="S477">
        <v>3.0383610000000001</v>
      </c>
      <c r="T477">
        <v>-0.1553696</v>
      </c>
      <c r="U477">
        <v>-0.52456669999999905</v>
      </c>
      <c r="V477">
        <v>-5.9735370000000003E-2</v>
      </c>
      <c r="W477">
        <v>8.8064179999999999E-3</v>
      </c>
      <c r="X477">
        <v>0.99817540000000005</v>
      </c>
      <c r="Y477">
        <v>0.173372</v>
      </c>
      <c r="Z477">
        <v>-4.5758830000000002E-3</v>
      </c>
      <c r="AA477">
        <v>0.98484579999999999</v>
      </c>
      <c r="AB477">
        <v>41</v>
      </c>
      <c r="AC477">
        <v>21.505600000000001</v>
      </c>
      <c r="AD477">
        <v>-1.110201576571</v>
      </c>
      <c r="AE477">
        <v>-3.7489999999999601</v>
      </c>
      <c r="AF477">
        <v>3.8147635565751399</v>
      </c>
      <c r="AG477">
        <v>-1.110201576571</v>
      </c>
      <c r="AH477">
        <v>21.4368338862682</v>
      </c>
      <c r="AI477">
        <v>92.918891913276099</v>
      </c>
      <c r="AJ477">
        <v>79.909632419459399</v>
      </c>
      <c r="AK477">
        <v>21.801899357639702</v>
      </c>
      <c r="AL477">
        <v>89.495422893057594</v>
      </c>
      <c r="AM477">
        <v>93.424756307244095</v>
      </c>
      <c r="AN477">
        <v>0.99999999829609298</v>
      </c>
    </row>
    <row r="478" spans="1:40" x14ac:dyDescent="0.3">
      <c r="A478" t="str">
        <f>"20200111160414194"</f>
        <v>20200111160414194</v>
      </c>
      <c r="B478" t="str">
        <f>"1578729854190935"</f>
        <v>1578729854190935</v>
      </c>
      <c r="C478" t="s">
        <v>40</v>
      </c>
      <c r="D478">
        <v>5.1005560000000001</v>
      </c>
      <c r="E478">
        <v>0.58988240000000003</v>
      </c>
      <c r="F478" t="s">
        <v>41</v>
      </c>
      <c r="G478">
        <v>-329.92939999999999</v>
      </c>
      <c r="H478" s="1">
        <v>-1.5666350000000001E-6</v>
      </c>
      <c r="I478">
        <v>363.7663</v>
      </c>
      <c r="J478">
        <v>-351.2217</v>
      </c>
      <c r="K478">
        <v>1.110204</v>
      </c>
      <c r="L478">
        <v>367.48090000000002</v>
      </c>
      <c r="M478">
        <v>0.99987969999999904</v>
      </c>
      <c r="N478">
        <v>0</v>
      </c>
      <c r="O478">
        <v>3.5217400000000002E-3</v>
      </c>
      <c r="P478">
        <v>0.99798739999999997</v>
      </c>
      <c r="Q478">
        <v>-6.0239289999999999E-3</v>
      </c>
      <c r="R478">
        <v>6.3127610000000001E-2</v>
      </c>
      <c r="S478">
        <v>3.0383300000000002</v>
      </c>
      <c r="T478">
        <v>-0.15686140000000001</v>
      </c>
      <c r="U478">
        <v>-0.52471919999999905</v>
      </c>
      <c r="V478">
        <v>-5.9612430000000001E-2</v>
      </c>
      <c r="W478">
        <v>9.0615139999999997E-3</v>
      </c>
      <c r="X478">
        <v>0.99818039999999997</v>
      </c>
      <c r="Y478">
        <v>0.17342149999999901</v>
      </c>
      <c r="Z478">
        <v>-4.6212759999999997E-3</v>
      </c>
      <c r="AA478">
        <v>0.98483690000000002</v>
      </c>
      <c r="AB478">
        <v>41</v>
      </c>
      <c r="AC478">
        <v>21.292300000000001</v>
      </c>
      <c r="AD478">
        <v>-1.1102055666349999</v>
      </c>
      <c r="AE478">
        <v>-3.7146000000000101</v>
      </c>
      <c r="AF478">
        <v>3.77959936005468</v>
      </c>
      <c r="AG478">
        <v>-1.1102055666349999</v>
      </c>
      <c r="AH478">
        <v>21.223089550196601</v>
      </c>
      <c r="AI478">
        <v>92.948179222600999</v>
      </c>
      <c r="AJ478">
        <v>79.902116045839804</v>
      </c>
      <c r="AK478">
        <v>21.585584490079899</v>
      </c>
      <c r="AL478">
        <v>89.480806351021201</v>
      </c>
      <c r="AM478">
        <v>93.417707540339293</v>
      </c>
      <c r="AN478">
        <v>0.999999931895316</v>
      </c>
    </row>
    <row r="479" spans="1:40" x14ac:dyDescent="0.3">
      <c r="A479" t="str">
        <f>"20200111160414206"</f>
        <v>20200111160414206</v>
      </c>
      <c r="B479" t="str">
        <f>"1578729854201673"</f>
        <v>1578729854201673</v>
      </c>
      <c r="C479" t="s">
        <v>40</v>
      </c>
      <c r="D479">
        <v>4.9569519999999896</v>
      </c>
      <c r="E479">
        <v>0.5899451</v>
      </c>
      <c r="F479" t="s">
        <v>41</v>
      </c>
      <c r="G479">
        <v>-330.6644</v>
      </c>
      <c r="H479" s="1">
        <v>-4.9880710000000004E-6</v>
      </c>
      <c r="I479">
        <v>363.9742</v>
      </c>
      <c r="J479">
        <v>-351.00240000000002</v>
      </c>
      <c r="K479">
        <v>1.110214</v>
      </c>
      <c r="L479">
        <v>367.48169999999999</v>
      </c>
      <c r="M479">
        <v>0.99987959999999998</v>
      </c>
      <c r="N479">
        <v>0</v>
      </c>
      <c r="O479">
        <v>3.5263949999999999E-3</v>
      </c>
      <c r="P479">
        <v>0.99798920000000002</v>
      </c>
      <c r="Q479">
        <v>-5.9374069999999996E-3</v>
      </c>
      <c r="R479">
        <v>6.3107720000000006E-2</v>
      </c>
      <c r="S479">
        <v>3.0378419999999999</v>
      </c>
      <c r="T479">
        <v>-0.1640596</v>
      </c>
      <c r="U479">
        <v>-0.51818850000000005</v>
      </c>
      <c r="V479">
        <v>-5.9587630000000003E-2</v>
      </c>
      <c r="W479">
        <v>9.1554489999999995E-3</v>
      </c>
      <c r="X479">
        <v>0.99818110000000004</v>
      </c>
      <c r="Y479">
        <v>0.1713769</v>
      </c>
      <c r="Z479">
        <v>-4.7801579999999996E-3</v>
      </c>
      <c r="AA479">
        <v>0.98519389999999996</v>
      </c>
      <c r="AB479">
        <v>41</v>
      </c>
      <c r="AC479">
        <v>20.338000000000001</v>
      </c>
      <c r="AD479">
        <v>-1.1102189880710001</v>
      </c>
      <c r="AE479">
        <v>-3.5074999999999901</v>
      </c>
      <c r="AF479">
        <v>3.5688784909979399</v>
      </c>
      <c r="AG479">
        <v>-1.1102189880710001</v>
      </c>
      <c r="AH479">
        <v>20.266854558311898</v>
      </c>
      <c r="AI479">
        <v>93.088110532094603</v>
      </c>
      <c r="AJ479">
        <v>80.012927604635607</v>
      </c>
      <c r="AK479">
        <v>20.608611636225</v>
      </c>
      <c r="AL479">
        <v>89.4754240883302</v>
      </c>
      <c r="AM479">
        <v>93.416286681693705</v>
      </c>
      <c r="AN479">
        <v>1.0000000081463001</v>
      </c>
    </row>
    <row r="480" spans="1:40" x14ac:dyDescent="0.3">
      <c r="A480" t="str">
        <f>"20200111160414218"</f>
        <v>20200111160414218</v>
      </c>
      <c r="B480" t="str">
        <f>"1578729854211431"</f>
        <v>1578729854211431</v>
      </c>
      <c r="C480" t="s">
        <v>40</v>
      </c>
      <c r="D480">
        <v>5.1375500000000001</v>
      </c>
      <c r="E480">
        <v>0.58963460000000001</v>
      </c>
      <c r="F480" t="s">
        <v>41</v>
      </c>
      <c r="G480">
        <v>-330.62360000000001</v>
      </c>
      <c r="H480" s="1">
        <v>-5.0002820000000001E-6</v>
      </c>
      <c r="I480">
        <v>364.00420000000003</v>
      </c>
      <c r="J480">
        <v>-350.78789999999998</v>
      </c>
      <c r="K480">
        <v>1.1102160000000001</v>
      </c>
      <c r="L480">
        <v>367.48250000000002</v>
      </c>
      <c r="M480">
        <v>0.99987959999999998</v>
      </c>
      <c r="N480">
        <v>0</v>
      </c>
      <c r="O480">
        <v>3.5308800000000001E-3</v>
      </c>
      <c r="P480">
        <v>0.99798509999999996</v>
      </c>
      <c r="Q480">
        <v>-5.6454319999999997E-3</v>
      </c>
      <c r="R480">
        <v>6.3199710000000006E-2</v>
      </c>
      <c r="S480">
        <v>3.0378720000000001</v>
      </c>
      <c r="T480">
        <v>-0.1654996</v>
      </c>
      <c r="U480">
        <v>-0.51837159999999904</v>
      </c>
      <c r="V480">
        <v>-5.9674579999999998E-2</v>
      </c>
      <c r="W480">
        <v>9.4529809999999992E-3</v>
      </c>
      <c r="X480">
        <v>0.99817310000000004</v>
      </c>
      <c r="Y480">
        <v>0.1714329</v>
      </c>
      <c r="Z480">
        <v>-4.8237380000000002E-3</v>
      </c>
      <c r="AA480">
        <v>0.98518399999999995</v>
      </c>
      <c r="AB480">
        <v>41</v>
      </c>
      <c r="AC480">
        <v>20.164299999999901</v>
      </c>
      <c r="AD480">
        <v>-1.1102210002820001</v>
      </c>
      <c r="AE480">
        <v>-3.4782999999999902</v>
      </c>
      <c r="AF480">
        <v>3.53906562104084</v>
      </c>
      <c r="AG480">
        <v>-1.1102210002820001</v>
      </c>
      <c r="AH480">
        <v>20.092741021443</v>
      </c>
      <c r="AI480">
        <v>93.114801304255096</v>
      </c>
      <c r="AJ480">
        <v>80.010583496434194</v>
      </c>
      <c r="AK480">
        <v>20.432224986385499</v>
      </c>
      <c r="AL480">
        <v>89.458376005172397</v>
      </c>
      <c r="AM480">
        <v>93.421287234246705</v>
      </c>
      <c r="AN480">
        <v>0.99999997595578605</v>
      </c>
    </row>
    <row r="481" spans="1:40" x14ac:dyDescent="0.3">
      <c r="A481" t="str">
        <f>"20200111160414229"</f>
        <v>20200111160414229</v>
      </c>
      <c r="B481" t="str">
        <f>"1578729854221191"</f>
        <v>1578729854221191</v>
      </c>
      <c r="C481" t="s">
        <v>40</v>
      </c>
      <c r="D481">
        <v>5.1317320000000004</v>
      </c>
      <c r="E481">
        <v>0.58938140000000006</v>
      </c>
      <c r="F481" t="s">
        <v>41</v>
      </c>
      <c r="G481">
        <v>-330.80799999999999</v>
      </c>
      <c r="H481" s="1">
        <v>-4.905437E-6</v>
      </c>
      <c r="I481">
        <v>364.09300000000002</v>
      </c>
      <c r="J481">
        <v>-350.59120000000001</v>
      </c>
      <c r="K481">
        <v>1.110223</v>
      </c>
      <c r="L481">
        <v>367.48320000000001</v>
      </c>
      <c r="M481">
        <v>0.99987939999999997</v>
      </c>
      <c r="N481">
        <v>0</v>
      </c>
      <c r="O481">
        <v>3.5350730000000001E-3</v>
      </c>
      <c r="P481">
        <v>0.9979787</v>
      </c>
      <c r="Q481">
        <v>-5.1386670000000004E-3</v>
      </c>
      <c r="R481">
        <v>6.334447E-2</v>
      </c>
      <c r="S481">
        <v>3.0377200000000002</v>
      </c>
      <c r="T481">
        <v>-0.16879530000000001</v>
      </c>
      <c r="U481">
        <v>-0.51531979999999999</v>
      </c>
      <c r="V481">
        <v>-5.9816109999999999E-2</v>
      </c>
      <c r="W481">
        <v>9.9650810000000006E-3</v>
      </c>
      <c r="X481">
        <v>0.99815960000000004</v>
      </c>
      <c r="Y481">
        <v>0.1704746</v>
      </c>
      <c r="Z481">
        <v>-4.8941189999999997E-3</v>
      </c>
      <c r="AA481">
        <v>0.9853499</v>
      </c>
      <c r="AB481">
        <v>41</v>
      </c>
      <c r="AC481">
        <v>19.783199999999901</v>
      </c>
      <c r="AD481">
        <v>-1.1102279054369999</v>
      </c>
      <c r="AE481">
        <v>-3.3901999999999899</v>
      </c>
      <c r="AF481">
        <v>3.4495676573584402</v>
      </c>
      <c r="AG481">
        <v>-1.1102279054369999</v>
      </c>
      <c r="AH481">
        <v>19.710783774994901</v>
      </c>
      <c r="AI481">
        <v>93.175666048946198</v>
      </c>
      <c r="AJ481">
        <v>80.073245412523406</v>
      </c>
      <c r="AK481">
        <v>20.0411356975922</v>
      </c>
      <c r="AL481">
        <v>89.429033425315396</v>
      </c>
      <c r="AM481">
        <v>93.429428418099903</v>
      </c>
      <c r="AN481">
        <v>0.99999992846351105</v>
      </c>
    </row>
    <row r="482" spans="1:40" x14ac:dyDescent="0.3">
      <c r="A482" t="str">
        <f>"20200111160414239"</f>
        <v>20200111160414239</v>
      </c>
      <c r="B482" t="str">
        <f>"1578729854230952"</f>
        <v>1578729854230952</v>
      </c>
      <c r="C482" t="s">
        <v>40</v>
      </c>
      <c r="D482">
        <v>5.1295849999999996</v>
      </c>
      <c r="E482">
        <v>0.58916930000000001</v>
      </c>
      <c r="F482" t="s">
        <v>41</v>
      </c>
      <c r="G482">
        <v>-330.83010000000002</v>
      </c>
      <c r="H482" s="1">
        <v>-4.8863280000000001E-6</v>
      </c>
      <c r="I482">
        <v>364.14710000000002</v>
      </c>
      <c r="J482">
        <v>-350.38850000000002</v>
      </c>
      <c r="K482">
        <v>1.1102270000000001</v>
      </c>
      <c r="L482">
        <v>367.48390000000001</v>
      </c>
      <c r="M482">
        <v>0.99987919999999997</v>
      </c>
      <c r="N482">
        <v>0</v>
      </c>
      <c r="O482">
        <v>3.5395689999999998E-3</v>
      </c>
      <c r="P482">
        <v>0.99797499999999995</v>
      </c>
      <c r="Q482">
        <v>-5.0202500000000004E-3</v>
      </c>
      <c r="R482">
        <v>6.3409099999999996E-2</v>
      </c>
      <c r="S482">
        <v>3.0377809999999998</v>
      </c>
      <c r="T482">
        <v>-0.17066970000000001</v>
      </c>
      <c r="U482">
        <v>-0.51281739999999998</v>
      </c>
      <c r="V482">
        <v>-5.987601E-2</v>
      </c>
      <c r="W482">
        <v>1.0088099999999999E-2</v>
      </c>
      <c r="X482">
        <v>0.99815480000000001</v>
      </c>
      <c r="Y482">
        <v>0.1696819</v>
      </c>
      <c r="Z482">
        <v>-4.9267790000000001E-3</v>
      </c>
      <c r="AA482">
        <v>0.98548659999999999</v>
      </c>
      <c r="AB482">
        <v>41</v>
      </c>
      <c r="AC482">
        <v>19.558399999999999</v>
      </c>
      <c r="AD482">
        <v>-1.1102318863280001</v>
      </c>
      <c r="AE482">
        <v>-3.3367999999999798</v>
      </c>
      <c r="AF482">
        <v>3.3953839593569901</v>
      </c>
      <c r="AG482">
        <v>-1.1102318863280001</v>
      </c>
      <c r="AH482">
        <v>19.4854538861008</v>
      </c>
      <c r="AI482">
        <v>93.212735698743202</v>
      </c>
      <c r="AJ482">
        <v>80.115330242613496</v>
      </c>
      <c r="AK482">
        <v>19.810203437123999</v>
      </c>
      <c r="AL482">
        <v>89.421984616636294</v>
      </c>
      <c r="AM482">
        <v>93.432870916116798</v>
      </c>
      <c r="AN482">
        <v>0.99999995554908405</v>
      </c>
    </row>
    <row r="483" spans="1:40" x14ac:dyDescent="0.3">
      <c r="A483" t="str">
        <f>"20200111160414250"</f>
        <v>20200111160414250</v>
      </c>
      <c r="B483" t="str">
        <f>"1578729854241689"</f>
        <v>1578729854241689</v>
      </c>
      <c r="C483" t="s">
        <v>40</v>
      </c>
      <c r="D483">
        <v>5.225873</v>
      </c>
      <c r="E483">
        <v>0.58908719999999903</v>
      </c>
      <c r="F483" t="s">
        <v>41</v>
      </c>
      <c r="G483">
        <v>-330.96249999999998</v>
      </c>
      <c r="H483" s="1">
        <v>-4.8168859999999996E-6</v>
      </c>
      <c r="I483">
        <v>364.21839999999997</v>
      </c>
      <c r="J483">
        <v>-350.19110000000001</v>
      </c>
      <c r="K483">
        <v>1.1102320000000001</v>
      </c>
      <c r="L483">
        <v>367.4846</v>
      </c>
      <c r="M483">
        <v>0.99987930000000003</v>
      </c>
      <c r="N483">
        <v>0</v>
      </c>
      <c r="O483">
        <v>3.5437709999999998E-3</v>
      </c>
      <c r="P483">
        <v>0.99796890000000005</v>
      </c>
      <c r="Q483">
        <v>-4.8044170000000001E-3</v>
      </c>
      <c r="R483">
        <v>6.3523120000000002E-2</v>
      </c>
      <c r="S483">
        <v>3.0376590000000001</v>
      </c>
      <c r="T483">
        <v>-0.17360719999999999</v>
      </c>
      <c r="U483">
        <v>-0.51062010000000002</v>
      </c>
      <c r="V483">
        <v>-5.9985810000000001E-2</v>
      </c>
      <c r="W483">
        <v>1.0307429999999999E-2</v>
      </c>
      <c r="X483">
        <v>0.99814599999999998</v>
      </c>
      <c r="Y483">
        <v>0.16899110000000001</v>
      </c>
      <c r="Z483">
        <v>-4.9925909999999898E-3</v>
      </c>
      <c r="AA483">
        <v>0.98560490000000001</v>
      </c>
      <c r="AB483">
        <v>41</v>
      </c>
      <c r="AC483">
        <v>19.2286</v>
      </c>
      <c r="AD483">
        <v>-1.110236816886</v>
      </c>
      <c r="AE483">
        <v>-3.26620000000002</v>
      </c>
      <c r="AF483">
        <v>3.32355977293403</v>
      </c>
      <c r="AG483">
        <v>-1.110236816886</v>
      </c>
      <c r="AH483">
        <v>19.154836200242599</v>
      </c>
      <c r="AI483">
        <v>93.268492118643593</v>
      </c>
      <c r="AJ483">
        <v>80.156597287891699</v>
      </c>
      <c r="AK483">
        <v>19.472709755243599</v>
      </c>
      <c r="AL483">
        <v>89.409417298954594</v>
      </c>
      <c r="AM483">
        <v>93.439181230744794</v>
      </c>
      <c r="AN483">
        <v>0.99999998891527997</v>
      </c>
    </row>
    <row r="484" spans="1:40" x14ac:dyDescent="0.3">
      <c r="A484" t="str">
        <f>"20200111160414262"</f>
        <v>20200111160414262</v>
      </c>
      <c r="B484" t="str">
        <f>"1578729854251448"</f>
        <v>1578729854251448</v>
      </c>
      <c r="C484" t="s">
        <v>40</v>
      </c>
      <c r="D484">
        <v>5.1691449999999897</v>
      </c>
      <c r="E484">
        <v>0.58884179999999997</v>
      </c>
      <c r="F484" t="s">
        <v>41</v>
      </c>
      <c r="G484">
        <v>-330.73070000000001</v>
      </c>
      <c r="H484" s="1">
        <v>-4.9161290000000004E-6</v>
      </c>
      <c r="I484">
        <v>364.21960000000001</v>
      </c>
      <c r="J484">
        <v>-349.98050000000001</v>
      </c>
      <c r="K484">
        <v>1.110239</v>
      </c>
      <c r="L484">
        <v>367.4853</v>
      </c>
      <c r="M484">
        <v>0.99987910000000002</v>
      </c>
      <c r="N484">
        <v>0</v>
      </c>
      <c r="O484">
        <v>3.548271E-3</v>
      </c>
      <c r="P484">
        <v>0.99795089999999997</v>
      </c>
      <c r="Q484">
        <v>-4.658461E-3</v>
      </c>
      <c r="R484">
        <v>6.3817310000000002E-2</v>
      </c>
      <c r="S484">
        <v>3.0377809999999998</v>
      </c>
      <c r="T484">
        <v>-0.17330779999999901</v>
      </c>
      <c r="U484">
        <v>-0.50964359999999997</v>
      </c>
      <c r="V484">
        <v>-6.0275580000000002E-2</v>
      </c>
      <c r="W484">
        <v>1.045715E-2</v>
      </c>
      <c r="X484">
        <v>0.99812699999999999</v>
      </c>
      <c r="Y484">
        <v>0.16868239999999901</v>
      </c>
      <c r="Z484">
        <v>-4.9754430000000004E-3</v>
      </c>
      <c r="AA484">
        <v>0.98565789999999998</v>
      </c>
      <c r="AB484">
        <v>41</v>
      </c>
      <c r="AC484">
        <v>19.2498</v>
      </c>
      <c r="AD484">
        <v>-1.1102439161290001</v>
      </c>
      <c r="AE484">
        <v>-3.2656999999999798</v>
      </c>
      <c r="AF484">
        <v>3.32324533838867</v>
      </c>
      <c r="AG484">
        <v>-1.1102439161290001</v>
      </c>
      <c r="AH484">
        <v>19.176085612859399</v>
      </c>
      <c r="AI484">
        <v>93.265013349688402</v>
      </c>
      <c r="AJ484">
        <v>80.168204041152805</v>
      </c>
      <c r="AK484">
        <v>19.4935594636828</v>
      </c>
      <c r="AL484">
        <v>89.400838520705605</v>
      </c>
      <c r="AM484">
        <v>93.455820143303896</v>
      </c>
      <c r="AN484">
        <v>1.00000000282972</v>
      </c>
    </row>
    <row r="485" spans="1:40" x14ac:dyDescent="0.3">
      <c r="A485" t="str">
        <f>"20200111160414273"</f>
        <v>20200111160414273</v>
      </c>
      <c r="B485" t="str">
        <f>"1578729854270968"</f>
        <v>1578729854270968</v>
      </c>
      <c r="C485" t="s">
        <v>40</v>
      </c>
      <c r="D485">
        <v>5.2925570000000004</v>
      </c>
      <c r="E485">
        <v>0.58898189999999995</v>
      </c>
      <c r="F485" t="s">
        <v>41</v>
      </c>
      <c r="G485">
        <v>-330.87689999999998</v>
      </c>
      <c r="H485" s="1">
        <v>-4.8393239999999901E-6</v>
      </c>
      <c r="I485">
        <v>364.29899999999998</v>
      </c>
      <c r="J485">
        <v>-349.76749999999998</v>
      </c>
      <c r="K485">
        <v>1.1102430000000001</v>
      </c>
      <c r="L485">
        <v>367.48610000000002</v>
      </c>
      <c r="M485">
        <v>0.99987899999999996</v>
      </c>
      <c r="N485">
        <v>0</v>
      </c>
      <c r="O485">
        <v>3.552777E-3</v>
      </c>
      <c r="P485">
        <v>0.99795449999999997</v>
      </c>
      <c r="Q485">
        <v>-4.5478599999999999E-3</v>
      </c>
      <c r="R485">
        <v>6.3767279999999996E-2</v>
      </c>
      <c r="S485">
        <v>3.0377200000000002</v>
      </c>
      <c r="T485">
        <v>-0.17654210000000001</v>
      </c>
      <c r="U485">
        <v>-0.50665280000000001</v>
      </c>
      <c r="V485">
        <v>-6.0221249999999997E-2</v>
      </c>
      <c r="W485">
        <v>1.0570629999999999E-2</v>
      </c>
      <c r="X485">
        <v>0.99812909999999999</v>
      </c>
      <c r="Y485">
        <v>0.1677372</v>
      </c>
      <c r="Z485">
        <v>-5.0416580000000001E-3</v>
      </c>
      <c r="AA485">
        <v>0.98581890000000005</v>
      </c>
      <c r="AB485">
        <v>41</v>
      </c>
      <c r="AC485">
        <v>18.890599999999999</v>
      </c>
      <c r="AD485">
        <v>-1.1102478393240001</v>
      </c>
      <c r="AE485">
        <v>-3.1870999999999801</v>
      </c>
      <c r="AF485">
        <v>3.2433086698296099</v>
      </c>
      <c r="AG485">
        <v>-1.1102478393240001</v>
      </c>
      <c r="AH485">
        <v>18.8159609823606</v>
      </c>
      <c r="AI485">
        <v>93.327895126075603</v>
      </c>
      <c r="AJ485">
        <v>80.220025347965802</v>
      </c>
      <c r="AK485">
        <v>19.125691858916699</v>
      </c>
      <c r="AL485">
        <v>89.394336245887601</v>
      </c>
      <c r="AM485">
        <v>93.452705497357101</v>
      </c>
      <c r="AN485">
        <v>1.0000000187184801</v>
      </c>
    </row>
    <row r="486" spans="1:40" x14ac:dyDescent="0.3">
      <c r="A486" t="str">
        <f>"20200111160414309"</f>
        <v>20200111160414309</v>
      </c>
      <c r="B486" t="str">
        <f>"1578729854301223"</f>
        <v>1578729854301223</v>
      </c>
      <c r="C486" t="s">
        <v>40</v>
      </c>
      <c r="D486">
        <v>5.0237280000000002</v>
      </c>
      <c r="E486">
        <v>0.58898189999999995</v>
      </c>
      <c r="F486" t="s">
        <v>41</v>
      </c>
      <c r="G486">
        <v>-330.73829999999998</v>
      </c>
      <c r="H486" s="1">
        <v>-4.89760999999999E-6</v>
      </c>
      <c r="I486">
        <v>364.30549999999999</v>
      </c>
      <c r="J486">
        <v>-349.11619999999999</v>
      </c>
      <c r="K486">
        <v>1.1102510000000001</v>
      </c>
      <c r="L486">
        <v>367.48840000000001</v>
      </c>
      <c r="M486">
        <v>0.99987890000000001</v>
      </c>
      <c r="N486">
        <v>0</v>
      </c>
      <c r="O486">
        <v>3.5663740000000002E-3</v>
      </c>
      <c r="P486">
        <v>0.99794879999999997</v>
      </c>
      <c r="Q486">
        <v>-4.3682230000000001E-3</v>
      </c>
      <c r="R486">
        <v>6.3869499999999996E-2</v>
      </c>
      <c r="S486">
        <v>3.0377809999999998</v>
      </c>
      <c r="T486">
        <v>-0.17723659999999999</v>
      </c>
      <c r="U486">
        <v>-0.50772090000000003</v>
      </c>
      <c r="V486">
        <v>-6.0309170000000002E-2</v>
      </c>
      <c r="W486">
        <v>1.0757539999999999E-2</v>
      </c>
      <c r="X486">
        <v>0.99812179999999995</v>
      </c>
      <c r="Y486">
        <v>0.1680818</v>
      </c>
      <c r="Z486">
        <v>-5.0719759999999997E-3</v>
      </c>
      <c r="AA486">
        <v>0.98575999999999997</v>
      </c>
      <c r="AB486">
        <v>41</v>
      </c>
      <c r="AC486">
        <v>18.3779</v>
      </c>
      <c r="AD486">
        <v>-1.1102558976100001</v>
      </c>
      <c r="AE486">
        <v>-3.1829000000000098</v>
      </c>
      <c r="AF486">
        <v>3.2369599232963999</v>
      </c>
      <c r="AG486">
        <v>-1.1102558976100001</v>
      </c>
      <c r="AH486">
        <v>18.301580718657998</v>
      </c>
      <c r="AI486">
        <v>93.418633572766794</v>
      </c>
      <c r="AJ486">
        <v>79.969951680129796</v>
      </c>
      <c r="AK486">
        <v>18.618765654703299</v>
      </c>
      <c r="AL486">
        <v>89.383626486279098</v>
      </c>
      <c r="AM486">
        <v>93.4577592803914</v>
      </c>
      <c r="AN486">
        <v>1.0000000241440801</v>
      </c>
    </row>
    <row r="487" spans="1:40" x14ac:dyDescent="0.3">
      <c r="A487" t="str">
        <f>"20200111160414320"</f>
        <v>20200111160414320</v>
      </c>
      <c r="B487" t="str">
        <f>"1578729854310984"</f>
        <v>1578729854310984</v>
      </c>
      <c r="C487" t="s">
        <v>40</v>
      </c>
      <c r="D487">
        <v>5.2162449999999998</v>
      </c>
      <c r="E487">
        <v>0.48096939999999999</v>
      </c>
      <c r="F487" t="s">
        <v>41</v>
      </c>
      <c r="G487">
        <v>-330.04730000000001</v>
      </c>
      <c r="H487" s="1">
        <v>-5.194468E-6</v>
      </c>
      <c r="I487">
        <v>364.3032</v>
      </c>
      <c r="J487">
        <v>-348.88819999999998</v>
      </c>
      <c r="K487">
        <v>1.110255</v>
      </c>
      <c r="L487">
        <v>367.48919999999998</v>
      </c>
      <c r="M487">
        <v>0.99987890000000001</v>
      </c>
      <c r="N487">
        <v>0</v>
      </c>
      <c r="O487">
        <v>3.5714259999999999E-3</v>
      </c>
      <c r="P487">
        <v>0.9979498</v>
      </c>
      <c r="Q487">
        <v>-4.5988629999999999E-3</v>
      </c>
      <c r="R487">
        <v>6.3837859999999996E-2</v>
      </c>
      <c r="S487">
        <v>3.0378720000000001</v>
      </c>
      <c r="T487">
        <v>-0.17687420000000001</v>
      </c>
      <c r="U487">
        <v>-0.50741579999999997</v>
      </c>
      <c r="V487">
        <v>-6.0272680000000002E-2</v>
      </c>
      <c r="W487">
        <v>1.05282E-2</v>
      </c>
      <c r="X487">
        <v>0.99812639999999997</v>
      </c>
      <c r="Y487">
        <v>0.16798689999999999</v>
      </c>
      <c r="Z487">
        <v>-5.0590660000000001E-3</v>
      </c>
      <c r="AA487">
        <v>0.98577619999999999</v>
      </c>
      <c r="AB487">
        <v>41</v>
      </c>
      <c r="AC487">
        <v>18.840899999999898</v>
      </c>
      <c r="AD487">
        <v>-1.110260194468</v>
      </c>
      <c r="AE487">
        <v>-3.1859999999999702</v>
      </c>
      <c r="AF487">
        <v>3.24233018397261</v>
      </c>
      <c r="AG487">
        <v>-1.110260194468</v>
      </c>
      <c r="AH487">
        <v>18.766045853415399</v>
      </c>
      <c r="AI487">
        <v>93.336537251390197</v>
      </c>
      <c r="AJ487">
        <v>80.197417108125407</v>
      </c>
      <c r="AK487">
        <v>19.0764215641668</v>
      </c>
      <c r="AL487">
        <v>89.396767414478305</v>
      </c>
      <c r="AM487">
        <v>93.455656350841807</v>
      </c>
      <c r="AN487">
        <v>0.99999997466329005</v>
      </c>
    </row>
    <row r="488" spans="1:40" x14ac:dyDescent="0.3">
      <c r="A488" t="str">
        <f>"20200111160414333"</f>
        <v>20200111160414333</v>
      </c>
      <c r="B488" t="str">
        <f>"1578729854321720"</f>
        <v>1578729854321720</v>
      </c>
      <c r="C488" t="s">
        <v>40</v>
      </c>
      <c r="D488">
        <v>5.0882239999999896</v>
      </c>
      <c r="E488">
        <v>0.47949849999999999</v>
      </c>
      <c r="F488" t="s">
        <v>41</v>
      </c>
      <c r="G488">
        <v>-332.35390000000001</v>
      </c>
      <c r="H488" s="1">
        <v>-3.29042E-6</v>
      </c>
      <c r="I488">
        <v>369.45890000000003</v>
      </c>
      <c r="J488">
        <v>-348.68169999999998</v>
      </c>
      <c r="K488">
        <v>1.1102559999999999</v>
      </c>
      <c r="L488">
        <v>367.49</v>
      </c>
      <c r="M488">
        <v>0.99987879999999996</v>
      </c>
      <c r="N488">
        <v>0</v>
      </c>
      <c r="O488">
        <v>3.575946E-3</v>
      </c>
      <c r="P488">
        <v>0.99796180000000001</v>
      </c>
      <c r="Q488">
        <v>-4.4735319999999997E-3</v>
      </c>
      <c r="R488">
        <v>6.3656950000000004E-2</v>
      </c>
      <c r="S488">
        <v>2.9824830000000002</v>
      </c>
      <c r="T488">
        <v>-0.20026859999999999</v>
      </c>
      <c r="U488">
        <v>0.35531620000000003</v>
      </c>
      <c r="V488">
        <v>-6.0086979999999998E-2</v>
      </c>
      <c r="W488">
        <v>1.0655029999999999E-2</v>
      </c>
      <c r="X488">
        <v>0.99813629999999998</v>
      </c>
      <c r="Y488">
        <v>-0.11449960000000001</v>
      </c>
      <c r="Z488">
        <v>3.5873960000000001E-3</v>
      </c>
      <c r="AA488">
        <v>0.99341679999999999</v>
      </c>
      <c r="AB488">
        <v>41</v>
      </c>
      <c r="AC488">
        <v>16.3277999999999</v>
      </c>
      <c r="AD488">
        <v>-1.1102592904199999</v>
      </c>
      <c r="AE488">
        <v>1.9689000000000101</v>
      </c>
      <c r="AF488">
        <v>-1.90182585718694</v>
      </c>
      <c r="AG488">
        <v>-1.1102592904199999</v>
      </c>
      <c r="AH488">
        <v>16.260629720069801</v>
      </c>
      <c r="AI488">
        <v>93.879671135107699</v>
      </c>
      <c r="AJ488">
        <v>96.670945095626195</v>
      </c>
      <c r="AK488">
        <v>16.409073592870701</v>
      </c>
      <c r="AL488">
        <v>89.389500213119405</v>
      </c>
      <c r="AM488">
        <v>93.445001075549101</v>
      </c>
      <c r="AN488">
        <v>1.0000000241037501</v>
      </c>
    </row>
    <row r="489" spans="1:40" x14ac:dyDescent="0.3">
      <c r="A489" t="str">
        <f>"20200111160414346"</f>
        <v>20200111160414346</v>
      </c>
      <c r="B489" t="str">
        <f>"1578729854341240"</f>
        <v>1578729854341240</v>
      </c>
      <c r="C489" t="s">
        <v>40</v>
      </c>
      <c r="D489">
        <v>4.9946199999999896</v>
      </c>
      <c r="E489">
        <v>0.4793618</v>
      </c>
      <c r="F489" t="s">
        <v>41</v>
      </c>
      <c r="G489">
        <v>-332.16250000000002</v>
      </c>
      <c r="H489" s="1">
        <v>-3.3613080000000001E-6</v>
      </c>
      <c r="I489">
        <v>369.52210000000002</v>
      </c>
      <c r="J489">
        <v>-348.44959999999998</v>
      </c>
      <c r="K489">
        <v>1.110255</v>
      </c>
      <c r="L489">
        <v>367.49079999999998</v>
      </c>
      <c r="M489">
        <v>0.99987879999999996</v>
      </c>
      <c r="N489">
        <v>0</v>
      </c>
      <c r="O489">
        <v>3.5808239999999998E-3</v>
      </c>
      <c r="P489">
        <v>0.99794649999999996</v>
      </c>
      <c r="Q489">
        <v>-4.5835770000000001E-3</v>
      </c>
      <c r="R489">
        <v>6.389119E-2</v>
      </c>
      <c r="S489">
        <v>2.9818419999999999</v>
      </c>
      <c r="T489">
        <v>-0.20040920000000001</v>
      </c>
      <c r="U489">
        <v>0.36682130000000002</v>
      </c>
      <c r="V489">
        <v>-6.0316929999999998E-2</v>
      </c>
      <c r="W489">
        <v>1.0545840000000001E-2</v>
      </c>
      <c r="X489">
        <v>0.9981236</v>
      </c>
      <c r="Y489">
        <v>-0.1182878</v>
      </c>
      <c r="Z489">
        <v>3.7162060000000001E-3</v>
      </c>
      <c r="AA489">
        <v>0.99297239999999998</v>
      </c>
      <c r="AB489">
        <v>41</v>
      </c>
      <c r="AC489">
        <v>16.287099999999899</v>
      </c>
      <c r="AD489">
        <v>-1.1102583613079999</v>
      </c>
      <c r="AE489">
        <v>2.0313000000000399</v>
      </c>
      <c r="AF489">
        <v>-1.9639724966715</v>
      </c>
      <c r="AG489">
        <v>-1.1102583613079999</v>
      </c>
      <c r="AH489">
        <v>16.2200520730234</v>
      </c>
      <c r="AI489">
        <v>93.887467714479996</v>
      </c>
      <c r="AJ489">
        <v>96.903935789494099</v>
      </c>
      <c r="AK489">
        <v>16.376200745231699</v>
      </c>
      <c r="AL489">
        <v>89.395756696542506</v>
      </c>
      <c r="AM489">
        <v>93.458196890364505</v>
      </c>
      <c r="AN489">
        <v>1.0000000338314401</v>
      </c>
    </row>
    <row r="490" spans="1:40" x14ac:dyDescent="0.3">
      <c r="A490" t="str">
        <f>"20200111160414356"</f>
        <v>20200111160414356</v>
      </c>
      <c r="B490" t="str">
        <f>"1578729854351000"</f>
        <v>1578729854351000</v>
      </c>
      <c r="C490" t="s">
        <v>40</v>
      </c>
      <c r="D490">
        <v>5.0254629999999896</v>
      </c>
      <c r="E490">
        <v>0.47949649999999999</v>
      </c>
      <c r="F490" t="s">
        <v>41</v>
      </c>
      <c r="G490">
        <v>-332.09440000000001</v>
      </c>
      <c r="H490" s="1">
        <v>-3.3921149999999999E-6</v>
      </c>
      <c r="I490">
        <v>369.51319999999998</v>
      </c>
      <c r="J490">
        <v>-348.23349999999999</v>
      </c>
      <c r="K490">
        <v>1.110257</v>
      </c>
      <c r="L490">
        <v>367.49160000000001</v>
      </c>
      <c r="M490">
        <v>0.99987879999999996</v>
      </c>
      <c r="N490">
        <v>0</v>
      </c>
      <c r="O490">
        <v>3.5853460000000001E-3</v>
      </c>
      <c r="P490">
        <v>0.99794170000000004</v>
      </c>
      <c r="Q490">
        <v>-4.5703330000000002E-3</v>
      </c>
      <c r="R490">
        <v>6.3965839999999996E-2</v>
      </c>
      <c r="S490">
        <v>2.9816590000000001</v>
      </c>
      <c r="T490">
        <v>-0.2024058</v>
      </c>
      <c r="U490">
        <v>0.36871340000000002</v>
      </c>
      <c r="V490">
        <v>-6.0386879999999997E-2</v>
      </c>
      <c r="W490">
        <v>1.0560140000000001E-2</v>
      </c>
      <c r="X490">
        <v>0.99811919999999998</v>
      </c>
      <c r="Y490">
        <v>-0.11890489999999999</v>
      </c>
      <c r="Z490">
        <v>3.7737640000000002E-3</v>
      </c>
      <c r="AA490">
        <v>0.99289850000000002</v>
      </c>
      <c r="AB490">
        <v>41</v>
      </c>
      <c r="AC490">
        <v>16.1390999999999</v>
      </c>
      <c r="AD490">
        <v>-1.110260392115</v>
      </c>
      <c r="AE490">
        <v>2.0215999999999701</v>
      </c>
      <c r="AF490">
        <v>-1.9546088046382</v>
      </c>
      <c r="AG490">
        <v>-1.110260392115</v>
      </c>
      <c r="AH490">
        <v>16.0713623473724</v>
      </c>
      <c r="AI490">
        <v>93.923077855264594</v>
      </c>
      <c r="AJ490">
        <v>96.9342914767944</v>
      </c>
      <c r="AK490">
        <v>16.2278113563723</v>
      </c>
      <c r="AL490">
        <v>89.394937309672699</v>
      </c>
      <c r="AM490">
        <v>93.4622128628653</v>
      </c>
      <c r="AN490">
        <v>1.0000000146207899</v>
      </c>
    </row>
    <row r="491" spans="1:40" x14ac:dyDescent="0.3">
      <c r="A491" t="str">
        <f>"20200111160414373"</f>
        <v>20200111160414373</v>
      </c>
      <c r="B491" t="str">
        <f>"1578729854371495"</f>
        <v>1578729854371495</v>
      </c>
      <c r="C491" t="s">
        <v>40</v>
      </c>
      <c r="D491">
        <v>5.0182409999999997</v>
      </c>
      <c r="E491">
        <v>0.48081780000000002</v>
      </c>
      <c r="F491" t="s">
        <v>41</v>
      </c>
      <c r="G491">
        <v>-331.87619999999998</v>
      </c>
      <c r="H491" s="1">
        <v>-3.4864339999999999E-6</v>
      </c>
      <c r="I491">
        <v>369.50909999999999</v>
      </c>
      <c r="J491">
        <v>-347.94029999999998</v>
      </c>
      <c r="K491">
        <v>1.1102620000000001</v>
      </c>
      <c r="L491">
        <v>367.49259999999998</v>
      </c>
      <c r="M491">
        <v>0.99987879999999996</v>
      </c>
      <c r="N491">
        <v>0</v>
      </c>
      <c r="O491">
        <v>3.5915370000000001E-3</v>
      </c>
      <c r="P491">
        <v>0.99794539999999998</v>
      </c>
      <c r="Q491">
        <v>-4.9127249999999997E-3</v>
      </c>
      <c r="R491">
        <v>6.3882259999999996E-2</v>
      </c>
      <c r="S491">
        <v>2.9816590000000001</v>
      </c>
      <c r="T491">
        <v>-0.20238159999999999</v>
      </c>
      <c r="U491">
        <v>0.36776730000000002</v>
      </c>
      <c r="V491">
        <v>-6.0296660000000002E-2</v>
      </c>
      <c r="W491">
        <v>1.021875E-2</v>
      </c>
      <c r="X491">
        <v>0.99812820000000002</v>
      </c>
      <c r="Y491">
        <v>-0.11858920000000001</v>
      </c>
      <c r="Z491">
        <v>3.7623090000000001E-3</v>
      </c>
      <c r="AA491">
        <v>0.99293629999999999</v>
      </c>
      <c r="AB491">
        <v>41</v>
      </c>
      <c r="AC491">
        <v>16.0640999999999</v>
      </c>
      <c r="AD491">
        <v>-1.110265486434</v>
      </c>
      <c r="AE491">
        <v>2.0165000000000002</v>
      </c>
      <c r="AF491">
        <v>-1.94961702017064</v>
      </c>
      <c r="AG491">
        <v>-1.110265486434</v>
      </c>
      <c r="AH491">
        <v>15.996014449704001</v>
      </c>
      <c r="AI491">
        <v>93.941394162198605</v>
      </c>
      <c r="AJ491">
        <v>96.9490170512031</v>
      </c>
      <c r="AK491">
        <v>16.152590326348498</v>
      </c>
      <c r="AL491">
        <v>89.414498566853297</v>
      </c>
      <c r="AM491">
        <v>93.457021660307902</v>
      </c>
      <c r="AN491">
        <v>1.0000000068469701</v>
      </c>
    </row>
    <row r="492" spans="1:40" x14ac:dyDescent="0.3">
      <c r="A492" t="str">
        <f>"20200111160414386"</f>
        <v>20200111160414386</v>
      </c>
      <c r="B492" t="str">
        <f>"1578729854381255"</f>
        <v>1578729854381255</v>
      </c>
      <c r="C492" t="s">
        <v>40</v>
      </c>
      <c r="D492">
        <v>5.0858699999999999</v>
      </c>
      <c r="E492">
        <v>0.4808347</v>
      </c>
      <c r="F492" t="s">
        <v>41</v>
      </c>
      <c r="G492">
        <v>-331.93699999999899</v>
      </c>
      <c r="H492" s="1">
        <v>-3.4780209999999999E-6</v>
      </c>
      <c r="I492">
        <v>369.40960000000001</v>
      </c>
      <c r="J492">
        <v>-347.72230000000002</v>
      </c>
      <c r="K492">
        <v>1.1102620000000001</v>
      </c>
      <c r="L492">
        <v>367.49340000000001</v>
      </c>
      <c r="M492">
        <v>0.99987859999999995</v>
      </c>
      <c r="N492">
        <v>0</v>
      </c>
      <c r="O492">
        <v>3.5964209999999998E-3</v>
      </c>
      <c r="P492">
        <v>0.99793370000000003</v>
      </c>
      <c r="Q492">
        <v>-4.9079379999999997E-3</v>
      </c>
      <c r="R492">
        <v>6.4065810000000001E-2</v>
      </c>
      <c r="S492">
        <v>2.9823300000000001</v>
      </c>
      <c r="T492">
        <v>-0.2069038</v>
      </c>
      <c r="U492">
        <v>0.35726930000000001</v>
      </c>
      <c r="V492">
        <v>-6.0476090000000003E-2</v>
      </c>
      <c r="W492">
        <v>1.022351E-2</v>
      </c>
      <c r="X492">
        <v>0.99811729999999999</v>
      </c>
      <c r="Y492">
        <v>-0.11510860000000001</v>
      </c>
      <c r="Z492">
        <v>3.7256329999999999E-3</v>
      </c>
      <c r="AA492">
        <v>0.9933459</v>
      </c>
      <c r="AB492">
        <v>41</v>
      </c>
      <c r="AC492">
        <v>15.785299999999999</v>
      </c>
      <c r="AD492">
        <v>-1.110265478021</v>
      </c>
      <c r="AE492">
        <v>1.9161999999999999</v>
      </c>
      <c r="AF492">
        <v>-1.8503894236096801</v>
      </c>
      <c r="AG492">
        <v>-1.110265478021</v>
      </c>
      <c r="AH492">
        <v>15.7154736197201</v>
      </c>
      <c r="AI492">
        <v>94.0134801288755</v>
      </c>
      <c r="AJ492">
        <v>96.715267404966497</v>
      </c>
      <c r="AK492">
        <v>15.862936094645599</v>
      </c>
      <c r="AL492">
        <v>89.414225827182193</v>
      </c>
      <c r="AM492">
        <v>93.467321731478805</v>
      </c>
      <c r="AN492">
        <v>1.0000000110888401</v>
      </c>
    </row>
    <row r="493" spans="1:40" x14ac:dyDescent="0.3">
      <c r="A493" t="str">
        <f>"20200111160414396"</f>
        <v>20200111160414396</v>
      </c>
      <c r="B493" t="str">
        <f>"1578729854391015"</f>
        <v>1578729854391015</v>
      </c>
      <c r="C493" t="s">
        <v>40</v>
      </c>
      <c r="D493">
        <v>5.0826390000000004</v>
      </c>
      <c r="E493">
        <v>0.4808211</v>
      </c>
      <c r="F493" t="s">
        <v>41</v>
      </c>
      <c r="G493">
        <v>-331.7835</v>
      </c>
      <c r="H493" s="1">
        <v>-3.5445609999999999E-6</v>
      </c>
      <c r="I493">
        <v>369.40550000000002</v>
      </c>
      <c r="J493">
        <v>-347.50380000000001</v>
      </c>
      <c r="K493">
        <v>1.110263</v>
      </c>
      <c r="L493">
        <v>367.4941</v>
      </c>
      <c r="M493">
        <v>0.99987859999999995</v>
      </c>
      <c r="N493">
        <v>0</v>
      </c>
      <c r="O493">
        <v>3.6011279999999999E-3</v>
      </c>
      <c r="P493">
        <v>0.99793140000000002</v>
      </c>
      <c r="Q493">
        <v>-4.7678429999999999E-3</v>
      </c>
      <c r="R493">
        <v>6.4112370000000002E-2</v>
      </c>
      <c r="S493">
        <v>2.9822389999999999</v>
      </c>
      <c r="T493">
        <v>-0.207737</v>
      </c>
      <c r="U493">
        <v>0.3577881</v>
      </c>
      <c r="V493">
        <v>-6.0517889999999998E-2</v>
      </c>
      <c r="W493">
        <v>1.03637E-2</v>
      </c>
      <c r="X493">
        <v>0.99811329999999998</v>
      </c>
      <c r="Y493">
        <v>-0.1152754</v>
      </c>
      <c r="Z493">
        <v>3.746129E-3</v>
      </c>
      <c r="AA493">
        <v>0.9933265</v>
      </c>
      <c r="AB493">
        <v>41</v>
      </c>
      <c r="AC493">
        <v>15.7203</v>
      </c>
      <c r="AD493">
        <v>-1.110266544561</v>
      </c>
      <c r="AE493">
        <v>1.91140000000001</v>
      </c>
      <c r="AF493">
        <v>-1.8456979302442</v>
      </c>
      <c r="AG493">
        <v>-1.110266544561</v>
      </c>
      <c r="AH493">
        <v>15.650155166529499</v>
      </c>
      <c r="AI493">
        <v>94.030090340143403</v>
      </c>
      <c r="AJ493">
        <v>96.726097588363004</v>
      </c>
      <c r="AK493">
        <v>15.7976786075084</v>
      </c>
      <c r="AL493">
        <v>89.406193094108204</v>
      </c>
      <c r="AM493">
        <v>93.469726300956296</v>
      </c>
      <c r="AN493">
        <v>0.99999999046231602</v>
      </c>
    </row>
    <row r="494" spans="1:40" x14ac:dyDescent="0.3">
      <c r="A494" t="str">
        <f>"20200111160414408"</f>
        <v>20200111160414408</v>
      </c>
      <c r="B494" t="str">
        <f>"1578729854400776"</f>
        <v>1578729854400776</v>
      </c>
      <c r="C494" t="s">
        <v>40</v>
      </c>
      <c r="D494">
        <v>5.0450059999999999</v>
      </c>
      <c r="E494">
        <v>0.48119070000000003</v>
      </c>
      <c r="F494" t="s">
        <v>41</v>
      </c>
      <c r="G494">
        <v>-331.4837</v>
      </c>
      <c r="H494" s="1">
        <v>-3.6713159999999999E-6</v>
      </c>
      <c r="I494">
        <v>369.416</v>
      </c>
      <c r="J494">
        <v>-347.30160000000001</v>
      </c>
      <c r="K494">
        <v>1.1102700000000001</v>
      </c>
      <c r="L494">
        <v>367.49489999999997</v>
      </c>
      <c r="M494">
        <v>0.99987859999999995</v>
      </c>
      <c r="N494">
        <v>0</v>
      </c>
      <c r="O494">
        <v>3.6055390000000001E-3</v>
      </c>
      <c r="P494">
        <v>0.99792559999999997</v>
      </c>
      <c r="Q494">
        <v>-4.6216030000000002E-3</v>
      </c>
      <c r="R494">
        <v>6.4211740000000003E-2</v>
      </c>
      <c r="S494">
        <v>2.9822389999999999</v>
      </c>
      <c r="T494">
        <v>-0.2066828</v>
      </c>
      <c r="U494">
        <v>0.3577881</v>
      </c>
      <c r="V494">
        <v>-6.0612510000000001E-2</v>
      </c>
      <c r="W494">
        <v>1.051008E-2</v>
      </c>
      <c r="X494">
        <v>0.9981061</v>
      </c>
      <c r="Y494">
        <v>-0.11527370000000001</v>
      </c>
      <c r="Z494">
        <v>3.7268010000000001E-3</v>
      </c>
      <c r="AA494">
        <v>0.99332679999999995</v>
      </c>
      <c r="AB494">
        <v>41</v>
      </c>
      <c r="AC494">
        <v>15.8179</v>
      </c>
      <c r="AD494">
        <v>-1.110273671316</v>
      </c>
      <c r="AE494">
        <v>1.92110000000002</v>
      </c>
      <c r="AF494">
        <v>-1.8550423801511999</v>
      </c>
      <c r="AG494">
        <v>-1.110273671316</v>
      </c>
      <c r="AH494">
        <v>15.748264271701499</v>
      </c>
      <c r="AI494">
        <v>94.0051567201578</v>
      </c>
      <c r="AJ494">
        <v>96.718109757567404</v>
      </c>
      <c r="AK494">
        <v>15.895965445002901</v>
      </c>
      <c r="AL494">
        <v>89.397805724372702</v>
      </c>
      <c r="AM494">
        <v>93.475162956575502</v>
      </c>
      <c r="AN494">
        <v>1.00000006250365</v>
      </c>
    </row>
    <row r="495" spans="1:40" x14ac:dyDescent="0.3">
      <c r="A495" t="str">
        <f>"20200111160414420"</f>
        <v>20200111160414420</v>
      </c>
      <c r="B495" t="str">
        <f>"1578729854411511"</f>
        <v>1578729854411511</v>
      </c>
      <c r="C495" t="s">
        <v>40</v>
      </c>
      <c r="D495">
        <v>5.0033099999999999</v>
      </c>
      <c r="E495">
        <v>0.48156890000000002</v>
      </c>
      <c r="F495" t="s">
        <v>41</v>
      </c>
      <c r="G495">
        <v>-331.30459999999999</v>
      </c>
      <c r="H495" s="1">
        <v>-3.7507029999999998E-6</v>
      </c>
      <c r="I495">
        <v>369.40159999999997</v>
      </c>
      <c r="J495">
        <v>-347.08210000000003</v>
      </c>
      <c r="K495">
        <v>1.110274</v>
      </c>
      <c r="L495">
        <v>367.49560000000002</v>
      </c>
      <c r="M495">
        <v>0.99987859999999995</v>
      </c>
      <c r="N495">
        <v>0</v>
      </c>
      <c r="O495">
        <v>3.6104269999999998E-3</v>
      </c>
      <c r="P495">
        <v>0.99792250000000005</v>
      </c>
      <c r="Q495">
        <v>-4.7821699999999997E-3</v>
      </c>
      <c r="R495">
        <v>6.4250310000000005E-2</v>
      </c>
      <c r="S495">
        <v>2.9823909999999998</v>
      </c>
      <c r="T495">
        <v>-0.20699210000000001</v>
      </c>
      <c r="U495">
        <v>0.35549930000000002</v>
      </c>
      <c r="V495">
        <v>-6.0646409999999998E-2</v>
      </c>
      <c r="W495">
        <v>1.034939E-2</v>
      </c>
      <c r="X495">
        <v>0.99810560000000004</v>
      </c>
      <c r="Y495">
        <v>-0.11451219999999999</v>
      </c>
      <c r="Z495">
        <v>3.7057090000000002E-3</v>
      </c>
      <c r="AA495">
        <v>0.99341489999999999</v>
      </c>
      <c r="AB495">
        <v>41</v>
      </c>
      <c r="AC495">
        <v>15.7775</v>
      </c>
      <c r="AD495">
        <v>-1.1102777507029999</v>
      </c>
      <c r="AE495">
        <v>1.90599999999994</v>
      </c>
      <c r="AF495">
        <v>-1.84003659137848</v>
      </c>
      <c r="AG495">
        <v>-1.1102777507029999</v>
      </c>
      <c r="AH495">
        <v>15.707613044458901</v>
      </c>
      <c r="AI495">
        <v>94.015804556111206</v>
      </c>
      <c r="AJ495">
        <v>96.681347808858604</v>
      </c>
      <c r="AK495">
        <v>15.8539445847326</v>
      </c>
      <c r="AL495">
        <v>89.407013012451699</v>
      </c>
      <c r="AM495">
        <v>93.4771035524479</v>
      </c>
      <c r="AN495">
        <v>0.99999994283530802</v>
      </c>
    </row>
    <row r="496" spans="1:40" x14ac:dyDescent="0.3">
      <c r="A496" t="str">
        <f>"20200111160414431"</f>
        <v>20200111160414431</v>
      </c>
      <c r="B496" t="str">
        <f>"1578729854421271"</f>
        <v>1578729854421271</v>
      </c>
      <c r="C496" t="s">
        <v>40</v>
      </c>
      <c r="D496">
        <v>5.0827080000000002</v>
      </c>
      <c r="E496">
        <v>0.48144399999999998</v>
      </c>
      <c r="F496" t="s">
        <v>41</v>
      </c>
      <c r="G496">
        <v>-331.20650000000001</v>
      </c>
      <c r="H496" s="1">
        <v>-3.7979629999999999E-6</v>
      </c>
      <c r="I496">
        <v>369.37259999999998</v>
      </c>
      <c r="J496">
        <v>-346.8947</v>
      </c>
      <c r="K496">
        <v>1.110274</v>
      </c>
      <c r="L496">
        <v>367.49630000000002</v>
      </c>
      <c r="M496">
        <v>0.99987859999999995</v>
      </c>
      <c r="N496">
        <v>0</v>
      </c>
      <c r="O496">
        <v>3.6142470000000001E-3</v>
      </c>
      <c r="P496">
        <v>0.99792179999999997</v>
      </c>
      <c r="Q496">
        <v>-4.7043900000000001E-3</v>
      </c>
      <c r="R496">
        <v>6.4265199999999995E-2</v>
      </c>
      <c r="S496">
        <v>2.9825439999999999</v>
      </c>
      <c r="T496">
        <v>-0.20858650000000001</v>
      </c>
      <c r="U496">
        <v>0.35263060000000002</v>
      </c>
      <c r="V496">
        <v>-6.0657780000000001E-2</v>
      </c>
      <c r="W496">
        <v>1.0426639999999999E-2</v>
      </c>
      <c r="X496">
        <v>0.9981042</v>
      </c>
      <c r="Y496">
        <v>-0.11355850000000001</v>
      </c>
      <c r="Z496">
        <v>3.7007429999999998E-3</v>
      </c>
      <c r="AA496">
        <v>0.99352439999999997</v>
      </c>
      <c r="AB496">
        <v>41</v>
      </c>
      <c r="AC496">
        <v>15.688199999999901</v>
      </c>
      <c r="AD496">
        <v>-1.1102777979629901</v>
      </c>
      <c r="AE496">
        <v>1.8762999999999499</v>
      </c>
      <c r="AF496">
        <v>-1.8106393061934201</v>
      </c>
      <c r="AG496">
        <v>-1.1102777979629901</v>
      </c>
      <c r="AH496">
        <v>15.617759587621499</v>
      </c>
      <c r="AI496">
        <v>94.039391865965598</v>
      </c>
      <c r="AJ496">
        <v>96.613042634080898</v>
      </c>
      <c r="AK496">
        <v>15.7615210567548</v>
      </c>
      <c r="AL496">
        <v>89.402586731000795</v>
      </c>
      <c r="AM496">
        <v>93.477758706757101</v>
      </c>
      <c r="AN496">
        <v>1.00000003757692</v>
      </c>
    </row>
    <row r="497" spans="1:40" x14ac:dyDescent="0.3">
      <c r="A497" t="str">
        <f>"20200111160414442"</f>
        <v>20200111160414442</v>
      </c>
      <c r="B497" t="str">
        <f>"1578729854431032"</f>
        <v>1578729854431032</v>
      </c>
      <c r="C497" t="s">
        <v>40</v>
      </c>
      <c r="D497">
        <v>5.2045139999999996</v>
      </c>
      <c r="E497">
        <v>0.48170230000000003</v>
      </c>
      <c r="F497" t="s">
        <v>41</v>
      </c>
      <c r="G497">
        <v>-331.02379999999999</v>
      </c>
      <c r="H497" s="1">
        <v>-3.8754469999999996E-6</v>
      </c>
      <c r="I497">
        <v>369.37759999999997</v>
      </c>
      <c r="J497">
        <v>-346.68470000000002</v>
      </c>
      <c r="K497">
        <v>1.110277</v>
      </c>
      <c r="L497">
        <v>367.49709999999999</v>
      </c>
      <c r="M497">
        <v>0.99987870000000001</v>
      </c>
      <c r="N497">
        <v>0</v>
      </c>
      <c r="O497">
        <v>3.6184860000000002E-3</v>
      </c>
      <c r="P497">
        <v>0.99792029999999998</v>
      </c>
      <c r="Q497">
        <v>-4.7600439999999997E-3</v>
      </c>
      <c r="R497">
        <v>6.4287869999999997E-2</v>
      </c>
      <c r="S497">
        <v>2.982513</v>
      </c>
      <c r="T497">
        <v>-0.2086462</v>
      </c>
      <c r="U497">
        <v>0.35354609999999997</v>
      </c>
      <c r="V497">
        <v>-6.0675899999999998E-2</v>
      </c>
      <c r="W497">
        <v>1.037037E-2</v>
      </c>
      <c r="X497">
        <v>0.99810359999999998</v>
      </c>
      <c r="Y497">
        <v>-0.11385530000000001</v>
      </c>
      <c r="Z497">
        <v>3.7118099999999998E-3</v>
      </c>
      <c r="AA497">
        <v>0.9934904</v>
      </c>
      <c r="AB497">
        <v>41</v>
      </c>
      <c r="AC497">
        <v>15.6609</v>
      </c>
      <c r="AD497">
        <v>-1.1102808754469999</v>
      </c>
      <c r="AE497">
        <v>1.8804999999999801</v>
      </c>
      <c r="AF497">
        <v>-1.8148205877828201</v>
      </c>
      <c r="AG497">
        <v>-1.1102808754469999</v>
      </c>
      <c r="AH497">
        <v>15.5903576284793</v>
      </c>
      <c r="AI497">
        <v>94.046261030583096</v>
      </c>
      <c r="AJ497">
        <v>96.639724205924395</v>
      </c>
      <c r="AK497">
        <v>15.734851393391301</v>
      </c>
      <c r="AL497">
        <v>89.405810888381495</v>
      </c>
      <c r="AM497">
        <v>93.478797135619104</v>
      </c>
      <c r="AN497">
        <v>0.99999995287385202</v>
      </c>
    </row>
    <row r="498" spans="1:40" x14ac:dyDescent="0.3">
      <c r="A498" t="str">
        <f>"20200111160414455"</f>
        <v>20200111160414455</v>
      </c>
      <c r="B498" t="str">
        <f>"1578729854451528"</f>
        <v>1578729854451528</v>
      </c>
      <c r="C498" t="s">
        <v>40</v>
      </c>
      <c r="D498">
        <v>5.1257739999999998</v>
      </c>
      <c r="E498">
        <v>0.4812632</v>
      </c>
      <c r="F498" t="s">
        <v>41</v>
      </c>
      <c r="G498">
        <v>-330.42419999999998</v>
      </c>
      <c r="H498" s="1">
        <v>-4.1266990000000004E-6</v>
      </c>
      <c r="I498">
        <v>369.41129999999998</v>
      </c>
      <c r="J498">
        <v>-346.4606</v>
      </c>
      <c r="K498">
        <v>1.110277</v>
      </c>
      <c r="L498">
        <v>367.49790000000002</v>
      </c>
      <c r="M498">
        <v>0.99987859999999995</v>
      </c>
      <c r="N498">
        <v>0</v>
      </c>
      <c r="O498">
        <v>3.6233789999999999E-3</v>
      </c>
      <c r="P498">
        <v>0.99791750000000001</v>
      </c>
      <c r="Q498">
        <v>-4.8089400000000003E-3</v>
      </c>
      <c r="R498">
        <v>6.4324599999999996E-2</v>
      </c>
      <c r="S498">
        <v>2.982666</v>
      </c>
      <c r="T498">
        <v>-0.20365820000000001</v>
      </c>
      <c r="U498">
        <v>0.35113529999999998</v>
      </c>
      <c r="V498">
        <v>-6.0707820000000003E-2</v>
      </c>
      <c r="W498">
        <v>1.032078E-2</v>
      </c>
      <c r="X498">
        <v>0.99810220000000005</v>
      </c>
      <c r="Y498">
        <v>-0.113066899999999</v>
      </c>
      <c r="Z498">
        <v>3.5961399999999998E-3</v>
      </c>
      <c r="AA498">
        <v>0.99358089999999999</v>
      </c>
      <c r="AB498">
        <v>41</v>
      </c>
      <c r="AC498">
        <v>16.0364</v>
      </c>
      <c r="AD498">
        <v>-1.110281126699</v>
      </c>
      <c r="AE498">
        <v>1.91339999999996</v>
      </c>
      <c r="AF498">
        <v>-1.8465476368248399</v>
      </c>
      <c r="AG498">
        <v>-1.110281126699</v>
      </c>
      <c r="AH498">
        <v>15.9677614845933</v>
      </c>
      <c r="AI498">
        <v>93.951278248785698</v>
      </c>
      <c r="AJ498">
        <v>96.596510848694294</v>
      </c>
      <c r="AK498">
        <v>16.112475575907901</v>
      </c>
      <c r="AL498">
        <v>89.408652354197002</v>
      </c>
      <c r="AM498">
        <v>93.480627611715093</v>
      </c>
      <c r="AN498">
        <v>0.99999997977690003</v>
      </c>
    </row>
    <row r="499" spans="1:40" x14ac:dyDescent="0.3">
      <c r="A499" t="str">
        <f>"20200111160414467"</f>
        <v>20200111160414467</v>
      </c>
      <c r="B499" t="str">
        <f>"1578729854461288"</f>
        <v>1578729854461288</v>
      </c>
      <c r="C499" t="s">
        <v>40</v>
      </c>
      <c r="D499">
        <v>5.263058</v>
      </c>
      <c r="E499">
        <v>0.4809582</v>
      </c>
      <c r="F499" t="s">
        <v>41</v>
      </c>
      <c r="G499">
        <v>-330.23320000000001</v>
      </c>
      <c r="H499" s="1">
        <v>-4.205646E-6</v>
      </c>
      <c r="I499">
        <v>369.42809999999997</v>
      </c>
      <c r="J499">
        <v>-346.2441</v>
      </c>
      <c r="K499">
        <v>1.110274</v>
      </c>
      <c r="L499">
        <v>367.49869999999999</v>
      </c>
      <c r="M499">
        <v>0.99987859999999995</v>
      </c>
      <c r="N499">
        <v>0</v>
      </c>
      <c r="O499">
        <v>3.6277359999999999E-3</v>
      </c>
      <c r="P499">
        <v>0.99791260000000004</v>
      </c>
      <c r="Q499">
        <v>-4.6989579999999996E-3</v>
      </c>
      <c r="R499">
        <v>6.4410019999999998E-2</v>
      </c>
      <c r="S499">
        <v>2.9824519999999999</v>
      </c>
      <c r="T499">
        <v>-0.2040585</v>
      </c>
      <c r="U499">
        <v>0.35476679999999999</v>
      </c>
      <c r="V499">
        <v>-6.0789129999999997E-2</v>
      </c>
      <c r="W499">
        <v>1.042997E-2</v>
      </c>
      <c r="X499">
        <v>0.99809610000000004</v>
      </c>
      <c r="Y499">
        <v>-0.1142601</v>
      </c>
      <c r="Z499">
        <v>3.6435270000000001E-3</v>
      </c>
      <c r="AA499">
        <v>0.9934442</v>
      </c>
      <c r="AB499">
        <v>41</v>
      </c>
      <c r="AC499">
        <v>16.0108999999999</v>
      </c>
      <c r="AD499">
        <v>-1.1102782056460001</v>
      </c>
      <c r="AE499">
        <v>1.92939999999998</v>
      </c>
      <c r="AF499">
        <v>-1.8624693602583799</v>
      </c>
      <c r="AG499">
        <v>-1.1102782056460001</v>
      </c>
      <c r="AH499">
        <v>15.942229909256</v>
      </c>
      <c r="AI499">
        <v>93.957040168649499</v>
      </c>
      <c r="AJ499">
        <v>96.663439960156197</v>
      </c>
      <c r="AK499">
        <v>16.0890088038825</v>
      </c>
      <c r="AL499">
        <v>89.402395881546795</v>
      </c>
      <c r="AM499">
        <v>93.485299211043497</v>
      </c>
      <c r="AN499">
        <v>0.99999996371778299</v>
      </c>
    </row>
    <row r="500" spans="1:40" x14ac:dyDescent="0.3">
      <c r="A500" t="str">
        <f>"20200111160414489"</f>
        <v>20200111160414489</v>
      </c>
      <c r="B500" t="str">
        <f>"1578729854480808"</f>
        <v>1578729854480808</v>
      </c>
      <c r="C500" t="s">
        <v>40</v>
      </c>
      <c r="D500">
        <v>4.7874939999999997</v>
      </c>
      <c r="E500">
        <v>0.4809582</v>
      </c>
      <c r="F500" t="s">
        <v>41</v>
      </c>
      <c r="G500">
        <v>-330.05059999999997</v>
      </c>
      <c r="H500" s="1">
        <v>-4.2818600000000002E-6</v>
      </c>
      <c r="I500">
        <v>369.44009999999997</v>
      </c>
      <c r="J500">
        <v>-345.82850000000002</v>
      </c>
      <c r="K500">
        <v>1.1102780000000001</v>
      </c>
      <c r="L500">
        <v>367.50020000000001</v>
      </c>
      <c r="M500">
        <v>0.99987859999999995</v>
      </c>
      <c r="N500">
        <v>0</v>
      </c>
      <c r="O500">
        <v>3.6366889999999998E-3</v>
      </c>
      <c r="P500">
        <v>0.99792239999999999</v>
      </c>
      <c r="Q500">
        <v>-4.8479439999999999E-3</v>
      </c>
      <c r="R500">
        <v>6.4245880000000005E-2</v>
      </c>
      <c r="S500">
        <v>2.9822389999999999</v>
      </c>
      <c r="T500">
        <v>-0.20447109999999999</v>
      </c>
      <c r="U500">
        <v>0.35754390000000003</v>
      </c>
      <c r="V500">
        <v>-6.0615990000000002E-2</v>
      </c>
      <c r="W500">
        <v>1.02793E-2</v>
      </c>
      <c r="X500">
        <v>0.9981082</v>
      </c>
      <c r="Y500">
        <v>-0.11516849999999999</v>
      </c>
      <c r="Z500">
        <v>3.6813169999999999E-3</v>
      </c>
      <c r="AA500">
        <v>0.99333910000000003</v>
      </c>
      <c r="AB500">
        <v>41</v>
      </c>
      <c r="AC500">
        <v>15.777900000000001</v>
      </c>
      <c r="AD500">
        <v>-1.11028228186</v>
      </c>
      <c r="AE500">
        <v>1.93989999999996</v>
      </c>
      <c r="AF500">
        <v>-1.87336277969428</v>
      </c>
      <c r="AG500">
        <v>-1.11028228186</v>
      </c>
      <c r="AH500">
        <v>15.7082246725613</v>
      </c>
      <c r="AI500">
        <v>94.014677392592105</v>
      </c>
      <c r="AJ500">
        <v>96.800972420028401</v>
      </c>
      <c r="AK500">
        <v>15.858453178460399</v>
      </c>
      <c r="AL500">
        <v>89.411029103841599</v>
      </c>
      <c r="AM500">
        <v>93.475354696012303</v>
      </c>
      <c r="AN500">
        <v>0.99999997057970402</v>
      </c>
    </row>
    <row r="501" spans="1:40" x14ac:dyDescent="0.3">
      <c r="A501" t="str">
        <f>"20200111160414731"</f>
        <v>20200111160414731</v>
      </c>
      <c r="B501" t="str">
        <f>"1578729854720904"</f>
        <v>1578729854720904</v>
      </c>
      <c r="C501" t="s">
        <v>40</v>
      </c>
      <c r="D501">
        <v>6.6921660000000003</v>
      </c>
      <c r="E501">
        <v>0.42886079999999999</v>
      </c>
      <c r="F501" t="s">
        <v>41</v>
      </c>
      <c r="G501">
        <v>-329.6644</v>
      </c>
      <c r="H501" s="1">
        <v>-1.58085E-7</v>
      </c>
      <c r="I501">
        <v>369.43709999999999</v>
      </c>
      <c r="J501">
        <v>-341.4735</v>
      </c>
      <c r="K501">
        <v>1.1102829999999999</v>
      </c>
      <c r="L501">
        <v>367.51650000000001</v>
      </c>
      <c r="M501">
        <v>0.99987879999999996</v>
      </c>
      <c r="N501">
        <v>0</v>
      </c>
      <c r="O501">
        <v>3.7323629999999998E-3</v>
      </c>
      <c r="P501">
        <v>0.99788339999999998</v>
      </c>
      <c r="Q501">
        <v>-6.5138690000000003E-3</v>
      </c>
      <c r="R501">
        <v>6.4704049999999999E-2</v>
      </c>
      <c r="S501">
        <v>2.982208</v>
      </c>
      <c r="T501">
        <v>-0.20484140000000001</v>
      </c>
      <c r="U501">
        <v>0.35736079999999998</v>
      </c>
      <c r="V501">
        <v>-6.0978669999999999E-2</v>
      </c>
      <c r="W501">
        <v>8.5780200000000004E-3</v>
      </c>
      <c r="X501">
        <v>0.99810220000000005</v>
      </c>
      <c r="Y501">
        <v>-0.1150142</v>
      </c>
      <c r="Z501">
        <v>3.6762040000000002E-3</v>
      </c>
      <c r="AA501">
        <v>0.99335709999999999</v>
      </c>
      <c r="AB501">
        <v>40</v>
      </c>
      <c r="AC501">
        <v>11.809100000000001</v>
      </c>
      <c r="AD501">
        <v>-1.1102831580850001</v>
      </c>
      <c r="AE501">
        <v>1.9205999999999701</v>
      </c>
      <c r="AF501">
        <v>-1.8604835574923</v>
      </c>
      <c r="AG501">
        <v>-1.1102831580850001</v>
      </c>
      <c r="AH501">
        <v>11.7152967137767</v>
      </c>
      <c r="AI501">
        <v>95.347257399425501</v>
      </c>
      <c r="AJ501">
        <v>99.023676166737999</v>
      </c>
      <c r="AK501">
        <v>11.9139542071746</v>
      </c>
      <c r="AL501">
        <v>89.508509625428502</v>
      </c>
      <c r="AM501">
        <v>93.496118118038197</v>
      </c>
      <c r="AN501">
        <v>0.99999999113346405</v>
      </c>
    </row>
    <row r="502" spans="1:40" x14ac:dyDescent="0.3">
      <c r="A502" t="str">
        <f>"20200111160414746"</f>
        <v>20200111160414746</v>
      </c>
      <c r="B502" t="str">
        <f>"1578729854741400"</f>
        <v>1578729854741400</v>
      </c>
      <c r="C502" t="s">
        <v>40</v>
      </c>
      <c r="D502">
        <v>4.8885239999999897</v>
      </c>
      <c r="E502">
        <v>0.48913129999999999</v>
      </c>
      <c r="F502" t="s">
        <v>48</v>
      </c>
      <c r="G502">
        <v>-246.23009999999999</v>
      </c>
      <c r="H502">
        <v>4.9249169999999998</v>
      </c>
      <c r="I502">
        <v>391.75</v>
      </c>
      <c r="J502">
        <v>-341.23099999999999</v>
      </c>
      <c r="K502">
        <v>1.1102829999999999</v>
      </c>
      <c r="L502">
        <v>367.51740000000001</v>
      </c>
      <c r="M502">
        <v>0.99987879999999996</v>
      </c>
      <c r="N502">
        <v>0</v>
      </c>
      <c r="O502">
        <v>3.737387E-3</v>
      </c>
      <c r="P502">
        <v>0.99785460000000004</v>
      </c>
      <c r="Q502">
        <v>-6.4947059999999899E-3</v>
      </c>
      <c r="R502">
        <v>6.5149550000000001E-2</v>
      </c>
      <c r="S502">
        <v>2.9583439999999999</v>
      </c>
      <c r="T502">
        <v>0.1184866</v>
      </c>
      <c r="U502">
        <v>0.7527161</v>
      </c>
      <c r="V502">
        <v>-6.1419380000000003E-2</v>
      </c>
      <c r="W502">
        <v>8.5947100000000002E-3</v>
      </c>
      <c r="X502">
        <v>0.99807509999999999</v>
      </c>
      <c r="Y502">
        <v>-0.24277779999999999</v>
      </c>
      <c r="Z502">
        <v>-4.636477E-3</v>
      </c>
      <c r="AA502">
        <v>0.97007080000000001</v>
      </c>
      <c r="AB502">
        <v>40</v>
      </c>
      <c r="AC502">
        <v>95.000900000000001</v>
      </c>
      <c r="AD502">
        <v>3.8146339999999999</v>
      </c>
      <c r="AE502">
        <v>24.232599999999898</v>
      </c>
      <c r="AF502">
        <v>-23.841243670982202</v>
      </c>
      <c r="AG502">
        <v>3.8146339999999999</v>
      </c>
      <c r="AH502">
        <v>94.947080472844206</v>
      </c>
      <c r="AI502">
        <v>87.768498938655995</v>
      </c>
      <c r="AJ502">
        <v>104.09556411256099</v>
      </c>
      <c r="AK502">
        <v>97.968895179285695</v>
      </c>
      <c r="AL502">
        <v>89.507553356171798</v>
      </c>
      <c r="AM502">
        <v>93.521417567367394</v>
      </c>
      <c r="AN502">
        <v>1.00000005725978</v>
      </c>
    </row>
    <row r="503" spans="1:40" x14ac:dyDescent="0.3">
      <c r="A503" t="str">
        <f>"20200111160414757"</f>
        <v>20200111160414757</v>
      </c>
      <c r="B503" t="str">
        <f>"1578729854751160"</f>
        <v>1578729854751160</v>
      </c>
      <c r="C503" t="s">
        <v>40</v>
      </c>
      <c r="D503">
        <v>4.9315429999999996</v>
      </c>
      <c r="E503">
        <v>0.49629849999999998</v>
      </c>
      <c r="F503" t="s">
        <v>41</v>
      </c>
      <c r="G503">
        <v>-324.52140000000003</v>
      </c>
      <c r="H503" s="1">
        <v>-2.4138040000000002E-6</v>
      </c>
      <c r="I503">
        <v>369.15879999999999</v>
      </c>
      <c r="J503">
        <v>-340.99520000000001</v>
      </c>
      <c r="K503">
        <v>1.1102829999999999</v>
      </c>
      <c r="L503">
        <v>367.51830000000001</v>
      </c>
      <c r="M503">
        <v>0.99987879999999996</v>
      </c>
      <c r="N503">
        <v>0</v>
      </c>
      <c r="O503">
        <v>3.7422950000000001E-3</v>
      </c>
      <c r="P503">
        <v>0.99783299999999997</v>
      </c>
      <c r="Q503">
        <v>-6.6217910000000001E-3</v>
      </c>
      <c r="R503">
        <v>6.5463670000000002E-2</v>
      </c>
      <c r="S503">
        <v>2.985992</v>
      </c>
      <c r="T503">
        <v>-0.1984051</v>
      </c>
      <c r="U503">
        <v>0.29333500000000001</v>
      </c>
      <c r="V503">
        <v>-6.1728310000000002E-2</v>
      </c>
      <c r="W503">
        <v>8.4650139999999999E-3</v>
      </c>
      <c r="X503">
        <v>0.99805710000000003</v>
      </c>
      <c r="Y503">
        <v>-9.3844150000000001E-2</v>
      </c>
      <c r="Z503">
        <v>2.8590579999999998E-3</v>
      </c>
      <c r="AA503">
        <v>0.99558279999999999</v>
      </c>
      <c r="AB503">
        <v>40</v>
      </c>
      <c r="AC503">
        <v>16.473799999999901</v>
      </c>
      <c r="AD503">
        <v>-1.1102854138039999</v>
      </c>
      <c r="AE503">
        <v>1.6404999999999701</v>
      </c>
      <c r="AF503">
        <v>-1.5717622421242301</v>
      </c>
      <c r="AG503">
        <v>-1.1102854138039999</v>
      </c>
      <c r="AH503">
        <v>16.406034169362101</v>
      </c>
      <c r="AI503">
        <v>93.854020185479598</v>
      </c>
      <c r="AJ503">
        <v>95.472457777996993</v>
      </c>
      <c r="AK503">
        <v>16.5185086315972</v>
      </c>
      <c r="AL503">
        <v>89.514984635526801</v>
      </c>
      <c r="AM503">
        <v>93.539148513625605</v>
      </c>
      <c r="AN503">
        <v>1.0000000077889399</v>
      </c>
    </row>
    <row r="504" spans="1:40" x14ac:dyDescent="0.3">
      <c r="A504" t="str">
        <f>"20200111160414769"</f>
        <v>20200111160414769</v>
      </c>
      <c r="B504" t="str">
        <f>"1578729854760920"</f>
        <v>1578729854760920</v>
      </c>
      <c r="C504" t="s">
        <v>40</v>
      </c>
      <c r="D504">
        <v>4.8831530000000001</v>
      </c>
      <c r="E504">
        <v>0.499913</v>
      </c>
      <c r="F504" t="s">
        <v>41</v>
      </c>
      <c r="G504">
        <v>-325.58859999999999</v>
      </c>
      <c r="H504" s="1">
        <v>-2.0294940000000001E-6</v>
      </c>
      <c r="I504">
        <v>368.74439999999998</v>
      </c>
      <c r="J504">
        <v>-340.79149999999998</v>
      </c>
      <c r="K504">
        <v>1.1102829999999999</v>
      </c>
      <c r="L504">
        <v>367.51900000000001</v>
      </c>
      <c r="M504">
        <v>0.99987879999999996</v>
      </c>
      <c r="N504">
        <v>0</v>
      </c>
      <c r="O504">
        <v>3.7467220000000001E-3</v>
      </c>
      <c r="P504">
        <v>0.99782009999999999</v>
      </c>
      <c r="Q504">
        <v>-6.6946130000000003E-3</v>
      </c>
      <c r="R504">
        <v>6.5654400000000002E-2</v>
      </c>
      <c r="S504">
        <v>2.989471</v>
      </c>
      <c r="T504">
        <v>-0.21543680000000001</v>
      </c>
      <c r="U504">
        <v>0.23791499999999999</v>
      </c>
      <c r="V504">
        <v>-6.1914909999999997E-2</v>
      </c>
      <c r="W504">
        <v>8.3901540000000004E-3</v>
      </c>
      <c r="X504">
        <v>0.99804619999999999</v>
      </c>
      <c r="Y504">
        <v>-7.541291E-2</v>
      </c>
      <c r="Z504">
        <v>2.4402809999999999E-3</v>
      </c>
      <c r="AA504">
        <v>0.99714939999999996</v>
      </c>
      <c r="AB504">
        <v>40</v>
      </c>
      <c r="AC504">
        <v>15.2029</v>
      </c>
      <c r="AD504">
        <v>-1.1102850294940001</v>
      </c>
      <c r="AE504">
        <v>1.2253999999999701</v>
      </c>
      <c r="AF504">
        <v>-1.1622648726701901</v>
      </c>
      <c r="AG504">
        <v>-1.1102850294940001</v>
      </c>
      <c r="AH504">
        <v>15.1272240640484</v>
      </c>
      <c r="AI504">
        <v>94.185489771622301</v>
      </c>
      <c r="AJ504">
        <v>94.393555320333405</v>
      </c>
      <c r="AK504">
        <v>15.212379838962899</v>
      </c>
      <c r="AL504">
        <v>89.519273962498403</v>
      </c>
      <c r="AM504">
        <v>93.549858444880499</v>
      </c>
      <c r="AN504">
        <v>1.0000000340494399</v>
      </c>
    </row>
    <row r="505" spans="1:40" x14ac:dyDescent="0.3">
      <c r="A505" t="str">
        <f>"20200111160415044"</f>
        <v>20200111160415044</v>
      </c>
      <c r="B505" t="str">
        <f>"1578729855041032"</f>
        <v>1578729855041032</v>
      </c>
      <c r="C505" t="s">
        <v>40</v>
      </c>
      <c r="D505">
        <v>4.7452239999999897</v>
      </c>
      <c r="E505">
        <v>0.56879709999999895</v>
      </c>
      <c r="F505" t="s">
        <v>41</v>
      </c>
      <c r="G505">
        <v>-326.28129999999999</v>
      </c>
      <c r="H505" s="1">
        <v>-1.768457E-6</v>
      </c>
      <c r="I505">
        <v>368.54070000000002</v>
      </c>
      <c r="J505">
        <v>-335.91370000000001</v>
      </c>
      <c r="K505">
        <v>1.110112</v>
      </c>
      <c r="L505">
        <v>367.53769999999997</v>
      </c>
      <c r="M505">
        <v>0.99989269999999997</v>
      </c>
      <c r="N505">
        <v>0</v>
      </c>
      <c r="O505">
        <v>3.852318E-3</v>
      </c>
      <c r="P505">
        <v>0.99777669999999996</v>
      </c>
      <c r="Q505">
        <v>-1.1170909999999999E-2</v>
      </c>
      <c r="R505">
        <v>6.5701990000000002E-2</v>
      </c>
      <c r="S505">
        <v>2.9911500000000002</v>
      </c>
      <c r="T505">
        <v>-0.22887389999999999</v>
      </c>
      <c r="U505">
        <v>0.21063229999999999</v>
      </c>
      <c r="V505">
        <v>-6.185732E-2</v>
      </c>
      <c r="W505">
        <v>2.9347539999999999E-3</v>
      </c>
      <c r="X505">
        <v>0.99808070000000004</v>
      </c>
      <c r="Y505">
        <v>-6.6219459999999994E-2</v>
      </c>
      <c r="Z505">
        <v>2.2326519999999999E-3</v>
      </c>
      <c r="AA505">
        <v>0.99780259999999998</v>
      </c>
      <c r="AB505">
        <v>40</v>
      </c>
      <c r="AC505">
        <v>9.6324000000000094</v>
      </c>
      <c r="AD505">
        <v>-1.1101137684569999</v>
      </c>
      <c r="AE505">
        <v>1.0030000000000401</v>
      </c>
      <c r="AF505">
        <v>-0.95335506904409195</v>
      </c>
      <c r="AG505">
        <v>-1.1101137684569999</v>
      </c>
      <c r="AH505">
        <v>9.5112190758152799</v>
      </c>
      <c r="AI505">
        <v>96.624330483510604</v>
      </c>
      <c r="AJ505">
        <v>95.723912244091807</v>
      </c>
      <c r="AK505">
        <v>9.6231245848083198</v>
      </c>
      <c r="AL505">
        <v>89.831850742580599</v>
      </c>
      <c r="AM505">
        <v>93.546442705567202</v>
      </c>
      <c r="AN505">
        <v>1.0000000122655499</v>
      </c>
    </row>
    <row r="506" spans="1:40" x14ac:dyDescent="0.3">
      <c r="A506" t="str">
        <f>"20200111160415055"</f>
        <v>20200111160415055</v>
      </c>
      <c r="B506" t="str">
        <f>"1578729855050792"</f>
        <v>1578729855050792</v>
      </c>
      <c r="C506" t="s">
        <v>40</v>
      </c>
      <c r="D506">
        <v>4.7377979999999997</v>
      </c>
      <c r="E506">
        <v>0.569743</v>
      </c>
      <c r="F506" t="s">
        <v>44</v>
      </c>
      <c r="G506">
        <v>-316.35860000000002</v>
      </c>
      <c r="H506">
        <v>-0.05</v>
      </c>
      <c r="I506">
        <v>365.32409999999999</v>
      </c>
      <c r="J506">
        <v>-335.7124</v>
      </c>
      <c r="K506">
        <v>1.1101080000000001</v>
      </c>
      <c r="L506">
        <v>367.5385</v>
      </c>
      <c r="M506">
        <v>0.99989349999999999</v>
      </c>
      <c r="N506">
        <v>0</v>
      </c>
      <c r="O506">
        <v>3.8567250000000001E-3</v>
      </c>
      <c r="P506">
        <v>0.99777300000000002</v>
      </c>
      <c r="Q506">
        <v>-1.153233E-2</v>
      </c>
      <c r="R506">
        <v>6.5697039999999998E-2</v>
      </c>
      <c r="S506">
        <v>3.0272519999999998</v>
      </c>
      <c r="T506">
        <v>-0.1795918</v>
      </c>
      <c r="U506">
        <v>-0.34268189999999998</v>
      </c>
      <c r="V506">
        <v>-6.1847869999999999E-2</v>
      </c>
      <c r="W506">
        <v>2.5237219999999999E-3</v>
      </c>
      <c r="X506">
        <v>0.99808240000000004</v>
      </c>
      <c r="Y506">
        <v>0.1161041</v>
      </c>
      <c r="Z506">
        <v>-3.657899E-3</v>
      </c>
      <c r="AA506">
        <v>0.99323030000000001</v>
      </c>
      <c r="AB506">
        <v>40</v>
      </c>
      <c r="AC506">
        <v>19.3537999999999</v>
      </c>
      <c r="AD506">
        <v>-1.1601079999999999</v>
      </c>
      <c r="AE506">
        <v>-2.2144000000000101</v>
      </c>
      <c r="AF506">
        <v>2.2809435458149099</v>
      </c>
      <c r="AG506">
        <v>-1.1601079999999999</v>
      </c>
      <c r="AH506">
        <v>19.276747378127698</v>
      </c>
      <c r="AI506">
        <v>93.420202437928296</v>
      </c>
      <c r="AJ506">
        <v>83.251787630044603</v>
      </c>
      <c r="AK506">
        <v>19.4458618608436</v>
      </c>
      <c r="AL506">
        <v>89.855401227629002</v>
      </c>
      <c r="AM506">
        <v>93.545896270483595</v>
      </c>
      <c r="AN506">
        <v>1.00000000269301</v>
      </c>
    </row>
    <row r="507" spans="1:40" x14ac:dyDescent="0.3">
      <c r="A507" t="str">
        <f>"20200111160415066"</f>
        <v>20200111160415066</v>
      </c>
      <c r="B507" t="str">
        <f>"1578729855061528"</f>
        <v>1578729855061528</v>
      </c>
      <c r="C507" t="s">
        <v>40</v>
      </c>
      <c r="D507">
        <v>4.7013619999999996</v>
      </c>
      <c r="E507">
        <v>0.57084979999999996</v>
      </c>
      <c r="F507" t="s">
        <v>44</v>
      </c>
      <c r="G507">
        <v>-316.59769999999997</v>
      </c>
      <c r="H507">
        <v>-0.05</v>
      </c>
      <c r="I507">
        <v>365.32760000000002</v>
      </c>
      <c r="J507">
        <v>-335.524</v>
      </c>
      <c r="K507">
        <v>1.1101030000000001</v>
      </c>
      <c r="L507">
        <v>367.53919999999999</v>
      </c>
      <c r="M507">
        <v>0.99989410000000001</v>
      </c>
      <c r="N507">
        <v>0</v>
      </c>
      <c r="O507">
        <v>3.860923E-3</v>
      </c>
      <c r="P507">
        <v>0.99776109999999896</v>
      </c>
      <c r="Q507">
        <v>-1.175523E-2</v>
      </c>
      <c r="R507">
        <v>6.5839010000000003E-2</v>
      </c>
      <c r="S507">
        <v>3.0275880000000002</v>
      </c>
      <c r="T507">
        <v>-0.18375059999999999</v>
      </c>
      <c r="U507">
        <v>-0.35018919999999998</v>
      </c>
      <c r="V507">
        <v>-6.1986409999999999E-2</v>
      </c>
      <c r="W507">
        <v>2.2547859999999999E-3</v>
      </c>
      <c r="X507">
        <v>0.99807449999999998</v>
      </c>
      <c r="Y507">
        <v>0.1185127</v>
      </c>
      <c r="Z507">
        <v>-3.8145499999999999E-3</v>
      </c>
      <c r="AA507">
        <v>0.99294519999999997</v>
      </c>
      <c r="AB507">
        <v>40</v>
      </c>
      <c r="AC507">
        <v>18.926300000000001</v>
      </c>
      <c r="AD507">
        <v>-1.1601030000000001</v>
      </c>
      <c r="AE507">
        <v>-2.21159999999997</v>
      </c>
      <c r="AF507">
        <v>2.2762267118503599</v>
      </c>
      <c r="AG507">
        <v>-1.1601030000000001</v>
      </c>
      <c r="AH507">
        <v>18.8477588048396</v>
      </c>
      <c r="AI507">
        <v>93.496838043573206</v>
      </c>
      <c r="AJ507">
        <v>83.113790376309296</v>
      </c>
      <c r="AK507">
        <v>19.020122475414201</v>
      </c>
      <c r="AL507">
        <v>89.870810175914599</v>
      </c>
      <c r="AM507">
        <v>93.553846846057198</v>
      </c>
      <c r="AN507">
        <v>1.00000005331742</v>
      </c>
    </row>
    <row r="508" spans="1:40" x14ac:dyDescent="0.3">
      <c r="A508" t="str">
        <f>"20200111160415077"</f>
        <v>20200111160415077</v>
      </c>
      <c r="B508" t="str">
        <f>"1578729855071287"</f>
        <v>1578729855071287</v>
      </c>
      <c r="C508" t="s">
        <v>40</v>
      </c>
      <c r="D508">
        <v>4.7480599999999997</v>
      </c>
      <c r="E508">
        <v>0.57083119999999998</v>
      </c>
      <c r="F508" t="s">
        <v>44</v>
      </c>
      <c r="G508">
        <v>-316.1696</v>
      </c>
      <c r="H508">
        <v>-0.05</v>
      </c>
      <c r="I508">
        <v>365.24579999999997</v>
      </c>
      <c r="J508">
        <v>-335.31639999999999</v>
      </c>
      <c r="K508">
        <v>1.1101000000000001</v>
      </c>
      <c r="L508">
        <v>367.54</v>
      </c>
      <c r="M508">
        <v>0.99989470000000003</v>
      </c>
      <c r="N508">
        <v>0</v>
      </c>
      <c r="O508">
        <v>3.8652489999999999E-3</v>
      </c>
      <c r="P508">
        <v>0.99775340000000001</v>
      </c>
      <c r="Q508">
        <v>-1.2048140000000001E-2</v>
      </c>
      <c r="R508">
        <v>6.5900849999999997E-2</v>
      </c>
      <c r="S508">
        <v>3.0282589999999998</v>
      </c>
      <c r="T508">
        <v>-0.18151439999999999</v>
      </c>
      <c r="U508">
        <v>-0.35882570000000003</v>
      </c>
      <c r="V508">
        <v>-6.204308E-2</v>
      </c>
      <c r="W508">
        <v>1.914802E-3</v>
      </c>
      <c r="X508">
        <v>0.99807159999999995</v>
      </c>
      <c r="Y508">
        <v>0.12128559999999999</v>
      </c>
      <c r="Z508">
        <v>-3.849763E-3</v>
      </c>
      <c r="AA508">
        <v>0.9926102</v>
      </c>
      <c r="AB508">
        <v>40</v>
      </c>
      <c r="AC508">
        <v>19.146799999999899</v>
      </c>
      <c r="AD508">
        <v>-1.1600999999999999</v>
      </c>
      <c r="AE508">
        <v>-2.29420000000004</v>
      </c>
      <c r="AF508">
        <v>2.35965727680624</v>
      </c>
      <c r="AG508">
        <v>-1.1600999999999999</v>
      </c>
      <c r="AH508">
        <v>19.068775512254899</v>
      </c>
      <c r="AI508">
        <v>93.455162250126406</v>
      </c>
      <c r="AJ508">
        <v>82.945819214308102</v>
      </c>
      <c r="AK508">
        <v>19.2492081398367</v>
      </c>
      <c r="AL508">
        <v>89.890289855858796</v>
      </c>
      <c r="AM508">
        <v>93.557097859567506</v>
      </c>
      <c r="AN508">
        <v>0.99999996448457196</v>
      </c>
    </row>
    <row r="509" spans="1:40" x14ac:dyDescent="0.3">
      <c r="A509" t="str">
        <f>"20200111160415088"</f>
        <v>20200111160415088</v>
      </c>
      <c r="B509" t="str">
        <f>"1578729855081047"</f>
        <v>1578729855081047</v>
      </c>
      <c r="C509" t="s">
        <v>40</v>
      </c>
      <c r="D509">
        <v>4.7591409999999996</v>
      </c>
      <c r="E509">
        <v>0.5705228</v>
      </c>
      <c r="F509" t="s">
        <v>44</v>
      </c>
      <c r="G509">
        <v>-316.22280000000001</v>
      </c>
      <c r="H509">
        <v>-0.05</v>
      </c>
      <c r="I509">
        <v>365.28019999999998</v>
      </c>
      <c r="J509">
        <v>-335.12619999999998</v>
      </c>
      <c r="K509">
        <v>1.1100950000000001</v>
      </c>
      <c r="L509">
        <v>367.54070000000002</v>
      </c>
      <c r="M509">
        <v>0.99989530000000004</v>
      </c>
      <c r="N509">
        <v>0</v>
      </c>
      <c r="O509">
        <v>3.8692919999999999E-3</v>
      </c>
      <c r="P509">
        <v>0.99774320000000005</v>
      </c>
      <c r="Q509">
        <v>-1.230759E-2</v>
      </c>
      <c r="R509">
        <v>6.6007789999999997E-2</v>
      </c>
      <c r="S509">
        <v>3.0281980000000002</v>
      </c>
      <c r="T509">
        <v>-0.18398880000000001</v>
      </c>
      <c r="U509">
        <v>-0.35839840000000001</v>
      </c>
      <c r="V509">
        <v>-6.2146390000000003E-2</v>
      </c>
      <c r="W509">
        <v>1.614395E-3</v>
      </c>
      <c r="X509">
        <v>0.99806569999999994</v>
      </c>
      <c r="Y509">
        <v>0.12114800000000001</v>
      </c>
      <c r="Z509">
        <v>-3.8983400000000001E-3</v>
      </c>
      <c r="AA509">
        <v>0.99262680000000003</v>
      </c>
      <c r="AB509">
        <v>40</v>
      </c>
      <c r="AC509">
        <v>18.903399999999898</v>
      </c>
      <c r="AD509">
        <v>-1.1600950000000001</v>
      </c>
      <c r="AE509">
        <v>-2.2605000000000302</v>
      </c>
      <c r="AF509">
        <v>2.3249999183311099</v>
      </c>
      <c r="AG509">
        <v>-1.1600950000000001</v>
      </c>
      <c r="AH509">
        <v>18.8246127221405</v>
      </c>
      <c r="AI509">
        <v>93.499951708150306</v>
      </c>
      <c r="AJ509">
        <v>82.959140263331903</v>
      </c>
      <c r="AK509">
        <v>19.003091568685399</v>
      </c>
      <c r="AL509">
        <v>89.907501936226794</v>
      </c>
      <c r="AM509">
        <v>93.563026664319295</v>
      </c>
      <c r="AN509">
        <v>0.99999996078886799</v>
      </c>
    </row>
    <row r="510" spans="1:40" x14ac:dyDescent="0.3">
      <c r="A510" t="str">
        <f>"20200111160415099"</f>
        <v>20200111160415099</v>
      </c>
      <c r="B510" t="str">
        <f>"1578729855090808"</f>
        <v>1578729855090808</v>
      </c>
      <c r="C510" t="s">
        <v>40</v>
      </c>
      <c r="D510">
        <v>4.7646449999999998</v>
      </c>
      <c r="E510">
        <v>0.57045809999999997</v>
      </c>
      <c r="F510" t="s">
        <v>44</v>
      </c>
      <c r="G510">
        <v>-316.02249999999998</v>
      </c>
      <c r="H510">
        <v>-0.05</v>
      </c>
      <c r="I510">
        <v>365.29770000000002</v>
      </c>
      <c r="J510">
        <v>-334.93459999999999</v>
      </c>
      <c r="K510">
        <v>1.1100969999999999</v>
      </c>
      <c r="L510">
        <v>367.54149999999998</v>
      </c>
      <c r="M510">
        <v>0.99989589999999995</v>
      </c>
      <c r="N510">
        <v>0</v>
      </c>
      <c r="O510">
        <v>3.8732599999999999E-3</v>
      </c>
      <c r="P510">
        <v>0.99773060000000002</v>
      </c>
      <c r="Q510">
        <v>-1.2435959999999999E-2</v>
      </c>
      <c r="R510">
        <v>6.6178920000000002E-2</v>
      </c>
      <c r="S510">
        <v>3.0280149999999999</v>
      </c>
      <c r="T510">
        <v>-0.18387980000000001</v>
      </c>
      <c r="U510">
        <v>-0.35552979999999901</v>
      </c>
      <c r="V510">
        <v>-6.2313929999999997E-2</v>
      </c>
      <c r="W510">
        <v>1.4470259999999999E-3</v>
      </c>
      <c r="X510">
        <v>0.99805560000000004</v>
      </c>
      <c r="Y510">
        <v>0.120233199999999</v>
      </c>
      <c r="Z510">
        <v>-3.8690679999999998E-3</v>
      </c>
      <c r="AA510">
        <v>0.99273809999999996</v>
      </c>
      <c r="AB510">
        <v>40</v>
      </c>
      <c r="AC510">
        <v>18.912099999999999</v>
      </c>
      <c r="AD510">
        <v>-1.1600969999999999</v>
      </c>
      <c r="AE510">
        <v>-2.2437999999999598</v>
      </c>
      <c r="AF510">
        <v>2.3084760038496799</v>
      </c>
      <c r="AG510">
        <v>-1.1600969999999999</v>
      </c>
      <c r="AH510">
        <v>18.833384209273099</v>
      </c>
      <c r="AI510">
        <v>93.498727152759599</v>
      </c>
      <c r="AJ510">
        <v>83.011907050211903</v>
      </c>
      <c r="AK510">
        <v>19.009767154908999</v>
      </c>
      <c r="AL510">
        <v>89.917091492584703</v>
      </c>
      <c r="AM510">
        <v>93.572643417096003</v>
      </c>
      <c r="AN510">
        <v>1.00000005022382</v>
      </c>
    </row>
    <row r="511" spans="1:40" x14ac:dyDescent="0.3">
      <c r="A511" t="str">
        <f>"20200111160415110"</f>
        <v>20200111160415110</v>
      </c>
      <c r="B511" t="str">
        <f>"1578729855101543"</f>
        <v>1578729855101543</v>
      </c>
      <c r="C511" t="s">
        <v>40</v>
      </c>
      <c r="D511">
        <v>4.9192010000000002</v>
      </c>
      <c r="E511">
        <v>0.57105859999999997</v>
      </c>
      <c r="F511" t="s">
        <v>44</v>
      </c>
      <c r="G511">
        <v>-315.9554</v>
      </c>
      <c r="H511">
        <v>-0.05</v>
      </c>
      <c r="I511">
        <v>365.31880000000001</v>
      </c>
      <c r="J511">
        <v>-334.7396</v>
      </c>
      <c r="K511">
        <v>1.110096</v>
      </c>
      <c r="L511">
        <v>367.54230000000001</v>
      </c>
      <c r="M511">
        <v>0.99989629999999996</v>
      </c>
      <c r="N511">
        <v>0</v>
      </c>
      <c r="O511">
        <v>3.8773940000000002E-3</v>
      </c>
      <c r="P511">
        <v>0.99772280000000002</v>
      </c>
      <c r="Q511">
        <v>-1.2464299999999999E-2</v>
      </c>
      <c r="R511">
        <v>6.6286769999999995E-2</v>
      </c>
      <c r="S511">
        <v>3.0280149999999999</v>
      </c>
      <c r="T511">
        <v>-0.185086</v>
      </c>
      <c r="U511">
        <v>-0.35461429999999999</v>
      </c>
      <c r="V511">
        <v>-6.2417199999999999E-2</v>
      </c>
      <c r="W511">
        <v>1.3816989999999999E-3</v>
      </c>
      <c r="X511">
        <v>0.99804919999999997</v>
      </c>
      <c r="Y511">
        <v>0.1199388</v>
      </c>
      <c r="Z511">
        <v>-3.8857589999999999E-3</v>
      </c>
      <c r="AA511">
        <v>0.99277369999999998</v>
      </c>
      <c r="AB511">
        <v>40</v>
      </c>
      <c r="AC511">
        <v>18.784199999999998</v>
      </c>
      <c r="AD511">
        <v>-1.160096</v>
      </c>
      <c r="AE511">
        <v>-2.2235</v>
      </c>
      <c r="AF511">
        <v>2.2877188093037799</v>
      </c>
      <c r="AG511">
        <v>-1.160096</v>
      </c>
      <c r="AH511">
        <v>18.705077656959801</v>
      </c>
      <c r="AI511">
        <v>93.5227772307355</v>
      </c>
      <c r="AJ511">
        <v>83.027087537872305</v>
      </c>
      <c r="AK511">
        <v>18.880132685777301</v>
      </c>
      <c r="AL511">
        <v>89.920834454407199</v>
      </c>
      <c r="AM511">
        <v>93.578571708953106</v>
      </c>
      <c r="AN511">
        <v>1.0000000107842999</v>
      </c>
    </row>
    <row r="512" spans="1:40" x14ac:dyDescent="0.3">
      <c r="A512" t="str">
        <f>"20200111160415123"</f>
        <v>20200111160415123</v>
      </c>
      <c r="B512" t="str">
        <f>"1578729855121065"</f>
        <v>1578729855121065</v>
      </c>
      <c r="C512" t="s">
        <v>40</v>
      </c>
      <c r="D512">
        <v>4.772697</v>
      </c>
      <c r="E512">
        <v>0.57090969999999996</v>
      </c>
      <c r="F512" t="s">
        <v>44</v>
      </c>
      <c r="G512">
        <v>-315.30439999999999</v>
      </c>
      <c r="H512">
        <v>-0.05</v>
      </c>
      <c r="I512">
        <v>365.23599999999999</v>
      </c>
      <c r="J512">
        <v>-334.49639999999999</v>
      </c>
      <c r="K512">
        <v>1.110096</v>
      </c>
      <c r="L512">
        <v>367.54320000000001</v>
      </c>
      <c r="M512">
        <v>0.99989700000000004</v>
      </c>
      <c r="N512">
        <v>0</v>
      </c>
      <c r="O512">
        <v>3.882529E-3</v>
      </c>
      <c r="P512">
        <v>0.99772090000000002</v>
      </c>
      <c r="Q512">
        <v>-1.210759E-2</v>
      </c>
      <c r="R512">
        <v>6.6382819999999995E-2</v>
      </c>
      <c r="S512">
        <v>3.0284420000000001</v>
      </c>
      <c r="T512">
        <v>-0.18076929999999999</v>
      </c>
      <c r="U512">
        <v>-0.359375</v>
      </c>
      <c r="V512">
        <v>-6.2508560000000005E-2</v>
      </c>
      <c r="W512">
        <v>1.6940270000000001E-3</v>
      </c>
      <c r="X512">
        <v>0.99804300000000001</v>
      </c>
      <c r="Y512">
        <v>0.1214747</v>
      </c>
      <c r="Z512">
        <v>-3.8403640000000002E-3</v>
      </c>
      <c r="AA512">
        <v>0.99258710000000006</v>
      </c>
      <c r="AB512">
        <v>40</v>
      </c>
      <c r="AC512">
        <v>19.192</v>
      </c>
      <c r="AD512">
        <v>-1.160096</v>
      </c>
      <c r="AE512">
        <v>-2.3072000000000199</v>
      </c>
      <c r="AF512">
        <v>2.3731556591810499</v>
      </c>
      <c r="AG512">
        <v>-1.160096</v>
      </c>
      <c r="AH512">
        <v>19.1140522941547</v>
      </c>
      <c r="AI512">
        <v>93.446812271268399</v>
      </c>
      <c r="AJ512">
        <v>82.922509617450501</v>
      </c>
      <c r="AK512">
        <v>19.295716768640599</v>
      </c>
      <c r="AL512">
        <v>89.902939357049405</v>
      </c>
      <c r="AM512">
        <v>93.583818224960595</v>
      </c>
      <c r="AN512">
        <v>1.00000000982487</v>
      </c>
    </row>
    <row r="513" spans="1:40" x14ac:dyDescent="0.3">
      <c r="A513" t="str">
        <f>"20200111160415136"</f>
        <v>20200111160415136</v>
      </c>
      <c r="B513" t="str">
        <f>"1578729855130823"</f>
        <v>1578729855130823</v>
      </c>
      <c r="C513" t="s">
        <v>40</v>
      </c>
      <c r="D513">
        <v>4.7821040000000004</v>
      </c>
      <c r="E513">
        <v>0.57084919999999995</v>
      </c>
      <c r="F513" t="s">
        <v>44</v>
      </c>
      <c r="G513">
        <v>-314.82749999999999</v>
      </c>
      <c r="H513">
        <v>-0.05</v>
      </c>
      <c r="I513">
        <v>365.2183</v>
      </c>
      <c r="J513">
        <v>-334.26830000000001</v>
      </c>
      <c r="K513">
        <v>1.110096</v>
      </c>
      <c r="L513">
        <v>367.54410000000001</v>
      </c>
      <c r="M513">
        <v>0.99989740000000005</v>
      </c>
      <c r="N513">
        <v>0</v>
      </c>
      <c r="O513">
        <v>3.8875530000000002E-3</v>
      </c>
      <c r="P513">
        <v>0.99771679999999996</v>
      </c>
      <c r="Q513">
        <v>-1.1985579999999999E-2</v>
      </c>
      <c r="R513">
        <v>6.6463880000000003E-2</v>
      </c>
      <c r="S513">
        <v>3.028473</v>
      </c>
      <c r="T513">
        <v>-0.17862349999999999</v>
      </c>
      <c r="U513">
        <v>-0.35797119999999999</v>
      </c>
      <c r="V513">
        <v>-6.2584210000000001E-2</v>
      </c>
      <c r="W513">
        <v>1.778904E-3</v>
      </c>
      <c r="X513">
        <v>0.99803810000000004</v>
      </c>
      <c r="Y513">
        <v>0.1210307</v>
      </c>
      <c r="Z513">
        <v>-3.7821780000000002E-3</v>
      </c>
      <c r="AA513">
        <v>0.99264160000000001</v>
      </c>
      <c r="AB513">
        <v>40</v>
      </c>
      <c r="AC513">
        <v>19.440799999999999</v>
      </c>
      <c r="AD513">
        <v>-1.160096</v>
      </c>
      <c r="AE513">
        <v>-2.3258000000000099</v>
      </c>
      <c r="AF513">
        <v>2.3929658748614502</v>
      </c>
      <c r="AG513">
        <v>-1.160096</v>
      </c>
      <c r="AH513">
        <v>19.363631561057399</v>
      </c>
      <c r="AI513">
        <v>93.402730151198696</v>
      </c>
      <c r="AJ513">
        <v>82.955081765737205</v>
      </c>
      <c r="AK513">
        <v>19.545391672715201</v>
      </c>
      <c r="AL513">
        <v>89.898076254726305</v>
      </c>
      <c r="AM513">
        <v>93.588161730518394</v>
      </c>
      <c r="AN513">
        <v>0.99999999844618703</v>
      </c>
    </row>
    <row r="514" spans="1:40" x14ac:dyDescent="0.3">
      <c r="A514" t="str">
        <f>"20200111160415147"</f>
        <v>20200111160415147</v>
      </c>
      <c r="B514" t="str">
        <f>"1578729855141560"</f>
        <v>1578729855141560</v>
      </c>
      <c r="C514" t="s">
        <v>40</v>
      </c>
      <c r="D514">
        <v>4.883356</v>
      </c>
      <c r="E514">
        <v>0.57105980000000001</v>
      </c>
      <c r="F514" t="s">
        <v>44</v>
      </c>
      <c r="G514">
        <v>-314.43419999999998</v>
      </c>
      <c r="H514">
        <v>-0.05</v>
      </c>
      <c r="I514">
        <v>365.20310000000001</v>
      </c>
      <c r="J514">
        <v>-334.08240000000001</v>
      </c>
      <c r="K514">
        <v>1.1100950000000001</v>
      </c>
      <c r="L514">
        <v>367.54480000000001</v>
      </c>
      <c r="M514">
        <v>0.9998977</v>
      </c>
      <c r="N514">
        <v>0</v>
      </c>
      <c r="O514">
        <v>3.8917460000000002E-3</v>
      </c>
      <c r="P514">
        <v>0.99770599999999998</v>
      </c>
      <c r="Q514">
        <v>-1.204415E-2</v>
      </c>
      <c r="R514">
        <v>6.6615369999999993E-2</v>
      </c>
      <c r="S514">
        <v>3.0285639999999998</v>
      </c>
      <c r="T514">
        <v>-0.1771404</v>
      </c>
      <c r="U514">
        <v>-0.3574524</v>
      </c>
      <c r="V514">
        <v>-6.2731750000000003E-2</v>
      </c>
      <c r="W514">
        <v>1.6916429999999901E-3</v>
      </c>
      <c r="X514">
        <v>0.99802900000000005</v>
      </c>
      <c r="Y514">
        <v>0.1208675</v>
      </c>
      <c r="Z514">
        <v>-3.746245E-3</v>
      </c>
      <c r="AA514">
        <v>0.99266160000000003</v>
      </c>
      <c r="AB514">
        <v>40</v>
      </c>
      <c r="AC514">
        <v>19.648199999999999</v>
      </c>
      <c r="AD514">
        <v>-1.1600950000000001</v>
      </c>
      <c r="AE514">
        <v>-2.3416999999999999</v>
      </c>
      <c r="AF514">
        <v>2.4098718827321202</v>
      </c>
      <c r="AG514">
        <v>-1.1600950000000001</v>
      </c>
      <c r="AH514">
        <v>19.571663532115998</v>
      </c>
      <c r="AI514">
        <v>93.366826015426994</v>
      </c>
      <c r="AJ514">
        <v>82.980465219006007</v>
      </c>
      <c r="AK514">
        <v>19.753564648299999</v>
      </c>
      <c r="AL514">
        <v>89.903075950348494</v>
      </c>
      <c r="AM514">
        <v>93.596631221428396</v>
      </c>
      <c r="AN514">
        <v>1.0000000094775501</v>
      </c>
    </row>
    <row r="515" spans="1:40" x14ac:dyDescent="0.3">
      <c r="A515" t="str">
        <f>"20200111160415160"</f>
        <v>20200111160415160</v>
      </c>
      <c r="B515" t="str">
        <f>"1578729855151319"</f>
        <v>1578729855151319</v>
      </c>
      <c r="C515" t="s">
        <v>40</v>
      </c>
      <c r="D515">
        <v>4.7856500000000004</v>
      </c>
      <c r="E515">
        <v>0.57104060000000001</v>
      </c>
      <c r="F515" t="s">
        <v>44</v>
      </c>
      <c r="G515">
        <v>-314.233</v>
      </c>
      <c r="H515">
        <v>-0.05</v>
      </c>
      <c r="I515">
        <v>365.19600000000003</v>
      </c>
      <c r="J515">
        <v>-333.86169999999998</v>
      </c>
      <c r="K515">
        <v>1.110093</v>
      </c>
      <c r="L515">
        <v>367.54570000000001</v>
      </c>
      <c r="M515">
        <v>0.99989810000000001</v>
      </c>
      <c r="N515">
        <v>0</v>
      </c>
      <c r="O515">
        <v>3.8964960000000002E-3</v>
      </c>
      <c r="P515">
        <v>0.99771569999999998</v>
      </c>
      <c r="Q515">
        <v>-1.216128E-2</v>
      </c>
      <c r="R515">
        <v>6.6451540000000003E-2</v>
      </c>
      <c r="S515">
        <v>3.0286870000000001</v>
      </c>
      <c r="T515">
        <v>-0.17701129999999901</v>
      </c>
      <c r="U515">
        <v>-0.35839840000000001</v>
      </c>
      <c r="V515">
        <v>-6.2563300000000002E-2</v>
      </c>
      <c r="W515">
        <v>1.54287E-3</v>
      </c>
      <c r="X515">
        <v>0.99803980000000003</v>
      </c>
      <c r="Y515">
        <v>0.12117319999999999</v>
      </c>
      <c r="Z515">
        <v>-3.7524699999999999E-3</v>
      </c>
      <c r="AA515">
        <v>0.99262430000000001</v>
      </c>
      <c r="AB515">
        <v>40</v>
      </c>
      <c r="AC515">
        <v>19.628699999999899</v>
      </c>
      <c r="AD515">
        <v>-1.160093</v>
      </c>
      <c r="AE515">
        <v>-2.3497000000000399</v>
      </c>
      <c r="AF515">
        <v>2.4178462248072901</v>
      </c>
      <c r="AG515">
        <v>-1.160093</v>
      </c>
      <c r="AH515">
        <v>19.552063369463699</v>
      </c>
      <c r="AI515">
        <v>93.369970428963001</v>
      </c>
      <c r="AJ515">
        <v>82.950481370057503</v>
      </c>
      <c r="AK515">
        <v>19.735120423726499</v>
      </c>
      <c r="AL515">
        <v>89.911600025119398</v>
      </c>
      <c r="AM515">
        <v>93.586959927013197</v>
      </c>
      <c r="AN515">
        <v>0.99999999466938305</v>
      </c>
    </row>
    <row r="516" spans="1:40" x14ac:dyDescent="0.3">
      <c r="A516" t="str">
        <f>"20200111160415172"</f>
        <v>20200111160415172</v>
      </c>
      <c r="B516" t="str">
        <f>"1578729855161079"</f>
        <v>1578729855161079</v>
      </c>
      <c r="C516" t="s">
        <v>40</v>
      </c>
      <c r="D516">
        <v>4.8511639999999998</v>
      </c>
      <c r="E516">
        <v>0.57122890000000004</v>
      </c>
      <c r="F516" t="s">
        <v>44</v>
      </c>
      <c r="G516">
        <v>-314.07960000000003</v>
      </c>
      <c r="H516">
        <v>-0.05</v>
      </c>
      <c r="I516">
        <v>365.20249999999999</v>
      </c>
      <c r="J516">
        <v>-333.63889999999998</v>
      </c>
      <c r="K516">
        <v>1.1100909999999999</v>
      </c>
      <c r="L516">
        <v>367.54649999999998</v>
      </c>
      <c r="M516">
        <v>0.99989859999999997</v>
      </c>
      <c r="N516">
        <v>0</v>
      </c>
      <c r="O516">
        <v>3.9015870000000002E-3</v>
      </c>
      <c r="P516">
        <v>0.99772400000000006</v>
      </c>
      <c r="Q516">
        <v>-1.235551E-2</v>
      </c>
      <c r="R516">
        <v>6.6290070000000006E-2</v>
      </c>
      <c r="S516">
        <v>3.0286249999999999</v>
      </c>
      <c r="T516">
        <v>-0.17760919999999999</v>
      </c>
      <c r="U516">
        <v>-0.3587341</v>
      </c>
      <c r="V516">
        <v>-6.2396750000000001E-2</v>
      </c>
      <c r="W516">
        <v>1.319233E-3</v>
      </c>
      <c r="X516">
        <v>0.99805060000000001</v>
      </c>
      <c r="Y516">
        <v>0.1212874</v>
      </c>
      <c r="Z516">
        <v>-3.7688079999999998E-3</v>
      </c>
      <c r="AA516">
        <v>0.99261029999999995</v>
      </c>
      <c r="AB516">
        <v>40</v>
      </c>
      <c r="AC516">
        <v>19.559299999999901</v>
      </c>
      <c r="AD516">
        <v>-1.160091</v>
      </c>
      <c r="AE516">
        <v>-2.3439999999999901</v>
      </c>
      <c r="AF516">
        <v>2.4119369206948602</v>
      </c>
      <c r="AG516">
        <v>-1.160091</v>
      </c>
      <c r="AH516">
        <v>19.482438965763599</v>
      </c>
      <c r="AI516">
        <v>93.381922975337901</v>
      </c>
      <c r="AJ516">
        <v>82.942658992476296</v>
      </c>
      <c r="AK516">
        <v>19.665418350302001</v>
      </c>
      <c r="AL516">
        <v>89.924413498569095</v>
      </c>
      <c r="AM516">
        <v>93.577397287198295</v>
      </c>
      <c r="AN516">
        <v>1.0000000474733099</v>
      </c>
    </row>
    <row r="517" spans="1:40" x14ac:dyDescent="0.3">
      <c r="A517" t="str">
        <f>"20200111160415189"</f>
        <v>20200111160415189</v>
      </c>
      <c r="B517" t="str">
        <f>"1578729855181575"</f>
        <v>1578729855181575</v>
      </c>
      <c r="C517" t="s">
        <v>40</v>
      </c>
      <c r="D517">
        <v>4.8217499999999998</v>
      </c>
      <c r="E517">
        <v>0.57112719999999995</v>
      </c>
      <c r="F517" t="s">
        <v>44</v>
      </c>
      <c r="G517">
        <v>-313.87509999999997</v>
      </c>
      <c r="H517">
        <v>-0.05</v>
      </c>
      <c r="I517">
        <v>365.19319999999999</v>
      </c>
      <c r="J517">
        <v>-333.34289999999999</v>
      </c>
      <c r="K517">
        <v>1.110088</v>
      </c>
      <c r="L517">
        <v>367.54770000000002</v>
      </c>
      <c r="M517">
        <v>0.99989910000000004</v>
      </c>
      <c r="N517">
        <v>0</v>
      </c>
      <c r="O517">
        <v>3.9080959999999998E-3</v>
      </c>
      <c r="P517">
        <v>0.99775230000000004</v>
      </c>
      <c r="Q517">
        <v>-1.2119080000000001E-2</v>
      </c>
      <c r="R517">
        <v>6.5909419999999996E-2</v>
      </c>
      <c r="S517">
        <v>3.0285950000000001</v>
      </c>
      <c r="T517">
        <v>-0.17777129999999999</v>
      </c>
      <c r="U517">
        <v>-0.36062620000000001</v>
      </c>
      <c r="V517">
        <v>-6.2009340000000003E-2</v>
      </c>
      <c r="W517">
        <v>1.519505E-3</v>
      </c>
      <c r="X517">
        <v>0.99807440000000003</v>
      </c>
      <c r="Y517">
        <v>0.1219051</v>
      </c>
      <c r="Z517">
        <v>-3.7905700000000001E-3</v>
      </c>
      <c r="AA517">
        <v>0.99253449999999999</v>
      </c>
      <c r="AB517">
        <v>40</v>
      </c>
      <c r="AC517">
        <v>19.4678</v>
      </c>
      <c r="AD517">
        <v>-1.160088</v>
      </c>
      <c r="AE517">
        <v>-2.35450000000003</v>
      </c>
      <c r="AF517">
        <v>2.4220943301502902</v>
      </c>
      <c r="AG517">
        <v>-1.160088</v>
      </c>
      <c r="AH517">
        <v>19.390585918016601</v>
      </c>
      <c r="AI517">
        <v>93.397436017036696</v>
      </c>
      <c r="AJ517">
        <v>82.880013736614799</v>
      </c>
      <c r="AK517">
        <v>19.5756779539273</v>
      </c>
      <c r="AL517">
        <v>89.912938741963501</v>
      </c>
      <c r="AM517">
        <v>93.555158468525406</v>
      </c>
      <c r="AN517">
        <v>0.99999998753901997</v>
      </c>
    </row>
    <row r="518" spans="1:40" x14ac:dyDescent="0.3">
      <c r="A518" t="str">
        <f>"20200111160415201"</f>
        <v>20200111160415201</v>
      </c>
      <c r="B518" t="str">
        <f>"1578729855191337"</f>
        <v>1578729855191337</v>
      </c>
      <c r="C518" t="s">
        <v>40</v>
      </c>
      <c r="D518">
        <v>4.8460970000000003</v>
      </c>
      <c r="E518">
        <v>0.57120329999999997</v>
      </c>
      <c r="F518" t="s">
        <v>44</v>
      </c>
      <c r="G518">
        <v>-313.1207</v>
      </c>
      <c r="H518">
        <v>-0.05</v>
      </c>
      <c r="I518">
        <v>365.1352</v>
      </c>
      <c r="J518">
        <v>-333.12720000000002</v>
      </c>
      <c r="K518">
        <v>1.110079</v>
      </c>
      <c r="L518">
        <v>367.54860000000002</v>
      </c>
      <c r="M518">
        <v>0.99989930000000005</v>
      </c>
      <c r="N518">
        <v>0</v>
      </c>
      <c r="O518">
        <v>3.9129730000000001E-3</v>
      </c>
      <c r="P518">
        <v>0.99777039999999995</v>
      </c>
      <c r="Q518">
        <v>-1.205411E-2</v>
      </c>
      <c r="R518">
        <v>6.5642649999999997E-2</v>
      </c>
      <c r="S518">
        <v>3.0285340000000001</v>
      </c>
      <c r="T518">
        <v>-0.17373759999999999</v>
      </c>
      <c r="U518">
        <v>-0.3612976</v>
      </c>
      <c r="V518">
        <v>-6.1737590000000002E-2</v>
      </c>
      <c r="W518">
        <v>1.5600360000000001E-3</v>
      </c>
      <c r="X518">
        <v>0.99809119999999996</v>
      </c>
      <c r="Y518">
        <v>0.12213839999999999</v>
      </c>
      <c r="Z518">
        <v>-3.7116710000000002E-3</v>
      </c>
      <c r="AA518">
        <v>0.99250609999999995</v>
      </c>
      <c r="AB518">
        <v>39</v>
      </c>
      <c r="AC518">
        <v>20.006499999999999</v>
      </c>
      <c r="AD518">
        <v>-1.1600790000000001</v>
      </c>
      <c r="AE518">
        <v>-2.4134000000000202</v>
      </c>
      <c r="AF518">
        <v>2.4834434506913299</v>
      </c>
      <c r="AG518">
        <v>-1.1600790000000001</v>
      </c>
      <c r="AH518">
        <v>19.930850582794999</v>
      </c>
      <c r="AI518">
        <v>93.305648071772197</v>
      </c>
      <c r="AJ518">
        <v>82.897382142333498</v>
      </c>
      <c r="AK518">
        <v>20.118451223012201</v>
      </c>
      <c r="AL518">
        <v>89.910616485379805</v>
      </c>
      <c r="AM518">
        <v>93.539558596684401</v>
      </c>
      <c r="AN518">
        <v>1.0000000036243799</v>
      </c>
    </row>
    <row r="519" spans="1:40" x14ac:dyDescent="0.3">
      <c r="A519" t="str">
        <f>"20200111160415214"</f>
        <v>20200111160415214</v>
      </c>
      <c r="B519" t="str">
        <f>"1578729855210857"</f>
        <v>1578729855210857</v>
      </c>
      <c r="C519" t="s">
        <v>40</v>
      </c>
      <c r="D519">
        <v>4.8551650000000004</v>
      </c>
      <c r="E519">
        <v>0.57129869999999905</v>
      </c>
      <c r="F519" t="s">
        <v>44</v>
      </c>
      <c r="G519">
        <v>-312.79360000000003</v>
      </c>
      <c r="H519">
        <v>-0.05</v>
      </c>
      <c r="I519">
        <v>365.11290000000002</v>
      </c>
      <c r="J519">
        <v>-332.91430000000003</v>
      </c>
      <c r="K519">
        <v>1.1100760000000001</v>
      </c>
      <c r="L519">
        <v>367.54939999999999</v>
      </c>
      <c r="M519">
        <v>0.99989969999999995</v>
      </c>
      <c r="N519">
        <v>0</v>
      </c>
      <c r="O519">
        <v>3.9179970000000003E-3</v>
      </c>
      <c r="P519">
        <v>0.99777349999999998</v>
      </c>
      <c r="Q519">
        <v>-1.2009529999999999E-2</v>
      </c>
      <c r="R519">
        <v>6.5605330000000003E-2</v>
      </c>
      <c r="S519">
        <v>3.028473</v>
      </c>
      <c r="T519">
        <v>-0.1727812</v>
      </c>
      <c r="U519">
        <v>-0.36276249999999999</v>
      </c>
      <c r="V519">
        <v>-6.1695699999999999E-2</v>
      </c>
      <c r="W519">
        <v>1.5848310000000001E-3</v>
      </c>
      <c r="X519">
        <v>0.99809369999999997</v>
      </c>
      <c r="Y519">
        <v>0.12262049999999999</v>
      </c>
      <c r="Z519">
        <v>-3.7052180000000001E-3</v>
      </c>
      <c r="AA519">
        <v>0.99244670000000001</v>
      </c>
      <c r="AB519">
        <v>39</v>
      </c>
      <c r="AC519">
        <v>20.120699999999999</v>
      </c>
      <c r="AD519">
        <v>-1.1600760000000001</v>
      </c>
      <c r="AE519">
        <v>-2.4364999999999601</v>
      </c>
      <c r="AF519">
        <v>2.50710776459518</v>
      </c>
      <c r="AG519">
        <v>-1.1600760000000001</v>
      </c>
      <c r="AH519">
        <v>20.045326839978902</v>
      </c>
      <c r="AI519">
        <v>93.2866139277874</v>
      </c>
      <c r="AJ519">
        <v>82.870925667429006</v>
      </c>
      <c r="AK519">
        <v>20.2347842536225</v>
      </c>
      <c r="AL519">
        <v>89.909195830136298</v>
      </c>
      <c r="AM519">
        <v>93.537154208520207</v>
      </c>
      <c r="AN519">
        <v>0.99999995253373797</v>
      </c>
    </row>
    <row r="520" spans="1:40" x14ac:dyDescent="0.3">
      <c r="A520" t="str">
        <f>"20200111160415228"</f>
        <v>20200111160415228</v>
      </c>
      <c r="B520" t="str">
        <f>"1578729855221591"</f>
        <v>1578729855221591</v>
      </c>
      <c r="C520" t="s">
        <v>40</v>
      </c>
      <c r="D520">
        <v>4.8435350000000001</v>
      </c>
      <c r="E520">
        <v>0.57134929999999995</v>
      </c>
      <c r="F520" t="s">
        <v>44</v>
      </c>
      <c r="G520">
        <v>-312.51819999999998</v>
      </c>
      <c r="H520">
        <v>-0.05</v>
      </c>
      <c r="I520">
        <v>365.101</v>
      </c>
      <c r="J520">
        <v>-332.65249999999997</v>
      </c>
      <c r="K520">
        <v>1.1100760000000001</v>
      </c>
      <c r="L520">
        <v>367.55040000000002</v>
      </c>
      <c r="M520">
        <v>0.99989989999999995</v>
      </c>
      <c r="N520">
        <v>0</v>
      </c>
      <c r="O520">
        <v>3.9241609999999998E-3</v>
      </c>
      <c r="P520">
        <v>0.99778869999999997</v>
      </c>
      <c r="Q520">
        <v>-1.2237990000000001E-2</v>
      </c>
      <c r="R520">
        <v>6.5332639999999997E-2</v>
      </c>
      <c r="S520">
        <v>3.0285030000000002</v>
      </c>
      <c r="T520">
        <v>-0.17225279999999901</v>
      </c>
      <c r="U520">
        <v>-0.36355589999999999</v>
      </c>
      <c r="V520">
        <v>-6.1416350000000001E-2</v>
      </c>
      <c r="W520">
        <v>1.3354459999999999E-3</v>
      </c>
      <c r="X520">
        <v>0.99811139999999998</v>
      </c>
      <c r="Y520">
        <v>0.12288259999999999</v>
      </c>
      <c r="Z520">
        <v>-3.7015799999999999E-3</v>
      </c>
      <c r="AA520">
        <v>0.99241429999999997</v>
      </c>
      <c r="AB520">
        <v>39</v>
      </c>
      <c r="AC520">
        <v>20.1343</v>
      </c>
      <c r="AD520">
        <v>-1.1600760000000001</v>
      </c>
      <c r="AE520">
        <v>-2.4494000000000198</v>
      </c>
      <c r="AF520">
        <v>2.5201545069061102</v>
      </c>
      <c r="AG520">
        <v>-1.1600760000000001</v>
      </c>
      <c r="AH520">
        <v>20.0589136141006</v>
      </c>
      <c r="AI520">
        <v>93.284163841064398</v>
      </c>
      <c r="AJ520">
        <v>82.839014630794296</v>
      </c>
      <c r="AK520">
        <v>20.249863467253501</v>
      </c>
      <c r="AL520">
        <v>89.923484562214</v>
      </c>
      <c r="AM520">
        <v>93.521116541691697</v>
      </c>
      <c r="AN520">
        <v>1.00000005913664</v>
      </c>
    </row>
    <row r="521" spans="1:40" x14ac:dyDescent="0.3">
      <c r="A521" t="str">
        <f>"20200111160415245"</f>
        <v>20200111160415245</v>
      </c>
      <c r="B521" t="str">
        <f>"1578729855241111"</f>
        <v>1578729855241111</v>
      </c>
      <c r="C521" t="s">
        <v>40</v>
      </c>
      <c r="D521">
        <v>4.9255559999999896</v>
      </c>
      <c r="E521">
        <v>0.57173989999999997</v>
      </c>
      <c r="F521" t="s">
        <v>44</v>
      </c>
      <c r="G521">
        <v>-312.28649999999999</v>
      </c>
      <c r="H521">
        <v>-0.05</v>
      </c>
      <c r="I521">
        <v>365.0951</v>
      </c>
      <c r="J521">
        <v>-332.37220000000002</v>
      </c>
      <c r="K521">
        <v>1.11007099999999</v>
      </c>
      <c r="L521">
        <v>367.55160000000001</v>
      </c>
      <c r="M521">
        <v>0.99990000000000001</v>
      </c>
      <c r="N521">
        <v>0</v>
      </c>
      <c r="O521">
        <v>3.9305340000000003E-3</v>
      </c>
      <c r="P521">
        <v>0.99779899999999999</v>
      </c>
      <c r="Q521">
        <v>-1.253049E-2</v>
      </c>
      <c r="R521">
        <v>6.5117030000000006E-2</v>
      </c>
      <c r="S521">
        <v>3.0284420000000001</v>
      </c>
      <c r="T521">
        <v>-0.1725043</v>
      </c>
      <c r="U521">
        <v>-0.3651123</v>
      </c>
      <c r="V521">
        <v>-6.1194110000000003E-2</v>
      </c>
      <c r="W521">
        <v>1.025979E-3</v>
      </c>
      <c r="X521">
        <v>0.99812540000000005</v>
      </c>
      <c r="Y521">
        <v>0.12339260000000001</v>
      </c>
      <c r="Z521">
        <v>-3.7217600000000002E-3</v>
      </c>
      <c r="AA521">
        <v>0.99235090000000004</v>
      </c>
      <c r="AB521">
        <v>39</v>
      </c>
      <c r="AC521">
        <v>20.085699999999999</v>
      </c>
      <c r="AD521">
        <v>-1.1600710000000001</v>
      </c>
      <c r="AE521">
        <v>-2.4565000000000001</v>
      </c>
      <c r="AF521">
        <v>2.5271301582032302</v>
      </c>
      <c r="AG521">
        <v>-1.1600710000000001</v>
      </c>
      <c r="AH521">
        <v>20.0101232262708</v>
      </c>
      <c r="AI521">
        <v>93.291873057123894</v>
      </c>
      <c r="AJ521">
        <v>82.802075088751394</v>
      </c>
      <c r="AK521">
        <v>20.202405378867201</v>
      </c>
      <c r="AL521">
        <v>89.941215725641399</v>
      </c>
      <c r="AM521">
        <v>93.508357894516095</v>
      </c>
      <c r="AN521">
        <v>1.00000004292837</v>
      </c>
    </row>
    <row r="522" spans="1:40" x14ac:dyDescent="0.3">
      <c r="A522" t="str">
        <f>"20200111160415256"</f>
        <v>20200111160415256</v>
      </c>
      <c r="B522" t="str">
        <f>"1578729855250872"</f>
        <v>1578729855250872</v>
      </c>
      <c r="C522" t="s">
        <v>40</v>
      </c>
      <c r="D522">
        <v>5.0137299999999998</v>
      </c>
      <c r="E522">
        <v>0.57197379999999998</v>
      </c>
      <c r="F522" t="s">
        <v>44</v>
      </c>
      <c r="G522">
        <v>-312.17230000000001</v>
      </c>
      <c r="H522">
        <v>-0.05</v>
      </c>
      <c r="I522">
        <v>365.09350000000001</v>
      </c>
      <c r="J522">
        <v>-332.16460000000001</v>
      </c>
      <c r="K522">
        <v>1.11007099999999</v>
      </c>
      <c r="L522">
        <v>367.55239999999998</v>
      </c>
      <c r="M522">
        <v>0.99990009999999996</v>
      </c>
      <c r="N522">
        <v>0</v>
      </c>
      <c r="O522">
        <v>3.9351179999999996E-3</v>
      </c>
      <c r="P522">
        <v>0.99779249999999997</v>
      </c>
      <c r="Q522">
        <v>-1.26433E-2</v>
      </c>
      <c r="R522">
        <v>6.5192970000000003E-2</v>
      </c>
      <c r="S522">
        <v>3.028473</v>
      </c>
      <c r="T522">
        <v>-0.17392349999999901</v>
      </c>
      <c r="U522">
        <v>-0.36853029999999998</v>
      </c>
      <c r="V522">
        <v>-6.1265500000000001E-2</v>
      </c>
      <c r="W522">
        <v>9.0533900000000001E-4</v>
      </c>
      <c r="X522">
        <v>0.99812109999999998</v>
      </c>
      <c r="Y522">
        <v>0.12449449999999999</v>
      </c>
      <c r="Z522">
        <v>-3.7838009999999998E-3</v>
      </c>
      <c r="AA522">
        <v>0.99221309999999996</v>
      </c>
      <c r="AB522">
        <v>39</v>
      </c>
      <c r="AC522">
        <v>19.9923</v>
      </c>
      <c r="AD522">
        <v>-1.1600710000000001</v>
      </c>
      <c r="AE522">
        <v>-2.4588999999999701</v>
      </c>
      <c r="AF522">
        <v>2.5291714373461098</v>
      </c>
      <c r="AG522">
        <v>-1.1600710000000001</v>
      </c>
      <c r="AH522">
        <v>19.916408886437399</v>
      </c>
      <c r="AI522">
        <v>93.307041705910393</v>
      </c>
      <c r="AJ522">
        <v>82.762784546408497</v>
      </c>
      <c r="AK522">
        <v>20.1098437541491</v>
      </c>
      <c r="AL522">
        <v>89.948127889480801</v>
      </c>
      <c r="AM522">
        <v>93.512455652599996</v>
      </c>
      <c r="AN522">
        <v>1.0000000056970799</v>
      </c>
    </row>
    <row r="523" spans="1:40" x14ac:dyDescent="0.3">
      <c r="A523" t="str">
        <f>"20200111160415267"</f>
        <v>20200111160415267</v>
      </c>
      <c r="B523" t="str">
        <f>"1578729855261607"</f>
        <v>1578729855261607</v>
      </c>
      <c r="C523" t="s">
        <v>40</v>
      </c>
      <c r="D523">
        <v>4.8843439999999996</v>
      </c>
      <c r="E523">
        <v>0.57203890000000002</v>
      </c>
      <c r="F523" t="s">
        <v>44</v>
      </c>
      <c r="G523">
        <v>-312.04300000000001</v>
      </c>
      <c r="H523">
        <v>-0.05</v>
      </c>
      <c r="I523">
        <v>365.09300000000002</v>
      </c>
      <c r="J523">
        <v>-331.97329999999999</v>
      </c>
      <c r="K523">
        <v>1.1100669999999999</v>
      </c>
      <c r="L523">
        <v>367.5532</v>
      </c>
      <c r="M523">
        <v>0.99990029999999996</v>
      </c>
      <c r="N523">
        <v>0</v>
      </c>
      <c r="O523">
        <v>3.9393930000000002E-3</v>
      </c>
      <c r="P523">
        <v>0.99777910000000003</v>
      </c>
      <c r="Q523">
        <v>-1.292423E-2</v>
      </c>
      <c r="R523">
        <v>6.5345239999999999E-2</v>
      </c>
      <c r="S523">
        <v>3.0286249999999999</v>
      </c>
      <c r="T523">
        <v>-0.17460989999999901</v>
      </c>
      <c r="U523">
        <v>-0.37017820000000001</v>
      </c>
      <c r="V523">
        <v>-6.1414009999999998E-2</v>
      </c>
      <c r="W523">
        <v>6.1780609999999997E-4</v>
      </c>
      <c r="X523">
        <v>0.9981122</v>
      </c>
      <c r="Y523">
        <v>0.1250223</v>
      </c>
      <c r="Z523">
        <v>-3.8137840000000002E-3</v>
      </c>
      <c r="AA523">
        <v>0.99214659999999999</v>
      </c>
      <c r="AB523">
        <v>39</v>
      </c>
      <c r="AC523">
        <v>19.9302999999999</v>
      </c>
      <c r="AD523">
        <v>-1.160067</v>
      </c>
      <c r="AE523">
        <v>-2.46019999999998</v>
      </c>
      <c r="AF523">
        <v>2.5302576560613801</v>
      </c>
      <c r="AG523">
        <v>-1.160067</v>
      </c>
      <c r="AH523">
        <v>19.854197051213401</v>
      </c>
      <c r="AI523">
        <v>93.317182036711003</v>
      </c>
      <c r="AJ523">
        <v>82.7372641995333</v>
      </c>
      <c r="AK523">
        <v>20.0483690059555</v>
      </c>
      <c r="AL523">
        <v>89.964602316122594</v>
      </c>
      <c r="AM523">
        <v>93.5209799075201</v>
      </c>
      <c r="AN523">
        <v>1.0000000130487401</v>
      </c>
    </row>
    <row r="524" spans="1:40" x14ac:dyDescent="0.3">
      <c r="A524" t="str">
        <f>"20200111160415278"</f>
        <v>20200111160415278</v>
      </c>
      <c r="B524" t="str">
        <f>"1578729855271367"</f>
        <v>1578729855271367</v>
      </c>
      <c r="C524" t="s">
        <v>40</v>
      </c>
      <c r="D524">
        <v>4.8849720000000003</v>
      </c>
      <c r="E524">
        <v>0.57215369999999999</v>
      </c>
      <c r="F524" t="s">
        <v>44</v>
      </c>
      <c r="G524">
        <v>-311.94560000000001</v>
      </c>
      <c r="H524">
        <v>-0.05</v>
      </c>
      <c r="I524">
        <v>365.10550000000001</v>
      </c>
      <c r="J524">
        <v>-331.7783</v>
      </c>
      <c r="K524">
        <v>1.1100669999999999</v>
      </c>
      <c r="L524">
        <v>367.5539</v>
      </c>
      <c r="M524">
        <v>0.99990029999999996</v>
      </c>
      <c r="N524">
        <v>0</v>
      </c>
      <c r="O524">
        <v>3.9437769999999999E-3</v>
      </c>
      <c r="P524">
        <v>0.99777309999999997</v>
      </c>
      <c r="Q524">
        <v>-1.263674E-2</v>
      </c>
      <c r="R524">
        <v>6.5490389999999996E-2</v>
      </c>
      <c r="S524">
        <v>3.0286870000000001</v>
      </c>
      <c r="T524">
        <v>-0.17543110000000001</v>
      </c>
      <c r="U524">
        <v>-0.37014770000000002</v>
      </c>
      <c r="V524">
        <v>-6.1554879999999999E-2</v>
      </c>
      <c r="W524">
        <v>9.0057059999999896E-4</v>
      </c>
      <c r="X524">
        <v>0.99810330000000003</v>
      </c>
      <c r="Y524">
        <v>0.1250124</v>
      </c>
      <c r="Z524">
        <v>-3.8315850000000002E-3</v>
      </c>
      <c r="AA524">
        <v>0.99214780000000002</v>
      </c>
      <c r="AB524">
        <v>39</v>
      </c>
      <c r="AC524">
        <v>19.8326999999999</v>
      </c>
      <c r="AD524">
        <v>-1.160067</v>
      </c>
      <c r="AE524">
        <v>-2.4483999999999901</v>
      </c>
      <c r="AF524">
        <v>2.5181177653764202</v>
      </c>
      <c r="AG524">
        <v>-1.160067</v>
      </c>
      <c r="AH524">
        <v>19.756309592178599</v>
      </c>
      <c r="AI524">
        <v>93.333573774661602</v>
      </c>
      <c r="AJ524">
        <v>82.736307963075205</v>
      </c>
      <c r="AK524">
        <v>19.949898276101599</v>
      </c>
      <c r="AL524">
        <v>89.948401098794804</v>
      </c>
      <c r="AM524">
        <v>93.529067248754799</v>
      </c>
      <c r="AN524">
        <v>1.00000000587505</v>
      </c>
    </row>
    <row r="525" spans="1:40" x14ac:dyDescent="0.3">
      <c r="A525" t="str">
        <f>"20200111160415289"</f>
        <v>20200111160415289</v>
      </c>
      <c r="B525" t="str">
        <f>"1578729855281128"</f>
        <v>1578729855281128</v>
      </c>
      <c r="C525" t="s">
        <v>40</v>
      </c>
      <c r="D525">
        <v>4.8892379999999998</v>
      </c>
      <c r="E525">
        <v>0.57220329999999997</v>
      </c>
      <c r="F525" t="s">
        <v>44</v>
      </c>
      <c r="G525">
        <v>-311.62810000000002</v>
      </c>
      <c r="H525">
        <v>-0.05</v>
      </c>
      <c r="I525">
        <v>365.08749999999998</v>
      </c>
      <c r="J525">
        <v>-331.57870000000003</v>
      </c>
      <c r="K525">
        <v>1.1100680000000001</v>
      </c>
      <c r="L525">
        <v>367.55470000000003</v>
      </c>
      <c r="M525">
        <v>0.99990040000000002</v>
      </c>
      <c r="N525">
        <v>0</v>
      </c>
      <c r="O525">
        <v>3.9481569999999999E-3</v>
      </c>
      <c r="P525">
        <v>0.99776299999999996</v>
      </c>
      <c r="Q525">
        <v>-1.246186E-2</v>
      </c>
      <c r="R525">
        <v>6.5681089999999998E-2</v>
      </c>
      <c r="S525">
        <v>3.0288089999999999</v>
      </c>
      <c r="T525">
        <v>-0.17437169999999999</v>
      </c>
      <c r="U525">
        <v>-0.37072749999999999</v>
      </c>
      <c r="V525">
        <v>-6.1740950000000003E-2</v>
      </c>
      <c r="W525">
        <v>1.0712779999999999E-3</v>
      </c>
      <c r="X525">
        <v>0.99809159999999997</v>
      </c>
      <c r="Y525">
        <v>0.12520129999999999</v>
      </c>
      <c r="Z525">
        <v>-3.8139549999999999E-3</v>
      </c>
      <c r="AA525">
        <v>0.99212400000000001</v>
      </c>
      <c r="AB525">
        <v>39</v>
      </c>
      <c r="AC525">
        <v>19.950600000000001</v>
      </c>
      <c r="AD525">
        <v>-1.1600680000000001</v>
      </c>
      <c r="AE525">
        <v>-2.46720000000004</v>
      </c>
      <c r="AF525">
        <v>2.5375058305095299</v>
      </c>
      <c r="AG525">
        <v>-1.1600680000000001</v>
      </c>
      <c r="AH525">
        <v>19.874517606680499</v>
      </c>
      <c r="AI525">
        <v>93.313703545709004</v>
      </c>
      <c r="AJ525">
        <v>82.724049390615093</v>
      </c>
      <c r="AK525">
        <v>20.069408155268199</v>
      </c>
      <c r="AL525">
        <v>89.938620278165303</v>
      </c>
      <c r="AM525">
        <v>93.539749328458896</v>
      </c>
      <c r="AN525">
        <v>0.99999996726700702</v>
      </c>
    </row>
    <row r="526" spans="1:40" x14ac:dyDescent="0.3">
      <c r="A526" t="str">
        <f>"20200111160415300"</f>
        <v>20200111160415300</v>
      </c>
      <c r="B526" t="str">
        <f>"1578729855291865"</f>
        <v>1578729855291865</v>
      </c>
      <c r="C526" t="s">
        <v>40</v>
      </c>
      <c r="D526">
        <v>4.9607489999999999</v>
      </c>
      <c r="E526">
        <v>0.5723125</v>
      </c>
      <c r="F526" t="s">
        <v>44</v>
      </c>
      <c r="G526">
        <v>-311.32049999999998</v>
      </c>
      <c r="H526">
        <v>-0.05</v>
      </c>
      <c r="I526">
        <v>365.07499999999999</v>
      </c>
      <c r="J526">
        <v>-331.38420000000002</v>
      </c>
      <c r="K526">
        <v>1.1100760000000001</v>
      </c>
      <c r="L526">
        <v>367.55549999999999</v>
      </c>
      <c r="M526">
        <v>0.99990029999999996</v>
      </c>
      <c r="N526">
        <v>0</v>
      </c>
      <c r="O526">
        <v>3.9525920000000004E-3</v>
      </c>
      <c r="P526">
        <v>0.99775510000000001</v>
      </c>
      <c r="Q526">
        <v>-1.2286460000000001E-2</v>
      </c>
      <c r="R526">
        <v>6.5831849999999997E-2</v>
      </c>
      <c r="S526">
        <v>3.0289609999999998</v>
      </c>
      <c r="T526">
        <v>-0.1734502</v>
      </c>
      <c r="U526">
        <v>-0.37075809999999998</v>
      </c>
      <c r="V526">
        <v>-6.1887530000000003E-2</v>
      </c>
      <c r="W526">
        <v>1.242462E-3</v>
      </c>
      <c r="X526">
        <v>0.99808229999999998</v>
      </c>
      <c r="Y526">
        <v>0.12521179999999901</v>
      </c>
      <c r="Z526">
        <v>-3.7941899999999998E-3</v>
      </c>
      <c r="AA526">
        <v>0.99212279999999997</v>
      </c>
      <c r="AB526">
        <v>39</v>
      </c>
      <c r="AC526">
        <v>20.063700000000001</v>
      </c>
      <c r="AD526">
        <v>-1.1600760000000001</v>
      </c>
      <c r="AE526">
        <v>-2.4805000000000001</v>
      </c>
      <c r="AF526">
        <v>2.5513903551411201</v>
      </c>
      <c r="AG526">
        <v>-1.1600760000000001</v>
      </c>
      <c r="AH526">
        <v>19.987922064646298</v>
      </c>
      <c r="AI526">
        <v>93.294979252268803</v>
      </c>
      <c r="AJ526">
        <v>82.725726328606001</v>
      </c>
      <c r="AK526">
        <v>20.183468421766801</v>
      </c>
      <c r="AL526">
        <v>89.928812148880198</v>
      </c>
      <c r="AM526">
        <v>93.548164627098302</v>
      </c>
      <c r="AN526">
        <v>0.99999994382730395</v>
      </c>
    </row>
    <row r="527" spans="1:40" x14ac:dyDescent="0.3">
      <c r="A527" t="str">
        <f>"20200111160415311"</f>
        <v>20200111160415311</v>
      </c>
      <c r="B527" t="str">
        <f>"1578729855301624"</f>
        <v>1578729855301624</v>
      </c>
      <c r="C527" t="s">
        <v>40</v>
      </c>
      <c r="D527">
        <v>4.947578</v>
      </c>
      <c r="E527">
        <v>0.57239849999999903</v>
      </c>
      <c r="F527" t="s">
        <v>44</v>
      </c>
      <c r="G527">
        <v>-311.04480000000001</v>
      </c>
      <c r="H527">
        <v>-0.05</v>
      </c>
      <c r="I527">
        <v>365.06369999999998</v>
      </c>
      <c r="J527">
        <v>-331.18819999999999</v>
      </c>
      <c r="K527">
        <v>1.110079</v>
      </c>
      <c r="L527">
        <v>367.55630000000002</v>
      </c>
      <c r="M527">
        <v>0.99990040000000002</v>
      </c>
      <c r="N527">
        <v>0</v>
      </c>
      <c r="O527">
        <v>3.9569619999999996E-3</v>
      </c>
      <c r="P527">
        <v>0.99774609999999997</v>
      </c>
      <c r="Q527">
        <v>-1.229911E-2</v>
      </c>
      <c r="R527">
        <v>6.5967639999999994E-2</v>
      </c>
      <c r="S527">
        <v>3.0291139999999999</v>
      </c>
      <c r="T527">
        <v>-0.17276820000000001</v>
      </c>
      <c r="U527">
        <v>-0.37109379999999997</v>
      </c>
      <c r="V527">
        <v>-6.2018879999999998E-2</v>
      </c>
      <c r="W527">
        <v>1.227204E-3</v>
      </c>
      <c r="X527">
        <v>0.99807420000000002</v>
      </c>
      <c r="Y527">
        <v>0.12531989999999901</v>
      </c>
      <c r="Z527">
        <v>-3.7823990000000001E-3</v>
      </c>
      <c r="AA527">
        <v>0.99210920000000002</v>
      </c>
      <c r="AB527">
        <v>39</v>
      </c>
      <c r="AC527">
        <v>20.1433999999999</v>
      </c>
      <c r="AD527">
        <v>-1.1600790000000001</v>
      </c>
      <c r="AE527">
        <v>-2.4926000000000301</v>
      </c>
      <c r="AF527">
        <v>2.5639188989315</v>
      </c>
      <c r="AG527">
        <v>-1.1600790000000001</v>
      </c>
      <c r="AH527">
        <v>20.067822583608901</v>
      </c>
      <c r="AI527">
        <v>93.281849649435898</v>
      </c>
      <c r="AJ527">
        <v>82.719182044452396</v>
      </c>
      <c r="AK527">
        <v>20.2641793974921</v>
      </c>
      <c r="AL527">
        <v>89.929686371009893</v>
      </c>
      <c r="AM527">
        <v>93.555704729361096</v>
      </c>
      <c r="AN527">
        <v>0.99999997810587504</v>
      </c>
    </row>
    <row r="528" spans="1:40" x14ac:dyDescent="0.3">
      <c r="A528" t="str">
        <f>"20200111160415323"</f>
        <v>20200111160415323</v>
      </c>
      <c r="B528" t="str">
        <f>"1578729855311383"</f>
        <v>1578729855311383</v>
      </c>
      <c r="C528" t="s">
        <v>40</v>
      </c>
      <c r="D528">
        <v>4.9322030000000003</v>
      </c>
      <c r="E528">
        <v>0.57249369999999999</v>
      </c>
      <c r="F528" t="s">
        <v>44</v>
      </c>
      <c r="G528">
        <v>-310.81560000000002</v>
      </c>
      <c r="H528">
        <v>-0.05</v>
      </c>
      <c r="I528">
        <v>365.05739999999997</v>
      </c>
      <c r="J528">
        <v>-330.98689999999999</v>
      </c>
      <c r="K528">
        <v>1.1100810000000001</v>
      </c>
      <c r="L528">
        <v>367.55700000000002</v>
      </c>
      <c r="M528">
        <v>0.99990040000000002</v>
      </c>
      <c r="N528">
        <v>0</v>
      </c>
      <c r="O528">
        <v>3.9613909999999999E-3</v>
      </c>
      <c r="P528">
        <v>0.99774309999999999</v>
      </c>
      <c r="Q528">
        <v>-1.1875999999999999E-2</v>
      </c>
      <c r="R528">
        <v>6.6088969999999997E-2</v>
      </c>
      <c r="S528">
        <v>3.029175</v>
      </c>
      <c r="T528">
        <v>-0.17249139999999999</v>
      </c>
      <c r="U528">
        <v>-0.37155149999999998</v>
      </c>
      <c r="V528">
        <v>-6.213544E-2</v>
      </c>
      <c r="W528">
        <v>1.6477740000000001E-3</v>
      </c>
      <c r="X528">
        <v>0.99806640000000002</v>
      </c>
      <c r="Y528">
        <v>0.12547</v>
      </c>
      <c r="Z528">
        <v>-3.7807439999999999E-3</v>
      </c>
      <c r="AA528">
        <v>0.99209020000000003</v>
      </c>
      <c r="AB528">
        <v>39</v>
      </c>
      <c r="AC528">
        <v>20.171299999999899</v>
      </c>
      <c r="AD528">
        <v>-1.1600809999999999</v>
      </c>
      <c r="AE528">
        <v>-2.4995999999999801</v>
      </c>
      <c r="AF528">
        <v>2.57111858469721</v>
      </c>
      <c r="AG528">
        <v>-1.1600809999999999</v>
      </c>
      <c r="AH528">
        <v>20.0957759797219</v>
      </c>
      <c r="AI528">
        <v>93.277225891351705</v>
      </c>
      <c r="AJ528">
        <v>82.709003692177106</v>
      </c>
      <c r="AK528">
        <v>20.2927733671449</v>
      </c>
      <c r="AL528">
        <v>89.905589464642006</v>
      </c>
      <c r="AM528">
        <v>93.5623979949073</v>
      </c>
      <c r="AN528">
        <v>1.0000000334360499</v>
      </c>
    </row>
    <row r="529" spans="1:40" x14ac:dyDescent="0.3">
      <c r="A529" t="str">
        <f>"20200111160415335"</f>
        <v>20200111160415335</v>
      </c>
      <c r="B529" t="str">
        <f>"1578729855330904"</f>
        <v>1578729855330904</v>
      </c>
      <c r="C529" t="s">
        <v>40</v>
      </c>
      <c r="D529">
        <v>4.9156000000000004</v>
      </c>
      <c r="E529">
        <v>0.57275500000000001</v>
      </c>
      <c r="F529" t="s">
        <v>44</v>
      </c>
      <c r="G529">
        <v>-310.47379999999998</v>
      </c>
      <c r="H529">
        <v>-0.05</v>
      </c>
      <c r="I529">
        <v>365.03820000000002</v>
      </c>
      <c r="J529">
        <v>-330.798</v>
      </c>
      <c r="K529">
        <v>1.1100840000000001</v>
      </c>
      <c r="L529">
        <v>367.55779999999999</v>
      </c>
      <c r="M529">
        <v>0.99990040000000002</v>
      </c>
      <c r="N529">
        <v>0</v>
      </c>
      <c r="O529">
        <v>3.9655769999999996E-3</v>
      </c>
      <c r="P529">
        <v>0.99776120000000001</v>
      </c>
      <c r="Q529">
        <v>-1.161032E-2</v>
      </c>
      <c r="R529">
        <v>6.5864699999999998E-2</v>
      </c>
      <c r="S529">
        <v>3.029388</v>
      </c>
      <c r="T529">
        <v>-0.1713219</v>
      </c>
      <c r="U529">
        <v>-0.3719788</v>
      </c>
      <c r="V529">
        <v>-6.1906969999999999E-2</v>
      </c>
      <c r="W529">
        <v>1.9114640000000001E-3</v>
      </c>
      <c r="X529">
        <v>0.99808010000000003</v>
      </c>
      <c r="Y529">
        <v>0.1256062</v>
      </c>
      <c r="Z529">
        <v>-3.7589239999999999E-3</v>
      </c>
      <c r="AA529">
        <v>0.99207310000000004</v>
      </c>
      <c r="AB529">
        <v>39</v>
      </c>
      <c r="AC529">
        <v>20.324200000000001</v>
      </c>
      <c r="AD529">
        <v>-1.1600839999999999</v>
      </c>
      <c r="AE529">
        <v>-2.5195999999999601</v>
      </c>
      <c r="AF529">
        <v>2.5918682492988099</v>
      </c>
      <c r="AG529">
        <v>-1.1600839999999999</v>
      </c>
      <c r="AH529">
        <v>20.2490745104732</v>
      </c>
      <c r="AI529">
        <v>93.252454114488202</v>
      </c>
      <c r="AJ529">
        <v>82.705840684552996</v>
      </c>
      <c r="AK529">
        <v>20.4472148333086</v>
      </c>
      <c r="AL529">
        <v>89.890481114109704</v>
      </c>
      <c r="AM529">
        <v>93.549284124992795</v>
      </c>
      <c r="AN529">
        <v>1.0000000063226</v>
      </c>
    </row>
    <row r="530" spans="1:40" x14ac:dyDescent="0.3">
      <c r="A530" t="str">
        <f>"20200111160415347"</f>
        <v>20200111160415347</v>
      </c>
      <c r="B530" t="str">
        <f>"1578729855341639"</f>
        <v>1578729855341639</v>
      </c>
      <c r="C530" t="s">
        <v>40</v>
      </c>
      <c r="D530">
        <v>4.9586920000000001</v>
      </c>
      <c r="E530">
        <v>0.57284869999999899</v>
      </c>
      <c r="F530" t="s">
        <v>44</v>
      </c>
      <c r="G530">
        <v>-310.08300000000003</v>
      </c>
      <c r="H530">
        <v>-0.05</v>
      </c>
      <c r="I530">
        <v>364.99740000000003</v>
      </c>
      <c r="J530">
        <v>-330.55489999999998</v>
      </c>
      <c r="K530">
        <v>1.110088</v>
      </c>
      <c r="L530">
        <v>367.55880000000002</v>
      </c>
      <c r="M530">
        <v>0.99990029999999996</v>
      </c>
      <c r="N530">
        <v>0</v>
      </c>
      <c r="O530">
        <v>3.9713149999999996E-3</v>
      </c>
      <c r="P530">
        <v>0.99777159999999998</v>
      </c>
      <c r="Q530">
        <v>-1.122803E-2</v>
      </c>
      <c r="R530">
        <v>6.5771360000000001E-2</v>
      </c>
      <c r="S530">
        <v>3.02948</v>
      </c>
      <c r="T530">
        <v>-0.1696568</v>
      </c>
      <c r="U530">
        <v>-0.37445070000000003</v>
      </c>
      <c r="V530">
        <v>-6.1807929999999997E-2</v>
      </c>
      <c r="W530">
        <v>2.2919799999999999E-3</v>
      </c>
      <c r="X530">
        <v>0.99808540000000001</v>
      </c>
      <c r="Y530">
        <v>0.1264083</v>
      </c>
      <c r="Z530">
        <v>-3.7448289999999999E-3</v>
      </c>
      <c r="AA530">
        <v>0.9919713</v>
      </c>
      <c r="AB530">
        <v>39</v>
      </c>
      <c r="AC530">
        <v>20.471900000000002</v>
      </c>
      <c r="AD530">
        <v>-1.160088</v>
      </c>
      <c r="AE530">
        <v>-2.5613999999999901</v>
      </c>
      <c r="AF530">
        <v>2.6343585956962698</v>
      </c>
      <c r="AG530">
        <v>-1.160088</v>
      </c>
      <c r="AH530">
        <v>20.397076199269399</v>
      </c>
      <c r="AI530">
        <v>93.228445019480901</v>
      </c>
      <c r="AJ530">
        <v>82.640774554099707</v>
      </c>
      <c r="AK530">
        <v>20.599183645408502</v>
      </c>
      <c r="AL530">
        <v>89.868679100295907</v>
      </c>
      <c r="AM530">
        <v>93.543601621008406</v>
      </c>
      <c r="AN530">
        <v>0.99999996953818204</v>
      </c>
    </row>
    <row r="531" spans="1:40" x14ac:dyDescent="0.3">
      <c r="A531" t="str">
        <f>"20200111160415359"</f>
        <v>20200111160415359</v>
      </c>
      <c r="B531" t="str">
        <f>"1578729855351400"</f>
        <v>1578729855351400</v>
      </c>
      <c r="C531" t="s">
        <v>40</v>
      </c>
      <c r="D531">
        <v>4.9776009999999999</v>
      </c>
      <c r="E531">
        <v>0.57293899999999998</v>
      </c>
      <c r="F531" t="s">
        <v>44</v>
      </c>
      <c r="G531">
        <v>-309.7088</v>
      </c>
      <c r="H531">
        <v>-0.05</v>
      </c>
      <c r="I531">
        <v>364.9742</v>
      </c>
      <c r="J531">
        <v>-330.34440000000001</v>
      </c>
      <c r="K531">
        <v>1.1100890000000001</v>
      </c>
      <c r="L531">
        <v>367.55959999999999</v>
      </c>
      <c r="M531">
        <v>0.99990060000000003</v>
      </c>
      <c r="N531">
        <v>0</v>
      </c>
      <c r="O531">
        <v>3.975559E-3</v>
      </c>
      <c r="P531">
        <v>0.99778</v>
      </c>
      <c r="Q531">
        <v>-1.0923270000000001E-2</v>
      </c>
      <c r="R531">
        <v>6.5698960000000001E-2</v>
      </c>
      <c r="S531">
        <v>3.0295719999999999</v>
      </c>
      <c r="T531">
        <v>-0.16859560000000001</v>
      </c>
      <c r="U531">
        <v>-0.37561040000000001</v>
      </c>
      <c r="V531">
        <v>-6.1731729999999999E-2</v>
      </c>
      <c r="W531">
        <v>2.5952470000000002E-3</v>
      </c>
      <c r="X531">
        <v>0.99808940000000002</v>
      </c>
      <c r="Y531">
        <v>0.1267848</v>
      </c>
      <c r="Z531">
        <v>-3.7319060000000001E-3</v>
      </c>
      <c r="AA531">
        <v>0.9919232</v>
      </c>
      <c r="AB531">
        <v>39</v>
      </c>
      <c r="AC531">
        <v>20.6356</v>
      </c>
      <c r="AD531">
        <v>-1.1600889999999999</v>
      </c>
      <c r="AE531">
        <v>-2.5853999999999902</v>
      </c>
      <c r="AF531">
        <v>2.65915089539509</v>
      </c>
      <c r="AG531">
        <v>-1.1600889999999999</v>
      </c>
      <c r="AH531">
        <v>20.561179318978098</v>
      </c>
      <c r="AI531">
        <v>93.202663638920001</v>
      </c>
      <c r="AJ531">
        <v>82.630913720777798</v>
      </c>
      <c r="AK531">
        <v>20.764849745653699</v>
      </c>
      <c r="AL531">
        <v>89.851303132604997</v>
      </c>
      <c r="AM531">
        <v>93.539229849941094</v>
      </c>
      <c r="AN531">
        <v>0.99999999609407197</v>
      </c>
    </row>
    <row r="532" spans="1:40" x14ac:dyDescent="0.3">
      <c r="A532" t="str">
        <f>"20200111160415371"</f>
        <v>20200111160415371</v>
      </c>
      <c r="B532" t="str">
        <f>"1578729855360991"</f>
        <v>1578729855360991</v>
      </c>
      <c r="C532" t="s">
        <v>40</v>
      </c>
      <c r="D532">
        <v>4.9035929999999999</v>
      </c>
      <c r="E532">
        <v>0.57302649999999999</v>
      </c>
      <c r="F532" t="s">
        <v>44</v>
      </c>
      <c r="G532">
        <v>-309.44</v>
      </c>
      <c r="H532">
        <v>-0.05</v>
      </c>
      <c r="I532">
        <v>364.96120000000002</v>
      </c>
      <c r="J532">
        <v>-330.14210000000003</v>
      </c>
      <c r="K532">
        <v>1.1100950000000001</v>
      </c>
      <c r="L532">
        <v>367.56040000000002</v>
      </c>
      <c r="M532">
        <v>0.99990049999999997</v>
      </c>
      <c r="N532">
        <v>0</v>
      </c>
      <c r="O532">
        <v>3.9801009999999998E-3</v>
      </c>
      <c r="P532">
        <v>0.99779799999999996</v>
      </c>
      <c r="Q532">
        <v>-1.0679309999999999E-2</v>
      </c>
      <c r="R532">
        <v>6.5462329999999999E-2</v>
      </c>
      <c r="S532">
        <v>3.029633</v>
      </c>
      <c r="T532">
        <v>-0.1681291</v>
      </c>
      <c r="U532">
        <v>-0.3765869</v>
      </c>
      <c r="V532">
        <v>-6.1489920000000003E-2</v>
      </c>
      <c r="W532">
        <v>2.837956E-3</v>
      </c>
      <c r="X532">
        <v>0.99810370000000004</v>
      </c>
      <c r="Y532">
        <v>0.1271023</v>
      </c>
      <c r="Z532">
        <v>-3.730471E-3</v>
      </c>
      <c r="AA532">
        <v>0.99188259999999995</v>
      </c>
      <c r="AB532">
        <v>39</v>
      </c>
      <c r="AC532">
        <v>20.702100000000002</v>
      </c>
      <c r="AD532">
        <v>-1.1600950000000001</v>
      </c>
      <c r="AE532">
        <v>-2.59919999999999</v>
      </c>
      <c r="AF532">
        <v>2.6733189057898801</v>
      </c>
      <c r="AG532">
        <v>-1.1600950000000001</v>
      </c>
      <c r="AH532">
        <v>20.627819582280502</v>
      </c>
      <c r="AI532">
        <v>93.192245892731506</v>
      </c>
      <c r="AJ532">
        <v>82.615753509894205</v>
      </c>
      <c r="AK532">
        <v>20.832652137934598</v>
      </c>
      <c r="AL532">
        <v>89.837396885383399</v>
      </c>
      <c r="AM532">
        <v>93.525350947234102</v>
      </c>
      <c r="AN532">
        <v>1.00000003010477</v>
      </c>
    </row>
    <row r="533" spans="1:40" x14ac:dyDescent="0.3">
      <c r="A533" t="str">
        <f>"20200111160415382"</f>
        <v>20200111160415382</v>
      </c>
      <c r="B533" t="str">
        <f>"1578729855371728"</f>
        <v>1578729855371728</v>
      </c>
      <c r="C533" t="s">
        <v>40</v>
      </c>
      <c r="D533">
        <v>4.9582629999999996</v>
      </c>
      <c r="E533">
        <v>0.57313169999999902</v>
      </c>
      <c r="F533" t="s">
        <v>44</v>
      </c>
      <c r="G533">
        <v>-309.17610000000002</v>
      </c>
      <c r="H533">
        <v>-0.05</v>
      </c>
      <c r="I533">
        <v>364.94499999999999</v>
      </c>
      <c r="J533">
        <v>-329.93799999999999</v>
      </c>
      <c r="K533">
        <v>1.110096</v>
      </c>
      <c r="L533">
        <v>367.56119999999999</v>
      </c>
      <c r="M533">
        <v>0.99990040000000002</v>
      </c>
      <c r="N533">
        <v>0</v>
      </c>
      <c r="O533">
        <v>3.9842849999999997E-3</v>
      </c>
      <c r="P533">
        <v>0.99781489999999995</v>
      </c>
      <c r="Q533">
        <v>-1.040835E-2</v>
      </c>
      <c r="R533">
        <v>6.5247799999999995E-2</v>
      </c>
      <c r="S533">
        <v>3.029633</v>
      </c>
      <c r="T533">
        <v>-0.16763620000000001</v>
      </c>
      <c r="U533">
        <v>-0.37792969999999998</v>
      </c>
      <c r="V533">
        <v>-6.1271430000000002E-2</v>
      </c>
      <c r="W533">
        <v>3.1073680000000001E-3</v>
      </c>
      <c r="X533">
        <v>0.99811629999999996</v>
      </c>
      <c r="Y533">
        <v>0.12753989999999901</v>
      </c>
      <c r="Z533">
        <v>-3.7317280000000001E-3</v>
      </c>
      <c r="AA533">
        <v>0.9918264</v>
      </c>
      <c r="AB533">
        <v>39</v>
      </c>
      <c r="AC533">
        <v>20.761900000000001</v>
      </c>
      <c r="AD533">
        <v>-1.160096</v>
      </c>
      <c r="AE533">
        <v>-2.6161999999999899</v>
      </c>
      <c r="AF533">
        <v>2.6906388673027202</v>
      </c>
      <c r="AG533">
        <v>-1.160096</v>
      </c>
      <c r="AH533">
        <v>20.687729913510999</v>
      </c>
      <c r="AI533">
        <v>93.182835804503696</v>
      </c>
      <c r="AJ533">
        <v>82.589727124312603</v>
      </c>
      <c r="AK533">
        <v>20.894198458371999</v>
      </c>
      <c r="AL533">
        <v>89.821960640993595</v>
      </c>
      <c r="AM533">
        <v>93.512811629275802</v>
      </c>
      <c r="AN533">
        <v>0.99999999609791101</v>
      </c>
    </row>
    <row r="534" spans="1:40" x14ac:dyDescent="0.3">
      <c r="A534" t="str">
        <f>"20200111160415394"</f>
        <v>20200111160415394</v>
      </c>
      <c r="B534" t="str">
        <f>"1578729855391247"</f>
        <v>1578729855391247</v>
      </c>
      <c r="C534" t="s">
        <v>40</v>
      </c>
      <c r="D534">
        <v>4.9601459999999999</v>
      </c>
      <c r="E534">
        <v>0.57329859999999999</v>
      </c>
      <c r="F534" t="s">
        <v>44</v>
      </c>
      <c r="G534">
        <v>-308.88409999999999</v>
      </c>
      <c r="H534">
        <v>-0.05</v>
      </c>
      <c r="I534">
        <v>364.92469999999997</v>
      </c>
      <c r="J534">
        <v>-329.7466</v>
      </c>
      <c r="K534">
        <v>1.1100969999999999</v>
      </c>
      <c r="L534">
        <v>367.56200000000001</v>
      </c>
      <c r="M534">
        <v>0.99990049999999997</v>
      </c>
      <c r="N534">
        <v>0</v>
      </c>
      <c r="O534">
        <v>3.9885240000000002E-3</v>
      </c>
      <c r="P534">
        <v>0.99782850000000001</v>
      </c>
      <c r="Q534">
        <v>-1.018428E-2</v>
      </c>
      <c r="R534">
        <v>6.5076099999999998E-2</v>
      </c>
      <c r="S534">
        <v>3.029633</v>
      </c>
      <c r="T534">
        <v>-0.1669359</v>
      </c>
      <c r="U534">
        <v>-0.37939450000000002</v>
      </c>
      <c r="V534">
        <v>-6.1095759999999999E-2</v>
      </c>
      <c r="W534">
        <v>3.3305269999999998E-3</v>
      </c>
      <c r="X534">
        <v>0.99812630000000002</v>
      </c>
      <c r="Y534">
        <v>0.1280172</v>
      </c>
      <c r="Z534">
        <v>-3.7293750000000001E-3</v>
      </c>
      <c r="AA534">
        <v>0.99176500000000001</v>
      </c>
      <c r="AB534">
        <v>39</v>
      </c>
      <c r="AC534">
        <v>20.862500000000001</v>
      </c>
      <c r="AD534">
        <v>-1.1600969999999999</v>
      </c>
      <c r="AE534">
        <v>-2.6372999999999802</v>
      </c>
      <c r="AF534">
        <v>2.7122425599654898</v>
      </c>
      <c r="AG534">
        <v>-1.1600969999999999</v>
      </c>
      <c r="AH534">
        <v>20.788544586882399</v>
      </c>
      <c r="AI534">
        <v>93.167269388972997</v>
      </c>
      <c r="AJ534">
        <v>82.5667132744626</v>
      </c>
      <c r="AK534">
        <v>20.996801441988602</v>
      </c>
      <c r="AL534">
        <v>89.809174496545296</v>
      </c>
      <c r="AM534">
        <v>93.502730228262095</v>
      </c>
      <c r="AN534">
        <v>0.99999994752588095</v>
      </c>
    </row>
    <row r="535" spans="1:40" x14ac:dyDescent="0.3">
      <c r="A535" t="str">
        <f>"20200111160415405"</f>
        <v>20200111160415405</v>
      </c>
      <c r="B535" t="str">
        <f>"1578729855401007"</f>
        <v>1578729855401007</v>
      </c>
      <c r="C535" t="s">
        <v>40</v>
      </c>
      <c r="D535">
        <v>4.9880890000000004</v>
      </c>
      <c r="E535">
        <v>0.5731252</v>
      </c>
      <c r="F535" t="s">
        <v>44</v>
      </c>
      <c r="G535">
        <v>-308.5446</v>
      </c>
      <c r="H535">
        <v>-0.05</v>
      </c>
      <c r="I535">
        <v>364.89420000000001</v>
      </c>
      <c r="J535">
        <v>-329.53550000000001</v>
      </c>
      <c r="K535">
        <v>1.1101019999999999</v>
      </c>
      <c r="L535">
        <v>367.56290000000001</v>
      </c>
      <c r="M535">
        <v>0.99990040000000002</v>
      </c>
      <c r="N535">
        <v>0</v>
      </c>
      <c r="O535">
        <v>3.9932379999999996E-3</v>
      </c>
      <c r="P535">
        <v>0.99784280000000003</v>
      </c>
      <c r="Q535">
        <v>-9.7866749999999999E-3</v>
      </c>
      <c r="R535">
        <v>6.4915619999999993E-2</v>
      </c>
      <c r="S535">
        <v>3.0296940000000001</v>
      </c>
      <c r="T535">
        <v>-0.1657747</v>
      </c>
      <c r="U535">
        <v>-0.3812256</v>
      </c>
      <c r="V535">
        <v>-6.0930030000000003E-2</v>
      </c>
      <c r="W535">
        <v>3.7277289999999999E-3</v>
      </c>
      <c r="X535">
        <v>0.99813510000000005</v>
      </c>
      <c r="Y535">
        <v>0.12861130000000001</v>
      </c>
      <c r="Z535">
        <v>-3.719694E-3</v>
      </c>
      <c r="AA535">
        <v>0.99168809999999996</v>
      </c>
      <c r="AB535">
        <v>39</v>
      </c>
      <c r="AC535">
        <v>20.9909</v>
      </c>
      <c r="AD535">
        <v>-1.160102</v>
      </c>
      <c r="AE535">
        <v>-2.6686999999999999</v>
      </c>
      <c r="AF535">
        <v>2.7442592406117901</v>
      </c>
      <c r="AG535">
        <v>-1.160102</v>
      </c>
      <c r="AH535">
        <v>20.917201009990599</v>
      </c>
      <c r="AI535">
        <v>93.147546920382595</v>
      </c>
      <c r="AJ535">
        <v>82.525694765136194</v>
      </c>
      <c r="AK535">
        <v>21.1283244371729</v>
      </c>
      <c r="AL535">
        <v>89.786416370995994</v>
      </c>
      <c r="AM535">
        <v>93.493221466882105</v>
      </c>
      <c r="AN535">
        <v>1.0000000211856499</v>
      </c>
    </row>
    <row r="536" spans="1:40" x14ac:dyDescent="0.3">
      <c r="A536" t="str">
        <f>"20200111160415417"</f>
        <v>20200111160415417</v>
      </c>
      <c r="B536" t="str">
        <f>"1578729855410767"</f>
        <v>1578729855410767</v>
      </c>
      <c r="C536" t="s">
        <v>40</v>
      </c>
      <c r="D536">
        <v>5.1785509999999997</v>
      </c>
      <c r="E536">
        <v>0.5731252</v>
      </c>
      <c r="F536" t="s">
        <v>44</v>
      </c>
      <c r="G536">
        <v>-308.20710000000003</v>
      </c>
      <c r="H536">
        <v>-0.05</v>
      </c>
      <c r="I536">
        <v>364.88420000000002</v>
      </c>
      <c r="J536">
        <v>-329.3288</v>
      </c>
      <c r="K536">
        <v>1.1101030000000001</v>
      </c>
      <c r="L536">
        <v>367.56369999999998</v>
      </c>
      <c r="M536">
        <v>0.99990029999999996</v>
      </c>
      <c r="N536">
        <v>0</v>
      </c>
      <c r="O536">
        <v>3.9977600000000004E-3</v>
      </c>
      <c r="P536">
        <v>0.99785769999999996</v>
      </c>
      <c r="Q536">
        <v>-9.3214330000000005E-3</v>
      </c>
      <c r="R536">
        <v>6.4753779999999997E-2</v>
      </c>
      <c r="S536">
        <v>3.0296020000000001</v>
      </c>
      <c r="T536">
        <v>-0.1647874</v>
      </c>
      <c r="U536">
        <v>-0.38049319999999998</v>
      </c>
      <c r="V536">
        <v>-6.0763820000000003E-2</v>
      </c>
      <c r="W536">
        <v>4.1940720000000001E-3</v>
      </c>
      <c r="X536">
        <v>0.99814340000000001</v>
      </c>
      <c r="Y536">
        <v>0.1283861</v>
      </c>
      <c r="Z536">
        <v>-3.6918889999999998E-3</v>
      </c>
      <c r="AA536">
        <v>0.99171739999999997</v>
      </c>
      <c r="AB536">
        <v>39</v>
      </c>
      <c r="AC536">
        <v>21.121699999999901</v>
      </c>
      <c r="AD536">
        <v>-1.1601030000000001</v>
      </c>
      <c r="AE536">
        <v>-2.67949999999996</v>
      </c>
      <c r="AF536">
        <v>2.7557441715578799</v>
      </c>
      <c r="AG536">
        <v>-1.1601030000000001</v>
      </c>
      <c r="AH536">
        <v>21.048326943870901</v>
      </c>
      <c r="AI536">
        <v>93.128089501003004</v>
      </c>
      <c r="AJ536">
        <v>82.540997742706793</v>
      </c>
      <c r="AK536">
        <v>21.259633864339399</v>
      </c>
      <c r="AL536">
        <v>89.7596966804186</v>
      </c>
      <c r="AM536">
        <v>93.483686969910707</v>
      </c>
      <c r="AN536">
        <v>1.0000000395122399</v>
      </c>
    </row>
    <row r="537" spans="1:40" x14ac:dyDescent="0.3">
      <c r="A537" t="str">
        <f>"20200111160415428"</f>
        <v>20200111160415428</v>
      </c>
      <c r="B537" t="str">
        <f>"1578729855421503"</f>
        <v>1578729855421503</v>
      </c>
      <c r="C537" t="s">
        <v>40</v>
      </c>
      <c r="D537">
        <v>5.066751</v>
      </c>
      <c r="E537">
        <v>0.5278043</v>
      </c>
      <c r="F537" t="s">
        <v>44</v>
      </c>
      <c r="G537">
        <v>-307.79809999999998</v>
      </c>
      <c r="H537">
        <v>-0.05</v>
      </c>
      <c r="I537">
        <v>364.85660000000001</v>
      </c>
      <c r="J537">
        <v>-329.13659999999999</v>
      </c>
      <c r="K537">
        <v>1.1101049999999999</v>
      </c>
      <c r="L537">
        <v>367.56450000000001</v>
      </c>
      <c r="M537">
        <v>0.99990040000000002</v>
      </c>
      <c r="N537">
        <v>0</v>
      </c>
      <c r="O537">
        <v>4.0019779999999998E-3</v>
      </c>
      <c r="P537">
        <v>0.99786439999999998</v>
      </c>
      <c r="Q537">
        <v>-8.8676509999999903E-3</v>
      </c>
      <c r="R537">
        <v>6.4718629999999999E-2</v>
      </c>
      <c r="S537">
        <v>3.0296020000000001</v>
      </c>
      <c r="T537">
        <v>-0.16323940000000001</v>
      </c>
      <c r="U537">
        <v>-0.38092039999999999</v>
      </c>
      <c r="V537">
        <v>-6.0724670000000001E-2</v>
      </c>
      <c r="W537">
        <v>4.6499239999999997E-3</v>
      </c>
      <c r="X537">
        <v>0.99814369999999997</v>
      </c>
      <c r="Y537">
        <v>0.12853139999999999</v>
      </c>
      <c r="Z537">
        <v>-3.661348E-3</v>
      </c>
      <c r="AA537">
        <v>0.99169870000000004</v>
      </c>
      <c r="AB537">
        <v>39</v>
      </c>
      <c r="AC537">
        <v>21.3385</v>
      </c>
      <c r="AD537">
        <v>-1.1601049999999999</v>
      </c>
      <c r="AE537">
        <v>-2.7078999999999902</v>
      </c>
      <c r="AF537">
        <v>2.7851805329989898</v>
      </c>
      <c r="AG537">
        <v>-1.1601049999999999</v>
      </c>
      <c r="AH537">
        <v>21.2656315734448</v>
      </c>
      <c r="AI537">
        <v>93.096174254384394</v>
      </c>
      <c r="AJ537">
        <v>82.538386392913296</v>
      </c>
      <c r="AK537">
        <v>21.478597729598501</v>
      </c>
      <c r="AL537">
        <v>89.733578013414999</v>
      </c>
      <c r="AM537">
        <v>93.481446916401396</v>
      </c>
      <c r="AN537">
        <v>0.99999997659475204</v>
      </c>
    </row>
    <row r="538" spans="1:40" x14ac:dyDescent="0.3">
      <c r="A538" t="str">
        <f>"20200111160415439"</f>
        <v>20200111160415439</v>
      </c>
      <c r="B538" t="str">
        <f>"1578729855431264"</f>
        <v>1578729855431264</v>
      </c>
      <c r="C538" t="s">
        <v>40</v>
      </c>
      <c r="D538">
        <v>5.0813389999999998</v>
      </c>
      <c r="E538">
        <v>0.52195100000000005</v>
      </c>
      <c r="F538" t="s">
        <v>42</v>
      </c>
      <c r="G538">
        <v>-328.13560000000001</v>
      </c>
      <c r="H538">
        <v>1.0430440000000001</v>
      </c>
      <c r="I538">
        <v>367.55860000000001</v>
      </c>
      <c r="J538">
        <v>-328.9486</v>
      </c>
      <c r="K538">
        <v>1.1101080000000001</v>
      </c>
      <c r="L538">
        <v>367.5652</v>
      </c>
      <c r="M538">
        <v>0.99990040000000002</v>
      </c>
      <c r="N538">
        <v>0</v>
      </c>
      <c r="O538">
        <v>4.0060119999999998E-3</v>
      </c>
      <c r="P538">
        <v>0.99788120000000002</v>
      </c>
      <c r="Q538">
        <v>-8.5406969999999999E-3</v>
      </c>
      <c r="R538">
        <v>6.4501639999999999E-2</v>
      </c>
      <c r="S538">
        <v>3.0057369999999999</v>
      </c>
      <c r="T538">
        <v>-0.2014435</v>
      </c>
      <c r="U538">
        <v>-1.7303470000000001E-2</v>
      </c>
      <c r="V538">
        <v>-6.0503260000000003E-2</v>
      </c>
      <c r="W538">
        <v>4.9794150000000001E-3</v>
      </c>
      <c r="X538">
        <v>0.99815560000000003</v>
      </c>
      <c r="Y538">
        <v>9.7321639999999997E-3</v>
      </c>
      <c r="Z538">
        <v>-5.9395849999999996E-4</v>
      </c>
      <c r="AA538">
        <v>0.99995239999999996</v>
      </c>
      <c r="AB538">
        <v>39</v>
      </c>
      <c r="AC538">
        <v>0.81299999999998795</v>
      </c>
      <c r="AD538">
        <v>-6.7063999999999999E-2</v>
      </c>
      <c r="AE538">
        <v>-6.5999999999917201E-3</v>
      </c>
      <c r="AF538">
        <v>9.7905176326086602E-3</v>
      </c>
      <c r="AG538">
        <v>-6.7063999999999999E-2</v>
      </c>
      <c r="AH538">
        <v>0.80747292547003902</v>
      </c>
      <c r="AI538">
        <v>94.747409845068702</v>
      </c>
      <c r="AJ538">
        <v>89.3053292127709</v>
      </c>
      <c r="AK538">
        <v>0.81031226061232497</v>
      </c>
      <c r="AL538">
        <v>89.714699362890997</v>
      </c>
      <c r="AM538">
        <v>93.468742908358806</v>
      </c>
      <c r="AN538">
        <v>1.0000000204278601</v>
      </c>
    </row>
    <row r="539" spans="1:40" x14ac:dyDescent="0.3">
      <c r="A539" t="str">
        <f>"20200111160415450"</f>
        <v>20200111160415450</v>
      </c>
      <c r="B539" t="str">
        <f>"1578729855441023"</f>
        <v>1578729855441023</v>
      </c>
      <c r="C539" t="s">
        <v>40</v>
      </c>
      <c r="D539">
        <v>5.1326289999999997</v>
      </c>
      <c r="E539">
        <v>0.51812060000000004</v>
      </c>
      <c r="F539" t="s">
        <v>44</v>
      </c>
      <c r="G539">
        <v>-312.80020000000002</v>
      </c>
      <c r="H539">
        <v>-0.05</v>
      </c>
      <c r="I539">
        <v>367.7226</v>
      </c>
      <c r="J539">
        <v>-328.75040000000001</v>
      </c>
      <c r="K539">
        <v>1.1101110000000001</v>
      </c>
      <c r="L539">
        <v>367.56599999999997</v>
      </c>
      <c r="M539">
        <v>0.99990020000000002</v>
      </c>
      <c r="N539">
        <v>0</v>
      </c>
      <c r="O539">
        <v>4.0106959999999898E-3</v>
      </c>
      <c r="P539">
        <v>0.99788900000000003</v>
      </c>
      <c r="Q539">
        <v>-8.5223709999999904E-3</v>
      </c>
      <c r="R539">
        <v>6.4382809999999999E-2</v>
      </c>
      <c r="S539">
        <v>3.0026250000000001</v>
      </c>
      <c r="T539">
        <v>-0.21570919999999999</v>
      </c>
      <c r="U539">
        <v>2.9266360000000002E-2</v>
      </c>
      <c r="V539">
        <v>-6.0379500000000003E-2</v>
      </c>
      <c r="W539">
        <v>5.0013490000000004E-3</v>
      </c>
      <c r="X539">
        <v>0.99816300000000002</v>
      </c>
      <c r="Y539">
        <v>-5.731079E-3</v>
      </c>
      <c r="Z539" s="1">
        <v>-8.2184909999999994E-5</v>
      </c>
      <c r="AA539">
        <v>0.99998350000000003</v>
      </c>
      <c r="AB539">
        <v>39</v>
      </c>
      <c r="AC539">
        <v>15.950199999999899</v>
      </c>
      <c r="AD539">
        <v>-1.1601109999999999</v>
      </c>
      <c r="AE539">
        <v>0.156600000000025</v>
      </c>
      <c r="AF539">
        <v>-9.2134111605152405E-2</v>
      </c>
      <c r="AG539">
        <v>-1.1601109999999999</v>
      </c>
      <c r="AH539">
        <v>15.8667705425561</v>
      </c>
      <c r="AI539">
        <v>94.181713036715195</v>
      </c>
      <c r="AJ539">
        <v>90.332697595875601</v>
      </c>
      <c r="AK539">
        <v>15.909391995829701</v>
      </c>
      <c r="AL539">
        <v>89.713442626113803</v>
      </c>
      <c r="AM539">
        <v>93.461639231959694</v>
      </c>
      <c r="AN539">
        <v>1.0000000360405299</v>
      </c>
    </row>
    <row r="540" spans="1:40" x14ac:dyDescent="0.3">
      <c r="A540" t="str">
        <f>"20200111160415461"</f>
        <v>20200111160415461</v>
      </c>
      <c r="B540" t="str">
        <f>"1578729855450783"</f>
        <v>1578729855450783</v>
      </c>
      <c r="C540" t="s">
        <v>40</v>
      </c>
      <c r="D540">
        <v>5.0572319999999999</v>
      </c>
      <c r="E540">
        <v>0.51601739999999996</v>
      </c>
      <c r="F540" t="s">
        <v>44</v>
      </c>
      <c r="G540">
        <v>-313.41840000000002</v>
      </c>
      <c r="H540">
        <v>-0.05</v>
      </c>
      <c r="I540">
        <v>367.87329999999997</v>
      </c>
      <c r="J540">
        <v>-328.5532</v>
      </c>
      <c r="K540">
        <v>1.110112</v>
      </c>
      <c r="L540">
        <v>367.5668</v>
      </c>
      <c r="M540">
        <v>0.99990020000000002</v>
      </c>
      <c r="N540">
        <v>0</v>
      </c>
      <c r="O540">
        <v>4.0151989999999997E-3</v>
      </c>
      <c r="P540">
        <v>0.99788739999999998</v>
      </c>
      <c r="Q540">
        <v>-8.1798530000000008E-3</v>
      </c>
      <c r="R540">
        <v>6.4450199999999999E-2</v>
      </c>
      <c r="S540">
        <v>3.0005190000000002</v>
      </c>
      <c r="T540">
        <v>-0.22703709999999999</v>
      </c>
      <c r="U540">
        <v>6.0150149999999999E-2</v>
      </c>
      <c r="V540">
        <v>-6.0442700000000002E-2</v>
      </c>
      <c r="W540">
        <v>5.3475279999999998E-3</v>
      </c>
      <c r="X540">
        <v>0.99815730000000003</v>
      </c>
      <c r="Y540">
        <v>-1.599341E-2</v>
      </c>
      <c r="Z540">
        <v>3.0078020000000002E-4</v>
      </c>
      <c r="AA540">
        <v>0.99987199999999998</v>
      </c>
      <c r="AB540">
        <v>39</v>
      </c>
      <c r="AC540">
        <v>15.134799999999901</v>
      </c>
      <c r="AD540">
        <v>-1.160112</v>
      </c>
      <c r="AE540">
        <v>0.30649999999997102</v>
      </c>
      <c r="AF540">
        <v>-0.244287988590394</v>
      </c>
      <c r="AG540">
        <v>-1.160112</v>
      </c>
      <c r="AH540">
        <v>15.0475328803966</v>
      </c>
      <c r="AI540">
        <v>94.408004184474805</v>
      </c>
      <c r="AJ540">
        <v>90.930082120442705</v>
      </c>
      <c r="AK540">
        <v>15.094163847677301</v>
      </c>
      <c r="AL540">
        <v>89.693607740946405</v>
      </c>
      <c r="AM540">
        <v>93.465273489820106</v>
      </c>
      <c r="AN540">
        <v>0.99999995579114398</v>
      </c>
    </row>
    <row r="541" spans="1:40" x14ac:dyDescent="0.3">
      <c r="A541" t="str">
        <f>"20200111160415473"</f>
        <v>20200111160415473</v>
      </c>
      <c r="B541" t="str">
        <f>"1578729855461572"</f>
        <v>1578729855461572</v>
      </c>
      <c r="C541" t="s">
        <v>40</v>
      </c>
      <c r="D541">
        <v>5.0256160000000003</v>
      </c>
      <c r="E541">
        <v>0.51458919999999997</v>
      </c>
      <c r="F541" t="s">
        <v>44</v>
      </c>
      <c r="G541">
        <v>-313.8107</v>
      </c>
      <c r="H541">
        <v>-0.05</v>
      </c>
      <c r="I541">
        <v>367.95030000000003</v>
      </c>
      <c r="J541">
        <v>-328.35989999999998</v>
      </c>
      <c r="K541">
        <v>1.1101110000000001</v>
      </c>
      <c r="L541">
        <v>367.56760000000003</v>
      </c>
      <c r="M541">
        <v>0.99990020000000002</v>
      </c>
      <c r="N541">
        <v>0</v>
      </c>
      <c r="O541">
        <v>4.019524E-3</v>
      </c>
      <c r="P541">
        <v>0.99789989999999995</v>
      </c>
      <c r="Q541">
        <v>-8.1628450000000002E-3</v>
      </c>
      <c r="R541">
        <v>6.4260940000000003E-2</v>
      </c>
      <c r="S541">
        <v>2.99939</v>
      </c>
      <c r="T541">
        <v>-0.23602709999999999</v>
      </c>
      <c r="U541">
        <v>7.8033450000000004E-2</v>
      </c>
      <c r="V541">
        <v>-6.0248500000000003E-2</v>
      </c>
      <c r="W541">
        <v>5.3689860000000001E-3</v>
      </c>
      <c r="X541">
        <v>0.99816890000000003</v>
      </c>
      <c r="Y541">
        <v>-2.1933560000000001E-2</v>
      </c>
      <c r="Z541">
        <v>5.4573160000000003E-4</v>
      </c>
      <c r="AA541">
        <v>0.99975930000000002</v>
      </c>
      <c r="AB541">
        <v>39</v>
      </c>
      <c r="AC541">
        <v>14.5491999999999</v>
      </c>
      <c r="AD541">
        <v>-1.1601109999999999</v>
      </c>
      <c r="AE541">
        <v>0.38269999999999899</v>
      </c>
      <c r="AF541">
        <v>-0.32216378218340402</v>
      </c>
      <c r="AG541">
        <v>-1.1601109999999999</v>
      </c>
      <c r="AH541">
        <v>14.4587555796773</v>
      </c>
      <c r="AI541">
        <v>94.586216622161004</v>
      </c>
      <c r="AJ541">
        <v>91.276428744581395</v>
      </c>
      <c r="AK541">
        <v>14.5087993971838</v>
      </c>
      <c r="AL541">
        <v>89.692378262577705</v>
      </c>
      <c r="AM541">
        <v>93.454126659396195</v>
      </c>
      <c r="AN541">
        <v>0.99999993034506096</v>
      </c>
    </row>
    <row r="542" spans="1:40" x14ac:dyDescent="0.3">
      <c r="A542" t="str">
        <f>"20200111160415484"</f>
        <v>20200111160415484</v>
      </c>
      <c r="B542" t="str">
        <f>"1578729855471330"</f>
        <v>1578729855471330</v>
      </c>
      <c r="C542" t="s">
        <v>40</v>
      </c>
      <c r="D542">
        <v>5.0459969999999998</v>
      </c>
      <c r="E542">
        <v>0.51333759999999995</v>
      </c>
      <c r="F542" t="s">
        <v>44</v>
      </c>
      <c r="G542">
        <v>-314.01350000000002</v>
      </c>
      <c r="H542">
        <v>-0.05</v>
      </c>
      <c r="I542">
        <v>367.99360000000001</v>
      </c>
      <c r="J542">
        <v>-328.1703</v>
      </c>
      <c r="K542">
        <v>1.110112</v>
      </c>
      <c r="L542">
        <v>367.56830000000002</v>
      </c>
      <c r="M542">
        <v>0.99990000000000001</v>
      </c>
      <c r="N542">
        <v>0</v>
      </c>
      <c r="O542">
        <v>4.0239100000000003E-3</v>
      </c>
      <c r="P542">
        <v>0.99789989999999995</v>
      </c>
      <c r="Q542">
        <v>-8.0440159999999993E-3</v>
      </c>
      <c r="R542">
        <v>6.4274520000000002E-2</v>
      </c>
      <c r="S542">
        <v>2.9986269999999999</v>
      </c>
      <c r="T542">
        <v>-0.24248120000000001</v>
      </c>
      <c r="U542">
        <v>8.9050290000000004E-2</v>
      </c>
      <c r="V542">
        <v>-6.0257970000000001E-2</v>
      </c>
      <c r="W542">
        <v>5.491531E-3</v>
      </c>
      <c r="X542">
        <v>0.99816780000000005</v>
      </c>
      <c r="Y542">
        <v>-2.559086E-2</v>
      </c>
      <c r="Z542">
        <v>7.0796559999999995E-4</v>
      </c>
      <c r="AA542">
        <v>0.99967220000000001</v>
      </c>
      <c r="AB542">
        <v>39</v>
      </c>
      <c r="AC542">
        <v>14.156799999999899</v>
      </c>
      <c r="AD542">
        <v>-1.160112</v>
      </c>
      <c r="AE542">
        <v>0.42529999999999202</v>
      </c>
      <c r="AF542">
        <v>-0.36587089002966</v>
      </c>
      <c r="AG542">
        <v>-1.160112</v>
      </c>
      <c r="AH542">
        <v>14.064036908765701</v>
      </c>
      <c r="AI542">
        <v>94.7139414738825</v>
      </c>
      <c r="AJ542">
        <v>91.490193103739003</v>
      </c>
      <c r="AK542">
        <v>14.116545453184999</v>
      </c>
      <c r="AL542">
        <v>89.685356890701598</v>
      </c>
      <c r="AM542">
        <v>93.454672070158594</v>
      </c>
      <c r="AN542">
        <v>1.00000006840904</v>
      </c>
    </row>
    <row r="543" spans="1:40" x14ac:dyDescent="0.3">
      <c r="A543" t="str">
        <f>"20200111160415494"</f>
        <v>20200111160415494</v>
      </c>
      <c r="B543" t="str">
        <f>"1578729855490851"</f>
        <v>1578729855490851</v>
      </c>
      <c r="C543" t="s">
        <v>40</v>
      </c>
      <c r="D543">
        <v>5.0528899999999997</v>
      </c>
      <c r="E543">
        <v>0.51205869999999998</v>
      </c>
      <c r="F543" t="s">
        <v>44</v>
      </c>
      <c r="G543">
        <v>-314.08600000000001</v>
      </c>
      <c r="H543">
        <v>-0.05</v>
      </c>
      <c r="I543">
        <v>368.03640000000001</v>
      </c>
      <c r="J543">
        <v>-327.98230000000001</v>
      </c>
      <c r="K543">
        <v>1.1101129999999999</v>
      </c>
      <c r="L543">
        <v>367.56909999999999</v>
      </c>
      <c r="M543">
        <v>0.99990000000000001</v>
      </c>
      <c r="N543">
        <v>0</v>
      </c>
      <c r="O543">
        <v>4.0280589999999996E-3</v>
      </c>
      <c r="P543">
        <v>0.99789700000000003</v>
      </c>
      <c r="Q543">
        <v>-7.9494730000000003E-3</v>
      </c>
      <c r="R543">
        <v>6.4331719999999995E-2</v>
      </c>
      <c r="S543">
        <v>2.9978940000000001</v>
      </c>
      <c r="T543">
        <v>-0.24693419999999999</v>
      </c>
      <c r="U543">
        <v>9.9639889999999995E-2</v>
      </c>
      <c r="V543">
        <v>-6.0311240000000002E-2</v>
      </c>
      <c r="W543">
        <v>5.5888049999999996E-3</v>
      </c>
      <c r="X543">
        <v>0.99816400000000005</v>
      </c>
      <c r="Y543">
        <v>-2.9106980000000001E-2</v>
      </c>
      <c r="Z543">
        <v>8.6524379999999997E-4</v>
      </c>
      <c r="AA543">
        <v>0.99957589999999996</v>
      </c>
      <c r="AB543">
        <v>39</v>
      </c>
      <c r="AC543">
        <v>13.896299999999901</v>
      </c>
      <c r="AD543">
        <v>-1.1601129999999999</v>
      </c>
      <c r="AE543">
        <v>0.46730000000002198</v>
      </c>
      <c r="AF543">
        <v>-0.40847231205338502</v>
      </c>
      <c r="AG543">
        <v>-1.1601129999999999</v>
      </c>
      <c r="AH543">
        <v>13.8019853123996</v>
      </c>
      <c r="AI543">
        <v>94.802556531890204</v>
      </c>
      <c r="AJ543">
        <v>91.695184400718603</v>
      </c>
      <c r="AK543">
        <v>13.8566774648967</v>
      </c>
      <c r="AL543">
        <v>89.679783402197998</v>
      </c>
      <c r="AM543">
        <v>93.4577318374307</v>
      </c>
      <c r="AN543">
        <v>1.0000000256538299</v>
      </c>
    </row>
    <row r="544" spans="1:40" x14ac:dyDescent="0.3">
      <c r="A544" t="str">
        <f>"20200111160415506"</f>
        <v>20200111160415506</v>
      </c>
      <c r="B544" t="str">
        <f>"1578729855501587"</f>
        <v>1578729855501587</v>
      </c>
      <c r="C544" t="s">
        <v>40</v>
      </c>
      <c r="D544">
        <v>5.0478019999999999</v>
      </c>
      <c r="E544">
        <v>0.51166020000000001</v>
      </c>
      <c r="F544" t="s">
        <v>44</v>
      </c>
      <c r="G544">
        <v>-314.30070000000001</v>
      </c>
      <c r="H544">
        <v>-0.05</v>
      </c>
      <c r="I544">
        <v>368.07260000000002</v>
      </c>
      <c r="J544">
        <v>-327.78199999999998</v>
      </c>
      <c r="K544">
        <v>1.1101110000000001</v>
      </c>
      <c r="L544">
        <v>367.56990000000002</v>
      </c>
      <c r="M544">
        <v>0.99989980000000001</v>
      </c>
      <c r="N544">
        <v>0</v>
      </c>
      <c r="O544">
        <v>4.0329220000000004E-3</v>
      </c>
      <c r="P544">
        <v>0.9979015</v>
      </c>
      <c r="Q544">
        <v>-7.9885400000000006E-3</v>
      </c>
      <c r="R544">
        <v>6.4256209999999994E-2</v>
      </c>
      <c r="S544">
        <v>2.9971619999999999</v>
      </c>
      <c r="T544">
        <v>-0.2541388</v>
      </c>
      <c r="U544">
        <v>0.1102905</v>
      </c>
      <c r="V544">
        <v>-6.0230829999999999E-2</v>
      </c>
      <c r="W544">
        <v>5.5539959999999899E-3</v>
      </c>
      <c r="X544">
        <v>0.99816899999999997</v>
      </c>
      <c r="Y544">
        <v>-3.2640049999999997E-2</v>
      </c>
      <c r="Z544">
        <v>1.039622E-3</v>
      </c>
      <c r="AA544">
        <v>0.99946670000000004</v>
      </c>
      <c r="AB544">
        <v>39</v>
      </c>
      <c r="AC544">
        <v>13.4812999999999</v>
      </c>
      <c r="AD544">
        <v>-1.1601109999999999</v>
      </c>
      <c r="AE544">
        <v>0.50270000000000403</v>
      </c>
      <c r="AF544">
        <v>-0.44503091618582402</v>
      </c>
      <c r="AG544">
        <v>-1.1601109999999999</v>
      </c>
      <c r="AH544">
        <v>13.384242792835099</v>
      </c>
      <c r="AI544">
        <v>94.951143720494699</v>
      </c>
      <c r="AJ544">
        <v>91.904403781347895</v>
      </c>
      <c r="AK544">
        <v>13.441795459916801</v>
      </c>
      <c r="AL544">
        <v>89.681777826139495</v>
      </c>
      <c r="AM544">
        <v>93.453115721352006</v>
      </c>
      <c r="AN544">
        <v>0.999999976157528</v>
      </c>
    </row>
    <row r="545" spans="1:40" x14ac:dyDescent="0.3">
      <c r="A545" t="str">
        <f>"20200111160415517"</f>
        <v>20200111160415517</v>
      </c>
      <c r="B545" t="str">
        <f>"1578729855511346"</f>
        <v>1578729855511346</v>
      </c>
      <c r="C545" t="s">
        <v>40</v>
      </c>
      <c r="D545">
        <v>5.0845789999999997</v>
      </c>
      <c r="E545">
        <v>0.5113666</v>
      </c>
      <c r="F545" t="s">
        <v>42</v>
      </c>
      <c r="G545">
        <v>-326.74450000000002</v>
      </c>
      <c r="H545">
        <v>1.021299</v>
      </c>
      <c r="I545">
        <v>367.60899999999998</v>
      </c>
      <c r="J545">
        <v>-327.57600000000002</v>
      </c>
      <c r="K545">
        <v>1.1101099999999999</v>
      </c>
      <c r="L545">
        <v>367.57069999999999</v>
      </c>
      <c r="M545">
        <v>0.99989989999999995</v>
      </c>
      <c r="N545">
        <v>0</v>
      </c>
      <c r="O545">
        <v>4.0374299999999998E-3</v>
      </c>
      <c r="P545">
        <v>0.99790179999999995</v>
      </c>
      <c r="Q545">
        <v>-7.9245119999999999E-3</v>
      </c>
      <c r="R545">
        <v>6.4262250000000007E-2</v>
      </c>
      <c r="S545">
        <v>2.9969790000000001</v>
      </c>
      <c r="T545">
        <v>-0.25653359999999997</v>
      </c>
      <c r="U545">
        <v>0.1131592</v>
      </c>
      <c r="V545">
        <v>-6.02327E-2</v>
      </c>
      <c r="W545">
        <v>5.6207519999999997E-3</v>
      </c>
      <c r="X545">
        <v>0.99816850000000001</v>
      </c>
      <c r="Y545">
        <v>-3.3587730000000003E-2</v>
      </c>
      <c r="Z545">
        <v>1.089514E-3</v>
      </c>
      <c r="AA545">
        <v>0.99943519999999997</v>
      </c>
      <c r="AB545">
        <v>39</v>
      </c>
      <c r="AC545">
        <v>0.83149999999994795</v>
      </c>
      <c r="AD545">
        <v>-8.8810999999999904E-2</v>
      </c>
      <c r="AE545">
        <v>3.8300000000049197E-2</v>
      </c>
      <c r="AF545">
        <v>-3.4548956424385102E-2</v>
      </c>
      <c r="AG545">
        <v>-8.8810999999999904E-2</v>
      </c>
      <c r="AH545">
        <v>0.82228708937484696</v>
      </c>
      <c r="AI545">
        <v>96.158935528132403</v>
      </c>
      <c r="AJ545">
        <v>92.405906436276894</v>
      </c>
      <c r="AK545">
        <v>0.82779048162175195</v>
      </c>
      <c r="AL545">
        <v>89.677952924950802</v>
      </c>
      <c r="AM545">
        <v>93.453224397166395</v>
      </c>
      <c r="AN545">
        <v>0.99999996269729197</v>
      </c>
    </row>
    <row r="546" spans="1:40" x14ac:dyDescent="0.3">
      <c r="A546" t="str">
        <f>"20200111160415528"</f>
        <v>20200111160415528</v>
      </c>
      <c r="B546" t="str">
        <f>"1578729855521107"</f>
        <v>1578729855521107</v>
      </c>
      <c r="C546" t="s">
        <v>40</v>
      </c>
      <c r="D546">
        <v>5.1001200000000004</v>
      </c>
      <c r="E546">
        <v>0.51090869999999999</v>
      </c>
      <c r="F546" t="s">
        <v>44</v>
      </c>
      <c r="G546">
        <v>-314.11869999999999</v>
      </c>
      <c r="H546">
        <v>-0.05</v>
      </c>
      <c r="I546">
        <v>368.09039999999999</v>
      </c>
      <c r="J546">
        <v>-327.37430000000001</v>
      </c>
      <c r="K546">
        <v>1.1101099999999999</v>
      </c>
      <c r="L546">
        <v>367.57150000000001</v>
      </c>
      <c r="M546">
        <v>0.9998996</v>
      </c>
      <c r="N546">
        <v>0</v>
      </c>
      <c r="O546">
        <v>4.0421169999999996E-3</v>
      </c>
      <c r="P546">
        <v>0.99789550000000005</v>
      </c>
      <c r="Q546">
        <v>-8.0612859999999904E-3</v>
      </c>
      <c r="R546">
        <v>6.4337199999999997E-2</v>
      </c>
      <c r="S546">
        <v>2.9967649999999999</v>
      </c>
      <c r="T546">
        <v>-0.25834289999999999</v>
      </c>
      <c r="U546">
        <v>0.115722699999999</v>
      </c>
      <c r="V546">
        <v>-6.030224E-2</v>
      </c>
      <c r="W546">
        <v>5.48724E-3</v>
      </c>
      <c r="X546">
        <v>0.99816510000000003</v>
      </c>
      <c r="Y546">
        <v>-3.443475E-2</v>
      </c>
      <c r="Z546">
        <v>1.133256E-3</v>
      </c>
      <c r="AA546">
        <v>0.99940629999999997</v>
      </c>
      <c r="AB546">
        <v>39</v>
      </c>
      <c r="AC546">
        <v>13.255599999999999</v>
      </c>
      <c r="AD546">
        <v>-1.16011</v>
      </c>
      <c r="AE546">
        <v>0.51889999999997305</v>
      </c>
      <c r="AF546">
        <v>-0.461778557707127</v>
      </c>
      <c r="AG546">
        <v>-1.16011</v>
      </c>
      <c r="AH546">
        <v>13.156967932620001</v>
      </c>
      <c r="AI546">
        <v>95.035913919368497</v>
      </c>
      <c r="AJ546">
        <v>92.010121674869794</v>
      </c>
      <c r="AK546">
        <v>13.2160848903315</v>
      </c>
      <c r="AL546">
        <v>89.685602734857696</v>
      </c>
      <c r="AM546">
        <v>93.457213305151399</v>
      </c>
      <c r="AN546">
        <v>1.00000001840492</v>
      </c>
    </row>
    <row r="547" spans="1:40" x14ac:dyDescent="0.3">
      <c r="A547" t="str">
        <f>"20200111160415540"</f>
        <v>20200111160415540</v>
      </c>
      <c r="B547" t="str">
        <f>"1578729855530867"</f>
        <v>1578729855530867</v>
      </c>
      <c r="C547" t="s">
        <v>40</v>
      </c>
      <c r="D547">
        <v>5.1116640000000002</v>
      </c>
      <c r="E547">
        <v>0.51051489999999999</v>
      </c>
      <c r="F547" t="s">
        <v>42</v>
      </c>
      <c r="G547">
        <v>-326.38240000000002</v>
      </c>
      <c r="H547">
        <v>1.0238609999999999</v>
      </c>
      <c r="I547">
        <v>367.61090000000002</v>
      </c>
      <c r="J547">
        <v>-327.17140000000001</v>
      </c>
      <c r="K547">
        <v>1.1101129999999999</v>
      </c>
      <c r="L547">
        <v>367.57240000000002</v>
      </c>
      <c r="M547">
        <v>0.99989980000000001</v>
      </c>
      <c r="N547">
        <v>0</v>
      </c>
      <c r="O547">
        <v>4.0463280000000001E-3</v>
      </c>
      <c r="P547">
        <v>0.99789760000000005</v>
      </c>
      <c r="Q547">
        <v>-7.9908199999999992E-3</v>
      </c>
      <c r="R547">
        <v>6.4319570000000006E-2</v>
      </c>
      <c r="S547">
        <v>2.9964599999999999</v>
      </c>
      <c r="T547">
        <v>-0.26080029999999998</v>
      </c>
      <c r="U547">
        <v>0.119751</v>
      </c>
      <c r="V547">
        <v>-6.0280800000000002E-2</v>
      </c>
      <c r="W547">
        <v>5.5606719999999896E-3</v>
      </c>
      <c r="X547">
        <v>0.998166</v>
      </c>
      <c r="Y547">
        <v>-3.5768750000000002E-2</v>
      </c>
      <c r="Z547">
        <v>1.2016360000000001E-3</v>
      </c>
      <c r="AA547">
        <v>0.99935940000000001</v>
      </c>
      <c r="AB547">
        <v>39</v>
      </c>
      <c r="AC547">
        <v>0.78899999999998705</v>
      </c>
      <c r="AD547">
        <v>-8.6251999999999704E-2</v>
      </c>
      <c r="AE547">
        <v>3.8499999999999E-2</v>
      </c>
      <c r="AF547">
        <v>-3.4890866994779897E-2</v>
      </c>
      <c r="AG547">
        <v>-8.6251999999999704E-2</v>
      </c>
      <c r="AH547">
        <v>0.77985189249106202</v>
      </c>
      <c r="AI547">
        <v>96.305034004097607</v>
      </c>
      <c r="AJ547">
        <v>92.561726367141304</v>
      </c>
      <c r="AK547">
        <v>0.78538255285277303</v>
      </c>
      <c r="AL547">
        <v>89.681395330670895</v>
      </c>
      <c r="AM547">
        <v>93.455983990657799</v>
      </c>
      <c r="AN547">
        <v>1.00000002973886</v>
      </c>
    </row>
    <row r="548" spans="1:40" x14ac:dyDescent="0.3">
      <c r="A548" t="str">
        <f>"20200111160415551"</f>
        <v>20200111160415551</v>
      </c>
      <c r="B548" t="str">
        <f>"1578729855541604"</f>
        <v>1578729855541604</v>
      </c>
      <c r="C548" t="s">
        <v>40</v>
      </c>
      <c r="D548">
        <v>5.0596589999999999</v>
      </c>
      <c r="E548">
        <v>0.51017079999999904</v>
      </c>
      <c r="F548" t="s">
        <v>44</v>
      </c>
      <c r="G548">
        <v>-313.92140000000001</v>
      </c>
      <c r="H548">
        <v>-0.05</v>
      </c>
      <c r="I548">
        <v>368.11700000000002</v>
      </c>
      <c r="J548">
        <v>-326.98410000000001</v>
      </c>
      <c r="K548">
        <v>1.110114</v>
      </c>
      <c r="L548">
        <v>367.57319999999999</v>
      </c>
      <c r="M548">
        <v>0.99989969999999995</v>
      </c>
      <c r="N548">
        <v>0</v>
      </c>
      <c r="O548">
        <v>4.050662E-3</v>
      </c>
      <c r="P548">
        <v>0.99789229999999995</v>
      </c>
      <c r="Q548">
        <v>-8.2268600000000008E-3</v>
      </c>
      <c r="R548">
        <v>6.4369270000000006E-2</v>
      </c>
      <c r="S548">
        <v>2.9962770000000001</v>
      </c>
      <c r="T548">
        <v>-0.26234099999999999</v>
      </c>
      <c r="U548">
        <v>0.123168899999999</v>
      </c>
      <c r="V548">
        <v>-6.0326079999999997E-2</v>
      </c>
      <c r="W548">
        <v>5.3275010000000001E-3</v>
      </c>
      <c r="X548">
        <v>0.99816450000000001</v>
      </c>
      <c r="Y548">
        <v>-3.6899250000000001E-2</v>
      </c>
      <c r="Z548">
        <v>1.2577510000000001E-3</v>
      </c>
      <c r="AA548">
        <v>0.99931820000000005</v>
      </c>
      <c r="AB548">
        <v>39</v>
      </c>
      <c r="AC548">
        <v>13.0627</v>
      </c>
      <c r="AD548">
        <v>-1.1601139999999901</v>
      </c>
      <c r="AE548">
        <v>0.54379999999997597</v>
      </c>
      <c r="AF548">
        <v>-0.48704320951153501</v>
      </c>
      <c r="AG548">
        <v>-1.1601139999999901</v>
      </c>
      <c r="AH548">
        <v>12.9627300476628</v>
      </c>
      <c r="AI548">
        <v>95.1105379695517</v>
      </c>
      <c r="AJ548">
        <v>92.151738095153604</v>
      </c>
      <c r="AK548">
        <v>13.023649483516801</v>
      </c>
      <c r="AL548">
        <v>89.694755231468406</v>
      </c>
      <c r="AM548">
        <v>93.4585788431461</v>
      </c>
      <c r="AN548">
        <v>0.99999999362766001</v>
      </c>
    </row>
    <row r="549" spans="1:40" x14ac:dyDescent="0.3">
      <c r="A549" t="str">
        <f>"20200111160415562"</f>
        <v>20200111160415562</v>
      </c>
      <c r="B549" t="str">
        <f>"1578729855551363"</f>
        <v>1578729855551363</v>
      </c>
      <c r="C549" t="s">
        <v>40</v>
      </c>
      <c r="D549">
        <v>5.0885939999999996</v>
      </c>
      <c r="E549">
        <v>0.51001660000000004</v>
      </c>
      <c r="F549" t="s">
        <v>44</v>
      </c>
      <c r="G549">
        <v>-313.81599999999997</v>
      </c>
      <c r="H549">
        <v>-0.05</v>
      </c>
      <c r="I549">
        <v>368.12569999999999</v>
      </c>
      <c r="J549">
        <v>-326.78719999999998</v>
      </c>
      <c r="K549">
        <v>1.110115</v>
      </c>
      <c r="L549">
        <v>367.57389999999998</v>
      </c>
      <c r="M549">
        <v>0.9998996</v>
      </c>
      <c r="N549">
        <v>0</v>
      </c>
      <c r="O549">
        <v>4.0551750000000003E-3</v>
      </c>
      <c r="P549">
        <v>0.99789570000000005</v>
      </c>
      <c r="Q549">
        <v>-8.283103E-3</v>
      </c>
      <c r="R549">
        <v>6.430988E-2</v>
      </c>
      <c r="S549">
        <v>2.9960629999999999</v>
      </c>
      <c r="T549">
        <v>-0.2639552</v>
      </c>
      <c r="U549">
        <v>0.12573239999999999</v>
      </c>
      <c r="V549">
        <v>-6.0262330000000003E-2</v>
      </c>
      <c r="W549">
        <v>5.2736199999999997E-3</v>
      </c>
      <c r="X549">
        <v>0.99816859999999996</v>
      </c>
      <c r="Y549">
        <v>-3.7746380000000003E-2</v>
      </c>
      <c r="Z549">
        <v>1.3023589999999999E-3</v>
      </c>
      <c r="AA549">
        <v>0.99928649999999997</v>
      </c>
      <c r="AB549">
        <v>39</v>
      </c>
      <c r="AC549">
        <v>12.9712</v>
      </c>
      <c r="AD549">
        <v>-1.160115</v>
      </c>
      <c r="AE549">
        <v>0.55180000000001395</v>
      </c>
      <c r="AF549">
        <v>-0.49523583630545398</v>
      </c>
      <c r="AG549">
        <v>-1.160115</v>
      </c>
      <c r="AH549">
        <v>12.8705640733662</v>
      </c>
      <c r="AI549">
        <v>95.146766992785302</v>
      </c>
      <c r="AJ549">
        <v>92.203550043480902</v>
      </c>
      <c r="AK549">
        <v>12.932228922866001</v>
      </c>
      <c r="AL549">
        <v>89.697842417612193</v>
      </c>
      <c r="AM549">
        <v>93.454918667175406</v>
      </c>
      <c r="AN549">
        <v>0.99999995675544495</v>
      </c>
    </row>
    <row r="550" spans="1:40" x14ac:dyDescent="0.3">
      <c r="A550" t="str">
        <f>"20200111160415574"</f>
        <v>20200111160415574</v>
      </c>
      <c r="B550" t="str">
        <f>"1578729855570883"</f>
        <v>1578729855570883</v>
      </c>
      <c r="C550" t="s">
        <v>40</v>
      </c>
      <c r="D550">
        <v>5.0560159999999996</v>
      </c>
      <c r="E550">
        <v>0.50963249999999904</v>
      </c>
      <c r="F550" t="s">
        <v>44</v>
      </c>
      <c r="G550">
        <v>-313.65879999999999</v>
      </c>
      <c r="H550">
        <v>-0.05</v>
      </c>
      <c r="I550">
        <v>368.12959999999998</v>
      </c>
      <c r="J550">
        <v>-326.58539999999999</v>
      </c>
      <c r="K550">
        <v>1.1101179999999999</v>
      </c>
      <c r="L550">
        <v>367.57479999999998</v>
      </c>
      <c r="M550">
        <v>0.99989939999999999</v>
      </c>
      <c r="N550">
        <v>0</v>
      </c>
      <c r="O550">
        <v>4.0597489999999996E-3</v>
      </c>
      <c r="P550">
        <v>0.99788520000000003</v>
      </c>
      <c r="Q550">
        <v>-8.2673880000000005E-3</v>
      </c>
      <c r="R550">
        <v>6.4472210000000002E-2</v>
      </c>
      <c r="S550">
        <v>2.9959410000000002</v>
      </c>
      <c r="T550">
        <v>-0.26474209999999998</v>
      </c>
      <c r="U550">
        <v>0.12680050000000001</v>
      </c>
      <c r="V550">
        <v>-6.0419870000000001E-2</v>
      </c>
      <c r="W550">
        <v>5.2917390000000002E-3</v>
      </c>
      <c r="X550">
        <v>0.99815909999999997</v>
      </c>
      <c r="Y550">
        <v>-3.8097029999999997E-2</v>
      </c>
      <c r="Z550">
        <v>1.3213229999999999E-3</v>
      </c>
      <c r="AA550">
        <v>0.99927319999999997</v>
      </c>
      <c r="AB550">
        <v>39</v>
      </c>
      <c r="AC550">
        <v>12.926600000000001</v>
      </c>
      <c r="AD550">
        <v>-1.160118</v>
      </c>
      <c r="AE550">
        <v>0.55479999999999996</v>
      </c>
      <c r="AF550">
        <v>-0.49830563195368699</v>
      </c>
      <c r="AG550">
        <v>-1.160118</v>
      </c>
      <c r="AH550">
        <v>12.825632579208399</v>
      </c>
      <c r="AI550">
        <v>95.164639184267401</v>
      </c>
      <c r="AJ550">
        <v>92.224955111919797</v>
      </c>
      <c r="AK550">
        <v>12.887631021006699</v>
      </c>
      <c r="AL550">
        <v>89.696804297023206</v>
      </c>
      <c r="AM550">
        <v>93.463961566855104</v>
      </c>
      <c r="AN550">
        <v>1.00000007605263</v>
      </c>
    </row>
    <row r="551" spans="1:40" x14ac:dyDescent="0.3">
      <c r="A551" t="str">
        <f>"20200111160415590"</f>
        <v>20200111160415590</v>
      </c>
      <c r="B551" t="str">
        <f>"1578729855581619"</f>
        <v>1578729855581619</v>
      </c>
      <c r="C551" t="s">
        <v>40</v>
      </c>
      <c r="D551">
        <v>5.1048390000000001</v>
      </c>
      <c r="E551">
        <v>0.50953130000000002</v>
      </c>
      <c r="F551" t="s">
        <v>44</v>
      </c>
      <c r="G551">
        <v>-313.48509999999999</v>
      </c>
      <c r="H551">
        <v>-0.05</v>
      </c>
      <c r="I551">
        <v>368.14609999999999</v>
      </c>
      <c r="J551">
        <v>-326.30810000000002</v>
      </c>
      <c r="K551">
        <v>1.110117</v>
      </c>
      <c r="L551">
        <v>367.57589999999999</v>
      </c>
      <c r="M551">
        <v>0.9998996</v>
      </c>
      <c r="N551">
        <v>0</v>
      </c>
      <c r="O551">
        <v>4.0659270000000004E-3</v>
      </c>
      <c r="P551">
        <v>0.99787079999999995</v>
      </c>
      <c r="Q551">
        <v>-8.3153210000000005E-3</v>
      </c>
      <c r="R551">
        <v>6.4691559999999995E-2</v>
      </c>
      <c r="S551">
        <v>2.9956969999999998</v>
      </c>
      <c r="T551">
        <v>-0.26528940000000001</v>
      </c>
      <c r="U551">
        <v>0.13064580000000001</v>
      </c>
      <c r="V551">
        <v>-6.0633579999999999E-2</v>
      </c>
      <c r="W551">
        <v>5.2464410000000001E-3</v>
      </c>
      <c r="X551">
        <v>0.99814630000000004</v>
      </c>
      <c r="Y551">
        <v>-3.9369040000000001E-2</v>
      </c>
      <c r="Z551">
        <v>1.3797550000000001E-3</v>
      </c>
      <c r="AA551">
        <v>0.9992238</v>
      </c>
      <c r="AB551">
        <v>39</v>
      </c>
      <c r="AC551">
        <v>12.823</v>
      </c>
      <c r="AD551">
        <v>-1.1601170000000001</v>
      </c>
      <c r="AE551">
        <v>0.57019999999999904</v>
      </c>
      <c r="AF551">
        <v>-0.51385543890613805</v>
      </c>
      <c r="AG551">
        <v>-1.1601170000000001</v>
      </c>
      <c r="AH551">
        <v>12.7212929447624</v>
      </c>
      <c r="AI551">
        <v>95.206447364724596</v>
      </c>
      <c r="AJ551">
        <v>92.313110083911695</v>
      </c>
      <c r="AK551">
        <v>12.784412894311799</v>
      </c>
      <c r="AL551">
        <v>89.699399693066994</v>
      </c>
      <c r="AM551">
        <v>93.476228357527503</v>
      </c>
      <c r="AN551">
        <v>0.99999999618523605</v>
      </c>
    </row>
    <row r="552" spans="1:40" x14ac:dyDescent="0.3">
      <c r="A552" t="str">
        <f>"20200111160415602"</f>
        <v>20200111160415602</v>
      </c>
      <c r="B552" t="str">
        <f>"1578729855591379"</f>
        <v>1578729855591379</v>
      </c>
      <c r="C552" t="s">
        <v>40</v>
      </c>
      <c r="D552">
        <v>5.093953</v>
      </c>
      <c r="E552">
        <v>0.50942589999999999</v>
      </c>
      <c r="F552" t="s">
        <v>44</v>
      </c>
      <c r="G552">
        <v>-313.22280000000001</v>
      </c>
      <c r="H552">
        <v>-0.05</v>
      </c>
      <c r="I552">
        <v>368.15230000000003</v>
      </c>
      <c r="J552">
        <v>-326.09379999999999</v>
      </c>
      <c r="K552">
        <v>1.1101160000000001</v>
      </c>
      <c r="L552">
        <v>367.57679999999999</v>
      </c>
      <c r="M552">
        <v>0.99989939999999999</v>
      </c>
      <c r="N552">
        <v>0</v>
      </c>
      <c r="O552">
        <v>4.0707999999999899E-3</v>
      </c>
      <c r="P552">
        <v>0.99787289999999995</v>
      </c>
      <c r="Q552">
        <v>-8.0959589999999998E-3</v>
      </c>
      <c r="R552">
        <v>6.4685519999999996E-2</v>
      </c>
      <c r="S552">
        <v>2.9956049999999999</v>
      </c>
      <c r="T552">
        <v>-0.26558589999999999</v>
      </c>
      <c r="U552">
        <v>0.13195799999999999</v>
      </c>
      <c r="V552">
        <v>-6.0622570000000001E-2</v>
      </c>
      <c r="W552">
        <v>5.4676899999999999E-3</v>
      </c>
      <c r="X552">
        <v>0.99814579999999997</v>
      </c>
      <c r="Y552">
        <v>-3.98004E-2</v>
      </c>
      <c r="Z552">
        <v>1.399965E-3</v>
      </c>
      <c r="AA552">
        <v>0.9992067</v>
      </c>
      <c r="AB552">
        <v>39</v>
      </c>
      <c r="AC552">
        <v>12.870999999999899</v>
      </c>
      <c r="AD552">
        <v>-1.1601159999999999</v>
      </c>
      <c r="AE552">
        <v>0.57550000000003299</v>
      </c>
      <c r="AF552">
        <v>-0.51888801056846601</v>
      </c>
      <c r="AG552">
        <v>-1.1601159999999999</v>
      </c>
      <c r="AH552">
        <v>12.769700253651401</v>
      </c>
      <c r="AI552">
        <v>95.186763922297004</v>
      </c>
      <c r="AJ552">
        <v>92.326894580454393</v>
      </c>
      <c r="AK552">
        <v>12.832784517363001</v>
      </c>
      <c r="AL552">
        <v>89.686722883014397</v>
      </c>
      <c r="AM552">
        <v>93.475600419360902</v>
      </c>
      <c r="AN552">
        <v>1.0000000148424899</v>
      </c>
    </row>
    <row r="553" spans="1:40" x14ac:dyDescent="0.3">
      <c r="A553" t="str">
        <f>"20200111160415613"</f>
        <v>20200111160415613</v>
      </c>
      <c r="B553" t="str">
        <f>"1578729855601139"</f>
        <v>1578729855601139</v>
      </c>
      <c r="C553" t="s">
        <v>40</v>
      </c>
      <c r="D553">
        <v>5.1432640000000003</v>
      </c>
      <c r="E553">
        <v>0.50936130000000002</v>
      </c>
      <c r="F553" t="s">
        <v>44</v>
      </c>
      <c r="G553">
        <v>-313.0027</v>
      </c>
      <c r="H553">
        <v>-0.05</v>
      </c>
      <c r="I553">
        <v>368.15800000000002</v>
      </c>
      <c r="J553">
        <v>-325.9067</v>
      </c>
      <c r="K553">
        <v>1.1101160000000001</v>
      </c>
      <c r="L553">
        <v>367.57749999999999</v>
      </c>
      <c r="M553">
        <v>0.99989930000000005</v>
      </c>
      <c r="N553">
        <v>0</v>
      </c>
      <c r="O553">
        <v>4.075141E-3</v>
      </c>
      <c r="P553">
        <v>0.99786390000000003</v>
      </c>
      <c r="Q553">
        <v>-7.9755280000000008E-3</v>
      </c>
      <c r="R553">
        <v>6.4837430000000001E-2</v>
      </c>
      <c r="S553">
        <v>2.9956360000000002</v>
      </c>
      <c r="T553">
        <v>-0.2654685</v>
      </c>
      <c r="U553">
        <v>0.13299559999999999</v>
      </c>
      <c r="V553">
        <v>-6.0770070000000002E-2</v>
      </c>
      <c r="W553">
        <v>5.5892819999999897E-3</v>
      </c>
      <c r="X553">
        <v>0.99813620000000003</v>
      </c>
      <c r="Y553">
        <v>-4.0139840000000003E-2</v>
      </c>
      <c r="Z553">
        <v>1.413943E-3</v>
      </c>
      <c r="AA553">
        <v>0.99919309999999995</v>
      </c>
      <c r="AB553">
        <v>39</v>
      </c>
      <c r="AC553">
        <v>12.9039999999999</v>
      </c>
      <c r="AD553">
        <v>-1.1601159999999999</v>
      </c>
      <c r="AE553">
        <v>0.58050000000002899</v>
      </c>
      <c r="AF553">
        <v>-0.52368051926222303</v>
      </c>
      <c r="AG553">
        <v>-1.1601159999999999</v>
      </c>
      <c r="AH553">
        <v>12.802985534561101</v>
      </c>
      <c r="AI553">
        <v>95.173296339155698</v>
      </c>
      <c r="AJ553">
        <v>92.342263614770502</v>
      </c>
      <c r="AK553">
        <v>12.8661007697706</v>
      </c>
      <c r="AL553">
        <v>89.679756081920701</v>
      </c>
      <c r="AM553">
        <v>93.484069479863805</v>
      </c>
      <c r="AN553">
        <v>1.0000000576157499</v>
      </c>
    </row>
    <row r="554" spans="1:40" x14ac:dyDescent="0.3">
      <c r="A554" t="str">
        <f>"20200111160415625"</f>
        <v>20200111160415625</v>
      </c>
      <c r="B554" t="str">
        <f>"1578729855621635"</f>
        <v>1578729855621635</v>
      </c>
      <c r="C554" t="s">
        <v>40</v>
      </c>
      <c r="D554">
        <v>5.1117739999999996</v>
      </c>
      <c r="E554">
        <v>0.50915650000000001</v>
      </c>
      <c r="F554" t="s">
        <v>44</v>
      </c>
      <c r="G554">
        <v>-312.8245</v>
      </c>
      <c r="H554">
        <v>-0.05</v>
      </c>
      <c r="I554">
        <v>368.16250000000002</v>
      </c>
      <c r="J554">
        <v>-325.69940000000003</v>
      </c>
      <c r="K554">
        <v>1.110117</v>
      </c>
      <c r="L554">
        <v>367.57839999999999</v>
      </c>
      <c r="M554">
        <v>0.99989939999999999</v>
      </c>
      <c r="N554">
        <v>0</v>
      </c>
      <c r="O554">
        <v>4.079839E-3</v>
      </c>
      <c r="P554">
        <v>0.99786620000000004</v>
      </c>
      <c r="Q554">
        <v>-7.71099099999999E-3</v>
      </c>
      <c r="R554">
        <v>6.483746E-2</v>
      </c>
      <c r="S554">
        <v>2.9956049999999999</v>
      </c>
      <c r="T554">
        <v>-0.26564549999999998</v>
      </c>
      <c r="U554">
        <v>0.1339417</v>
      </c>
      <c r="V554">
        <v>-6.076521E-2</v>
      </c>
      <c r="W554">
        <v>5.8558289999999999E-3</v>
      </c>
      <c r="X554">
        <v>0.99813490000000005</v>
      </c>
      <c r="Y554">
        <v>-4.0449150000000003E-2</v>
      </c>
      <c r="Z554">
        <v>1.428152E-3</v>
      </c>
      <c r="AA554">
        <v>0.99918059999999997</v>
      </c>
      <c r="AB554">
        <v>39</v>
      </c>
      <c r="AC554">
        <v>12.8749</v>
      </c>
      <c r="AD554">
        <v>-1.1601170000000001</v>
      </c>
      <c r="AE554">
        <v>0.58410000000003404</v>
      </c>
      <c r="AF554">
        <v>-0.52729036301037202</v>
      </c>
      <c r="AG554">
        <v>-1.1601170000000001</v>
      </c>
      <c r="AH554">
        <v>12.7736764464185</v>
      </c>
      <c r="AI554">
        <v>95.1850266027392</v>
      </c>
      <c r="AJ554">
        <v>92.363796355579694</v>
      </c>
      <c r="AK554">
        <v>12.837083646155699</v>
      </c>
      <c r="AL554">
        <v>89.664483791872698</v>
      </c>
      <c r="AM554">
        <v>93.483796058847801</v>
      </c>
      <c r="AN554">
        <v>0.99999999003881501</v>
      </c>
    </row>
    <row r="555" spans="1:40" x14ac:dyDescent="0.3">
      <c r="A555" t="str">
        <f>"20200111160415636"</f>
        <v>20200111160415636</v>
      </c>
      <c r="B555" t="str">
        <f>"1578729855631395"</f>
        <v>1578729855631395</v>
      </c>
      <c r="C555" t="s">
        <v>40</v>
      </c>
      <c r="D555">
        <v>5.0432139999999999</v>
      </c>
      <c r="E555">
        <v>0.50937069999999995</v>
      </c>
      <c r="F555" t="s">
        <v>42</v>
      </c>
      <c r="G555">
        <v>-324.64749999999998</v>
      </c>
      <c r="H555">
        <v>1.0169549999999901</v>
      </c>
      <c r="I555">
        <v>367.6259</v>
      </c>
      <c r="J555">
        <v>-325.5059</v>
      </c>
      <c r="K555">
        <v>1.11012</v>
      </c>
      <c r="L555">
        <v>367.57920000000001</v>
      </c>
      <c r="M555">
        <v>0.99989939999999999</v>
      </c>
      <c r="N555">
        <v>0</v>
      </c>
      <c r="O555">
        <v>4.0840620000000003E-3</v>
      </c>
      <c r="P555">
        <v>0.99786280000000005</v>
      </c>
      <c r="Q555">
        <v>-7.2959139999999997E-3</v>
      </c>
      <c r="R555">
        <v>6.4938410000000002E-2</v>
      </c>
      <c r="S555">
        <v>2.9955750000000001</v>
      </c>
      <c r="T555">
        <v>-0.26537090000000002</v>
      </c>
      <c r="U555">
        <v>0.13534549999999901</v>
      </c>
      <c r="V555">
        <v>-6.0862159999999998E-2</v>
      </c>
      <c r="W555">
        <v>6.2716229999999996E-3</v>
      </c>
      <c r="X555">
        <v>0.99812639999999997</v>
      </c>
      <c r="Y555">
        <v>-4.0911169999999997E-2</v>
      </c>
      <c r="Z555">
        <v>1.4467219999999999E-3</v>
      </c>
      <c r="AA555">
        <v>0.99916170000000004</v>
      </c>
      <c r="AB555">
        <v>39</v>
      </c>
      <c r="AC555">
        <v>0.85840000000001704</v>
      </c>
      <c r="AD555">
        <v>-9.3165000000000095E-2</v>
      </c>
      <c r="AE555">
        <v>4.6699999999987002E-2</v>
      </c>
      <c r="AF555">
        <v>-4.2692121172510401E-2</v>
      </c>
      <c r="AG555">
        <v>-9.3165000000000095E-2</v>
      </c>
      <c r="AH555">
        <v>0.84861681643776798</v>
      </c>
      <c r="AI555">
        <v>96.2572500923809</v>
      </c>
      <c r="AJ555">
        <v>92.880001741960896</v>
      </c>
      <c r="AK555">
        <v>0.85478233227891498</v>
      </c>
      <c r="AL555">
        <v>89.640660088066397</v>
      </c>
      <c r="AM555">
        <v>93.489370323574505</v>
      </c>
      <c r="AN555">
        <v>0.99999992307593599</v>
      </c>
    </row>
    <row r="556" spans="1:40" x14ac:dyDescent="0.3">
      <c r="A556" t="str">
        <f>"20200111160415647"</f>
        <v>20200111160415647</v>
      </c>
      <c r="B556" t="str">
        <f>"1578729855641154"</f>
        <v>1578729855641154</v>
      </c>
      <c r="C556" t="s">
        <v>40</v>
      </c>
      <c r="D556">
        <v>5.0491519999999896</v>
      </c>
      <c r="E556">
        <v>0.50954259999999996</v>
      </c>
      <c r="F556" t="s">
        <v>44</v>
      </c>
      <c r="G556">
        <v>-312.20600000000002</v>
      </c>
      <c r="H556">
        <v>-0.05</v>
      </c>
      <c r="I556">
        <v>368.173</v>
      </c>
      <c r="J556">
        <v>-325.30770000000001</v>
      </c>
      <c r="K556">
        <v>1.1101209999999999</v>
      </c>
      <c r="L556">
        <v>367.58</v>
      </c>
      <c r="M556">
        <v>0.99989930000000005</v>
      </c>
      <c r="N556">
        <v>0</v>
      </c>
      <c r="O556">
        <v>4.0885840000000001E-3</v>
      </c>
      <c r="P556">
        <v>0.99786810000000004</v>
      </c>
      <c r="Q556">
        <v>-7.1868619999999996E-3</v>
      </c>
      <c r="R556">
        <v>6.4868229999999999E-2</v>
      </c>
      <c r="S556">
        <v>2.995819</v>
      </c>
      <c r="T556">
        <v>-0.26131769999999999</v>
      </c>
      <c r="U556">
        <v>0.1337585</v>
      </c>
      <c r="V556">
        <v>-6.0787389999999997E-2</v>
      </c>
      <c r="W556">
        <v>6.3817709999999996E-3</v>
      </c>
      <c r="X556">
        <v>0.99813030000000003</v>
      </c>
      <c r="Y556">
        <v>-4.0381180000000003E-2</v>
      </c>
      <c r="Z556">
        <v>1.40115799999999E-3</v>
      </c>
      <c r="AA556">
        <v>0.99918340000000005</v>
      </c>
      <c r="AB556">
        <v>39</v>
      </c>
      <c r="AC556">
        <v>13.101699999999999</v>
      </c>
      <c r="AD556">
        <v>-1.160121</v>
      </c>
      <c r="AE556">
        <v>0.59300000000001696</v>
      </c>
      <c r="AF556">
        <v>-0.53523469393825696</v>
      </c>
      <c r="AG556">
        <v>-1.160121</v>
      </c>
      <c r="AH556">
        <v>13.0022775233519</v>
      </c>
      <c r="AI556">
        <v>95.094390800540495</v>
      </c>
      <c r="AJ556">
        <v>92.357232004659394</v>
      </c>
      <c r="AK556">
        <v>13.064898687188499</v>
      </c>
      <c r="AL556">
        <v>89.634348960995993</v>
      </c>
      <c r="AM556">
        <v>93.485080572583499</v>
      </c>
      <c r="AN556">
        <v>0.99999996478109798</v>
      </c>
    </row>
    <row r="557" spans="1:40" x14ac:dyDescent="0.3">
      <c r="A557" t="str">
        <f>"20200111160415657"</f>
        <v>20200111160415657</v>
      </c>
      <c r="B557" t="str">
        <f>"1578729855650915"</f>
        <v>1578729855650915</v>
      </c>
      <c r="C557" t="s">
        <v>40</v>
      </c>
      <c r="D557">
        <v>5.1121349999999897</v>
      </c>
      <c r="E557">
        <v>0.50943130000000003</v>
      </c>
      <c r="F557" t="s">
        <v>44</v>
      </c>
      <c r="G557">
        <v>-311.83940000000001</v>
      </c>
      <c r="H557">
        <v>-0.05</v>
      </c>
      <c r="I557">
        <v>368.1728</v>
      </c>
      <c r="J557">
        <v>-325.11489999999998</v>
      </c>
      <c r="K557">
        <v>1.1101219999999901</v>
      </c>
      <c r="L557">
        <v>367.58080000000001</v>
      </c>
      <c r="M557">
        <v>0.99989930000000005</v>
      </c>
      <c r="N557">
        <v>0</v>
      </c>
      <c r="O557">
        <v>4.0928099999999997E-3</v>
      </c>
      <c r="P557">
        <v>0.99785029999999997</v>
      </c>
      <c r="Q557">
        <v>-7.2588599999999998E-3</v>
      </c>
      <c r="R557">
        <v>6.5133280000000002E-2</v>
      </c>
      <c r="S557">
        <v>2.9959410000000002</v>
      </c>
      <c r="T557">
        <v>-0.2580615</v>
      </c>
      <c r="U557">
        <v>0.1318665</v>
      </c>
      <c r="V557">
        <v>-6.1048230000000002E-2</v>
      </c>
      <c r="W557">
        <v>6.3107229999999999E-3</v>
      </c>
      <c r="X557">
        <v>0.99811490000000003</v>
      </c>
      <c r="Y557">
        <v>-3.9751090000000003E-2</v>
      </c>
      <c r="Z557">
        <v>1.3562890000000001E-3</v>
      </c>
      <c r="AA557">
        <v>0.99920869999999995</v>
      </c>
      <c r="AB557">
        <v>39</v>
      </c>
      <c r="AC557">
        <v>13.2754999999999</v>
      </c>
      <c r="AD557">
        <v>-1.1601220000000001</v>
      </c>
      <c r="AE557">
        <v>0.59199999999998398</v>
      </c>
      <c r="AF557">
        <v>-0.53358915326607503</v>
      </c>
      <c r="AG557">
        <v>-1.1601220000000001</v>
      </c>
      <c r="AH557">
        <v>13.1773800164548</v>
      </c>
      <c r="AI557">
        <v>95.027186441327402</v>
      </c>
      <c r="AJ557">
        <v>92.318800347893202</v>
      </c>
      <c r="AK557">
        <v>13.239106636681701</v>
      </c>
      <c r="AL557">
        <v>89.638419818184701</v>
      </c>
      <c r="AM557">
        <v>93.500051900241104</v>
      </c>
      <c r="AN557">
        <v>1.00000003260646</v>
      </c>
    </row>
    <row r="558" spans="1:40" x14ac:dyDescent="0.3">
      <c r="A558" t="str">
        <f>"20200111160415669"</f>
        <v>20200111160415669</v>
      </c>
      <c r="B558" t="str">
        <f>"1578729855661651"</f>
        <v>1578729855661651</v>
      </c>
      <c r="C558" t="s">
        <v>40</v>
      </c>
      <c r="D558">
        <v>4.9012630000000001</v>
      </c>
      <c r="E558">
        <v>0.50943130000000003</v>
      </c>
      <c r="F558" t="s">
        <v>44</v>
      </c>
      <c r="G558">
        <v>-311.66120000000001</v>
      </c>
      <c r="H558">
        <v>-0.05</v>
      </c>
      <c r="I558">
        <v>368.18119999999999</v>
      </c>
      <c r="J558">
        <v>-324.92290000000003</v>
      </c>
      <c r="K558">
        <v>1.110123</v>
      </c>
      <c r="L558">
        <v>367.58159999999998</v>
      </c>
      <c r="M558">
        <v>0.99989930000000005</v>
      </c>
      <c r="N558">
        <v>0</v>
      </c>
      <c r="O558">
        <v>4.0971559999999898E-3</v>
      </c>
      <c r="P558">
        <v>0.99784589999999995</v>
      </c>
      <c r="Q558">
        <v>-7.3599440000000002E-3</v>
      </c>
      <c r="R558">
        <v>6.5189369999999996E-2</v>
      </c>
      <c r="S558">
        <v>2.9958499999999999</v>
      </c>
      <c r="T558">
        <v>-0.25833479999999998</v>
      </c>
      <c r="U558">
        <v>0.1336975</v>
      </c>
      <c r="V558">
        <v>-6.1100149999999999E-2</v>
      </c>
      <c r="W558">
        <v>6.2105900000000002E-3</v>
      </c>
      <c r="X558">
        <v>0.99811229999999995</v>
      </c>
      <c r="Y558">
        <v>-4.0355090000000003E-2</v>
      </c>
      <c r="Z558">
        <v>1.38335E-3</v>
      </c>
      <c r="AA558">
        <v>0.99918439999999997</v>
      </c>
      <c r="AB558">
        <v>39</v>
      </c>
      <c r="AC558">
        <v>13.261699999999999</v>
      </c>
      <c r="AD558">
        <v>-1.160123</v>
      </c>
      <c r="AE558">
        <v>0.59960000000000901</v>
      </c>
      <c r="AF558">
        <v>-0.541122146884917</v>
      </c>
      <c r="AG558">
        <v>-1.160123</v>
      </c>
      <c r="AH558">
        <v>13.1635157797489</v>
      </c>
      <c r="AI558">
        <v>95.032332977015798</v>
      </c>
      <c r="AJ558">
        <v>92.353973621499406</v>
      </c>
      <c r="AK558">
        <v>13.2256132650504</v>
      </c>
      <c r="AL558">
        <v>89.644157110574398</v>
      </c>
      <c r="AM558">
        <v>93.5030303003266</v>
      </c>
      <c r="AN558">
        <v>0.99999998158473002</v>
      </c>
    </row>
    <row r="559" spans="1:40" x14ac:dyDescent="0.3">
      <c r="A559" t="str">
        <f>"20200111160415948"</f>
        <v>20200111160415948</v>
      </c>
      <c r="B559" t="str">
        <f>"1578729855941321"</f>
        <v>1578729855941321</v>
      </c>
      <c r="C559" t="s">
        <v>40</v>
      </c>
      <c r="D559">
        <v>4.6447529999999997</v>
      </c>
      <c r="E559">
        <v>0.53097890000000003</v>
      </c>
      <c r="F559" t="s">
        <v>44</v>
      </c>
      <c r="G559">
        <v>-311.4846</v>
      </c>
      <c r="H559">
        <v>-0.05</v>
      </c>
      <c r="I559">
        <v>368.18119999999999</v>
      </c>
      <c r="J559">
        <v>-320.06880000000001</v>
      </c>
      <c r="K559">
        <v>1.1092900000000001</v>
      </c>
      <c r="L559">
        <v>367.60169999999999</v>
      </c>
      <c r="M559">
        <v>0.99991739999999996</v>
      </c>
      <c r="N559">
        <v>0</v>
      </c>
      <c r="O559">
        <v>4.2064099999999998E-3</v>
      </c>
      <c r="P559">
        <v>0.99780080000000004</v>
      </c>
      <c r="Q559">
        <v>-7.5928439999999996E-3</v>
      </c>
      <c r="R559">
        <v>6.5848859999999995E-2</v>
      </c>
      <c r="S559">
        <v>2.995819</v>
      </c>
      <c r="T559">
        <v>-0.25862619999999997</v>
      </c>
      <c r="U559">
        <v>0.13366700000000001</v>
      </c>
      <c r="V559">
        <v>-6.1650400000000001E-2</v>
      </c>
      <c r="W559">
        <v>4.5412070000000002E-3</v>
      </c>
      <c r="X559">
        <v>0.99808750000000002</v>
      </c>
      <c r="Y559">
        <v>-4.0236830000000001E-2</v>
      </c>
      <c r="Z559">
        <v>1.370423E-3</v>
      </c>
      <c r="AA559">
        <v>0.99918929999999995</v>
      </c>
      <c r="AB559">
        <v>39</v>
      </c>
      <c r="AC559">
        <v>8.5842000000000098</v>
      </c>
      <c r="AD559">
        <v>-1.1592899999999999</v>
      </c>
      <c r="AE559">
        <v>0.57949999999999502</v>
      </c>
      <c r="AF559">
        <v>-0.53369402683721601</v>
      </c>
      <c r="AG559">
        <v>-1.1592899999999999</v>
      </c>
      <c r="AH559">
        <v>8.4334478136675006</v>
      </c>
      <c r="AI559">
        <v>97.811583088720496</v>
      </c>
      <c r="AJ559">
        <v>93.621021227562693</v>
      </c>
      <c r="AK559">
        <v>8.5294680164846692</v>
      </c>
      <c r="AL559">
        <v>89.739807117462107</v>
      </c>
      <c r="AM559">
        <v>93.534585544139503</v>
      </c>
      <c r="AN559">
        <v>1.0000000260187101</v>
      </c>
    </row>
    <row r="560" spans="1:40" x14ac:dyDescent="0.3">
      <c r="A560" t="str">
        <f>"20200111160415959"</f>
        <v>20200111160415959</v>
      </c>
      <c r="B560" t="str">
        <f>"1578729855951081"</f>
        <v>1578729855951081</v>
      </c>
      <c r="C560" t="s">
        <v>40</v>
      </c>
      <c r="D560">
        <v>4.90829</v>
      </c>
      <c r="E560">
        <v>0.52730999999999995</v>
      </c>
      <c r="F560" t="s">
        <v>44</v>
      </c>
      <c r="G560">
        <v>-297.29500000000002</v>
      </c>
      <c r="H560">
        <v>-0.05</v>
      </c>
      <c r="I560">
        <v>367.28449999999998</v>
      </c>
      <c r="J560">
        <v>-319.87509999999997</v>
      </c>
      <c r="K560">
        <v>1.1090819999999999</v>
      </c>
      <c r="L560">
        <v>367.60250000000002</v>
      </c>
      <c r="M560">
        <v>0.99991470000000005</v>
      </c>
      <c r="N560">
        <v>0</v>
      </c>
      <c r="O560">
        <v>4.2107719999999998E-3</v>
      </c>
      <c r="P560">
        <v>0.99782289999999996</v>
      </c>
      <c r="Q560">
        <v>-7.3543319999999999E-3</v>
      </c>
      <c r="R560">
        <v>6.5540490000000007E-2</v>
      </c>
      <c r="S560">
        <v>3.0082399999999998</v>
      </c>
      <c r="T560">
        <v>-0.15313270000000001</v>
      </c>
      <c r="U560">
        <v>-4.1900630000000001E-2</v>
      </c>
      <c r="V560">
        <v>-6.133806E-2</v>
      </c>
      <c r="W560">
        <v>4.9999190000000002E-3</v>
      </c>
      <c r="X560">
        <v>0.99810449999999995</v>
      </c>
      <c r="Y560">
        <v>1.810894E-2</v>
      </c>
      <c r="Z560">
        <v>-6.7480749999999999E-4</v>
      </c>
      <c r="AA560">
        <v>0.99983580000000005</v>
      </c>
      <c r="AB560">
        <v>39</v>
      </c>
      <c r="AC560">
        <v>22.580099999999899</v>
      </c>
      <c r="AD560">
        <v>-1.1590819999999999</v>
      </c>
      <c r="AE560">
        <v>-0.31800000000003997</v>
      </c>
      <c r="AF560">
        <v>0.41199870981749298</v>
      </c>
      <c r="AG560">
        <v>-1.1590819999999999</v>
      </c>
      <c r="AH560">
        <v>22.519234793132</v>
      </c>
      <c r="AI560">
        <v>92.945964737056599</v>
      </c>
      <c r="AJ560">
        <v>88.951866962188802</v>
      </c>
      <c r="AK560">
        <v>22.552808022235801</v>
      </c>
      <c r="AL560">
        <v>89.713524542572401</v>
      </c>
      <c r="AM560">
        <v>93.5166635476903</v>
      </c>
      <c r="AN560">
        <v>0.99999997485740899</v>
      </c>
    </row>
    <row r="561" spans="1:40" x14ac:dyDescent="0.3">
      <c r="A561" t="str">
        <f>"20200111160415970"</f>
        <v>20200111160415970</v>
      </c>
      <c r="B561" t="str">
        <f>"1578729855961441"</f>
        <v>1578729855961441</v>
      </c>
      <c r="C561" t="s">
        <v>40</v>
      </c>
      <c r="D561">
        <v>4.6273229999999996</v>
      </c>
      <c r="E561">
        <v>0.52698769999999995</v>
      </c>
      <c r="F561" t="s">
        <v>44</v>
      </c>
      <c r="G561">
        <v>-296.7799</v>
      </c>
      <c r="H561">
        <v>-0.05</v>
      </c>
      <c r="I561">
        <v>367.49700000000001</v>
      </c>
      <c r="J561">
        <v>-319.68389999999999</v>
      </c>
      <c r="K561">
        <v>1.108811</v>
      </c>
      <c r="L561">
        <v>367.60329999999999</v>
      </c>
      <c r="M561">
        <v>0.99991070000000004</v>
      </c>
      <c r="N561">
        <v>0</v>
      </c>
      <c r="O561">
        <v>4.2149520000000001E-3</v>
      </c>
      <c r="P561">
        <v>0.99784890000000004</v>
      </c>
      <c r="Q561">
        <v>-7.6319669999999999E-3</v>
      </c>
      <c r="R561">
        <v>6.5112009999999998E-2</v>
      </c>
      <c r="S561">
        <v>3.0063170000000001</v>
      </c>
      <c r="T561">
        <v>-0.1508786</v>
      </c>
      <c r="U561">
        <v>-1.3732909999999999E-2</v>
      </c>
      <c r="V561">
        <v>-6.0905420000000002E-2</v>
      </c>
      <c r="W561">
        <v>5.0418800000000003E-3</v>
      </c>
      <c r="X561">
        <v>0.99813079999999998</v>
      </c>
      <c r="Y561">
        <v>8.7668380000000008E-3</v>
      </c>
      <c r="Z561">
        <v>-4.3127150000000001E-4</v>
      </c>
      <c r="AA561">
        <v>0.99996149999999995</v>
      </c>
      <c r="AB561">
        <v>39</v>
      </c>
      <c r="AC561">
        <v>22.904</v>
      </c>
      <c r="AD561">
        <v>-1.158811</v>
      </c>
      <c r="AE561">
        <v>-0.10630000000003199</v>
      </c>
      <c r="AF561">
        <v>0.202328175805672</v>
      </c>
      <c r="AG561">
        <v>-1.158811</v>
      </c>
      <c r="AH561">
        <v>22.844871852846399</v>
      </c>
      <c r="AI561">
        <v>92.903738080262201</v>
      </c>
      <c r="AJ561">
        <v>89.492566754839501</v>
      </c>
      <c r="AK561">
        <v>22.8751382421488</v>
      </c>
      <c r="AL561">
        <v>89.711120329048697</v>
      </c>
      <c r="AM561">
        <v>93.491829031438996</v>
      </c>
      <c r="AN561">
        <v>0.99999999232397496</v>
      </c>
    </row>
    <row r="562" spans="1:40" x14ac:dyDescent="0.3">
      <c r="A562" t="str">
        <f>"20200111160416116"</f>
        <v>20200111160416116</v>
      </c>
      <c r="B562" t="str">
        <f>"1578729856111277"</f>
        <v>1578729856111277</v>
      </c>
      <c r="C562" t="s">
        <v>40</v>
      </c>
      <c r="D562">
        <v>4.7241109999999997</v>
      </c>
      <c r="E562">
        <v>0.52622119999999994</v>
      </c>
      <c r="F562" t="s">
        <v>44</v>
      </c>
      <c r="G562">
        <v>-297.50790000000001</v>
      </c>
      <c r="H562">
        <v>-0.05</v>
      </c>
      <c r="I562">
        <v>367.51369999999997</v>
      </c>
      <c r="J562">
        <v>-317.137</v>
      </c>
      <c r="K562">
        <v>1.0991899999999999</v>
      </c>
      <c r="L562">
        <v>367.61419999999998</v>
      </c>
      <c r="M562">
        <v>0.99976580000000004</v>
      </c>
      <c r="N562">
        <v>0</v>
      </c>
      <c r="O562">
        <v>4.2746800000000003E-3</v>
      </c>
      <c r="P562">
        <v>0.99779609999999996</v>
      </c>
      <c r="Q562">
        <v>-1.599223E-2</v>
      </c>
      <c r="R562">
        <v>6.4402920000000002E-2</v>
      </c>
      <c r="S562">
        <v>3.0060120000000001</v>
      </c>
      <c r="T562">
        <v>-0.15708</v>
      </c>
      <c r="U562">
        <v>-1.2146000000000001E-2</v>
      </c>
      <c r="V562">
        <v>-6.0136210000000002E-2</v>
      </c>
      <c r="W562">
        <v>5.1925590000000002E-3</v>
      </c>
      <c r="X562">
        <v>0.99817670000000003</v>
      </c>
      <c r="Y562">
        <v>8.2989510000000006E-3</v>
      </c>
      <c r="Z562">
        <v>-4.3995500000000001E-4</v>
      </c>
      <c r="AA562">
        <v>0.99996549999999995</v>
      </c>
      <c r="AB562">
        <v>39</v>
      </c>
      <c r="AC562">
        <v>19.629099999999902</v>
      </c>
      <c r="AD562">
        <v>-1.1491899999999999</v>
      </c>
      <c r="AE562">
        <v>-0.10050000000001</v>
      </c>
      <c r="AF562">
        <v>0.18379613865317099</v>
      </c>
      <c r="AG562">
        <v>-1.1491899999999999</v>
      </c>
      <c r="AH562">
        <v>19.561444941679099</v>
      </c>
      <c r="AI562">
        <v>93.361983158312995</v>
      </c>
      <c r="AJ562">
        <v>89.461674063820396</v>
      </c>
      <c r="AK562">
        <v>19.596033957998401</v>
      </c>
      <c r="AL562">
        <v>89.702486955023005</v>
      </c>
      <c r="AM562">
        <v>93.447677591469002</v>
      </c>
      <c r="AN562">
        <v>1.0000000254225101</v>
      </c>
    </row>
    <row r="563" spans="1:40" x14ac:dyDescent="0.3">
      <c r="A563" t="str">
        <f>"20200111160416128"</f>
        <v>20200111160416128</v>
      </c>
      <c r="B563" t="str">
        <f>"1578729856121038"</f>
        <v>1578729856121038</v>
      </c>
      <c r="C563" t="s">
        <v>40</v>
      </c>
      <c r="D563">
        <v>4.6160370000000004</v>
      </c>
      <c r="E563">
        <v>0.525617</v>
      </c>
      <c r="F563" t="s">
        <v>44</v>
      </c>
      <c r="G563">
        <v>-298.96550000000002</v>
      </c>
      <c r="H563">
        <v>-0.05</v>
      </c>
      <c r="I563">
        <v>367.57100000000003</v>
      </c>
      <c r="J563">
        <v>-316.91930000000002</v>
      </c>
      <c r="K563">
        <v>1.097804</v>
      </c>
      <c r="L563">
        <v>367.61509999999998</v>
      </c>
      <c r="M563">
        <v>0.99975769999999997</v>
      </c>
      <c r="N563">
        <v>0</v>
      </c>
      <c r="O563">
        <v>4.2787240000000002E-3</v>
      </c>
      <c r="P563">
        <v>0.9977741</v>
      </c>
      <c r="Q563">
        <v>-1.6444879999999999E-2</v>
      </c>
      <c r="R563">
        <v>6.4627749999999998E-2</v>
      </c>
      <c r="S563">
        <v>3.0040589999999998</v>
      </c>
      <c r="T563">
        <v>-0.18998100000000001</v>
      </c>
      <c r="U563">
        <v>-7.1411130000000001E-3</v>
      </c>
      <c r="V563">
        <v>-6.0357090000000002E-2</v>
      </c>
      <c r="W563">
        <v>5.1172199999999996E-3</v>
      </c>
      <c r="X563">
        <v>0.99816380000000005</v>
      </c>
      <c r="Y563">
        <v>6.6350319999999999E-3</v>
      </c>
      <c r="Z563">
        <v>-4.7997980000000001E-4</v>
      </c>
      <c r="AA563">
        <v>0.99997789999999998</v>
      </c>
      <c r="AB563">
        <v>39</v>
      </c>
      <c r="AC563">
        <v>17.953800000000001</v>
      </c>
      <c r="AD563">
        <v>-1.147804</v>
      </c>
      <c r="AE563">
        <v>-4.4100000000014399E-2</v>
      </c>
      <c r="AF563">
        <v>0.12044459068834799</v>
      </c>
      <c r="AG563">
        <v>-1.147804</v>
      </c>
      <c r="AH563">
        <v>17.880367183044498</v>
      </c>
      <c r="AI563">
        <v>93.672895917641299</v>
      </c>
      <c r="AJ563">
        <v>89.614053656422499</v>
      </c>
      <c r="AK563">
        <v>17.9175749341907</v>
      </c>
      <c r="AL563">
        <v>89.706803631467196</v>
      </c>
      <c r="AM563">
        <v>93.460354791905601</v>
      </c>
      <c r="AN563">
        <v>1.0000000679421099</v>
      </c>
    </row>
    <row r="564" spans="1:40" x14ac:dyDescent="0.3">
      <c r="A564" t="str">
        <f>"20200111160416139"</f>
        <v>20200111160416139</v>
      </c>
      <c r="B564" t="str">
        <f>"1578729856131774"</f>
        <v>1578729856131774</v>
      </c>
      <c r="C564" t="s">
        <v>40</v>
      </c>
      <c r="D564">
        <v>4.6402269999999897</v>
      </c>
      <c r="E564">
        <v>0.525115199999999</v>
      </c>
      <c r="F564" t="s">
        <v>44</v>
      </c>
      <c r="G564">
        <v>-299.31290000000001</v>
      </c>
      <c r="H564">
        <v>-0.05</v>
      </c>
      <c r="I564">
        <v>367.6062</v>
      </c>
      <c r="J564">
        <v>-316.72309999999999</v>
      </c>
      <c r="K564">
        <v>1.0964969999999901</v>
      </c>
      <c r="L564">
        <v>367.61599999999999</v>
      </c>
      <c r="M564">
        <v>0.99975199999999997</v>
      </c>
      <c r="N564">
        <v>0</v>
      </c>
      <c r="O564">
        <v>4.282447E-3</v>
      </c>
      <c r="P564">
        <v>0.99775440000000004</v>
      </c>
      <c r="Q564">
        <v>-1.6612439999999999E-2</v>
      </c>
      <c r="R564">
        <v>6.4887680000000003E-2</v>
      </c>
      <c r="S564">
        <v>3.003571</v>
      </c>
      <c r="T564">
        <v>-0.1958107</v>
      </c>
      <c r="U564">
        <v>-1.525879E-3</v>
      </c>
      <c r="V564">
        <v>-6.0613609999999998E-2</v>
      </c>
      <c r="W564">
        <v>5.2092479999999997E-3</v>
      </c>
      <c r="X564">
        <v>0.99814769999999997</v>
      </c>
      <c r="Y564">
        <v>4.7722629999999997E-3</v>
      </c>
      <c r="Z564">
        <v>-4.3434739999999999E-4</v>
      </c>
      <c r="AA564">
        <v>0.99998849999999995</v>
      </c>
      <c r="AB564">
        <v>39</v>
      </c>
      <c r="AC564">
        <v>17.4101999999999</v>
      </c>
      <c r="AD564">
        <v>-1.1464970000000001</v>
      </c>
      <c r="AE564">
        <v>-9.7999999999842605E-3</v>
      </c>
      <c r="AF564">
        <v>8.40116641079586E-2</v>
      </c>
      <c r="AG564">
        <v>-1.1464970000000001</v>
      </c>
      <c r="AH564">
        <v>17.3348260273583</v>
      </c>
      <c r="AI564">
        <v>93.783893784232205</v>
      </c>
      <c r="AJ564">
        <v>89.722323368570599</v>
      </c>
      <c r="AK564">
        <v>17.372901505778898</v>
      </c>
      <c r="AL564">
        <v>89.701530721829599</v>
      </c>
      <c r="AM564">
        <v>93.4750813867754</v>
      </c>
      <c r="AN564">
        <v>0.99999998849862304</v>
      </c>
    </row>
    <row r="565" spans="1:40" x14ac:dyDescent="0.3">
      <c r="A565" t="str">
        <f>"20200111160416151"</f>
        <v>20200111160416151</v>
      </c>
      <c r="B565" t="str">
        <f>"1578729856141533"</f>
        <v>1578729856141533</v>
      </c>
      <c r="C565" t="s">
        <v>40</v>
      </c>
      <c r="D565">
        <v>4.7363989999999996</v>
      </c>
      <c r="E565">
        <v>0.52468570000000003</v>
      </c>
      <c r="F565" t="s">
        <v>44</v>
      </c>
      <c r="G565">
        <v>-299.45870000000002</v>
      </c>
      <c r="H565">
        <v>-0.05</v>
      </c>
      <c r="I565">
        <v>367.63639999999998</v>
      </c>
      <c r="J565">
        <v>-316.53980000000001</v>
      </c>
      <c r="K565">
        <v>1.0952219999999999</v>
      </c>
      <c r="L565">
        <v>367.61680000000001</v>
      </c>
      <c r="M565">
        <v>0.99974850000000004</v>
      </c>
      <c r="N565">
        <v>0</v>
      </c>
      <c r="O565">
        <v>4.2862719999999998E-3</v>
      </c>
      <c r="P565">
        <v>0.9977528</v>
      </c>
      <c r="Q565">
        <v>-1.648022E-2</v>
      </c>
      <c r="R565">
        <v>6.4946199999999996E-2</v>
      </c>
      <c r="S565">
        <v>3.0032040000000002</v>
      </c>
      <c r="T565">
        <v>-0.19943710000000001</v>
      </c>
      <c r="U565">
        <v>3.540039E-3</v>
      </c>
      <c r="V565">
        <v>-6.0668239999999998E-2</v>
      </c>
      <c r="W565">
        <v>5.4972529999999997E-3</v>
      </c>
      <c r="X565">
        <v>0.9981428</v>
      </c>
      <c r="Y565">
        <v>3.0923119999999998E-3</v>
      </c>
      <c r="Z565">
        <v>-3.869624E-4</v>
      </c>
      <c r="AA565">
        <v>0.99999519999999997</v>
      </c>
      <c r="AB565">
        <v>39</v>
      </c>
      <c r="AC565">
        <v>17.0810999999999</v>
      </c>
      <c r="AD565">
        <v>-1.145222</v>
      </c>
      <c r="AE565">
        <v>1.95999999999685E-2</v>
      </c>
      <c r="AF565">
        <v>5.3392158376614499E-2</v>
      </c>
      <c r="AG565">
        <v>-1.145222</v>
      </c>
      <c r="AH565">
        <v>17.0045883546914</v>
      </c>
      <c r="AI565">
        <v>93.852908809675995</v>
      </c>
      <c r="AJ565">
        <v>89.8200994215685</v>
      </c>
      <c r="AK565">
        <v>17.043192461049301</v>
      </c>
      <c r="AL565">
        <v>89.685029002710607</v>
      </c>
      <c r="AM565">
        <v>93.478222764890802</v>
      </c>
      <c r="AN565">
        <v>0.99999995216353998</v>
      </c>
    </row>
    <row r="566" spans="1:40" x14ac:dyDescent="0.3">
      <c r="A566" t="str">
        <f>"20200111160416282"</f>
        <v>20200111160416282</v>
      </c>
      <c r="B566" t="str">
        <f>"1578729856270873"</f>
        <v>1578729856270873</v>
      </c>
      <c r="C566" t="s">
        <v>40</v>
      </c>
      <c r="D566">
        <v>4.8060970000000003</v>
      </c>
      <c r="E566">
        <v>0.52394499999999999</v>
      </c>
      <c r="F566" t="s">
        <v>44</v>
      </c>
      <c r="G566">
        <v>-299.45429999999999</v>
      </c>
      <c r="H566">
        <v>-0.05</v>
      </c>
      <c r="I566">
        <v>367.6567</v>
      </c>
      <c r="J566">
        <v>-314.26940000000002</v>
      </c>
      <c r="K566">
        <v>1.078662</v>
      </c>
      <c r="L566">
        <v>367.6266</v>
      </c>
      <c r="M566">
        <v>0.99976430000000005</v>
      </c>
      <c r="N566">
        <v>0</v>
      </c>
      <c r="O566">
        <v>4.3427689999999998E-3</v>
      </c>
      <c r="P566">
        <v>0.99783710000000003</v>
      </c>
      <c r="Q566">
        <v>-1.5481419999999999E-2</v>
      </c>
      <c r="R566">
        <v>6.3886750000000006E-2</v>
      </c>
      <c r="S566">
        <v>3.0029599999999999</v>
      </c>
      <c r="T566">
        <v>-0.20128509999999999</v>
      </c>
      <c r="U566">
        <v>7.019043E-3</v>
      </c>
      <c r="V566">
        <v>-5.9551529999999998E-2</v>
      </c>
      <c r="W566">
        <v>5.76094E-3</v>
      </c>
      <c r="X566">
        <v>0.9982086</v>
      </c>
      <c r="Y566">
        <v>1.9921769999999999E-3</v>
      </c>
      <c r="Z566">
        <v>-3.5752100000000002E-4</v>
      </c>
      <c r="AA566">
        <v>0.99999800000000005</v>
      </c>
      <c r="AB566">
        <v>38</v>
      </c>
      <c r="AC566">
        <v>14.815099999999999</v>
      </c>
      <c r="AD566">
        <v>-1.1286620000000001</v>
      </c>
      <c r="AE566">
        <v>3.0100000000004401E-2</v>
      </c>
      <c r="AF566">
        <v>3.40557472814558E-2</v>
      </c>
      <c r="AG566">
        <v>-1.1286620000000001</v>
      </c>
      <c r="AH566">
        <v>14.729602446218999</v>
      </c>
      <c r="AI566">
        <v>94.381739239719806</v>
      </c>
      <c r="AJ566">
        <v>89.867528867962307</v>
      </c>
      <c r="AK566">
        <v>14.7728205136266</v>
      </c>
      <c r="AL566">
        <v>89.669920623225707</v>
      </c>
      <c r="AM566">
        <v>93.414128051639196</v>
      </c>
      <c r="AN566">
        <v>0.99999999113449201</v>
      </c>
    </row>
    <row r="567" spans="1:40" x14ac:dyDescent="0.3">
      <c r="A567" t="str">
        <f>"20200111160416295"</f>
        <v>20200111160416295</v>
      </c>
      <c r="B567" t="str">
        <f>"1578729856291370"</f>
        <v>1578729856291370</v>
      </c>
      <c r="C567" t="s">
        <v>40</v>
      </c>
      <c r="D567">
        <v>4.8676279999999998</v>
      </c>
      <c r="E567">
        <v>0.48945640000000001</v>
      </c>
      <c r="F567" t="s">
        <v>44</v>
      </c>
      <c r="G567">
        <v>-297.37099999999998</v>
      </c>
      <c r="H567">
        <v>-0.05</v>
      </c>
      <c r="I567">
        <v>367.68329999999997</v>
      </c>
      <c r="J567">
        <v>-314.06310000000002</v>
      </c>
      <c r="K567">
        <v>1.0773429999999999</v>
      </c>
      <c r="L567">
        <v>367.6275</v>
      </c>
      <c r="M567">
        <v>0.99977009999999999</v>
      </c>
      <c r="N567">
        <v>0</v>
      </c>
      <c r="O567">
        <v>4.3473729999999999E-3</v>
      </c>
      <c r="P567">
        <v>0.99783049999999995</v>
      </c>
      <c r="Q567">
        <v>-1.531649E-2</v>
      </c>
      <c r="R567">
        <v>6.4031260000000007E-2</v>
      </c>
      <c r="S567">
        <v>3.0027469999999998</v>
      </c>
      <c r="T567">
        <v>-0.20055619999999999</v>
      </c>
      <c r="U567">
        <v>1.00708E-2</v>
      </c>
      <c r="V567">
        <v>-5.9692000000000002E-2</v>
      </c>
      <c r="W567">
        <v>5.6488850000000002E-3</v>
      </c>
      <c r="X567">
        <v>0.9982008</v>
      </c>
      <c r="Y567">
        <v>9.826174E-4</v>
      </c>
      <c r="Z567">
        <v>-3.2288210000000001E-4</v>
      </c>
      <c r="AA567">
        <v>0.99999950000000004</v>
      </c>
      <c r="AB567">
        <v>38</v>
      </c>
      <c r="AC567">
        <v>16.6921</v>
      </c>
      <c r="AD567">
        <v>-1.127343</v>
      </c>
      <c r="AE567">
        <v>5.57999999999765E-2</v>
      </c>
      <c r="AF567">
        <v>1.6707107571345602E-2</v>
      </c>
      <c r="AG567">
        <v>-1.127343</v>
      </c>
      <c r="AH567">
        <v>16.616393051585401</v>
      </c>
      <c r="AI567">
        <v>93.881295474655701</v>
      </c>
      <c r="AJ567">
        <v>89.942391442826207</v>
      </c>
      <c r="AK567">
        <v>16.654599947518101</v>
      </c>
      <c r="AL567">
        <v>89.676340990094104</v>
      </c>
      <c r="AM567">
        <v>93.422188848941204</v>
      </c>
      <c r="AN567">
        <v>0.999999940943189</v>
      </c>
    </row>
    <row r="568" spans="1:40" x14ac:dyDescent="0.3">
      <c r="A568" t="str">
        <f>"20200111160416305"</f>
        <v>20200111160416305</v>
      </c>
      <c r="B568" t="str">
        <f>"1578729856301129"</f>
        <v>1578729856301129</v>
      </c>
      <c r="C568" t="s">
        <v>40</v>
      </c>
      <c r="D568">
        <v>4.9514449999999997</v>
      </c>
      <c r="E568">
        <v>0.48404910000000001</v>
      </c>
      <c r="F568" t="s">
        <v>44</v>
      </c>
      <c r="G568">
        <v>-296.60680000000002</v>
      </c>
      <c r="H568">
        <v>-0.05</v>
      </c>
      <c r="I568">
        <v>369.29320000000001</v>
      </c>
      <c r="J568">
        <v>-313.88010000000003</v>
      </c>
      <c r="K568">
        <v>1.0761959999999999</v>
      </c>
      <c r="L568">
        <v>367.62830000000002</v>
      </c>
      <c r="M568">
        <v>0.99977519999999998</v>
      </c>
      <c r="N568">
        <v>0</v>
      </c>
      <c r="O568">
        <v>4.3516819999999999E-3</v>
      </c>
      <c r="P568">
        <v>0.99781419999999998</v>
      </c>
      <c r="Q568">
        <v>-1.500629E-2</v>
      </c>
      <c r="R568">
        <v>6.4354839999999996E-2</v>
      </c>
      <c r="S568">
        <v>2.9852910000000001</v>
      </c>
      <c r="T568">
        <v>-0.19279250000000001</v>
      </c>
      <c r="U568">
        <v>0.28485110000000002</v>
      </c>
      <c r="V568">
        <v>-6.0010870000000001E-2</v>
      </c>
      <c r="W568">
        <v>5.7065809999999996E-3</v>
      </c>
      <c r="X568">
        <v>0.9981814</v>
      </c>
      <c r="Y568">
        <v>-9.0475169999999994E-2</v>
      </c>
      <c r="Z568">
        <v>2.631694E-3</v>
      </c>
      <c r="AA568">
        <v>0.99589519999999998</v>
      </c>
      <c r="AB568">
        <v>38</v>
      </c>
      <c r="AC568">
        <v>17.273299999999999</v>
      </c>
      <c r="AD568">
        <v>-1.126196</v>
      </c>
      <c r="AE568">
        <v>1.6648999999999801</v>
      </c>
      <c r="AF568">
        <v>-1.5830328126553499</v>
      </c>
      <c r="AG568">
        <v>-1.126196</v>
      </c>
      <c r="AH568">
        <v>17.207907865004</v>
      </c>
      <c r="AI568">
        <v>93.7287634228027</v>
      </c>
      <c r="AJ568">
        <v>95.256102236710305</v>
      </c>
      <c r="AK568">
        <v>17.317228514021199</v>
      </c>
      <c r="AL568">
        <v>89.673035214851097</v>
      </c>
      <c r="AM568">
        <v>93.440492824552607</v>
      </c>
      <c r="AN568">
        <v>0.99999998844541305</v>
      </c>
    </row>
    <row r="569" spans="1:40" x14ac:dyDescent="0.3">
      <c r="A569" t="str">
        <f>"20200111160416318"</f>
        <v>20200111160416318</v>
      </c>
      <c r="B569" t="str">
        <f>"1578729856310889"</f>
        <v>1578729856310889</v>
      </c>
      <c r="C569" t="s">
        <v>40</v>
      </c>
      <c r="D569">
        <v>4.8734769999999896</v>
      </c>
      <c r="E569">
        <v>0.48193419999999998</v>
      </c>
      <c r="F569" t="s">
        <v>44</v>
      </c>
      <c r="G569">
        <v>-295.4151</v>
      </c>
      <c r="H569">
        <v>-0.05</v>
      </c>
      <c r="I569">
        <v>369.66140000000001</v>
      </c>
      <c r="J569">
        <v>-313.65570000000002</v>
      </c>
      <c r="K569">
        <v>1.074889</v>
      </c>
      <c r="L569">
        <v>367.6293</v>
      </c>
      <c r="M569">
        <v>0.99978210000000001</v>
      </c>
      <c r="N569">
        <v>0</v>
      </c>
      <c r="O569">
        <v>4.3572979999999999E-3</v>
      </c>
      <c r="P569">
        <v>0.99780429999999998</v>
      </c>
      <c r="Q569">
        <v>-1.4605160000000001E-2</v>
      </c>
      <c r="R569">
        <v>6.4603160000000007E-2</v>
      </c>
      <c r="S569">
        <v>2.982666</v>
      </c>
      <c r="T569">
        <v>-0.18191579999999999</v>
      </c>
      <c r="U569">
        <v>0.32839970000000002</v>
      </c>
      <c r="V569">
        <v>-6.0253590000000003E-2</v>
      </c>
      <c r="W569">
        <v>5.7771530000000001E-3</v>
      </c>
      <c r="X569">
        <v>0.99816640000000001</v>
      </c>
      <c r="Y569">
        <v>-0.10492369999999999</v>
      </c>
      <c r="Z569">
        <v>2.9223750000000001E-3</v>
      </c>
      <c r="AA569">
        <v>0.99447600000000003</v>
      </c>
      <c r="AB569">
        <v>38</v>
      </c>
      <c r="AC569">
        <v>18.240600000000001</v>
      </c>
      <c r="AD569">
        <v>-1.124889</v>
      </c>
      <c r="AE569">
        <v>2.03210000000001</v>
      </c>
      <c r="AF569">
        <v>-1.9452769576048801</v>
      </c>
      <c r="AG569">
        <v>-1.124889</v>
      </c>
      <c r="AH569">
        <v>18.180986081213899</v>
      </c>
      <c r="AI569">
        <v>93.520433055921401</v>
      </c>
      <c r="AJ569">
        <v>96.107135319329998</v>
      </c>
      <c r="AK569">
        <v>18.319326750440499</v>
      </c>
      <c r="AL569">
        <v>89.668991679631006</v>
      </c>
      <c r="AM569">
        <v>93.454426400200106</v>
      </c>
      <c r="AN569">
        <v>1.0000000163468099</v>
      </c>
    </row>
    <row r="570" spans="1:40" x14ac:dyDescent="0.3">
      <c r="A570" t="str">
        <f>"20200111160416339"</f>
        <v>20200111160416339</v>
      </c>
      <c r="B570" t="str">
        <f>"1578729856331384"</f>
        <v>1578729856331384</v>
      </c>
      <c r="C570" t="s">
        <v>40</v>
      </c>
      <c r="D570">
        <v>4.7317910000000003</v>
      </c>
      <c r="E570">
        <v>0.48051169999999999</v>
      </c>
      <c r="F570" t="s">
        <v>44</v>
      </c>
      <c r="G570">
        <v>-295.01870000000002</v>
      </c>
      <c r="H570">
        <v>-0.05</v>
      </c>
      <c r="I570">
        <v>369.79250000000002</v>
      </c>
      <c r="J570">
        <v>-313.30509999999998</v>
      </c>
      <c r="K570">
        <v>1.072986</v>
      </c>
      <c r="L570">
        <v>367.63080000000002</v>
      </c>
      <c r="M570">
        <v>0.99979269999999998</v>
      </c>
      <c r="N570">
        <v>0</v>
      </c>
      <c r="O570">
        <v>4.3659720000000001E-3</v>
      </c>
      <c r="P570">
        <v>0.99775590000000003</v>
      </c>
      <c r="Q570">
        <v>-1.370233E-2</v>
      </c>
      <c r="R570">
        <v>6.5537609999999996E-2</v>
      </c>
      <c r="S570">
        <v>2.9815369999999999</v>
      </c>
      <c r="T570">
        <v>-0.17995939999999999</v>
      </c>
      <c r="U570">
        <v>0.34606930000000002</v>
      </c>
      <c r="V570">
        <v>-6.1179650000000002E-2</v>
      </c>
      <c r="W570">
        <v>6.1509859999999998E-3</v>
      </c>
      <c r="X570">
        <v>0.99810779999999999</v>
      </c>
      <c r="Y570">
        <v>-0.1107669</v>
      </c>
      <c r="Z570">
        <v>3.0662110000000001E-3</v>
      </c>
      <c r="AA570">
        <v>0.99384170000000005</v>
      </c>
      <c r="AB570">
        <v>38</v>
      </c>
      <c r="AC570">
        <v>18.286399999999901</v>
      </c>
      <c r="AD570">
        <v>-1.122986</v>
      </c>
      <c r="AE570">
        <v>2.16169999999999</v>
      </c>
      <c r="AF570">
        <v>-2.0741113719636499</v>
      </c>
      <c r="AG570">
        <v>-1.122986</v>
      </c>
      <c r="AH570">
        <v>18.2278698872672</v>
      </c>
      <c r="AI570">
        <v>93.502885830540805</v>
      </c>
      <c r="AJ570">
        <v>96.491646295550495</v>
      </c>
      <c r="AK570">
        <v>18.379833409654299</v>
      </c>
      <c r="AL570">
        <v>89.647572233769296</v>
      </c>
      <c r="AM570">
        <v>93.507592644275206</v>
      </c>
      <c r="AN570">
        <v>0.99999998231186704</v>
      </c>
    </row>
    <row r="571" spans="1:40" x14ac:dyDescent="0.3">
      <c r="A571" t="str">
        <f>"20200111160416349"</f>
        <v>20200111160416349</v>
      </c>
      <c r="B571" t="str">
        <f>"1578729856341145"</f>
        <v>1578729856341145</v>
      </c>
      <c r="C571" t="s">
        <v>40</v>
      </c>
      <c r="D571">
        <v>4.7404260000000003</v>
      </c>
      <c r="E571">
        <v>0.48027890000000001</v>
      </c>
      <c r="F571" t="s">
        <v>44</v>
      </c>
      <c r="G571">
        <v>-294.15879999999999</v>
      </c>
      <c r="H571">
        <v>-0.05</v>
      </c>
      <c r="I571">
        <v>369.94459999999998</v>
      </c>
      <c r="J571">
        <v>-313.12119999999999</v>
      </c>
      <c r="K571">
        <v>1.072065</v>
      </c>
      <c r="L571">
        <v>367.63159999999999</v>
      </c>
      <c r="M571">
        <v>0.99979830000000003</v>
      </c>
      <c r="N571">
        <v>0</v>
      </c>
      <c r="O571">
        <v>4.3703999999999896E-3</v>
      </c>
      <c r="P571">
        <v>0.99771929999999998</v>
      </c>
      <c r="Q571">
        <v>-1.3383859999999999E-2</v>
      </c>
      <c r="R571">
        <v>6.6162470000000001E-2</v>
      </c>
      <c r="S571">
        <v>2.9806520000000001</v>
      </c>
      <c r="T571">
        <v>-0.17482349999999999</v>
      </c>
      <c r="U571">
        <v>0.36019899999999999</v>
      </c>
      <c r="V571">
        <v>-6.1800729999999998E-2</v>
      </c>
      <c r="W571">
        <v>6.1905629999999996E-3</v>
      </c>
      <c r="X571">
        <v>0.99806930000000005</v>
      </c>
      <c r="Y571">
        <v>-0.1154439</v>
      </c>
      <c r="Z571">
        <v>3.1151960000000002E-3</v>
      </c>
      <c r="AA571">
        <v>0.99330909999999994</v>
      </c>
      <c r="AB571">
        <v>38</v>
      </c>
      <c r="AC571">
        <v>18.962399999999999</v>
      </c>
      <c r="AD571">
        <v>-1.1220649999999901</v>
      </c>
      <c r="AE571">
        <v>2.3129999999999802</v>
      </c>
      <c r="AF571">
        <v>-2.2224210632257799</v>
      </c>
      <c r="AG571">
        <v>-1.1220649999999901</v>
      </c>
      <c r="AH571">
        <v>18.907097593362799</v>
      </c>
      <c r="AI571">
        <v>93.373136508418</v>
      </c>
      <c r="AJ571">
        <v>96.704028009142405</v>
      </c>
      <c r="AK571">
        <v>19.070304786537601</v>
      </c>
      <c r="AL571">
        <v>89.645304598375603</v>
      </c>
      <c r="AM571">
        <v>93.5432468889517</v>
      </c>
      <c r="AN571">
        <v>0.99999999045064003</v>
      </c>
    </row>
    <row r="572" spans="1:40" x14ac:dyDescent="0.3">
      <c r="A572" t="str">
        <f>"20200111160416360"</f>
        <v>20200111160416360</v>
      </c>
      <c r="B572" t="str">
        <f>"1578729856350905"</f>
        <v>1578729856350905</v>
      </c>
      <c r="C572" t="s">
        <v>40</v>
      </c>
      <c r="D572">
        <v>4.7011399999999997</v>
      </c>
      <c r="E572">
        <v>0.4806724</v>
      </c>
      <c r="F572" t="s">
        <v>44</v>
      </c>
      <c r="G572">
        <v>-293.90609999999998</v>
      </c>
      <c r="H572">
        <v>-0.05</v>
      </c>
      <c r="I572">
        <v>369.97710000000001</v>
      </c>
      <c r="J572">
        <v>-312.93169999999998</v>
      </c>
      <c r="K572">
        <v>1.0711630000000001</v>
      </c>
      <c r="L572">
        <v>367.63249999999999</v>
      </c>
      <c r="M572">
        <v>0.99980369999999996</v>
      </c>
      <c r="N572">
        <v>0</v>
      </c>
      <c r="O572">
        <v>4.3750459999999996E-3</v>
      </c>
      <c r="P572">
        <v>0.99770020000000004</v>
      </c>
      <c r="Q572">
        <v>-1.2994729999999999E-2</v>
      </c>
      <c r="R572">
        <v>6.652284E-2</v>
      </c>
      <c r="S572">
        <v>2.9803769999999998</v>
      </c>
      <c r="T572">
        <v>-0.17403850000000001</v>
      </c>
      <c r="U572">
        <v>0.36380000000000001</v>
      </c>
      <c r="V572">
        <v>-6.215619E-2</v>
      </c>
      <c r="W572">
        <v>6.2935580000000003E-3</v>
      </c>
      <c r="X572">
        <v>0.99804660000000001</v>
      </c>
      <c r="Y572">
        <v>-0.1166326</v>
      </c>
      <c r="Z572">
        <v>3.1355710000000002E-3</v>
      </c>
      <c r="AA572">
        <v>0.9931702</v>
      </c>
      <c r="AB572">
        <v>38</v>
      </c>
      <c r="AC572">
        <v>19.025600000000001</v>
      </c>
      <c r="AD572">
        <v>-1.1211629999999999</v>
      </c>
      <c r="AE572">
        <v>2.34460000000001</v>
      </c>
      <c r="AF572">
        <v>-2.2536151914803599</v>
      </c>
      <c r="AG572">
        <v>-1.1211629999999999</v>
      </c>
      <c r="AH572">
        <v>18.970784145208398</v>
      </c>
      <c r="AI572">
        <v>93.358654224176703</v>
      </c>
      <c r="AJ572">
        <v>96.774645493967896</v>
      </c>
      <c r="AK572">
        <v>19.137043632388199</v>
      </c>
      <c r="AL572">
        <v>89.639403310973904</v>
      </c>
      <c r="AM572">
        <v>93.563655099999906</v>
      </c>
      <c r="AN572">
        <v>1.0000000082995799</v>
      </c>
    </row>
    <row r="573" spans="1:40" x14ac:dyDescent="0.3">
      <c r="A573" t="str">
        <f>"20200111160416372"</f>
        <v>20200111160416372</v>
      </c>
      <c r="B573" t="str">
        <f>"1578729856361641"</f>
        <v>1578729856361641</v>
      </c>
      <c r="C573" t="s">
        <v>40</v>
      </c>
      <c r="D573">
        <v>4.9190829999999997</v>
      </c>
      <c r="E573">
        <v>0.48007610000000001</v>
      </c>
      <c r="F573" t="s">
        <v>44</v>
      </c>
      <c r="G573">
        <v>-293.8261</v>
      </c>
      <c r="H573">
        <v>-0.05</v>
      </c>
      <c r="I573">
        <v>369.95119999999997</v>
      </c>
      <c r="J573">
        <v>-312.73829999999998</v>
      </c>
      <c r="K573">
        <v>1.070314</v>
      </c>
      <c r="L573">
        <v>367.63330000000002</v>
      </c>
      <c r="M573">
        <v>0.99980930000000001</v>
      </c>
      <c r="N573">
        <v>0</v>
      </c>
      <c r="O573">
        <v>4.3791739999999996E-3</v>
      </c>
      <c r="P573">
        <v>0.99764929999999996</v>
      </c>
      <c r="Q573">
        <v>-1.271306E-2</v>
      </c>
      <c r="R573">
        <v>6.7339620000000003E-2</v>
      </c>
      <c r="S573">
        <v>2.9805299999999999</v>
      </c>
      <c r="T573">
        <v>-0.17490459999999999</v>
      </c>
      <c r="U573">
        <v>0.36172490000000002</v>
      </c>
      <c r="V573">
        <v>-6.2969010000000006E-2</v>
      </c>
      <c r="W573">
        <v>6.2883119999999999E-3</v>
      </c>
      <c r="X573">
        <v>0.99799570000000004</v>
      </c>
      <c r="Y573">
        <v>-0.1159403</v>
      </c>
      <c r="Z573">
        <v>3.1306569999999998E-3</v>
      </c>
      <c r="AA573">
        <v>0.99325129999999995</v>
      </c>
      <c r="AB573">
        <v>38</v>
      </c>
      <c r="AC573">
        <v>18.912199999999899</v>
      </c>
      <c r="AD573">
        <v>-1.120314</v>
      </c>
      <c r="AE573">
        <v>2.3178999999999501</v>
      </c>
      <c r="AF573">
        <v>-2.22734265528549</v>
      </c>
      <c r="AG573">
        <v>-1.120314</v>
      </c>
      <c r="AH573">
        <v>18.856979201027801</v>
      </c>
      <c r="AI573">
        <v>93.376590833517099</v>
      </c>
      <c r="AJ573">
        <v>96.736431903801105</v>
      </c>
      <c r="AK573">
        <v>19.0210889107497</v>
      </c>
      <c r="AL573">
        <v>89.639703897732005</v>
      </c>
      <c r="AM573">
        <v>93.610318403133306</v>
      </c>
      <c r="AN573">
        <v>1.0000000281533299</v>
      </c>
    </row>
    <row r="574" spans="1:40" x14ac:dyDescent="0.3">
      <c r="A574" t="str">
        <f>"20200111160416395"</f>
        <v>20200111160416395</v>
      </c>
      <c r="B574" t="str">
        <f>"1578729856390921"</f>
        <v>1578729856390921</v>
      </c>
      <c r="C574" t="s">
        <v>40</v>
      </c>
      <c r="D574">
        <v>4.6816829999999996</v>
      </c>
      <c r="E574">
        <v>0.48041980000000001</v>
      </c>
      <c r="F574" t="s">
        <v>44</v>
      </c>
      <c r="G574">
        <v>-293.4237</v>
      </c>
      <c r="H574">
        <v>-0.05</v>
      </c>
      <c r="I574">
        <v>370.02429999999998</v>
      </c>
      <c r="J574">
        <v>-312.351</v>
      </c>
      <c r="K574">
        <v>1.0687599999999999</v>
      </c>
      <c r="L574">
        <v>367.63499999999999</v>
      </c>
      <c r="M574">
        <v>0.99981960000000003</v>
      </c>
      <c r="N574">
        <v>0</v>
      </c>
      <c r="O574">
        <v>4.3819690000000003E-3</v>
      </c>
      <c r="P574">
        <v>0.99753919999999996</v>
      </c>
      <c r="Q574">
        <v>-1.222239E-2</v>
      </c>
      <c r="R574">
        <v>6.9039359999999994E-2</v>
      </c>
      <c r="S574">
        <v>2.9799799999999999</v>
      </c>
      <c r="T574">
        <v>-0.17284910000000001</v>
      </c>
      <c r="U574">
        <v>0.36889650000000002</v>
      </c>
      <c r="V574">
        <v>-6.4666890000000005E-2</v>
      </c>
      <c r="W574">
        <v>6.2229869999999897E-3</v>
      </c>
      <c r="X574">
        <v>0.99788750000000004</v>
      </c>
      <c r="Y574">
        <v>-0.11831460000000001</v>
      </c>
      <c r="Z574">
        <v>3.1624240000000001E-3</v>
      </c>
      <c r="AA574">
        <v>0.9929711</v>
      </c>
      <c r="AB574">
        <v>38</v>
      </c>
      <c r="AC574">
        <v>18.927299999999999</v>
      </c>
      <c r="AD574">
        <v>-1.11876</v>
      </c>
      <c r="AE574">
        <v>2.3892999999999902</v>
      </c>
      <c r="AF574">
        <v>-2.2984198090340802</v>
      </c>
      <c r="AG574">
        <v>-1.11876</v>
      </c>
      <c r="AH574">
        <v>18.8726869385812</v>
      </c>
      <c r="AI574">
        <v>93.367660387586795</v>
      </c>
      <c r="AJ574">
        <v>96.943601974984801</v>
      </c>
      <c r="AK574">
        <v>19.045016929313899</v>
      </c>
      <c r="AL574">
        <v>89.643446806710699</v>
      </c>
      <c r="AM574">
        <v>93.707799009876496</v>
      </c>
      <c r="AN574">
        <v>0.99999999744286205</v>
      </c>
    </row>
    <row r="575" spans="1:40" x14ac:dyDescent="0.3">
      <c r="A575" t="str">
        <f>"20200111160416409"</f>
        <v>20200111160416409</v>
      </c>
      <c r="B575" t="str">
        <f>"1578729856401657"</f>
        <v>1578729856401657</v>
      </c>
      <c r="C575" t="s">
        <v>40</v>
      </c>
      <c r="D575">
        <v>4.8689109999999998</v>
      </c>
      <c r="E575">
        <v>0.48071399999999997</v>
      </c>
      <c r="F575" t="s">
        <v>44</v>
      </c>
      <c r="G575">
        <v>-293.39210000000003</v>
      </c>
      <c r="H575">
        <v>-0.05</v>
      </c>
      <c r="I575">
        <v>369.99799999999999</v>
      </c>
      <c r="J575">
        <v>-312.10520000000002</v>
      </c>
      <c r="K575">
        <v>1.067877</v>
      </c>
      <c r="L575">
        <v>367.6361</v>
      </c>
      <c r="M575">
        <v>0.99982579999999999</v>
      </c>
      <c r="N575">
        <v>0</v>
      </c>
      <c r="O575">
        <v>4.3812269999999997E-3</v>
      </c>
      <c r="P575">
        <v>0.99748049999999999</v>
      </c>
      <c r="Q575">
        <v>-1.200304E-2</v>
      </c>
      <c r="R575">
        <v>6.99182E-2</v>
      </c>
      <c r="S575">
        <v>2.9795530000000001</v>
      </c>
      <c r="T575">
        <v>-0.17582320000000001</v>
      </c>
      <c r="U575">
        <v>0.37136839999999999</v>
      </c>
      <c r="V575">
        <v>-6.5546729999999997E-2</v>
      </c>
      <c r="W575">
        <v>6.1056869999999899E-3</v>
      </c>
      <c r="X575">
        <v>0.99783080000000002</v>
      </c>
      <c r="Y575">
        <v>-0.1191359</v>
      </c>
      <c r="Z575">
        <v>3.2412029999999998E-3</v>
      </c>
      <c r="AA575">
        <v>0.99287270000000005</v>
      </c>
      <c r="AB575">
        <v>38</v>
      </c>
      <c r="AC575">
        <v>18.713100000000001</v>
      </c>
      <c r="AD575">
        <v>-1.117877</v>
      </c>
      <c r="AE575">
        <v>2.3619000000000399</v>
      </c>
      <c r="AF575">
        <v>-2.2718971512890902</v>
      </c>
      <c r="AG575">
        <v>-1.117877</v>
      </c>
      <c r="AH575">
        <v>18.6577323338398</v>
      </c>
      <c r="AI575">
        <v>93.403693467111097</v>
      </c>
      <c r="AJ575">
        <v>96.942560114304897</v>
      </c>
      <c r="AK575">
        <v>18.8287583630566</v>
      </c>
      <c r="AL575">
        <v>89.650167723026996</v>
      </c>
      <c r="AM575">
        <v>93.758315643941899</v>
      </c>
      <c r="AN575">
        <v>0.99999997932803697</v>
      </c>
    </row>
    <row r="576" spans="1:40" x14ac:dyDescent="0.3">
      <c r="A576" t="str">
        <f>"20200111160416421"</f>
        <v>20200111160416421</v>
      </c>
      <c r="B576" t="str">
        <f>"1578729856411417"</f>
        <v>1578729856411417</v>
      </c>
      <c r="C576" t="s">
        <v>40</v>
      </c>
      <c r="D576">
        <v>4.6753929999999997</v>
      </c>
      <c r="E576">
        <v>0.4807881</v>
      </c>
      <c r="F576" t="s">
        <v>44</v>
      </c>
      <c r="G576">
        <v>-292.98989999999998</v>
      </c>
      <c r="H576">
        <v>-0.05</v>
      </c>
      <c r="I576">
        <v>370.0206</v>
      </c>
      <c r="J576">
        <v>-311.89710000000002</v>
      </c>
      <c r="K576">
        <v>1.0671889999999999</v>
      </c>
      <c r="L576">
        <v>367.63709999999998</v>
      </c>
      <c r="M576">
        <v>0.99983069999999996</v>
      </c>
      <c r="N576">
        <v>0</v>
      </c>
      <c r="O576">
        <v>4.3826689999999996E-3</v>
      </c>
      <c r="P576">
        <v>0.99742629999999999</v>
      </c>
      <c r="Q576">
        <v>-1.1624539999999999E-2</v>
      </c>
      <c r="R576">
        <v>7.0752549999999997E-2</v>
      </c>
      <c r="S576">
        <v>2.9794619999999998</v>
      </c>
      <c r="T576">
        <v>-0.17424149999999999</v>
      </c>
      <c r="U576">
        <v>0.37167359999999999</v>
      </c>
      <c r="V576">
        <v>-6.6379789999999994E-2</v>
      </c>
      <c r="W576">
        <v>6.2101119999999899E-3</v>
      </c>
      <c r="X576">
        <v>0.99777510000000003</v>
      </c>
      <c r="Y576">
        <v>-0.1192418</v>
      </c>
      <c r="Z576">
        <v>3.2151699999999998E-3</v>
      </c>
      <c r="AA576">
        <v>0.99285999999999996</v>
      </c>
      <c r="AB576">
        <v>38</v>
      </c>
      <c r="AC576">
        <v>18.9072</v>
      </c>
      <c r="AD576">
        <v>-1.117189</v>
      </c>
      <c r="AE576">
        <v>2.3835000000000202</v>
      </c>
      <c r="AF576">
        <v>-2.2927202986981499</v>
      </c>
      <c r="AG576">
        <v>-1.117189</v>
      </c>
      <c r="AH576">
        <v>18.852673681031899</v>
      </c>
      <c r="AI576">
        <v>93.366573727032204</v>
      </c>
      <c r="AJ576">
        <v>96.933832452720296</v>
      </c>
      <c r="AK576">
        <v>19.024404919819599</v>
      </c>
      <c r="AL576">
        <v>89.644184503649001</v>
      </c>
      <c r="AM576">
        <v>93.806153933392807</v>
      </c>
      <c r="AN576">
        <v>0.99999999609575296</v>
      </c>
    </row>
    <row r="577" spans="1:40" x14ac:dyDescent="0.3">
      <c r="A577" t="str">
        <f>"20200111160416432"</f>
        <v>20200111160416432</v>
      </c>
      <c r="B577" t="str">
        <f>"1578729856421177"</f>
        <v>1578729856421177</v>
      </c>
      <c r="C577" t="s">
        <v>40</v>
      </c>
      <c r="D577">
        <v>4.7045700000000004</v>
      </c>
      <c r="E577">
        <v>0.48082170000000002</v>
      </c>
      <c r="F577" t="s">
        <v>44</v>
      </c>
      <c r="G577">
        <v>-292.65960000000001</v>
      </c>
      <c r="H577">
        <v>-0.05</v>
      </c>
      <c r="I577">
        <v>370.04829999999998</v>
      </c>
      <c r="J577">
        <v>-311.69869999999997</v>
      </c>
      <c r="K577">
        <v>1.0665960000000001</v>
      </c>
      <c r="L577">
        <v>367.6379</v>
      </c>
      <c r="M577">
        <v>0.99983509999999998</v>
      </c>
      <c r="N577">
        <v>0</v>
      </c>
      <c r="O577">
        <v>4.3868529999999996E-3</v>
      </c>
      <c r="P577">
        <v>0.99737290000000001</v>
      </c>
      <c r="Q577">
        <v>-1.168775E-2</v>
      </c>
      <c r="R577">
        <v>7.1489330000000004E-2</v>
      </c>
      <c r="S577">
        <v>2.979279</v>
      </c>
      <c r="T577">
        <v>-0.173017</v>
      </c>
      <c r="U577">
        <v>0.3734131</v>
      </c>
      <c r="V577">
        <v>-6.711259E-2</v>
      </c>
      <c r="W577">
        <v>5.9001740000000002E-3</v>
      </c>
      <c r="X577">
        <v>0.99772799999999995</v>
      </c>
      <c r="Y577">
        <v>-0.1198176</v>
      </c>
      <c r="Z577">
        <v>3.2090930000000001E-3</v>
      </c>
      <c r="AA577">
        <v>0.99279079999999997</v>
      </c>
      <c r="AB577">
        <v>38</v>
      </c>
      <c r="AC577">
        <v>19.039099999999902</v>
      </c>
      <c r="AD577">
        <v>-1.1165959999999999</v>
      </c>
      <c r="AE577">
        <v>2.4103999999999801</v>
      </c>
      <c r="AF577">
        <v>-2.3189916783836702</v>
      </c>
      <c r="AG577">
        <v>-1.1165959999999999</v>
      </c>
      <c r="AH577">
        <v>18.9852223198342</v>
      </c>
      <c r="AI577">
        <v>93.341138326165805</v>
      </c>
      <c r="AJ577">
        <v>96.964021306592898</v>
      </c>
      <c r="AK577">
        <v>19.158892858543801</v>
      </c>
      <c r="AL577">
        <v>89.661942982447897</v>
      </c>
      <c r="AM577">
        <v>93.848227545792</v>
      </c>
      <c r="AN577">
        <v>1.00000003688686</v>
      </c>
    </row>
    <row r="578" spans="1:40" x14ac:dyDescent="0.3">
      <c r="A578" t="str">
        <f>"20200111160416445"</f>
        <v>20200111160416445</v>
      </c>
      <c r="B578" t="str">
        <f>"1578729856441674"</f>
        <v>1578729856441674</v>
      </c>
      <c r="C578" t="s">
        <v>40</v>
      </c>
      <c r="D578">
        <v>4.7888129999999904</v>
      </c>
      <c r="E578">
        <v>0.48071459999999999</v>
      </c>
      <c r="F578" t="s">
        <v>44</v>
      </c>
      <c r="G578">
        <v>-292.45440000000002</v>
      </c>
      <c r="H578">
        <v>-0.05</v>
      </c>
      <c r="I578">
        <v>370.06209999999999</v>
      </c>
      <c r="J578">
        <v>-311.49540000000002</v>
      </c>
      <c r="K578">
        <v>1.0660130000000001</v>
      </c>
      <c r="L578">
        <v>367.6388</v>
      </c>
      <c r="M578">
        <v>0.99983940000000004</v>
      </c>
      <c r="N578">
        <v>0</v>
      </c>
      <c r="O578">
        <v>4.391959E-3</v>
      </c>
      <c r="P578">
        <v>0.99732449999999995</v>
      </c>
      <c r="Q578">
        <v>-1.1842750000000001E-2</v>
      </c>
      <c r="R578">
        <v>7.2137530000000005E-2</v>
      </c>
      <c r="S578">
        <v>2.9789119999999998</v>
      </c>
      <c r="T578">
        <v>-0.17284269999999999</v>
      </c>
      <c r="U578">
        <v>0.37524410000000002</v>
      </c>
      <c r="V578">
        <v>-6.7755969999999999E-2</v>
      </c>
      <c r="W578">
        <v>5.4982069999999997E-3</v>
      </c>
      <c r="X578">
        <v>0.99768679999999998</v>
      </c>
      <c r="Y578">
        <v>-0.1204277</v>
      </c>
      <c r="Z578">
        <v>3.223456E-3</v>
      </c>
      <c r="AA578">
        <v>0.99271679999999995</v>
      </c>
      <c r="AB578">
        <v>38</v>
      </c>
      <c r="AC578">
        <v>19.041</v>
      </c>
      <c r="AD578">
        <v>-1.1160129999999999</v>
      </c>
      <c r="AE578">
        <v>2.4232999999999798</v>
      </c>
      <c r="AF578">
        <v>-2.3317542060800398</v>
      </c>
      <c r="AG578">
        <v>-1.1160129999999999</v>
      </c>
      <c r="AH578">
        <v>18.987274437836799</v>
      </c>
      <c r="AI578">
        <v>93.338772799692094</v>
      </c>
      <c r="AJ578">
        <v>97.001218985897694</v>
      </c>
      <c r="AK578">
        <v>19.162441213777299</v>
      </c>
      <c r="AL578">
        <v>89.684974365070502</v>
      </c>
      <c r="AM578">
        <v>93.885166378339306</v>
      </c>
      <c r="AN578">
        <v>1.0000000263225399</v>
      </c>
    </row>
    <row r="579" spans="1:40" x14ac:dyDescent="0.3">
      <c r="A579" t="str">
        <f>"20200111160416457"</f>
        <v>20200111160416457</v>
      </c>
      <c r="B579" t="str">
        <f>"1578729856451434"</f>
        <v>1578729856451434</v>
      </c>
      <c r="C579" t="s">
        <v>40</v>
      </c>
      <c r="D579">
        <v>4.7976859999999997</v>
      </c>
      <c r="E579">
        <v>0.48098170000000001</v>
      </c>
      <c r="F579" t="s">
        <v>44</v>
      </c>
      <c r="G579">
        <v>-292.37990000000002</v>
      </c>
      <c r="H579">
        <v>-0.05</v>
      </c>
      <c r="I579">
        <v>370.0677</v>
      </c>
      <c r="J579">
        <v>-311.28699999999998</v>
      </c>
      <c r="K579">
        <v>1.065485</v>
      </c>
      <c r="L579">
        <v>367.6397</v>
      </c>
      <c r="M579">
        <v>0.99984329999999999</v>
      </c>
      <c r="N579">
        <v>0</v>
      </c>
      <c r="O579">
        <v>4.3993859999999999E-3</v>
      </c>
      <c r="P579">
        <v>0.99729829999999997</v>
      </c>
      <c r="Q579">
        <v>-1.181337E-2</v>
      </c>
      <c r="R579">
        <v>7.2503750000000006E-2</v>
      </c>
      <c r="S579">
        <v>2.9786069999999998</v>
      </c>
      <c r="T579">
        <v>-0.17389869999999999</v>
      </c>
      <c r="U579">
        <v>0.37847900000000001</v>
      </c>
      <c r="V579">
        <v>-6.8115220000000004E-2</v>
      </c>
      <c r="W579">
        <v>5.2922169999999897E-3</v>
      </c>
      <c r="X579">
        <v>0.99766339999999998</v>
      </c>
      <c r="Y579">
        <v>-0.121489899999999</v>
      </c>
      <c r="Z579">
        <v>3.2736520000000002E-3</v>
      </c>
      <c r="AA579">
        <v>0.99258729999999995</v>
      </c>
      <c r="AB579">
        <v>38</v>
      </c>
      <c r="AC579">
        <v>18.9071</v>
      </c>
      <c r="AD579">
        <v>-1.1154850000000001</v>
      </c>
      <c r="AE579">
        <v>2.4279999999999902</v>
      </c>
      <c r="AF579">
        <v>-2.3367827474101102</v>
      </c>
      <c r="AG579">
        <v>-1.1154850000000001</v>
      </c>
      <c r="AH579">
        <v>18.853041447552801</v>
      </c>
      <c r="AI579">
        <v>93.3604382325872</v>
      </c>
      <c r="AJ579">
        <v>97.065618830241604</v>
      </c>
      <c r="AK579">
        <v>19.030029748189101</v>
      </c>
      <c r="AL579">
        <v>89.696776878686507</v>
      </c>
      <c r="AM579">
        <v>93.905793716284407</v>
      </c>
      <c r="AN579">
        <v>0.999999975227991</v>
      </c>
    </row>
    <row r="580" spans="1:40" x14ac:dyDescent="0.3">
      <c r="A580" t="str">
        <f>"20200111160416469"</f>
        <v>20200111160416469</v>
      </c>
      <c r="B580" t="str">
        <f>"1578729856461193"</f>
        <v>1578729856461193</v>
      </c>
      <c r="C580" t="s">
        <v>40</v>
      </c>
      <c r="D580">
        <v>4.7547480000000002</v>
      </c>
      <c r="E580">
        <v>0.48096879999999997</v>
      </c>
      <c r="F580" t="s">
        <v>44</v>
      </c>
      <c r="G580">
        <v>-292.17590000000001</v>
      </c>
      <c r="H580">
        <v>-0.05</v>
      </c>
      <c r="I580">
        <v>370.0591</v>
      </c>
      <c r="J580">
        <v>-311.06909999999999</v>
      </c>
      <c r="K580">
        <v>1.06497</v>
      </c>
      <c r="L580">
        <v>367.64069999999998</v>
      </c>
      <c r="M580">
        <v>0.99984740000000005</v>
      </c>
      <c r="N580">
        <v>0</v>
      </c>
      <c r="O580">
        <v>4.4067500000000001E-3</v>
      </c>
      <c r="P580">
        <v>0.99725889999999995</v>
      </c>
      <c r="Q580">
        <v>-1.1813280000000001E-2</v>
      </c>
      <c r="R580">
        <v>7.3041579999999995E-2</v>
      </c>
      <c r="S580">
        <v>2.9786380000000001</v>
      </c>
      <c r="T580">
        <v>-0.17385789999999901</v>
      </c>
      <c r="U580">
        <v>0.3770752</v>
      </c>
      <c r="V580">
        <v>-6.8645709999999999E-2</v>
      </c>
      <c r="W580">
        <v>5.0557090000000002E-3</v>
      </c>
      <c r="X580">
        <v>0.99762830000000002</v>
      </c>
      <c r="Y580">
        <v>-0.1210218</v>
      </c>
      <c r="Z580">
        <v>3.258927E-3</v>
      </c>
      <c r="AA580">
        <v>0.99264450000000004</v>
      </c>
      <c r="AB580">
        <v>38</v>
      </c>
      <c r="AC580">
        <v>18.893199999999901</v>
      </c>
      <c r="AD580">
        <v>-1.11497</v>
      </c>
      <c r="AE580">
        <v>2.4184000000000201</v>
      </c>
      <c r="AF580">
        <v>-2.3271329659706002</v>
      </c>
      <c r="AG580">
        <v>-1.11497</v>
      </c>
      <c r="AH580">
        <v>18.839122109371001</v>
      </c>
      <c r="AI580">
        <v>93.361538293260693</v>
      </c>
      <c r="AJ580">
        <v>97.041881286100306</v>
      </c>
      <c r="AK580">
        <v>19.0150263684802</v>
      </c>
      <c r="AL580">
        <v>89.710327980534601</v>
      </c>
      <c r="AM580">
        <v>93.936255336848802</v>
      </c>
      <c r="AN580">
        <v>1.00000000932789</v>
      </c>
    </row>
    <row r="581" spans="1:40" x14ac:dyDescent="0.3">
      <c r="A581" t="str">
        <f>"20200111160416485"</f>
        <v>20200111160416485</v>
      </c>
      <c r="B581" t="str">
        <f>"1578729856481689"</f>
        <v>1578729856481689</v>
      </c>
      <c r="C581" t="s">
        <v>40</v>
      </c>
      <c r="D581">
        <v>4.7049159999999999</v>
      </c>
      <c r="E581">
        <v>0.48110560000000002</v>
      </c>
      <c r="F581" t="s">
        <v>44</v>
      </c>
      <c r="G581">
        <v>-291.94439999999997</v>
      </c>
      <c r="H581">
        <v>-0.05</v>
      </c>
      <c r="I581">
        <v>370.07470000000001</v>
      </c>
      <c r="J581">
        <v>-310.82060000000001</v>
      </c>
      <c r="K581">
        <v>1.06443</v>
      </c>
      <c r="L581">
        <v>367.64179999999999</v>
      </c>
      <c r="M581">
        <v>0.99985159999999995</v>
      </c>
      <c r="N581">
        <v>0</v>
      </c>
      <c r="O581">
        <v>4.4149840000000003E-3</v>
      </c>
      <c r="P581">
        <v>0.99720010000000003</v>
      </c>
      <c r="Q581">
        <v>-1.2000769999999999E-2</v>
      </c>
      <c r="R581">
        <v>7.3811230000000005E-2</v>
      </c>
      <c r="S581">
        <v>2.9783940000000002</v>
      </c>
      <c r="T581">
        <v>-0.17364060000000001</v>
      </c>
      <c r="U581">
        <v>0.37905879999999997</v>
      </c>
      <c r="V581">
        <v>-6.9407449999999996E-2</v>
      </c>
      <c r="W581">
        <v>4.6108240000000003E-3</v>
      </c>
      <c r="X581">
        <v>0.99757770000000001</v>
      </c>
      <c r="Y581">
        <v>-0.1216738</v>
      </c>
      <c r="Z581">
        <v>3.2734270000000002E-3</v>
      </c>
      <c r="AA581">
        <v>0.99256469999999997</v>
      </c>
      <c r="AB581">
        <v>38</v>
      </c>
      <c r="AC581">
        <v>18.876200000000001</v>
      </c>
      <c r="AD581">
        <v>-1.11443</v>
      </c>
      <c r="AE581">
        <v>2.4329000000000098</v>
      </c>
      <c r="AF581">
        <v>-2.34149846087753</v>
      </c>
      <c r="AG581">
        <v>-1.11443</v>
      </c>
      <c r="AH581">
        <v>18.822224146766299</v>
      </c>
      <c r="AI581">
        <v>93.362565424210302</v>
      </c>
      <c r="AJ581">
        <v>97.091206568289607</v>
      </c>
      <c r="AK581">
        <v>19.0000181867888</v>
      </c>
      <c r="AL581">
        <v>89.7358182982573</v>
      </c>
      <c r="AM581">
        <v>93.9799963571799</v>
      </c>
      <c r="AN581">
        <v>0.999999960675375</v>
      </c>
    </row>
    <row r="582" spans="1:40" x14ac:dyDescent="0.3">
      <c r="A582" t="str">
        <f>"20200111160416497"</f>
        <v>20200111160416497</v>
      </c>
      <c r="B582" t="str">
        <f>"1578729856491449"</f>
        <v>1578729856491449</v>
      </c>
      <c r="C582" t="s">
        <v>40</v>
      </c>
      <c r="D582">
        <v>4.6825720000000004</v>
      </c>
      <c r="E582">
        <v>0.48129060000000001</v>
      </c>
      <c r="F582" t="s">
        <v>44</v>
      </c>
      <c r="G582">
        <v>-291.82310000000001</v>
      </c>
      <c r="H582">
        <v>-0.05</v>
      </c>
      <c r="I582">
        <v>370.06619999999998</v>
      </c>
      <c r="J582">
        <v>-310.6053</v>
      </c>
      <c r="K582">
        <v>1.0640240000000001</v>
      </c>
      <c r="L582">
        <v>367.64280000000002</v>
      </c>
      <c r="M582">
        <v>0.9998551</v>
      </c>
      <c r="N582">
        <v>0</v>
      </c>
      <c r="O582">
        <v>4.4210389999999999E-3</v>
      </c>
      <c r="P582">
        <v>0.99718890000000004</v>
      </c>
      <c r="Q582">
        <v>-1.190243E-2</v>
      </c>
      <c r="R582">
        <v>7.397861E-2</v>
      </c>
      <c r="S582">
        <v>2.97818</v>
      </c>
      <c r="T582">
        <v>-0.17470569999999999</v>
      </c>
      <c r="U582">
        <v>0.38006590000000001</v>
      </c>
      <c r="V582">
        <v>-6.9568729999999995E-2</v>
      </c>
      <c r="W582">
        <v>4.5049670000000003E-3</v>
      </c>
      <c r="X582">
        <v>0.99756699999999998</v>
      </c>
      <c r="Y582">
        <v>-0.122004</v>
      </c>
      <c r="Z582">
        <v>3.3029219999999998E-3</v>
      </c>
      <c r="AA582">
        <v>0.99252410000000002</v>
      </c>
      <c r="AB582">
        <v>38</v>
      </c>
      <c r="AC582">
        <v>18.7821999999999</v>
      </c>
      <c r="AD582">
        <v>-1.1140239999999999</v>
      </c>
      <c r="AE582">
        <v>2.4233999999999498</v>
      </c>
      <c r="AF582">
        <v>-2.3322577171649401</v>
      </c>
      <c r="AG582">
        <v>-1.1140239999999999</v>
      </c>
      <c r="AH582">
        <v>18.727925773341699</v>
      </c>
      <c r="AI582">
        <v>93.378174134835206</v>
      </c>
      <c r="AJ582">
        <v>97.098708329733697</v>
      </c>
      <c r="AK582">
        <v>18.905440468384899</v>
      </c>
      <c r="AL582">
        <v>89.741883533874301</v>
      </c>
      <c r="AM582">
        <v>93.989257380827297</v>
      </c>
      <c r="AN582">
        <v>1.0000000112052401</v>
      </c>
    </row>
    <row r="583" spans="1:40" x14ac:dyDescent="0.3">
      <c r="A583" t="str">
        <f>"20200111160416509"</f>
        <v>20200111160416509</v>
      </c>
      <c r="B583" t="str">
        <f>"1578729856501209"</f>
        <v>1578729856501209</v>
      </c>
      <c r="C583" t="s">
        <v>40</v>
      </c>
      <c r="D583">
        <v>4.7656400000000003</v>
      </c>
      <c r="E583">
        <v>0.48147879999999899</v>
      </c>
      <c r="F583" t="s">
        <v>44</v>
      </c>
      <c r="G583">
        <v>-291.64670000000001</v>
      </c>
      <c r="H583">
        <v>-0.05</v>
      </c>
      <c r="I583">
        <v>370.05619999999999</v>
      </c>
      <c r="J583">
        <v>-310.40879999999999</v>
      </c>
      <c r="K583">
        <v>1.0636699999999999</v>
      </c>
      <c r="L583">
        <v>367.64370000000002</v>
      </c>
      <c r="M583">
        <v>0.99985800000000002</v>
      </c>
      <c r="N583">
        <v>0</v>
      </c>
      <c r="O583">
        <v>4.4259199999999999E-3</v>
      </c>
      <c r="P583">
        <v>0.99717270000000002</v>
      </c>
      <c r="Q583">
        <v>-1.165654E-2</v>
      </c>
      <c r="R583">
        <v>7.4234190000000005E-2</v>
      </c>
      <c r="S583">
        <v>2.9782099999999998</v>
      </c>
      <c r="T583">
        <v>-0.17500260000000001</v>
      </c>
      <c r="U583">
        <v>0.37911990000000001</v>
      </c>
      <c r="V583">
        <v>-6.9818930000000001E-2</v>
      </c>
      <c r="W583">
        <v>4.5717249999999996E-3</v>
      </c>
      <c r="X583">
        <v>0.99754920000000002</v>
      </c>
      <c r="Y583">
        <v>-0.1216875</v>
      </c>
      <c r="Z583">
        <v>3.2990189999999998E-3</v>
      </c>
      <c r="AA583">
        <v>0.99256299999999997</v>
      </c>
      <c r="AB583">
        <v>38</v>
      </c>
      <c r="AC583">
        <v>18.762099999999901</v>
      </c>
      <c r="AD583">
        <v>-1.1136699999999999</v>
      </c>
      <c r="AE583">
        <v>2.4124999999999601</v>
      </c>
      <c r="AF583">
        <v>-2.3213799326093301</v>
      </c>
      <c r="AG583">
        <v>-1.1136699999999999</v>
      </c>
      <c r="AH583">
        <v>18.707754087974401</v>
      </c>
      <c r="AI583">
        <v>93.380920724132096</v>
      </c>
      <c r="AJ583">
        <v>97.073476717820498</v>
      </c>
      <c r="AK583">
        <v>18.884097242827</v>
      </c>
      <c r="AL583">
        <v>89.738058538641795</v>
      </c>
      <c r="AM583">
        <v>94.003629153614</v>
      </c>
      <c r="AN583">
        <v>0.99999999503823001</v>
      </c>
    </row>
    <row r="584" spans="1:40" x14ac:dyDescent="0.3">
      <c r="A584" t="str">
        <f>"20200111160416518"</f>
        <v>20200111160416518</v>
      </c>
      <c r="B584" t="str">
        <f>"1578729856510969"</f>
        <v>1578729856510969</v>
      </c>
      <c r="C584" t="s">
        <v>40</v>
      </c>
      <c r="D584">
        <v>4.7050939999999999</v>
      </c>
      <c r="E584">
        <v>0.48158820000000002</v>
      </c>
      <c r="F584" t="s">
        <v>44</v>
      </c>
      <c r="G584">
        <v>-291.44170000000003</v>
      </c>
      <c r="H584">
        <v>-0.05</v>
      </c>
      <c r="I584">
        <v>370.0532</v>
      </c>
      <c r="J584">
        <v>-310.21969999999999</v>
      </c>
      <c r="K584">
        <v>1.063366</v>
      </c>
      <c r="L584">
        <v>367.64449999999999</v>
      </c>
      <c r="M584">
        <v>0.99986059999999999</v>
      </c>
      <c r="N584">
        <v>0</v>
      </c>
      <c r="O584">
        <v>4.4299450000000002E-3</v>
      </c>
      <c r="P584">
        <v>0.99720850000000005</v>
      </c>
      <c r="Q584">
        <v>-1.179126E-2</v>
      </c>
      <c r="R584">
        <v>7.3732019999999995E-2</v>
      </c>
      <c r="S584">
        <v>2.9783019999999998</v>
      </c>
      <c r="T584">
        <v>-0.174874</v>
      </c>
      <c r="U584">
        <v>0.3783569</v>
      </c>
      <c r="V584">
        <v>-6.9313369999999999E-2</v>
      </c>
      <c r="W584">
        <v>4.2741810000000002E-3</v>
      </c>
      <c r="X584">
        <v>0.99758579999999997</v>
      </c>
      <c r="Y584">
        <v>-0.1214302</v>
      </c>
      <c r="Z584">
        <v>3.2888000000000001E-3</v>
      </c>
      <c r="AA584">
        <v>0.99259450000000005</v>
      </c>
      <c r="AB584">
        <v>38</v>
      </c>
      <c r="AC584">
        <v>18.777999999999899</v>
      </c>
      <c r="AD584">
        <v>-1.1133660000000001</v>
      </c>
      <c r="AE584">
        <v>2.4087000000000098</v>
      </c>
      <c r="AF584">
        <v>-2.31746508442354</v>
      </c>
      <c r="AG584">
        <v>-1.1133660000000001</v>
      </c>
      <c r="AH584">
        <v>18.723731195341699</v>
      </c>
      <c r="AI584">
        <v>93.377251997139396</v>
      </c>
      <c r="AJ584">
        <v>97.055703304616898</v>
      </c>
      <c r="AK584">
        <v>18.899426926308902</v>
      </c>
      <c r="AL584">
        <v>89.755106727105201</v>
      </c>
      <c r="AM584">
        <v>93.974586708641496</v>
      </c>
      <c r="AN584">
        <v>1.0000000201228001</v>
      </c>
    </row>
    <row r="585" spans="1:40" x14ac:dyDescent="0.3">
      <c r="A585" t="str">
        <f>"20200111160416529"</f>
        <v>20200111160416529</v>
      </c>
      <c r="B585" t="str">
        <f>"1578729856521705"</f>
        <v>1578729856521705</v>
      </c>
      <c r="C585" t="s">
        <v>40</v>
      </c>
      <c r="D585">
        <v>4.6642089999999996</v>
      </c>
      <c r="E585">
        <v>0.48178270000000001</v>
      </c>
      <c r="F585" t="s">
        <v>44</v>
      </c>
      <c r="G585">
        <v>-291.32600000000002</v>
      </c>
      <c r="H585">
        <v>-0.05</v>
      </c>
      <c r="I585">
        <v>370.0324</v>
      </c>
      <c r="J585">
        <v>-310.05020000000002</v>
      </c>
      <c r="K585">
        <v>1.063115</v>
      </c>
      <c r="L585">
        <v>367.64530000000002</v>
      </c>
      <c r="M585">
        <v>0.9998629</v>
      </c>
      <c r="N585">
        <v>0</v>
      </c>
      <c r="O585">
        <v>4.4329219999999997E-3</v>
      </c>
      <c r="P585">
        <v>0.9972316</v>
      </c>
      <c r="Q585">
        <v>-1.144972E-2</v>
      </c>
      <c r="R585">
        <v>7.3471809999999999E-2</v>
      </c>
      <c r="S585">
        <v>2.978485</v>
      </c>
      <c r="T585">
        <v>-0.17551639999999999</v>
      </c>
      <c r="U585">
        <v>0.3764343</v>
      </c>
      <c r="V585">
        <v>-6.9049769999999996E-2</v>
      </c>
      <c r="W585">
        <v>4.4777879999999999E-3</v>
      </c>
      <c r="X585">
        <v>0.99760320000000002</v>
      </c>
      <c r="Y585">
        <v>-0.1207887</v>
      </c>
      <c r="Z585">
        <v>3.2818069999999999E-3</v>
      </c>
      <c r="AA585">
        <v>0.99267280000000002</v>
      </c>
      <c r="AB585">
        <v>38</v>
      </c>
      <c r="AC585">
        <v>18.7242</v>
      </c>
      <c r="AD585">
        <v>-1.1131149999999901</v>
      </c>
      <c r="AE585">
        <v>2.38709999999997</v>
      </c>
      <c r="AF585">
        <v>-2.2960783604060802</v>
      </c>
      <c r="AG585">
        <v>-1.1131149999999901</v>
      </c>
      <c r="AH585">
        <v>18.669674683658901</v>
      </c>
      <c r="AI585">
        <v>93.386569220246997</v>
      </c>
      <c r="AJ585">
        <v>97.011278462949093</v>
      </c>
      <c r="AK585">
        <v>18.843241590395401</v>
      </c>
      <c r="AL585">
        <v>89.743440797143407</v>
      </c>
      <c r="AM585">
        <v>93.959450612128904</v>
      </c>
      <c r="AN585">
        <v>1.0000000329863299</v>
      </c>
    </row>
    <row r="586" spans="1:40" x14ac:dyDescent="0.3">
      <c r="A586" t="str">
        <f>"20200111160416540"</f>
        <v>20200111160416540</v>
      </c>
      <c r="B586" t="str">
        <f>"1578729856531466"</f>
        <v>1578729856531466</v>
      </c>
      <c r="C586" t="s">
        <v>40</v>
      </c>
      <c r="D586">
        <v>4.7037800000000001</v>
      </c>
      <c r="E586">
        <v>0.48178650000000001</v>
      </c>
      <c r="F586" t="s">
        <v>44</v>
      </c>
      <c r="G586">
        <v>-291.08819999999997</v>
      </c>
      <c r="H586">
        <v>-0.05</v>
      </c>
      <c r="I586">
        <v>370.024</v>
      </c>
      <c r="J586">
        <v>-309.86160000000001</v>
      </c>
      <c r="K586">
        <v>1.062853</v>
      </c>
      <c r="L586">
        <v>367.64609999999999</v>
      </c>
      <c r="M586">
        <v>0.99986520000000001</v>
      </c>
      <c r="N586">
        <v>0</v>
      </c>
      <c r="O586">
        <v>4.4359669999999999E-3</v>
      </c>
      <c r="P586">
        <v>0.99730070000000004</v>
      </c>
      <c r="Q586">
        <v>-1.139108E-2</v>
      </c>
      <c r="R586">
        <v>7.2541250000000002E-2</v>
      </c>
      <c r="S586">
        <v>2.97879</v>
      </c>
      <c r="T586">
        <v>-0.17486170000000001</v>
      </c>
      <c r="U586">
        <v>0.37368770000000001</v>
      </c>
      <c r="V586">
        <v>-6.8115990000000001E-2</v>
      </c>
      <c r="W586">
        <v>4.3895749999999997E-3</v>
      </c>
      <c r="X586">
        <v>0.99766770000000005</v>
      </c>
      <c r="Y586">
        <v>-0.119875</v>
      </c>
      <c r="Z586">
        <v>3.2425739999999998E-3</v>
      </c>
      <c r="AA586">
        <v>0.99278370000000005</v>
      </c>
      <c r="AB586">
        <v>38</v>
      </c>
      <c r="AC586">
        <v>18.773399999999999</v>
      </c>
      <c r="AD586">
        <v>-1.1128530000000001</v>
      </c>
      <c r="AE586">
        <v>2.3779000000000101</v>
      </c>
      <c r="AF586">
        <v>-2.2866797147658402</v>
      </c>
      <c r="AG586">
        <v>-1.1128530000000001</v>
      </c>
      <c r="AH586">
        <v>18.719026641452</v>
      </c>
      <c r="AI586">
        <v>93.377204387009698</v>
      </c>
      <c r="AJ586">
        <v>96.964633798298607</v>
      </c>
      <c r="AK586">
        <v>18.890984736665299</v>
      </c>
      <c r="AL586">
        <v>89.748495057890196</v>
      </c>
      <c r="AM586">
        <v>93.905820949922102</v>
      </c>
      <c r="AN586">
        <v>0.99999994804282399</v>
      </c>
    </row>
    <row r="587" spans="1:40" x14ac:dyDescent="0.3">
      <c r="A587" t="str">
        <f>"20200111160416551"</f>
        <v>20200111160416551</v>
      </c>
      <c r="B587" t="str">
        <f>"1578729856541225"</f>
        <v>1578729856541225</v>
      </c>
      <c r="C587" t="s">
        <v>40</v>
      </c>
      <c r="D587">
        <v>4.833939</v>
      </c>
      <c r="E587">
        <v>0.4816568</v>
      </c>
      <c r="F587" t="s">
        <v>44</v>
      </c>
      <c r="G587">
        <v>-290.92559999999997</v>
      </c>
      <c r="H587">
        <v>-0.05</v>
      </c>
      <c r="I587">
        <v>370.00400000000002</v>
      </c>
      <c r="J587">
        <v>-309.67739999999998</v>
      </c>
      <c r="K587">
        <v>1.0626249999999999</v>
      </c>
      <c r="L587">
        <v>367.64690000000002</v>
      </c>
      <c r="M587">
        <v>0.99986730000000001</v>
      </c>
      <c r="N587">
        <v>0</v>
      </c>
      <c r="O587">
        <v>4.4391889999999996E-3</v>
      </c>
      <c r="P587">
        <v>0.9973438</v>
      </c>
      <c r="Q587">
        <v>-1.171092E-2</v>
      </c>
      <c r="R587">
        <v>7.1892079999999997E-2</v>
      </c>
      <c r="S587">
        <v>2.979187</v>
      </c>
      <c r="T587">
        <v>-0.175083399999999</v>
      </c>
      <c r="U587">
        <v>0.37097170000000002</v>
      </c>
      <c r="V587">
        <v>-6.7463880000000004E-2</v>
      </c>
      <c r="W587">
        <v>3.9356290000000004E-3</v>
      </c>
      <c r="X587">
        <v>0.99771399999999999</v>
      </c>
      <c r="Y587">
        <v>-0.1189653</v>
      </c>
      <c r="Z587">
        <v>3.2196400000000002E-3</v>
      </c>
      <c r="AA587">
        <v>0.99289320000000003</v>
      </c>
      <c r="AB587">
        <v>38</v>
      </c>
      <c r="AC587">
        <v>18.751799999999999</v>
      </c>
      <c r="AD587">
        <v>-1.112625</v>
      </c>
      <c r="AE587">
        <v>2.3571</v>
      </c>
      <c r="AF587">
        <v>-2.2659703612742899</v>
      </c>
      <c r="AG587">
        <v>-1.112625</v>
      </c>
      <c r="AH587">
        <v>18.697279087104501</v>
      </c>
      <c r="AI587">
        <v>93.380822783386193</v>
      </c>
      <c r="AJ587">
        <v>96.910120285830402</v>
      </c>
      <c r="AK587">
        <v>18.8669234728366</v>
      </c>
      <c r="AL587">
        <v>89.774504496600798</v>
      </c>
      <c r="AM587">
        <v>93.868363589600193</v>
      </c>
      <c r="AN587">
        <v>1.0000000450381299</v>
      </c>
    </row>
    <row r="588" spans="1:40" x14ac:dyDescent="0.3">
      <c r="A588" t="str">
        <f>"20200111160416562"</f>
        <v>20200111160416562</v>
      </c>
      <c r="B588" t="str">
        <f>"1578729856550985"</f>
        <v>1578729856550985</v>
      </c>
      <c r="C588" t="s">
        <v>40</v>
      </c>
      <c r="D588">
        <v>4.8286809999999996</v>
      </c>
      <c r="E588">
        <v>0.48156900000000002</v>
      </c>
      <c r="F588" t="s">
        <v>44</v>
      </c>
      <c r="G588">
        <v>-290.7944</v>
      </c>
      <c r="H588">
        <v>-0.05</v>
      </c>
      <c r="I588">
        <v>369.99340000000001</v>
      </c>
      <c r="J588">
        <v>-309.48910000000001</v>
      </c>
      <c r="K588">
        <v>1.0624020000000001</v>
      </c>
      <c r="L588">
        <v>367.64780000000002</v>
      </c>
      <c r="M588">
        <v>0.99986929999999996</v>
      </c>
      <c r="N588">
        <v>0</v>
      </c>
      <c r="O588">
        <v>4.4424520000000004E-3</v>
      </c>
      <c r="P588">
        <v>0.99739979999999995</v>
      </c>
      <c r="Q588">
        <v>-1.168458E-2</v>
      </c>
      <c r="R588">
        <v>7.1114289999999997E-2</v>
      </c>
      <c r="S588">
        <v>2.9792480000000001</v>
      </c>
      <c r="T588">
        <v>-0.17554320000000001</v>
      </c>
      <c r="U588">
        <v>0.3702087</v>
      </c>
      <c r="V588">
        <v>-6.6681749999999998E-2</v>
      </c>
      <c r="W588">
        <v>3.829772E-3</v>
      </c>
      <c r="X588">
        <v>0.99776699999999996</v>
      </c>
      <c r="Y588">
        <v>-0.1187086</v>
      </c>
      <c r="Z588">
        <v>3.2203470000000001E-3</v>
      </c>
      <c r="AA588">
        <v>0.99292389999999997</v>
      </c>
      <c r="AB588">
        <v>38</v>
      </c>
      <c r="AC588">
        <v>18.694700000000001</v>
      </c>
      <c r="AD588">
        <v>-1.1124019999999999</v>
      </c>
      <c r="AE588">
        <v>2.3455999999999899</v>
      </c>
      <c r="AF588">
        <v>-2.2546572122575901</v>
      </c>
      <c r="AG588">
        <v>-1.1124019999999999</v>
      </c>
      <c r="AH588">
        <v>18.639961706072899</v>
      </c>
      <c r="AI588">
        <v>93.390610955557605</v>
      </c>
      <c r="AJ588">
        <v>96.896891747325</v>
      </c>
      <c r="AK588">
        <v>18.808750350787601</v>
      </c>
      <c r="AL588">
        <v>89.780569703481106</v>
      </c>
      <c r="AM588">
        <v>93.823447740172099</v>
      </c>
      <c r="AN588">
        <v>1.0000000546128101</v>
      </c>
    </row>
    <row r="589" spans="1:40" x14ac:dyDescent="0.3">
      <c r="A589" t="str">
        <f>"20200111160416574"</f>
        <v>20200111160416574</v>
      </c>
      <c r="B589" t="str">
        <f>"1578729856571482"</f>
        <v>1578729856571482</v>
      </c>
      <c r="C589" t="s">
        <v>40</v>
      </c>
      <c r="D589">
        <v>4.7619600000000002</v>
      </c>
      <c r="E589">
        <v>0.4813885</v>
      </c>
      <c r="F589" t="s">
        <v>44</v>
      </c>
      <c r="G589">
        <v>-290.56549999999999</v>
      </c>
      <c r="H589">
        <v>-0.05</v>
      </c>
      <c r="I589">
        <v>369.98840000000001</v>
      </c>
      <c r="J589">
        <v>-309.30619999999999</v>
      </c>
      <c r="K589">
        <v>1.062217</v>
      </c>
      <c r="L589">
        <v>367.64859999999999</v>
      </c>
      <c r="M589">
        <v>0.99987119999999996</v>
      </c>
      <c r="N589">
        <v>0</v>
      </c>
      <c r="O589">
        <v>4.4460619999999998E-3</v>
      </c>
      <c r="P589">
        <v>0.99744690000000003</v>
      </c>
      <c r="Q589">
        <v>-1.171488E-2</v>
      </c>
      <c r="R589">
        <v>7.0447070000000001E-2</v>
      </c>
      <c r="S589">
        <v>2.9794619999999998</v>
      </c>
      <c r="T589">
        <v>-0.17514440000000001</v>
      </c>
      <c r="U589">
        <v>0.36853029999999998</v>
      </c>
      <c r="V589">
        <v>-6.6011410000000006E-2</v>
      </c>
      <c r="W589">
        <v>3.6814769999999998E-3</v>
      </c>
      <c r="X589">
        <v>0.99781209999999998</v>
      </c>
      <c r="Y589">
        <v>-0.1181473</v>
      </c>
      <c r="Z589">
        <v>3.1962929999999998E-3</v>
      </c>
      <c r="AA589">
        <v>0.99299090000000001</v>
      </c>
      <c r="AB589">
        <v>38</v>
      </c>
      <c r="AC589">
        <v>18.7407</v>
      </c>
      <c r="AD589">
        <v>-1.112217</v>
      </c>
      <c r="AE589">
        <v>2.3398000000000199</v>
      </c>
      <c r="AF589">
        <v>-2.2486461449926201</v>
      </c>
      <c r="AG589">
        <v>-1.112217</v>
      </c>
      <c r="AH589">
        <v>18.686113796735899</v>
      </c>
      <c r="AI589">
        <v>93.3819438318896</v>
      </c>
      <c r="AJ589">
        <v>96.8618533828312</v>
      </c>
      <c r="AK589">
        <v>18.853760499302101</v>
      </c>
      <c r="AL589">
        <v>89.789066433947099</v>
      </c>
      <c r="AM589">
        <v>93.784953000266697</v>
      </c>
      <c r="AN589">
        <v>1.0000000232147399</v>
      </c>
    </row>
    <row r="590" spans="1:40" x14ac:dyDescent="0.3">
      <c r="A590" t="str">
        <f>"20200111160416585"</f>
        <v>20200111160416585</v>
      </c>
      <c r="B590" t="str">
        <f>"1578729856581241"</f>
        <v>1578729856581241</v>
      </c>
      <c r="C590" t="s">
        <v>40</v>
      </c>
      <c r="D590">
        <v>4.8791390000000003</v>
      </c>
      <c r="E590">
        <v>0.48127340000000002</v>
      </c>
      <c r="F590" t="s">
        <v>44</v>
      </c>
      <c r="G590">
        <v>-290.37729999999999</v>
      </c>
      <c r="H590">
        <v>-0.05</v>
      </c>
      <c r="I590">
        <v>369.98719999999997</v>
      </c>
      <c r="J590">
        <v>-309.11239999999998</v>
      </c>
      <c r="K590">
        <v>1.0620229999999999</v>
      </c>
      <c r="L590">
        <v>367.64940000000001</v>
      </c>
      <c r="M590">
        <v>0.99987309999999996</v>
      </c>
      <c r="N590">
        <v>0</v>
      </c>
      <c r="O590">
        <v>4.4500579999999998E-3</v>
      </c>
      <c r="P590">
        <v>0.99750459999999996</v>
      </c>
      <c r="Q590">
        <v>-1.165967E-2</v>
      </c>
      <c r="R590">
        <v>6.9633719999999996E-2</v>
      </c>
      <c r="S590">
        <v>2.9796140000000002</v>
      </c>
      <c r="T590">
        <v>-0.175074799999999</v>
      </c>
      <c r="U590">
        <v>0.3681335</v>
      </c>
      <c r="V590">
        <v>-6.5193520000000005E-2</v>
      </c>
      <c r="W590">
        <v>3.6147200000000001E-3</v>
      </c>
      <c r="X590">
        <v>0.99786609999999998</v>
      </c>
      <c r="Y590">
        <v>-0.1180073</v>
      </c>
      <c r="Z590">
        <v>3.190563E-3</v>
      </c>
      <c r="AA590">
        <v>0.99300759999999999</v>
      </c>
      <c r="AB590">
        <v>38</v>
      </c>
      <c r="AC590">
        <v>18.7350999999999</v>
      </c>
      <c r="AD590">
        <v>-1.112023</v>
      </c>
      <c r="AE590">
        <v>2.3377999999999499</v>
      </c>
      <c r="AF590">
        <v>-2.2466013293267602</v>
      </c>
      <c r="AG590">
        <v>-1.112023</v>
      </c>
      <c r="AH590">
        <v>18.6805161337535</v>
      </c>
      <c r="AI590">
        <v>93.382395553460398</v>
      </c>
      <c r="AJ590">
        <v>96.857707700989593</v>
      </c>
      <c r="AK590">
        <v>18.847957335183199</v>
      </c>
      <c r="AL590">
        <v>89.792891350386796</v>
      </c>
      <c r="AM590">
        <v>93.737989017393801</v>
      </c>
      <c r="AN590">
        <v>1.00000000738993</v>
      </c>
    </row>
    <row r="591" spans="1:40" x14ac:dyDescent="0.3">
      <c r="A591" t="str">
        <f>"20200111160416595"</f>
        <v>20200111160416595</v>
      </c>
      <c r="B591" t="str">
        <f>"1578729856591001"</f>
        <v>1578729856591001</v>
      </c>
      <c r="C591" t="s">
        <v>40</v>
      </c>
      <c r="D591">
        <v>4.7643319999999996</v>
      </c>
      <c r="E591">
        <v>0.48130729999999999</v>
      </c>
      <c r="F591" t="s">
        <v>44</v>
      </c>
      <c r="G591">
        <v>-290.13130000000001</v>
      </c>
      <c r="H591">
        <v>-0.05</v>
      </c>
      <c r="I591">
        <v>369.98340000000002</v>
      </c>
      <c r="J591">
        <v>-308.92079999999999</v>
      </c>
      <c r="K591">
        <v>1.0618510000000001</v>
      </c>
      <c r="L591">
        <v>367.65030000000002</v>
      </c>
      <c r="M591">
        <v>0.99987459999999995</v>
      </c>
      <c r="N591">
        <v>0</v>
      </c>
      <c r="O591">
        <v>4.4544229999999999E-3</v>
      </c>
      <c r="P591">
        <v>0.99755910000000003</v>
      </c>
      <c r="Q591">
        <v>-1.1944720000000001E-2</v>
      </c>
      <c r="R591">
        <v>6.8798339999999999E-2</v>
      </c>
      <c r="S591">
        <v>2.979889</v>
      </c>
      <c r="T591">
        <v>-0.1745797</v>
      </c>
      <c r="U591">
        <v>0.36642459999999999</v>
      </c>
      <c r="V591">
        <v>-6.4353759999999996E-2</v>
      </c>
      <c r="W591">
        <v>3.2194239999999998E-3</v>
      </c>
      <c r="X591">
        <v>0.99792190000000003</v>
      </c>
      <c r="Y591">
        <v>-0.117433</v>
      </c>
      <c r="Z591">
        <v>3.1643750000000001E-3</v>
      </c>
      <c r="AA591">
        <v>0.99307579999999995</v>
      </c>
      <c r="AB591">
        <v>38</v>
      </c>
      <c r="AC591">
        <v>18.789499999999901</v>
      </c>
      <c r="AD591">
        <v>-1.1118509999999999</v>
      </c>
      <c r="AE591">
        <v>2.3331</v>
      </c>
      <c r="AF591">
        <v>-2.2416407248898298</v>
      </c>
      <c r="AG591">
        <v>-1.1118509999999999</v>
      </c>
      <c r="AH591">
        <v>18.7351012206896</v>
      </c>
      <c r="AI591">
        <v>93.372287964945002</v>
      </c>
      <c r="AJ591">
        <v>96.822961122379894</v>
      </c>
      <c r="AK591">
        <v>18.901459825504698</v>
      </c>
      <c r="AL591">
        <v>89.815540263510599</v>
      </c>
      <c r="AM591">
        <v>93.689767982131798</v>
      </c>
      <c r="AN591">
        <v>0.999999944808318</v>
      </c>
    </row>
    <row r="592" spans="1:40" x14ac:dyDescent="0.3">
      <c r="A592" t="str">
        <f>"20200111160416608"</f>
        <v>20200111160416608</v>
      </c>
      <c r="B592" t="str">
        <f>"1578729856601737"</f>
        <v>1578729856601737</v>
      </c>
      <c r="C592" t="s">
        <v>40</v>
      </c>
      <c r="D592">
        <v>4.9203239999999999</v>
      </c>
      <c r="E592">
        <v>0.48121789999999998</v>
      </c>
      <c r="F592" t="s">
        <v>44</v>
      </c>
      <c r="G592">
        <v>-290.04739999999998</v>
      </c>
      <c r="H592">
        <v>-0.05</v>
      </c>
      <c r="I592">
        <v>369.95229999999998</v>
      </c>
      <c r="J592">
        <v>-308.71550000000002</v>
      </c>
      <c r="K592">
        <v>1.061682</v>
      </c>
      <c r="L592">
        <v>367.65120000000002</v>
      </c>
      <c r="M592">
        <v>0.9998764</v>
      </c>
      <c r="N592">
        <v>0</v>
      </c>
      <c r="O592">
        <v>4.4588700000000002E-3</v>
      </c>
      <c r="P592">
        <v>0.99759370000000003</v>
      </c>
      <c r="Q592">
        <v>-1.1938290000000001E-2</v>
      </c>
      <c r="R592">
        <v>6.8296200000000001E-2</v>
      </c>
      <c r="S592">
        <v>2.980194</v>
      </c>
      <c r="T592">
        <v>-0.17556550000000001</v>
      </c>
      <c r="U592">
        <v>0.36349490000000001</v>
      </c>
      <c r="V592">
        <v>-6.3846520000000004E-2</v>
      </c>
      <c r="W592">
        <v>3.1121360000000002E-3</v>
      </c>
      <c r="X592">
        <v>0.99795489999999998</v>
      </c>
      <c r="Y592">
        <v>-0.1164539</v>
      </c>
      <c r="Z592">
        <v>3.1531089999999999E-3</v>
      </c>
      <c r="AA592">
        <v>0.99319109999999999</v>
      </c>
      <c r="AB592">
        <v>38</v>
      </c>
      <c r="AC592">
        <v>18.668099999999999</v>
      </c>
      <c r="AD592">
        <v>-1.1116820000000001</v>
      </c>
      <c r="AE592">
        <v>2.30109999999996</v>
      </c>
      <c r="AF592">
        <v>-2.2101088803455302</v>
      </c>
      <c r="AG592">
        <v>-1.1116820000000001</v>
      </c>
      <c r="AH592">
        <v>18.6131581010467</v>
      </c>
      <c r="AI592">
        <v>93.394177317689596</v>
      </c>
      <c r="AJ592">
        <v>96.771541816478006</v>
      </c>
      <c r="AK592">
        <v>18.7768493796661</v>
      </c>
      <c r="AL592">
        <v>89.821687458186602</v>
      </c>
      <c r="AM592">
        <v>93.660643694425104</v>
      </c>
      <c r="AN592">
        <v>1.0000000229703001</v>
      </c>
    </row>
    <row r="593" spans="1:40" x14ac:dyDescent="0.3">
      <c r="A593" t="str">
        <f>"20200111160416619"</f>
        <v>20200111160416619</v>
      </c>
      <c r="B593" t="str">
        <f>"1578729856611496"</f>
        <v>1578729856611496</v>
      </c>
      <c r="C593" t="s">
        <v>40</v>
      </c>
      <c r="D593">
        <v>5.4726119999999998</v>
      </c>
      <c r="E593">
        <v>0.48121789999999998</v>
      </c>
      <c r="F593" t="s">
        <v>44</v>
      </c>
      <c r="G593">
        <v>-289.88900000000001</v>
      </c>
      <c r="H593">
        <v>-0.05</v>
      </c>
      <c r="I593">
        <v>369.94459999999998</v>
      </c>
      <c r="J593">
        <v>-308.52530000000002</v>
      </c>
      <c r="K593">
        <v>1.0615410000000001</v>
      </c>
      <c r="L593">
        <v>367.65210000000002</v>
      </c>
      <c r="M593">
        <v>0.99987789999999999</v>
      </c>
      <c r="N593">
        <v>0</v>
      </c>
      <c r="O593">
        <v>4.4634920000000003E-3</v>
      </c>
      <c r="P593">
        <v>0.99763100000000005</v>
      </c>
      <c r="Q593">
        <v>-1.195155E-2</v>
      </c>
      <c r="R593">
        <v>6.7747409999999994E-2</v>
      </c>
      <c r="S593">
        <v>2.9802550000000001</v>
      </c>
      <c r="T593">
        <v>-0.17598079999999999</v>
      </c>
      <c r="U593">
        <v>0.3630371</v>
      </c>
      <c r="V593">
        <v>-6.329311E-2</v>
      </c>
      <c r="W593">
        <v>3.0005570000000001E-3</v>
      </c>
      <c r="X593">
        <v>0.9979905</v>
      </c>
      <c r="Y593">
        <v>-0.11629589999999899</v>
      </c>
      <c r="Z593">
        <v>3.155606E-3</v>
      </c>
      <c r="AA593">
        <v>0.99320960000000003</v>
      </c>
      <c r="AB593">
        <v>38</v>
      </c>
      <c r="AC593">
        <v>18.636299999999999</v>
      </c>
      <c r="AD593">
        <v>-1.1115409999999999</v>
      </c>
      <c r="AE593">
        <v>2.29249999999996</v>
      </c>
      <c r="AF593">
        <v>-2.2015697548678701</v>
      </c>
      <c r="AG593">
        <v>-1.1115409999999999</v>
      </c>
      <c r="AH593">
        <v>18.581232642204899</v>
      </c>
      <c r="AI593">
        <v>93.399666524686694</v>
      </c>
      <c r="AJ593">
        <v>96.757103341156196</v>
      </c>
      <c r="AK593">
        <v>18.7441894805823</v>
      </c>
      <c r="AL593">
        <v>89.828080494825201</v>
      </c>
      <c r="AM593">
        <v>93.628869956722994</v>
      </c>
      <c r="AN593">
        <v>1.00000002960301</v>
      </c>
    </row>
    <row r="594" spans="1:40" x14ac:dyDescent="0.3">
      <c r="A594" t="str">
        <f>"20200111160416630"</f>
        <v>20200111160416630</v>
      </c>
      <c r="B594" t="str">
        <f>"1578729856621257"</f>
        <v>1578729856621257</v>
      </c>
      <c r="C594" t="s">
        <v>40</v>
      </c>
      <c r="D594">
        <v>4.7733999999999996</v>
      </c>
      <c r="E594">
        <v>0.48120160000000001</v>
      </c>
      <c r="F594" t="s">
        <v>44</v>
      </c>
      <c r="G594">
        <v>-289.70010000000002</v>
      </c>
      <c r="H594">
        <v>-0.05</v>
      </c>
      <c r="I594">
        <v>369.93470000000002</v>
      </c>
      <c r="J594">
        <v>-308.34089999999998</v>
      </c>
      <c r="K594">
        <v>1.0614189999999999</v>
      </c>
      <c r="L594">
        <v>367.65289999999999</v>
      </c>
      <c r="M594">
        <v>0.99987930000000003</v>
      </c>
      <c r="N594">
        <v>0</v>
      </c>
      <c r="O594">
        <v>4.4675089999999997E-3</v>
      </c>
      <c r="P594">
        <v>0.99765119999999896</v>
      </c>
      <c r="Q594">
        <v>-1.184377E-2</v>
      </c>
      <c r="R594">
        <v>6.7470639999999998E-2</v>
      </c>
      <c r="S594">
        <v>2.9804689999999998</v>
      </c>
      <c r="T594">
        <v>-0.175983</v>
      </c>
      <c r="U594">
        <v>0.36138920000000002</v>
      </c>
      <c r="V594">
        <v>-6.3012810000000002E-2</v>
      </c>
      <c r="W594">
        <v>3.018677E-3</v>
      </c>
      <c r="X594">
        <v>0.99800809999999995</v>
      </c>
      <c r="Y594">
        <v>-0.1157431</v>
      </c>
      <c r="Z594">
        <v>3.139045E-3</v>
      </c>
      <c r="AA594">
        <v>0.9932742</v>
      </c>
      <c r="AB594">
        <v>38</v>
      </c>
      <c r="AC594">
        <v>18.640799999999899</v>
      </c>
      <c r="AD594">
        <v>-1.1114189999999999</v>
      </c>
      <c r="AE594">
        <v>2.2818000000000298</v>
      </c>
      <c r="AF594">
        <v>-2.1908169148815899</v>
      </c>
      <c r="AG594">
        <v>-1.1114189999999999</v>
      </c>
      <c r="AH594">
        <v>18.585714177349999</v>
      </c>
      <c r="AI594">
        <v>93.398716443512399</v>
      </c>
      <c r="AJ594">
        <v>96.722796856629998</v>
      </c>
      <c r="AK594">
        <v>18.747365213017002</v>
      </c>
      <c r="AL594">
        <v>89.827042276368303</v>
      </c>
      <c r="AM594">
        <v>93.612778250833102</v>
      </c>
      <c r="AN594">
        <v>0.99999994715026597</v>
      </c>
    </row>
    <row r="595" spans="1:40" x14ac:dyDescent="0.3">
      <c r="A595" t="str">
        <f>"20200111160416641"</f>
        <v>20200111160416641</v>
      </c>
      <c r="B595" t="str">
        <f>"1578729856631020"</f>
        <v>1578729856631020</v>
      </c>
      <c r="C595" t="s">
        <v>40</v>
      </c>
      <c r="D595">
        <v>4.7216870000000002</v>
      </c>
      <c r="E595">
        <v>0.48118749999999999</v>
      </c>
      <c r="F595" t="s">
        <v>44</v>
      </c>
      <c r="G595">
        <v>-289.5437</v>
      </c>
      <c r="H595">
        <v>-0.05</v>
      </c>
      <c r="I595">
        <v>369.92720000000003</v>
      </c>
      <c r="J595">
        <v>-308.14069999999998</v>
      </c>
      <c r="K595">
        <v>1.061294</v>
      </c>
      <c r="L595">
        <v>367.65370000000001</v>
      </c>
      <c r="M595">
        <v>0.99988060000000001</v>
      </c>
      <c r="N595">
        <v>0</v>
      </c>
      <c r="O595">
        <v>4.4720869999999996E-3</v>
      </c>
      <c r="P595">
        <v>0.99767150000000004</v>
      </c>
      <c r="Q595">
        <v>-1.1925130000000001E-2</v>
      </c>
      <c r="R595">
        <v>6.7152139999999999E-2</v>
      </c>
      <c r="S595">
        <v>2.980591</v>
      </c>
      <c r="T595">
        <v>-0.17623249999999999</v>
      </c>
      <c r="U595">
        <v>0.36062620000000001</v>
      </c>
      <c r="V595">
        <v>-6.2689209999999995E-2</v>
      </c>
      <c r="W595">
        <v>2.8436780000000001E-3</v>
      </c>
      <c r="X595">
        <v>0.9980291</v>
      </c>
      <c r="Y595">
        <v>-0.11548310000000001</v>
      </c>
      <c r="Z595">
        <v>3.1354849999999999E-3</v>
      </c>
      <c r="AA595">
        <v>0.99330450000000003</v>
      </c>
      <c r="AB595">
        <v>38</v>
      </c>
      <c r="AC595">
        <v>18.596999999999898</v>
      </c>
      <c r="AD595">
        <v>-1.111294</v>
      </c>
      <c r="AE595">
        <v>2.2735000000000101</v>
      </c>
      <c r="AF595">
        <v>-2.1826217001802202</v>
      </c>
      <c r="AG595">
        <v>-1.111294</v>
      </c>
      <c r="AH595">
        <v>18.541747466355499</v>
      </c>
      <c r="AI595">
        <v>93.406438515421101</v>
      </c>
      <c r="AJ595">
        <v>96.713615106261898</v>
      </c>
      <c r="AK595">
        <v>18.702812915351299</v>
      </c>
      <c r="AL595">
        <v>89.837069041513303</v>
      </c>
      <c r="AM595">
        <v>93.594198290418504</v>
      </c>
      <c r="AN595">
        <v>1.00000005400089</v>
      </c>
    </row>
    <row r="596" spans="1:40" x14ac:dyDescent="0.3">
      <c r="A596" t="str">
        <f>"20200111160416653"</f>
        <v>20200111160416653</v>
      </c>
      <c r="B596" t="str">
        <f>"1578729856641753"</f>
        <v>1578729856641753</v>
      </c>
      <c r="C596" t="s">
        <v>40</v>
      </c>
      <c r="D596">
        <v>4.8071429999999999</v>
      </c>
      <c r="E596">
        <v>0.48113319999999998</v>
      </c>
      <c r="F596" t="s">
        <v>44</v>
      </c>
      <c r="G596">
        <v>-289.41370000000001</v>
      </c>
      <c r="H596">
        <v>-0.05</v>
      </c>
      <c r="I596">
        <v>369.91609999999997</v>
      </c>
      <c r="J596">
        <v>-307.95580000000001</v>
      </c>
      <c r="K596">
        <v>1.061194</v>
      </c>
      <c r="L596">
        <v>367.65460000000002</v>
      </c>
      <c r="M596">
        <v>0.99988169999999998</v>
      </c>
      <c r="N596">
        <v>0</v>
      </c>
      <c r="O596">
        <v>4.476013E-3</v>
      </c>
      <c r="P596">
        <v>0.99767030000000001</v>
      </c>
      <c r="Q596">
        <v>-1.207539E-2</v>
      </c>
      <c r="R596">
        <v>6.7146239999999996E-2</v>
      </c>
      <c r="S596">
        <v>2.9806520000000001</v>
      </c>
      <c r="T596">
        <v>-0.17687729999999999</v>
      </c>
      <c r="U596">
        <v>0.36007689999999998</v>
      </c>
      <c r="V596">
        <v>-6.2679269999999995E-2</v>
      </c>
      <c r="W596">
        <v>2.6143199999999998E-3</v>
      </c>
      <c r="X596">
        <v>0.99803030000000004</v>
      </c>
      <c r="Y596">
        <v>-0.1152953</v>
      </c>
      <c r="Z596">
        <v>3.1411299999999998E-3</v>
      </c>
      <c r="AA596">
        <v>0.9933263</v>
      </c>
      <c r="AB596">
        <v>38</v>
      </c>
      <c r="AC596">
        <v>18.542100000000001</v>
      </c>
      <c r="AD596">
        <v>-1.111194</v>
      </c>
      <c r="AE596">
        <v>2.2614999999999501</v>
      </c>
      <c r="AF596">
        <v>-2.1707917964648402</v>
      </c>
      <c r="AG596">
        <v>-1.111194</v>
      </c>
      <c r="AH596">
        <v>18.486618410667901</v>
      </c>
      <c r="AI596">
        <v>93.416380313320204</v>
      </c>
      <c r="AJ596">
        <v>96.697289069237698</v>
      </c>
      <c r="AK596">
        <v>18.646773162959899</v>
      </c>
      <c r="AL596">
        <v>89.850210327470904</v>
      </c>
      <c r="AM596">
        <v>93.5936255784043</v>
      </c>
      <c r="AN596">
        <v>1.00000000263744</v>
      </c>
    </row>
    <row r="597" spans="1:40" x14ac:dyDescent="0.3">
      <c r="A597" t="str">
        <f>"20200111160416665"</f>
        <v>20200111160416665</v>
      </c>
      <c r="B597" t="str">
        <f>"1578729856661273"</f>
        <v>1578729856661273</v>
      </c>
      <c r="C597" t="s">
        <v>40</v>
      </c>
      <c r="D597">
        <v>4.7402939999999996</v>
      </c>
      <c r="E597">
        <v>0.48110969999999997</v>
      </c>
      <c r="F597" t="s">
        <v>44</v>
      </c>
      <c r="G597">
        <v>-289.28859999999997</v>
      </c>
      <c r="H597">
        <v>-0.05</v>
      </c>
      <c r="I597">
        <v>369.91359999999997</v>
      </c>
      <c r="J597">
        <v>-307.75650000000002</v>
      </c>
      <c r="K597">
        <v>1.061094</v>
      </c>
      <c r="L597">
        <v>367.65550000000002</v>
      </c>
      <c r="M597">
        <v>0.99988290000000002</v>
      </c>
      <c r="N597">
        <v>0</v>
      </c>
      <c r="O597">
        <v>4.4806809999999898E-3</v>
      </c>
      <c r="P597">
        <v>0.99767399999999995</v>
      </c>
      <c r="Q597">
        <v>-1.2116490000000001E-2</v>
      </c>
      <c r="R597">
        <v>6.7083190000000001E-2</v>
      </c>
      <c r="S597">
        <v>2.9805600000000001</v>
      </c>
      <c r="T597">
        <v>-0.17742279999999999</v>
      </c>
      <c r="U597">
        <v>0.36068729999999999</v>
      </c>
      <c r="V597">
        <v>-6.2611710000000001E-2</v>
      </c>
      <c r="W597">
        <v>2.4908199999999999E-3</v>
      </c>
      <c r="X597">
        <v>0.9980348</v>
      </c>
      <c r="Y597">
        <v>-0.1154932</v>
      </c>
      <c r="Z597">
        <v>3.1564449999999999E-3</v>
      </c>
      <c r="AA597">
        <v>0.99330320000000005</v>
      </c>
      <c r="AB597">
        <v>38</v>
      </c>
      <c r="AC597">
        <v>18.4679</v>
      </c>
      <c r="AD597">
        <v>-1.111094</v>
      </c>
      <c r="AE597">
        <v>2.25809999999995</v>
      </c>
      <c r="AF597">
        <v>-2.1675893554956098</v>
      </c>
      <c r="AG597">
        <v>-1.111094</v>
      </c>
      <c r="AH597">
        <v>18.412169572186901</v>
      </c>
      <c r="AI597">
        <v>93.429734042581202</v>
      </c>
      <c r="AJ597">
        <v>96.714292737882303</v>
      </c>
      <c r="AK597">
        <v>18.572586299324499</v>
      </c>
      <c r="AL597">
        <v>89.857286371226394</v>
      </c>
      <c r="AM597">
        <v>93.589746113905093</v>
      </c>
      <c r="AN597">
        <v>0.999999946212216</v>
      </c>
    </row>
    <row r="598" spans="1:40" x14ac:dyDescent="0.3">
      <c r="A598" t="str">
        <f>"20200111160416675"</f>
        <v>20200111160416675</v>
      </c>
      <c r="B598" t="str">
        <f>"1578729856671032"</f>
        <v>1578729856671032</v>
      </c>
      <c r="C598" t="s">
        <v>40</v>
      </c>
      <c r="D598">
        <v>4.7749370000000004</v>
      </c>
      <c r="E598">
        <v>0.4810178</v>
      </c>
      <c r="F598" t="s">
        <v>44</v>
      </c>
      <c r="G598">
        <v>-289.0917</v>
      </c>
      <c r="H598">
        <v>-0.05</v>
      </c>
      <c r="I598">
        <v>369.91300000000001</v>
      </c>
      <c r="J598">
        <v>-307.5643</v>
      </c>
      <c r="K598">
        <v>1.061008</v>
      </c>
      <c r="L598">
        <v>367.65629999999999</v>
      </c>
      <c r="M598">
        <v>0.999884</v>
      </c>
      <c r="N598">
        <v>0</v>
      </c>
      <c r="O598">
        <v>4.4847309999999996E-3</v>
      </c>
      <c r="P598">
        <v>0.99767110000000003</v>
      </c>
      <c r="Q598">
        <v>-1.2233630000000001E-2</v>
      </c>
      <c r="R598">
        <v>6.7102889999999998E-2</v>
      </c>
      <c r="S598">
        <v>2.980591</v>
      </c>
      <c r="T598">
        <v>-0.17743120000000001</v>
      </c>
      <c r="U598">
        <v>0.3605042</v>
      </c>
      <c r="V598">
        <v>-6.2627440000000006E-2</v>
      </c>
      <c r="W598">
        <v>2.3010389999999999E-3</v>
      </c>
      <c r="X598">
        <v>0.99803430000000004</v>
      </c>
      <c r="Y598">
        <v>-0.115428</v>
      </c>
      <c r="Z598">
        <v>3.1543999999999999E-3</v>
      </c>
      <c r="AA598">
        <v>0.9933109</v>
      </c>
      <c r="AB598">
        <v>38</v>
      </c>
      <c r="AC598">
        <v>18.4726</v>
      </c>
      <c r="AD598">
        <v>-1.111008</v>
      </c>
      <c r="AE598">
        <v>2.2567000000000199</v>
      </c>
      <c r="AF598">
        <v>-2.1661037628247399</v>
      </c>
      <c r="AG598">
        <v>-1.111008</v>
      </c>
      <c r="AH598">
        <v>18.416897076086201</v>
      </c>
      <c r="AI598">
        <v>93.428635007004999</v>
      </c>
      <c r="AJ598">
        <v>96.708026309990302</v>
      </c>
      <c r="AK598">
        <v>18.577094557506602</v>
      </c>
      <c r="AL598">
        <v>89.868160057494293</v>
      </c>
      <c r="AM598">
        <v>93.590647404299602</v>
      </c>
      <c r="AN598">
        <v>0.99999997749896097</v>
      </c>
    </row>
    <row r="599" spans="1:40" x14ac:dyDescent="0.3">
      <c r="A599" t="str">
        <f>"20200111160416686"</f>
        <v>20200111160416686</v>
      </c>
      <c r="B599" t="str">
        <f>"1578729856681769"</f>
        <v>1578729856681769</v>
      </c>
      <c r="C599" t="s">
        <v>40</v>
      </c>
      <c r="D599">
        <v>4.7485200000000001</v>
      </c>
      <c r="E599">
        <v>0.48095660000000001</v>
      </c>
      <c r="F599" t="s">
        <v>44</v>
      </c>
      <c r="G599">
        <v>-288.9579</v>
      </c>
      <c r="H599">
        <v>-0.05</v>
      </c>
      <c r="I599">
        <v>369.91239999999999</v>
      </c>
      <c r="J599">
        <v>-307.392</v>
      </c>
      <c r="K599">
        <v>1.060934</v>
      </c>
      <c r="L599">
        <v>367.65710000000001</v>
      </c>
      <c r="M599">
        <v>0.99988480000000002</v>
      </c>
      <c r="N599">
        <v>0</v>
      </c>
      <c r="O599">
        <v>4.4885919999999996E-3</v>
      </c>
      <c r="P599">
        <v>0.99764280000000005</v>
      </c>
      <c r="Q599">
        <v>-1.217361E-2</v>
      </c>
      <c r="R599">
        <v>6.7531010000000002E-2</v>
      </c>
      <c r="S599">
        <v>2.9805299999999999</v>
      </c>
      <c r="T599">
        <v>-0.1779713</v>
      </c>
      <c r="U599">
        <v>0.36138920000000002</v>
      </c>
      <c r="V599">
        <v>-6.3051940000000001E-2</v>
      </c>
      <c r="W599">
        <v>2.297225E-3</v>
      </c>
      <c r="X599">
        <v>0.99800759999999999</v>
      </c>
      <c r="Y599">
        <v>-0.1157155</v>
      </c>
      <c r="Z599">
        <v>3.172312E-3</v>
      </c>
      <c r="AA599">
        <v>0.99327730000000003</v>
      </c>
      <c r="AB599">
        <v>38</v>
      </c>
      <c r="AC599">
        <v>18.434100000000001</v>
      </c>
      <c r="AD599">
        <v>-1.1109340000000001</v>
      </c>
      <c r="AE599">
        <v>2.2552999999999699</v>
      </c>
      <c r="AF599">
        <v>-2.1647791306861</v>
      </c>
      <c r="AG599">
        <v>-1.1109340000000001</v>
      </c>
      <c r="AH599">
        <v>18.378274930644</v>
      </c>
      <c r="AI599">
        <v>93.435525110629001</v>
      </c>
      <c r="AJ599">
        <v>96.717921331118703</v>
      </c>
      <c r="AK599">
        <v>18.538646996567699</v>
      </c>
      <c r="AL599">
        <v>89.868378586749103</v>
      </c>
      <c r="AM599">
        <v>93.615017590299104</v>
      </c>
      <c r="AN599">
        <v>0.99999999701911202</v>
      </c>
    </row>
    <row r="600" spans="1:40" x14ac:dyDescent="0.3">
      <c r="A600" t="str">
        <f>"20200111160416695"</f>
        <v>20200111160416695</v>
      </c>
      <c r="B600" t="str">
        <f>"1578729856691528"</f>
        <v>1578729856691528</v>
      </c>
      <c r="C600" t="s">
        <v>40</v>
      </c>
      <c r="D600">
        <v>4.8488150000000001</v>
      </c>
      <c r="E600">
        <v>0.48080329999999899</v>
      </c>
      <c r="F600" t="s">
        <v>44</v>
      </c>
      <c r="G600">
        <v>-288.77370000000002</v>
      </c>
      <c r="H600">
        <v>-0.05</v>
      </c>
      <c r="I600">
        <v>369.92599999999999</v>
      </c>
      <c r="J600">
        <v>-307.22129999999999</v>
      </c>
      <c r="K600">
        <v>1.0608690000000001</v>
      </c>
      <c r="L600">
        <v>367.65789999999998</v>
      </c>
      <c r="M600">
        <v>0.99988569999999999</v>
      </c>
      <c r="N600">
        <v>0</v>
      </c>
      <c r="O600">
        <v>4.4921709999999997E-3</v>
      </c>
      <c r="P600">
        <v>0.99763749999999995</v>
      </c>
      <c r="Q600">
        <v>-1.2189230000000001E-2</v>
      </c>
      <c r="R600">
        <v>6.7611249999999998E-2</v>
      </c>
      <c r="S600">
        <v>2.9803160000000002</v>
      </c>
      <c r="T600">
        <v>-0.1778322</v>
      </c>
      <c r="U600">
        <v>0.3631897</v>
      </c>
      <c r="V600">
        <v>-6.3128580000000004E-2</v>
      </c>
      <c r="W600">
        <v>2.2242690000000001E-3</v>
      </c>
      <c r="X600">
        <v>0.99800290000000003</v>
      </c>
      <c r="Y600">
        <v>-0.1163111</v>
      </c>
      <c r="Z600">
        <v>3.1874210000000002E-3</v>
      </c>
      <c r="AA600">
        <v>0.99320770000000003</v>
      </c>
      <c r="AB600">
        <v>38</v>
      </c>
      <c r="AC600">
        <v>18.447599999999898</v>
      </c>
      <c r="AD600">
        <v>-1.1108690000000001</v>
      </c>
      <c r="AE600">
        <v>2.2681</v>
      </c>
      <c r="AF600">
        <v>-2.1774206184901002</v>
      </c>
      <c r="AG600">
        <v>-1.1108690000000001</v>
      </c>
      <c r="AH600">
        <v>18.391904868123198</v>
      </c>
      <c r="AI600">
        <v>93.432545491121203</v>
      </c>
      <c r="AJ600">
        <v>96.751828670034399</v>
      </c>
      <c r="AK600">
        <v>18.553634553991898</v>
      </c>
      <c r="AL600">
        <v>89.872558665745004</v>
      </c>
      <c r="AM600">
        <v>93.619416991794907</v>
      </c>
      <c r="AN600">
        <v>0.99999997669690499</v>
      </c>
    </row>
    <row r="601" spans="1:40" x14ac:dyDescent="0.3">
      <c r="A601" t="str">
        <f>"20200111160416708"</f>
        <v>20200111160416708</v>
      </c>
      <c r="B601" t="str">
        <f>"1578729856701289"</f>
        <v>1578729856701289</v>
      </c>
      <c r="C601" t="s">
        <v>40</v>
      </c>
      <c r="D601">
        <v>4.9330930000000004</v>
      </c>
      <c r="E601">
        <v>0.48060940000000002</v>
      </c>
      <c r="F601" t="s">
        <v>44</v>
      </c>
      <c r="G601">
        <v>-288.57760000000002</v>
      </c>
      <c r="H601">
        <v>-0.05</v>
      </c>
      <c r="I601">
        <v>369.9391</v>
      </c>
      <c r="J601">
        <v>-307.01870000000002</v>
      </c>
      <c r="K601">
        <v>1.060797</v>
      </c>
      <c r="L601">
        <v>367.65879999999999</v>
      </c>
      <c r="M601">
        <v>0.99988670000000002</v>
      </c>
      <c r="N601">
        <v>0</v>
      </c>
      <c r="O601">
        <v>4.4965229999999997E-3</v>
      </c>
      <c r="P601">
        <v>0.99763120000000005</v>
      </c>
      <c r="Q601">
        <v>-1.2069119999999999E-2</v>
      </c>
      <c r="R601">
        <v>6.7724430000000002E-2</v>
      </c>
      <c r="S601">
        <v>2.9802550000000001</v>
      </c>
      <c r="T601">
        <v>-0.17757579999999901</v>
      </c>
      <c r="U601">
        <v>0.36465449999999999</v>
      </c>
      <c r="V601">
        <v>-6.3237559999999998E-2</v>
      </c>
      <c r="W601">
        <v>2.2786289999999999E-3</v>
      </c>
      <c r="X601">
        <v>0.99799590000000005</v>
      </c>
      <c r="Y601">
        <v>-0.1167899</v>
      </c>
      <c r="Z601">
        <v>3.1967469999999998E-3</v>
      </c>
      <c r="AA601">
        <v>0.99315149999999996</v>
      </c>
      <c r="AB601">
        <v>38</v>
      </c>
      <c r="AC601">
        <v>18.441099999999999</v>
      </c>
      <c r="AD601">
        <v>-1.110797</v>
      </c>
      <c r="AE601">
        <v>2.2803000000000102</v>
      </c>
      <c r="AF601">
        <v>-2.18952308146046</v>
      </c>
      <c r="AG601">
        <v>-1.110797</v>
      </c>
      <c r="AH601">
        <v>18.3854657634643</v>
      </c>
      <c r="AI601">
        <v>93.433242140743801</v>
      </c>
      <c r="AJ601">
        <v>96.791362622029496</v>
      </c>
      <c r="AK601">
        <v>18.548671991249801</v>
      </c>
      <c r="AL601">
        <v>89.869444062086799</v>
      </c>
      <c r="AM601">
        <v>93.625673966661694</v>
      </c>
      <c r="AN601">
        <v>0.999999998780841</v>
      </c>
    </row>
    <row r="602" spans="1:40" x14ac:dyDescent="0.3">
      <c r="A602" t="str">
        <f>"20200111160416719"</f>
        <v>20200111160416719</v>
      </c>
      <c r="B602" t="str">
        <f>"1578729856711050"</f>
        <v>1578729856711050</v>
      </c>
      <c r="C602" t="s">
        <v>40</v>
      </c>
      <c r="D602">
        <v>4.7065400000000004</v>
      </c>
      <c r="E602">
        <v>0.48057539999999999</v>
      </c>
      <c r="F602" t="s">
        <v>44</v>
      </c>
      <c r="G602">
        <v>-288.32729999999998</v>
      </c>
      <c r="H602">
        <v>-0.05</v>
      </c>
      <c r="I602">
        <v>369.95839999999998</v>
      </c>
      <c r="J602">
        <v>-306.82279999999997</v>
      </c>
      <c r="K602">
        <v>1.060737</v>
      </c>
      <c r="L602">
        <v>367.65969999999999</v>
      </c>
      <c r="M602">
        <v>0.99988739999999998</v>
      </c>
      <c r="N602">
        <v>0</v>
      </c>
      <c r="O602">
        <v>4.5008239999999996E-3</v>
      </c>
      <c r="P602">
        <v>0.99762870000000003</v>
      </c>
      <c r="Q602">
        <v>-1.212805E-2</v>
      </c>
      <c r="R602">
        <v>6.7748829999999996E-2</v>
      </c>
      <c r="S602">
        <v>2.9801030000000002</v>
      </c>
      <c r="T602">
        <v>-0.1771017</v>
      </c>
      <c r="U602">
        <v>0.36663820000000003</v>
      </c>
      <c r="V602">
        <v>-6.3257079999999993E-2</v>
      </c>
      <c r="W602">
        <v>2.1603730000000002E-3</v>
      </c>
      <c r="X602">
        <v>0.99799490000000002</v>
      </c>
      <c r="Y602">
        <v>-0.11744300000000001</v>
      </c>
      <c r="Z602">
        <v>3.207321E-3</v>
      </c>
      <c r="AA602">
        <v>0.99307449999999997</v>
      </c>
      <c r="AB602">
        <v>38</v>
      </c>
      <c r="AC602">
        <v>18.4955</v>
      </c>
      <c r="AD602">
        <v>-1.1107370000000001</v>
      </c>
      <c r="AE602">
        <v>2.29869999999999</v>
      </c>
      <c r="AF602">
        <v>-2.2075825746734798</v>
      </c>
      <c r="AG602">
        <v>-1.1107370000000001</v>
      </c>
      <c r="AH602">
        <v>18.4401662484212</v>
      </c>
      <c r="AI602">
        <v>93.422645964112803</v>
      </c>
      <c r="AJ602">
        <v>96.826730736262505</v>
      </c>
      <c r="AK602">
        <v>18.605023213546001</v>
      </c>
      <c r="AL602">
        <v>89.876219645286994</v>
      </c>
      <c r="AM602">
        <v>93.626793767662406</v>
      </c>
      <c r="AN602">
        <v>0.99999997290381704</v>
      </c>
    </row>
    <row r="603" spans="1:40" x14ac:dyDescent="0.3">
      <c r="A603" t="str">
        <f>"20200111160416730"</f>
        <v>20200111160416730</v>
      </c>
      <c r="B603" t="str">
        <f>"1578729856721785"</f>
        <v>1578729856721785</v>
      </c>
      <c r="C603" t="s">
        <v>40</v>
      </c>
      <c r="D603">
        <v>4.7970040000000003</v>
      </c>
      <c r="E603">
        <v>0.48042800000000002</v>
      </c>
      <c r="F603" t="s">
        <v>44</v>
      </c>
      <c r="G603">
        <v>-288.16120000000001</v>
      </c>
      <c r="H603">
        <v>-0.05</v>
      </c>
      <c r="I603">
        <v>369.95650000000001</v>
      </c>
      <c r="J603">
        <v>-306.63409999999999</v>
      </c>
      <c r="K603">
        <v>1.0606789999999999</v>
      </c>
      <c r="L603">
        <v>367.66059999999999</v>
      </c>
      <c r="M603">
        <v>0.99988809999999995</v>
      </c>
      <c r="N603">
        <v>0</v>
      </c>
      <c r="O603">
        <v>4.5050799999999998E-3</v>
      </c>
      <c r="P603">
        <v>0.9976256</v>
      </c>
      <c r="Q603">
        <v>-1.2091350000000001E-2</v>
      </c>
      <c r="R603">
        <v>6.7799369999999998E-2</v>
      </c>
      <c r="S603">
        <v>2.9801030000000002</v>
      </c>
      <c r="T603">
        <v>-0.17737459999999999</v>
      </c>
      <c r="U603">
        <v>0.36679079999999997</v>
      </c>
      <c r="V603">
        <v>-6.3304189999999996E-2</v>
      </c>
      <c r="W603">
        <v>2.144637E-3</v>
      </c>
      <c r="X603">
        <v>0.99799199999999999</v>
      </c>
      <c r="Y603">
        <v>-0.1174882</v>
      </c>
      <c r="Z603">
        <v>3.2133309999999998E-3</v>
      </c>
      <c r="AA603">
        <v>0.99306910000000004</v>
      </c>
      <c r="AB603">
        <v>38</v>
      </c>
      <c r="AC603">
        <v>18.4728999999999</v>
      </c>
      <c r="AD603">
        <v>-1.110679</v>
      </c>
      <c r="AE603">
        <v>2.2959000000000098</v>
      </c>
      <c r="AF603">
        <v>-2.20479726033569</v>
      </c>
      <c r="AG603">
        <v>-1.110679</v>
      </c>
      <c r="AH603">
        <v>18.4174905251909</v>
      </c>
      <c r="AI603">
        <v>93.426672942525101</v>
      </c>
      <c r="AJ603">
        <v>96.826513998533699</v>
      </c>
      <c r="AK603">
        <v>18.582214508656399</v>
      </c>
      <c r="AL603">
        <v>89.877121260311199</v>
      </c>
      <c r="AM603">
        <v>93.629498082849693</v>
      </c>
      <c r="AN603">
        <v>1.0000000260016999</v>
      </c>
    </row>
    <row r="604" spans="1:40" x14ac:dyDescent="0.3">
      <c r="A604" t="str">
        <f>"20200111160416741"</f>
        <v>20200111160416741</v>
      </c>
      <c r="B604" t="str">
        <f>"1578729856731545"</f>
        <v>1578729856731545</v>
      </c>
      <c r="C604" t="s">
        <v>40</v>
      </c>
      <c r="D604">
        <v>4.8173029999999999</v>
      </c>
      <c r="E604">
        <v>0.48055890000000001</v>
      </c>
      <c r="F604" t="s">
        <v>44</v>
      </c>
      <c r="G604">
        <v>-287.96960000000001</v>
      </c>
      <c r="H604">
        <v>-0.05</v>
      </c>
      <c r="I604">
        <v>369.96780000000001</v>
      </c>
      <c r="J604">
        <v>-306.44240000000002</v>
      </c>
      <c r="K604">
        <v>1.060629</v>
      </c>
      <c r="L604">
        <v>367.66140000000001</v>
      </c>
      <c r="M604">
        <v>0.99988900000000003</v>
      </c>
      <c r="N604">
        <v>0</v>
      </c>
      <c r="O604">
        <v>4.5093249999999998E-3</v>
      </c>
      <c r="P604">
        <v>0.99760939999999998</v>
      </c>
      <c r="Q604">
        <v>-1.2106530000000001E-2</v>
      </c>
      <c r="R604">
        <v>6.8039210000000003E-2</v>
      </c>
      <c r="S604">
        <v>2.9799500000000001</v>
      </c>
      <c r="T604">
        <v>-0.17732979999999901</v>
      </c>
      <c r="U604">
        <v>0.36837769999999997</v>
      </c>
      <c r="V604">
        <v>-6.3539760000000001E-2</v>
      </c>
      <c r="W604">
        <v>2.0774029999999998E-3</v>
      </c>
      <c r="X604">
        <v>0.99797709999999995</v>
      </c>
      <c r="Y604">
        <v>-0.118010199999999</v>
      </c>
      <c r="Z604">
        <v>3.2277899999999999E-3</v>
      </c>
      <c r="AA604">
        <v>0.99300710000000003</v>
      </c>
      <c r="AB604">
        <v>38</v>
      </c>
      <c r="AC604">
        <v>18.472799999999999</v>
      </c>
      <c r="AD604">
        <v>-1.1106290000000001</v>
      </c>
      <c r="AE604">
        <v>2.3063999999999898</v>
      </c>
      <c r="AF604">
        <v>-2.2151839606024102</v>
      </c>
      <c r="AG604">
        <v>-1.1106290000000001</v>
      </c>
      <c r="AH604">
        <v>18.417461711657701</v>
      </c>
      <c r="AI604">
        <v>93.4262962862596</v>
      </c>
      <c r="AJ604">
        <v>96.858378417248701</v>
      </c>
      <c r="AK604">
        <v>18.5834182177373</v>
      </c>
      <c r="AL604">
        <v>89.880973484714303</v>
      </c>
      <c r="AM604">
        <v>93.643022251231002</v>
      </c>
      <c r="AN604">
        <v>0.99999995441424405</v>
      </c>
    </row>
    <row r="605" spans="1:40" x14ac:dyDescent="0.3">
      <c r="A605" t="str">
        <f>"20200111160416753"</f>
        <v>20200111160416753</v>
      </c>
      <c r="B605" t="str">
        <f>"1578729856741305"</f>
        <v>1578729856741305</v>
      </c>
      <c r="C605" t="s">
        <v>40</v>
      </c>
      <c r="D605">
        <v>4.8218220000000001</v>
      </c>
      <c r="E605">
        <v>0.48055890000000001</v>
      </c>
      <c r="F605" t="s">
        <v>44</v>
      </c>
      <c r="G605">
        <v>-287.92540000000002</v>
      </c>
      <c r="H605">
        <v>-0.05</v>
      </c>
      <c r="I605">
        <v>369.94690000000003</v>
      </c>
      <c r="J605">
        <v>-306.26029999999997</v>
      </c>
      <c r="K605">
        <v>1.0605850000000001</v>
      </c>
      <c r="L605">
        <v>367.66219999999998</v>
      </c>
      <c r="M605">
        <v>0.99988949999999999</v>
      </c>
      <c r="N605">
        <v>0</v>
      </c>
      <c r="O605">
        <v>4.5135180000000002E-3</v>
      </c>
      <c r="P605">
        <v>0.99761480000000002</v>
      </c>
      <c r="Q605">
        <v>-1.1666279999999999E-2</v>
      </c>
      <c r="R605">
        <v>6.8033800000000005E-2</v>
      </c>
      <c r="S605">
        <v>2.9799500000000001</v>
      </c>
      <c r="T605">
        <v>-0.17873420000000001</v>
      </c>
      <c r="U605">
        <v>0.36779790000000001</v>
      </c>
      <c r="V605">
        <v>-6.3529710000000003E-2</v>
      </c>
      <c r="W605">
        <v>2.4727009999999999E-3</v>
      </c>
      <c r="X605">
        <v>0.99797689999999994</v>
      </c>
      <c r="Y605">
        <v>-0.117812899999999</v>
      </c>
      <c r="Z605">
        <v>3.2472080000000001E-3</v>
      </c>
      <c r="AA605">
        <v>0.99303050000000004</v>
      </c>
      <c r="AB605">
        <v>38</v>
      </c>
      <c r="AC605">
        <v>18.334899999999902</v>
      </c>
      <c r="AD605">
        <v>-1.1105849999999999</v>
      </c>
      <c r="AE605">
        <v>2.2847000000000399</v>
      </c>
      <c r="AF605">
        <v>-2.1939868850700699</v>
      </c>
      <c r="AG605">
        <v>-1.1105849999999999</v>
      </c>
      <c r="AH605">
        <v>18.2789862920012</v>
      </c>
      <c r="AI605">
        <v>93.452155120808499</v>
      </c>
      <c r="AJ605">
        <v>96.844344775401694</v>
      </c>
      <c r="AK605">
        <v>18.443652495025301</v>
      </c>
      <c r="AL605">
        <v>89.858324526541395</v>
      </c>
      <c r="AM605">
        <v>93.642448318580193</v>
      </c>
      <c r="AN605">
        <v>1.00000001561826</v>
      </c>
    </row>
    <row r="606" spans="1:40" x14ac:dyDescent="0.3">
      <c r="A606" t="str">
        <f>"20200111160416765"</f>
        <v>20200111160416765</v>
      </c>
      <c r="B606" t="str">
        <f>"1578729856761801"</f>
        <v>1578729856761801</v>
      </c>
      <c r="C606" t="s">
        <v>40</v>
      </c>
      <c r="D606">
        <v>4.8454550000000003</v>
      </c>
      <c r="E606">
        <v>0.52486599999999894</v>
      </c>
      <c r="F606" t="s">
        <v>44</v>
      </c>
      <c r="G606">
        <v>-287.60239999999999</v>
      </c>
      <c r="H606">
        <v>-0.05</v>
      </c>
      <c r="I606">
        <v>369.96570000000003</v>
      </c>
      <c r="J606">
        <v>-306.05470000000003</v>
      </c>
      <c r="K606">
        <v>1.0605420000000001</v>
      </c>
      <c r="L606">
        <v>367.66309999999999</v>
      </c>
      <c r="M606">
        <v>0.99989030000000001</v>
      </c>
      <c r="N606">
        <v>0</v>
      </c>
      <c r="O606">
        <v>4.5180400000000001E-3</v>
      </c>
      <c r="P606">
        <v>0.99762079999999997</v>
      </c>
      <c r="Q606">
        <v>-1.155773E-2</v>
      </c>
      <c r="R606">
        <v>6.7967250000000007E-2</v>
      </c>
      <c r="S606">
        <v>2.9800420000000001</v>
      </c>
      <c r="T606">
        <v>-0.17738329999999999</v>
      </c>
      <c r="U606">
        <v>0.36791990000000002</v>
      </c>
      <c r="V606">
        <v>-6.3458799999999996E-2</v>
      </c>
      <c r="W606">
        <v>2.5323049999999999E-3</v>
      </c>
      <c r="X606">
        <v>0.99798129999999996</v>
      </c>
      <c r="Y606">
        <v>-0.1178478</v>
      </c>
      <c r="Z606">
        <v>3.2233660000000001E-3</v>
      </c>
      <c r="AA606">
        <v>0.99302639999999998</v>
      </c>
      <c r="AB606">
        <v>38</v>
      </c>
      <c r="AC606">
        <v>18.452300000000001</v>
      </c>
      <c r="AD606">
        <v>-1.1105419999999999</v>
      </c>
      <c r="AE606">
        <v>2.3026000000000399</v>
      </c>
      <c r="AF606">
        <v>-2.2113130281453199</v>
      </c>
      <c r="AG606">
        <v>-1.1105419999999999</v>
      </c>
      <c r="AH606">
        <v>18.396900918892499</v>
      </c>
      <c r="AI606">
        <v>93.429879218812502</v>
      </c>
      <c r="AJ606">
        <v>96.854086632825101</v>
      </c>
      <c r="AK606">
        <v>18.562574505217601</v>
      </c>
      <c r="AL606">
        <v>89.854909463756101</v>
      </c>
      <c r="AM606">
        <v>93.638377653245001</v>
      </c>
      <c r="AN606">
        <v>1.0000000535078699</v>
      </c>
    </row>
    <row r="607" spans="1:40" x14ac:dyDescent="0.3">
      <c r="A607" t="str">
        <f>"20200111160416777"</f>
        <v>20200111160416777</v>
      </c>
      <c r="B607" t="str">
        <f>"1578729856771560"</f>
        <v>1578729856771560</v>
      </c>
      <c r="C607" t="s">
        <v>40</v>
      </c>
      <c r="D607">
        <v>4.8875159999999997</v>
      </c>
      <c r="E607">
        <v>0.52834169999999903</v>
      </c>
      <c r="F607" t="s">
        <v>42</v>
      </c>
      <c r="G607">
        <v>-305.00839999999999</v>
      </c>
      <c r="H607">
        <v>0.98663540000000005</v>
      </c>
      <c r="I607">
        <v>367.66879999999998</v>
      </c>
      <c r="J607">
        <v>-305.84390000000002</v>
      </c>
      <c r="K607">
        <v>1.0605039999999999</v>
      </c>
      <c r="L607">
        <v>367.66410000000002</v>
      </c>
      <c r="M607">
        <v>0.99989090000000003</v>
      </c>
      <c r="N607">
        <v>0</v>
      </c>
      <c r="O607">
        <v>4.5227729999999999E-3</v>
      </c>
      <c r="P607">
        <v>0.99762139999999999</v>
      </c>
      <c r="Q607">
        <v>-1.1302390000000001E-2</v>
      </c>
      <c r="R607">
        <v>6.7999470000000006E-2</v>
      </c>
      <c r="S607">
        <v>3.0036010000000002</v>
      </c>
      <c r="T607">
        <v>-0.21232999999999999</v>
      </c>
      <c r="U607">
        <v>1.672363E-2</v>
      </c>
      <c r="V607">
        <v>-6.3486360000000006E-2</v>
      </c>
      <c r="W607">
        <v>2.7421120000000001E-3</v>
      </c>
      <c r="X607">
        <v>0.9979789</v>
      </c>
      <c r="Y607">
        <v>-1.053226E-3</v>
      </c>
      <c r="Z607">
        <v>-2.8217139999999998E-4</v>
      </c>
      <c r="AA607">
        <v>0.99999939999999998</v>
      </c>
      <c r="AB607">
        <v>38</v>
      </c>
      <c r="AC607">
        <v>0.835500000000024</v>
      </c>
      <c r="AD607">
        <v>-7.3868600000000104E-2</v>
      </c>
      <c r="AE607">
        <v>4.6999999999570701E-3</v>
      </c>
      <c r="AF607">
        <v>-9.1365979503471302E-4</v>
      </c>
      <c r="AG607">
        <v>-7.3868600000000104E-2</v>
      </c>
      <c r="AH607">
        <v>0.82903256783088597</v>
      </c>
      <c r="AI607">
        <v>95.091728811909704</v>
      </c>
      <c r="AJ607">
        <v>90.063144478279398</v>
      </c>
      <c r="AK607">
        <v>0.83231748952214901</v>
      </c>
      <c r="AL607">
        <v>89.842888352422705</v>
      </c>
      <c r="AM607">
        <v>93.639962274483295</v>
      </c>
      <c r="AN607">
        <v>0.99999996096473898</v>
      </c>
    </row>
    <row r="608" spans="1:40" x14ac:dyDescent="0.3">
      <c r="A608" t="str">
        <f>"20200111160416789"</f>
        <v>20200111160416789</v>
      </c>
      <c r="B608" t="str">
        <f>"1578729856781321"</f>
        <v>1578729856781321</v>
      </c>
      <c r="C608" t="s">
        <v>40</v>
      </c>
      <c r="D608">
        <v>4.8478719999999997</v>
      </c>
      <c r="E608">
        <v>0.53063509999999903</v>
      </c>
      <c r="F608" t="s">
        <v>44</v>
      </c>
      <c r="G608">
        <v>-289.4513</v>
      </c>
      <c r="H608">
        <v>-0.05</v>
      </c>
      <c r="I608">
        <v>367.6028</v>
      </c>
      <c r="J608">
        <v>-305.649</v>
      </c>
      <c r="K608">
        <v>1.06047</v>
      </c>
      <c r="L608">
        <v>367.66500000000002</v>
      </c>
      <c r="M608">
        <v>0.99989139999999999</v>
      </c>
      <c r="N608">
        <v>0</v>
      </c>
      <c r="O608">
        <v>4.5269309999999997E-3</v>
      </c>
      <c r="P608">
        <v>0.99762280000000003</v>
      </c>
      <c r="Q608">
        <v>-1.106028E-2</v>
      </c>
      <c r="R608">
        <v>6.8018800000000004E-2</v>
      </c>
      <c r="S608">
        <v>3.005646</v>
      </c>
      <c r="T608">
        <v>-0.20361480000000001</v>
      </c>
      <c r="U608">
        <v>-1.1230469999999999E-2</v>
      </c>
      <c r="V608">
        <v>-6.3501559999999999E-2</v>
      </c>
      <c r="W608">
        <v>2.94429E-3</v>
      </c>
      <c r="X608">
        <v>0.99797740000000001</v>
      </c>
      <c r="Y608">
        <v>8.2344889999999994E-3</v>
      </c>
      <c r="Z608">
        <v>-5.8494949999999895E-4</v>
      </c>
      <c r="AA608">
        <v>0.99996589999999996</v>
      </c>
      <c r="AB608">
        <v>38</v>
      </c>
      <c r="AC608">
        <v>16.197699999999902</v>
      </c>
      <c r="AD608">
        <v>-1.1104700000000001</v>
      </c>
      <c r="AE608">
        <v>-6.22000000000184E-2</v>
      </c>
      <c r="AF608">
        <v>0.134898418773437</v>
      </c>
      <c r="AG608">
        <v>-1.1104700000000001</v>
      </c>
      <c r="AH608">
        <v>16.121480962134498</v>
      </c>
      <c r="AI608">
        <v>93.940251315215093</v>
      </c>
      <c r="AJ608">
        <v>89.520581905930797</v>
      </c>
      <c r="AK608">
        <v>16.160244107585498</v>
      </c>
      <c r="AL608">
        <v>89.831304366268498</v>
      </c>
      <c r="AM608">
        <v>93.640836873524805</v>
      </c>
      <c r="AN608">
        <v>1.0000000039383901</v>
      </c>
    </row>
    <row r="609" spans="1:40" x14ac:dyDescent="0.3">
      <c r="A609" t="str">
        <f>"20200111160416800"</f>
        <v>20200111160416800</v>
      </c>
      <c r="B609" t="str">
        <f>"1578729856791081"</f>
        <v>1578729856791081</v>
      </c>
      <c r="C609" t="s">
        <v>40</v>
      </c>
      <c r="D609">
        <v>4.8009250000000003</v>
      </c>
      <c r="E609">
        <v>0.53224090000000002</v>
      </c>
      <c r="F609" t="s">
        <v>44</v>
      </c>
      <c r="G609">
        <v>-288.27199999999999</v>
      </c>
      <c r="H609">
        <v>-0.05</v>
      </c>
      <c r="I609">
        <v>367.49020000000002</v>
      </c>
      <c r="J609">
        <v>-305.4522</v>
      </c>
      <c r="K609">
        <v>1.0604370000000001</v>
      </c>
      <c r="L609">
        <v>367.66590000000002</v>
      </c>
      <c r="M609">
        <v>0.99989189999999994</v>
      </c>
      <c r="N609">
        <v>0</v>
      </c>
      <c r="O609">
        <v>4.5310749999999999E-3</v>
      </c>
      <c r="P609">
        <v>0.99763820000000003</v>
      </c>
      <c r="Q609">
        <v>-1.0634029999999999E-2</v>
      </c>
      <c r="R609">
        <v>6.7860740000000003E-2</v>
      </c>
      <c r="S609">
        <v>3.0070800000000002</v>
      </c>
      <c r="T609">
        <v>-0.19216649999999999</v>
      </c>
      <c r="U609">
        <v>-3.024292E-2</v>
      </c>
      <c r="V609">
        <v>-6.3339670000000001E-2</v>
      </c>
      <c r="W609">
        <v>3.3333870000000002E-3</v>
      </c>
      <c r="X609">
        <v>0.99798640000000005</v>
      </c>
      <c r="Y609">
        <v>1.4548999999999999E-2</v>
      </c>
      <c r="Z609">
        <v>-7.5367299999999995E-4</v>
      </c>
      <c r="AA609">
        <v>0.99989380000000005</v>
      </c>
      <c r="AB609">
        <v>38</v>
      </c>
      <c r="AC609">
        <v>17.180199999999999</v>
      </c>
      <c r="AD609">
        <v>-1.1104369999999999</v>
      </c>
      <c r="AE609">
        <v>-0.17570000000000599</v>
      </c>
      <c r="AF609">
        <v>0.25249585984318201</v>
      </c>
      <c r="AG609">
        <v>-1.1104369999999999</v>
      </c>
      <c r="AH609">
        <v>17.107764741846601</v>
      </c>
      <c r="AI609">
        <v>93.713362314090801</v>
      </c>
      <c r="AJ609">
        <v>89.154425080442095</v>
      </c>
      <c r="AK609">
        <v>17.145624484181798</v>
      </c>
      <c r="AL609">
        <v>89.8090106282459</v>
      </c>
      <c r="AM609">
        <v>93.631547182854703</v>
      </c>
      <c r="AN609">
        <v>0.99999993992477798</v>
      </c>
    </row>
    <row r="610" spans="1:40" x14ac:dyDescent="0.3">
      <c r="A610" t="str">
        <f>"20200111160416812"</f>
        <v>20200111160416812</v>
      </c>
      <c r="B610" t="str">
        <f>"1578729856801818"</f>
        <v>1578729856801818</v>
      </c>
      <c r="C610" t="s">
        <v>40</v>
      </c>
      <c r="D610">
        <v>4.8452390000000003</v>
      </c>
      <c r="E610">
        <v>0.53361269999999905</v>
      </c>
      <c r="F610" t="s">
        <v>44</v>
      </c>
      <c r="G610">
        <v>-287.34179999999998</v>
      </c>
      <c r="H610">
        <v>-0.05</v>
      </c>
      <c r="I610">
        <v>367.4008</v>
      </c>
      <c r="J610">
        <v>-305.25510000000003</v>
      </c>
      <c r="K610">
        <v>1.060411</v>
      </c>
      <c r="L610">
        <v>367.66669999999999</v>
      </c>
      <c r="M610">
        <v>0.99989220000000001</v>
      </c>
      <c r="N610">
        <v>0</v>
      </c>
      <c r="O610">
        <v>4.5354929999999998E-3</v>
      </c>
      <c r="P610">
        <v>0.99763329999999995</v>
      </c>
      <c r="Q610">
        <v>-1.047615E-2</v>
      </c>
      <c r="R610">
        <v>6.7955870000000002E-2</v>
      </c>
      <c r="S610">
        <v>3.0081479999999998</v>
      </c>
      <c r="T610">
        <v>-0.18444440000000001</v>
      </c>
      <c r="U610">
        <v>-4.4036869999999999E-2</v>
      </c>
      <c r="V610">
        <v>-6.3429589999999994E-2</v>
      </c>
      <c r="W610">
        <v>3.4559349999999998E-3</v>
      </c>
      <c r="X610">
        <v>0.99798039999999999</v>
      </c>
      <c r="Y610">
        <v>1.9128490000000001E-2</v>
      </c>
      <c r="Z610">
        <v>-8.6369589999999905E-4</v>
      </c>
      <c r="AA610">
        <v>0.9998167</v>
      </c>
      <c r="AB610">
        <v>38</v>
      </c>
      <c r="AC610">
        <v>17.9133</v>
      </c>
      <c r="AD610">
        <v>-1.110411</v>
      </c>
      <c r="AE610">
        <v>-0.26589999999998698</v>
      </c>
      <c r="AF610">
        <v>0.34582229775467399</v>
      </c>
      <c r="AG610">
        <v>-1.110411</v>
      </c>
      <c r="AH610">
        <v>17.8433612169969</v>
      </c>
      <c r="AI610">
        <v>93.5603171593268</v>
      </c>
      <c r="AJ610">
        <v>88.889689136833596</v>
      </c>
      <c r="AK610">
        <v>17.881223257114499</v>
      </c>
      <c r="AL610">
        <v>89.801989129451798</v>
      </c>
      <c r="AM610">
        <v>93.636710679272696</v>
      </c>
      <c r="AN610">
        <v>1.00000006757922</v>
      </c>
    </row>
    <row r="611" spans="1:40" x14ac:dyDescent="0.3">
      <c r="A611" t="str">
        <f>"20200111160416825"</f>
        <v>20200111160416825</v>
      </c>
      <c r="B611" t="str">
        <f>"1578729856821337"</f>
        <v>1578729856821337</v>
      </c>
      <c r="C611" t="s">
        <v>40</v>
      </c>
      <c r="D611">
        <v>4.8454329999999999</v>
      </c>
      <c r="E611">
        <v>0.53538469999999905</v>
      </c>
      <c r="F611" t="s">
        <v>44</v>
      </c>
      <c r="G611">
        <v>-286.69549999999998</v>
      </c>
      <c r="H611">
        <v>-0.05</v>
      </c>
      <c r="I611">
        <v>367.327</v>
      </c>
      <c r="J611">
        <v>-305.04149999999998</v>
      </c>
      <c r="K611">
        <v>1.0603830000000001</v>
      </c>
      <c r="L611">
        <v>367.66770000000002</v>
      </c>
      <c r="M611">
        <v>0.99989280000000003</v>
      </c>
      <c r="N611">
        <v>0</v>
      </c>
      <c r="O611">
        <v>4.5404540000000002E-3</v>
      </c>
      <c r="P611">
        <v>0.9976642</v>
      </c>
      <c r="Q611">
        <v>-1.0285300000000001E-2</v>
      </c>
      <c r="R611">
        <v>6.7531839999999996E-2</v>
      </c>
      <c r="S611">
        <v>3.0089419999999998</v>
      </c>
      <c r="T611">
        <v>-0.18002370000000001</v>
      </c>
      <c r="U611">
        <v>-5.5084229999999998E-2</v>
      </c>
      <c r="V611">
        <v>-6.3000780000000006E-2</v>
      </c>
      <c r="W611">
        <v>3.6109050000000002E-3</v>
      </c>
      <c r="X611">
        <v>0.99800690000000003</v>
      </c>
      <c r="Y611">
        <v>2.279486E-2</v>
      </c>
      <c r="Z611">
        <v>-9.5265379999999998E-4</v>
      </c>
      <c r="AA611">
        <v>0.99973970000000001</v>
      </c>
      <c r="AB611">
        <v>38</v>
      </c>
      <c r="AC611">
        <v>18.346</v>
      </c>
      <c r="AD611">
        <v>-1.1103829999999999</v>
      </c>
      <c r="AE611">
        <v>-0.34070000000002598</v>
      </c>
      <c r="AF611">
        <v>0.42245671049460198</v>
      </c>
      <c r="AG611">
        <v>-1.1103829999999999</v>
      </c>
      <c r="AH611">
        <v>18.2773329892463</v>
      </c>
      <c r="AI611">
        <v>93.475629490706396</v>
      </c>
      <c r="AJ611">
        <v>88.675918555177404</v>
      </c>
      <c r="AK611">
        <v>18.315903507026899</v>
      </c>
      <c r="AL611">
        <v>89.793109924305597</v>
      </c>
      <c r="AM611">
        <v>93.612094680362603</v>
      </c>
      <c r="AN611">
        <v>0.99999995468156699</v>
      </c>
    </row>
    <row r="612" spans="1:40" x14ac:dyDescent="0.3">
      <c r="A612" t="str">
        <f>"20200111160416837"</f>
        <v>20200111160416837</v>
      </c>
      <c r="B612" t="str">
        <f>"1578729856831097"</f>
        <v>1578729856831097</v>
      </c>
      <c r="C612" t="s">
        <v>40</v>
      </c>
      <c r="D612">
        <v>4.879016</v>
      </c>
      <c r="E612">
        <v>0.53604490000000005</v>
      </c>
      <c r="F612" t="s">
        <v>42</v>
      </c>
      <c r="G612">
        <v>-303.98669999999998</v>
      </c>
      <c r="H612">
        <v>0.99953780000000003</v>
      </c>
      <c r="I612">
        <v>367.64280000000002</v>
      </c>
      <c r="J612">
        <v>-304.82080000000002</v>
      </c>
      <c r="K612">
        <v>1.060362</v>
      </c>
      <c r="L612">
        <v>367.66879999999998</v>
      </c>
      <c r="M612">
        <v>0.99989329999999998</v>
      </c>
      <c r="N612">
        <v>0</v>
      </c>
      <c r="O612">
        <v>4.5452210000000003E-3</v>
      </c>
      <c r="P612">
        <v>0.99767110000000003</v>
      </c>
      <c r="Q612">
        <v>-1.001927E-2</v>
      </c>
      <c r="R612">
        <v>6.7470580000000002E-2</v>
      </c>
      <c r="S612">
        <v>3.009979</v>
      </c>
      <c r="T612">
        <v>-0.17374579999999901</v>
      </c>
      <c r="U612">
        <v>-7.0709229999999998E-2</v>
      </c>
      <c r="V612">
        <v>-6.2934580000000004E-2</v>
      </c>
      <c r="W612">
        <v>3.8431239999999998E-3</v>
      </c>
      <c r="X612">
        <v>0.99801030000000002</v>
      </c>
      <c r="Y612">
        <v>2.7975179999999999E-2</v>
      </c>
      <c r="Z612">
        <v>-1.0687649999999999E-3</v>
      </c>
      <c r="AA612">
        <v>0.99960800000000005</v>
      </c>
      <c r="AB612">
        <v>38</v>
      </c>
      <c r="AC612">
        <v>0.83410000000003404</v>
      </c>
      <c r="AD612">
        <v>-6.0824200000000002E-2</v>
      </c>
      <c r="AE612">
        <v>-2.5999999999953598E-2</v>
      </c>
      <c r="AF612">
        <v>2.9633837347756001E-2</v>
      </c>
      <c r="AG612">
        <v>-6.0824200000000002E-2</v>
      </c>
      <c r="AH612">
        <v>0.82956616718229403</v>
      </c>
      <c r="AI612">
        <v>94.190787522312604</v>
      </c>
      <c r="AJ612">
        <v>87.954144923898696</v>
      </c>
      <c r="AK612">
        <v>0.83232071544274</v>
      </c>
      <c r="AL612">
        <v>89.779804682513699</v>
      </c>
      <c r="AM612">
        <v>93.608296933831994</v>
      </c>
      <c r="AN612">
        <v>1.0000000449339701</v>
      </c>
    </row>
    <row r="613" spans="1:40" x14ac:dyDescent="0.3">
      <c r="A613" t="str">
        <f>"20200111160416852"</f>
        <v>20200111160416852</v>
      </c>
      <c r="B613" t="str">
        <f>"1578729856841833"</f>
        <v>1578729856841833</v>
      </c>
      <c r="C613" t="s">
        <v>40</v>
      </c>
      <c r="D613">
        <v>4.840992</v>
      </c>
      <c r="E613">
        <v>0.53646090000000002</v>
      </c>
      <c r="F613" t="s">
        <v>44</v>
      </c>
      <c r="G613">
        <v>-285.4074</v>
      </c>
      <c r="H613">
        <v>-0.05</v>
      </c>
      <c r="I613">
        <v>367.17809999999997</v>
      </c>
      <c r="J613">
        <v>-304.5813</v>
      </c>
      <c r="K613">
        <v>1.0603419999999999</v>
      </c>
      <c r="L613">
        <v>367.66989999999998</v>
      </c>
      <c r="M613">
        <v>0.99989380000000005</v>
      </c>
      <c r="N613">
        <v>0</v>
      </c>
      <c r="O613">
        <v>4.5507029999999997E-3</v>
      </c>
      <c r="P613">
        <v>0.9977066</v>
      </c>
      <c r="Q613">
        <v>-9.8504290000000008E-3</v>
      </c>
      <c r="R613">
        <v>6.6968689999999997E-2</v>
      </c>
      <c r="S613">
        <v>3.0104060000000001</v>
      </c>
      <c r="T613">
        <v>-0.1721821</v>
      </c>
      <c r="U613">
        <v>-7.6080320000000007E-2</v>
      </c>
      <c r="V613">
        <v>-6.2427249999999997E-2</v>
      </c>
      <c r="W613">
        <v>3.9780680000000004E-3</v>
      </c>
      <c r="X613">
        <v>0.99804159999999997</v>
      </c>
      <c r="Y613">
        <v>2.9757760000000001E-2</v>
      </c>
      <c r="Z613">
        <v>-1.1102320000000001E-3</v>
      </c>
      <c r="AA613">
        <v>0.99955649999999996</v>
      </c>
      <c r="AB613">
        <v>38</v>
      </c>
      <c r="AC613">
        <v>19.1739</v>
      </c>
      <c r="AD613">
        <v>-1.1103419999999999</v>
      </c>
      <c r="AE613">
        <v>-0.49180000000001201</v>
      </c>
      <c r="AF613">
        <v>0.577123907381482</v>
      </c>
      <c r="AG613">
        <v>-1.1103419999999999</v>
      </c>
      <c r="AH613">
        <v>19.1074293781971</v>
      </c>
      <c r="AI613">
        <v>93.324232858601803</v>
      </c>
      <c r="AJ613">
        <v>88.269954922424404</v>
      </c>
      <c r="AK613">
        <v>19.148362561958798</v>
      </c>
      <c r="AL613">
        <v>89.7720728943181</v>
      </c>
      <c r="AM613">
        <v>93.579173592986606</v>
      </c>
      <c r="AN613">
        <v>1.0000000109490601</v>
      </c>
    </row>
    <row r="614" spans="1:40" x14ac:dyDescent="0.3">
      <c r="A614" t="str">
        <f>"20200111160416865"</f>
        <v>20200111160416865</v>
      </c>
      <c r="B614" t="str">
        <f>"1578729856861354"</f>
        <v>1578729856861354</v>
      </c>
      <c r="C614" t="s">
        <v>40</v>
      </c>
      <c r="D614">
        <v>4.8414080000000004</v>
      </c>
      <c r="E614">
        <v>0.53696239999999995</v>
      </c>
      <c r="F614" t="s">
        <v>44</v>
      </c>
      <c r="G614">
        <v>-285.12900000000002</v>
      </c>
      <c r="H614">
        <v>-0.05</v>
      </c>
      <c r="I614">
        <v>367.14589999999998</v>
      </c>
      <c r="J614">
        <v>-304.36320000000001</v>
      </c>
      <c r="K614">
        <v>1.060327</v>
      </c>
      <c r="L614">
        <v>367.67079999999999</v>
      </c>
      <c r="M614">
        <v>0.99989399999999995</v>
      </c>
      <c r="N614">
        <v>0</v>
      </c>
      <c r="O614">
        <v>4.5559110000000002E-3</v>
      </c>
      <c r="P614">
        <v>0.99771949999999998</v>
      </c>
      <c r="Q614">
        <v>-9.5009970000000006E-3</v>
      </c>
      <c r="R614">
        <v>6.6827739999999997E-2</v>
      </c>
      <c r="S614">
        <v>3.0105900000000001</v>
      </c>
      <c r="T614">
        <v>-0.17184569999999999</v>
      </c>
      <c r="U614">
        <v>-8.1085210000000005E-2</v>
      </c>
      <c r="V614">
        <v>-6.2281530000000002E-2</v>
      </c>
      <c r="W614">
        <v>4.2984989999999999E-3</v>
      </c>
      <c r="X614">
        <v>0.99804939999999998</v>
      </c>
      <c r="Y614">
        <v>3.1419460000000003E-2</v>
      </c>
      <c r="Z614">
        <v>-1.1556489999999999E-3</v>
      </c>
      <c r="AA614">
        <v>0.99950559999999999</v>
      </c>
      <c r="AB614">
        <v>38</v>
      </c>
      <c r="AC614">
        <v>19.234199999999898</v>
      </c>
      <c r="AD614">
        <v>-1.1103270000000001</v>
      </c>
      <c r="AE614">
        <v>-0.52490000000000203</v>
      </c>
      <c r="AF614">
        <v>0.610499337529118</v>
      </c>
      <c r="AG614">
        <v>-1.1103270000000001</v>
      </c>
      <c r="AH614">
        <v>19.1677820625546</v>
      </c>
      <c r="AI614">
        <v>93.313575995539594</v>
      </c>
      <c r="AJ614">
        <v>88.175729749876695</v>
      </c>
      <c r="AK614">
        <v>19.2096175049282</v>
      </c>
      <c r="AL614">
        <v>89.753713399343894</v>
      </c>
      <c r="AM614">
        <v>93.570812760734896</v>
      </c>
      <c r="AN614">
        <v>1.0000000354565699</v>
      </c>
    </row>
    <row r="615" spans="1:40" x14ac:dyDescent="0.3">
      <c r="A615" t="str">
        <f>"20200111160416876"</f>
        <v>20200111160416876</v>
      </c>
      <c r="B615" t="str">
        <f>"1578729856871113"</f>
        <v>1578729856871113</v>
      </c>
      <c r="C615" t="s">
        <v>40</v>
      </c>
      <c r="D615">
        <v>5.0016109999999996</v>
      </c>
      <c r="E615">
        <v>0.53692090000000003</v>
      </c>
      <c r="F615" t="s">
        <v>42</v>
      </c>
      <c r="G615">
        <v>-303.31099999999998</v>
      </c>
      <c r="H615">
        <v>1.000394</v>
      </c>
      <c r="I615">
        <v>367.64089999999999</v>
      </c>
      <c r="J615">
        <v>-304.16000000000003</v>
      </c>
      <c r="K615">
        <v>1.060311</v>
      </c>
      <c r="L615">
        <v>367.67180000000002</v>
      </c>
      <c r="M615">
        <v>0.99989439999999996</v>
      </c>
      <c r="N615">
        <v>0</v>
      </c>
      <c r="O615">
        <v>4.560789E-3</v>
      </c>
      <c r="P615">
        <v>0.99774510000000005</v>
      </c>
      <c r="Q615">
        <v>-9.3652030000000008E-3</v>
      </c>
      <c r="R615">
        <v>6.6462740000000006E-2</v>
      </c>
      <c r="S615">
        <v>3.0109560000000002</v>
      </c>
      <c r="T615">
        <v>-0.17161879999999999</v>
      </c>
      <c r="U615">
        <v>-8.5388179999999994E-2</v>
      </c>
      <c r="V615">
        <v>-6.1910769999999997E-2</v>
      </c>
      <c r="W615">
        <v>4.409601E-3</v>
      </c>
      <c r="X615">
        <v>0.99807199999999996</v>
      </c>
      <c r="Y615">
        <v>3.2846189999999997E-2</v>
      </c>
      <c r="Z615">
        <v>-1.1948600000000001E-3</v>
      </c>
      <c r="AA615">
        <v>0.99945969999999995</v>
      </c>
      <c r="AB615">
        <v>38</v>
      </c>
      <c r="AC615">
        <v>0.84900000000004605</v>
      </c>
      <c r="AD615">
        <v>-5.9916999999999998E-2</v>
      </c>
      <c r="AE615">
        <v>-3.0900000000031E-2</v>
      </c>
      <c r="AF615">
        <v>3.46000548021713E-2</v>
      </c>
      <c r="AG615">
        <v>-5.9916999999999998E-2</v>
      </c>
      <c r="AH615">
        <v>0.84464890369769696</v>
      </c>
      <c r="AI615">
        <v>94.054214522341596</v>
      </c>
      <c r="AJ615">
        <v>87.654256874149993</v>
      </c>
      <c r="AK615">
        <v>0.84747801222157704</v>
      </c>
      <c r="AL615">
        <v>89.747347667862797</v>
      </c>
      <c r="AM615">
        <v>93.549530164539405</v>
      </c>
      <c r="AN615">
        <v>1.00000005260348</v>
      </c>
    </row>
    <row r="616" spans="1:40" x14ac:dyDescent="0.3">
      <c r="A616" t="str">
        <f>"20200111160416889"</f>
        <v>20200111160416889</v>
      </c>
      <c r="B616" t="str">
        <f>"1578729856881849"</f>
        <v>1578729856881849</v>
      </c>
      <c r="C616" t="s">
        <v>40</v>
      </c>
      <c r="D616">
        <v>4.8414859999999997</v>
      </c>
      <c r="E616">
        <v>0.53711089999999995</v>
      </c>
      <c r="F616" t="s">
        <v>44</v>
      </c>
      <c r="G616">
        <v>-284.52120000000002</v>
      </c>
      <c r="H616">
        <v>-0.05</v>
      </c>
      <c r="I616">
        <v>367.10989999999998</v>
      </c>
      <c r="J616">
        <v>-303.95069999999998</v>
      </c>
      <c r="K616">
        <v>1.060297</v>
      </c>
      <c r="L616">
        <v>367.6728</v>
      </c>
      <c r="M616">
        <v>0.99989470000000003</v>
      </c>
      <c r="N616">
        <v>0</v>
      </c>
      <c r="O616">
        <v>4.5657240000000002E-3</v>
      </c>
      <c r="P616">
        <v>0.99773559999999994</v>
      </c>
      <c r="Q616">
        <v>-9.1631079999999997E-3</v>
      </c>
      <c r="R616">
        <v>6.6631679999999999E-2</v>
      </c>
      <c r="S616">
        <v>3.0108950000000001</v>
      </c>
      <c r="T616">
        <v>-0.1702254</v>
      </c>
      <c r="U616">
        <v>-8.6151119999999998E-2</v>
      </c>
      <c r="V616">
        <v>-6.2074909999999997E-2</v>
      </c>
      <c r="W616">
        <v>4.5874590000000003E-3</v>
      </c>
      <c r="X616">
        <v>0.99806090000000003</v>
      </c>
      <c r="Y616">
        <v>3.3105309999999999E-2</v>
      </c>
      <c r="Z616">
        <v>-1.19279E-3</v>
      </c>
      <c r="AA616">
        <v>0.99945119999999998</v>
      </c>
      <c r="AB616">
        <v>38</v>
      </c>
      <c r="AC616">
        <v>19.429499999999901</v>
      </c>
      <c r="AD616">
        <v>-1.1102969999999901</v>
      </c>
      <c r="AE616">
        <v>-0.56290000000001295</v>
      </c>
      <c r="AF616">
        <v>0.64949311606780102</v>
      </c>
      <c r="AG616">
        <v>-1.1102969999999901</v>
      </c>
      <c r="AH616">
        <v>19.363547737009501</v>
      </c>
      <c r="AI616">
        <v>93.279879956490205</v>
      </c>
      <c r="AJ616">
        <v>88.078902250875203</v>
      </c>
      <c r="AK616">
        <v>19.4062253336262</v>
      </c>
      <c r="AL616">
        <v>89.737157025464199</v>
      </c>
      <c r="AM616">
        <v>93.558956126909706</v>
      </c>
      <c r="AN616">
        <v>0.99999994967019601</v>
      </c>
    </row>
    <row r="617" spans="1:40" x14ac:dyDescent="0.3">
      <c r="A617" t="str">
        <f>"20200111160416902"</f>
        <v>20200111160416902</v>
      </c>
      <c r="B617" t="str">
        <f>"1578729856891609"</f>
        <v>1578729856891609</v>
      </c>
      <c r="C617" t="s">
        <v>40</v>
      </c>
      <c r="D617">
        <v>4.8895720000000003</v>
      </c>
      <c r="E617">
        <v>0.53743459999999998</v>
      </c>
      <c r="F617" t="s">
        <v>44</v>
      </c>
      <c r="G617">
        <v>-284.36599999999999</v>
      </c>
      <c r="H617">
        <v>-0.05</v>
      </c>
      <c r="I617">
        <v>367.10719999999998</v>
      </c>
      <c r="J617">
        <v>-303.74220000000003</v>
      </c>
      <c r="K617">
        <v>1.060287</v>
      </c>
      <c r="L617">
        <v>367.6737</v>
      </c>
      <c r="M617">
        <v>0.99989499999999998</v>
      </c>
      <c r="N617">
        <v>0</v>
      </c>
      <c r="O617">
        <v>4.5705900000000002E-3</v>
      </c>
      <c r="P617">
        <v>0.99773849999999997</v>
      </c>
      <c r="Q617">
        <v>-9.0149589999999995E-3</v>
      </c>
      <c r="R617">
        <v>6.6609660000000001E-2</v>
      </c>
      <c r="S617">
        <v>3.0110169999999998</v>
      </c>
      <c r="T617">
        <v>-0.17070009999999999</v>
      </c>
      <c r="U617">
        <v>-8.6944579999999994E-2</v>
      </c>
      <c r="V617">
        <v>-6.2048220000000001E-2</v>
      </c>
      <c r="W617">
        <v>4.713343E-3</v>
      </c>
      <c r="X617">
        <v>0.998062</v>
      </c>
      <c r="Y617">
        <v>3.3371400000000002E-2</v>
      </c>
      <c r="Z617">
        <v>-1.2038699999999999E-3</v>
      </c>
      <c r="AA617">
        <v>0.99944230000000001</v>
      </c>
      <c r="AB617">
        <v>38</v>
      </c>
      <c r="AC617">
        <v>19.376200000000001</v>
      </c>
      <c r="AD617">
        <v>-1.110287</v>
      </c>
      <c r="AE617">
        <v>-0.56650000000001899</v>
      </c>
      <c r="AF617">
        <v>0.65292110511596102</v>
      </c>
      <c r="AG617">
        <v>-1.110287</v>
      </c>
      <c r="AH617">
        <v>19.3100582087338</v>
      </c>
      <c r="AI617">
        <v>93.288886008332597</v>
      </c>
      <c r="AJ617">
        <v>88.063424955353099</v>
      </c>
      <c r="AK617">
        <v>19.352968537580001</v>
      </c>
      <c r="AL617">
        <v>89.729944332448497</v>
      </c>
      <c r="AM617">
        <v>93.557425922368296</v>
      </c>
      <c r="AN617">
        <v>0.99999997652570105</v>
      </c>
    </row>
    <row r="618" spans="1:40" x14ac:dyDescent="0.3">
      <c r="A618" t="str">
        <f>"20200111160416915"</f>
        <v>20200111160416915</v>
      </c>
      <c r="B618" t="str">
        <f>"1578729856911130"</f>
        <v>1578729856911130</v>
      </c>
      <c r="C618" t="s">
        <v>40</v>
      </c>
      <c r="D618">
        <v>4.8638849999999998</v>
      </c>
      <c r="E618">
        <v>0.537906</v>
      </c>
      <c r="F618" t="s">
        <v>44</v>
      </c>
      <c r="G618">
        <v>-284.32760000000002</v>
      </c>
      <c r="H618">
        <v>-0.05</v>
      </c>
      <c r="I618">
        <v>367.09500000000003</v>
      </c>
      <c r="J618">
        <v>-303.5283</v>
      </c>
      <c r="K618">
        <v>1.0602769999999999</v>
      </c>
      <c r="L618">
        <v>367.67469999999997</v>
      </c>
      <c r="M618">
        <v>0.99989539999999999</v>
      </c>
      <c r="N618">
        <v>0</v>
      </c>
      <c r="O618">
        <v>4.575267E-3</v>
      </c>
      <c r="P618">
        <v>0.99773659999999997</v>
      </c>
      <c r="Q618">
        <v>-8.5803570000000003E-3</v>
      </c>
      <c r="R618">
        <v>6.6695850000000001E-2</v>
      </c>
      <c r="S618">
        <v>3.0112299999999999</v>
      </c>
      <c r="T618">
        <v>-0.17220739999999901</v>
      </c>
      <c r="U618">
        <v>-8.9752199999999893E-2</v>
      </c>
      <c r="V618">
        <v>-6.2129480000000001E-2</v>
      </c>
      <c r="W618">
        <v>5.1267559999999997E-3</v>
      </c>
      <c r="X618">
        <v>0.99805489999999997</v>
      </c>
      <c r="Y618">
        <v>3.4302480000000003E-2</v>
      </c>
      <c r="Z618">
        <v>-1.2412429999999999E-3</v>
      </c>
      <c r="AA618">
        <v>0.99941069999999999</v>
      </c>
      <c r="AB618">
        <v>38</v>
      </c>
      <c r="AC618">
        <v>19.200699999999902</v>
      </c>
      <c r="AD618">
        <v>-1.110277</v>
      </c>
      <c r="AE618">
        <v>-0.57969999999994504</v>
      </c>
      <c r="AF618">
        <v>0.66532789330851905</v>
      </c>
      <c r="AG618">
        <v>-1.110277</v>
      </c>
      <c r="AH618">
        <v>19.133926434563399</v>
      </c>
      <c r="AI618">
        <v>93.318954829626506</v>
      </c>
      <c r="AJ618">
        <v>88.008504543778898</v>
      </c>
      <c r="AK618">
        <v>19.177656713624501</v>
      </c>
      <c r="AL618">
        <v>89.7062572229148</v>
      </c>
      <c r="AM618">
        <v>93.562098109137807</v>
      </c>
      <c r="AN618">
        <v>0.99999996966308102</v>
      </c>
    </row>
    <row r="619" spans="1:40" x14ac:dyDescent="0.3">
      <c r="A619" t="str">
        <f>"20200111160416928"</f>
        <v>20200111160416928</v>
      </c>
      <c r="B619" t="str">
        <f>"1578729856920890"</f>
        <v>1578729856920890</v>
      </c>
      <c r="C619" t="s">
        <v>40</v>
      </c>
      <c r="D619">
        <v>5.0714110000000003</v>
      </c>
      <c r="E619">
        <v>0.53780169999999905</v>
      </c>
      <c r="F619" t="s">
        <v>44</v>
      </c>
      <c r="G619">
        <v>-284.59879999999998</v>
      </c>
      <c r="H619">
        <v>-0.05</v>
      </c>
      <c r="I619">
        <v>367.09289999999999</v>
      </c>
      <c r="J619">
        <v>-303.29989999999998</v>
      </c>
      <c r="K619">
        <v>1.060265</v>
      </c>
      <c r="L619">
        <v>367.67579999999998</v>
      </c>
      <c r="M619">
        <v>0.9998956</v>
      </c>
      <c r="N619">
        <v>0</v>
      </c>
      <c r="O619">
        <v>4.5804230000000001E-3</v>
      </c>
      <c r="P619">
        <v>0.99773310000000004</v>
      </c>
      <c r="Q619">
        <v>-8.246817E-3</v>
      </c>
      <c r="R619">
        <v>6.6789890000000005E-2</v>
      </c>
      <c r="S619">
        <v>3.0114139999999998</v>
      </c>
      <c r="T619">
        <v>-0.176629799999999</v>
      </c>
      <c r="U619">
        <v>-9.2559810000000006E-2</v>
      </c>
      <c r="V619">
        <v>-6.2218839999999997E-2</v>
      </c>
      <c r="W619">
        <v>5.4386030000000002E-3</v>
      </c>
      <c r="X619">
        <v>0.99804769999999998</v>
      </c>
      <c r="Y619">
        <v>3.5231829999999999E-2</v>
      </c>
      <c r="Z619">
        <v>-1.3004970000000001E-3</v>
      </c>
      <c r="AA619">
        <v>0.99937830000000005</v>
      </c>
      <c r="AB619">
        <v>38</v>
      </c>
      <c r="AC619">
        <v>18.7011</v>
      </c>
      <c r="AD619">
        <v>-1.1102650000000001</v>
      </c>
      <c r="AE619">
        <v>-0.58289999999999498</v>
      </c>
      <c r="AF619">
        <v>0.66621496590295903</v>
      </c>
      <c r="AG619">
        <v>-1.1102650000000001</v>
      </c>
      <c r="AH619">
        <v>18.632623418436999</v>
      </c>
      <c r="AI619">
        <v>93.407887736641896</v>
      </c>
      <c r="AJ619">
        <v>87.952244790544498</v>
      </c>
      <c r="AK619">
        <v>18.6775583576736</v>
      </c>
      <c r="AL619">
        <v>89.688389461420897</v>
      </c>
      <c r="AM619">
        <v>93.567233875105799</v>
      </c>
      <c r="AN619">
        <v>0.99999998696441295</v>
      </c>
    </row>
    <row r="620" spans="1:40" x14ac:dyDescent="0.3">
      <c r="A620" t="str">
        <f>"20200111160416941"</f>
        <v>20200111160416941</v>
      </c>
      <c r="B620" t="str">
        <f>"1578729856931625"</f>
        <v>1578729856931625</v>
      </c>
      <c r="C620" t="s">
        <v>40</v>
      </c>
      <c r="D620">
        <v>4.8862589999999999</v>
      </c>
      <c r="E620">
        <v>0.53793329999999995</v>
      </c>
      <c r="F620" t="s">
        <v>42</v>
      </c>
      <c r="G620">
        <v>-302.29020000000003</v>
      </c>
      <c r="H620">
        <v>1.0009170000000001</v>
      </c>
      <c r="I620">
        <v>367.64460000000003</v>
      </c>
      <c r="J620">
        <v>-303.0754</v>
      </c>
      <c r="K620">
        <v>1.060254</v>
      </c>
      <c r="L620">
        <v>367.67680000000001</v>
      </c>
      <c r="M620">
        <v>0.9998958</v>
      </c>
      <c r="N620">
        <v>0</v>
      </c>
      <c r="O620">
        <v>4.585446E-3</v>
      </c>
      <c r="P620">
        <v>0.99775069999999999</v>
      </c>
      <c r="Q620">
        <v>-7.8600370000000003E-3</v>
      </c>
      <c r="R620">
        <v>6.6571279999999997E-2</v>
      </c>
      <c r="S620">
        <v>3.011536</v>
      </c>
      <c r="T620">
        <v>-0.17740139999999999</v>
      </c>
      <c r="U620">
        <v>-9.1766360000000005E-2</v>
      </c>
      <c r="V620">
        <v>-6.1995040000000001E-2</v>
      </c>
      <c r="W620">
        <v>5.8062390000000004E-3</v>
      </c>
      <c r="X620">
        <v>0.99805960000000005</v>
      </c>
      <c r="Y620">
        <v>3.4972389999999999E-2</v>
      </c>
      <c r="Z620">
        <v>-1.298783E-3</v>
      </c>
      <c r="AA620">
        <v>0.99938740000000004</v>
      </c>
      <c r="AB620">
        <v>38</v>
      </c>
      <c r="AC620">
        <v>0.78519999999997403</v>
      </c>
      <c r="AD620">
        <v>-5.9336999999999897E-2</v>
      </c>
      <c r="AE620">
        <v>-3.2199999999988897E-2</v>
      </c>
      <c r="AF620">
        <v>3.5597544773029802E-2</v>
      </c>
      <c r="AG620">
        <v>-5.9336999999999897E-2</v>
      </c>
      <c r="AH620">
        <v>0.78059381250169102</v>
      </c>
      <c r="AI620">
        <v>94.342494833439801</v>
      </c>
      <c r="AJ620">
        <v>87.388940407233406</v>
      </c>
      <c r="AK620">
        <v>0.78365474852054195</v>
      </c>
      <c r="AL620">
        <v>89.667325151630095</v>
      </c>
      <c r="AM620">
        <v>93.554393285339799</v>
      </c>
      <c r="AN620">
        <v>1.00000003127404</v>
      </c>
    </row>
    <row r="621" spans="1:40" x14ac:dyDescent="0.3">
      <c r="A621" t="str">
        <f>"20200111160416954"</f>
        <v>20200111160416954</v>
      </c>
      <c r="B621" t="str">
        <f>"1578729856941386"</f>
        <v>1578729856941386</v>
      </c>
      <c r="C621" t="s">
        <v>40</v>
      </c>
      <c r="D621">
        <v>4.8332649999999999</v>
      </c>
      <c r="E621">
        <v>0.53801880000000002</v>
      </c>
      <c r="F621" t="s">
        <v>44</v>
      </c>
      <c r="G621">
        <v>-284.4042</v>
      </c>
      <c r="H621">
        <v>-0.05</v>
      </c>
      <c r="I621">
        <v>367.10199999999998</v>
      </c>
      <c r="J621">
        <v>-302.88560000000001</v>
      </c>
      <c r="K621">
        <v>1.060246</v>
      </c>
      <c r="L621">
        <v>367.67759999999998</v>
      </c>
      <c r="M621">
        <v>0.99989600000000001</v>
      </c>
      <c r="N621">
        <v>0</v>
      </c>
      <c r="O621">
        <v>4.5892479999999998E-3</v>
      </c>
      <c r="P621">
        <v>0.99775959999999997</v>
      </c>
      <c r="Q621">
        <v>-7.9761929999999995E-3</v>
      </c>
      <c r="R621">
        <v>6.6426029999999997E-2</v>
      </c>
      <c r="S621">
        <v>3.011536</v>
      </c>
      <c r="T621">
        <v>-0.17907609999999999</v>
      </c>
      <c r="U621">
        <v>-9.27124E-2</v>
      </c>
      <c r="V621">
        <v>-6.1846129999999999E-2</v>
      </c>
      <c r="W621">
        <v>5.675111E-3</v>
      </c>
      <c r="X621">
        <v>0.9980696</v>
      </c>
      <c r="Y621">
        <v>3.5287989999999998E-2</v>
      </c>
      <c r="Z621">
        <v>-1.320615E-3</v>
      </c>
      <c r="AA621">
        <v>0.9993763</v>
      </c>
      <c r="AB621">
        <v>38</v>
      </c>
      <c r="AC621">
        <v>18.481400000000001</v>
      </c>
      <c r="AD621">
        <v>-1.1102459999999901</v>
      </c>
      <c r="AE621">
        <v>-0.57560000000000799</v>
      </c>
      <c r="AF621">
        <v>0.65804510966641805</v>
      </c>
      <c r="AG621">
        <v>-1.1102459999999901</v>
      </c>
      <c r="AH621">
        <v>18.412181135291799</v>
      </c>
      <c r="AI621">
        <v>93.448534281478203</v>
      </c>
      <c r="AJ621">
        <v>87.953139475144894</v>
      </c>
      <c r="AK621">
        <v>18.457358524601201</v>
      </c>
      <c r="AL621">
        <v>89.674838358547603</v>
      </c>
      <c r="AM621">
        <v>93.545842124320203</v>
      </c>
      <c r="AN621">
        <v>1.0000000385624901</v>
      </c>
    </row>
    <row r="622" spans="1:40" x14ac:dyDescent="0.3">
      <c r="A622" t="str">
        <f>"20200111160416965"</f>
        <v>20200111160416965</v>
      </c>
      <c r="B622" t="str">
        <f>"1578729856961881"</f>
        <v>1578729856961881</v>
      </c>
      <c r="C622" t="s">
        <v>40</v>
      </c>
      <c r="D622">
        <v>4.8656870000000003</v>
      </c>
      <c r="E622">
        <v>0.53838599999999903</v>
      </c>
      <c r="F622" t="s">
        <v>44</v>
      </c>
      <c r="G622">
        <v>-284.5471</v>
      </c>
      <c r="H622">
        <v>-0.05</v>
      </c>
      <c r="I622">
        <v>367.1071</v>
      </c>
      <c r="J622">
        <v>-302.67149999999998</v>
      </c>
      <c r="K622">
        <v>1.0602339999999999</v>
      </c>
      <c r="L622">
        <v>367.67860000000002</v>
      </c>
      <c r="M622">
        <v>0.99989620000000001</v>
      </c>
      <c r="N622">
        <v>0</v>
      </c>
      <c r="O622">
        <v>4.5938940000000003E-3</v>
      </c>
      <c r="P622">
        <v>0.99776160000000003</v>
      </c>
      <c r="Q622">
        <v>-8.1870180000000008E-3</v>
      </c>
      <c r="R622">
        <v>6.6370940000000003E-2</v>
      </c>
      <c r="S622">
        <v>3.0115050000000001</v>
      </c>
      <c r="T622">
        <v>-0.1823224</v>
      </c>
      <c r="U622">
        <v>-9.3688960000000002E-2</v>
      </c>
      <c r="V622">
        <v>-6.1786239999999999E-2</v>
      </c>
      <c r="W622">
        <v>5.4476630000000002E-3</v>
      </c>
      <c r="X622">
        <v>0.99807449999999998</v>
      </c>
      <c r="Y622">
        <v>3.5613520000000003E-2</v>
      </c>
      <c r="Z622">
        <v>-1.35464299999999E-3</v>
      </c>
      <c r="AA622">
        <v>0.99936469999999999</v>
      </c>
      <c r="AB622">
        <v>38</v>
      </c>
      <c r="AC622">
        <v>18.124399999999898</v>
      </c>
      <c r="AD622">
        <v>-1.1102339999999999</v>
      </c>
      <c r="AE622">
        <v>-0.571500000000014</v>
      </c>
      <c r="AF622">
        <v>0.65231802005637096</v>
      </c>
      <c r="AG622">
        <v>-1.1102339999999999</v>
      </c>
      <c r="AH622">
        <v>18.0539060208054</v>
      </c>
      <c r="AI622">
        <v>93.516712194712994</v>
      </c>
      <c r="AJ622">
        <v>87.930707196101494</v>
      </c>
      <c r="AK622">
        <v>18.0997696378192</v>
      </c>
      <c r="AL622">
        <v>89.687870346175004</v>
      </c>
      <c r="AM622">
        <v>93.542399834374905</v>
      </c>
      <c r="AN622">
        <v>0.999999962017874</v>
      </c>
    </row>
    <row r="623" spans="1:40" x14ac:dyDescent="0.3">
      <c r="A623" t="str">
        <f>"20200111160416977"</f>
        <v>20200111160416977</v>
      </c>
      <c r="B623" t="str">
        <f>"1578729856971641"</f>
        <v>1578729856971641</v>
      </c>
      <c r="C623" t="s">
        <v>40</v>
      </c>
      <c r="D623">
        <v>4.8866100000000001</v>
      </c>
      <c r="E623">
        <v>0.53855220000000004</v>
      </c>
      <c r="F623" t="s">
        <v>42</v>
      </c>
      <c r="G623">
        <v>-301.63040000000001</v>
      </c>
      <c r="H623">
        <v>0.99550280000000002</v>
      </c>
      <c r="I623">
        <v>367.64490000000001</v>
      </c>
      <c r="J623">
        <v>-302.4717</v>
      </c>
      <c r="K623">
        <v>1.0602259999999999</v>
      </c>
      <c r="L623">
        <v>367.67950000000002</v>
      </c>
      <c r="M623">
        <v>0.99989649999999997</v>
      </c>
      <c r="N623">
        <v>0</v>
      </c>
      <c r="O623">
        <v>4.5980420000000001E-3</v>
      </c>
      <c r="P623">
        <v>0.99776699999999996</v>
      </c>
      <c r="Q623">
        <v>-8.1936359999999903E-3</v>
      </c>
      <c r="R623">
        <v>6.6286339999999999E-2</v>
      </c>
      <c r="S623">
        <v>3.0115970000000001</v>
      </c>
      <c r="T623">
        <v>-0.1875088</v>
      </c>
      <c r="U623">
        <v>-9.6649170000000006E-2</v>
      </c>
      <c r="V623">
        <v>-6.169724E-2</v>
      </c>
      <c r="W623">
        <v>5.4276350000000001E-3</v>
      </c>
      <c r="X623">
        <v>0.99808010000000003</v>
      </c>
      <c r="Y623">
        <v>3.6591899999999997E-2</v>
      </c>
      <c r="Z623">
        <v>-1.4237179999999901E-3</v>
      </c>
      <c r="AA623">
        <v>0.99932929999999998</v>
      </c>
      <c r="AB623">
        <v>38</v>
      </c>
      <c r="AC623">
        <v>0.84129999999998895</v>
      </c>
      <c r="AD623">
        <v>-6.4723199999999995E-2</v>
      </c>
      <c r="AE623">
        <v>-3.4600000000011698E-2</v>
      </c>
      <c r="AF623">
        <v>3.8242367749928299E-2</v>
      </c>
      <c r="AG623">
        <v>-6.4723199999999995E-2</v>
      </c>
      <c r="AH623">
        <v>0.836191282141453</v>
      </c>
      <c r="AI623">
        <v>94.421402040084402</v>
      </c>
      <c r="AJ623">
        <v>87.381459745249103</v>
      </c>
      <c r="AK623">
        <v>0.83956383416553104</v>
      </c>
      <c r="AL623">
        <v>89.689017878488599</v>
      </c>
      <c r="AM623">
        <v>93.537290352691201</v>
      </c>
      <c r="AN623">
        <v>0.999999947330659</v>
      </c>
    </row>
    <row r="624" spans="1:40" x14ac:dyDescent="0.3">
      <c r="A624" t="str">
        <f>"20200111160416989"</f>
        <v>20200111160416989</v>
      </c>
      <c r="B624" t="str">
        <f>"1578729856981401"</f>
        <v>1578729856981401</v>
      </c>
      <c r="C624" t="s">
        <v>40</v>
      </c>
      <c r="D624">
        <v>4.8340269999999999</v>
      </c>
      <c r="E624">
        <v>0.53871539999999996</v>
      </c>
      <c r="F624" t="s">
        <v>44</v>
      </c>
      <c r="G624">
        <v>-284.8261</v>
      </c>
      <c r="H624">
        <v>-0.05</v>
      </c>
      <c r="I624">
        <v>367.10500000000002</v>
      </c>
      <c r="J624">
        <v>-302.27030000000002</v>
      </c>
      <c r="K624">
        <v>1.060219</v>
      </c>
      <c r="L624">
        <v>367.68049999999999</v>
      </c>
      <c r="M624">
        <v>0.99989649999999997</v>
      </c>
      <c r="N624">
        <v>0</v>
      </c>
      <c r="O624">
        <v>4.6025429999999997E-3</v>
      </c>
      <c r="P624">
        <v>0.99775899999999995</v>
      </c>
      <c r="Q624">
        <v>-8.4405859999999999E-3</v>
      </c>
      <c r="R624">
        <v>6.6377950000000005E-2</v>
      </c>
      <c r="S624">
        <v>3.0116879999999999</v>
      </c>
      <c r="T624">
        <v>-0.18948899999999999</v>
      </c>
      <c r="U624">
        <v>-9.8052979999999998E-2</v>
      </c>
      <c r="V624">
        <v>-6.178442E-2</v>
      </c>
      <c r="W624">
        <v>5.1677629999999997E-3</v>
      </c>
      <c r="X624">
        <v>0.99807610000000002</v>
      </c>
      <c r="Y624">
        <v>3.7058130000000002E-2</v>
      </c>
      <c r="Z624">
        <v>-1.453602E-3</v>
      </c>
      <c r="AA624">
        <v>0.99931199999999998</v>
      </c>
      <c r="AB624">
        <v>38</v>
      </c>
      <c r="AC624">
        <v>17.444199999999999</v>
      </c>
      <c r="AD624">
        <v>-1.1102190000000001</v>
      </c>
      <c r="AE624">
        <v>-0.57549999999997603</v>
      </c>
      <c r="AF624">
        <v>0.65314631116918898</v>
      </c>
      <c r="AG624">
        <v>-1.1102190000000001</v>
      </c>
      <c r="AH624">
        <v>17.371080068130802</v>
      </c>
      <c r="AI624">
        <v>93.654334051081307</v>
      </c>
      <c r="AJ624">
        <v>87.846713809323404</v>
      </c>
      <c r="AK624">
        <v>17.418771743873499</v>
      </c>
      <c r="AL624">
        <v>89.703907661081203</v>
      </c>
      <c r="AM624">
        <v>93.542290089596506</v>
      </c>
      <c r="AN624">
        <v>0.99999996086018395</v>
      </c>
    </row>
    <row r="625" spans="1:40" x14ac:dyDescent="0.3">
      <c r="A625" t="str">
        <f>"20200111160416999"</f>
        <v>20200111160416999</v>
      </c>
      <c r="B625" t="str">
        <f>"1578729856991161"</f>
        <v>1578729856991161</v>
      </c>
      <c r="C625" t="s">
        <v>40</v>
      </c>
      <c r="D625">
        <v>4.8605739999999997</v>
      </c>
      <c r="E625">
        <v>0.53887229999999997</v>
      </c>
      <c r="F625" t="s">
        <v>42</v>
      </c>
      <c r="G625">
        <v>-301.29169999999999</v>
      </c>
      <c r="H625">
        <v>0.99779300000000004</v>
      </c>
      <c r="I625">
        <v>367.64819999999997</v>
      </c>
      <c r="J625">
        <v>-302.08760000000001</v>
      </c>
      <c r="K625">
        <v>1.0602100000000001</v>
      </c>
      <c r="L625">
        <v>367.68130000000002</v>
      </c>
      <c r="M625">
        <v>0.99989669999999997</v>
      </c>
      <c r="N625">
        <v>0</v>
      </c>
      <c r="O625">
        <v>4.6064349999999999E-3</v>
      </c>
      <c r="P625">
        <v>0.99776419999999999</v>
      </c>
      <c r="Q625">
        <v>-8.6540339999999997E-3</v>
      </c>
      <c r="R625">
        <v>6.627036E-2</v>
      </c>
      <c r="S625">
        <v>3.0116580000000002</v>
      </c>
      <c r="T625">
        <v>-0.19218869999999999</v>
      </c>
      <c r="U625">
        <v>-9.9151610000000001E-2</v>
      </c>
      <c r="V625">
        <v>-6.167313E-2</v>
      </c>
      <c r="W625">
        <v>4.9427000000000004E-3</v>
      </c>
      <c r="X625">
        <v>0.99808419999999998</v>
      </c>
      <c r="Y625">
        <v>3.7423390000000001E-2</v>
      </c>
      <c r="Z625">
        <v>-1.486163E-3</v>
      </c>
      <c r="AA625">
        <v>0.99929840000000003</v>
      </c>
      <c r="AB625">
        <v>38</v>
      </c>
      <c r="AC625">
        <v>0.79590000000001704</v>
      </c>
      <c r="AD625">
        <v>-6.2417E-2</v>
      </c>
      <c r="AE625">
        <v>-3.3100000000047203E-2</v>
      </c>
      <c r="AF625">
        <v>3.6541898515793501E-2</v>
      </c>
      <c r="AG625">
        <v>-6.2417E-2</v>
      </c>
      <c r="AH625">
        <v>0.79088337958926602</v>
      </c>
      <c r="AI625">
        <v>94.507675817299997</v>
      </c>
      <c r="AJ625">
        <v>87.354592794715998</v>
      </c>
      <c r="AK625">
        <v>0.794183676706262</v>
      </c>
      <c r="AL625">
        <v>89.716803008191505</v>
      </c>
      <c r="AM625">
        <v>93.535897072571899</v>
      </c>
      <c r="AN625">
        <v>1.0000000377684599</v>
      </c>
    </row>
    <row r="626" spans="1:40" x14ac:dyDescent="0.3">
      <c r="A626" t="str">
        <f>"20200111160417011"</f>
        <v>20200111160417011</v>
      </c>
      <c r="B626" t="str">
        <f>"1578729857000921"</f>
        <v>1578729857000921</v>
      </c>
      <c r="C626" t="s">
        <v>40</v>
      </c>
      <c r="D626">
        <v>4.8603969999999999</v>
      </c>
      <c r="E626">
        <v>0.53908100000000003</v>
      </c>
      <c r="F626" t="s">
        <v>44</v>
      </c>
      <c r="G626">
        <v>-284.92829999999998</v>
      </c>
      <c r="H626">
        <v>-0.05</v>
      </c>
      <c r="I626">
        <v>367.10860000000002</v>
      </c>
      <c r="J626">
        <v>-301.89359999999999</v>
      </c>
      <c r="K626">
        <v>1.060203</v>
      </c>
      <c r="L626">
        <v>367.68220000000002</v>
      </c>
      <c r="M626">
        <v>0.99989680000000003</v>
      </c>
      <c r="N626">
        <v>0</v>
      </c>
      <c r="O626">
        <v>4.6109209999999996E-3</v>
      </c>
      <c r="P626">
        <v>0.99776450000000005</v>
      </c>
      <c r="Q626">
        <v>-9.0126640000000001E-3</v>
      </c>
      <c r="R626">
        <v>6.6220600000000004E-2</v>
      </c>
      <c r="S626">
        <v>3.0117189999999998</v>
      </c>
      <c r="T626">
        <v>-0.19485859999999999</v>
      </c>
      <c r="U626">
        <v>-0.1005249</v>
      </c>
      <c r="V626">
        <v>-6.1618979999999997E-2</v>
      </c>
      <c r="W626">
        <v>4.5731540000000003E-3</v>
      </c>
      <c r="X626">
        <v>0.99808929999999996</v>
      </c>
      <c r="Y626">
        <v>3.7879019999999999E-2</v>
      </c>
      <c r="Z626">
        <v>-1.521735E-3</v>
      </c>
      <c r="AA626">
        <v>0.99928119999999998</v>
      </c>
      <c r="AB626">
        <v>38</v>
      </c>
      <c r="AC626">
        <v>16.965299999999999</v>
      </c>
      <c r="AD626">
        <v>-1.1102030000000001</v>
      </c>
      <c r="AE626">
        <v>-0.573599999999999</v>
      </c>
      <c r="AF626">
        <v>0.64905051633557298</v>
      </c>
      <c r="AG626">
        <v>-1.1102030000000001</v>
      </c>
      <c r="AH626">
        <v>16.890227348741401</v>
      </c>
      <c r="AI626">
        <v>93.757904541740004</v>
      </c>
      <c r="AJ626">
        <v>87.799344800242494</v>
      </c>
      <c r="AK626">
        <v>16.939114415049499</v>
      </c>
      <c r="AL626">
        <v>89.737976671697695</v>
      </c>
      <c r="AM626">
        <v>93.532782358194495</v>
      </c>
      <c r="AN626">
        <v>1.00000003160411</v>
      </c>
    </row>
    <row r="627" spans="1:40" x14ac:dyDescent="0.3">
      <c r="A627" t="str">
        <f>"20200111160417024"</f>
        <v>20200111160417024</v>
      </c>
      <c r="B627" t="str">
        <f>"1578729857021417"</f>
        <v>1578729857021417</v>
      </c>
      <c r="C627" t="s">
        <v>40</v>
      </c>
      <c r="D627">
        <v>4.8435059999999996</v>
      </c>
      <c r="E627">
        <v>0.53940529999999998</v>
      </c>
      <c r="F627" t="s">
        <v>42</v>
      </c>
      <c r="G627">
        <v>-300.95440000000002</v>
      </c>
      <c r="H627">
        <v>0.99883129999999998</v>
      </c>
      <c r="I627">
        <v>367.6499</v>
      </c>
      <c r="J627">
        <v>-301.68150000000003</v>
      </c>
      <c r="K627">
        <v>1.0601959999999999</v>
      </c>
      <c r="L627">
        <v>367.6832</v>
      </c>
      <c r="M627">
        <v>0.99989689999999998</v>
      </c>
      <c r="N627">
        <v>0</v>
      </c>
      <c r="O627">
        <v>4.6155299999999996E-3</v>
      </c>
      <c r="P627">
        <v>0.9977549</v>
      </c>
      <c r="Q627">
        <v>-9.2848129999999994E-3</v>
      </c>
      <c r="R627">
        <v>6.6326339999999998E-2</v>
      </c>
      <c r="S627">
        <v>3.0117189999999998</v>
      </c>
      <c r="T627">
        <v>-0.19717509999999999</v>
      </c>
      <c r="U627">
        <v>-0.10253909999999999</v>
      </c>
      <c r="V627">
        <v>-6.1719950000000003E-2</v>
      </c>
      <c r="W627">
        <v>4.2889629999999998E-3</v>
      </c>
      <c r="X627">
        <v>0.99808430000000004</v>
      </c>
      <c r="Y627">
        <v>3.8547600000000001E-2</v>
      </c>
      <c r="Z627">
        <v>-1.5619270000000001E-3</v>
      </c>
      <c r="AA627">
        <v>0.99925549999999996</v>
      </c>
      <c r="AB627">
        <v>38</v>
      </c>
      <c r="AC627">
        <v>0.72710000000000696</v>
      </c>
      <c r="AD627">
        <v>-6.1364699999999897E-2</v>
      </c>
      <c r="AE627">
        <v>-3.3299999999996999E-2</v>
      </c>
      <c r="AF627">
        <v>3.6397201106056598E-2</v>
      </c>
      <c r="AG627">
        <v>-6.1364699999999897E-2</v>
      </c>
      <c r="AH627">
        <v>0.72180803079129396</v>
      </c>
      <c r="AI627">
        <v>94.853194536303405</v>
      </c>
      <c r="AJ627">
        <v>87.113302842240003</v>
      </c>
      <c r="AK627">
        <v>0.72532559307475897</v>
      </c>
      <c r="AL627">
        <v>89.7542597703317</v>
      </c>
      <c r="AM627">
        <v>93.538574225506693</v>
      </c>
      <c r="AN627">
        <v>1.0000000086690499</v>
      </c>
    </row>
    <row r="628" spans="1:40" x14ac:dyDescent="0.3">
      <c r="A628" t="str">
        <f>"20200111160417036"</f>
        <v>20200111160417036</v>
      </c>
      <c r="B628" t="str">
        <f>"1578729857031177"</f>
        <v>1578729857031177</v>
      </c>
      <c r="C628" t="s">
        <v>40</v>
      </c>
      <c r="D628">
        <v>4.7851229999999996</v>
      </c>
      <c r="E628">
        <v>0.53950240000000005</v>
      </c>
      <c r="F628" t="s">
        <v>42</v>
      </c>
      <c r="G628">
        <v>-300.62520000000001</v>
      </c>
      <c r="H628">
        <v>0.99061739999999998</v>
      </c>
      <c r="I628">
        <v>367.6463</v>
      </c>
      <c r="J628">
        <v>-301.4828</v>
      </c>
      <c r="K628">
        <v>1.06019</v>
      </c>
      <c r="L628">
        <v>367.6841</v>
      </c>
      <c r="M628">
        <v>0.99989709999999998</v>
      </c>
      <c r="N628">
        <v>0</v>
      </c>
      <c r="O628">
        <v>4.6201269999999999E-3</v>
      </c>
      <c r="P628">
        <v>0.99774649999999998</v>
      </c>
      <c r="Q628">
        <v>-9.4357429999999999E-3</v>
      </c>
      <c r="R628">
        <v>6.6432469999999993E-2</v>
      </c>
      <c r="S628">
        <v>3.0119020000000001</v>
      </c>
      <c r="T628">
        <v>-0.1986185</v>
      </c>
      <c r="U628">
        <v>-0.1046448</v>
      </c>
      <c r="V628">
        <v>-6.1821359999999999E-2</v>
      </c>
      <c r="W628">
        <v>4.1277930000000003E-3</v>
      </c>
      <c r="X628">
        <v>0.99807869999999999</v>
      </c>
      <c r="Y628">
        <v>3.9245040000000002E-2</v>
      </c>
      <c r="Z628">
        <v>-1.5964900000000001E-3</v>
      </c>
      <c r="AA628">
        <v>0.99922840000000002</v>
      </c>
      <c r="AB628">
        <v>38</v>
      </c>
      <c r="AC628">
        <v>0.85759999999999004</v>
      </c>
      <c r="AD628">
        <v>-6.9572599999999804E-2</v>
      </c>
      <c r="AE628">
        <v>-3.7800000000004198E-2</v>
      </c>
      <c r="AF628">
        <v>4.1489659403580903E-2</v>
      </c>
      <c r="AG628">
        <v>-6.9572599999999804E-2</v>
      </c>
      <c r="AH628">
        <v>0.85182103006179999</v>
      </c>
      <c r="AI628">
        <v>94.663772050067806</v>
      </c>
      <c r="AJ628">
        <v>87.211497356735805</v>
      </c>
      <c r="AK628">
        <v>0.855663956097095</v>
      </c>
      <c r="AL628">
        <v>89.763494212024796</v>
      </c>
      <c r="AM628">
        <v>93.544393365855697</v>
      </c>
      <c r="AN628">
        <v>1.00000000531049</v>
      </c>
    </row>
    <row r="629" spans="1:40" x14ac:dyDescent="0.3">
      <c r="A629" t="str">
        <f>"20200111160417046"</f>
        <v>20200111160417046</v>
      </c>
      <c r="B629" t="str">
        <f>"1578729857040937"</f>
        <v>1578729857040937</v>
      </c>
      <c r="C629" t="s">
        <v>40</v>
      </c>
      <c r="D629">
        <v>4.7952719999999998</v>
      </c>
      <c r="E629">
        <v>0.53965529999999995</v>
      </c>
      <c r="F629" t="s">
        <v>44</v>
      </c>
      <c r="G629">
        <v>-284.83499999999998</v>
      </c>
      <c r="H629">
        <v>-0.05</v>
      </c>
      <c r="I629">
        <v>367.10469999999998</v>
      </c>
      <c r="J629">
        <v>-301.29860000000002</v>
      </c>
      <c r="K629">
        <v>1.0601860000000001</v>
      </c>
      <c r="L629">
        <v>367.685</v>
      </c>
      <c r="M629">
        <v>0.99989709999999998</v>
      </c>
      <c r="N629">
        <v>0</v>
      </c>
      <c r="O629">
        <v>4.6245979999999997E-3</v>
      </c>
      <c r="P629">
        <v>0.99772439999999996</v>
      </c>
      <c r="Q629">
        <v>-9.7217580000000005E-3</v>
      </c>
      <c r="R629">
        <v>6.6720150000000006E-2</v>
      </c>
      <c r="S629">
        <v>3.0118710000000002</v>
      </c>
      <c r="T629">
        <v>-0.2008528</v>
      </c>
      <c r="U629">
        <v>-0.1048279</v>
      </c>
      <c r="V629">
        <v>-6.2105090000000002E-2</v>
      </c>
      <c r="W629">
        <v>3.8326329999999998E-3</v>
      </c>
      <c r="X629">
        <v>0.99806229999999996</v>
      </c>
      <c r="Y629">
        <v>3.930823E-2</v>
      </c>
      <c r="Z629">
        <v>-1.6168249999999999E-3</v>
      </c>
      <c r="AA629">
        <v>0.99922580000000005</v>
      </c>
      <c r="AB629">
        <v>38</v>
      </c>
      <c r="AC629">
        <v>16.4636</v>
      </c>
      <c r="AD629">
        <v>-1.1101859999999999</v>
      </c>
      <c r="AE629">
        <v>-0.58030000000002202</v>
      </c>
      <c r="AF629">
        <v>0.65347058651800105</v>
      </c>
      <c r="AG629">
        <v>-1.1101859999999999</v>
      </c>
      <c r="AH629">
        <v>16.386320963666599</v>
      </c>
      <c r="AI629">
        <v>93.872841581868798</v>
      </c>
      <c r="AJ629">
        <v>87.716309984955998</v>
      </c>
      <c r="AK629">
        <v>16.436880832029502</v>
      </c>
      <c r="AL629">
        <v>89.780405776507394</v>
      </c>
      <c r="AM629">
        <v>93.560677011946893</v>
      </c>
      <c r="AN629">
        <v>1.0000000429804501</v>
      </c>
    </row>
    <row r="630" spans="1:40" x14ac:dyDescent="0.3">
      <c r="A630" t="str">
        <f>"20200111160417058"</f>
        <v>20200111160417058</v>
      </c>
      <c r="B630" t="str">
        <f>"1578729857051673"</f>
        <v>1578729857051673</v>
      </c>
      <c r="C630" t="s">
        <v>40</v>
      </c>
      <c r="D630">
        <v>4.7850570000000001</v>
      </c>
      <c r="E630">
        <v>0.53979390000000005</v>
      </c>
      <c r="F630" t="s">
        <v>42</v>
      </c>
      <c r="G630">
        <v>-300.28829999999999</v>
      </c>
      <c r="H630">
        <v>0.99225399999999997</v>
      </c>
      <c r="I630">
        <v>367.64960000000002</v>
      </c>
      <c r="J630">
        <v>-301.09910000000002</v>
      </c>
      <c r="K630">
        <v>1.060181</v>
      </c>
      <c r="L630">
        <v>367.6859</v>
      </c>
      <c r="M630">
        <v>0.99989740000000005</v>
      </c>
      <c r="N630">
        <v>0</v>
      </c>
      <c r="O630">
        <v>4.6290100000000002E-3</v>
      </c>
      <c r="P630">
        <v>0.99769660000000004</v>
      </c>
      <c r="Q630">
        <v>-9.6370450000000003E-3</v>
      </c>
      <c r="R630">
        <v>6.7148330000000006E-2</v>
      </c>
      <c r="S630">
        <v>3.0119319999999998</v>
      </c>
      <c r="T630">
        <v>-0.20257700000000001</v>
      </c>
      <c r="U630">
        <v>-0.1051025</v>
      </c>
      <c r="V630">
        <v>-6.2528639999999996E-2</v>
      </c>
      <c r="W630">
        <v>3.9084499999999999E-3</v>
      </c>
      <c r="X630">
        <v>0.99803549999999996</v>
      </c>
      <c r="Y630">
        <v>3.940105E-2</v>
      </c>
      <c r="Z630">
        <v>-1.634052E-3</v>
      </c>
      <c r="AA630">
        <v>0.99922219999999995</v>
      </c>
      <c r="AB630">
        <v>38</v>
      </c>
      <c r="AC630">
        <v>0.81080000000002805</v>
      </c>
      <c r="AD630">
        <v>-6.7926999999999904E-2</v>
      </c>
      <c r="AE630">
        <v>-3.6299999999982901E-2</v>
      </c>
      <c r="AF630">
        <v>3.97745495721386E-2</v>
      </c>
      <c r="AG630">
        <v>-6.7926999999999904E-2</v>
      </c>
      <c r="AH630">
        <v>0.80498461049211301</v>
      </c>
      <c r="AI630">
        <v>94.817512630264204</v>
      </c>
      <c r="AJ630">
        <v>87.171297513216899</v>
      </c>
      <c r="AK630">
        <v>0.80882403231593203</v>
      </c>
      <c r="AL630">
        <v>89.7760617366134</v>
      </c>
      <c r="AM630">
        <v>93.584993344431396</v>
      </c>
      <c r="AN630">
        <v>0.99999998303095095</v>
      </c>
    </row>
    <row r="631" spans="1:40" x14ac:dyDescent="0.3">
      <c r="A631" t="str">
        <f>"20200111160417070"</f>
        <v>20200111160417070</v>
      </c>
      <c r="B631" t="str">
        <f>"1578729857061433"</f>
        <v>1578729857061433</v>
      </c>
      <c r="C631" t="s">
        <v>40</v>
      </c>
      <c r="D631">
        <v>4.8494039999999998</v>
      </c>
      <c r="E631">
        <v>0.53996230000000001</v>
      </c>
      <c r="F631" t="s">
        <v>44</v>
      </c>
      <c r="G631">
        <v>-284.65730000000002</v>
      </c>
      <c r="H631">
        <v>-0.05</v>
      </c>
      <c r="I631">
        <v>367.113</v>
      </c>
      <c r="J631">
        <v>-300.90589999999997</v>
      </c>
      <c r="K631">
        <v>1.060176</v>
      </c>
      <c r="L631">
        <v>367.68680000000001</v>
      </c>
      <c r="M631">
        <v>0.99989720000000004</v>
      </c>
      <c r="N631">
        <v>0</v>
      </c>
      <c r="O631">
        <v>4.6335949999999999E-3</v>
      </c>
      <c r="P631">
        <v>0.99768319999999999</v>
      </c>
      <c r="Q631">
        <v>-9.5902720000000004E-3</v>
      </c>
      <c r="R631">
        <v>6.7353670000000004E-2</v>
      </c>
      <c r="S631">
        <v>3.0120849999999999</v>
      </c>
      <c r="T631">
        <v>-0.20338200000000001</v>
      </c>
      <c r="U631">
        <v>-0.10495</v>
      </c>
      <c r="V631">
        <v>-6.2729460000000001E-2</v>
      </c>
      <c r="W631">
        <v>3.9470729999999997E-3</v>
      </c>
      <c r="X631">
        <v>0.99802270000000004</v>
      </c>
      <c r="Y631">
        <v>3.9352619999999998E-2</v>
      </c>
      <c r="Z631">
        <v>-1.639125E-3</v>
      </c>
      <c r="AA631">
        <v>0.99922409999999995</v>
      </c>
      <c r="AB631">
        <v>38</v>
      </c>
      <c r="AC631">
        <v>16.2485999999999</v>
      </c>
      <c r="AD631">
        <v>-1.1101760000000001</v>
      </c>
      <c r="AE631">
        <v>-0.57379999999994802</v>
      </c>
      <c r="AF631">
        <v>0.64607792226763305</v>
      </c>
      <c r="AG631">
        <v>-1.1101760000000001</v>
      </c>
      <c r="AH631">
        <v>16.170373613600901</v>
      </c>
      <c r="AI631">
        <v>93.924353927427006</v>
      </c>
      <c r="AJ631">
        <v>87.711997249330807</v>
      </c>
      <c r="AK631">
        <v>16.221309757108301</v>
      </c>
      <c r="AL631">
        <v>89.773848774232107</v>
      </c>
      <c r="AM631">
        <v>93.596522915565004</v>
      </c>
      <c r="AN631">
        <v>0.99999993712622204</v>
      </c>
    </row>
    <row r="632" spans="1:40" x14ac:dyDescent="0.3">
      <c r="A632" t="str">
        <f>"20200111160417080"</f>
        <v>20200111160417080</v>
      </c>
      <c r="B632" t="str">
        <f>"1578729857071193"</f>
        <v>1578729857071193</v>
      </c>
      <c r="C632" t="s">
        <v>40</v>
      </c>
      <c r="D632">
        <v>4.7873839999999896</v>
      </c>
      <c r="E632">
        <v>0.54011940000000003</v>
      </c>
      <c r="F632" t="s">
        <v>42</v>
      </c>
      <c r="G632">
        <v>-299.94940000000003</v>
      </c>
      <c r="H632">
        <v>0.99547450000000004</v>
      </c>
      <c r="I632">
        <v>367.65309999999999</v>
      </c>
      <c r="J632">
        <v>-300.72109999999998</v>
      </c>
      <c r="K632">
        <v>1.060173</v>
      </c>
      <c r="L632">
        <v>367.68770000000001</v>
      </c>
      <c r="M632">
        <v>0.99989740000000005</v>
      </c>
      <c r="N632">
        <v>0</v>
      </c>
      <c r="O632">
        <v>4.637698E-3</v>
      </c>
      <c r="P632">
        <v>0.99765409999999999</v>
      </c>
      <c r="Q632">
        <v>-9.7445899999999992E-3</v>
      </c>
      <c r="R632">
        <v>6.7760860000000006E-2</v>
      </c>
      <c r="S632">
        <v>3.012146</v>
      </c>
      <c r="T632">
        <v>-0.2038798</v>
      </c>
      <c r="U632">
        <v>-0.1055603</v>
      </c>
      <c r="V632">
        <v>-6.3133049999999996E-2</v>
      </c>
      <c r="W632">
        <v>3.78495E-3</v>
      </c>
      <c r="X632">
        <v>0.99799789999999999</v>
      </c>
      <c r="Y632">
        <v>3.955728E-2</v>
      </c>
      <c r="Z632">
        <v>-1.65028299999999E-3</v>
      </c>
      <c r="AA632">
        <v>0.99921599999999999</v>
      </c>
      <c r="AB632">
        <v>38</v>
      </c>
      <c r="AC632">
        <v>0.77169999999995298</v>
      </c>
      <c r="AD632">
        <v>-6.4698499999999895E-2</v>
      </c>
      <c r="AE632">
        <v>-3.4600000000011698E-2</v>
      </c>
      <c r="AF632">
        <v>3.7912914185641397E-2</v>
      </c>
      <c r="AG632">
        <v>-6.4698499999999895E-2</v>
      </c>
      <c r="AH632">
        <v>0.76615673516859895</v>
      </c>
      <c r="AI632">
        <v>94.8210484459035</v>
      </c>
      <c r="AJ632">
        <v>87.167055518004702</v>
      </c>
      <c r="AK632">
        <v>0.76981778870619999</v>
      </c>
      <c r="AL632">
        <v>89.783137812459998</v>
      </c>
      <c r="AM632">
        <v>93.619690680109102</v>
      </c>
      <c r="AN632">
        <v>0.99999995812660603</v>
      </c>
    </row>
    <row r="633" spans="1:40" x14ac:dyDescent="0.3">
      <c r="A633" t="str">
        <f>"20200111160417092"</f>
        <v>20200111160417092</v>
      </c>
      <c r="B633" t="str">
        <f>"1578729857080953"</f>
        <v>1578729857080953</v>
      </c>
      <c r="C633" t="s">
        <v>40</v>
      </c>
      <c r="D633">
        <v>4.8389309999999996</v>
      </c>
      <c r="E633">
        <v>0.54011940000000003</v>
      </c>
      <c r="F633" t="s">
        <v>44</v>
      </c>
      <c r="G633">
        <v>-284.43880000000001</v>
      </c>
      <c r="H633">
        <v>-0.05</v>
      </c>
      <c r="I633">
        <v>367.11709999999999</v>
      </c>
      <c r="J633">
        <v>-300.53699999999998</v>
      </c>
      <c r="K633">
        <v>1.060171</v>
      </c>
      <c r="L633">
        <v>367.68849999999998</v>
      </c>
      <c r="M633">
        <v>0.99989740000000005</v>
      </c>
      <c r="N633">
        <v>0</v>
      </c>
      <c r="O633">
        <v>4.6419169999999997E-3</v>
      </c>
      <c r="P633">
        <v>0.99761409999999995</v>
      </c>
      <c r="Q633">
        <v>-9.8685660000000005E-3</v>
      </c>
      <c r="R633">
        <v>6.8329070000000006E-2</v>
      </c>
      <c r="S633">
        <v>3.012238</v>
      </c>
      <c r="T633">
        <v>-0.20538329999999999</v>
      </c>
      <c r="U633">
        <v>-0.1055603</v>
      </c>
      <c r="V633">
        <v>-6.369698E-2</v>
      </c>
      <c r="W633">
        <v>3.6538199999999999E-3</v>
      </c>
      <c r="X633">
        <v>0.99796260000000003</v>
      </c>
      <c r="Y633">
        <v>3.9558940000000001E-2</v>
      </c>
      <c r="Z633">
        <v>-1.6627180000000001E-3</v>
      </c>
      <c r="AA633">
        <v>0.99921579999999999</v>
      </c>
      <c r="AB633">
        <v>38</v>
      </c>
      <c r="AC633">
        <v>16.098199999999999</v>
      </c>
      <c r="AD633">
        <v>-1.110171</v>
      </c>
      <c r="AE633">
        <v>-0.57139999999998203</v>
      </c>
      <c r="AF633">
        <v>0.64307272557217499</v>
      </c>
      <c r="AG633">
        <v>-1.110171</v>
      </c>
      <c r="AH633">
        <v>16.0192849722009</v>
      </c>
      <c r="AI633">
        <v>93.961202198766102</v>
      </c>
      <c r="AJ633">
        <v>87.701172055173203</v>
      </c>
      <c r="AK633">
        <v>16.0705791183827</v>
      </c>
      <c r="AL633">
        <v>89.790651069779599</v>
      </c>
      <c r="AM633">
        <v>93.6520649397319</v>
      </c>
      <c r="AN633">
        <v>1.0000000033302301</v>
      </c>
    </row>
    <row r="634" spans="1:40" x14ac:dyDescent="0.3">
      <c r="A634" t="str">
        <f>"20200111160417104"</f>
        <v>20200111160417104</v>
      </c>
      <c r="B634" t="str">
        <f>"1578729857101449"</f>
        <v>1578729857101449</v>
      </c>
      <c r="C634" t="s">
        <v>40</v>
      </c>
      <c r="D634">
        <v>4.8861800000000004</v>
      </c>
      <c r="E634">
        <v>0.54090839999999996</v>
      </c>
      <c r="F634" t="s">
        <v>42</v>
      </c>
      <c r="G634">
        <v>-299.6123</v>
      </c>
      <c r="H634">
        <v>0.99704250000000005</v>
      </c>
      <c r="I634">
        <v>367.65640000000002</v>
      </c>
      <c r="J634">
        <v>-300.34550000000002</v>
      </c>
      <c r="K634">
        <v>1.060168</v>
      </c>
      <c r="L634">
        <v>367.68939999999998</v>
      </c>
      <c r="M634">
        <v>0.9998977</v>
      </c>
      <c r="N634">
        <v>0</v>
      </c>
      <c r="O634">
        <v>4.6460159999999898E-3</v>
      </c>
      <c r="P634">
        <v>0.99759869999999995</v>
      </c>
      <c r="Q634">
        <v>-1.019663E-2</v>
      </c>
      <c r="R634">
        <v>6.8506869999999997E-2</v>
      </c>
      <c r="S634">
        <v>3.0122990000000001</v>
      </c>
      <c r="T634">
        <v>-0.20575889999999999</v>
      </c>
      <c r="U634">
        <v>-0.1039429</v>
      </c>
      <c r="V634">
        <v>-6.3871220000000006E-2</v>
      </c>
      <c r="W634">
        <v>3.319083E-3</v>
      </c>
      <c r="X634">
        <v>0.99795259999999997</v>
      </c>
      <c r="Y634">
        <v>3.9027289999999999E-2</v>
      </c>
      <c r="Z634">
        <v>-1.6478809999999999E-3</v>
      </c>
      <c r="AA634">
        <v>0.99923680000000004</v>
      </c>
      <c r="AB634">
        <v>38</v>
      </c>
      <c r="AC634">
        <v>0.73320000000000995</v>
      </c>
      <c r="AD634">
        <v>-6.3125500000000001E-2</v>
      </c>
      <c r="AE634">
        <v>-3.2999999999958597E-2</v>
      </c>
      <c r="AF634">
        <v>3.6139075083019598E-2</v>
      </c>
      <c r="AG634">
        <v>-6.3125500000000001E-2</v>
      </c>
      <c r="AH634">
        <v>0.72765590699905303</v>
      </c>
      <c r="AI634">
        <v>94.952028792768999</v>
      </c>
      <c r="AJ634">
        <v>87.156737821339703</v>
      </c>
      <c r="AK634">
        <v>0.73128242183763803</v>
      </c>
      <c r="AL634">
        <v>89.809830197464393</v>
      </c>
      <c r="AM634">
        <v>93.662064434370293</v>
      </c>
      <c r="AN634">
        <v>0.99999997045150402</v>
      </c>
    </row>
    <row r="635" spans="1:40" x14ac:dyDescent="0.3">
      <c r="A635" t="str">
        <f>"20200111160417116"</f>
        <v>20200111160417116</v>
      </c>
      <c r="B635" t="str">
        <f>"1578729857111209"</f>
        <v>1578729857111209</v>
      </c>
      <c r="C635" t="s">
        <v>40</v>
      </c>
      <c r="D635">
        <v>4.7843970000000002</v>
      </c>
      <c r="E635">
        <v>0.58553559999999905</v>
      </c>
      <c r="F635" t="s">
        <v>42</v>
      </c>
      <c r="G635">
        <v>-299.28359999999998</v>
      </c>
      <c r="H635">
        <v>0.98776710000000001</v>
      </c>
      <c r="I635">
        <v>367.6508</v>
      </c>
      <c r="J635">
        <v>-300.14710000000002</v>
      </c>
      <c r="K635">
        <v>1.0601659999999999</v>
      </c>
      <c r="L635">
        <v>367.69029999999998</v>
      </c>
      <c r="M635">
        <v>0.9998977</v>
      </c>
      <c r="N635">
        <v>0</v>
      </c>
      <c r="O635">
        <v>4.6501160000000001E-3</v>
      </c>
      <c r="P635">
        <v>0.99756889999999998</v>
      </c>
      <c r="Q635">
        <v>-1.051843E-2</v>
      </c>
      <c r="R635">
        <v>6.8890309999999996E-2</v>
      </c>
      <c r="S635">
        <v>3.0126040000000001</v>
      </c>
      <c r="T635">
        <v>-0.2054552</v>
      </c>
      <c r="U635">
        <v>-0.1094666</v>
      </c>
      <c r="V635">
        <v>-6.4250539999999995E-2</v>
      </c>
      <c r="W635">
        <v>2.9900669999999999E-3</v>
      </c>
      <c r="X635">
        <v>0.99792930000000002</v>
      </c>
      <c r="Y635">
        <v>4.0853750000000001E-2</v>
      </c>
      <c r="Z635">
        <v>-1.707704E-3</v>
      </c>
      <c r="AA635">
        <v>0.99916369999999999</v>
      </c>
      <c r="AB635">
        <v>38</v>
      </c>
      <c r="AC635">
        <v>0.86350000000004401</v>
      </c>
      <c r="AD635">
        <v>-7.2398899999999905E-2</v>
      </c>
      <c r="AE635">
        <v>-3.9499999999975402E-2</v>
      </c>
      <c r="AF635">
        <v>4.3212179348821003E-2</v>
      </c>
      <c r="AG635">
        <v>-7.2398899999999905E-2</v>
      </c>
      <c r="AH635">
        <v>0.85729300344019599</v>
      </c>
      <c r="AI635">
        <v>94.821116684306602</v>
      </c>
      <c r="AJ635">
        <v>87.1144266194745</v>
      </c>
      <c r="AK635">
        <v>0.86142915373975804</v>
      </c>
      <c r="AL635">
        <v>89.828681521749004</v>
      </c>
      <c r="AM635">
        <v>93.683838858841398</v>
      </c>
      <c r="AN635">
        <v>0.99999998009472202</v>
      </c>
    </row>
    <row r="636" spans="1:40" x14ac:dyDescent="0.3">
      <c r="A636" t="str">
        <f>"20200111160417131"</f>
        <v>20200111160417131</v>
      </c>
      <c r="B636" t="str">
        <f>"1578729857120968"</f>
        <v>1578729857120968</v>
      </c>
      <c r="C636" t="s">
        <v>40</v>
      </c>
      <c r="D636">
        <v>4.7820660000000004</v>
      </c>
      <c r="E636">
        <v>0.58716899999999905</v>
      </c>
      <c r="F636" t="s">
        <v>44</v>
      </c>
      <c r="G636">
        <v>-280.64490000000001</v>
      </c>
      <c r="H636">
        <v>-0.05</v>
      </c>
      <c r="I636">
        <v>364.69580000000002</v>
      </c>
      <c r="J636">
        <v>-299.87819999999999</v>
      </c>
      <c r="K636">
        <v>1.060162</v>
      </c>
      <c r="L636">
        <v>367.69159999999999</v>
      </c>
      <c r="M636">
        <v>0.9998977</v>
      </c>
      <c r="N636">
        <v>0</v>
      </c>
      <c r="O636">
        <v>4.656075E-3</v>
      </c>
      <c r="P636">
        <v>0.99756299999999998</v>
      </c>
      <c r="Q636">
        <v>-1.0794369999999999E-2</v>
      </c>
      <c r="R636">
        <v>6.8931149999999997E-2</v>
      </c>
      <c r="S636">
        <v>3.0376590000000001</v>
      </c>
      <c r="T636">
        <v>-0.17291960000000001</v>
      </c>
      <c r="U636">
        <v>-0.46643069999999998</v>
      </c>
      <c r="V636">
        <v>-6.4285350000000005E-2</v>
      </c>
      <c r="W636">
        <v>2.7058730000000001E-3</v>
      </c>
      <c r="X636">
        <v>0.99792789999999998</v>
      </c>
      <c r="Y636">
        <v>0.15611720000000001</v>
      </c>
      <c r="Z636">
        <v>-4.6774540000000002E-3</v>
      </c>
      <c r="AA636">
        <v>0.98772749999999998</v>
      </c>
      <c r="AB636">
        <v>38</v>
      </c>
      <c r="AC636">
        <v>19.2332999999999</v>
      </c>
      <c r="AD636">
        <v>-1.1101620000000001</v>
      </c>
      <c r="AE636">
        <v>-2.9957999999999698</v>
      </c>
      <c r="AF636">
        <v>3.0753240569087401</v>
      </c>
      <c r="AG636">
        <v>-1.1101620000000001</v>
      </c>
      <c r="AH636">
        <v>19.156828650417999</v>
      </c>
      <c r="AI636">
        <v>93.274815527903399</v>
      </c>
      <c r="AJ636">
        <v>80.879888292454197</v>
      </c>
      <c r="AK636">
        <v>19.4338406307842</v>
      </c>
      <c r="AL636">
        <v>89.844964709685101</v>
      </c>
      <c r="AM636">
        <v>93.685834365028299</v>
      </c>
      <c r="AN636">
        <v>1.00000001078586</v>
      </c>
    </row>
    <row r="637" spans="1:40" x14ac:dyDescent="0.3">
      <c r="A637" t="str">
        <f>"20200111160417143"</f>
        <v>20200111160417143</v>
      </c>
      <c r="B637" t="str">
        <f>"1578729857131706"</f>
        <v>1578729857131706</v>
      </c>
      <c r="C637" t="s">
        <v>40</v>
      </c>
      <c r="D637">
        <v>4.7666430000000002</v>
      </c>
      <c r="E637">
        <v>0.5884511</v>
      </c>
      <c r="F637" t="s">
        <v>44</v>
      </c>
      <c r="G637">
        <v>-280.88819999999998</v>
      </c>
      <c r="H637">
        <v>-0.05</v>
      </c>
      <c r="I637">
        <v>364.69650000000001</v>
      </c>
      <c r="J637">
        <v>-299.68099999999998</v>
      </c>
      <c r="K637">
        <v>1.06016</v>
      </c>
      <c r="L637">
        <v>367.6925</v>
      </c>
      <c r="M637">
        <v>0.99989779999999995</v>
      </c>
      <c r="N637">
        <v>0</v>
      </c>
      <c r="O637">
        <v>4.6601070000000001E-3</v>
      </c>
      <c r="P637">
        <v>0.99756469999999997</v>
      </c>
      <c r="Q637">
        <v>-1.085446E-2</v>
      </c>
      <c r="R637">
        <v>6.8900939999999994E-2</v>
      </c>
      <c r="S637">
        <v>3.038513</v>
      </c>
      <c r="T637">
        <v>-0.1776327</v>
      </c>
      <c r="U637">
        <v>-0.47921750000000002</v>
      </c>
      <c r="V637">
        <v>-6.4251080000000002E-2</v>
      </c>
      <c r="W637">
        <v>2.6400690000000001E-3</v>
      </c>
      <c r="X637">
        <v>0.99793030000000005</v>
      </c>
      <c r="Y637">
        <v>0.16011619999999999</v>
      </c>
      <c r="Z637">
        <v>-4.918169E-3</v>
      </c>
      <c r="AA637">
        <v>0.98708589999999996</v>
      </c>
      <c r="AB637">
        <v>38</v>
      </c>
      <c r="AC637">
        <v>18.7928</v>
      </c>
      <c r="AD637">
        <v>-1.11016</v>
      </c>
      <c r="AE637">
        <v>-2.99599999999998</v>
      </c>
      <c r="AF637">
        <v>3.0730935508151802</v>
      </c>
      <c r="AG637">
        <v>-1.11016</v>
      </c>
      <c r="AH637">
        <v>18.714942144166201</v>
      </c>
      <c r="AI637">
        <v>93.350016515898204</v>
      </c>
      <c r="AJ637">
        <v>80.6749441610947</v>
      </c>
      <c r="AK637">
        <v>18.998037231702401</v>
      </c>
      <c r="AL637">
        <v>89.848735017110201</v>
      </c>
      <c r="AM637">
        <v>93.683866053426797</v>
      </c>
      <c r="AN637">
        <v>1.00000002745179</v>
      </c>
    </row>
    <row r="638" spans="1:40" x14ac:dyDescent="0.3">
      <c r="A638" t="str">
        <f>"20200111160417154"</f>
        <v>20200111160417154</v>
      </c>
      <c r="B638" t="str">
        <f>"1578729857151225"</f>
        <v>1578729857151225</v>
      </c>
      <c r="C638" t="s">
        <v>40</v>
      </c>
      <c r="D638">
        <v>4.7602909999999996</v>
      </c>
      <c r="E638">
        <v>0.58936149999999998</v>
      </c>
      <c r="F638" t="s">
        <v>44</v>
      </c>
      <c r="G638">
        <v>-280.82040000000001</v>
      </c>
      <c r="H638">
        <v>-0.05</v>
      </c>
      <c r="I638">
        <v>364.65629999999999</v>
      </c>
      <c r="J638">
        <v>-299.50959999999998</v>
      </c>
      <c r="K638">
        <v>1.06016</v>
      </c>
      <c r="L638">
        <v>367.69330000000002</v>
      </c>
      <c r="M638">
        <v>0.99989779999999995</v>
      </c>
      <c r="N638">
        <v>0</v>
      </c>
      <c r="O638">
        <v>4.664011E-3</v>
      </c>
      <c r="P638">
        <v>0.99757949999999995</v>
      </c>
      <c r="Q638">
        <v>-1.110793E-2</v>
      </c>
      <c r="R638">
        <v>6.8642159999999994E-2</v>
      </c>
      <c r="S638">
        <v>3.0391849999999998</v>
      </c>
      <c r="T638">
        <v>-0.17889059999999901</v>
      </c>
      <c r="U638">
        <v>-0.48925780000000002</v>
      </c>
      <c r="V638">
        <v>-6.3987970000000005E-2</v>
      </c>
      <c r="W638">
        <v>2.3825790000000001E-3</v>
      </c>
      <c r="X638">
        <v>0.99794780000000005</v>
      </c>
      <c r="Y638">
        <v>0.16325700000000001</v>
      </c>
      <c r="Z638">
        <v>-5.042576E-3</v>
      </c>
      <c r="AA638">
        <v>0.98657070000000002</v>
      </c>
      <c r="AB638">
        <v>38</v>
      </c>
      <c r="AC638">
        <v>18.6891999999999</v>
      </c>
      <c r="AD638">
        <v>-1.11016</v>
      </c>
      <c r="AE638">
        <v>-3.0370000000000301</v>
      </c>
      <c r="AF638">
        <v>3.1134384300944302</v>
      </c>
      <c r="AG638">
        <v>-1.11016</v>
      </c>
      <c r="AH638">
        <v>18.610851910243099</v>
      </c>
      <c r="AI638">
        <v>93.367037222660002</v>
      </c>
      <c r="AJ638">
        <v>80.502845300879102</v>
      </c>
      <c r="AK638">
        <v>18.902110012075099</v>
      </c>
      <c r="AL638">
        <v>89.863488146273198</v>
      </c>
      <c r="AM638">
        <v>93.668757643088497</v>
      </c>
      <c r="AN638">
        <v>0.99999997425612497</v>
      </c>
    </row>
    <row r="639" spans="1:40" x14ac:dyDescent="0.3">
      <c r="A639" t="str">
        <f>"20200111160417166"</f>
        <v>20200111160417166</v>
      </c>
      <c r="B639" t="str">
        <f>"1578729857160985"</f>
        <v>1578729857160985</v>
      </c>
      <c r="C639" t="s">
        <v>40</v>
      </c>
      <c r="D639">
        <v>4.7561010000000001</v>
      </c>
      <c r="E639">
        <v>0.58980980000000005</v>
      </c>
      <c r="F639" t="s">
        <v>44</v>
      </c>
      <c r="G639">
        <v>-280.79270000000002</v>
      </c>
      <c r="H639">
        <v>-0.05</v>
      </c>
      <c r="I639">
        <v>364.62950000000001</v>
      </c>
      <c r="J639">
        <v>-299.30799999999999</v>
      </c>
      <c r="K639">
        <v>1.0601510000000001</v>
      </c>
      <c r="L639">
        <v>367.69420000000002</v>
      </c>
      <c r="M639">
        <v>0.99989779999999995</v>
      </c>
      <c r="N639">
        <v>0</v>
      </c>
      <c r="O639">
        <v>4.6685759999999998E-3</v>
      </c>
      <c r="P639">
        <v>0.99758309999999994</v>
      </c>
      <c r="Q639">
        <v>-1.1327719999999999E-2</v>
      </c>
      <c r="R639">
        <v>6.8554740000000003E-2</v>
      </c>
      <c r="S639">
        <v>3.0394899999999998</v>
      </c>
      <c r="T639">
        <v>-0.180281</v>
      </c>
      <c r="U639">
        <v>-0.49752809999999997</v>
      </c>
      <c r="V639">
        <v>-6.3896170000000002E-2</v>
      </c>
      <c r="W639">
        <v>2.1575119999999999E-3</v>
      </c>
      <c r="X639">
        <v>0.99795420000000001</v>
      </c>
      <c r="Y639">
        <v>0.16585220000000001</v>
      </c>
      <c r="Z639">
        <v>-5.1567610000000002E-3</v>
      </c>
      <c r="AA639">
        <v>0.98613720000000005</v>
      </c>
      <c r="AB639">
        <v>38</v>
      </c>
      <c r="AC639">
        <v>18.5152999999999</v>
      </c>
      <c r="AD639">
        <v>-1.1101510000000001</v>
      </c>
      <c r="AE639">
        <v>-3.06470000000001</v>
      </c>
      <c r="AF639">
        <v>3.1401267621304401</v>
      </c>
      <c r="AG639">
        <v>-1.1101510000000001</v>
      </c>
      <c r="AH639">
        <v>18.4362775794093</v>
      </c>
      <c r="AI639">
        <v>93.397131193630599</v>
      </c>
      <c r="AJ639">
        <v>80.333954862014195</v>
      </c>
      <c r="AK639">
        <v>18.7347047564161</v>
      </c>
      <c r="AL639">
        <v>89.876383569818898</v>
      </c>
      <c r="AM639">
        <v>93.663485193170402</v>
      </c>
      <c r="AN639">
        <v>0.99999998034816895</v>
      </c>
    </row>
    <row r="640" spans="1:40" x14ac:dyDescent="0.3">
      <c r="A640" t="str">
        <f>"20200111160417177"</f>
        <v>20200111160417177</v>
      </c>
      <c r="B640" t="str">
        <f>"1578729857171721"</f>
        <v>1578729857171721</v>
      </c>
      <c r="C640" t="s">
        <v>40</v>
      </c>
      <c r="D640">
        <v>4.939152</v>
      </c>
      <c r="E640">
        <v>0.59057280000000001</v>
      </c>
      <c r="F640" t="s">
        <v>44</v>
      </c>
      <c r="G640">
        <v>-280.54880000000003</v>
      </c>
      <c r="H640">
        <v>-0.05</v>
      </c>
      <c r="I640">
        <v>364.60059999999999</v>
      </c>
      <c r="J640">
        <v>-299.10579999999999</v>
      </c>
      <c r="K640">
        <v>1.0601480000000001</v>
      </c>
      <c r="L640">
        <v>367.6952</v>
      </c>
      <c r="M640">
        <v>0.99989779999999995</v>
      </c>
      <c r="N640">
        <v>0</v>
      </c>
      <c r="O640">
        <v>4.6734919999999996E-3</v>
      </c>
      <c r="P640">
        <v>0.99759260000000005</v>
      </c>
      <c r="Q640">
        <v>-1.146545E-2</v>
      </c>
      <c r="R640">
        <v>6.8390969999999995E-2</v>
      </c>
      <c r="S640">
        <v>3.0396730000000001</v>
      </c>
      <c r="T640">
        <v>-0.1798854</v>
      </c>
      <c r="U640">
        <v>-0.50128170000000005</v>
      </c>
      <c r="V640">
        <v>-6.3727729999999996E-2</v>
      </c>
      <c r="W640">
        <v>2.014938E-3</v>
      </c>
      <c r="X640">
        <v>0.99796530000000006</v>
      </c>
      <c r="Y640">
        <v>0.1670326</v>
      </c>
      <c r="Z640">
        <v>-5.1796000000000003E-3</v>
      </c>
      <c r="AA640">
        <v>0.98593779999999998</v>
      </c>
      <c r="AB640">
        <v>37</v>
      </c>
      <c r="AC640">
        <v>18.556999999999899</v>
      </c>
      <c r="AD640">
        <v>-1.1101479999999999</v>
      </c>
      <c r="AE640">
        <v>-3.09460000000001</v>
      </c>
      <c r="AF640">
        <v>3.1702611343439</v>
      </c>
      <c r="AG640">
        <v>-1.1101479999999999</v>
      </c>
      <c r="AH640">
        <v>18.4779923129243</v>
      </c>
      <c r="AI640">
        <v>93.388770884672695</v>
      </c>
      <c r="AJ640">
        <v>80.264573829104904</v>
      </c>
      <c r="AK640">
        <v>18.780819581645599</v>
      </c>
      <c r="AL640">
        <v>89.884552479859707</v>
      </c>
      <c r="AM640">
        <v>93.653813356728705</v>
      </c>
      <c r="AN640">
        <v>1.00000001177509</v>
      </c>
    </row>
    <row r="641" spans="1:40" x14ac:dyDescent="0.3">
      <c r="A641" t="str">
        <f>"20200111160417188"</f>
        <v>20200111160417188</v>
      </c>
      <c r="B641" t="str">
        <f>"1578729857181482"</f>
        <v>1578729857181482</v>
      </c>
      <c r="C641" t="s">
        <v>40</v>
      </c>
      <c r="D641">
        <v>4.7464740000000001</v>
      </c>
      <c r="E641">
        <v>0.59086450000000001</v>
      </c>
      <c r="F641" t="s">
        <v>44</v>
      </c>
      <c r="G641">
        <v>-280.41149999999999</v>
      </c>
      <c r="H641">
        <v>-0.05</v>
      </c>
      <c r="I641">
        <v>364.57069999999999</v>
      </c>
      <c r="J641">
        <v>-298.92689999999999</v>
      </c>
      <c r="K641">
        <v>1.060147</v>
      </c>
      <c r="L641">
        <v>367.69600000000003</v>
      </c>
      <c r="M641">
        <v>0.99989810000000001</v>
      </c>
      <c r="N641">
        <v>0</v>
      </c>
      <c r="O641">
        <v>4.6777490000000001E-3</v>
      </c>
      <c r="P641">
        <v>0.99759469999999995</v>
      </c>
      <c r="Q641">
        <v>-1.1691709999999999E-2</v>
      </c>
      <c r="R641">
        <v>6.8326199999999906E-2</v>
      </c>
      <c r="S641">
        <v>3.040009</v>
      </c>
      <c r="T641">
        <v>-0.18052950000000001</v>
      </c>
      <c r="U641">
        <v>-0.50808719999999996</v>
      </c>
      <c r="V641">
        <v>-6.365875E-2</v>
      </c>
      <c r="W641">
        <v>1.7851029999999999E-3</v>
      </c>
      <c r="X641">
        <v>0.99797009999999997</v>
      </c>
      <c r="Y641">
        <v>0.16916129999999999</v>
      </c>
      <c r="Z641">
        <v>-5.259573E-3</v>
      </c>
      <c r="AA641">
        <v>0.98557439999999996</v>
      </c>
      <c r="AB641">
        <v>37</v>
      </c>
      <c r="AC641">
        <v>18.5154</v>
      </c>
      <c r="AD641">
        <v>-1.110147</v>
      </c>
      <c r="AE641">
        <v>-3.1252999999999802</v>
      </c>
      <c r="AF641">
        <v>3.2006964325712999</v>
      </c>
      <c r="AG641">
        <v>-1.110147</v>
      </c>
      <c r="AH641">
        <v>18.436135448897701</v>
      </c>
      <c r="AI641">
        <v>93.395285069976097</v>
      </c>
      <c r="AJ641">
        <v>80.151050433914406</v>
      </c>
      <c r="AK641">
        <v>18.7448119303765</v>
      </c>
      <c r="AL641">
        <v>89.897721074896097</v>
      </c>
      <c r="AM641">
        <v>93.649851594720403</v>
      </c>
      <c r="AN641">
        <v>0.99999997176914601</v>
      </c>
    </row>
    <row r="642" spans="1:40" x14ac:dyDescent="0.3">
      <c r="A642" t="str">
        <f>"20200111160417200"</f>
        <v>20200111160417200</v>
      </c>
      <c r="B642" t="str">
        <f>"1578729857191241"</f>
        <v>1578729857191241</v>
      </c>
      <c r="C642" t="s">
        <v>40</v>
      </c>
      <c r="D642">
        <v>4.7425569999999997</v>
      </c>
      <c r="E642">
        <v>0.59102849999999996</v>
      </c>
      <c r="F642" t="s">
        <v>44</v>
      </c>
      <c r="G642">
        <v>-280.34199999999998</v>
      </c>
      <c r="H642">
        <v>-0.05</v>
      </c>
      <c r="I642">
        <v>364.57639999999998</v>
      </c>
      <c r="J642">
        <v>-298.73390000000001</v>
      </c>
      <c r="K642">
        <v>1.060144</v>
      </c>
      <c r="L642">
        <v>367.697</v>
      </c>
      <c r="M642">
        <v>0.99989799999999995</v>
      </c>
      <c r="N642">
        <v>0</v>
      </c>
      <c r="O642">
        <v>4.682482E-3</v>
      </c>
      <c r="P642">
        <v>0.99760400000000005</v>
      </c>
      <c r="Q642">
        <v>-1.189462E-2</v>
      </c>
      <c r="R642">
        <v>6.8154430000000002E-2</v>
      </c>
      <c r="S642">
        <v>3.0400390000000002</v>
      </c>
      <c r="T642">
        <v>-0.18159310000000001</v>
      </c>
      <c r="U642">
        <v>-0.51028439999999997</v>
      </c>
      <c r="V642">
        <v>-6.3482220000000006E-2</v>
      </c>
      <c r="W642">
        <v>1.577679E-3</v>
      </c>
      <c r="X642">
        <v>0.99798169999999997</v>
      </c>
      <c r="Y642">
        <v>0.16985259999999999</v>
      </c>
      <c r="Z642">
        <v>-5.3109059999999998E-3</v>
      </c>
      <c r="AA642">
        <v>0.98545519999999998</v>
      </c>
      <c r="AB642">
        <v>37</v>
      </c>
      <c r="AC642">
        <v>18.3919</v>
      </c>
      <c r="AD642">
        <v>-1.110144</v>
      </c>
      <c r="AE642">
        <v>-3.1205999999999601</v>
      </c>
      <c r="AF642">
        <v>3.1953771452480701</v>
      </c>
      <c r="AG642">
        <v>-1.110144</v>
      </c>
      <c r="AH642">
        <v>18.312233274921802</v>
      </c>
      <c r="AI642">
        <v>93.417685039145098</v>
      </c>
      <c r="AJ642">
        <v>80.101880065321794</v>
      </c>
      <c r="AK642">
        <v>18.6220498956549</v>
      </c>
      <c r="AL642">
        <v>89.909605612333706</v>
      </c>
      <c r="AM642">
        <v>93.6397153631181</v>
      </c>
      <c r="AN642">
        <v>0.99999997743102198</v>
      </c>
    </row>
    <row r="643" spans="1:40" x14ac:dyDescent="0.3">
      <c r="A643" t="str">
        <f>"20200111160417211"</f>
        <v>20200111160417211</v>
      </c>
      <c r="B643" t="str">
        <f>"1578729857201001"</f>
        <v>1578729857201001</v>
      </c>
      <c r="C643" t="s">
        <v>40</v>
      </c>
      <c r="D643">
        <v>4.7542920000000004</v>
      </c>
      <c r="E643">
        <v>0.59106309999999995</v>
      </c>
      <c r="F643" t="s">
        <v>44</v>
      </c>
      <c r="G643">
        <v>-280.048</v>
      </c>
      <c r="H643">
        <v>-0.05</v>
      </c>
      <c r="I643">
        <v>364.5471</v>
      </c>
      <c r="J643">
        <v>-298.53629999999998</v>
      </c>
      <c r="K643">
        <v>1.0601419999999999</v>
      </c>
      <c r="L643">
        <v>367.6979</v>
      </c>
      <c r="M643">
        <v>0.99989799999999995</v>
      </c>
      <c r="N643">
        <v>0</v>
      </c>
      <c r="O643">
        <v>4.6875129999999999E-3</v>
      </c>
      <c r="P643">
        <v>0.99759509999999996</v>
      </c>
      <c r="Q643">
        <v>-1.218957E-2</v>
      </c>
      <c r="R643">
        <v>6.8232399999999999E-2</v>
      </c>
      <c r="S643">
        <v>3.0400700000000001</v>
      </c>
      <c r="T643">
        <v>-0.18061260000000001</v>
      </c>
      <c r="U643">
        <v>-0.5124512</v>
      </c>
      <c r="V643">
        <v>-6.3555070000000005E-2</v>
      </c>
      <c r="W643">
        <v>1.2787020000000001E-3</v>
      </c>
      <c r="X643">
        <v>0.99797749999999996</v>
      </c>
      <c r="Y643">
        <v>0.170541</v>
      </c>
      <c r="Z643">
        <v>-5.3025059999999898E-3</v>
      </c>
      <c r="AA643">
        <v>0.98533630000000005</v>
      </c>
      <c r="AB643">
        <v>37</v>
      </c>
      <c r="AC643">
        <v>18.488299999999899</v>
      </c>
      <c r="AD643">
        <v>-1.110142</v>
      </c>
      <c r="AE643">
        <v>-3.1507999999999998</v>
      </c>
      <c r="AF643">
        <v>3.22613394197655</v>
      </c>
      <c r="AG643">
        <v>-1.110142</v>
      </c>
      <c r="AH643">
        <v>18.4088267051361</v>
      </c>
      <c r="AI643">
        <v>93.399353482573403</v>
      </c>
      <c r="AJ643">
        <v>80.059895843163304</v>
      </c>
      <c r="AK643">
        <v>18.722319731578899</v>
      </c>
      <c r="AL643">
        <v>89.926735751172401</v>
      </c>
      <c r="AM643">
        <v>93.643896221558904</v>
      </c>
      <c r="AN643">
        <v>0.99999998625387898</v>
      </c>
    </row>
    <row r="644" spans="1:40" x14ac:dyDescent="0.3">
      <c r="A644" t="str">
        <f>"20200111160417224"</f>
        <v>20200111160417224</v>
      </c>
      <c r="B644" t="str">
        <f>"1578729857221497"</f>
        <v>1578729857221497</v>
      </c>
      <c r="C644" t="s">
        <v>40</v>
      </c>
      <c r="D644">
        <v>4.7552649999999996</v>
      </c>
      <c r="E644">
        <v>0.59146359999999998</v>
      </c>
      <c r="F644" t="s">
        <v>44</v>
      </c>
      <c r="G644">
        <v>-279.87279999999998</v>
      </c>
      <c r="H644">
        <v>-0.05</v>
      </c>
      <c r="I644">
        <v>364.55180000000001</v>
      </c>
      <c r="J644">
        <v>-298.32859999999999</v>
      </c>
      <c r="K644">
        <v>1.0601400000000001</v>
      </c>
      <c r="L644">
        <v>367.69889999999998</v>
      </c>
      <c r="M644">
        <v>0.99989799999999995</v>
      </c>
      <c r="N644">
        <v>0</v>
      </c>
      <c r="O644">
        <v>4.6929620000000002E-3</v>
      </c>
      <c r="P644">
        <v>0.99759759999999997</v>
      </c>
      <c r="Q644">
        <v>-1.2627640000000001E-2</v>
      </c>
      <c r="R644">
        <v>6.8114010000000003E-2</v>
      </c>
      <c r="S644">
        <v>3.0400390000000002</v>
      </c>
      <c r="T644">
        <v>-0.1808276</v>
      </c>
      <c r="U644">
        <v>-0.5124512</v>
      </c>
      <c r="V644">
        <v>-6.3431360000000006E-2</v>
      </c>
      <c r="W644">
        <v>8.3667409999999996E-4</v>
      </c>
      <c r="X644">
        <v>0.99798580000000003</v>
      </c>
      <c r="Y644">
        <v>0.17054730000000001</v>
      </c>
      <c r="Z644">
        <v>-5.3093659999999899E-3</v>
      </c>
      <c r="AA644">
        <v>0.98533519999999997</v>
      </c>
      <c r="AB644">
        <v>37</v>
      </c>
      <c r="AC644">
        <v>18.4558</v>
      </c>
      <c r="AD644">
        <v>-1.1101399999999999</v>
      </c>
      <c r="AE644">
        <v>-3.14709999999996</v>
      </c>
      <c r="AF644">
        <v>3.2223559700939601</v>
      </c>
      <c r="AG644">
        <v>-1.1101399999999999</v>
      </c>
      <c r="AH644">
        <v>18.376216449404101</v>
      </c>
      <c r="AI644">
        <v>93.405304734478705</v>
      </c>
      <c r="AJ644">
        <v>80.054036617046293</v>
      </c>
      <c r="AK644">
        <v>18.6896045922045</v>
      </c>
      <c r="AL644">
        <v>89.952062097119295</v>
      </c>
      <c r="AM644">
        <v>93.636792263564104</v>
      </c>
      <c r="AN644">
        <v>0.99999994722831798</v>
      </c>
    </row>
    <row r="645" spans="1:40" x14ac:dyDescent="0.3">
      <c r="A645" t="str">
        <f>"20200111160417237"</f>
        <v>20200111160417237</v>
      </c>
      <c r="B645" t="str">
        <f>"1578729857231257"</f>
        <v>1578729857231257</v>
      </c>
      <c r="C645" t="s">
        <v>40</v>
      </c>
      <c r="D645">
        <v>4.773949</v>
      </c>
      <c r="E645">
        <v>0.59155190000000002</v>
      </c>
      <c r="F645" t="s">
        <v>44</v>
      </c>
      <c r="G645">
        <v>-279.79739999999998</v>
      </c>
      <c r="H645">
        <v>-0.05</v>
      </c>
      <c r="I645">
        <v>364.55369999999999</v>
      </c>
      <c r="J645">
        <v>-298.11649999999997</v>
      </c>
      <c r="K645">
        <v>1.060141</v>
      </c>
      <c r="L645">
        <v>367.69990000000001</v>
      </c>
      <c r="M645">
        <v>0.99989810000000001</v>
      </c>
      <c r="N645">
        <v>0</v>
      </c>
      <c r="O645">
        <v>4.6976969999999998E-3</v>
      </c>
      <c r="P645">
        <v>0.9975984</v>
      </c>
      <c r="Q645">
        <v>-1.266429E-2</v>
      </c>
      <c r="R645">
        <v>6.8099690000000004E-2</v>
      </c>
      <c r="S645">
        <v>3.0401609999999999</v>
      </c>
      <c r="T645">
        <v>-0.18212519999999999</v>
      </c>
      <c r="U645">
        <v>-0.51599119999999998</v>
      </c>
      <c r="V645">
        <v>-6.341186E-2</v>
      </c>
      <c r="W645">
        <v>7.9614330000000002E-4</v>
      </c>
      <c r="X645">
        <v>0.99798719999999996</v>
      </c>
      <c r="Y645">
        <v>0.17165459999999999</v>
      </c>
      <c r="Z645">
        <v>-5.3798589999999999E-3</v>
      </c>
      <c r="AA645">
        <v>0.98514250000000003</v>
      </c>
      <c r="AB645">
        <v>37</v>
      </c>
      <c r="AC645">
        <v>18.319099999999899</v>
      </c>
      <c r="AD645">
        <v>-1.110141</v>
      </c>
      <c r="AE645">
        <v>-3.1462000000000199</v>
      </c>
      <c r="AF645">
        <v>3.2207417587356399</v>
      </c>
      <c r="AG645">
        <v>-1.110141</v>
      </c>
      <c r="AH645">
        <v>18.239054852423202</v>
      </c>
      <c r="AI645">
        <v>93.430136892356501</v>
      </c>
      <c r="AJ645">
        <v>79.985668298976506</v>
      </c>
      <c r="AK645">
        <v>18.554479578421201</v>
      </c>
      <c r="AL645">
        <v>89.954384347606293</v>
      </c>
      <c r="AM645">
        <v>93.635672157452603</v>
      </c>
      <c r="AN645">
        <v>1.00000007459832</v>
      </c>
    </row>
    <row r="646" spans="1:40" x14ac:dyDescent="0.3">
      <c r="A646" t="str">
        <f>"20200111160417247"</f>
        <v>20200111160417247</v>
      </c>
      <c r="B646" t="str">
        <f>"1578729857241017"</f>
        <v>1578729857241017</v>
      </c>
      <c r="C646" t="s">
        <v>40</v>
      </c>
      <c r="D646">
        <v>4.7242889999999997</v>
      </c>
      <c r="E646">
        <v>0.59170149999999999</v>
      </c>
      <c r="F646" t="s">
        <v>44</v>
      </c>
      <c r="G646">
        <v>-279.5385</v>
      </c>
      <c r="H646">
        <v>-0.05</v>
      </c>
      <c r="I646">
        <v>364.54160000000002</v>
      </c>
      <c r="J646">
        <v>-297.93</v>
      </c>
      <c r="K646">
        <v>1.060138</v>
      </c>
      <c r="L646">
        <v>367.70069999999998</v>
      </c>
      <c r="M646">
        <v>0.99989810000000001</v>
      </c>
      <c r="N646">
        <v>0</v>
      </c>
      <c r="O646">
        <v>4.7020719999999998E-3</v>
      </c>
      <c r="P646">
        <v>0.99759379999999998</v>
      </c>
      <c r="Q646">
        <v>-1.2678089999999999E-2</v>
      </c>
      <c r="R646">
        <v>6.816411E-2</v>
      </c>
      <c r="S646">
        <v>3.0401919999999998</v>
      </c>
      <c r="T646">
        <v>-0.1816691</v>
      </c>
      <c r="U646">
        <v>-0.51684569999999996</v>
      </c>
      <c r="V646">
        <v>-6.3472299999999995E-2</v>
      </c>
      <c r="W646">
        <v>7.7945390000000003E-4</v>
      </c>
      <c r="X646">
        <v>0.99798330000000002</v>
      </c>
      <c r="Y646">
        <v>0.17192750000000001</v>
      </c>
      <c r="Z646">
        <v>-5.374579E-3</v>
      </c>
      <c r="AA646">
        <v>0.98509500000000005</v>
      </c>
      <c r="AB646">
        <v>37</v>
      </c>
      <c r="AC646">
        <v>18.391500000000001</v>
      </c>
      <c r="AD646">
        <v>-1.1101379999999901</v>
      </c>
      <c r="AE646">
        <v>-3.1590999999999601</v>
      </c>
      <c r="AF646">
        <v>3.2341053036337102</v>
      </c>
      <c r="AG646">
        <v>-1.1101379999999901</v>
      </c>
      <c r="AH646">
        <v>18.311634511852098</v>
      </c>
      <c r="AI646">
        <v>93.416546884039803</v>
      </c>
      <c r="AJ646">
        <v>79.984008318808094</v>
      </c>
      <c r="AK646">
        <v>18.628145425395701</v>
      </c>
      <c r="AL646">
        <v>89.955340576850205</v>
      </c>
      <c r="AM646">
        <v>93.639142315615501</v>
      </c>
      <c r="AN646">
        <v>1.00000000374728</v>
      </c>
    </row>
    <row r="647" spans="1:40" x14ac:dyDescent="0.3">
      <c r="A647" t="str">
        <f>"20200111160417259"</f>
        <v>20200111160417259</v>
      </c>
      <c r="B647" t="str">
        <f>"1578729857251753"</f>
        <v>1578729857251753</v>
      </c>
      <c r="C647" t="s">
        <v>40</v>
      </c>
      <c r="D647">
        <v>4.7601069999999996</v>
      </c>
      <c r="E647">
        <v>0.59175630000000001</v>
      </c>
      <c r="F647" t="s">
        <v>44</v>
      </c>
      <c r="G647">
        <v>-279.37079999999997</v>
      </c>
      <c r="H647">
        <v>-0.05</v>
      </c>
      <c r="I647">
        <v>364.541</v>
      </c>
      <c r="J647">
        <v>-297.73419999999999</v>
      </c>
      <c r="K647">
        <v>1.060135</v>
      </c>
      <c r="L647">
        <v>367.70170000000002</v>
      </c>
      <c r="M647">
        <v>0.99989830000000002</v>
      </c>
      <c r="N647">
        <v>0</v>
      </c>
      <c r="O647">
        <v>4.7063269999999997E-3</v>
      </c>
      <c r="P647">
        <v>0.99759140000000002</v>
      </c>
      <c r="Q647">
        <v>-1.3028400000000001E-2</v>
      </c>
      <c r="R647">
        <v>6.8131720000000007E-2</v>
      </c>
      <c r="S647">
        <v>3.0402830000000001</v>
      </c>
      <c r="T647">
        <v>-0.1818582</v>
      </c>
      <c r="U647">
        <v>-0.51760859999999997</v>
      </c>
      <c r="V647">
        <v>-6.343567E-2</v>
      </c>
      <c r="W647">
        <v>4.2564080000000003E-4</v>
      </c>
      <c r="X647">
        <v>0.99798580000000003</v>
      </c>
      <c r="Y647">
        <v>0.17216600000000001</v>
      </c>
      <c r="Z647">
        <v>-5.3872199999999999E-3</v>
      </c>
      <c r="AA647">
        <v>0.98505319999999996</v>
      </c>
      <c r="AB647">
        <v>37</v>
      </c>
      <c r="AC647">
        <v>18.363399999999999</v>
      </c>
      <c r="AD647">
        <v>-1.1101350000000001</v>
      </c>
      <c r="AE647">
        <v>-3.1607000000000198</v>
      </c>
      <c r="AF647">
        <v>3.2356122062212802</v>
      </c>
      <c r="AG647">
        <v>-1.1101350000000001</v>
      </c>
      <c r="AH647">
        <v>18.283423082456999</v>
      </c>
      <c r="AI647">
        <v>93.421589185156407</v>
      </c>
      <c r="AJ647">
        <v>79.964288302613298</v>
      </c>
      <c r="AK647">
        <v>18.6006759468411</v>
      </c>
      <c r="AL647">
        <v>89.975612576888807</v>
      </c>
      <c r="AM647">
        <v>93.637038711108701</v>
      </c>
      <c r="AN647">
        <v>0.99999996120003898</v>
      </c>
    </row>
    <row r="648" spans="1:40" x14ac:dyDescent="0.3">
      <c r="A648" t="str">
        <f>"20200111160417271"</f>
        <v>20200111160417271</v>
      </c>
      <c r="B648" t="str">
        <f>"1578729857261513"</f>
        <v>1578729857261513</v>
      </c>
      <c r="C648" t="s">
        <v>40</v>
      </c>
      <c r="D648">
        <v>4.7276309999999997</v>
      </c>
      <c r="E648">
        <v>0.59184369999999997</v>
      </c>
      <c r="F648" t="s">
        <v>44</v>
      </c>
      <c r="G648">
        <v>-279.29090000000002</v>
      </c>
      <c r="H648">
        <v>-0.05</v>
      </c>
      <c r="I648">
        <v>364.55829999999997</v>
      </c>
      <c r="J648">
        <v>-297.54590000000002</v>
      </c>
      <c r="K648">
        <v>1.060135</v>
      </c>
      <c r="L648">
        <v>367.70260000000002</v>
      </c>
      <c r="M648">
        <v>0.99989819999999996</v>
      </c>
      <c r="N648">
        <v>0</v>
      </c>
      <c r="O648">
        <v>4.7105230000000003E-3</v>
      </c>
      <c r="P648">
        <v>0.99757189999999996</v>
      </c>
      <c r="Q648">
        <v>-1.336732E-2</v>
      </c>
      <c r="R648">
        <v>6.8350549999999996E-2</v>
      </c>
      <c r="S648">
        <v>3.0402529999999999</v>
      </c>
      <c r="T648">
        <v>-0.18299789999999999</v>
      </c>
      <c r="U648">
        <v>-0.51815800000000001</v>
      </c>
      <c r="V648">
        <v>-6.3650300000000007E-2</v>
      </c>
      <c r="W648" s="1">
        <v>8.3481659999999906E-5</v>
      </c>
      <c r="X648">
        <v>0.99797219999999998</v>
      </c>
      <c r="Y648">
        <v>0.17234050000000001</v>
      </c>
      <c r="Z648">
        <v>-5.426358E-3</v>
      </c>
      <c r="AA648">
        <v>0.98502250000000002</v>
      </c>
      <c r="AB648">
        <v>37</v>
      </c>
      <c r="AC648">
        <v>18.2549999999999</v>
      </c>
      <c r="AD648">
        <v>-1.1101350000000001</v>
      </c>
      <c r="AE648">
        <v>-3.1443000000000398</v>
      </c>
      <c r="AF648">
        <v>3.2187031366961598</v>
      </c>
      <c r="AG648">
        <v>-1.1101350000000001</v>
      </c>
      <c r="AH648">
        <v>18.174708080535499</v>
      </c>
      <c r="AI648">
        <v>93.441931353676694</v>
      </c>
      <c r="AJ648">
        <v>79.9571655982664</v>
      </c>
      <c r="AK648">
        <v>18.4908751391892</v>
      </c>
      <c r="AL648">
        <v>89.9952168529218</v>
      </c>
      <c r="AM648">
        <v>93.649360767837905</v>
      </c>
      <c r="AN648">
        <v>0.99999993981605695</v>
      </c>
    </row>
    <row r="649" spans="1:40" x14ac:dyDescent="0.3">
      <c r="A649" t="str">
        <f>"20200111160417281"</f>
        <v>20200111160417281</v>
      </c>
      <c r="B649" t="str">
        <f>"1578729857271273"</f>
        <v>1578729857271273</v>
      </c>
      <c r="C649" t="s">
        <v>40</v>
      </c>
      <c r="D649">
        <v>4.7338009999999997</v>
      </c>
      <c r="E649">
        <v>0.59202159999999904</v>
      </c>
      <c r="F649" t="s">
        <v>44</v>
      </c>
      <c r="G649">
        <v>-279.14479999999998</v>
      </c>
      <c r="H649">
        <v>-0.05</v>
      </c>
      <c r="I649">
        <v>364.56630000000001</v>
      </c>
      <c r="J649">
        <v>-297.36610000000002</v>
      </c>
      <c r="K649">
        <v>1.0601309999999999</v>
      </c>
      <c r="L649">
        <v>367.70350000000002</v>
      </c>
      <c r="M649">
        <v>0.99989810000000001</v>
      </c>
      <c r="N649">
        <v>0</v>
      </c>
      <c r="O649">
        <v>4.7140630000000001E-3</v>
      </c>
      <c r="P649">
        <v>0.99756299999999998</v>
      </c>
      <c r="Q649">
        <v>-1.337023E-2</v>
      </c>
      <c r="R649">
        <v>6.8480760000000002E-2</v>
      </c>
      <c r="S649">
        <v>3.040314</v>
      </c>
      <c r="T649">
        <v>-0.18342069999999999</v>
      </c>
      <c r="U649">
        <v>-0.51818850000000005</v>
      </c>
      <c r="V649">
        <v>-6.3777360000000005E-2</v>
      </c>
      <c r="W649" s="1">
        <v>7.7652740000000006E-5</v>
      </c>
      <c r="X649">
        <v>0.99796410000000002</v>
      </c>
      <c r="Y649">
        <v>0.1723489</v>
      </c>
      <c r="Z649">
        <v>-5.4392199999999998E-3</v>
      </c>
      <c r="AA649">
        <v>0.98502089999999998</v>
      </c>
      <c r="AB649">
        <v>37</v>
      </c>
      <c r="AC649">
        <v>18.221299999999999</v>
      </c>
      <c r="AD649">
        <v>-1.110131</v>
      </c>
      <c r="AE649">
        <v>-3.1372</v>
      </c>
      <c r="AF649">
        <v>3.21149192351437</v>
      </c>
      <c r="AG649">
        <v>-1.110131</v>
      </c>
      <c r="AH649">
        <v>18.140909567621801</v>
      </c>
      <c r="AI649">
        <v>93.448356095215999</v>
      </c>
      <c r="AJ649">
        <v>79.960918728994898</v>
      </c>
      <c r="AK649">
        <v>18.456399192491201</v>
      </c>
      <c r="AL649">
        <v>89.995550825509099</v>
      </c>
      <c r="AM649">
        <v>93.656655547894601</v>
      </c>
      <c r="AN649">
        <v>0.99999995128366204</v>
      </c>
    </row>
    <row r="650" spans="1:40" x14ac:dyDescent="0.3">
      <c r="A650" t="str">
        <f>"20200111160417293"</f>
        <v>20200111160417293</v>
      </c>
      <c r="B650" t="str">
        <f>"1578729857281033"</f>
        <v>1578729857281033</v>
      </c>
      <c r="C650" t="s">
        <v>40</v>
      </c>
      <c r="D650">
        <v>4.7213620000000001</v>
      </c>
      <c r="E650">
        <v>0.59223479999999995</v>
      </c>
      <c r="F650" t="s">
        <v>41</v>
      </c>
      <c r="G650">
        <v>-279.75479999999999</v>
      </c>
      <c r="H650" s="1">
        <v>-1.3789029999999999E-6</v>
      </c>
      <c r="I650">
        <v>364.6952</v>
      </c>
      <c r="J650">
        <v>-297.17959999999999</v>
      </c>
      <c r="K650">
        <v>1.06013</v>
      </c>
      <c r="L650">
        <v>367.70429999999999</v>
      </c>
      <c r="M650">
        <v>0.99989810000000001</v>
      </c>
      <c r="N650">
        <v>0</v>
      </c>
      <c r="O650">
        <v>4.7181360000000004E-3</v>
      </c>
      <c r="P650">
        <v>0.99754640000000006</v>
      </c>
      <c r="Q650">
        <v>-1.3555889999999999E-2</v>
      </c>
      <c r="R650">
        <v>6.8682989999999999E-2</v>
      </c>
      <c r="S650">
        <v>3.0404969999999998</v>
      </c>
      <c r="T650">
        <v>-0.18302460000000001</v>
      </c>
      <c r="U650">
        <v>-0.51934809999999998</v>
      </c>
      <c r="V650">
        <v>-6.3974829999999996E-2</v>
      </c>
      <c r="W650">
        <v>-1.108989E-4</v>
      </c>
      <c r="X650">
        <v>0.99795149999999999</v>
      </c>
      <c r="Y650">
        <v>0.1727089</v>
      </c>
      <c r="Z650">
        <v>-5.4379939999999998E-3</v>
      </c>
      <c r="AA650">
        <v>0.98495790000000005</v>
      </c>
      <c r="AB650">
        <v>37</v>
      </c>
      <c r="AC650">
        <v>17.424800000000001</v>
      </c>
      <c r="AD650">
        <v>-1.060131378903</v>
      </c>
      <c r="AE650">
        <v>-3.0090999999999801</v>
      </c>
      <c r="AF650">
        <v>3.0802151380193101</v>
      </c>
      <c r="AG650">
        <v>-1.060131378903</v>
      </c>
      <c r="AH650">
        <v>17.3480522401033</v>
      </c>
      <c r="AI650">
        <v>93.443248545418498</v>
      </c>
      <c r="AJ650">
        <v>79.931834180875398</v>
      </c>
      <c r="AK650">
        <v>17.6512469917106</v>
      </c>
      <c r="AL650">
        <v>90.006354038975303</v>
      </c>
      <c r="AM650">
        <v>93.667992754287994</v>
      </c>
      <c r="AN650">
        <v>0.99999999376217197</v>
      </c>
    </row>
    <row r="651" spans="1:40" x14ac:dyDescent="0.3">
      <c r="A651" t="str">
        <f>"20200111160417305"</f>
        <v>20200111160417305</v>
      </c>
      <c r="B651" t="str">
        <f>"1578729857301530"</f>
        <v>1578729857301530</v>
      </c>
      <c r="C651" t="s">
        <v>40</v>
      </c>
      <c r="D651">
        <v>4.7646810000000004</v>
      </c>
      <c r="E651">
        <v>0.59278359999999997</v>
      </c>
      <c r="F651" t="s">
        <v>41</v>
      </c>
      <c r="G651">
        <v>-279.53710000000001</v>
      </c>
      <c r="H651" s="1">
        <v>-1.456096E-6</v>
      </c>
      <c r="I651">
        <v>364.68340000000001</v>
      </c>
      <c r="J651">
        <v>-296.98340000000002</v>
      </c>
      <c r="K651">
        <v>1.060133</v>
      </c>
      <c r="L651">
        <v>367.70530000000002</v>
      </c>
      <c r="M651">
        <v>0.99989830000000002</v>
      </c>
      <c r="N651">
        <v>0</v>
      </c>
      <c r="O651">
        <v>4.7222080000000003E-3</v>
      </c>
      <c r="P651">
        <v>0.99752770000000002</v>
      </c>
      <c r="Q651">
        <v>-1.363471E-2</v>
      </c>
      <c r="R651">
        <v>6.8941799999999998E-2</v>
      </c>
      <c r="S651">
        <v>3.0407410000000001</v>
      </c>
      <c r="T651">
        <v>-0.18271699999999999</v>
      </c>
      <c r="U651">
        <v>-0.52066040000000002</v>
      </c>
      <c r="V651">
        <v>-6.4230369999999995E-2</v>
      </c>
      <c r="W651">
        <v>-1.927295E-4</v>
      </c>
      <c r="X651">
        <v>0.99793509999999996</v>
      </c>
      <c r="Y651">
        <v>0.17311319999999999</v>
      </c>
      <c r="Z651">
        <v>-5.4405369999999996E-3</v>
      </c>
      <c r="AA651">
        <v>0.98488690000000001</v>
      </c>
      <c r="AB651">
        <v>37</v>
      </c>
      <c r="AC651">
        <v>17.446300000000001</v>
      </c>
      <c r="AD651">
        <v>-1.060134456096</v>
      </c>
      <c r="AE651">
        <v>-3.0219000000000098</v>
      </c>
      <c r="AF651">
        <v>3.0931701126790099</v>
      </c>
      <c r="AG651">
        <v>-1.060134456096</v>
      </c>
      <c r="AH651">
        <v>17.369565951817599</v>
      </c>
      <c r="AI651">
        <v>93.438692992023405</v>
      </c>
      <c r="AJ651">
        <v>79.902624344045407</v>
      </c>
      <c r="AK651">
        <v>17.6746543888563</v>
      </c>
      <c r="AL651">
        <v>90.011042586777506</v>
      </c>
      <c r="AM651">
        <v>93.682664239261698</v>
      </c>
      <c r="AN651">
        <v>1.0000000206935</v>
      </c>
    </row>
    <row r="652" spans="1:40" x14ac:dyDescent="0.3">
      <c r="A652" t="str">
        <f>"20200111160417316"</f>
        <v>20200111160417316</v>
      </c>
      <c r="B652" t="str">
        <f>"1578729857311289"</f>
        <v>1578729857311289</v>
      </c>
      <c r="C652" t="s">
        <v>40</v>
      </c>
      <c r="D652">
        <v>4.7632240000000001</v>
      </c>
      <c r="E652">
        <v>0.59271929999999995</v>
      </c>
      <c r="F652" t="s">
        <v>41</v>
      </c>
      <c r="G652">
        <v>-279.31990000000002</v>
      </c>
      <c r="H652" s="1">
        <v>-1.5363649999999999E-6</v>
      </c>
      <c r="I652">
        <v>364.65949999999998</v>
      </c>
      <c r="J652">
        <v>-296.779</v>
      </c>
      <c r="K652">
        <v>1.0601320000000001</v>
      </c>
      <c r="L652">
        <v>367.70620000000002</v>
      </c>
      <c r="M652">
        <v>0.99989830000000002</v>
      </c>
      <c r="N652">
        <v>0</v>
      </c>
      <c r="O652">
        <v>4.7265780000000004E-3</v>
      </c>
      <c r="P652">
        <v>0.99751469999999998</v>
      </c>
      <c r="Q652">
        <v>-1.375814E-2</v>
      </c>
      <c r="R652">
        <v>6.9104429999999994E-2</v>
      </c>
      <c r="S652">
        <v>3.0411679999999999</v>
      </c>
      <c r="T652">
        <v>-0.18252550000000001</v>
      </c>
      <c r="U652">
        <v>-0.5243835</v>
      </c>
      <c r="V652">
        <v>-6.4388349999999997E-2</v>
      </c>
      <c r="W652">
        <v>-3.190124E-4</v>
      </c>
      <c r="X652">
        <v>0.9979249</v>
      </c>
      <c r="Y652">
        <v>0.17426440000000001</v>
      </c>
      <c r="Z652">
        <v>-5.4680569999999897E-3</v>
      </c>
      <c r="AA652">
        <v>0.9846838</v>
      </c>
      <c r="AB652">
        <v>37</v>
      </c>
      <c r="AC652">
        <v>17.4590999999999</v>
      </c>
      <c r="AD652">
        <v>-1.060133536365</v>
      </c>
      <c r="AE652">
        <v>-3.0467000000000399</v>
      </c>
      <c r="AF652">
        <v>3.1180386481184699</v>
      </c>
      <c r="AG652">
        <v>-1.060133536365</v>
      </c>
      <c r="AH652">
        <v>17.3823079359885</v>
      </c>
      <c r="AI652">
        <v>93.435403529178899</v>
      </c>
      <c r="AJ652">
        <v>79.830437740254993</v>
      </c>
      <c r="AK652">
        <v>17.691542536127699</v>
      </c>
      <c r="AL652">
        <v>90.018278063826102</v>
      </c>
      <c r="AM652">
        <v>93.691734673378093</v>
      </c>
      <c r="AN652">
        <v>1.00000003371232</v>
      </c>
    </row>
    <row r="653" spans="1:40" x14ac:dyDescent="0.3">
      <c r="A653" t="str">
        <f>"20200111160417327"</f>
        <v>20200111160417327</v>
      </c>
      <c r="B653" t="str">
        <f>"1578729857321049"</f>
        <v>1578729857321049</v>
      </c>
      <c r="C653" t="s">
        <v>40</v>
      </c>
      <c r="D653">
        <v>4.7511650000000003</v>
      </c>
      <c r="E653">
        <v>0.59266640000000004</v>
      </c>
      <c r="F653" t="s">
        <v>41</v>
      </c>
      <c r="G653">
        <v>-279.14789999999999</v>
      </c>
      <c r="H653" s="1">
        <v>-1.5910249999999999E-6</v>
      </c>
      <c r="I653">
        <v>364.67410000000001</v>
      </c>
      <c r="J653">
        <v>-296.59440000000001</v>
      </c>
      <c r="K653">
        <v>1.06013</v>
      </c>
      <c r="L653">
        <v>367.70710000000003</v>
      </c>
      <c r="M653">
        <v>0.99989830000000002</v>
      </c>
      <c r="N653">
        <v>0</v>
      </c>
      <c r="O653">
        <v>4.7308259999999996E-3</v>
      </c>
      <c r="P653">
        <v>0.99751380000000001</v>
      </c>
      <c r="Q653">
        <v>-1.374798E-2</v>
      </c>
      <c r="R653">
        <v>6.9118009999999994E-2</v>
      </c>
      <c r="S653">
        <v>3.0411990000000002</v>
      </c>
      <c r="T653">
        <v>-0.18286289999999999</v>
      </c>
      <c r="U653">
        <v>-0.52301030000000004</v>
      </c>
      <c r="V653">
        <v>-6.4397389999999999E-2</v>
      </c>
      <c r="W653">
        <v>-3.1122959999999999E-4</v>
      </c>
      <c r="X653">
        <v>0.99792429999999999</v>
      </c>
      <c r="Y653">
        <v>0.17383460000000001</v>
      </c>
      <c r="Z653">
        <v>-5.4657400000000002E-3</v>
      </c>
      <c r="AA653">
        <v>0.98475970000000002</v>
      </c>
      <c r="AB653">
        <v>37</v>
      </c>
      <c r="AC653">
        <v>17.4465</v>
      </c>
      <c r="AD653">
        <v>-1.060131591025</v>
      </c>
      <c r="AE653">
        <v>-3.0330000000000101</v>
      </c>
      <c r="AF653">
        <v>3.1043836676346799</v>
      </c>
      <c r="AG653">
        <v>-1.060131591025</v>
      </c>
      <c r="AH653">
        <v>17.369701260583302</v>
      </c>
      <c r="AI653">
        <v>93.438274938881307</v>
      </c>
      <c r="AJ653">
        <v>79.866853238033102</v>
      </c>
      <c r="AK653">
        <v>17.676753062371901</v>
      </c>
      <c r="AL653">
        <v>90.017832142566704</v>
      </c>
      <c r="AM653">
        <v>93.692253765953794</v>
      </c>
      <c r="AN653">
        <v>1.0000000146165799</v>
      </c>
    </row>
    <row r="654" spans="1:40" x14ac:dyDescent="0.3">
      <c r="A654" t="str">
        <f>"20200111160417338"</f>
        <v>20200111160417338</v>
      </c>
      <c r="B654" t="str">
        <f>"1578729857331784"</f>
        <v>1578729857331784</v>
      </c>
      <c r="C654" t="s">
        <v>40</v>
      </c>
      <c r="D654">
        <v>4.7802860000000003</v>
      </c>
      <c r="E654">
        <v>0.5926496</v>
      </c>
      <c r="F654" t="s">
        <v>41</v>
      </c>
      <c r="G654">
        <v>-278.9384</v>
      </c>
      <c r="H654" s="1">
        <v>-1.662661E-6</v>
      </c>
      <c r="I654">
        <v>364.6728</v>
      </c>
      <c r="J654">
        <v>-296.40339999999998</v>
      </c>
      <c r="K654">
        <v>1.0601320000000001</v>
      </c>
      <c r="L654">
        <v>367.70800000000003</v>
      </c>
      <c r="M654">
        <v>0.99989830000000002</v>
      </c>
      <c r="N654">
        <v>0</v>
      </c>
      <c r="O654">
        <v>4.7348939999999999E-3</v>
      </c>
      <c r="P654">
        <v>0.99750229999999995</v>
      </c>
      <c r="Q654">
        <v>-1.384347E-2</v>
      </c>
      <c r="R654">
        <v>6.9267549999999997E-2</v>
      </c>
      <c r="S654">
        <v>3.0411679999999999</v>
      </c>
      <c r="T654">
        <v>-0.1826024</v>
      </c>
      <c r="U654">
        <v>-0.522644</v>
      </c>
      <c r="V654">
        <v>-6.4543959999999997E-2</v>
      </c>
      <c r="W654">
        <v>-4.0921689999999999E-4</v>
      </c>
      <c r="X654">
        <v>0.99791479999999999</v>
      </c>
      <c r="Y654">
        <v>0.17372609999999999</v>
      </c>
      <c r="Z654">
        <v>-5.4550880000000003E-3</v>
      </c>
      <c r="AA654">
        <v>0.98477890000000001</v>
      </c>
      <c r="AB654">
        <v>37</v>
      </c>
      <c r="AC654">
        <v>17.4649999999999</v>
      </c>
      <c r="AD654">
        <v>-1.0601336626610001</v>
      </c>
      <c r="AE654">
        <v>-3.0352000000000299</v>
      </c>
      <c r="AF654">
        <v>3.1067569743063701</v>
      </c>
      <c r="AG654">
        <v>-1.0601336626610001</v>
      </c>
      <c r="AH654">
        <v>17.388242002269799</v>
      </c>
      <c r="AI654">
        <v>93.4346563389648</v>
      </c>
      <c r="AJ654">
        <v>79.869855955195106</v>
      </c>
      <c r="AK654">
        <v>17.695388727281699</v>
      </c>
      <c r="AL654">
        <v>90.023446401480896</v>
      </c>
      <c r="AM654">
        <v>93.700669229951103</v>
      </c>
      <c r="AN654">
        <v>1.00000001914499</v>
      </c>
    </row>
    <row r="655" spans="1:40" x14ac:dyDescent="0.3">
      <c r="A655" t="str">
        <f>"20200111160417351"</f>
        <v>20200111160417351</v>
      </c>
      <c r="B655" t="str">
        <f>"1578729857341544"</f>
        <v>1578729857341544</v>
      </c>
      <c r="C655" t="s">
        <v>40</v>
      </c>
      <c r="D655">
        <v>4.7678520000000004</v>
      </c>
      <c r="E655">
        <v>0.59263679999999996</v>
      </c>
      <c r="F655" t="s">
        <v>41</v>
      </c>
      <c r="G655">
        <v>-278.74650000000003</v>
      </c>
      <c r="H655" s="1">
        <v>-1.726779E-6</v>
      </c>
      <c r="I655">
        <v>364.6773</v>
      </c>
      <c r="J655">
        <v>-296.21870000000001</v>
      </c>
      <c r="K655">
        <v>1.0601309999999999</v>
      </c>
      <c r="L655">
        <v>367.70890000000003</v>
      </c>
      <c r="M655">
        <v>0.99989830000000002</v>
      </c>
      <c r="N655">
        <v>0</v>
      </c>
      <c r="O655">
        <v>4.7390790000000002E-3</v>
      </c>
      <c r="P655">
        <v>0.99750119999999998</v>
      </c>
      <c r="Q655">
        <v>-1.355431E-2</v>
      </c>
      <c r="R655">
        <v>6.9339739999999997E-2</v>
      </c>
      <c r="S655">
        <v>3.041229</v>
      </c>
      <c r="T655">
        <v>-0.18259629999999999</v>
      </c>
      <c r="U655">
        <v>-0.5220032</v>
      </c>
      <c r="V655">
        <v>-6.4611039999999995E-2</v>
      </c>
      <c r="W655">
        <v>-1.2221859999999999E-4</v>
      </c>
      <c r="X655">
        <v>0.99791050000000003</v>
      </c>
      <c r="Y655">
        <v>0.1735257</v>
      </c>
      <c r="Z655">
        <v>-5.4491790000000002E-3</v>
      </c>
      <c r="AA655">
        <v>0.98481430000000003</v>
      </c>
      <c r="AB655">
        <v>37</v>
      </c>
      <c r="AC655">
        <v>17.472199999999901</v>
      </c>
      <c r="AD655">
        <v>-1.0601327267789999</v>
      </c>
      <c r="AE655">
        <v>-3.0316000000000201</v>
      </c>
      <c r="AF655">
        <v>3.1032847206002598</v>
      </c>
      <c r="AG655">
        <v>-1.0601327267789999</v>
      </c>
      <c r="AH655">
        <v>17.395465654333499</v>
      </c>
      <c r="AI655">
        <v>93.433392706172</v>
      </c>
      <c r="AJ655">
        <v>79.885059037970606</v>
      </c>
      <c r="AK655">
        <v>17.701877945195399</v>
      </c>
      <c r="AL655">
        <v>90.007002610089401</v>
      </c>
      <c r="AM655">
        <v>93.7045205187394</v>
      </c>
      <c r="AN655">
        <v>0.99999998371875798</v>
      </c>
    </row>
    <row r="656" spans="1:40" x14ac:dyDescent="0.3">
      <c r="A656" t="str">
        <f>"20200111160417362"</f>
        <v>20200111160417362</v>
      </c>
      <c r="B656" t="str">
        <f>"1578729857351306"</f>
        <v>1578729857351306</v>
      </c>
      <c r="C656" t="s">
        <v>40</v>
      </c>
      <c r="D656">
        <v>4.8056260000000002</v>
      </c>
      <c r="E656">
        <v>0.59261390000000003</v>
      </c>
      <c r="F656" t="s">
        <v>41</v>
      </c>
      <c r="G656">
        <v>-278.43290000000002</v>
      </c>
      <c r="H656" s="1">
        <v>-1.8387939999999999E-6</v>
      </c>
      <c r="I656">
        <v>364.6574</v>
      </c>
      <c r="J656">
        <v>-296.02929999999998</v>
      </c>
      <c r="K656">
        <v>1.0601339999999999</v>
      </c>
      <c r="L656">
        <v>367.70979999999997</v>
      </c>
      <c r="M656">
        <v>0.99989819999999996</v>
      </c>
      <c r="N656">
        <v>0</v>
      </c>
      <c r="O656">
        <v>4.743443E-3</v>
      </c>
      <c r="P656">
        <v>0.99749299999999996</v>
      </c>
      <c r="Q656">
        <v>-1.364052E-2</v>
      </c>
      <c r="R656">
        <v>6.9440790000000002E-2</v>
      </c>
      <c r="S656">
        <v>3.0413209999999999</v>
      </c>
      <c r="T656">
        <v>-0.18127869999999999</v>
      </c>
      <c r="U656">
        <v>-0.52178959999999996</v>
      </c>
      <c r="V656">
        <v>-6.4708130000000003E-2</v>
      </c>
      <c r="W656">
        <v>-2.106109E-4</v>
      </c>
      <c r="X656">
        <v>0.99790420000000002</v>
      </c>
      <c r="Y656">
        <v>0.17346249999999999</v>
      </c>
      <c r="Z656">
        <v>-5.4081880000000004E-3</v>
      </c>
      <c r="AA656">
        <v>0.98482559999999997</v>
      </c>
      <c r="AB656">
        <v>37</v>
      </c>
      <c r="AC656">
        <v>17.5963999999999</v>
      </c>
      <c r="AD656">
        <v>-1.0601358387940001</v>
      </c>
      <c r="AE656">
        <v>-3.0523999999999698</v>
      </c>
      <c r="AF656">
        <v>3.1248297472115798</v>
      </c>
      <c r="AG656">
        <v>-1.0601358387940001</v>
      </c>
      <c r="AH656">
        <v>17.519986500005899</v>
      </c>
      <c r="AI656">
        <v>93.409080541003206</v>
      </c>
      <c r="AJ656">
        <v>79.8871794631158</v>
      </c>
      <c r="AK656">
        <v>17.8280222096042</v>
      </c>
      <c r="AL656">
        <v>90.012067115906405</v>
      </c>
      <c r="AM656">
        <v>93.710095064948206</v>
      </c>
      <c r="AN656">
        <v>0.99999998941134405</v>
      </c>
    </row>
    <row r="657" spans="1:40" x14ac:dyDescent="0.3">
      <c r="A657" t="str">
        <f>"20200111160417378"</f>
        <v>20200111160417378</v>
      </c>
      <c r="B657" t="str">
        <f>"1578729857371800"</f>
        <v>1578729857371800</v>
      </c>
      <c r="C657" t="s">
        <v>40</v>
      </c>
      <c r="D657">
        <v>4.8291110000000002</v>
      </c>
      <c r="E657">
        <v>0.59250689999999995</v>
      </c>
      <c r="F657" t="s">
        <v>41</v>
      </c>
      <c r="G657">
        <v>-278.24549999999999</v>
      </c>
      <c r="H657" s="1">
        <v>-1.901578E-6</v>
      </c>
      <c r="I657">
        <v>364.66120000000001</v>
      </c>
      <c r="J657">
        <v>-295.75599999999997</v>
      </c>
      <c r="K657">
        <v>1.0601339999999999</v>
      </c>
      <c r="L657">
        <v>367.71109999999999</v>
      </c>
      <c r="M657">
        <v>0.99989830000000002</v>
      </c>
      <c r="N657">
        <v>0</v>
      </c>
      <c r="O657">
        <v>4.7497199999999998E-3</v>
      </c>
      <c r="P657">
        <v>0.9974845</v>
      </c>
      <c r="Q657">
        <v>-1.319964E-2</v>
      </c>
      <c r="R657">
        <v>6.964563E-2</v>
      </c>
      <c r="S657">
        <v>3.0413510000000001</v>
      </c>
      <c r="T657">
        <v>-0.1813014</v>
      </c>
      <c r="U657">
        <v>-0.52136229999999995</v>
      </c>
      <c r="V657">
        <v>-6.4906539999999999E-2</v>
      </c>
      <c r="W657">
        <v>2.272765E-4</v>
      </c>
      <c r="X657">
        <v>0.99789130000000004</v>
      </c>
      <c r="Y657">
        <v>0.17333280000000001</v>
      </c>
      <c r="Z657">
        <v>-5.4054059999999998E-3</v>
      </c>
      <c r="AA657">
        <v>0.98484850000000002</v>
      </c>
      <c r="AB657">
        <v>37</v>
      </c>
      <c r="AC657">
        <v>17.510499999999901</v>
      </c>
      <c r="AD657">
        <v>-1.0601359015780001</v>
      </c>
      <c r="AE657">
        <v>-3.0498999999999801</v>
      </c>
      <c r="AF657">
        <v>3.1219367493105699</v>
      </c>
      <c r="AG657">
        <v>-1.0601359015780001</v>
      </c>
      <c r="AH657">
        <v>17.433793994265301</v>
      </c>
      <c r="AI657">
        <v>93.425471469269894</v>
      </c>
      <c r="AJ657">
        <v>79.847433277607607</v>
      </c>
      <c r="AK657">
        <v>17.742816862916399</v>
      </c>
      <c r="AL657">
        <v>89.986978015376707</v>
      </c>
      <c r="AM657">
        <v>93.721487123162305</v>
      </c>
      <c r="AN657">
        <v>0.99999997860253398</v>
      </c>
    </row>
    <row r="658" spans="1:40" x14ac:dyDescent="0.3">
      <c r="A658" t="str">
        <f>"20200111160417389"</f>
        <v>20200111160417389</v>
      </c>
      <c r="B658" t="str">
        <f>"1578729857381561"</f>
        <v>1578729857381561</v>
      </c>
      <c r="C658" t="s">
        <v>40</v>
      </c>
      <c r="D658">
        <v>4.81724</v>
      </c>
      <c r="E658">
        <v>0.59250349999999996</v>
      </c>
      <c r="F658" t="s">
        <v>41</v>
      </c>
      <c r="G658">
        <v>-277.77780000000001</v>
      </c>
      <c r="H658" s="1">
        <v>-2.0669769999999999E-6</v>
      </c>
      <c r="I658">
        <v>364.63760000000002</v>
      </c>
      <c r="J658">
        <v>-295.57420000000002</v>
      </c>
      <c r="K658">
        <v>1.060135</v>
      </c>
      <c r="L658">
        <v>367.71199999999999</v>
      </c>
      <c r="M658">
        <v>0.99989830000000002</v>
      </c>
      <c r="N658">
        <v>0</v>
      </c>
      <c r="O658">
        <v>4.7539050000000001E-3</v>
      </c>
      <c r="P658">
        <v>0.99748669999999995</v>
      </c>
      <c r="Q658">
        <v>-1.306977E-2</v>
      </c>
      <c r="R658">
        <v>6.9640320000000006E-2</v>
      </c>
      <c r="S658">
        <v>3.0415040000000002</v>
      </c>
      <c r="T658">
        <v>-0.17935090000000001</v>
      </c>
      <c r="U658">
        <v>-0.51995849999999999</v>
      </c>
      <c r="V658">
        <v>-6.489702E-2</v>
      </c>
      <c r="W658">
        <v>3.555454E-4</v>
      </c>
      <c r="X658">
        <v>0.99789190000000005</v>
      </c>
      <c r="Y658">
        <v>0.1728943</v>
      </c>
      <c r="Z658">
        <v>-5.3347169999999897E-3</v>
      </c>
      <c r="AA658">
        <v>0.98492590000000002</v>
      </c>
      <c r="AB658">
        <v>37</v>
      </c>
      <c r="AC658">
        <v>17.796399999999998</v>
      </c>
      <c r="AD658">
        <v>-1.0601370669769901</v>
      </c>
      <c r="AE658">
        <v>-3.0743999999999598</v>
      </c>
      <c r="AF658">
        <v>3.1481275234072901</v>
      </c>
      <c r="AG658">
        <v>-1.0601370669769901</v>
      </c>
      <c r="AH658">
        <v>17.720521017321001</v>
      </c>
      <c r="AI658">
        <v>93.371003282420801</v>
      </c>
      <c r="AJ658">
        <v>79.926257764640994</v>
      </c>
      <c r="AK658">
        <v>18.029183637362198</v>
      </c>
      <c r="AL658">
        <v>89.979628748661298</v>
      </c>
      <c r="AM658">
        <v>93.720940586159401</v>
      </c>
      <c r="AN658">
        <v>0.99999999685151097</v>
      </c>
    </row>
    <row r="659" spans="1:40" x14ac:dyDescent="0.3">
      <c r="A659" t="str">
        <f>"20200111160417400"</f>
        <v>20200111160417400</v>
      </c>
      <c r="B659" t="str">
        <f>"1578729857391321"</f>
        <v>1578729857391321</v>
      </c>
      <c r="C659" t="s">
        <v>40</v>
      </c>
      <c r="D659">
        <v>4.8438670000000004</v>
      </c>
      <c r="E659">
        <v>0.59246909999999997</v>
      </c>
      <c r="F659" t="s">
        <v>41</v>
      </c>
      <c r="G659">
        <v>-277.5324</v>
      </c>
      <c r="H659" s="1">
        <v>-2.152733E-6</v>
      </c>
      <c r="I659">
        <v>364.62920000000003</v>
      </c>
      <c r="J659">
        <v>-295.38799999999998</v>
      </c>
      <c r="K659">
        <v>1.060138</v>
      </c>
      <c r="L659">
        <v>367.71289999999999</v>
      </c>
      <c r="M659">
        <v>0.99989830000000002</v>
      </c>
      <c r="N659">
        <v>0</v>
      </c>
      <c r="O659">
        <v>4.7579709999999997E-3</v>
      </c>
      <c r="P659">
        <v>0.9974845</v>
      </c>
      <c r="Q659">
        <v>-1.264409E-2</v>
      </c>
      <c r="R659">
        <v>6.9750480000000004E-2</v>
      </c>
      <c r="S659">
        <v>3.0415040000000002</v>
      </c>
      <c r="T659">
        <v>-0.17871819999999999</v>
      </c>
      <c r="U659">
        <v>-0.51968380000000003</v>
      </c>
      <c r="V659">
        <v>-6.5003580000000005E-2</v>
      </c>
      <c r="W659">
        <v>7.7897709999999996E-4</v>
      </c>
      <c r="X659">
        <v>0.99788480000000002</v>
      </c>
      <c r="Y659">
        <v>0.1728142</v>
      </c>
      <c r="Z659">
        <v>-5.3138719999999999E-3</v>
      </c>
      <c r="AA659">
        <v>0.98494009999999999</v>
      </c>
      <c r="AB659">
        <v>37</v>
      </c>
      <c r="AC659">
        <v>17.8555999999999</v>
      </c>
      <c r="AD659">
        <v>-1.0601401527330001</v>
      </c>
      <c r="AE659">
        <v>-3.0836999999999599</v>
      </c>
      <c r="AF659">
        <v>3.1578198054984901</v>
      </c>
      <c r="AG659">
        <v>-1.0601401527330001</v>
      </c>
      <c r="AH659">
        <v>17.779862931721901</v>
      </c>
      <c r="AI659">
        <v>93.359815422608307</v>
      </c>
      <c r="AJ659">
        <v>79.928913323189207</v>
      </c>
      <c r="AK659">
        <v>18.089202551197602</v>
      </c>
      <c r="AL659">
        <v>89.955367898583404</v>
      </c>
      <c r="AM659">
        <v>93.727059555486505</v>
      </c>
      <c r="AN659">
        <v>1.0000000731445799</v>
      </c>
    </row>
    <row r="660" spans="1:40" x14ac:dyDescent="0.3">
      <c r="A660" t="str">
        <f>"20200111160417411"</f>
        <v>20200111160417411</v>
      </c>
      <c r="B660" t="str">
        <f>"1578729857402057"</f>
        <v>1578729857402057</v>
      </c>
      <c r="C660" t="s">
        <v>40</v>
      </c>
      <c r="D660">
        <v>4.8455490000000001</v>
      </c>
      <c r="E660">
        <v>0.59248630000000002</v>
      </c>
      <c r="F660" t="s">
        <v>41</v>
      </c>
      <c r="G660">
        <v>-277.18579999999997</v>
      </c>
      <c r="H660" s="1">
        <v>-2.2772649999999999E-6</v>
      </c>
      <c r="I660">
        <v>364.60449999999997</v>
      </c>
      <c r="J660">
        <v>-295.202</v>
      </c>
      <c r="K660">
        <v>1.0601389999999999</v>
      </c>
      <c r="L660">
        <v>367.71370000000002</v>
      </c>
      <c r="M660">
        <v>0.99989830000000002</v>
      </c>
      <c r="N660">
        <v>0</v>
      </c>
      <c r="O660">
        <v>4.7622159999999997E-3</v>
      </c>
      <c r="P660">
        <v>0.99749180000000004</v>
      </c>
      <c r="Q660">
        <v>-1.2376450000000001E-2</v>
      </c>
      <c r="R660">
        <v>6.9692889999999993E-2</v>
      </c>
      <c r="S660">
        <v>3.041595</v>
      </c>
      <c r="T660">
        <v>-0.1771489</v>
      </c>
      <c r="U660">
        <v>-0.51940920000000002</v>
      </c>
      <c r="V660">
        <v>-6.4941230000000003E-2</v>
      </c>
      <c r="W660">
        <v>1.0445750000000001E-3</v>
      </c>
      <c r="X660">
        <v>0.99788860000000001</v>
      </c>
      <c r="Y660">
        <v>0.17273229999999901</v>
      </c>
      <c r="Z660">
        <v>-5.2650509999999998E-3</v>
      </c>
      <c r="AA660">
        <v>0.98495469999999896</v>
      </c>
      <c r="AB660">
        <v>37</v>
      </c>
      <c r="AC660">
        <v>18.016200000000001</v>
      </c>
      <c r="AD660">
        <v>-1.0601412772649901</v>
      </c>
      <c r="AE660">
        <v>-3.1092000000000399</v>
      </c>
      <c r="AF660">
        <v>3.1842626154142</v>
      </c>
      <c r="AG660">
        <v>-1.0601412772649901</v>
      </c>
      <c r="AH660">
        <v>17.940862469794901</v>
      </c>
      <c r="AI660">
        <v>93.329805022513199</v>
      </c>
      <c r="AJ660">
        <v>79.9355751644283</v>
      </c>
      <c r="AK660">
        <v>18.2520676662065</v>
      </c>
      <c r="AL660">
        <v>89.940150253597594</v>
      </c>
      <c r="AM660">
        <v>93.723480564542399</v>
      </c>
      <c r="AN660">
        <v>1.0000000562503999</v>
      </c>
    </row>
    <row r="661" spans="1:40" x14ac:dyDescent="0.3">
      <c r="A661" t="str">
        <f>"20200111160417424"</f>
        <v>20200111160417424</v>
      </c>
      <c r="B661" t="str">
        <f>"1578729857421577"</f>
        <v>1578729857421577</v>
      </c>
      <c r="C661" t="s">
        <v>40</v>
      </c>
      <c r="D661">
        <v>4.9517559999999996</v>
      </c>
      <c r="E661">
        <v>0.59246399999999999</v>
      </c>
      <c r="F661" t="s">
        <v>41</v>
      </c>
      <c r="G661">
        <v>-276.86450000000002</v>
      </c>
      <c r="H661" s="1">
        <v>-2.3928359999999999E-6</v>
      </c>
      <c r="I661">
        <v>364.58100000000002</v>
      </c>
      <c r="J661">
        <v>-294.99439999999998</v>
      </c>
      <c r="K661">
        <v>1.0601430000000001</v>
      </c>
      <c r="L661">
        <v>367.71480000000003</v>
      </c>
      <c r="M661">
        <v>0.99989830000000002</v>
      </c>
      <c r="N661">
        <v>0</v>
      </c>
      <c r="O661">
        <v>4.7670569999999999E-3</v>
      </c>
      <c r="P661">
        <v>0.99749549999999998</v>
      </c>
      <c r="Q661">
        <v>-1.214953E-2</v>
      </c>
      <c r="R661">
        <v>6.9677879999999998E-2</v>
      </c>
      <c r="S661">
        <v>3.0416560000000001</v>
      </c>
      <c r="T661">
        <v>-0.17584620000000001</v>
      </c>
      <c r="U661">
        <v>-0.51962280000000005</v>
      </c>
      <c r="V661">
        <v>-6.4921720000000002E-2</v>
      </c>
      <c r="W661">
        <v>1.2696420000000001E-3</v>
      </c>
      <c r="X661">
        <v>0.99788960000000004</v>
      </c>
      <c r="Y661">
        <v>0.17280519999999999</v>
      </c>
      <c r="Z661">
        <v>-5.2286329999999999E-3</v>
      </c>
      <c r="AA661">
        <v>0.98494210000000004</v>
      </c>
      <c r="AB661">
        <v>37</v>
      </c>
      <c r="AC661">
        <v>18.1298999999999</v>
      </c>
      <c r="AD661">
        <v>-1.0601453928360001</v>
      </c>
      <c r="AE661">
        <v>-3.1338000000000599</v>
      </c>
      <c r="AF661">
        <v>3.2095423831555299</v>
      </c>
      <c r="AG661">
        <v>-1.0601453928360001</v>
      </c>
      <c r="AH661">
        <v>18.054809409805198</v>
      </c>
      <c r="AI661">
        <v>93.308690533424993</v>
      </c>
      <c r="AJ661">
        <v>79.920021907110296</v>
      </c>
      <c r="AK661">
        <v>18.3684842430619</v>
      </c>
      <c r="AL661">
        <v>89.927254855837106</v>
      </c>
      <c r="AM661">
        <v>93.722361361838196</v>
      </c>
      <c r="AN661">
        <v>1.0000000477533599</v>
      </c>
    </row>
    <row r="662" spans="1:40" x14ac:dyDescent="0.3">
      <c r="A662" t="str">
        <f>"20200111160417436"</f>
        <v>20200111160417436</v>
      </c>
      <c r="B662" t="str">
        <f>"1578729857431339"</f>
        <v>1578729857431339</v>
      </c>
      <c r="C662" t="s">
        <v>40</v>
      </c>
      <c r="D662">
        <v>4.8670460000000002</v>
      </c>
      <c r="E662">
        <v>0.59244589999999997</v>
      </c>
      <c r="F662" t="s">
        <v>41</v>
      </c>
      <c r="G662">
        <v>-276.57740000000001</v>
      </c>
      <c r="H662" s="1">
        <v>-2.4939430000000001E-6</v>
      </c>
      <c r="I662">
        <v>364.56830000000002</v>
      </c>
      <c r="J662">
        <v>-294.78660000000002</v>
      </c>
      <c r="K662">
        <v>1.060147</v>
      </c>
      <c r="L662">
        <v>367.71570000000003</v>
      </c>
      <c r="M662">
        <v>0.99989839999999997</v>
      </c>
      <c r="N662">
        <v>0</v>
      </c>
      <c r="O662">
        <v>4.771305E-3</v>
      </c>
      <c r="P662">
        <v>0.99750349999999999</v>
      </c>
      <c r="Q662">
        <v>-1.184343E-2</v>
      </c>
      <c r="R662">
        <v>6.9621119999999995E-2</v>
      </c>
      <c r="S662">
        <v>3.041687</v>
      </c>
      <c r="T662">
        <v>-0.17508889999999999</v>
      </c>
      <c r="U662">
        <v>-0.51965329999999998</v>
      </c>
      <c r="V662">
        <v>-6.4860769999999998E-2</v>
      </c>
      <c r="W662">
        <v>1.5738639999999999E-3</v>
      </c>
      <c r="X662">
        <v>0.99789309999999998</v>
      </c>
      <c r="Y662">
        <v>0.1728198</v>
      </c>
      <c r="Z662">
        <v>-5.2067529999999997E-3</v>
      </c>
      <c r="AA662">
        <v>0.98493969999999997</v>
      </c>
      <c r="AB662">
        <v>37</v>
      </c>
      <c r="AC662">
        <v>18.209199999999999</v>
      </c>
      <c r="AD662">
        <v>-1.0601494939429901</v>
      </c>
      <c r="AE662">
        <v>-3.1474000000000002</v>
      </c>
      <c r="AF662">
        <v>3.2236436727223601</v>
      </c>
      <c r="AG662">
        <v>-1.0601494939429901</v>
      </c>
      <c r="AH662">
        <v>18.1342887348167</v>
      </c>
      <c r="AI662">
        <v>93.294234718724695</v>
      </c>
      <c r="AJ662">
        <v>79.920106074747693</v>
      </c>
      <c r="AK662">
        <v>18.449071071354599</v>
      </c>
      <c r="AL662">
        <v>89.909824199647403</v>
      </c>
      <c r="AM662">
        <v>93.718863527952493</v>
      </c>
      <c r="AN662">
        <v>1.0000000177802399</v>
      </c>
    </row>
    <row r="663" spans="1:40" x14ac:dyDescent="0.3">
      <c r="A663" t="str">
        <f>"20200111160417448"</f>
        <v>20200111160417448</v>
      </c>
      <c r="B663" t="str">
        <f>"1578729857441100"</f>
        <v>1578729857441100</v>
      </c>
      <c r="C663" t="s">
        <v>40</v>
      </c>
      <c r="D663">
        <v>4.8709870000000004</v>
      </c>
      <c r="E663">
        <v>0.59245179999999997</v>
      </c>
      <c r="F663" t="s">
        <v>41</v>
      </c>
      <c r="G663">
        <v>-276.25020000000001</v>
      </c>
      <c r="H663" s="1">
        <v>-2.6101499999999999E-6</v>
      </c>
      <c r="I663">
        <v>364.55</v>
      </c>
      <c r="J663">
        <v>-294.59249999999997</v>
      </c>
      <c r="K663">
        <v>1.0601499999999999</v>
      </c>
      <c r="L663">
        <v>367.71660000000003</v>
      </c>
      <c r="M663">
        <v>0.99989830000000002</v>
      </c>
      <c r="N663">
        <v>0</v>
      </c>
      <c r="O663">
        <v>4.7755509999999899E-3</v>
      </c>
      <c r="P663">
        <v>0.99751219999999996</v>
      </c>
      <c r="Q663">
        <v>-1.169133E-2</v>
      </c>
      <c r="R663">
        <v>6.9518759999999999E-2</v>
      </c>
      <c r="S663">
        <v>3.0417179999999999</v>
      </c>
      <c r="T663">
        <v>-0.1739637</v>
      </c>
      <c r="U663">
        <v>-0.51947019999999999</v>
      </c>
      <c r="V663">
        <v>-6.4754179999999995E-2</v>
      </c>
      <c r="W663">
        <v>1.7240679999999901E-3</v>
      </c>
      <c r="X663">
        <v>0.9978998</v>
      </c>
      <c r="Y663">
        <v>0.17276849999999999</v>
      </c>
      <c r="Z663">
        <v>-5.1721090000000003E-3</v>
      </c>
      <c r="AA663">
        <v>0.98494890000000002</v>
      </c>
      <c r="AB663">
        <v>37</v>
      </c>
      <c r="AC663">
        <v>18.342299999999899</v>
      </c>
      <c r="AD663">
        <v>-1.0601526101499901</v>
      </c>
      <c r="AE663">
        <v>-3.1666000000000101</v>
      </c>
      <c r="AF663">
        <v>3.2436441562859799</v>
      </c>
      <c r="AG663">
        <v>-1.0601526101499901</v>
      </c>
      <c r="AH663">
        <v>18.267707603026299</v>
      </c>
      <c r="AI663">
        <v>93.270351503318693</v>
      </c>
      <c r="AJ663">
        <v>79.931406736867103</v>
      </c>
      <c r="AK663">
        <v>18.583710394834501</v>
      </c>
      <c r="AL663">
        <v>89.901218135370499</v>
      </c>
      <c r="AM663">
        <v>93.712744322809897</v>
      </c>
      <c r="AN663">
        <v>1.00000004353898</v>
      </c>
    </row>
    <row r="664" spans="1:40" x14ac:dyDescent="0.3">
      <c r="A664" t="str">
        <f>"20200111160417459"</f>
        <v>20200111160417459</v>
      </c>
      <c r="B664" t="str">
        <f>"1578729857451834"</f>
        <v>1578729857451834</v>
      </c>
      <c r="C664" t="s">
        <v>40</v>
      </c>
      <c r="D664">
        <v>4.8939640000000004</v>
      </c>
      <c r="E664">
        <v>0.59246549999999998</v>
      </c>
      <c r="F664" t="s">
        <v>41</v>
      </c>
      <c r="G664">
        <v>-276.0369</v>
      </c>
      <c r="H664" s="1">
        <v>-2.6843669999999998E-6</v>
      </c>
      <c r="I664">
        <v>364.54390000000001</v>
      </c>
      <c r="J664">
        <v>-294.39830000000001</v>
      </c>
      <c r="K664">
        <v>1.0601510000000001</v>
      </c>
      <c r="L664">
        <v>367.7176</v>
      </c>
      <c r="M664">
        <v>0.99989830000000002</v>
      </c>
      <c r="N664">
        <v>0</v>
      </c>
      <c r="O664">
        <v>4.7797350000000002E-3</v>
      </c>
      <c r="P664">
        <v>0.99754299999999996</v>
      </c>
      <c r="Q664">
        <v>-1.098946E-2</v>
      </c>
      <c r="R664">
        <v>6.9189529999999999E-2</v>
      </c>
      <c r="S664">
        <v>3.041687</v>
      </c>
      <c r="T664">
        <v>-0.17378279999999999</v>
      </c>
      <c r="U664">
        <v>-0.5200806</v>
      </c>
      <c r="V664">
        <v>-6.4420039999999998E-2</v>
      </c>
      <c r="W664">
        <v>2.4245400000000002E-3</v>
      </c>
      <c r="X664">
        <v>0.99791989999999997</v>
      </c>
      <c r="Y664">
        <v>0.1729665</v>
      </c>
      <c r="Z664">
        <v>-5.1725520000000004E-3</v>
      </c>
      <c r="AA664">
        <v>0.98491410000000001</v>
      </c>
      <c r="AB664">
        <v>37</v>
      </c>
      <c r="AC664">
        <v>18.3614</v>
      </c>
      <c r="AD664">
        <v>-1.0601536843670001</v>
      </c>
      <c r="AE664">
        <v>-3.17369999999999</v>
      </c>
      <c r="AF664">
        <v>3.2509111271108901</v>
      </c>
      <c r="AG664">
        <v>-1.0601536843670001</v>
      </c>
      <c r="AH664">
        <v>18.286825156768</v>
      </c>
      <c r="AI664">
        <v>93.266824408926993</v>
      </c>
      <c r="AJ664">
        <v>79.919645023302905</v>
      </c>
      <c r="AK664">
        <v>18.603771749434401</v>
      </c>
      <c r="AL664">
        <v>89.861083950940895</v>
      </c>
      <c r="AM664">
        <v>93.693565060228906</v>
      </c>
      <c r="AN664">
        <v>0.99999997338191104</v>
      </c>
    </row>
    <row r="665" spans="1:40" x14ac:dyDescent="0.3">
      <c r="A665" t="str">
        <f>"20200111160417470"</f>
        <v>20200111160417470</v>
      </c>
      <c r="B665" t="str">
        <f>"1578729857461593"</f>
        <v>1578729857461593</v>
      </c>
      <c r="C665" t="s">
        <v>40</v>
      </c>
      <c r="D665">
        <v>5.0218600000000002</v>
      </c>
      <c r="E665">
        <v>0.59246549999999998</v>
      </c>
      <c r="F665" t="s">
        <v>41</v>
      </c>
      <c r="G665">
        <v>-275.58569999999997</v>
      </c>
      <c r="H665" s="1">
        <v>-2.851004E-6</v>
      </c>
      <c r="I665">
        <v>364.49459999999999</v>
      </c>
      <c r="J665">
        <v>-294.22559999999999</v>
      </c>
      <c r="K665">
        <v>1.0601579999999999</v>
      </c>
      <c r="L665">
        <v>367.71839999999997</v>
      </c>
      <c r="M665">
        <v>0.99989830000000002</v>
      </c>
      <c r="N665">
        <v>0</v>
      </c>
      <c r="O665">
        <v>4.7834399999999999E-3</v>
      </c>
      <c r="P665">
        <v>0.99755320000000003</v>
      </c>
      <c r="Q665">
        <v>-1.0910889999999999E-2</v>
      </c>
      <c r="R665">
        <v>6.9056670000000001E-2</v>
      </c>
      <c r="S665">
        <v>3.041687</v>
      </c>
      <c r="T665">
        <v>-0.1714089</v>
      </c>
      <c r="U665">
        <v>-0.52108759999999998</v>
      </c>
      <c r="V665">
        <v>-6.4283469999999995E-2</v>
      </c>
      <c r="W665">
        <v>2.5017870000000001E-3</v>
      </c>
      <c r="X665">
        <v>0.99792860000000005</v>
      </c>
      <c r="Y665">
        <v>0.17329410000000001</v>
      </c>
      <c r="Z665">
        <v>-5.1112279999999998E-3</v>
      </c>
      <c r="AA665">
        <v>0.98485679999999998</v>
      </c>
      <c r="AB665">
        <v>37</v>
      </c>
      <c r="AC665">
        <v>18.639900000000001</v>
      </c>
      <c r="AD665">
        <v>-1.0601608510039999</v>
      </c>
      <c r="AE665">
        <v>-3.2237999999999798</v>
      </c>
      <c r="AF665">
        <v>3.3025609401027198</v>
      </c>
      <c r="AG665">
        <v>-1.0601608510039999</v>
      </c>
      <c r="AH665">
        <v>18.565950394659399</v>
      </c>
      <c r="AI665">
        <v>93.217775353771501</v>
      </c>
      <c r="AJ665">
        <v>79.913576021425698</v>
      </c>
      <c r="AK665">
        <v>18.887174586211799</v>
      </c>
      <c r="AL665">
        <v>89.856658022312303</v>
      </c>
      <c r="AM665">
        <v>93.685724293125901</v>
      </c>
      <c r="AN665">
        <v>1.00000005707569</v>
      </c>
    </row>
    <row r="666" spans="1:40" x14ac:dyDescent="0.3">
      <c r="A666" t="str">
        <f>"20200111160417481"</f>
        <v>20200111160417481</v>
      </c>
      <c r="B666" t="str">
        <f>"1578729857471353"</f>
        <v>1578729857471353</v>
      </c>
      <c r="C666" t="s">
        <v>40</v>
      </c>
      <c r="D666">
        <v>8.2516839999999991</v>
      </c>
      <c r="E666">
        <v>0.59246549999999998</v>
      </c>
      <c r="F666" t="s">
        <v>41</v>
      </c>
      <c r="G666">
        <v>-275.4074</v>
      </c>
      <c r="H666" s="1">
        <v>-2.9122019999999999E-6</v>
      </c>
      <c r="I666">
        <v>364.49270000000001</v>
      </c>
      <c r="J666">
        <v>-294.03739999999999</v>
      </c>
      <c r="K666">
        <v>1.0601609999999999</v>
      </c>
      <c r="L666">
        <v>367.71929999999998</v>
      </c>
      <c r="M666">
        <v>0.99989839999999997</v>
      </c>
      <c r="N666">
        <v>0</v>
      </c>
      <c r="O666">
        <v>4.7875039999999997E-3</v>
      </c>
      <c r="P666">
        <v>0.99756920000000004</v>
      </c>
      <c r="Q666">
        <v>-1.0675479999999999E-2</v>
      </c>
      <c r="R666">
        <v>6.885993E-2</v>
      </c>
      <c r="S666">
        <v>3.041595</v>
      </c>
      <c r="T666">
        <v>-0.171353799999999</v>
      </c>
      <c r="U666">
        <v>-0.52136229999999995</v>
      </c>
      <c r="V666">
        <v>-6.4082620000000007E-2</v>
      </c>
      <c r="W666">
        <v>2.7354359999999999E-3</v>
      </c>
      <c r="X666">
        <v>0.99794079999999996</v>
      </c>
      <c r="Y666">
        <v>0.1733894</v>
      </c>
      <c r="Z666">
        <v>-5.112592E-3</v>
      </c>
      <c r="AA666">
        <v>0.9848401</v>
      </c>
      <c r="AB666">
        <v>37</v>
      </c>
      <c r="AC666">
        <v>18.6299999999999</v>
      </c>
      <c r="AD666">
        <v>-1.0601639122019999</v>
      </c>
      <c r="AE666">
        <v>-3.2265999999999599</v>
      </c>
      <c r="AF666">
        <v>3.3053701191873901</v>
      </c>
      <c r="AG666">
        <v>-1.0601639122019999</v>
      </c>
      <c r="AH666">
        <v>18.555997352732</v>
      </c>
      <c r="AI666">
        <v>93.219370142185696</v>
      </c>
      <c r="AJ666">
        <v>79.899869625330197</v>
      </c>
      <c r="AK666">
        <v>18.877882744104198</v>
      </c>
      <c r="AL666">
        <v>89.843270859177494</v>
      </c>
      <c r="AM666">
        <v>93.674195259313507</v>
      </c>
      <c r="AN666">
        <v>0.99999995255040597</v>
      </c>
    </row>
    <row r="667" spans="1:40" x14ac:dyDescent="0.3">
      <c r="A667" t="str">
        <f>"20200111160417492"</f>
        <v>20200111160417492</v>
      </c>
      <c r="B667" t="str">
        <f>"1578729857481113"</f>
        <v>1578729857481113</v>
      </c>
      <c r="C667" t="s">
        <v>40</v>
      </c>
      <c r="D667">
        <v>5.0722310000000004</v>
      </c>
      <c r="E667">
        <v>0.59246549999999998</v>
      </c>
      <c r="F667" t="s">
        <v>41</v>
      </c>
      <c r="G667">
        <v>-275.14229999999998</v>
      </c>
      <c r="H667" s="1">
        <v>-3.0065220000000001E-6</v>
      </c>
      <c r="I667">
        <v>364.47730000000001</v>
      </c>
      <c r="J667">
        <v>-293.85789999999997</v>
      </c>
      <c r="K667">
        <v>1.060162</v>
      </c>
      <c r="L667">
        <v>367.72019999999998</v>
      </c>
      <c r="M667">
        <v>0.99989830000000002</v>
      </c>
      <c r="N667">
        <v>0</v>
      </c>
      <c r="O667">
        <v>4.7916850000000004E-3</v>
      </c>
      <c r="P667">
        <v>0.99757640000000003</v>
      </c>
      <c r="Q667">
        <v>-1.015307E-2</v>
      </c>
      <c r="R667">
        <v>6.883425E-2</v>
      </c>
      <c r="S667">
        <v>3.0415040000000002</v>
      </c>
      <c r="T667">
        <v>-0.17065139999999901</v>
      </c>
      <c r="U667">
        <v>-0.52185059999999905</v>
      </c>
      <c r="V667">
        <v>-6.4053009999999994E-2</v>
      </c>
      <c r="W667">
        <v>3.2570939999999999E-3</v>
      </c>
      <c r="X667">
        <v>0.99794119999999997</v>
      </c>
      <c r="Y667">
        <v>0.17355400000000001</v>
      </c>
      <c r="Z667">
        <v>-5.0965610000000003E-3</v>
      </c>
      <c r="AA667">
        <v>0.9848112</v>
      </c>
      <c r="AB667">
        <v>37</v>
      </c>
      <c r="AC667">
        <v>18.715599999999899</v>
      </c>
      <c r="AD667">
        <v>-1.0601650065220001</v>
      </c>
      <c r="AE667">
        <v>-3.2428999999999601</v>
      </c>
      <c r="AF667">
        <v>3.3222006434050599</v>
      </c>
      <c r="AG667">
        <v>-1.0601650065220001</v>
      </c>
      <c r="AH667">
        <v>18.641771043867799</v>
      </c>
      <c r="AI667">
        <v>93.204545596273405</v>
      </c>
      <c r="AJ667">
        <v>79.895247185487193</v>
      </c>
      <c r="AK667">
        <v>18.9651415657274</v>
      </c>
      <c r="AL667">
        <v>89.813381933664203</v>
      </c>
      <c r="AM667">
        <v>93.672500740728495</v>
      </c>
      <c r="AN667">
        <v>1.0000000177044099</v>
      </c>
    </row>
    <row r="668" spans="1:40" x14ac:dyDescent="0.3">
      <c r="A668" t="str">
        <f>"20200111160417503"</f>
        <v>20200111160417503</v>
      </c>
      <c r="B668" t="str">
        <f>"1578729857501609"</f>
        <v>1578729857501609</v>
      </c>
      <c r="C668" t="s">
        <v>40</v>
      </c>
      <c r="D668">
        <v>5.1157599999999999</v>
      </c>
      <c r="E668">
        <v>0.50695809999999997</v>
      </c>
      <c r="F668" t="s">
        <v>41</v>
      </c>
      <c r="G668">
        <v>-274.78919999999999</v>
      </c>
      <c r="H668" s="1">
        <v>-3.134874E-6</v>
      </c>
      <c r="I668">
        <v>364.44650000000001</v>
      </c>
      <c r="J668">
        <v>-293.66950000000003</v>
      </c>
      <c r="K668">
        <v>1.060165</v>
      </c>
      <c r="L668">
        <v>367.72109999999998</v>
      </c>
      <c r="M668">
        <v>0.99989839999999997</v>
      </c>
      <c r="N668">
        <v>0</v>
      </c>
      <c r="O668">
        <v>4.7957479999999999E-3</v>
      </c>
      <c r="P668">
        <v>0.99758060000000004</v>
      </c>
      <c r="Q668">
        <v>-9.7523590000000004E-3</v>
      </c>
      <c r="R668">
        <v>6.8835510000000003E-2</v>
      </c>
      <c r="S668">
        <v>3.041595</v>
      </c>
      <c r="T668">
        <v>-0.1691029</v>
      </c>
      <c r="U668">
        <v>-0.52215579999999995</v>
      </c>
      <c r="V668">
        <v>-6.4050079999999995E-2</v>
      </c>
      <c r="W668">
        <v>3.6562040000000001E-3</v>
      </c>
      <c r="X668">
        <v>0.99794000000000005</v>
      </c>
      <c r="Y668">
        <v>0.1736539</v>
      </c>
      <c r="Z668">
        <v>-5.0531710000000004E-3</v>
      </c>
      <c r="AA668">
        <v>0.98479380000000005</v>
      </c>
      <c r="AB668">
        <v>37</v>
      </c>
      <c r="AC668">
        <v>18.880299999999998</v>
      </c>
      <c r="AD668">
        <v>-1.060168134874</v>
      </c>
      <c r="AE668">
        <v>-3.27459999999996</v>
      </c>
      <c r="AF668">
        <v>3.3548465461552399</v>
      </c>
      <c r="AG668">
        <v>-1.060168134874</v>
      </c>
      <c r="AH668">
        <v>18.806810048665</v>
      </c>
      <c r="AI668">
        <v>93.176397136818295</v>
      </c>
      <c r="AJ668">
        <v>79.885698659304694</v>
      </c>
      <c r="AK668">
        <v>19.133087989893799</v>
      </c>
      <c r="AL668">
        <v>89.790514477563804</v>
      </c>
      <c r="AM668">
        <v>93.672337611728807</v>
      </c>
      <c r="AN668">
        <v>1.0000000120878401</v>
      </c>
    </row>
    <row r="669" spans="1:40" x14ac:dyDescent="0.3">
      <c r="A669" t="str">
        <f>"20200111160417516"</f>
        <v>20200111160417516</v>
      </c>
      <c r="B669" t="str">
        <f>"1578729857511369"</f>
        <v>1578729857511369</v>
      </c>
      <c r="C669" t="s">
        <v>40</v>
      </c>
      <c r="D669">
        <v>5.1612269999999896</v>
      </c>
      <c r="E669">
        <v>0.50468990000000002</v>
      </c>
      <c r="F669" t="s">
        <v>44</v>
      </c>
      <c r="G669">
        <v>-279.40989999999999</v>
      </c>
      <c r="H669">
        <v>-0.05</v>
      </c>
      <c r="I669">
        <v>368.49860000000001</v>
      </c>
      <c r="J669">
        <v>-293.47500000000002</v>
      </c>
      <c r="K669">
        <v>1.0601700000000001</v>
      </c>
      <c r="L669">
        <v>367.72199999999998</v>
      </c>
      <c r="M669">
        <v>0.99989830000000002</v>
      </c>
      <c r="N669">
        <v>0</v>
      </c>
      <c r="O669">
        <v>4.8004659999999998E-3</v>
      </c>
      <c r="P669">
        <v>0.99757059999999997</v>
      </c>
      <c r="Q669">
        <v>-9.4232410000000006E-3</v>
      </c>
      <c r="R669">
        <v>6.9021609999999997E-2</v>
      </c>
      <c r="S669">
        <v>2.993744</v>
      </c>
      <c r="T669">
        <v>-0.23307510000000001</v>
      </c>
      <c r="U669">
        <v>0.16323850000000001</v>
      </c>
      <c r="V669">
        <v>-6.4231759999999999E-2</v>
      </c>
      <c r="W669">
        <v>3.9837889999999997E-3</v>
      </c>
      <c r="X669">
        <v>0.99792709999999996</v>
      </c>
      <c r="Y669">
        <v>-4.9516369999999997E-2</v>
      </c>
      <c r="Z669">
        <v>1.550276E-3</v>
      </c>
      <c r="AA669">
        <v>0.99877210000000005</v>
      </c>
      <c r="AB669">
        <v>37</v>
      </c>
      <c r="AC669">
        <v>14.065099999999999</v>
      </c>
      <c r="AD669">
        <v>-1.1101700000000001</v>
      </c>
      <c r="AE669">
        <v>0.77660000000003004</v>
      </c>
      <c r="AF669">
        <v>-0.70468900452347705</v>
      </c>
      <c r="AG669">
        <v>-1.1101700000000001</v>
      </c>
      <c r="AH669">
        <v>13.9818232240033</v>
      </c>
      <c r="AI669">
        <v>94.534083645343301</v>
      </c>
      <c r="AJ669">
        <v>92.885286831310495</v>
      </c>
      <c r="AK669">
        <v>14.043519668846301</v>
      </c>
      <c r="AL669">
        <v>89.771745109940497</v>
      </c>
      <c r="AM669">
        <v>93.682773157836607</v>
      </c>
      <c r="AN669">
        <v>1.0000000432409499</v>
      </c>
    </row>
    <row r="670" spans="1:40" x14ac:dyDescent="0.3">
      <c r="A670" t="str">
        <f>"20200111160417526"</f>
        <v>20200111160417526</v>
      </c>
      <c r="B670" t="str">
        <f>"1578729857521129"</f>
        <v>1578729857521129</v>
      </c>
      <c r="C670" t="s">
        <v>40</v>
      </c>
      <c r="D670">
        <v>5.0366369999999998</v>
      </c>
      <c r="E670">
        <v>0.50396470000000004</v>
      </c>
      <c r="F670" t="s">
        <v>44</v>
      </c>
      <c r="G670">
        <v>-279.40910000000002</v>
      </c>
      <c r="H670">
        <v>-0.05</v>
      </c>
      <c r="I670">
        <v>368.57769999999999</v>
      </c>
      <c r="J670">
        <v>-293.28480000000002</v>
      </c>
      <c r="K670">
        <v>1.0601750000000001</v>
      </c>
      <c r="L670">
        <v>367.72289999999998</v>
      </c>
      <c r="M670">
        <v>0.99989830000000002</v>
      </c>
      <c r="N670">
        <v>0</v>
      </c>
      <c r="O670">
        <v>4.8048850000000001E-3</v>
      </c>
      <c r="P670">
        <v>0.99757399999999996</v>
      </c>
      <c r="Q670">
        <v>-8.9623669999999902E-3</v>
      </c>
      <c r="R670">
        <v>6.9035150000000003E-2</v>
      </c>
      <c r="S670">
        <v>2.9924620000000002</v>
      </c>
      <c r="T670">
        <v>-0.2361838</v>
      </c>
      <c r="U670">
        <v>0.18203739999999999</v>
      </c>
      <c r="V670">
        <v>-6.4240679999999994E-2</v>
      </c>
      <c r="W670">
        <v>4.4425030000000004E-3</v>
      </c>
      <c r="X670">
        <v>0.99792460000000005</v>
      </c>
      <c r="Y670">
        <v>-5.5764679999999997E-2</v>
      </c>
      <c r="Z670">
        <v>1.8168990000000001E-3</v>
      </c>
      <c r="AA670">
        <v>0.9984423</v>
      </c>
      <c r="AB670">
        <v>37</v>
      </c>
      <c r="AC670">
        <v>13.875699999999901</v>
      </c>
      <c r="AD670">
        <v>-1.1101749999999999</v>
      </c>
      <c r="AE670">
        <v>0.854800000000011</v>
      </c>
      <c r="AF670">
        <v>-0.78311889401877099</v>
      </c>
      <c r="AG670">
        <v>-1.1101749999999999</v>
      </c>
      <c r="AH670">
        <v>13.7916953899154</v>
      </c>
      <c r="AI670">
        <v>94.594783222537203</v>
      </c>
      <c r="AJ670">
        <v>93.249874424482698</v>
      </c>
      <c r="AK670">
        <v>13.8584496052411</v>
      </c>
      <c r="AL670">
        <v>89.745462504125399</v>
      </c>
      <c r="AM670">
        <v>93.683292386490805</v>
      </c>
      <c r="AN670">
        <v>1.0000000540424601</v>
      </c>
    </row>
    <row r="671" spans="1:40" x14ac:dyDescent="0.3">
      <c r="A671" t="str">
        <f>"20200111160417538"</f>
        <v>20200111160417538</v>
      </c>
      <c r="B671" t="str">
        <f>"1578729857530889"</f>
        <v>1578729857530889</v>
      </c>
      <c r="C671" t="s">
        <v>40</v>
      </c>
      <c r="D671">
        <v>5.027183</v>
      </c>
      <c r="E671">
        <v>0.50358210000000003</v>
      </c>
      <c r="F671" t="s">
        <v>41</v>
      </c>
      <c r="G671">
        <v>-279.93990000000002</v>
      </c>
      <c r="H671" s="1">
        <v>-2.871882E-7</v>
      </c>
      <c r="I671">
        <v>368.56139999999999</v>
      </c>
      <c r="J671">
        <v>-293.07929999999999</v>
      </c>
      <c r="K671">
        <v>1.0601700000000001</v>
      </c>
      <c r="L671">
        <v>367.72390000000001</v>
      </c>
      <c r="M671">
        <v>0.99989839999999997</v>
      </c>
      <c r="N671">
        <v>0</v>
      </c>
      <c r="O671">
        <v>4.8096010000000002E-3</v>
      </c>
      <c r="P671">
        <v>0.99755950000000004</v>
      </c>
      <c r="Q671">
        <v>-8.6334979999999999E-3</v>
      </c>
      <c r="R671">
        <v>6.9288269999999999E-2</v>
      </c>
      <c r="S671">
        <v>2.9921570000000002</v>
      </c>
      <c r="T671">
        <v>-0.23770769999999999</v>
      </c>
      <c r="U671">
        <v>0.18801880000000001</v>
      </c>
      <c r="V671">
        <v>-6.4489450000000004E-2</v>
      </c>
      <c r="W671">
        <v>4.7696099999999996E-3</v>
      </c>
      <c r="X671">
        <v>0.99790699999999999</v>
      </c>
      <c r="Y671">
        <v>-5.7746119999999998E-2</v>
      </c>
      <c r="Z671">
        <v>1.90679E-3</v>
      </c>
      <c r="AA671">
        <v>0.99832949999999998</v>
      </c>
      <c r="AB671">
        <v>37</v>
      </c>
      <c r="AC671">
        <v>13.139399999999901</v>
      </c>
      <c r="AD671">
        <v>-1.0601702871881999</v>
      </c>
      <c r="AE671">
        <v>0.83749999999997704</v>
      </c>
      <c r="AF671">
        <v>-0.76930124288283996</v>
      </c>
      <c r="AG671">
        <v>-1.0601702871881999</v>
      </c>
      <c r="AH671">
        <v>13.058605122501</v>
      </c>
      <c r="AI671">
        <v>94.633412761674194</v>
      </c>
      <c r="AJ671">
        <v>93.371480221483395</v>
      </c>
      <c r="AK671">
        <v>13.124136283411101</v>
      </c>
      <c r="AL671">
        <v>89.726720443516996</v>
      </c>
      <c r="AM671">
        <v>93.6975813593494</v>
      </c>
      <c r="AN671">
        <v>1.00000000949492</v>
      </c>
    </row>
    <row r="672" spans="1:40" x14ac:dyDescent="0.3">
      <c r="A672" t="str">
        <f>"20200111160417550"</f>
        <v>20200111160417550</v>
      </c>
      <c r="B672" t="str">
        <f>"1578729857541625"</f>
        <v>1578729857541625</v>
      </c>
      <c r="C672" t="s">
        <v>40</v>
      </c>
      <c r="D672">
        <v>5.3330109999999999</v>
      </c>
      <c r="E672">
        <v>0.50405690000000003</v>
      </c>
      <c r="F672" t="s">
        <v>41</v>
      </c>
      <c r="G672">
        <v>-279.8485</v>
      </c>
      <c r="H672" s="1">
        <v>-3.1506330000000002E-7</v>
      </c>
      <c r="I672">
        <v>368.57350000000002</v>
      </c>
      <c r="J672">
        <v>-292.9008</v>
      </c>
      <c r="K672">
        <v>1.0601719999999999</v>
      </c>
      <c r="L672">
        <v>367.72480000000002</v>
      </c>
      <c r="M672">
        <v>0.99989830000000002</v>
      </c>
      <c r="N672">
        <v>0</v>
      </c>
      <c r="O672">
        <v>4.8141379999999999E-3</v>
      </c>
      <c r="P672">
        <v>0.99755700000000003</v>
      </c>
      <c r="Q672">
        <v>-8.7350829999999994E-3</v>
      </c>
      <c r="R672">
        <v>6.9308910000000001E-2</v>
      </c>
      <c r="S672">
        <v>2.9919129999999998</v>
      </c>
      <c r="T672">
        <v>-0.23973659999999999</v>
      </c>
      <c r="U672">
        <v>0.1921387</v>
      </c>
      <c r="V672">
        <v>-6.4505179999999995E-2</v>
      </c>
      <c r="W672">
        <v>4.6670899999999996E-3</v>
      </c>
      <c r="X672">
        <v>0.99790639999999997</v>
      </c>
      <c r="Y672">
        <v>-5.9108630000000002E-2</v>
      </c>
      <c r="Z672">
        <v>1.9771680000000001E-3</v>
      </c>
      <c r="AA672">
        <v>0.99824959999999996</v>
      </c>
      <c r="AB672">
        <v>37</v>
      </c>
      <c r="AC672">
        <v>13.052300000000001</v>
      </c>
      <c r="AD672">
        <v>-1.06017231506329</v>
      </c>
      <c r="AE672">
        <v>0.848700000000007</v>
      </c>
      <c r="AF672">
        <v>-0.78071982099998904</v>
      </c>
      <c r="AG672">
        <v>-1.06017231506329</v>
      </c>
      <c r="AH672">
        <v>12.971018957455399</v>
      </c>
      <c r="AI672">
        <v>94.664218732421602</v>
      </c>
      <c r="AJ672">
        <v>93.444451815885998</v>
      </c>
      <c r="AK672">
        <v>13.0376693304899</v>
      </c>
      <c r="AL672">
        <v>89.732594454002097</v>
      </c>
      <c r="AM672">
        <v>93.698482972721493</v>
      </c>
      <c r="AN672">
        <v>0.99999994156842797</v>
      </c>
    </row>
    <row r="673" spans="1:40" x14ac:dyDescent="0.3">
      <c r="A673" t="str">
        <f>"20200111160417561"</f>
        <v>20200111160417561</v>
      </c>
      <c r="B673" t="str">
        <f>"1578729857551387"</f>
        <v>1578729857551387</v>
      </c>
      <c r="C673" t="s">
        <v>40</v>
      </c>
      <c r="D673">
        <v>5.0048209999999997</v>
      </c>
      <c r="E673">
        <v>0.50395749999999995</v>
      </c>
      <c r="F673" t="s">
        <v>41</v>
      </c>
      <c r="G673">
        <v>-279.63440000000003</v>
      </c>
      <c r="H673" s="1">
        <v>-3.9146609999999898E-7</v>
      </c>
      <c r="I673">
        <v>368.56029999999998</v>
      </c>
      <c r="J673">
        <v>-292.71449999999999</v>
      </c>
      <c r="K673">
        <v>1.0601689999999999</v>
      </c>
      <c r="L673">
        <v>367.72570000000002</v>
      </c>
      <c r="M673">
        <v>0.99989830000000002</v>
      </c>
      <c r="N673">
        <v>0</v>
      </c>
      <c r="O673">
        <v>4.8186740000000002E-3</v>
      </c>
      <c r="P673">
        <v>0.99755609999999995</v>
      </c>
      <c r="Q673">
        <v>-8.5725690000000004E-3</v>
      </c>
      <c r="R673">
        <v>6.9342580000000001E-2</v>
      </c>
      <c r="S673">
        <v>2.9921570000000002</v>
      </c>
      <c r="T673">
        <v>-0.23911260000000001</v>
      </c>
      <c r="U673">
        <v>0.188446</v>
      </c>
      <c r="V673">
        <v>-6.4534640000000004E-2</v>
      </c>
      <c r="W673">
        <v>4.82826E-3</v>
      </c>
      <c r="X673">
        <v>0.99790380000000001</v>
      </c>
      <c r="Y673">
        <v>-5.787668E-2</v>
      </c>
      <c r="Z673">
        <v>1.9224960000000001E-3</v>
      </c>
      <c r="AA673">
        <v>0.99832189999999998</v>
      </c>
      <c r="AB673">
        <v>37</v>
      </c>
      <c r="AC673">
        <v>13.0800999999999</v>
      </c>
      <c r="AD673">
        <v>-1.0601693914660999</v>
      </c>
      <c r="AE673">
        <v>0.83459999999996604</v>
      </c>
      <c r="AF673">
        <v>-0.76654056833172601</v>
      </c>
      <c r="AG673">
        <v>-1.0601693914660999</v>
      </c>
      <c r="AH673">
        <v>12.998920766042801</v>
      </c>
      <c r="AI673">
        <v>94.654574010250798</v>
      </c>
      <c r="AJ673">
        <v>93.374798370647298</v>
      </c>
      <c r="AK673">
        <v>13.064588958836801</v>
      </c>
      <c r="AL673">
        <v>89.7233600083418</v>
      </c>
      <c r="AM673">
        <v>93.700177020074705</v>
      </c>
      <c r="AN673">
        <v>1.0000000129544899</v>
      </c>
    </row>
    <row r="674" spans="1:40" x14ac:dyDescent="0.3">
      <c r="A674" t="str">
        <f>"20200111160417571"</f>
        <v>20200111160417571</v>
      </c>
      <c r="B674" t="str">
        <f>"1578729857561145"</f>
        <v>1578729857561145</v>
      </c>
      <c r="C674" t="s">
        <v>40</v>
      </c>
      <c r="D674">
        <v>5.0375350000000001</v>
      </c>
      <c r="E674">
        <v>0.50379589999999996</v>
      </c>
      <c r="F674" t="s">
        <v>41</v>
      </c>
      <c r="G674">
        <v>-279.54500000000002</v>
      </c>
      <c r="H674" s="1">
        <v>-4.2224029999999998E-7</v>
      </c>
      <c r="I674">
        <v>368.55889999999999</v>
      </c>
      <c r="J674">
        <v>-292.53359999999998</v>
      </c>
      <c r="K674">
        <v>1.060171</v>
      </c>
      <c r="L674">
        <v>367.72660000000002</v>
      </c>
      <c r="M674">
        <v>0.99989830000000002</v>
      </c>
      <c r="N674">
        <v>0</v>
      </c>
      <c r="O674">
        <v>4.823211E-3</v>
      </c>
      <c r="P674">
        <v>0.99755870000000002</v>
      </c>
      <c r="Q674">
        <v>-8.7031030000000002E-3</v>
      </c>
      <c r="R674">
        <v>6.9289749999999997E-2</v>
      </c>
      <c r="S674">
        <v>2.9921259999999998</v>
      </c>
      <c r="T674">
        <v>-0.240871</v>
      </c>
      <c r="U674">
        <v>0.18930050000000001</v>
      </c>
      <c r="V674">
        <v>-6.4477090000000001E-2</v>
      </c>
      <c r="W674">
        <v>4.6961770000000002E-3</v>
      </c>
      <c r="X674">
        <v>0.99790809999999996</v>
      </c>
      <c r="Y674">
        <v>-5.8153400000000001E-2</v>
      </c>
      <c r="Z674">
        <v>1.947336E-3</v>
      </c>
      <c r="AA674">
        <v>0.99830569999999996</v>
      </c>
      <c r="AB674">
        <v>37</v>
      </c>
      <c r="AC674">
        <v>12.9885999999999</v>
      </c>
      <c r="AD674">
        <v>-1.0601714222403</v>
      </c>
      <c r="AE674">
        <v>0.83229999999997495</v>
      </c>
      <c r="AF674">
        <v>-0.76456494627127103</v>
      </c>
      <c r="AG674">
        <v>-1.0601714222403</v>
      </c>
      <c r="AH674">
        <v>12.9068254561057</v>
      </c>
      <c r="AI674">
        <v>94.687574108910795</v>
      </c>
      <c r="AJ674">
        <v>93.390083235798002</v>
      </c>
      <c r="AK674">
        <v>12.9728434183096</v>
      </c>
      <c r="AL674">
        <v>89.730927878968998</v>
      </c>
      <c r="AM674">
        <v>93.696870585313704</v>
      </c>
      <c r="AN674">
        <v>0.99999996262944502</v>
      </c>
    </row>
    <row r="675" spans="1:40" x14ac:dyDescent="0.3">
      <c r="A675" t="str">
        <f>"20200111160417582"</f>
        <v>20200111160417582</v>
      </c>
      <c r="B675" t="str">
        <f>"1578729857570905"</f>
        <v>1578729857570905</v>
      </c>
      <c r="C675" t="s">
        <v>40</v>
      </c>
      <c r="D675">
        <v>5.0236349999999996</v>
      </c>
      <c r="E675">
        <v>0.50363080000000005</v>
      </c>
      <c r="F675" t="s">
        <v>41</v>
      </c>
      <c r="G675">
        <v>-279.4443</v>
      </c>
      <c r="H675" s="1">
        <v>-4.5616249999999999E-7</v>
      </c>
      <c r="I675">
        <v>368.56020000000001</v>
      </c>
      <c r="J675">
        <v>-292.35340000000002</v>
      </c>
      <c r="K675">
        <v>1.060171</v>
      </c>
      <c r="L675">
        <v>367.72750000000002</v>
      </c>
      <c r="M675">
        <v>0.99989830000000002</v>
      </c>
      <c r="N675">
        <v>0</v>
      </c>
      <c r="O675">
        <v>4.8275690000000003E-3</v>
      </c>
      <c r="P675">
        <v>0.99754909999999997</v>
      </c>
      <c r="Q675">
        <v>-8.6551679999999995E-3</v>
      </c>
      <c r="R675">
        <v>6.9431880000000001E-2</v>
      </c>
      <c r="S675">
        <v>2.9919739999999999</v>
      </c>
      <c r="T675">
        <v>-0.2423342</v>
      </c>
      <c r="U675">
        <v>0.19055179999999999</v>
      </c>
      <c r="V675">
        <v>-6.4614610000000003E-2</v>
      </c>
      <c r="W675">
        <v>4.7429070000000002E-3</v>
      </c>
      <c r="X675">
        <v>0.99789899999999998</v>
      </c>
      <c r="Y675">
        <v>-5.8564629999999999E-2</v>
      </c>
      <c r="Z675">
        <v>1.9754579999999998E-3</v>
      </c>
      <c r="AA675">
        <v>0.99828170000000005</v>
      </c>
      <c r="AB675">
        <v>37</v>
      </c>
      <c r="AC675">
        <v>12.9091</v>
      </c>
      <c r="AD675">
        <v>-1.0601714561625</v>
      </c>
      <c r="AE675">
        <v>0.83269999999998801</v>
      </c>
      <c r="AF675">
        <v>-0.76522531076727396</v>
      </c>
      <c r="AG675">
        <v>-1.0601714561625</v>
      </c>
      <c r="AH675">
        <v>12.826815746091</v>
      </c>
      <c r="AI675">
        <v>94.716565284714406</v>
      </c>
      <c r="AJ675">
        <v>93.414119059746</v>
      </c>
      <c r="AK675">
        <v>12.8932825718228</v>
      </c>
      <c r="AL675">
        <v>89.728250421612003</v>
      </c>
      <c r="AM675">
        <v>93.704767212368196</v>
      </c>
      <c r="AN675">
        <v>0.99999997859663103</v>
      </c>
    </row>
    <row r="676" spans="1:40" x14ac:dyDescent="0.3">
      <c r="A676" t="str">
        <f>"20200111160417594"</f>
        <v>20200111160417594</v>
      </c>
      <c r="B676" t="str">
        <f>"1578729857591401"</f>
        <v>1578729857591401</v>
      </c>
      <c r="C676" t="s">
        <v>40</v>
      </c>
      <c r="D676">
        <v>5.0509029999999999</v>
      </c>
      <c r="E676">
        <v>0.50309749999999998</v>
      </c>
      <c r="F676" t="s">
        <v>41</v>
      </c>
      <c r="G676">
        <v>-279.2441</v>
      </c>
      <c r="H676" s="1">
        <v>-5.2139739999999999E-7</v>
      </c>
      <c r="I676">
        <v>368.57100000000003</v>
      </c>
      <c r="J676">
        <v>-292.17239999999998</v>
      </c>
      <c r="K676">
        <v>1.0601739999999999</v>
      </c>
      <c r="L676">
        <v>367.72840000000002</v>
      </c>
      <c r="M676">
        <v>0.99989830000000002</v>
      </c>
      <c r="N676">
        <v>0</v>
      </c>
      <c r="O676">
        <v>4.8316339999999996E-3</v>
      </c>
      <c r="P676">
        <v>0.99753610000000004</v>
      </c>
      <c r="Q676">
        <v>-8.8257230000000006E-3</v>
      </c>
      <c r="R676">
        <v>6.9598149999999998E-2</v>
      </c>
      <c r="S676">
        <v>2.9919129999999998</v>
      </c>
      <c r="T676">
        <v>-0.24196110000000001</v>
      </c>
      <c r="U676">
        <v>0.1925354</v>
      </c>
      <c r="V676">
        <v>-6.4776909999999993E-2</v>
      </c>
      <c r="W676">
        <v>4.5712469999999996E-3</v>
      </c>
      <c r="X676">
        <v>0.99788929999999998</v>
      </c>
      <c r="Y676">
        <v>-5.921945E-2</v>
      </c>
      <c r="Z676">
        <v>1.9985049999999998E-3</v>
      </c>
      <c r="AA676">
        <v>0.99824299999999999</v>
      </c>
      <c r="AB676">
        <v>37</v>
      </c>
      <c r="AC676">
        <v>12.928299999999901</v>
      </c>
      <c r="AD676">
        <v>-1.0601745213974001</v>
      </c>
      <c r="AE676">
        <v>0.84259999999994695</v>
      </c>
      <c r="AF676">
        <v>-0.77493060390637103</v>
      </c>
      <c r="AG676">
        <v>-1.0601745213974001</v>
      </c>
      <c r="AH676">
        <v>12.846199335865</v>
      </c>
      <c r="AI676">
        <v>94.709307569050495</v>
      </c>
      <c r="AJ676">
        <v>93.452111581791002</v>
      </c>
      <c r="AK676">
        <v>12.913145427566</v>
      </c>
      <c r="AL676">
        <v>89.738085927534698</v>
      </c>
      <c r="AM676">
        <v>93.714082893118302</v>
      </c>
      <c r="AN676">
        <v>0.99999999971138598</v>
      </c>
    </row>
    <row r="677" spans="1:40" x14ac:dyDescent="0.3">
      <c r="A677" t="str">
        <f>"20200111160417606"</f>
        <v>20200111160417606</v>
      </c>
      <c r="B677" t="str">
        <f>"1578729857601161"</f>
        <v>1578729857601161</v>
      </c>
      <c r="C677" t="s">
        <v>40</v>
      </c>
      <c r="D677">
        <v>5.0309309999999998</v>
      </c>
      <c r="E677">
        <v>0.50299559999999999</v>
      </c>
      <c r="F677" t="s">
        <v>41</v>
      </c>
      <c r="G677">
        <v>-279.1823</v>
      </c>
      <c r="H677" s="1">
        <v>-5.3919599999999995E-7</v>
      </c>
      <c r="I677">
        <v>368.58330000000001</v>
      </c>
      <c r="J677">
        <v>-291.97320000000002</v>
      </c>
      <c r="K677">
        <v>1.0601719999999999</v>
      </c>
      <c r="L677">
        <v>367.7294</v>
      </c>
      <c r="M677">
        <v>0.99989830000000002</v>
      </c>
      <c r="N677">
        <v>0</v>
      </c>
      <c r="O677">
        <v>4.8359969999999999E-3</v>
      </c>
      <c r="P677">
        <v>0.99751299999999998</v>
      </c>
      <c r="Q677">
        <v>-8.533321E-3</v>
      </c>
      <c r="R677">
        <v>6.9964499999999999E-2</v>
      </c>
      <c r="S677">
        <v>2.9915470000000002</v>
      </c>
      <c r="T677">
        <v>-0.24415020000000001</v>
      </c>
      <c r="U677">
        <v>0.1968994</v>
      </c>
      <c r="V677">
        <v>-6.5139409999999995E-2</v>
      </c>
      <c r="W677">
        <v>4.8611610000000001E-3</v>
      </c>
      <c r="X677">
        <v>0.99786430000000004</v>
      </c>
      <c r="Y677">
        <v>-6.0664929999999999E-2</v>
      </c>
      <c r="Z677">
        <v>2.0751469999999998E-3</v>
      </c>
      <c r="AA677">
        <v>0.99815600000000004</v>
      </c>
      <c r="AB677">
        <v>37</v>
      </c>
      <c r="AC677">
        <v>12.790900000000001</v>
      </c>
      <c r="AD677">
        <v>-1.060172539196</v>
      </c>
      <c r="AE677">
        <v>0.85390000000000998</v>
      </c>
      <c r="AF677">
        <v>-0.78664747363542398</v>
      </c>
      <c r="AG677">
        <v>-1.060172539196</v>
      </c>
      <c r="AH677">
        <v>12.7079650403932</v>
      </c>
      <c r="AI677">
        <v>94.759836020951795</v>
      </c>
      <c r="AJ677">
        <v>93.542199156839999</v>
      </c>
      <c r="AK677">
        <v>12.7763514169147</v>
      </c>
      <c r="AL677">
        <v>89.721474885118198</v>
      </c>
      <c r="AM677">
        <v>93.734902025283702</v>
      </c>
      <c r="AN677">
        <v>0.99999996741795205</v>
      </c>
    </row>
    <row r="678" spans="1:40" x14ac:dyDescent="0.3">
      <c r="A678" t="str">
        <f>"20200111160417616"</f>
        <v>20200111160417616</v>
      </c>
      <c r="B678" t="str">
        <f>"1578729857610921"</f>
        <v>1578729857610921</v>
      </c>
      <c r="C678" t="s">
        <v>40</v>
      </c>
      <c r="D678">
        <v>5.0294809999999996</v>
      </c>
      <c r="E678">
        <v>0.50308359999999996</v>
      </c>
      <c r="F678" t="s">
        <v>41</v>
      </c>
      <c r="G678">
        <v>-278.97770000000003</v>
      </c>
      <c r="H678" s="1">
        <v>-6.0629029999999999E-7</v>
      </c>
      <c r="I678">
        <v>368.59280000000001</v>
      </c>
      <c r="J678">
        <v>-291.78410000000002</v>
      </c>
      <c r="K678">
        <v>1.060173</v>
      </c>
      <c r="L678">
        <v>367.7303</v>
      </c>
      <c r="M678">
        <v>0.99989819999999996</v>
      </c>
      <c r="N678">
        <v>0</v>
      </c>
      <c r="O678">
        <v>4.8402389999999997E-3</v>
      </c>
      <c r="P678">
        <v>0.99750430000000001</v>
      </c>
      <c r="Q678">
        <v>-8.3187499999999998E-3</v>
      </c>
      <c r="R678">
        <v>7.0114280000000001E-2</v>
      </c>
      <c r="S678">
        <v>2.991425</v>
      </c>
      <c r="T678">
        <v>-0.24403859999999999</v>
      </c>
      <c r="U678">
        <v>0.19876099999999999</v>
      </c>
      <c r="V678">
        <v>-6.5284930000000005E-2</v>
      </c>
      <c r="W678">
        <v>5.0747810000000004E-3</v>
      </c>
      <c r="X678">
        <v>0.99785380000000001</v>
      </c>
      <c r="Y678">
        <v>-6.127995E-2</v>
      </c>
      <c r="Z678">
        <v>2.0989149999999998E-3</v>
      </c>
      <c r="AA678">
        <v>0.99811839999999996</v>
      </c>
      <c r="AB678">
        <v>37</v>
      </c>
      <c r="AC678">
        <v>12.806399999999901</v>
      </c>
      <c r="AD678">
        <v>-1.0601736062903</v>
      </c>
      <c r="AE678">
        <v>0.86250000000001104</v>
      </c>
      <c r="AF678">
        <v>-0.79507399564715098</v>
      </c>
      <c r="AG678">
        <v>-1.0601736062903</v>
      </c>
      <c r="AH678">
        <v>12.723619974035699</v>
      </c>
      <c r="AI678">
        <v>94.753839381764493</v>
      </c>
      <c r="AJ678">
        <v>93.5756514324069</v>
      </c>
      <c r="AK678">
        <v>12.7924437062553</v>
      </c>
      <c r="AL678">
        <v>89.709235230579594</v>
      </c>
      <c r="AM678">
        <v>93.7432612949397</v>
      </c>
      <c r="AN678">
        <v>1.00000004083087</v>
      </c>
    </row>
    <row r="679" spans="1:40" x14ac:dyDescent="0.3">
      <c r="A679" t="str">
        <f>"20200111160417627"</f>
        <v>20200111160417627</v>
      </c>
      <c r="B679" t="str">
        <f>"1578729857621656"</f>
        <v>1578729857621656</v>
      </c>
      <c r="C679" t="s">
        <v>40</v>
      </c>
      <c r="D679">
        <v>5.0611319999999997</v>
      </c>
      <c r="E679">
        <v>0.50304819999999995</v>
      </c>
      <c r="F679" t="s">
        <v>41</v>
      </c>
      <c r="G679">
        <v>-278.76170000000002</v>
      </c>
      <c r="H679" s="1">
        <v>-6.9490769999999999E-7</v>
      </c>
      <c r="I679">
        <v>368.59399999999999</v>
      </c>
      <c r="J679">
        <v>-291.60759999999999</v>
      </c>
      <c r="K679">
        <v>1.0601750000000001</v>
      </c>
      <c r="L679">
        <v>367.73110000000003</v>
      </c>
      <c r="M679">
        <v>0.99989830000000002</v>
      </c>
      <c r="N679">
        <v>0</v>
      </c>
      <c r="O679">
        <v>4.8441229999999997E-3</v>
      </c>
      <c r="P679">
        <v>0.99749520000000003</v>
      </c>
      <c r="Q679">
        <v>-8.164536E-3</v>
      </c>
      <c r="R679">
        <v>7.0260820000000002E-2</v>
      </c>
      <c r="S679">
        <v>2.9915159999999998</v>
      </c>
      <c r="T679">
        <v>-0.24354049999999999</v>
      </c>
      <c r="U679">
        <v>0.1984253</v>
      </c>
      <c r="V679">
        <v>-6.5427150000000003E-2</v>
      </c>
      <c r="W679">
        <v>5.2278439999999997E-3</v>
      </c>
      <c r="X679">
        <v>0.9978437</v>
      </c>
      <c r="Y679">
        <v>-6.1163700000000001E-2</v>
      </c>
      <c r="Z679">
        <v>2.0895549999999999E-3</v>
      </c>
      <c r="AA679">
        <v>0.99812559999999995</v>
      </c>
      <c r="AB679">
        <v>37</v>
      </c>
      <c r="AC679">
        <v>12.845899999999901</v>
      </c>
      <c r="AD679">
        <v>-1.0601756949076999</v>
      </c>
      <c r="AE679">
        <v>0.86289999999996703</v>
      </c>
      <c r="AF679">
        <v>-0.79526474288526094</v>
      </c>
      <c r="AG679">
        <v>-1.0601756949076999</v>
      </c>
      <c r="AH679">
        <v>12.763385562821099</v>
      </c>
      <c r="AI679">
        <v>94.739157888925405</v>
      </c>
      <c r="AJ679">
        <v>93.565392872582194</v>
      </c>
      <c r="AK679">
        <v>12.832008008904101</v>
      </c>
      <c r="AL679">
        <v>89.700465252207806</v>
      </c>
      <c r="AM679">
        <v>93.751430407871197</v>
      </c>
      <c r="AN679">
        <v>1.0000000459698399</v>
      </c>
    </row>
    <row r="680" spans="1:40" x14ac:dyDescent="0.3">
      <c r="A680" t="str">
        <f>"20200111160417639"</f>
        <v>20200111160417639</v>
      </c>
      <c r="B680" t="str">
        <f>"1578729857631417"</f>
        <v>1578729857631417</v>
      </c>
      <c r="C680" t="s">
        <v>40</v>
      </c>
      <c r="D680">
        <v>5.142887</v>
      </c>
      <c r="E680">
        <v>0.50285210000000002</v>
      </c>
      <c r="F680" t="s">
        <v>41</v>
      </c>
      <c r="G680">
        <v>-278.61540000000002</v>
      </c>
      <c r="H680" s="1">
        <v>-7.5732180000000003E-7</v>
      </c>
      <c r="I680">
        <v>368.59589999999997</v>
      </c>
      <c r="J680">
        <v>-291.41570000000002</v>
      </c>
      <c r="K680">
        <v>1.0601750000000001</v>
      </c>
      <c r="L680">
        <v>367.7321</v>
      </c>
      <c r="M680">
        <v>0.99989830000000002</v>
      </c>
      <c r="N680">
        <v>0</v>
      </c>
      <c r="O680">
        <v>4.8481849999999996E-3</v>
      </c>
      <c r="P680">
        <v>0.9974594</v>
      </c>
      <c r="Q680">
        <v>-8.1403759999999995E-3</v>
      </c>
      <c r="R680">
        <v>7.0773210000000003E-2</v>
      </c>
      <c r="S680">
        <v>2.9915159999999998</v>
      </c>
      <c r="T680">
        <v>-0.2441083</v>
      </c>
      <c r="U680">
        <v>0.1991272</v>
      </c>
      <c r="V680">
        <v>-6.5935779999999999E-2</v>
      </c>
      <c r="W680">
        <v>5.250256E-3</v>
      </c>
      <c r="X680">
        <v>0.99781010000000003</v>
      </c>
      <c r="Y680">
        <v>-6.1391220000000003E-2</v>
      </c>
      <c r="Z680">
        <v>2.103321E-3</v>
      </c>
      <c r="AA680">
        <v>0.99811150000000004</v>
      </c>
      <c r="AB680">
        <v>37</v>
      </c>
      <c r="AC680">
        <v>12.800299999999901</v>
      </c>
      <c r="AD680">
        <v>-1.0601757573218</v>
      </c>
      <c r="AE680">
        <v>0.86379999999996904</v>
      </c>
      <c r="AF680">
        <v>-0.79628837506136796</v>
      </c>
      <c r="AG680">
        <v>-1.0601757573218</v>
      </c>
      <c r="AH680">
        <v>12.7174930013503</v>
      </c>
      <c r="AI680">
        <v>94.756091717558107</v>
      </c>
      <c r="AJ680">
        <v>93.582819397943794</v>
      </c>
      <c r="AK680">
        <v>12.786425460309999</v>
      </c>
      <c r="AL680">
        <v>89.699181121030605</v>
      </c>
      <c r="AM680">
        <v>93.780636677140905</v>
      </c>
      <c r="AN680">
        <v>1.0000000439671399</v>
      </c>
    </row>
    <row r="681" spans="1:40" x14ac:dyDescent="0.3">
      <c r="A681" t="str">
        <f>"20200111160417649"</f>
        <v>20200111160417649</v>
      </c>
      <c r="B681" t="str">
        <f>"1578729857641177"</f>
        <v>1578729857641177</v>
      </c>
      <c r="C681" t="s">
        <v>40</v>
      </c>
      <c r="D681">
        <v>5.089791</v>
      </c>
      <c r="E681">
        <v>0.50275519999999996</v>
      </c>
      <c r="F681" t="s">
        <v>41</v>
      </c>
      <c r="G681">
        <v>-278.51859999999999</v>
      </c>
      <c r="H681" s="1">
        <v>-7.9762469999999896E-7</v>
      </c>
      <c r="I681">
        <v>368.6028</v>
      </c>
      <c r="J681">
        <v>-291.23719999999997</v>
      </c>
      <c r="K681">
        <v>1.0601750000000001</v>
      </c>
      <c r="L681">
        <v>367.733</v>
      </c>
      <c r="M681">
        <v>0.99989830000000002</v>
      </c>
      <c r="N681">
        <v>0</v>
      </c>
      <c r="O681">
        <v>4.852187E-3</v>
      </c>
      <c r="P681">
        <v>0.99742120000000001</v>
      </c>
      <c r="Q681">
        <v>-8.064033E-3</v>
      </c>
      <c r="R681">
        <v>7.131564E-2</v>
      </c>
      <c r="S681">
        <v>2.9913020000000001</v>
      </c>
      <c r="T681">
        <v>-0.24589050000000001</v>
      </c>
      <c r="U681">
        <v>0.2019348</v>
      </c>
      <c r="V681">
        <v>-6.6474800000000001E-2</v>
      </c>
      <c r="W681">
        <v>5.3246400000000003E-3</v>
      </c>
      <c r="X681">
        <v>0.99777389999999999</v>
      </c>
      <c r="Y681">
        <v>-6.2318699999999998E-2</v>
      </c>
      <c r="Z681">
        <v>2.1563960000000001E-3</v>
      </c>
      <c r="AA681">
        <v>0.998054</v>
      </c>
      <c r="AB681">
        <v>37</v>
      </c>
      <c r="AC681">
        <v>12.718599999999901</v>
      </c>
      <c r="AD681">
        <v>-1.0601757976246999</v>
      </c>
      <c r="AE681">
        <v>0.86979999999999702</v>
      </c>
      <c r="AF681">
        <v>-0.80252100235254298</v>
      </c>
      <c r="AG681">
        <v>-1.0601757976246999</v>
      </c>
      <c r="AH681">
        <v>12.635286279271201</v>
      </c>
      <c r="AI681">
        <v>94.786622739728102</v>
      </c>
      <c r="AJ681">
        <v>93.634218050049498</v>
      </c>
      <c r="AK681">
        <v>12.7050569475396</v>
      </c>
      <c r="AL681">
        <v>89.694919159931999</v>
      </c>
      <c r="AM681">
        <v>93.811590239620301</v>
      </c>
      <c r="AN681">
        <v>1.00000000317368</v>
      </c>
    </row>
    <row r="682" spans="1:40" x14ac:dyDescent="0.3">
      <c r="A682" t="str">
        <f>"20200111160417661"</f>
        <v>20200111160417661</v>
      </c>
      <c r="B682" t="str">
        <f>"1578729857650937"</f>
        <v>1578729857650937</v>
      </c>
      <c r="C682" t="s">
        <v>40</v>
      </c>
      <c r="D682">
        <v>5.153054</v>
      </c>
      <c r="E682">
        <v>0.50275459999999905</v>
      </c>
      <c r="F682" t="s">
        <v>41</v>
      </c>
      <c r="G682">
        <v>-278.39499999999998</v>
      </c>
      <c r="H682" s="1">
        <v>-8.4901999999999996E-7</v>
      </c>
      <c r="I682">
        <v>368.61189999999999</v>
      </c>
      <c r="J682">
        <v>-291.04660000000001</v>
      </c>
      <c r="K682">
        <v>1.060176</v>
      </c>
      <c r="L682">
        <v>367.73390000000001</v>
      </c>
      <c r="M682">
        <v>0.99989830000000002</v>
      </c>
      <c r="N682">
        <v>0</v>
      </c>
      <c r="O682">
        <v>4.856249E-3</v>
      </c>
      <c r="P682">
        <v>0.9973841</v>
      </c>
      <c r="Q682">
        <v>-7.87442E-3</v>
      </c>
      <c r="R682">
        <v>7.1855139999999998E-2</v>
      </c>
      <c r="S682">
        <v>2.9910890000000001</v>
      </c>
      <c r="T682">
        <v>-0.24692449999999999</v>
      </c>
      <c r="U682">
        <v>0.2047119</v>
      </c>
      <c r="V682">
        <v>-6.7010459999999994E-2</v>
      </c>
      <c r="W682">
        <v>5.5129890000000003E-3</v>
      </c>
      <c r="X682">
        <v>0.99773710000000004</v>
      </c>
      <c r="Y682">
        <v>-6.3237059999999998E-2</v>
      </c>
      <c r="Z682">
        <v>2.2029839999999998E-3</v>
      </c>
      <c r="AA682">
        <v>0.99799610000000005</v>
      </c>
      <c r="AB682">
        <v>37</v>
      </c>
      <c r="AC682">
        <v>12.6516</v>
      </c>
      <c r="AD682">
        <v>-1.0601768490200001</v>
      </c>
      <c r="AE682">
        <v>0.87799999999998501</v>
      </c>
      <c r="AF682">
        <v>-0.81087804283069398</v>
      </c>
      <c r="AG682">
        <v>-1.0601768490200001</v>
      </c>
      <c r="AH682">
        <v>12.567885272497699</v>
      </c>
      <c r="AI682">
        <v>94.811870646328003</v>
      </c>
      <c r="AJ682">
        <v>93.691598163287694</v>
      </c>
      <c r="AK682">
        <v>12.6385615627019</v>
      </c>
      <c r="AL682">
        <v>89.684127415972895</v>
      </c>
      <c r="AM682">
        <v>93.842354039820506</v>
      </c>
      <c r="AN682">
        <v>1.00000005775676</v>
      </c>
    </row>
    <row r="683" spans="1:40" x14ac:dyDescent="0.3">
      <c r="A683" t="str">
        <f>"20200111160417674"</f>
        <v>20200111160417674</v>
      </c>
      <c r="B683" t="str">
        <f>"1578729857671175"</f>
        <v>1578729857671175</v>
      </c>
      <c r="C683" t="s">
        <v>40</v>
      </c>
      <c r="D683">
        <v>5.1434889999999998</v>
      </c>
      <c r="E683">
        <v>0.50274960000000002</v>
      </c>
      <c r="F683" t="s">
        <v>41</v>
      </c>
      <c r="G683">
        <v>-278.24160000000001</v>
      </c>
      <c r="H683" s="1">
        <v>-9.1378859999999998E-7</v>
      </c>
      <c r="I683">
        <v>368.61770000000001</v>
      </c>
      <c r="J683">
        <v>-290.84870000000001</v>
      </c>
      <c r="K683">
        <v>1.060181</v>
      </c>
      <c r="L683">
        <v>367.73489999999998</v>
      </c>
      <c r="M683">
        <v>0.99989830000000002</v>
      </c>
      <c r="N683">
        <v>0</v>
      </c>
      <c r="O683">
        <v>4.8606079999999998E-3</v>
      </c>
      <c r="P683">
        <v>0.99734630000000002</v>
      </c>
      <c r="Q683">
        <v>-7.7685769999999996E-3</v>
      </c>
      <c r="R683">
        <v>7.2387690000000005E-2</v>
      </c>
      <c r="S683">
        <v>2.9910580000000002</v>
      </c>
      <c r="T683">
        <v>-0.24764059999999999</v>
      </c>
      <c r="U683">
        <v>0.20645140000000001</v>
      </c>
      <c r="V683">
        <v>-6.7538500000000001E-2</v>
      </c>
      <c r="W683">
        <v>5.6164609999999997E-3</v>
      </c>
      <c r="X683">
        <v>0.9977009</v>
      </c>
      <c r="Y683">
        <v>-6.3807989999999995E-2</v>
      </c>
      <c r="Z683">
        <v>2.2325359999999998E-3</v>
      </c>
      <c r="AA683">
        <v>0.99795970000000001</v>
      </c>
      <c r="AB683">
        <v>37</v>
      </c>
      <c r="AC683">
        <v>12.607100000000001</v>
      </c>
      <c r="AD683">
        <v>-1.0601819137885999</v>
      </c>
      <c r="AE683">
        <v>0.882800000000031</v>
      </c>
      <c r="AF683">
        <v>-0.81576510603943397</v>
      </c>
      <c r="AG683">
        <v>-1.0601819137885999</v>
      </c>
      <c r="AH683">
        <v>12.5231134676128</v>
      </c>
      <c r="AI683">
        <v>94.828822826344094</v>
      </c>
      <c r="AJ683">
        <v>93.727024818882697</v>
      </c>
      <c r="AK683">
        <v>12.5943570427895</v>
      </c>
      <c r="AL683">
        <v>89.678198809822902</v>
      </c>
      <c r="AM683">
        <v>93.872679964906098</v>
      </c>
      <c r="AN683">
        <v>1.00000003973861</v>
      </c>
    </row>
    <row r="684" spans="1:40" x14ac:dyDescent="0.3">
      <c r="A684" t="str">
        <f>"20200111160417686"</f>
        <v>20200111160417686</v>
      </c>
      <c r="B684" t="str">
        <f>"1578729857680935"</f>
        <v>1578729857680935</v>
      </c>
      <c r="C684" t="s">
        <v>40</v>
      </c>
      <c r="D684">
        <v>6.1725459999999996</v>
      </c>
      <c r="E684">
        <v>0.50274960000000002</v>
      </c>
      <c r="F684" t="s">
        <v>41</v>
      </c>
      <c r="G684">
        <v>-278.13130000000001</v>
      </c>
      <c r="H684" s="1">
        <v>-9.6079750000000001E-7</v>
      </c>
      <c r="I684">
        <v>368.61939999999998</v>
      </c>
      <c r="J684">
        <v>-290.64049999999997</v>
      </c>
      <c r="K684">
        <v>1.060181</v>
      </c>
      <c r="L684">
        <v>367.73590000000002</v>
      </c>
      <c r="M684">
        <v>0.99989819999999996</v>
      </c>
      <c r="N684">
        <v>0</v>
      </c>
      <c r="O684">
        <v>4.8653259999999997E-3</v>
      </c>
      <c r="P684">
        <v>0.99731159999999996</v>
      </c>
      <c r="Q684">
        <v>-7.6602190000000002E-3</v>
      </c>
      <c r="R684">
        <v>7.2876919999999998E-2</v>
      </c>
      <c r="S684">
        <v>2.990936</v>
      </c>
      <c r="T684">
        <v>-0.2493378</v>
      </c>
      <c r="U684">
        <v>0.20803830000000001</v>
      </c>
      <c r="V684">
        <v>-6.8023230000000004E-2</v>
      </c>
      <c r="W684">
        <v>5.7232709999999899E-3</v>
      </c>
      <c r="X684">
        <v>0.99766730000000003</v>
      </c>
      <c r="Y684">
        <v>-6.4328490000000002E-2</v>
      </c>
      <c r="Z684">
        <v>2.2690739999999998E-3</v>
      </c>
      <c r="AA684">
        <v>0.99792619999999999</v>
      </c>
      <c r="AB684">
        <v>37</v>
      </c>
      <c r="AC684">
        <v>12.5091999999999</v>
      </c>
      <c r="AD684">
        <v>-1.0601819607975</v>
      </c>
      <c r="AE684">
        <v>0.88349999999996898</v>
      </c>
      <c r="AF684">
        <v>-0.81678493960270304</v>
      </c>
      <c r="AG684">
        <v>-1.0601819607975</v>
      </c>
      <c r="AH684">
        <v>12.4245491007926</v>
      </c>
      <c r="AI684">
        <v>94.866757969005505</v>
      </c>
      <c r="AJ684">
        <v>93.7611898555446</v>
      </c>
      <c r="AK684">
        <v>12.496421239121601</v>
      </c>
      <c r="AL684">
        <v>89.672078929425098</v>
      </c>
      <c r="AM684">
        <v>93.900520011839305</v>
      </c>
      <c r="AN684">
        <v>0.99999997856993095</v>
      </c>
    </row>
    <row r="685" spans="1:40" x14ac:dyDescent="0.3">
      <c r="A685" t="str">
        <f>"20200111160417701"</f>
        <v>20200111160417701</v>
      </c>
      <c r="B685" t="str">
        <f>"1578729857691671"</f>
        <v>1578729857691671</v>
      </c>
      <c r="C685" t="s">
        <v>40</v>
      </c>
      <c r="D685">
        <v>5.2209120000000002</v>
      </c>
      <c r="E685">
        <v>0.48010209999999998</v>
      </c>
      <c r="F685" t="s">
        <v>41</v>
      </c>
      <c r="G685">
        <v>-277.90570000000002</v>
      </c>
      <c r="H685" s="1">
        <v>-1.056109E-6</v>
      </c>
      <c r="I685">
        <v>368.6277</v>
      </c>
      <c r="J685">
        <v>-290.38909999999998</v>
      </c>
      <c r="K685">
        <v>1.060182</v>
      </c>
      <c r="L685">
        <v>367.73719999999997</v>
      </c>
      <c r="M685">
        <v>0.99989839999999997</v>
      </c>
      <c r="N685">
        <v>0</v>
      </c>
      <c r="O685">
        <v>4.870938E-3</v>
      </c>
      <c r="P685">
        <v>0.99724049999999997</v>
      </c>
      <c r="Q685">
        <v>-7.2343569999999899E-3</v>
      </c>
      <c r="R685">
        <v>7.3888369999999995E-2</v>
      </c>
      <c r="S685">
        <v>2.990875</v>
      </c>
      <c r="T685">
        <v>-0.2489915</v>
      </c>
      <c r="U685">
        <v>0.20947270000000001</v>
      </c>
      <c r="V685">
        <v>-6.9029179999999996E-2</v>
      </c>
      <c r="W685">
        <v>6.1466949999999998E-3</v>
      </c>
      <c r="X685">
        <v>0.99759569999999997</v>
      </c>
      <c r="Y685">
        <v>-6.4799510000000005E-2</v>
      </c>
      <c r="Z685">
        <v>2.285025E-3</v>
      </c>
      <c r="AA685">
        <v>0.99789570000000005</v>
      </c>
      <c r="AB685">
        <v>37</v>
      </c>
      <c r="AC685">
        <v>12.4833999999999</v>
      </c>
      <c r="AD685">
        <v>-1.060183056109</v>
      </c>
      <c r="AE685">
        <v>0.89050000000003104</v>
      </c>
      <c r="AF685">
        <v>-0.82376663573403697</v>
      </c>
      <c r="AG685">
        <v>-1.060183056109</v>
      </c>
      <c r="AH685">
        <v>12.398615502189999</v>
      </c>
      <c r="AI685">
        <v>94.876669761913803</v>
      </c>
      <c r="AJ685">
        <v>93.801157123750102</v>
      </c>
      <c r="AK685">
        <v>12.4710964214761</v>
      </c>
      <c r="AL685">
        <v>89.647818099116805</v>
      </c>
      <c r="AM685">
        <v>93.958303358392698</v>
      </c>
      <c r="AN685">
        <v>0.99999999510469195</v>
      </c>
    </row>
    <row r="686" spans="1:40" x14ac:dyDescent="0.3">
      <c r="A686" t="str">
        <f>"20200111160417714"</f>
        <v>20200111160417714</v>
      </c>
      <c r="B686" t="str">
        <f>"1578729857711191"</f>
        <v>1578729857711191</v>
      </c>
      <c r="C686" t="s">
        <v>40</v>
      </c>
      <c r="D686">
        <v>5.2106659999999998</v>
      </c>
      <c r="E686">
        <v>0.48896089999999998</v>
      </c>
      <c r="F686" t="s">
        <v>43</v>
      </c>
      <c r="G686">
        <v>-170.08879999999999</v>
      </c>
      <c r="H686">
        <v>13.794600000000001</v>
      </c>
      <c r="I686">
        <v>382.30990000000003</v>
      </c>
      <c r="J686">
        <v>-290.18790000000001</v>
      </c>
      <c r="K686">
        <v>1.060184</v>
      </c>
      <c r="L686">
        <v>367.73820000000001</v>
      </c>
      <c r="M686">
        <v>0.99989830000000002</v>
      </c>
      <c r="N686">
        <v>0</v>
      </c>
      <c r="O686">
        <v>4.8754760000000001E-3</v>
      </c>
      <c r="P686">
        <v>0.9972221</v>
      </c>
      <c r="Q686">
        <v>-7.2553699999999997E-3</v>
      </c>
      <c r="R686">
        <v>7.4134469999999994E-2</v>
      </c>
      <c r="S686">
        <v>2.9838260000000001</v>
      </c>
      <c r="T686">
        <v>0.31585560000000001</v>
      </c>
      <c r="U686">
        <v>0.3614502</v>
      </c>
      <c r="V686">
        <v>-6.9271299999999994E-2</v>
      </c>
      <c r="W686">
        <v>6.1242839999999998E-3</v>
      </c>
      <c r="X686">
        <v>0.99757899999999999</v>
      </c>
      <c r="Y686">
        <v>-0.1148102</v>
      </c>
      <c r="Z686">
        <v>-5.5250439999999998E-3</v>
      </c>
      <c r="AA686">
        <v>0.99337209999999998</v>
      </c>
      <c r="AB686">
        <v>37</v>
      </c>
      <c r="AC686">
        <v>120.09910000000001</v>
      </c>
      <c r="AD686">
        <v>12.734416</v>
      </c>
      <c r="AE686">
        <v>14.5717</v>
      </c>
      <c r="AF686">
        <v>-13.832670704230599</v>
      </c>
      <c r="AG686">
        <v>12.734416</v>
      </c>
      <c r="AH686">
        <v>118.851867956829</v>
      </c>
      <c r="AI686">
        <v>83.925055947277698</v>
      </c>
      <c r="AJ686">
        <v>96.638548615348896</v>
      </c>
      <c r="AK686">
        <v>120.32985766841099</v>
      </c>
      <c r="AL686">
        <v>89.649102159863602</v>
      </c>
      <c r="AM686">
        <v>93.972209033335702</v>
      </c>
      <c r="AN686">
        <v>0.99999994054959895</v>
      </c>
    </row>
    <row r="687" spans="1:40" x14ac:dyDescent="0.3">
      <c r="A687" t="str">
        <f>"20200111160417727"</f>
        <v>20200111160417727</v>
      </c>
      <c r="B687" t="str">
        <f>"1578729857721928"</f>
        <v>1578729857721928</v>
      </c>
      <c r="C687" t="s">
        <v>40</v>
      </c>
      <c r="D687">
        <v>5.2025940000000004</v>
      </c>
      <c r="E687">
        <v>0.48896089999999998</v>
      </c>
      <c r="F687" t="s">
        <v>43</v>
      </c>
      <c r="G687">
        <v>-168.84350000000001</v>
      </c>
      <c r="H687">
        <v>12.47256</v>
      </c>
      <c r="I687">
        <v>379.65210000000002</v>
      </c>
      <c r="J687">
        <v>-289.97390000000001</v>
      </c>
      <c r="K687">
        <v>1.060187</v>
      </c>
      <c r="L687">
        <v>367.73919999999998</v>
      </c>
      <c r="M687">
        <v>0.99989830000000002</v>
      </c>
      <c r="N687">
        <v>0</v>
      </c>
      <c r="O687">
        <v>4.8804909999999998E-3</v>
      </c>
      <c r="P687">
        <v>0.99722230000000001</v>
      </c>
      <c r="Q687">
        <v>-6.9690890000000004E-3</v>
      </c>
      <c r="R687">
        <v>7.4158210000000002E-2</v>
      </c>
      <c r="S687">
        <v>2.9885860000000002</v>
      </c>
      <c r="T687">
        <v>0.28107710000000002</v>
      </c>
      <c r="U687">
        <v>0.29342649999999998</v>
      </c>
      <c r="V687">
        <v>-6.9289749999999997E-2</v>
      </c>
      <c r="W687">
        <v>6.4089500000000001E-3</v>
      </c>
      <c r="X687">
        <v>0.99757600000000002</v>
      </c>
      <c r="Y687">
        <v>-9.2470990000000003E-2</v>
      </c>
      <c r="Z687">
        <v>-3.8716240000000002E-3</v>
      </c>
      <c r="AA687">
        <v>0.99570789999999998</v>
      </c>
      <c r="AB687">
        <v>37</v>
      </c>
      <c r="AC687">
        <v>121.13039999999999</v>
      </c>
      <c r="AD687">
        <v>11.412373000000001</v>
      </c>
      <c r="AE687">
        <v>11.9129</v>
      </c>
      <c r="AF687">
        <v>-11.2228628838168</v>
      </c>
      <c r="AG687">
        <v>11.412373000000001</v>
      </c>
      <c r="AH687">
        <v>120.130966397668</v>
      </c>
      <c r="AI687">
        <v>84.596608099623097</v>
      </c>
      <c r="AJ687">
        <v>95.337189397610601</v>
      </c>
      <c r="AK687">
        <v>121.192590517893</v>
      </c>
      <c r="AL687">
        <v>89.632791703684006</v>
      </c>
      <c r="AM687">
        <v>93.973275530027095</v>
      </c>
      <c r="AN687">
        <v>1.0000000099355799</v>
      </c>
    </row>
    <row r="688" spans="1:40" x14ac:dyDescent="0.3">
      <c r="A688" t="str">
        <f>"20200111160417739"</f>
        <v>20200111160417739</v>
      </c>
      <c r="B688" t="str">
        <f>"1578729857731687"</f>
        <v>1578729857731687</v>
      </c>
      <c r="C688" t="s">
        <v>40</v>
      </c>
      <c r="D688">
        <v>5.1616019999999896</v>
      </c>
      <c r="E688">
        <v>0.50122279999999997</v>
      </c>
      <c r="F688" t="s">
        <v>43</v>
      </c>
      <c r="G688">
        <v>-168.84350000000001</v>
      </c>
      <c r="H688">
        <v>12.488390000000001</v>
      </c>
      <c r="I688">
        <v>379.64729999999997</v>
      </c>
      <c r="J688">
        <v>-289.75749999999999</v>
      </c>
      <c r="K688">
        <v>1.060195</v>
      </c>
      <c r="L688">
        <v>367.74029999999999</v>
      </c>
      <c r="M688">
        <v>0.99989830000000002</v>
      </c>
      <c r="N688">
        <v>0</v>
      </c>
      <c r="O688">
        <v>4.8853880000000001E-3</v>
      </c>
      <c r="P688">
        <v>0.9972181</v>
      </c>
      <c r="Q688">
        <v>-6.588249E-3</v>
      </c>
      <c r="R688">
        <v>7.4248949999999994E-2</v>
      </c>
      <c r="S688">
        <v>2.9884949999999999</v>
      </c>
      <c r="T688">
        <v>0.28195520000000002</v>
      </c>
      <c r="U688">
        <v>0.29379270000000002</v>
      </c>
      <c r="V688">
        <v>-6.9376140000000003E-2</v>
      </c>
      <c r="W688">
        <v>6.7885039999999999E-3</v>
      </c>
      <c r="X688">
        <v>0.99756750000000005</v>
      </c>
      <c r="Y688">
        <v>-9.2587050000000004E-2</v>
      </c>
      <c r="Z688">
        <v>-3.8887510000000002E-3</v>
      </c>
      <c r="AA688">
        <v>0.99569700000000005</v>
      </c>
      <c r="AB688">
        <v>37</v>
      </c>
      <c r="AC688">
        <v>120.914</v>
      </c>
      <c r="AD688">
        <v>11.428195000000001</v>
      </c>
      <c r="AE688">
        <v>11.906999999999901</v>
      </c>
      <c r="AF688">
        <v>-11.216854138185401</v>
      </c>
      <c r="AG688">
        <v>11.428195000000001</v>
      </c>
      <c r="AH688">
        <v>119.90985352302199</v>
      </c>
      <c r="AI688">
        <v>84.579304155131496</v>
      </c>
      <c r="AJ688">
        <v>95.3441279424584</v>
      </c>
      <c r="AK688">
        <v>120.974354429474</v>
      </c>
      <c r="AL688">
        <v>89.611044393783502</v>
      </c>
      <c r="AM688">
        <v>93.978247275731903</v>
      </c>
      <c r="AN688">
        <v>1.00000002482205</v>
      </c>
    </row>
    <row r="689" spans="1:40" x14ac:dyDescent="0.3">
      <c r="A689" t="str">
        <f>"20200111160417753"</f>
        <v>20200111160417753</v>
      </c>
      <c r="B689" t="str">
        <f>"1578729857741447"</f>
        <v>1578729857741447</v>
      </c>
      <c r="C689" t="s">
        <v>40</v>
      </c>
      <c r="D689">
        <v>5.2819209999999996</v>
      </c>
      <c r="E689">
        <v>0.50030889999999995</v>
      </c>
      <c r="F689" t="s">
        <v>41</v>
      </c>
      <c r="G689">
        <v>-277.66469999999998</v>
      </c>
      <c r="H689" s="1">
        <v>-1.15474E-6</v>
      </c>
      <c r="I689">
        <v>368.65469999999999</v>
      </c>
      <c r="J689">
        <v>-289.5489</v>
      </c>
      <c r="K689">
        <v>1.060203</v>
      </c>
      <c r="L689">
        <v>367.74130000000002</v>
      </c>
      <c r="M689">
        <v>0.99989830000000002</v>
      </c>
      <c r="N689">
        <v>0</v>
      </c>
      <c r="O689">
        <v>4.8900949999999997E-3</v>
      </c>
      <c r="P689">
        <v>0.99721970000000004</v>
      </c>
      <c r="Q689">
        <v>-6.2659009999999999E-3</v>
      </c>
      <c r="R689">
        <v>7.4253749999999993E-2</v>
      </c>
      <c r="S689">
        <v>2.9898380000000002</v>
      </c>
      <c r="T689">
        <v>-0.26212049999999998</v>
      </c>
      <c r="U689">
        <v>0.22610469999999999</v>
      </c>
      <c r="V689">
        <v>-6.9375989999999998E-2</v>
      </c>
      <c r="W689">
        <v>7.111315E-3</v>
      </c>
      <c r="X689">
        <v>0.99756520000000004</v>
      </c>
      <c r="Y689">
        <v>-7.0282220000000006E-2</v>
      </c>
      <c r="Z689">
        <v>2.6432750000000001E-3</v>
      </c>
      <c r="AA689">
        <v>0.99752370000000001</v>
      </c>
      <c r="AB689">
        <v>37</v>
      </c>
      <c r="AC689">
        <v>11.8842</v>
      </c>
      <c r="AD689">
        <v>-1.0602041547399901</v>
      </c>
      <c r="AE689">
        <v>0.91339999999996702</v>
      </c>
      <c r="AF689">
        <v>-0.84855530331497697</v>
      </c>
      <c r="AG689">
        <v>-1.0602041547399901</v>
      </c>
      <c r="AH689">
        <v>11.7952023482237</v>
      </c>
      <c r="AI689">
        <v>95.123022574829207</v>
      </c>
      <c r="AJ689">
        <v>94.114810489373895</v>
      </c>
      <c r="AK689">
        <v>11.8731157405314</v>
      </c>
      <c r="AL689">
        <v>89.592548214605003</v>
      </c>
      <c r="AM689">
        <v>93.978247844706402</v>
      </c>
      <c r="AN689">
        <v>0.99999996352027398</v>
      </c>
    </row>
    <row r="690" spans="1:40" x14ac:dyDescent="0.3">
      <c r="A690" t="str">
        <f>"20200111160417764"</f>
        <v>20200111160417764</v>
      </c>
      <c r="B690" t="str">
        <f>"1578729857760967"</f>
        <v>1578729857760967</v>
      </c>
      <c r="C690" t="s">
        <v>40</v>
      </c>
      <c r="D690">
        <v>5.1552610000000003</v>
      </c>
      <c r="E690">
        <v>0.50250050000000002</v>
      </c>
      <c r="F690" t="s">
        <v>41</v>
      </c>
      <c r="G690">
        <v>-277.2559</v>
      </c>
      <c r="H690" s="1">
        <v>-1.321955E-6</v>
      </c>
      <c r="I690">
        <v>368.70069999999998</v>
      </c>
      <c r="J690">
        <v>-289.34609999999998</v>
      </c>
      <c r="K690">
        <v>1.060211</v>
      </c>
      <c r="L690">
        <v>367.7423</v>
      </c>
      <c r="M690">
        <v>0.99989810000000001</v>
      </c>
      <c r="N690">
        <v>0</v>
      </c>
      <c r="O690">
        <v>4.894972E-3</v>
      </c>
      <c r="P690">
        <v>0.99725059999999999</v>
      </c>
      <c r="Q690">
        <v>-5.8647380000000004E-3</v>
      </c>
      <c r="R690">
        <v>7.3871720000000002E-2</v>
      </c>
      <c r="S690">
        <v>2.9894099999999999</v>
      </c>
      <c r="T690">
        <v>-0.25781860000000001</v>
      </c>
      <c r="U690">
        <v>0.2333374</v>
      </c>
      <c r="V690">
        <v>-6.898907E-2</v>
      </c>
      <c r="W690">
        <v>7.5137550000000004E-3</v>
      </c>
      <c r="X690">
        <v>0.99758910000000001</v>
      </c>
      <c r="Y690">
        <v>-7.2686360000000005E-2</v>
      </c>
      <c r="Z690">
        <v>2.7030890000000001E-3</v>
      </c>
      <c r="AA690">
        <v>0.99735119999999999</v>
      </c>
      <c r="AB690">
        <v>37</v>
      </c>
      <c r="AC690">
        <v>12.0901999999999</v>
      </c>
      <c r="AD690">
        <v>-1.0602123219549999</v>
      </c>
      <c r="AE690">
        <v>0.95839999999998304</v>
      </c>
      <c r="AF690">
        <v>-0.89238255440449299</v>
      </c>
      <c r="AG690">
        <v>-1.0602123219549999</v>
      </c>
      <c r="AH690">
        <v>12.003021661625899</v>
      </c>
      <c r="AI690">
        <v>95.033944823395103</v>
      </c>
      <c r="AJ690">
        <v>94.251917711335906</v>
      </c>
      <c r="AK690">
        <v>12.08275323759</v>
      </c>
      <c r="AL690">
        <v>89.569489490833405</v>
      </c>
      <c r="AM690">
        <v>93.956036746754606</v>
      </c>
      <c r="AN690">
        <v>0.99999998036623705</v>
      </c>
    </row>
    <row r="691" spans="1:40" x14ac:dyDescent="0.3">
      <c r="A691" t="str">
        <f>"20200111160417778"</f>
        <v>20200111160417778</v>
      </c>
      <c r="B691" t="str">
        <f>"1578729857771550"</f>
        <v>1578729857771550</v>
      </c>
      <c r="C691" t="s">
        <v>40</v>
      </c>
      <c r="D691">
        <v>5.1460489999999997</v>
      </c>
      <c r="E691">
        <v>0.50273950000000001</v>
      </c>
      <c r="F691" t="s">
        <v>41</v>
      </c>
      <c r="G691">
        <v>-277.01429999999999</v>
      </c>
      <c r="H691" s="1">
        <v>-1.4385059999999901E-6</v>
      </c>
      <c r="I691">
        <v>368.62799999999999</v>
      </c>
      <c r="J691">
        <v>-289.10950000000003</v>
      </c>
      <c r="K691">
        <v>1.0602279999999999</v>
      </c>
      <c r="L691">
        <v>367.74340000000001</v>
      </c>
      <c r="M691">
        <v>0.99989810000000001</v>
      </c>
      <c r="N691">
        <v>0</v>
      </c>
      <c r="O691">
        <v>4.8996409999999997E-3</v>
      </c>
      <c r="P691">
        <v>0.99729730000000005</v>
      </c>
      <c r="Q691">
        <v>-5.0754470000000003E-3</v>
      </c>
      <c r="R691">
        <v>7.3298189999999999E-2</v>
      </c>
      <c r="S691">
        <v>2.9908139999999999</v>
      </c>
      <c r="T691">
        <v>-0.25713000000000003</v>
      </c>
      <c r="U691">
        <v>0.21481320000000001</v>
      </c>
      <c r="V691">
        <v>-6.8410180000000001E-2</v>
      </c>
      <c r="W691">
        <v>8.3100489999999999E-3</v>
      </c>
      <c r="X691">
        <v>0.99762269999999997</v>
      </c>
      <c r="Y691">
        <v>-6.6525299999999996E-2</v>
      </c>
      <c r="Z691">
        <v>2.4308400000000001E-3</v>
      </c>
      <c r="AA691">
        <v>0.99778180000000005</v>
      </c>
      <c r="AB691">
        <v>37</v>
      </c>
      <c r="AC691">
        <v>12.0952</v>
      </c>
      <c r="AD691">
        <v>-1.060229438506</v>
      </c>
      <c r="AE691">
        <v>0.88460000000003403</v>
      </c>
      <c r="AF691">
        <v>-0.81906192592857296</v>
      </c>
      <c r="AG691">
        <v>-1.060229438506</v>
      </c>
      <c r="AH691">
        <v>12.0076166841922</v>
      </c>
      <c r="AI691">
        <v>95.034287648775205</v>
      </c>
      <c r="AJ691">
        <v>93.902207317739297</v>
      </c>
      <c r="AK691">
        <v>12.082127599693401</v>
      </c>
      <c r="AL691">
        <v>89.5238637991323</v>
      </c>
      <c r="AM691">
        <v>93.922813857621307</v>
      </c>
      <c r="AN691">
        <v>1.0000000305986501</v>
      </c>
    </row>
    <row r="692" spans="1:40" x14ac:dyDescent="0.3">
      <c r="A692" t="str">
        <f>"20200111160417791"</f>
        <v>20200111160417791</v>
      </c>
      <c r="B692" t="str">
        <f>"1578729857781311"</f>
        <v>1578729857781311</v>
      </c>
      <c r="C692" t="s">
        <v>40</v>
      </c>
      <c r="D692">
        <v>5.1666040000000004</v>
      </c>
      <c r="E692">
        <v>0.50277249999999996</v>
      </c>
      <c r="F692" t="s">
        <v>41</v>
      </c>
      <c r="G692">
        <v>-276.68470000000002</v>
      </c>
      <c r="H692" s="1">
        <v>-1.5811809999999999E-6</v>
      </c>
      <c r="I692">
        <v>368.6207</v>
      </c>
      <c r="J692">
        <v>-288.9205</v>
      </c>
      <c r="K692">
        <v>1.060235</v>
      </c>
      <c r="L692">
        <v>367.74439999999998</v>
      </c>
      <c r="M692">
        <v>0.99989799999999995</v>
      </c>
      <c r="N692">
        <v>0</v>
      </c>
      <c r="O692">
        <v>4.9038190000000002E-3</v>
      </c>
      <c r="P692">
        <v>0.99729820000000002</v>
      </c>
      <c r="Q692">
        <v>-4.71025E-3</v>
      </c>
      <c r="R692">
        <v>7.3310639999999996E-2</v>
      </c>
      <c r="S692">
        <v>2.9912719999999999</v>
      </c>
      <c r="T692">
        <v>-0.2552488</v>
      </c>
      <c r="U692">
        <v>0.21121219999999999</v>
      </c>
      <c r="V692">
        <v>-6.8418530000000005E-2</v>
      </c>
      <c r="W692">
        <v>8.6833989999999996E-3</v>
      </c>
      <c r="X692">
        <v>0.99761889999999998</v>
      </c>
      <c r="Y692">
        <v>-6.5322729999999996E-2</v>
      </c>
      <c r="Z692">
        <v>2.3613470000000002E-3</v>
      </c>
      <c r="AA692">
        <v>0.99786140000000001</v>
      </c>
      <c r="AB692">
        <v>37</v>
      </c>
      <c r="AC692">
        <v>12.2357999999999</v>
      </c>
      <c r="AD692">
        <v>-1.0602365811809999</v>
      </c>
      <c r="AE692">
        <v>0.87630000000001396</v>
      </c>
      <c r="AF692">
        <v>-0.81022952195555398</v>
      </c>
      <c r="AG692">
        <v>-1.0602365811809999</v>
      </c>
      <c r="AH692">
        <v>12.149196297662799</v>
      </c>
      <c r="AI692">
        <v>94.976456584846005</v>
      </c>
      <c r="AJ692">
        <v>93.815404038165696</v>
      </c>
      <c r="AK692">
        <v>12.2222560996514</v>
      </c>
      <c r="AL692">
        <v>89.502471624564606</v>
      </c>
      <c r="AM692">
        <v>93.923306070113696</v>
      </c>
      <c r="AN692">
        <v>0.99999998315138094</v>
      </c>
    </row>
    <row r="693" spans="1:40" x14ac:dyDescent="0.3">
      <c r="A693" t="str">
        <f>"20200111160417801"</f>
        <v>20200111160417801</v>
      </c>
      <c r="B693" t="str">
        <f>"1578729857791071"</f>
        <v>1578729857791071</v>
      </c>
      <c r="C693" t="s">
        <v>40</v>
      </c>
      <c r="D693">
        <v>5.1031180000000003</v>
      </c>
      <c r="E693">
        <v>0.50279659999999904</v>
      </c>
      <c r="F693" t="s">
        <v>41</v>
      </c>
      <c r="G693">
        <v>-276.53980000000001</v>
      </c>
      <c r="H693" s="1">
        <v>-1.643922E-6</v>
      </c>
      <c r="I693">
        <v>368.61750000000001</v>
      </c>
      <c r="J693">
        <v>-288.72820000000002</v>
      </c>
      <c r="K693">
        <v>1.0602419999999999</v>
      </c>
      <c r="L693">
        <v>367.74540000000002</v>
      </c>
      <c r="M693">
        <v>0.9998977</v>
      </c>
      <c r="N693">
        <v>0</v>
      </c>
      <c r="O693">
        <v>4.9081020000000001E-3</v>
      </c>
      <c r="P693">
        <v>0.99732010000000004</v>
      </c>
      <c r="Q693">
        <v>-4.502097E-3</v>
      </c>
      <c r="R693">
        <v>7.302459E-2</v>
      </c>
      <c r="S693">
        <v>2.991425</v>
      </c>
      <c r="T693">
        <v>-0.25617180000000001</v>
      </c>
      <c r="U693">
        <v>0.21096799999999999</v>
      </c>
      <c r="V693">
        <v>-6.8128209999999995E-2</v>
      </c>
      <c r="W693">
        <v>8.9017799999999998E-3</v>
      </c>
      <c r="X693">
        <v>0.99763690000000005</v>
      </c>
      <c r="Y693">
        <v>-6.5232620000000005E-2</v>
      </c>
      <c r="Z693">
        <v>2.3655289999999999E-3</v>
      </c>
      <c r="AA693">
        <v>0.99786730000000001</v>
      </c>
      <c r="AB693">
        <v>37</v>
      </c>
      <c r="AC693">
        <v>12.1884</v>
      </c>
      <c r="AD693">
        <v>-1.060243643922</v>
      </c>
      <c r="AE693">
        <v>0.872099999999989</v>
      </c>
      <c r="AF693">
        <v>-0.80619287604284096</v>
      </c>
      <c r="AG693">
        <v>-1.060243643922</v>
      </c>
      <c r="AH693">
        <v>12.101430024360701</v>
      </c>
      <c r="AI693">
        <v>94.996056542780593</v>
      </c>
      <c r="AJ693">
        <v>93.811392150533806</v>
      </c>
      <c r="AK693">
        <v>12.174509114225501</v>
      </c>
      <c r="AL693">
        <v>89.489958859736205</v>
      </c>
      <c r="AM693">
        <v>93.906639716685902</v>
      </c>
      <c r="AN693">
        <v>1.00000003946329</v>
      </c>
    </row>
    <row r="694" spans="1:40" x14ac:dyDescent="0.3">
      <c r="A694" t="str">
        <f>"20200111160417813"</f>
        <v>20200111160417813</v>
      </c>
      <c r="B694" t="str">
        <f>"1578729857811567"</f>
        <v>1578729857811567</v>
      </c>
      <c r="C694" t="s">
        <v>40</v>
      </c>
      <c r="D694">
        <v>5.1101729999999996</v>
      </c>
      <c r="E694">
        <v>0.50268519999999906</v>
      </c>
      <c r="F694" t="s">
        <v>41</v>
      </c>
      <c r="G694">
        <v>-276.41149999999999</v>
      </c>
      <c r="H694" s="1">
        <v>-1.7003329999999999E-6</v>
      </c>
      <c r="I694">
        <v>368.60980000000001</v>
      </c>
      <c r="J694">
        <v>-288.54739999999998</v>
      </c>
      <c r="K694">
        <v>1.0602469999999999</v>
      </c>
      <c r="L694">
        <v>367.74619999999999</v>
      </c>
      <c r="M694">
        <v>0.99989749999999999</v>
      </c>
      <c r="N694">
        <v>0</v>
      </c>
      <c r="O694">
        <v>4.9121700000000004E-3</v>
      </c>
      <c r="P694">
        <v>0.99733620000000001</v>
      </c>
      <c r="Q694">
        <v>-4.3667699999999999E-3</v>
      </c>
      <c r="R694">
        <v>7.2811600000000004E-2</v>
      </c>
      <c r="S694">
        <v>2.9914860000000001</v>
      </c>
      <c r="T694">
        <v>-0.2575095</v>
      </c>
      <c r="U694">
        <v>0.20996090000000001</v>
      </c>
      <c r="V694">
        <v>-6.7911189999999996E-2</v>
      </c>
      <c r="W694">
        <v>9.0524560000000004E-3</v>
      </c>
      <c r="X694">
        <v>0.99765029999999999</v>
      </c>
      <c r="Y694">
        <v>-6.4891829999999998E-2</v>
      </c>
      <c r="Z694">
        <v>2.3628439999999998E-3</v>
      </c>
      <c r="AA694">
        <v>0.99788949999999998</v>
      </c>
      <c r="AB694">
        <v>37</v>
      </c>
      <c r="AC694">
        <v>12.1358999999999</v>
      </c>
      <c r="AD694">
        <v>-1.0602487003329999</v>
      </c>
      <c r="AE694">
        <v>0.86360000000001902</v>
      </c>
      <c r="AF694">
        <v>-0.79791114479036696</v>
      </c>
      <c r="AG694">
        <v>-1.0602487003329999</v>
      </c>
      <c r="AH694">
        <v>12.048498262490099</v>
      </c>
      <c r="AI694">
        <v>95.018047640511298</v>
      </c>
      <c r="AJ694">
        <v>93.788877343204703</v>
      </c>
      <c r="AK694">
        <v>12.121348929998099</v>
      </c>
      <c r="AL694">
        <v>89.481325392263201</v>
      </c>
      <c r="AM694">
        <v>93.894181460146996</v>
      </c>
      <c r="AN694">
        <v>0.99999999888846902</v>
      </c>
    </row>
    <row r="695" spans="1:40" x14ac:dyDescent="0.3">
      <c r="A695" t="str">
        <f>"20200111160417825"</f>
        <v>20200111160417825</v>
      </c>
      <c r="B695" t="str">
        <f>"1578729857821327"</f>
        <v>1578729857821327</v>
      </c>
      <c r="C695" t="s">
        <v>40</v>
      </c>
      <c r="D695">
        <v>5.0342549999999999</v>
      </c>
      <c r="E695">
        <v>0.50266769999999905</v>
      </c>
      <c r="F695" t="s">
        <v>41</v>
      </c>
      <c r="G695">
        <v>-276.25549999999998</v>
      </c>
      <c r="H695" s="1">
        <v>-1.7671889999999999E-6</v>
      </c>
      <c r="I695">
        <v>368.61009999999999</v>
      </c>
      <c r="J695">
        <v>-288.3546</v>
      </c>
      <c r="K695">
        <v>1.0602529999999999</v>
      </c>
      <c r="L695">
        <v>367.74720000000002</v>
      </c>
      <c r="M695">
        <v>0.99989720000000004</v>
      </c>
      <c r="N695">
        <v>0</v>
      </c>
      <c r="O695">
        <v>4.9166380000000001E-3</v>
      </c>
      <c r="P695">
        <v>0.99733609999999995</v>
      </c>
      <c r="Q695">
        <v>-4.3613020000000001E-3</v>
      </c>
      <c r="R695">
        <v>7.2812790000000002E-2</v>
      </c>
      <c r="S695">
        <v>2.9915470000000002</v>
      </c>
      <c r="T695">
        <v>-0.25803700000000002</v>
      </c>
      <c r="U695">
        <v>0.21026610000000001</v>
      </c>
      <c r="V695">
        <v>-6.7907850000000006E-2</v>
      </c>
      <c r="W695">
        <v>9.0758200000000001E-3</v>
      </c>
      <c r="X695">
        <v>0.99765029999999999</v>
      </c>
      <c r="Y695">
        <v>-6.498603E-2</v>
      </c>
      <c r="Z695">
        <v>2.3712749999999999E-3</v>
      </c>
      <c r="AA695">
        <v>0.99788339999999998</v>
      </c>
      <c r="AB695">
        <v>37</v>
      </c>
      <c r="AC695">
        <v>12.0991</v>
      </c>
      <c r="AD695">
        <v>-1.0602547671889999</v>
      </c>
      <c r="AE695">
        <v>0.86289999999996703</v>
      </c>
      <c r="AF695">
        <v>-0.79730561577727999</v>
      </c>
      <c r="AG695">
        <v>-1.0602547671889999</v>
      </c>
      <c r="AH695">
        <v>12.011425684203999</v>
      </c>
      <c r="AI695">
        <v>95.033433866593697</v>
      </c>
      <c r="AJ695">
        <v>93.797661519630793</v>
      </c>
      <c r="AK695">
        <v>12.084460409279901</v>
      </c>
      <c r="AL695">
        <v>89.479986670851702</v>
      </c>
      <c r="AM695">
        <v>93.893990526210303</v>
      </c>
      <c r="AN695">
        <v>0.99999998384519195</v>
      </c>
    </row>
    <row r="696" spans="1:40" x14ac:dyDescent="0.3">
      <c r="A696" t="str">
        <f>"20200111160417835"</f>
        <v>20200111160417835</v>
      </c>
      <c r="B696" t="str">
        <f>"1578729857831086"</f>
        <v>1578729857831086</v>
      </c>
      <c r="C696" t="s">
        <v>40</v>
      </c>
      <c r="D696">
        <v>5.2065479999999997</v>
      </c>
      <c r="E696">
        <v>0.50229679999999999</v>
      </c>
      <c r="F696" t="s">
        <v>41</v>
      </c>
      <c r="G696">
        <v>-276.0908</v>
      </c>
      <c r="H696" s="1">
        <v>-1.8378720000000001E-6</v>
      </c>
      <c r="I696">
        <v>368.60989999999998</v>
      </c>
      <c r="J696">
        <v>-288.17399999999998</v>
      </c>
      <c r="K696">
        <v>1.0602590000000001</v>
      </c>
      <c r="L696">
        <v>367.74810000000002</v>
      </c>
      <c r="M696">
        <v>0.99989689999999998</v>
      </c>
      <c r="N696">
        <v>0</v>
      </c>
      <c r="O696">
        <v>4.9206579999999996E-3</v>
      </c>
      <c r="P696">
        <v>0.99733629999999995</v>
      </c>
      <c r="Q696">
        <v>-4.4518020000000004E-3</v>
      </c>
      <c r="R696">
        <v>7.2805190000000006E-2</v>
      </c>
      <c r="S696">
        <v>2.9915159999999998</v>
      </c>
      <c r="T696">
        <v>-0.258627</v>
      </c>
      <c r="U696">
        <v>0.2104492</v>
      </c>
      <c r="V696">
        <v>-6.7895990000000003E-2</v>
      </c>
      <c r="W696">
        <v>9.0076349999999999E-3</v>
      </c>
      <c r="X696">
        <v>0.99765179999999998</v>
      </c>
      <c r="Y696">
        <v>-6.5042279999999994E-2</v>
      </c>
      <c r="Z696">
        <v>2.3787740000000002E-3</v>
      </c>
      <c r="AA696">
        <v>0.99787969999999904</v>
      </c>
      <c r="AB696">
        <v>37</v>
      </c>
      <c r="AC696">
        <v>12.0832</v>
      </c>
      <c r="AD696">
        <v>-1.060260837872</v>
      </c>
      <c r="AE696">
        <v>0.86179999999995904</v>
      </c>
      <c r="AF696">
        <v>-0.79622734840850096</v>
      </c>
      <c r="AG696">
        <v>-1.060260837872</v>
      </c>
      <c r="AH696">
        <v>11.9954037363889</v>
      </c>
      <c r="AI696">
        <v>95.040151403830507</v>
      </c>
      <c r="AJ696">
        <v>93.797591387176396</v>
      </c>
      <c r="AK696">
        <v>12.068464767055101</v>
      </c>
      <c r="AL696">
        <v>89.483893581872096</v>
      </c>
      <c r="AM696">
        <v>93.893306702825996</v>
      </c>
      <c r="AN696">
        <v>1.0000000584947999</v>
      </c>
    </row>
    <row r="697" spans="1:40" x14ac:dyDescent="0.3">
      <c r="A697" t="str">
        <f>"20200111160417847"</f>
        <v>20200111160417847</v>
      </c>
      <c r="B697" t="str">
        <f>"1578729857841823"</f>
        <v>1578729857841823</v>
      </c>
      <c r="C697" t="s">
        <v>40</v>
      </c>
      <c r="D697">
        <v>5.0528599999999999</v>
      </c>
      <c r="E697">
        <v>0.50235429999999903</v>
      </c>
      <c r="F697" t="s">
        <v>41</v>
      </c>
      <c r="G697">
        <v>-275.98140000000001</v>
      </c>
      <c r="H697" s="1">
        <v>-1.8836029999999999E-6</v>
      </c>
      <c r="I697">
        <v>368.61680000000001</v>
      </c>
      <c r="J697">
        <v>-287.97930000000002</v>
      </c>
      <c r="K697">
        <v>1.060265</v>
      </c>
      <c r="L697">
        <v>367.74900000000002</v>
      </c>
      <c r="M697">
        <v>0.99989660000000002</v>
      </c>
      <c r="N697">
        <v>0</v>
      </c>
      <c r="O697">
        <v>4.9251959999999997E-3</v>
      </c>
      <c r="P697">
        <v>0.99733079999999996</v>
      </c>
      <c r="Q697">
        <v>-4.4198780000000003E-3</v>
      </c>
      <c r="R697">
        <v>7.288306E-2</v>
      </c>
      <c r="S697">
        <v>2.9912719999999999</v>
      </c>
      <c r="T697">
        <v>-0.26011689999999998</v>
      </c>
      <c r="U697">
        <v>0.21313480000000001</v>
      </c>
      <c r="V697">
        <v>-6.7969210000000002E-2</v>
      </c>
      <c r="W697">
        <v>9.0648529999999995E-3</v>
      </c>
      <c r="X697">
        <v>0.99764620000000004</v>
      </c>
      <c r="Y697">
        <v>-6.592895E-2</v>
      </c>
      <c r="Z697">
        <v>2.4305820000000001E-3</v>
      </c>
      <c r="AA697">
        <v>0.99782130000000002</v>
      </c>
      <c r="AB697">
        <v>37</v>
      </c>
      <c r="AC697">
        <v>11.9979</v>
      </c>
      <c r="AD697">
        <v>-1.060266883603</v>
      </c>
      <c r="AE697">
        <v>0.86779999999998803</v>
      </c>
      <c r="AF697">
        <v>-0.80245793634032403</v>
      </c>
      <c r="AG697">
        <v>-1.060266883603</v>
      </c>
      <c r="AH697">
        <v>11.9095063815308</v>
      </c>
      <c r="AI697">
        <v>95.0760061928422</v>
      </c>
      <c r="AJ697">
        <v>93.854740997643205</v>
      </c>
      <c r="AK697">
        <v>11.983507285256</v>
      </c>
      <c r="AL697">
        <v>89.480615048553602</v>
      </c>
      <c r="AM697">
        <v>93.897514176974795</v>
      </c>
      <c r="AN697">
        <v>0.99999996272118696</v>
      </c>
    </row>
    <row r="698" spans="1:40" x14ac:dyDescent="0.3">
      <c r="A698" t="str">
        <f>"20200111160417860"</f>
        <v>20200111160417860</v>
      </c>
      <c r="B698" t="str">
        <f>"1578729857851583"</f>
        <v>1578729857851583</v>
      </c>
      <c r="C698" t="s">
        <v>40</v>
      </c>
      <c r="D698">
        <v>5.0352829999999997</v>
      </c>
      <c r="E698">
        <v>0.50238419999999995</v>
      </c>
      <c r="F698" t="s">
        <v>41</v>
      </c>
      <c r="G698">
        <v>-275.8075</v>
      </c>
      <c r="H698" s="1">
        <v>-1.958332E-6</v>
      </c>
      <c r="I698">
        <v>368.61599999999999</v>
      </c>
      <c r="J698">
        <v>-287.76119999999997</v>
      </c>
      <c r="K698">
        <v>1.0602720000000001</v>
      </c>
      <c r="L698">
        <v>367.75009999999997</v>
      </c>
      <c r="M698">
        <v>0.99989620000000001</v>
      </c>
      <c r="N698">
        <v>0</v>
      </c>
      <c r="O698">
        <v>4.9300569999999998E-3</v>
      </c>
      <c r="P698">
        <v>0.99732140000000002</v>
      </c>
      <c r="Q698">
        <v>-4.6543959999999999E-3</v>
      </c>
      <c r="R698">
        <v>7.2998450000000006E-2</v>
      </c>
      <c r="S698">
        <v>2.991333</v>
      </c>
      <c r="T698">
        <v>-0.26056829999999997</v>
      </c>
      <c r="U698">
        <v>0.2130737</v>
      </c>
      <c r="V698">
        <v>-6.8080189999999999E-2</v>
      </c>
      <c r="W698">
        <v>8.8598210000000004E-3</v>
      </c>
      <c r="X698">
        <v>0.99764050000000004</v>
      </c>
      <c r="Y698">
        <v>-6.5901730000000006E-2</v>
      </c>
      <c r="Z698">
        <v>2.4331320000000002E-3</v>
      </c>
      <c r="AA698">
        <v>0.99782320000000002</v>
      </c>
      <c r="AB698">
        <v>37</v>
      </c>
      <c r="AC698">
        <v>11.9536999999999</v>
      </c>
      <c r="AD698">
        <v>-1.06027395833199</v>
      </c>
      <c r="AE698">
        <v>0.86590000000001</v>
      </c>
      <c r="AF698">
        <v>-0.80068521808002402</v>
      </c>
      <c r="AG698">
        <v>-1.06027395833199</v>
      </c>
      <c r="AH698">
        <v>11.8649648058599</v>
      </c>
      <c r="AI698">
        <v>95.094960217295906</v>
      </c>
      <c r="AJ698">
        <v>93.860646441678597</v>
      </c>
      <c r="AK698">
        <v>11.939123398703201</v>
      </c>
      <c r="AL698">
        <v>89.492363001921802</v>
      </c>
      <c r="AM698">
        <v>93.903880605067101</v>
      </c>
      <c r="AN698">
        <v>0.99999998796941902</v>
      </c>
    </row>
    <row r="699" spans="1:40" x14ac:dyDescent="0.3">
      <c r="A699" t="str">
        <f>"20200111160417874"</f>
        <v>20200111160417874</v>
      </c>
      <c r="B699" t="str">
        <f>"1578729857871104"</f>
        <v>1578729857871104</v>
      </c>
      <c r="C699" t="s">
        <v>40</v>
      </c>
      <c r="D699">
        <v>4.9592269999999896</v>
      </c>
      <c r="E699">
        <v>0.50239679999999998</v>
      </c>
      <c r="F699" t="s">
        <v>41</v>
      </c>
      <c r="G699">
        <v>-275.62040000000002</v>
      </c>
      <c r="H699" s="1">
        <v>-2.0387079999999999E-6</v>
      </c>
      <c r="I699">
        <v>368.6155</v>
      </c>
      <c r="J699">
        <v>-287.55180000000001</v>
      </c>
      <c r="K699">
        <v>1.0602720000000001</v>
      </c>
      <c r="L699">
        <v>367.75110000000001</v>
      </c>
      <c r="M699">
        <v>0.99989570000000005</v>
      </c>
      <c r="N699">
        <v>0</v>
      </c>
      <c r="O699">
        <v>4.9348550000000001E-3</v>
      </c>
      <c r="P699">
        <v>0.99729650000000003</v>
      </c>
      <c r="Q699">
        <v>-4.7643989999999999E-3</v>
      </c>
      <c r="R699">
        <v>7.3330220000000002E-2</v>
      </c>
      <c r="S699">
        <v>2.9913020000000001</v>
      </c>
      <c r="T699">
        <v>-0.26123190000000002</v>
      </c>
      <c r="U699">
        <v>0.21322630000000001</v>
      </c>
      <c r="V699">
        <v>-6.8407529999999994E-2</v>
      </c>
      <c r="W699">
        <v>8.7797159999999999E-3</v>
      </c>
      <c r="X699">
        <v>0.99761889999999998</v>
      </c>
      <c r="Y699">
        <v>-6.5947000000000006E-2</v>
      </c>
      <c r="Z699">
        <v>2.440879E-3</v>
      </c>
      <c r="AA699">
        <v>0.99782009999999999</v>
      </c>
      <c r="AB699">
        <v>37</v>
      </c>
      <c r="AC699">
        <v>11.931399999999901</v>
      </c>
      <c r="AD699">
        <v>-1.0602740387080001</v>
      </c>
      <c r="AE699">
        <v>0.86439999999998895</v>
      </c>
      <c r="AF699">
        <v>-0.79922591154861</v>
      </c>
      <c r="AG699">
        <v>-1.0602740387080001</v>
      </c>
      <c r="AH699">
        <v>11.842490775903499</v>
      </c>
      <c r="AI699">
        <v>95.104576853104007</v>
      </c>
      <c r="AJ699">
        <v>93.860922467998705</v>
      </c>
      <c r="AK699">
        <v>11.916691272002</v>
      </c>
      <c r="AL699">
        <v>89.496952900992198</v>
      </c>
      <c r="AM699">
        <v>93.922677269329</v>
      </c>
      <c r="AN699">
        <v>1.00000007160547</v>
      </c>
    </row>
    <row r="700" spans="1:40" x14ac:dyDescent="0.3">
      <c r="A700" t="str">
        <f>"20200111160417887"</f>
        <v>20200111160417887</v>
      </c>
      <c r="B700" t="str">
        <f>"1578729857881843"</f>
        <v>1578729857881843</v>
      </c>
      <c r="C700" t="s">
        <v>40</v>
      </c>
      <c r="D700">
        <v>4.9864870000000003</v>
      </c>
      <c r="E700">
        <v>0.51969799999999999</v>
      </c>
      <c r="F700" t="s">
        <v>41</v>
      </c>
      <c r="G700">
        <v>-275.46050000000002</v>
      </c>
      <c r="H700" s="1">
        <v>-2.10714E-6</v>
      </c>
      <c r="I700">
        <v>368.61619999999999</v>
      </c>
      <c r="J700">
        <v>-287.32209999999998</v>
      </c>
      <c r="K700">
        <v>1.0602780000000001</v>
      </c>
      <c r="L700">
        <v>367.75229999999999</v>
      </c>
      <c r="M700">
        <v>0.99989530000000004</v>
      </c>
      <c r="N700">
        <v>0</v>
      </c>
      <c r="O700">
        <v>4.9398599999999999E-3</v>
      </c>
      <c r="P700">
        <v>0.99726360000000003</v>
      </c>
      <c r="Q700">
        <v>-5.2122640000000003E-3</v>
      </c>
      <c r="R700">
        <v>7.3745899999999906E-2</v>
      </c>
      <c r="S700">
        <v>2.9911500000000002</v>
      </c>
      <c r="T700">
        <v>-0.26228829999999997</v>
      </c>
      <c r="U700">
        <v>0.21401980000000001</v>
      </c>
      <c r="V700">
        <v>-6.8818290000000004E-2</v>
      </c>
      <c r="W700">
        <v>8.3663130000000002E-3</v>
      </c>
      <c r="X700">
        <v>0.99759410000000004</v>
      </c>
      <c r="Y700">
        <v>-6.6206089999999995E-2</v>
      </c>
      <c r="Z700">
        <v>2.4616989999999999E-3</v>
      </c>
      <c r="AA700">
        <v>0.99780290000000005</v>
      </c>
      <c r="AB700">
        <v>37</v>
      </c>
      <c r="AC700">
        <v>11.8615999999999</v>
      </c>
      <c r="AD700">
        <v>-1.0602801071400001</v>
      </c>
      <c r="AE700">
        <v>0.863900000000001</v>
      </c>
      <c r="AF700">
        <v>-0.798939434569647</v>
      </c>
      <c r="AG700">
        <v>-1.0602801071400001</v>
      </c>
      <c r="AH700">
        <v>11.772158243147301</v>
      </c>
      <c r="AI700">
        <v>95.134810360222801</v>
      </c>
      <c r="AJ700">
        <v>93.882531179717105</v>
      </c>
      <c r="AK700">
        <v>11.8467804836339</v>
      </c>
      <c r="AL700">
        <v>89.520639968513606</v>
      </c>
      <c r="AM700">
        <v>93.946254981217706</v>
      </c>
      <c r="AN700">
        <v>0.99999997029327303</v>
      </c>
    </row>
    <row r="701" spans="1:40" x14ac:dyDescent="0.3">
      <c r="A701" t="str">
        <f>"20200111160417900"</f>
        <v>20200111160417900</v>
      </c>
      <c r="B701" t="str">
        <f>"1578729857891599"</f>
        <v>1578729857891599</v>
      </c>
      <c r="C701" t="s">
        <v>40</v>
      </c>
      <c r="D701">
        <v>5.2162230000000003</v>
      </c>
      <c r="E701">
        <v>0.52492490000000003</v>
      </c>
      <c r="F701" t="s">
        <v>41</v>
      </c>
      <c r="G701">
        <v>-271.21109999999999</v>
      </c>
      <c r="H701" s="1">
        <v>-4.0129080000000004E-6</v>
      </c>
      <c r="I701">
        <v>368.14960000000002</v>
      </c>
      <c r="J701">
        <v>-287.11700000000002</v>
      </c>
      <c r="K701">
        <v>1.0602819999999999</v>
      </c>
      <c r="L701">
        <v>367.75330000000002</v>
      </c>
      <c r="M701">
        <v>0.99989479999999997</v>
      </c>
      <c r="N701">
        <v>0</v>
      </c>
      <c r="O701">
        <v>4.944698E-3</v>
      </c>
      <c r="P701">
        <v>0.99724060000000003</v>
      </c>
      <c r="Q701">
        <v>-5.5114480000000004E-3</v>
      </c>
      <c r="R701">
        <v>7.4035439999999994E-2</v>
      </c>
      <c r="S701">
        <v>3.0017399999999999</v>
      </c>
      <c r="T701">
        <v>-0.19754650000000001</v>
      </c>
      <c r="U701">
        <v>7.403564E-2</v>
      </c>
      <c r="V701">
        <v>-6.9102910000000003E-2</v>
      </c>
      <c r="W701">
        <v>8.1002460000000002E-3</v>
      </c>
      <c r="X701">
        <v>0.99757669999999998</v>
      </c>
      <c r="Y701">
        <v>-1.9680940000000001E-2</v>
      </c>
      <c r="Z701">
        <v>3.2177300000000002E-4</v>
      </c>
      <c r="AA701">
        <v>0.99980630000000004</v>
      </c>
      <c r="AB701">
        <v>37</v>
      </c>
      <c r="AC701">
        <v>15.905900000000001</v>
      </c>
      <c r="AD701">
        <v>-1.0602860129079901</v>
      </c>
      <c r="AE701">
        <v>0.39629999999999599</v>
      </c>
      <c r="AF701">
        <v>-0.31623364270850102</v>
      </c>
      <c r="AG701">
        <v>-1.0602860129079901</v>
      </c>
      <c r="AH701">
        <v>15.8373350290444</v>
      </c>
      <c r="AI701">
        <v>93.829390571516996</v>
      </c>
      <c r="AJ701">
        <v>91.143907455562896</v>
      </c>
      <c r="AK701">
        <v>15.8759374831266</v>
      </c>
      <c r="AL701">
        <v>89.535885038549395</v>
      </c>
      <c r="AM701">
        <v>93.962592987560299</v>
      </c>
      <c r="AN701">
        <v>1.0000000492693</v>
      </c>
    </row>
    <row r="702" spans="1:40" x14ac:dyDescent="0.3">
      <c r="A702" t="str">
        <f>"20200111160417914"</f>
        <v>20200111160417914</v>
      </c>
      <c r="B702" t="str">
        <f>"1578729857911119"</f>
        <v>1578729857911119</v>
      </c>
      <c r="C702" t="s">
        <v>40</v>
      </c>
      <c r="D702">
        <v>5.1173479999999998</v>
      </c>
      <c r="E702">
        <v>0.53179080000000001</v>
      </c>
      <c r="F702" t="s">
        <v>41</v>
      </c>
      <c r="G702">
        <v>-270.23910000000001</v>
      </c>
      <c r="H702" s="1">
        <v>-4.4677530000000004E-6</v>
      </c>
      <c r="I702">
        <v>367.93619999999999</v>
      </c>
      <c r="J702">
        <v>-286.8954</v>
      </c>
      <c r="K702">
        <v>1.060284</v>
      </c>
      <c r="L702">
        <v>367.75439999999998</v>
      </c>
      <c r="M702">
        <v>0.99989430000000001</v>
      </c>
      <c r="N702">
        <v>0</v>
      </c>
      <c r="O702">
        <v>4.9497969999999997E-3</v>
      </c>
      <c r="P702">
        <v>0.99717630000000002</v>
      </c>
      <c r="Q702">
        <v>-6.594585E-3</v>
      </c>
      <c r="R702">
        <v>7.4806979999999995E-2</v>
      </c>
      <c r="S702">
        <v>3.0048219999999999</v>
      </c>
      <c r="T702">
        <v>-0.18876419999999999</v>
      </c>
      <c r="U702">
        <v>3.2562260000000003E-2</v>
      </c>
      <c r="V702">
        <v>-6.9869760000000003E-2</v>
      </c>
      <c r="W702">
        <v>7.0550500000000002E-3</v>
      </c>
      <c r="X702">
        <v>0.99753119999999995</v>
      </c>
      <c r="Y702">
        <v>-5.8840899999999998E-3</v>
      </c>
      <c r="Z702">
        <v>-1.26026E-4</v>
      </c>
      <c r="AA702">
        <v>0.9999827</v>
      </c>
      <c r="AB702">
        <v>37</v>
      </c>
      <c r="AC702">
        <v>16.656299999999899</v>
      </c>
      <c r="AD702">
        <v>-1.060288467753</v>
      </c>
      <c r="AE702">
        <v>0.18180000000000901</v>
      </c>
      <c r="AF702">
        <v>-9.8943870873082304E-2</v>
      </c>
      <c r="AG702">
        <v>-1.060288467753</v>
      </c>
      <c r="AH702">
        <v>16.589778759468299</v>
      </c>
      <c r="AI702">
        <v>93.656857918885706</v>
      </c>
      <c r="AJ702">
        <v>90.341716370974098</v>
      </c>
      <c r="AK702">
        <v>16.623921342828201</v>
      </c>
      <c r="AL702">
        <v>89.595772067900299</v>
      </c>
      <c r="AM702">
        <v>94.006606471602197</v>
      </c>
      <c r="AN702">
        <v>1.00000002603319</v>
      </c>
    </row>
    <row r="703" spans="1:40" x14ac:dyDescent="0.3">
      <c r="A703" t="str">
        <f>"20200111160417926"</f>
        <v>20200111160417926</v>
      </c>
      <c r="B703" t="str">
        <f>"1578729857921856"</f>
        <v>1578729857921856</v>
      </c>
      <c r="C703" t="s">
        <v>40</v>
      </c>
      <c r="D703">
        <v>4.8314659999999998</v>
      </c>
      <c r="E703">
        <v>0.53378890000000001</v>
      </c>
      <c r="F703" t="s">
        <v>41</v>
      </c>
      <c r="G703">
        <v>-268.22050000000002</v>
      </c>
      <c r="H703" s="1">
        <v>-1.121732E-6</v>
      </c>
      <c r="I703">
        <v>367.62400000000002</v>
      </c>
      <c r="J703">
        <v>-286.68389999999999</v>
      </c>
      <c r="K703">
        <v>1.060289</v>
      </c>
      <c r="L703">
        <v>367.75540000000001</v>
      </c>
      <c r="M703">
        <v>0.99989360000000005</v>
      </c>
      <c r="N703">
        <v>0</v>
      </c>
      <c r="O703">
        <v>4.954539E-3</v>
      </c>
      <c r="P703">
        <v>0.99714939999999996</v>
      </c>
      <c r="Q703">
        <v>-7.0891529999999999E-3</v>
      </c>
      <c r="R703">
        <v>7.5119839999999993E-2</v>
      </c>
      <c r="S703">
        <v>3.0089109999999999</v>
      </c>
      <c r="T703">
        <v>-0.1708335</v>
      </c>
      <c r="U703">
        <v>-2.0996089999999999E-2</v>
      </c>
      <c r="V703">
        <v>-7.0177729999999994E-2</v>
      </c>
      <c r="W703">
        <v>6.5987279999999999E-3</v>
      </c>
      <c r="X703">
        <v>0.99751270000000003</v>
      </c>
      <c r="Y703">
        <v>1.190545E-2</v>
      </c>
      <c r="Z703">
        <v>-6.1879009999999996E-4</v>
      </c>
      <c r="AA703">
        <v>0.99992899999999996</v>
      </c>
      <c r="AB703">
        <v>37</v>
      </c>
      <c r="AC703">
        <v>18.463399999999901</v>
      </c>
      <c r="AD703">
        <v>-1.060290121732</v>
      </c>
      <c r="AE703">
        <v>-0.131399999999985</v>
      </c>
      <c r="AF703">
        <v>0.222152054527884</v>
      </c>
      <c r="AG703">
        <v>-1.060290121732</v>
      </c>
      <c r="AH703">
        <v>18.401839494785101</v>
      </c>
      <c r="AI703">
        <v>93.297422656061798</v>
      </c>
      <c r="AJ703">
        <v>89.308343231195295</v>
      </c>
      <c r="AK703">
        <v>18.433699126040999</v>
      </c>
      <c r="AL703">
        <v>89.621917999847597</v>
      </c>
      <c r="AM703">
        <v>94.024283174087699</v>
      </c>
      <c r="AN703">
        <v>1.0000000218302301</v>
      </c>
    </row>
    <row r="704" spans="1:40" x14ac:dyDescent="0.3">
      <c r="A704" t="str">
        <f>"20200111160417938"</f>
        <v>20200111160417938</v>
      </c>
      <c r="B704" t="str">
        <f>"1578729857931615"</f>
        <v>1578729857931615</v>
      </c>
      <c r="C704" t="s">
        <v>40</v>
      </c>
      <c r="D704">
        <v>4.882498</v>
      </c>
      <c r="E704">
        <v>0.53519550000000005</v>
      </c>
      <c r="F704" t="s">
        <v>41</v>
      </c>
      <c r="G704">
        <v>-267.5609</v>
      </c>
      <c r="H704" s="1">
        <v>-1.3995999999999999E-6</v>
      </c>
      <c r="I704">
        <v>367.52530000000002</v>
      </c>
      <c r="J704">
        <v>-286.49040000000002</v>
      </c>
      <c r="K704">
        <v>1.060289</v>
      </c>
      <c r="L704">
        <v>367.75639999999999</v>
      </c>
      <c r="M704">
        <v>0.99989309999999998</v>
      </c>
      <c r="N704">
        <v>0</v>
      </c>
      <c r="O704">
        <v>4.9586930000000001E-3</v>
      </c>
      <c r="P704">
        <v>0.99711760000000005</v>
      </c>
      <c r="Q704">
        <v>-7.4721329999999997E-3</v>
      </c>
      <c r="R704">
        <v>7.5503589999999995E-2</v>
      </c>
      <c r="S704">
        <v>3.010132</v>
      </c>
      <c r="T704">
        <v>-0.16689899999999999</v>
      </c>
      <c r="U704">
        <v>-3.6224369999999999E-2</v>
      </c>
      <c r="V704">
        <v>-7.0557930000000005E-2</v>
      </c>
      <c r="W704">
        <v>6.2525509999999899E-3</v>
      </c>
      <c r="X704">
        <v>0.99748809999999999</v>
      </c>
      <c r="Y704">
        <v>1.6958270000000001E-2</v>
      </c>
      <c r="Z704">
        <v>-7.4449879999999996E-4</v>
      </c>
      <c r="AA704">
        <v>0.99985590000000002</v>
      </c>
      <c r="AB704">
        <v>37</v>
      </c>
      <c r="AC704">
        <v>18.929500000000001</v>
      </c>
      <c r="AD704">
        <v>-1.0602903995999999</v>
      </c>
      <c r="AE704">
        <v>-0.231099999999969</v>
      </c>
      <c r="AF704">
        <v>0.32395538867658902</v>
      </c>
      <c r="AG704">
        <v>-1.0602903995999999</v>
      </c>
      <c r="AH704">
        <v>18.8689304049688</v>
      </c>
      <c r="AI704">
        <v>93.215731887579494</v>
      </c>
      <c r="AJ704">
        <v>89.016401422450599</v>
      </c>
      <c r="AK704">
        <v>18.901473420156801</v>
      </c>
      <c r="AL704">
        <v>89.641752886812995</v>
      </c>
      <c r="AM704">
        <v>94.046112662054995</v>
      </c>
      <c r="AN704">
        <v>1.00000001276075</v>
      </c>
    </row>
    <row r="705" spans="1:40" x14ac:dyDescent="0.3">
      <c r="A705" t="str">
        <f>"20200111160417949"</f>
        <v>20200111160417949</v>
      </c>
      <c r="B705" t="str">
        <f>"1578729857941376"</f>
        <v>1578729857941376</v>
      </c>
      <c r="C705" t="s">
        <v>40</v>
      </c>
      <c r="D705">
        <v>4.8057040000000004</v>
      </c>
      <c r="E705">
        <v>0.53630459999999902</v>
      </c>
      <c r="F705" t="s">
        <v>41</v>
      </c>
      <c r="G705">
        <v>-266.76089999999999</v>
      </c>
      <c r="H705" s="1">
        <v>-1.7560030000000001E-6</v>
      </c>
      <c r="I705">
        <v>367.45080000000002</v>
      </c>
      <c r="J705">
        <v>-286.31180000000001</v>
      </c>
      <c r="K705">
        <v>1.060295</v>
      </c>
      <c r="L705">
        <v>367.75729999999999</v>
      </c>
      <c r="M705">
        <v>0.99989269999999997</v>
      </c>
      <c r="N705">
        <v>0</v>
      </c>
      <c r="O705">
        <v>4.9625040000000004E-3</v>
      </c>
      <c r="P705">
        <v>0.99708669999999999</v>
      </c>
      <c r="Q705">
        <v>-8.0305129999999995E-3</v>
      </c>
      <c r="R705">
        <v>7.5853669999999998E-2</v>
      </c>
      <c r="S705">
        <v>3.0109859999999999</v>
      </c>
      <c r="T705">
        <v>-0.1618145</v>
      </c>
      <c r="U705">
        <v>-4.6630860000000003E-2</v>
      </c>
      <c r="V705">
        <v>-7.0903930000000004E-2</v>
      </c>
      <c r="W705">
        <v>5.7285160000000003E-3</v>
      </c>
      <c r="X705">
        <v>0.99746670000000004</v>
      </c>
      <c r="Y705">
        <v>2.0410629999999999E-2</v>
      </c>
      <c r="Z705">
        <v>-8.1453000000000005E-4</v>
      </c>
      <c r="AA705">
        <v>0.99979130000000005</v>
      </c>
      <c r="AB705">
        <v>37</v>
      </c>
      <c r="AC705">
        <v>19.550899999999999</v>
      </c>
      <c r="AD705">
        <v>-1.0602967560030001</v>
      </c>
      <c r="AE705">
        <v>-0.30649999999997102</v>
      </c>
      <c r="AF705">
        <v>0.40234378715458402</v>
      </c>
      <c r="AG705">
        <v>-1.0602967560030001</v>
      </c>
      <c r="AH705">
        <v>19.491823224485</v>
      </c>
      <c r="AI705">
        <v>93.112988133695794</v>
      </c>
      <c r="AJ705">
        <v>88.817487342479893</v>
      </c>
      <c r="AK705">
        <v>19.524786358585899</v>
      </c>
      <c r="AL705">
        <v>89.671778415292806</v>
      </c>
      <c r="AM705">
        <v>94.065974432449195</v>
      </c>
      <c r="AN705">
        <v>1.00000000039694</v>
      </c>
    </row>
    <row r="706" spans="1:40" x14ac:dyDescent="0.3">
      <c r="A706" t="str">
        <f>"20200111160417959"</f>
        <v>20200111160417959</v>
      </c>
      <c r="B706" t="str">
        <f>"1578729857951136"</f>
        <v>1578729857951136</v>
      </c>
      <c r="C706" t="s">
        <v>40</v>
      </c>
      <c r="D706">
        <v>4.7979789999999998</v>
      </c>
      <c r="E706">
        <v>0.53724759999999905</v>
      </c>
      <c r="F706" t="s">
        <v>41</v>
      </c>
      <c r="G706">
        <v>-266.60750000000002</v>
      </c>
      <c r="H706" s="1">
        <v>-1.8307220000000001E-6</v>
      </c>
      <c r="I706">
        <v>367.4006</v>
      </c>
      <c r="J706">
        <v>-286.12860000000001</v>
      </c>
      <c r="K706">
        <v>1.0602990000000001</v>
      </c>
      <c r="L706">
        <v>367.75819999999999</v>
      </c>
      <c r="M706">
        <v>0.99989209999999995</v>
      </c>
      <c r="N706">
        <v>0</v>
      </c>
      <c r="O706">
        <v>4.966781E-3</v>
      </c>
      <c r="P706">
        <v>0.99706070000000002</v>
      </c>
      <c r="Q706">
        <v>-8.6347739999999996E-3</v>
      </c>
      <c r="R706">
        <v>7.6129950000000002E-2</v>
      </c>
      <c r="S706">
        <v>3.0115970000000001</v>
      </c>
      <c r="T706">
        <v>-0.16205449999999999</v>
      </c>
      <c r="U706">
        <v>-5.450439E-2</v>
      </c>
      <c r="V706">
        <v>-7.1176199999999995E-2</v>
      </c>
      <c r="W706">
        <v>5.1601340000000002E-3</v>
      </c>
      <c r="X706">
        <v>0.99745039999999996</v>
      </c>
      <c r="Y706">
        <v>2.3020949999999998E-2</v>
      </c>
      <c r="Z706">
        <v>-8.8595820000000002E-4</v>
      </c>
      <c r="AA706">
        <v>0.99973460000000003</v>
      </c>
      <c r="AB706">
        <v>37</v>
      </c>
      <c r="AC706">
        <v>19.521099999999901</v>
      </c>
      <c r="AD706">
        <v>-1.0603008307220001</v>
      </c>
      <c r="AE706">
        <v>-0.35759999999998998</v>
      </c>
      <c r="AF706">
        <v>0.45322523251163899</v>
      </c>
      <c r="AG706">
        <v>-1.0603008307220001</v>
      </c>
      <c r="AH706">
        <v>19.461686514415302</v>
      </c>
      <c r="AI706">
        <v>93.117630315330302</v>
      </c>
      <c r="AJ706">
        <v>88.665932673841098</v>
      </c>
      <c r="AK706">
        <v>19.495817319322398</v>
      </c>
      <c r="AL706">
        <v>89.704344784879595</v>
      </c>
      <c r="AM706">
        <v>94.081601518550997</v>
      </c>
      <c r="AN706">
        <v>0.99999998944474799</v>
      </c>
    </row>
    <row r="707" spans="1:40" x14ac:dyDescent="0.3">
      <c r="A707" t="str">
        <f>"20200111160417972"</f>
        <v>20200111160417972</v>
      </c>
      <c r="B707" t="str">
        <f>"1578729857961874"</f>
        <v>1578729857961874</v>
      </c>
      <c r="C707" t="s">
        <v>40</v>
      </c>
      <c r="D707">
        <v>4.8035949999999996</v>
      </c>
      <c r="E707">
        <v>0.53792320000000005</v>
      </c>
      <c r="F707" t="s">
        <v>41</v>
      </c>
      <c r="G707">
        <v>-266.25200000000001</v>
      </c>
      <c r="H707" s="1">
        <v>-1.9915529999999999E-6</v>
      </c>
      <c r="I707">
        <v>367.35359999999997</v>
      </c>
      <c r="J707">
        <v>-285.94400000000002</v>
      </c>
      <c r="K707">
        <v>1.0603020000000001</v>
      </c>
      <c r="L707">
        <v>367.75909999999999</v>
      </c>
      <c r="M707">
        <v>0.99989150000000004</v>
      </c>
      <c r="N707">
        <v>0</v>
      </c>
      <c r="O707">
        <v>4.9710550000000003E-3</v>
      </c>
      <c r="P707">
        <v>0.99703430000000004</v>
      </c>
      <c r="Q707">
        <v>-9.2324669999999994E-3</v>
      </c>
      <c r="R707">
        <v>7.6403410000000005E-2</v>
      </c>
      <c r="S707">
        <v>3.012146</v>
      </c>
      <c r="T707">
        <v>-0.16068009999999999</v>
      </c>
      <c r="U707">
        <v>-6.1309809999999999E-2</v>
      </c>
      <c r="V707">
        <v>-7.1446079999999995E-2</v>
      </c>
      <c r="W707">
        <v>4.5989029999999997E-3</v>
      </c>
      <c r="X707">
        <v>0.99743380000000004</v>
      </c>
      <c r="Y707">
        <v>2.5277250000000001E-2</v>
      </c>
      <c r="Z707">
        <v>-9.3863520000000002E-4</v>
      </c>
      <c r="AA707">
        <v>0.99968000000000001</v>
      </c>
      <c r="AB707">
        <v>37</v>
      </c>
      <c r="AC707">
        <v>19.692</v>
      </c>
      <c r="AD707">
        <v>-1.0603039915529999</v>
      </c>
      <c r="AE707">
        <v>-0.40550000000001701</v>
      </c>
      <c r="AF707">
        <v>0.50193979919699105</v>
      </c>
      <c r="AG707">
        <v>-1.0603039915529999</v>
      </c>
      <c r="AH707">
        <v>19.6328448804461</v>
      </c>
      <c r="AI707">
        <v>93.090341500576301</v>
      </c>
      <c r="AJ707">
        <v>88.535476203095698</v>
      </c>
      <c r="AK707">
        <v>19.6678617601452</v>
      </c>
      <c r="AL707">
        <v>89.736501322754407</v>
      </c>
      <c r="AM707">
        <v>94.097093146861795</v>
      </c>
      <c r="AN707">
        <v>0.99999993881930305</v>
      </c>
    </row>
    <row r="708" spans="1:40" x14ac:dyDescent="0.3">
      <c r="A708" t="str">
        <f>"20200111160417983"</f>
        <v>20200111160417983</v>
      </c>
      <c r="B708" t="str">
        <f>"1578729857971631"</f>
        <v>1578729857971631</v>
      </c>
      <c r="C708" t="s">
        <v>40</v>
      </c>
      <c r="D708">
        <v>4.7621769999999897</v>
      </c>
      <c r="E708">
        <v>0.53841380000000005</v>
      </c>
      <c r="F708" t="s">
        <v>41</v>
      </c>
      <c r="G708">
        <v>-265.93889999999999</v>
      </c>
      <c r="H708" s="1">
        <v>-2.1320850000000001E-6</v>
      </c>
      <c r="I708">
        <v>367.31869999999998</v>
      </c>
      <c r="J708">
        <v>-285.75799999999998</v>
      </c>
      <c r="K708">
        <v>1.0603039999999999</v>
      </c>
      <c r="L708">
        <v>367.76</v>
      </c>
      <c r="M708">
        <v>0.99989099999999997</v>
      </c>
      <c r="N708">
        <v>0</v>
      </c>
      <c r="O708">
        <v>4.9751470000000001E-3</v>
      </c>
      <c r="P708">
        <v>0.99699369999999998</v>
      </c>
      <c r="Q708">
        <v>-9.6598989999999996E-3</v>
      </c>
      <c r="R708">
        <v>7.6878009999999997E-2</v>
      </c>
      <c r="S708">
        <v>3.012543</v>
      </c>
      <c r="T708">
        <v>-0.15966900000000001</v>
      </c>
      <c r="U708">
        <v>-6.6314699999999893E-2</v>
      </c>
      <c r="V708">
        <v>-7.1916579999999994E-2</v>
      </c>
      <c r="W708">
        <v>4.2079020000000003E-3</v>
      </c>
      <c r="X708">
        <v>0.99740180000000001</v>
      </c>
      <c r="Y708">
        <v>2.6936910000000001E-2</v>
      </c>
      <c r="Z708">
        <v>-9.7676160000000002E-4</v>
      </c>
      <c r="AA708">
        <v>0.99963670000000004</v>
      </c>
      <c r="AB708">
        <v>37</v>
      </c>
      <c r="AC708">
        <v>19.819099999999899</v>
      </c>
      <c r="AD708">
        <v>-1.060306132085</v>
      </c>
      <c r="AE708">
        <v>-0.44130000000001202</v>
      </c>
      <c r="AF708">
        <v>0.53836687016720597</v>
      </c>
      <c r="AG708">
        <v>-1.060306132085</v>
      </c>
      <c r="AH708">
        <v>19.760130195167001</v>
      </c>
      <c r="AI708">
        <v>93.070343644186494</v>
      </c>
      <c r="AJ708">
        <v>88.439356408085004</v>
      </c>
      <c r="AK708">
        <v>19.795879200242201</v>
      </c>
      <c r="AL708">
        <v>89.758904269516194</v>
      </c>
      <c r="AM708">
        <v>94.124113153155207</v>
      </c>
      <c r="AN708">
        <v>1.00000002578068</v>
      </c>
    </row>
    <row r="709" spans="1:40" x14ac:dyDescent="0.3">
      <c r="A709" t="str">
        <f>"20200111160417995"</f>
        <v>20200111160417995</v>
      </c>
      <c r="B709" t="str">
        <f>"1578729857991150"</f>
        <v>1578729857991150</v>
      </c>
      <c r="C709" t="s">
        <v>40</v>
      </c>
      <c r="D709">
        <v>4.7719829999999996</v>
      </c>
      <c r="E709">
        <v>0.53947309999999904</v>
      </c>
      <c r="F709" t="s">
        <v>41</v>
      </c>
      <c r="G709">
        <v>-265.65120000000002</v>
      </c>
      <c r="H709" s="1">
        <v>-2.2586439999999998E-6</v>
      </c>
      <c r="I709">
        <v>367.30090000000001</v>
      </c>
      <c r="J709">
        <v>-285.58229999999998</v>
      </c>
      <c r="K709">
        <v>1.060308</v>
      </c>
      <c r="L709">
        <v>367.76089999999999</v>
      </c>
      <c r="M709">
        <v>0.99989050000000002</v>
      </c>
      <c r="N709">
        <v>0</v>
      </c>
      <c r="O709">
        <v>4.9793009999999898E-3</v>
      </c>
      <c r="P709">
        <v>0.9969749</v>
      </c>
      <c r="Q709">
        <v>-1.017763E-2</v>
      </c>
      <c r="R709">
        <v>7.7053910000000003E-2</v>
      </c>
      <c r="S709">
        <v>3.012848</v>
      </c>
      <c r="T709">
        <v>-0.1588783</v>
      </c>
      <c r="U709">
        <v>-6.8786620000000007E-2</v>
      </c>
      <c r="V709">
        <v>-7.2087910000000005E-2</v>
      </c>
      <c r="W709">
        <v>3.7258220000000002E-3</v>
      </c>
      <c r="X709">
        <v>0.99739129999999998</v>
      </c>
      <c r="Y709">
        <v>2.775789E-2</v>
      </c>
      <c r="Z709">
        <v>-9.936719000000001E-4</v>
      </c>
      <c r="AA709">
        <v>0.99961420000000001</v>
      </c>
      <c r="AB709">
        <v>37</v>
      </c>
      <c r="AC709">
        <v>19.931099999999901</v>
      </c>
      <c r="AD709">
        <v>-1.0603102586440001</v>
      </c>
      <c r="AE709">
        <v>-0.45999999999997898</v>
      </c>
      <c r="AF709">
        <v>0.55766945421976</v>
      </c>
      <c r="AG709">
        <v>-1.0603102586440001</v>
      </c>
      <c r="AH709">
        <v>19.872351161518399</v>
      </c>
      <c r="AI709">
        <v>93.052981055354905</v>
      </c>
      <c r="AJ709">
        <v>88.392554445426896</v>
      </c>
      <c r="AK709">
        <v>19.9084302181627</v>
      </c>
      <c r="AL709">
        <v>89.786525625353704</v>
      </c>
      <c r="AM709">
        <v>94.133947554636194</v>
      </c>
      <c r="AN709">
        <v>0.99999997691671605</v>
      </c>
    </row>
    <row r="710" spans="1:40" x14ac:dyDescent="0.3">
      <c r="A710" t="str">
        <f>"20200111160418006"</f>
        <v>20200111160418006</v>
      </c>
      <c r="B710" t="str">
        <f>"1578729858001888"</f>
        <v>1578729858001888</v>
      </c>
      <c r="C710" t="s">
        <v>40</v>
      </c>
      <c r="D710">
        <v>4.9828159999999997</v>
      </c>
      <c r="E710">
        <v>0.53960730000000001</v>
      </c>
      <c r="F710" t="s">
        <v>41</v>
      </c>
      <c r="G710">
        <v>-265.1087</v>
      </c>
      <c r="H710" s="1">
        <v>-2.5023580000000001E-6</v>
      </c>
      <c r="I710">
        <v>367.23899999999998</v>
      </c>
      <c r="J710">
        <v>-285.38630000000001</v>
      </c>
      <c r="K710">
        <v>1.060306</v>
      </c>
      <c r="L710">
        <v>367.76190000000003</v>
      </c>
      <c r="M710">
        <v>0.9998899</v>
      </c>
      <c r="N710">
        <v>0</v>
      </c>
      <c r="O710">
        <v>4.9841989999999999E-3</v>
      </c>
      <c r="P710">
        <v>0.99696589999999996</v>
      </c>
      <c r="Q710">
        <v>-1.0461099999999999E-2</v>
      </c>
      <c r="R710">
        <v>7.7133359999999998E-2</v>
      </c>
      <c r="S710">
        <v>3.0134889999999999</v>
      </c>
      <c r="T710">
        <v>-0.15606529999999999</v>
      </c>
      <c r="U710">
        <v>-7.6812740000000004E-2</v>
      </c>
      <c r="V710">
        <v>-7.2162669999999998E-2</v>
      </c>
      <c r="W710">
        <v>3.4831139999999998E-3</v>
      </c>
      <c r="X710">
        <v>0.99738680000000002</v>
      </c>
      <c r="Y710">
        <v>3.041671E-2</v>
      </c>
      <c r="Z710">
        <v>-1.0449089999999999E-3</v>
      </c>
      <c r="AA710">
        <v>0.9995368</v>
      </c>
      <c r="AB710">
        <v>37</v>
      </c>
      <c r="AC710">
        <v>20.2776</v>
      </c>
      <c r="AD710">
        <v>-1.0603085023579999</v>
      </c>
      <c r="AE710">
        <v>-0.52289999999999204</v>
      </c>
      <c r="AF710">
        <v>0.62227068414309905</v>
      </c>
      <c r="AG710">
        <v>-1.0603085023579999</v>
      </c>
      <c r="AH710">
        <v>20.219494043304</v>
      </c>
      <c r="AI710">
        <v>93.000418075857795</v>
      </c>
      <c r="AJ710">
        <v>88.237234134046204</v>
      </c>
      <c r="AK710">
        <v>20.2568362359901</v>
      </c>
      <c r="AL710">
        <v>89.800431865887404</v>
      </c>
      <c r="AM710">
        <v>94.138238455309803</v>
      </c>
      <c r="AN710">
        <v>1.00000000591945</v>
      </c>
    </row>
    <row r="711" spans="1:40" x14ac:dyDescent="0.3">
      <c r="A711" t="str">
        <f>"20200111160418017"</f>
        <v>20200111160418017</v>
      </c>
      <c r="B711" t="str">
        <f>"1578729858011647"</f>
        <v>1578729858011647</v>
      </c>
      <c r="C711" t="s">
        <v>40</v>
      </c>
      <c r="D711">
        <v>4.718369</v>
      </c>
      <c r="E711">
        <v>0.54008909999999999</v>
      </c>
      <c r="F711" t="s">
        <v>41</v>
      </c>
      <c r="G711">
        <v>-264.62169999999998</v>
      </c>
      <c r="H711" s="1">
        <v>-2.71367E-6</v>
      </c>
      <c r="I711">
        <v>367.22550000000001</v>
      </c>
      <c r="J711">
        <v>-285.2038</v>
      </c>
      <c r="K711">
        <v>1.0603100000000001</v>
      </c>
      <c r="L711">
        <v>367.7629</v>
      </c>
      <c r="M711">
        <v>0.99988940000000004</v>
      </c>
      <c r="N711">
        <v>0</v>
      </c>
      <c r="O711">
        <v>4.9884619999999999E-3</v>
      </c>
      <c r="P711">
        <v>0.99694320000000003</v>
      </c>
      <c r="Q711">
        <v>-1.0698630000000001E-2</v>
      </c>
      <c r="R711">
        <v>7.7394530000000003E-2</v>
      </c>
      <c r="S711">
        <v>3.0135800000000001</v>
      </c>
      <c r="T711">
        <v>-0.15388350000000001</v>
      </c>
      <c r="U711">
        <v>-7.7850340000000004E-2</v>
      </c>
      <c r="V711">
        <v>-7.2419999999999998E-2</v>
      </c>
      <c r="W711">
        <v>3.28189E-3</v>
      </c>
      <c r="X711">
        <v>0.99736880000000006</v>
      </c>
      <c r="Y711">
        <v>3.0764969999999999E-2</v>
      </c>
      <c r="Z711">
        <v>-1.0393869999999999E-3</v>
      </c>
      <c r="AA711">
        <v>0.99952609999999997</v>
      </c>
      <c r="AB711">
        <v>37</v>
      </c>
      <c r="AC711">
        <v>20.582100000000001</v>
      </c>
      <c r="AD711">
        <v>-1.0603127136699999</v>
      </c>
      <c r="AE711">
        <v>-0.537399999999991</v>
      </c>
      <c r="AF711">
        <v>0.63838334783145201</v>
      </c>
      <c r="AG711">
        <v>-1.0603127136699999</v>
      </c>
      <c r="AH711">
        <v>20.524728823371301</v>
      </c>
      <c r="AI711">
        <v>92.955858761475099</v>
      </c>
      <c r="AJ711">
        <v>88.218496142760998</v>
      </c>
      <c r="AK711">
        <v>20.562010836065799</v>
      </c>
      <c r="AL711">
        <v>89.811961211956103</v>
      </c>
      <c r="AM711">
        <v>94.1530184422232</v>
      </c>
      <c r="AN711">
        <v>0.99999997520770501</v>
      </c>
    </row>
    <row r="712" spans="1:40" x14ac:dyDescent="0.3">
      <c r="A712" t="str">
        <f>"20200111160418028"</f>
        <v>20200111160418028</v>
      </c>
      <c r="B712" t="str">
        <f>"1578729858021407"</f>
        <v>1578729858021407</v>
      </c>
      <c r="C712" t="s">
        <v>40</v>
      </c>
      <c r="D712">
        <v>4.7265899999999998</v>
      </c>
      <c r="E712">
        <v>0.54044219999999998</v>
      </c>
      <c r="F712" t="s">
        <v>41</v>
      </c>
      <c r="G712">
        <v>-264.39280000000002</v>
      </c>
      <c r="H712" s="1">
        <v>-2.815578E-6</v>
      </c>
      <c r="I712">
        <v>367.20460000000003</v>
      </c>
      <c r="J712">
        <v>-285.01600000000002</v>
      </c>
      <c r="K712">
        <v>1.060314</v>
      </c>
      <c r="L712">
        <v>367.7638</v>
      </c>
      <c r="M712">
        <v>0.99988880000000002</v>
      </c>
      <c r="N712">
        <v>0</v>
      </c>
      <c r="O712">
        <v>4.9930809999999999E-3</v>
      </c>
      <c r="P712">
        <v>0.99692919999999996</v>
      </c>
      <c r="Q712">
        <v>-1.104801E-2</v>
      </c>
      <c r="R712">
        <v>7.7526380000000006E-2</v>
      </c>
      <c r="S712">
        <v>3.0137939999999999</v>
      </c>
      <c r="T712">
        <v>-0.1535513</v>
      </c>
      <c r="U712">
        <v>-8.0841060000000006E-2</v>
      </c>
      <c r="V712">
        <v>-7.2547050000000002E-2</v>
      </c>
      <c r="W712">
        <v>2.9705170000000002E-3</v>
      </c>
      <c r="X712">
        <v>0.99736060000000004</v>
      </c>
      <c r="Y712">
        <v>3.1757849999999997E-2</v>
      </c>
      <c r="Z712">
        <v>-1.0625669999999999E-3</v>
      </c>
      <c r="AA712">
        <v>0.99949500000000002</v>
      </c>
      <c r="AB712">
        <v>37</v>
      </c>
      <c r="AC712">
        <v>20.623199999999901</v>
      </c>
      <c r="AD712">
        <v>-1.0603168155780001</v>
      </c>
      <c r="AE712">
        <v>-0.55919999999997505</v>
      </c>
      <c r="AF712">
        <v>0.66043201534602702</v>
      </c>
      <c r="AG712">
        <v>-1.0603168155780001</v>
      </c>
      <c r="AH712">
        <v>20.565827159012098</v>
      </c>
      <c r="AI712">
        <v>92.949879759791003</v>
      </c>
      <c r="AJ712">
        <v>88.160688242754503</v>
      </c>
      <c r="AK712">
        <v>20.6037299761634</v>
      </c>
      <c r="AL712">
        <v>89.829801668143404</v>
      </c>
      <c r="AM712">
        <v>94.160312813562001</v>
      </c>
      <c r="AN712">
        <v>1.00000003243365</v>
      </c>
    </row>
    <row r="713" spans="1:40" x14ac:dyDescent="0.3">
      <c r="A713" t="str">
        <f>"20200111160418039"</f>
        <v>20200111160418039</v>
      </c>
      <c r="B713" t="str">
        <f>"1578729858031167"</f>
        <v>1578729858031167</v>
      </c>
      <c r="C713" t="s">
        <v>40</v>
      </c>
      <c r="D713">
        <v>4.6963109999999997</v>
      </c>
      <c r="E713">
        <v>0.54065109999999905</v>
      </c>
      <c r="F713" t="s">
        <v>41</v>
      </c>
      <c r="G713">
        <v>-264.18389999999999</v>
      </c>
      <c r="H713" s="1">
        <v>-2.9084430000000001E-6</v>
      </c>
      <c r="I713">
        <v>367.18619999999999</v>
      </c>
      <c r="J713">
        <v>-284.8297</v>
      </c>
      <c r="K713">
        <v>1.060314</v>
      </c>
      <c r="L713">
        <v>367.76479999999998</v>
      </c>
      <c r="M713">
        <v>0.99988840000000001</v>
      </c>
      <c r="N713">
        <v>0</v>
      </c>
      <c r="O713">
        <v>4.9975319999999998E-3</v>
      </c>
      <c r="P713">
        <v>0.99692289999999995</v>
      </c>
      <c r="Q713">
        <v>-1.140188E-2</v>
      </c>
      <c r="R713">
        <v>7.7556920000000001E-2</v>
      </c>
      <c r="S713">
        <v>3.0140380000000002</v>
      </c>
      <c r="T713">
        <v>-0.15340879999999901</v>
      </c>
      <c r="U713">
        <v>-8.3557129999999993E-2</v>
      </c>
      <c r="V713">
        <v>-7.2573269999999995E-2</v>
      </c>
      <c r="W713">
        <v>2.6524679999999998E-3</v>
      </c>
      <c r="X713">
        <v>0.99735960000000001</v>
      </c>
      <c r="Y713">
        <v>3.2659059999999997E-2</v>
      </c>
      <c r="Z713">
        <v>-1.0846250000000001E-3</v>
      </c>
      <c r="AA713">
        <v>0.99946590000000002</v>
      </c>
      <c r="AB713">
        <v>37</v>
      </c>
      <c r="AC713">
        <v>20.645800000000001</v>
      </c>
      <c r="AD713">
        <v>-1.060316908443</v>
      </c>
      <c r="AE713">
        <v>-0.57859999999999401</v>
      </c>
      <c r="AF713">
        <v>0.679988919289505</v>
      </c>
      <c r="AG713">
        <v>-1.060316908443</v>
      </c>
      <c r="AH713">
        <v>20.588389076856298</v>
      </c>
      <c r="AI713">
        <v>92.946565533860394</v>
      </c>
      <c r="AJ713">
        <v>88.108334856901394</v>
      </c>
      <c r="AK713">
        <v>20.626885893335999</v>
      </c>
      <c r="AL713">
        <v>89.848024606697095</v>
      </c>
      <c r="AM713">
        <v>94.161815312182995</v>
      </c>
      <c r="AN713">
        <v>1.0000000434085701</v>
      </c>
    </row>
    <row r="714" spans="1:40" x14ac:dyDescent="0.3">
      <c r="A714" t="str">
        <f>"20200111160418051"</f>
        <v>20200111160418051</v>
      </c>
      <c r="B714" t="str">
        <f>"1578729858041902"</f>
        <v>1578729858041902</v>
      </c>
      <c r="C714" t="s">
        <v>40</v>
      </c>
      <c r="D714">
        <v>4.9756619999999998</v>
      </c>
      <c r="E714">
        <v>0.54061919999999897</v>
      </c>
      <c r="F714" t="s">
        <v>41</v>
      </c>
      <c r="G714">
        <v>-263.89330000000001</v>
      </c>
      <c r="H714" s="1">
        <v>-3.0356549999999998E-6</v>
      </c>
      <c r="I714">
        <v>367.17200000000003</v>
      </c>
      <c r="J714">
        <v>-284.6422</v>
      </c>
      <c r="K714">
        <v>1.060316</v>
      </c>
      <c r="L714">
        <v>367.76569999999998</v>
      </c>
      <c r="M714">
        <v>0.99988779999999999</v>
      </c>
      <c r="N714">
        <v>0</v>
      </c>
      <c r="O714">
        <v>5.0019849999999996E-3</v>
      </c>
      <c r="P714">
        <v>0.99693209999999999</v>
      </c>
      <c r="Q714">
        <v>-1.143626E-2</v>
      </c>
      <c r="R714">
        <v>7.7433520000000006E-2</v>
      </c>
      <c r="S714">
        <v>3.01416</v>
      </c>
      <c r="T714">
        <v>-0.15265049999999999</v>
      </c>
      <c r="U714">
        <v>-8.5327150000000004E-2</v>
      </c>
      <c r="V714">
        <v>-7.2445819999999994E-2</v>
      </c>
      <c r="W714">
        <v>2.653421E-3</v>
      </c>
      <c r="X714">
        <v>0.99736880000000006</v>
      </c>
      <c r="Y714">
        <v>3.3248569999999998E-2</v>
      </c>
      <c r="Z714">
        <v>-1.094359E-3</v>
      </c>
      <c r="AA714">
        <v>0.99944650000000002</v>
      </c>
      <c r="AB714">
        <v>37</v>
      </c>
      <c r="AC714">
        <v>20.7488999999999</v>
      </c>
      <c r="AD714">
        <v>-1.0603190356550001</v>
      </c>
      <c r="AE714">
        <v>-0.593700000000012</v>
      </c>
      <c r="AF714">
        <v>0.69567336995528495</v>
      </c>
      <c r="AG714">
        <v>-1.0603190356550001</v>
      </c>
      <c r="AH714">
        <v>20.691679168771099</v>
      </c>
      <c r="AI714">
        <v>92.931830486560401</v>
      </c>
      <c r="AJ714">
        <v>88.074388289681707</v>
      </c>
      <c r="AK714">
        <v>20.730504690392699</v>
      </c>
      <c r="AL714">
        <v>89.847969994042003</v>
      </c>
      <c r="AM714">
        <v>94.154493939919504</v>
      </c>
      <c r="AN714">
        <v>0.99999998034595705</v>
      </c>
    </row>
    <row r="715" spans="1:40" x14ac:dyDescent="0.3">
      <c r="A715" t="str">
        <f>"20200111160418065"</f>
        <v>20200111160418065</v>
      </c>
      <c r="B715" t="str">
        <f>"1578729858061423"</f>
        <v>1578729858061423</v>
      </c>
      <c r="C715" t="s">
        <v>40</v>
      </c>
      <c r="D715">
        <v>4.7165660000000003</v>
      </c>
      <c r="E715">
        <v>0.54123569999999999</v>
      </c>
      <c r="F715" t="s">
        <v>41</v>
      </c>
      <c r="G715">
        <v>-263.69920000000002</v>
      </c>
      <c r="H715" s="1">
        <v>-3.1185459999999999E-6</v>
      </c>
      <c r="I715">
        <v>367.17410000000001</v>
      </c>
      <c r="J715">
        <v>-284.43889999999999</v>
      </c>
      <c r="K715">
        <v>1.060319</v>
      </c>
      <c r="L715">
        <v>367.76679999999999</v>
      </c>
      <c r="M715">
        <v>0.99988730000000003</v>
      </c>
      <c r="N715">
        <v>0</v>
      </c>
      <c r="O715">
        <v>5.0067760000000001E-3</v>
      </c>
      <c r="P715">
        <v>0.99692460000000005</v>
      </c>
      <c r="Q715">
        <v>-1.1465339999999999E-2</v>
      </c>
      <c r="R715">
        <v>7.7526230000000002E-2</v>
      </c>
      <c r="S715">
        <v>3.0140989999999999</v>
      </c>
      <c r="T715">
        <v>-0.1525997</v>
      </c>
      <c r="U715">
        <v>-8.5144040000000004E-2</v>
      </c>
      <c r="V715">
        <v>-7.2533319999999998E-2</v>
      </c>
      <c r="W715">
        <v>2.663435E-3</v>
      </c>
      <c r="X715">
        <v>0.99736239999999998</v>
      </c>
      <c r="Y715">
        <v>3.3193359999999998E-2</v>
      </c>
      <c r="Z715">
        <v>-1.0928649999999999E-3</v>
      </c>
      <c r="AA715">
        <v>0.99944840000000001</v>
      </c>
      <c r="AB715">
        <v>36</v>
      </c>
      <c r="AC715">
        <v>20.7396999999999</v>
      </c>
      <c r="AD715">
        <v>-1.0603221185459999</v>
      </c>
      <c r="AE715">
        <v>-0.59269999999997902</v>
      </c>
      <c r="AF715">
        <v>0.69472761357228296</v>
      </c>
      <c r="AG715">
        <v>-1.0603221185459999</v>
      </c>
      <c r="AH715">
        <v>20.682456698463199</v>
      </c>
      <c r="AI715">
        <v>92.933147064628898</v>
      </c>
      <c r="AJ715">
        <v>88.076147325229698</v>
      </c>
      <c r="AK715">
        <v>20.721267927806501</v>
      </c>
      <c r="AL715">
        <v>89.847396229979495</v>
      </c>
      <c r="AM715">
        <v>94.159520730592305</v>
      </c>
      <c r="AN715">
        <v>0.99999996666499003</v>
      </c>
    </row>
    <row r="716" spans="1:40" x14ac:dyDescent="0.3">
      <c r="A716" t="str">
        <f>"20200111160418077"</f>
        <v>20200111160418077</v>
      </c>
      <c r="B716" t="str">
        <f>"1578729858071760"</f>
        <v>1578729858071760</v>
      </c>
      <c r="C716" t="s">
        <v>40</v>
      </c>
      <c r="D716">
        <v>4.7375790000000002</v>
      </c>
      <c r="E716">
        <v>0.54147080000000003</v>
      </c>
      <c r="F716" t="s">
        <v>41</v>
      </c>
      <c r="G716">
        <v>-263.25990000000002</v>
      </c>
      <c r="H716" s="1">
        <v>-3.3141149999999999E-6</v>
      </c>
      <c r="I716">
        <v>367.13400000000001</v>
      </c>
      <c r="J716">
        <v>-284.21510000000001</v>
      </c>
      <c r="K716">
        <v>1.060322</v>
      </c>
      <c r="L716">
        <v>367.7679</v>
      </c>
      <c r="M716">
        <v>0.99988650000000001</v>
      </c>
      <c r="N716">
        <v>0</v>
      </c>
      <c r="O716">
        <v>5.0123240000000003E-3</v>
      </c>
      <c r="P716">
        <v>0.99693449999999995</v>
      </c>
      <c r="Q716">
        <v>-1.1356079999999999E-2</v>
      </c>
      <c r="R716">
        <v>7.741278E-2</v>
      </c>
      <c r="S716">
        <v>3.0144959999999998</v>
      </c>
      <c r="T716">
        <v>-0.1509199</v>
      </c>
      <c r="U716">
        <v>-9.0057369999999998E-2</v>
      </c>
      <c r="V716">
        <v>-7.2414399999999907E-2</v>
      </c>
      <c r="W716">
        <v>2.8126840000000002E-3</v>
      </c>
      <c r="X716">
        <v>0.99737070000000005</v>
      </c>
      <c r="Y716">
        <v>3.4821820000000003E-2</v>
      </c>
      <c r="Z716">
        <v>-1.1216900000000001E-3</v>
      </c>
      <c r="AA716">
        <v>0.99939290000000003</v>
      </c>
      <c r="AB716">
        <v>36</v>
      </c>
      <c r="AC716">
        <v>20.955199999999898</v>
      </c>
      <c r="AD716">
        <v>-1.060325314115</v>
      </c>
      <c r="AE716">
        <v>-0.63389999999998203</v>
      </c>
      <c r="AF716">
        <v>0.73705152606984303</v>
      </c>
      <c r="AG716">
        <v>-1.060325314115</v>
      </c>
      <c r="AH716">
        <v>20.898301609450701</v>
      </c>
      <c r="AI716">
        <v>92.902746075723698</v>
      </c>
      <c r="AJ716">
        <v>87.980101631951101</v>
      </c>
      <c r="AK716">
        <v>20.938160016663499</v>
      </c>
      <c r="AL716">
        <v>89.838844870826605</v>
      </c>
      <c r="AM716">
        <v>94.152690543250898</v>
      </c>
      <c r="AN716">
        <v>1.00000003486856</v>
      </c>
    </row>
    <row r="717" spans="1:40" x14ac:dyDescent="0.3">
      <c r="A717" t="str">
        <f>"20200111160418092"</f>
        <v>20200111160418092</v>
      </c>
      <c r="B717" t="str">
        <f>"1578729858081519"</f>
        <v>1578729858081519</v>
      </c>
      <c r="C717" t="s">
        <v>40</v>
      </c>
      <c r="D717">
        <v>4.7188619999999997</v>
      </c>
      <c r="E717">
        <v>0.54170600000000002</v>
      </c>
      <c r="F717" t="s">
        <v>41</v>
      </c>
      <c r="G717">
        <v>-262.99560000000002</v>
      </c>
      <c r="H717" s="1">
        <v>-3.4301329999999998E-6</v>
      </c>
      <c r="I717">
        <v>367.1191</v>
      </c>
      <c r="J717">
        <v>-283.98950000000002</v>
      </c>
      <c r="K717">
        <v>1.060327</v>
      </c>
      <c r="L717">
        <v>367.76900000000001</v>
      </c>
      <c r="M717">
        <v>0.99988600000000005</v>
      </c>
      <c r="N717">
        <v>0</v>
      </c>
      <c r="O717">
        <v>5.0174649999999996E-3</v>
      </c>
      <c r="P717">
        <v>0.99694380000000005</v>
      </c>
      <c r="Q717">
        <v>-1.1096109999999999E-2</v>
      </c>
      <c r="R717">
        <v>7.7333139999999995E-2</v>
      </c>
      <c r="S717">
        <v>3.0147089999999999</v>
      </c>
      <c r="T717">
        <v>-0.150643</v>
      </c>
      <c r="U717">
        <v>-9.2163090000000003E-2</v>
      </c>
      <c r="V717">
        <v>-7.2329690000000002E-2</v>
      </c>
      <c r="W717">
        <v>3.1126140000000001E-3</v>
      </c>
      <c r="X717">
        <v>0.99737589999999998</v>
      </c>
      <c r="Y717">
        <v>3.5521570000000002E-2</v>
      </c>
      <c r="Z717">
        <v>-1.1372680000000001E-3</v>
      </c>
      <c r="AA717">
        <v>0.99936829999999999</v>
      </c>
      <c r="AB717">
        <v>36</v>
      </c>
      <c r="AC717">
        <v>20.9939</v>
      </c>
      <c r="AD717">
        <v>-1.0603304301330001</v>
      </c>
      <c r="AE717">
        <v>-0.64990000000000203</v>
      </c>
      <c r="AF717">
        <v>0.75331884598334298</v>
      </c>
      <c r="AG717">
        <v>-1.0603304301330001</v>
      </c>
      <c r="AH717">
        <v>20.937017059066498</v>
      </c>
      <c r="AI717">
        <v>92.897328359669203</v>
      </c>
      <c r="AJ717">
        <v>87.939373153254394</v>
      </c>
      <c r="AK717">
        <v>20.977380037469398</v>
      </c>
      <c r="AL717">
        <v>89.821660062858996</v>
      </c>
      <c r="AM717">
        <v>94.147828161411994</v>
      </c>
      <c r="AN717">
        <v>0.99999997916110905</v>
      </c>
    </row>
    <row r="718" spans="1:40" x14ac:dyDescent="0.3">
      <c r="A718" t="str">
        <f>"20200111160418102"</f>
        <v>20200111160418102</v>
      </c>
      <c r="B718" t="str">
        <f>"1578729858091280"</f>
        <v>1578729858091280</v>
      </c>
      <c r="C718" t="s">
        <v>40</v>
      </c>
      <c r="D718">
        <v>4.7889999999999997</v>
      </c>
      <c r="E718">
        <v>0.54190930000000004</v>
      </c>
      <c r="F718" t="s">
        <v>41</v>
      </c>
      <c r="G718">
        <v>-262.5068</v>
      </c>
      <c r="H718" s="1">
        <v>-3.643824E-6</v>
      </c>
      <c r="I718">
        <v>367.09660000000002</v>
      </c>
      <c r="J718">
        <v>-283.80790000000002</v>
      </c>
      <c r="K718">
        <v>1.0603279999999999</v>
      </c>
      <c r="L718">
        <v>367.76990000000001</v>
      </c>
      <c r="M718">
        <v>0.99988560000000004</v>
      </c>
      <c r="N718">
        <v>0</v>
      </c>
      <c r="O718">
        <v>5.0214170000000002E-3</v>
      </c>
      <c r="P718">
        <v>0.99696180000000001</v>
      </c>
      <c r="Q718">
        <v>-1.096893E-2</v>
      </c>
      <c r="R718">
        <v>7.7118629999999994E-2</v>
      </c>
      <c r="S718">
        <v>3.0148929999999998</v>
      </c>
      <c r="T718">
        <v>-0.14880699999999999</v>
      </c>
      <c r="U718">
        <v>-9.4360349999999996E-2</v>
      </c>
      <c r="V718">
        <v>-7.2110869999999994E-2</v>
      </c>
      <c r="W718">
        <v>3.2709229999999998E-3</v>
      </c>
      <c r="X718">
        <v>0.99739129999999998</v>
      </c>
      <c r="Y718">
        <v>3.6251640000000002E-2</v>
      </c>
      <c r="Z718">
        <v>-1.1415419999999999E-3</v>
      </c>
      <c r="AA718">
        <v>0.99934199999999995</v>
      </c>
      <c r="AB718">
        <v>36</v>
      </c>
      <c r="AC718">
        <v>21.301100000000002</v>
      </c>
      <c r="AD718">
        <v>-1.060331643824</v>
      </c>
      <c r="AE718">
        <v>-0.67329999999998302</v>
      </c>
      <c r="AF718">
        <v>0.77833740648680305</v>
      </c>
      <c r="AG718">
        <v>-1.060331643824</v>
      </c>
      <c r="AH718">
        <v>21.2448605649919</v>
      </c>
      <c r="AI718">
        <v>92.855350741439906</v>
      </c>
      <c r="AJ718">
        <v>87.901821391305901</v>
      </c>
      <c r="AK718">
        <v>21.285539991721599</v>
      </c>
      <c r="AL718">
        <v>89.812589590472101</v>
      </c>
      <c r="AM718">
        <v>94.135259650062807</v>
      </c>
      <c r="AN718">
        <v>1.00000004091255</v>
      </c>
    </row>
    <row r="719" spans="1:40" x14ac:dyDescent="0.3">
      <c r="A719" t="str">
        <f>"20200111160418115"</f>
        <v>20200111160418115</v>
      </c>
      <c r="B719" t="str">
        <f>"1578729858111775"</f>
        <v>1578729858111775</v>
      </c>
      <c r="C719" t="s">
        <v>40</v>
      </c>
      <c r="D719">
        <v>4.7225510000000002</v>
      </c>
      <c r="E719">
        <v>0.54231739999999995</v>
      </c>
      <c r="F719" t="s">
        <v>41</v>
      </c>
      <c r="G719">
        <v>-262.1216</v>
      </c>
      <c r="H719" s="1">
        <v>-3.8134289999999999E-6</v>
      </c>
      <c r="I719">
        <v>367.072</v>
      </c>
      <c r="J719">
        <v>-283.61669999999998</v>
      </c>
      <c r="K719">
        <v>1.0603309999999999</v>
      </c>
      <c r="L719">
        <v>367.77089999999998</v>
      </c>
      <c r="M719">
        <v>0.99988520000000003</v>
      </c>
      <c r="N719">
        <v>0</v>
      </c>
      <c r="O719">
        <v>5.0256149999999998E-3</v>
      </c>
      <c r="P719">
        <v>0.99697349999999996</v>
      </c>
      <c r="Q719">
        <v>-1.076876E-2</v>
      </c>
      <c r="R719">
        <v>7.6996640000000005E-2</v>
      </c>
      <c r="S719">
        <v>3.015015</v>
      </c>
      <c r="T719">
        <v>-0.1474164</v>
      </c>
      <c r="U719">
        <v>-9.7015379999999998E-2</v>
      </c>
      <c r="V719">
        <v>-7.1984779999999998E-2</v>
      </c>
      <c r="W719">
        <v>3.5012329999999999E-3</v>
      </c>
      <c r="X719">
        <v>0.99739960000000005</v>
      </c>
      <c r="Y719">
        <v>3.7133590000000001E-2</v>
      </c>
      <c r="Z719">
        <v>-1.1525719999999999E-3</v>
      </c>
      <c r="AA719">
        <v>0.99930969999999997</v>
      </c>
      <c r="AB719">
        <v>36</v>
      </c>
      <c r="AC719">
        <v>21.495099999999901</v>
      </c>
      <c r="AD719">
        <v>-1.0603348134289901</v>
      </c>
      <c r="AE719">
        <v>-0.69890000000003705</v>
      </c>
      <c r="AF719">
        <v>0.80497158694744597</v>
      </c>
      <c r="AG719">
        <v>-1.0603348134289901</v>
      </c>
      <c r="AH719">
        <v>21.439201443546398</v>
      </c>
      <c r="AI719">
        <v>92.829423175260203</v>
      </c>
      <c r="AJ719">
        <v>87.849741761298304</v>
      </c>
      <c r="AK719">
        <v>21.4804945871673</v>
      </c>
      <c r="AL719">
        <v>89.799393719082104</v>
      </c>
      <c r="AM719">
        <v>94.1280196961754</v>
      </c>
      <c r="AN719">
        <v>1.0000000146321599</v>
      </c>
    </row>
    <row r="720" spans="1:40" x14ac:dyDescent="0.3">
      <c r="A720" t="str">
        <f>"20200111160418128"</f>
        <v>20200111160418128</v>
      </c>
      <c r="B720" t="str">
        <f>"1578729858121535"</f>
        <v>1578729858121535</v>
      </c>
      <c r="C720" t="s">
        <v>40</v>
      </c>
      <c r="D720">
        <v>4.7398949999999997</v>
      </c>
      <c r="E720">
        <v>0.54245619999999894</v>
      </c>
      <c r="F720" t="s">
        <v>41</v>
      </c>
      <c r="G720">
        <v>-261.74270000000001</v>
      </c>
      <c r="H720" s="1">
        <v>-3.9810139999999996E-6</v>
      </c>
      <c r="I720">
        <v>367.04349999999999</v>
      </c>
      <c r="J720">
        <v>-283.39620000000002</v>
      </c>
      <c r="K720">
        <v>1.060335</v>
      </c>
      <c r="L720">
        <v>367.77199999999999</v>
      </c>
      <c r="M720">
        <v>0.99988469999999996</v>
      </c>
      <c r="N720">
        <v>0</v>
      </c>
      <c r="O720">
        <v>5.0302080000000004E-3</v>
      </c>
      <c r="P720">
        <v>0.99699839999999995</v>
      </c>
      <c r="Q720">
        <v>-1.086587E-2</v>
      </c>
      <c r="R720">
        <v>7.6658519999999994E-2</v>
      </c>
      <c r="S720">
        <v>3.015228</v>
      </c>
      <c r="T720">
        <v>-0.1461623</v>
      </c>
      <c r="U720">
        <v>-0.1002502</v>
      </c>
      <c r="V720">
        <v>-7.1642360000000002E-2</v>
      </c>
      <c r="W720">
        <v>3.4363839999999998E-3</v>
      </c>
      <c r="X720">
        <v>0.99742450000000005</v>
      </c>
      <c r="Y720">
        <v>3.820643E-2</v>
      </c>
      <c r="Z720">
        <v>-1.168882E-3</v>
      </c>
      <c r="AA720">
        <v>0.99926919999999997</v>
      </c>
      <c r="AB720">
        <v>36</v>
      </c>
      <c r="AC720">
        <v>21.653500000000001</v>
      </c>
      <c r="AD720">
        <v>-1.060338981014</v>
      </c>
      <c r="AE720">
        <v>-0.72849999999999604</v>
      </c>
      <c r="AF720">
        <v>0.83542256708639795</v>
      </c>
      <c r="AG720">
        <v>-1.060338981014</v>
      </c>
      <c r="AH720">
        <v>21.5978299675985</v>
      </c>
      <c r="AI720">
        <v>92.808565432928901</v>
      </c>
      <c r="AJ720">
        <v>87.784854493141395</v>
      </c>
      <c r="AK720">
        <v>21.639974790409301</v>
      </c>
      <c r="AL720">
        <v>89.803109319367195</v>
      </c>
      <c r="AM720">
        <v>94.108348558887201</v>
      </c>
      <c r="AN720">
        <v>1.0000000348408</v>
      </c>
    </row>
    <row r="721" spans="1:40" x14ac:dyDescent="0.3">
      <c r="A721" t="str">
        <f>"20200111160418140"</f>
        <v>20200111160418140</v>
      </c>
      <c r="B721" t="str">
        <f>"1578729858131294"</f>
        <v>1578729858131294</v>
      </c>
      <c r="C721" t="s">
        <v>40</v>
      </c>
      <c r="D721">
        <v>4.9812209999999997</v>
      </c>
      <c r="E721">
        <v>0.54242209999999902</v>
      </c>
      <c r="F721" t="s">
        <v>41</v>
      </c>
      <c r="G721">
        <v>-261.50779999999997</v>
      </c>
      <c r="H721" s="1">
        <v>-4.0844920000000002E-6</v>
      </c>
      <c r="I721">
        <v>367.0283</v>
      </c>
      <c r="J721">
        <v>-283.18849999999998</v>
      </c>
      <c r="K721">
        <v>1.060338</v>
      </c>
      <c r="L721">
        <v>367.7731</v>
      </c>
      <c r="M721">
        <v>0.99988410000000005</v>
      </c>
      <c r="N721">
        <v>0</v>
      </c>
      <c r="O721">
        <v>5.0348900000000002E-3</v>
      </c>
      <c r="P721">
        <v>0.99700650000000002</v>
      </c>
      <c r="Q721">
        <v>-1.098352E-2</v>
      </c>
      <c r="R721">
        <v>7.6533080000000003E-2</v>
      </c>
      <c r="S721">
        <v>3.0153500000000002</v>
      </c>
      <c r="T721">
        <v>-0.14607249999999999</v>
      </c>
      <c r="U721">
        <v>-0.1024475</v>
      </c>
      <c r="V721">
        <v>-7.1511599999999995E-2</v>
      </c>
      <c r="W721">
        <v>3.3476930000000001E-3</v>
      </c>
      <c r="X721">
        <v>0.99743409999999999</v>
      </c>
      <c r="Y721">
        <v>3.89363E-2</v>
      </c>
      <c r="Z721">
        <v>-1.1859920000000001E-3</v>
      </c>
      <c r="AA721">
        <v>0.99924100000000005</v>
      </c>
      <c r="AB721">
        <v>36</v>
      </c>
      <c r="AC721">
        <v>21.680700000000002</v>
      </c>
      <c r="AD721">
        <v>-1.060342084492</v>
      </c>
      <c r="AE721">
        <v>-0.74479999999999702</v>
      </c>
      <c r="AF721">
        <v>0.85192643424464798</v>
      </c>
      <c r="AG721">
        <v>-1.060342084492</v>
      </c>
      <c r="AH721">
        <v>21.625010588916599</v>
      </c>
      <c r="AI721">
        <v>92.804971163687895</v>
      </c>
      <c r="AJ721">
        <v>87.743975177673207</v>
      </c>
      <c r="AK721">
        <v>21.6677453131669</v>
      </c>
      <c r="AL721">
        <v>89.8081909521173</v>
      </c>
      <c r="AM721">
        <v>94.1008363656819</v>
      </c>
      <c r="AN721">
        <v>0.99999994991289398</v>
      </c>
    </row>
    <row r="722" spans="1:40" x14ac:dyDescent="0.3">
      <c r="A722" t="str">
        <f>"20200111160418152"</f>
        <v>20200111160418152</v>
      </c>
      <c r="B722" t="str">
        <f>"1578729858141056"</f>
        <v>1578729858141056</v>
      </c>
      <c r="C722" t="s">
        <v>40</v>
      </c>
      <c r="D722">
        <v>4.7485679999999997</v>
      </c>
      <c r="E722">
        <v>0.54262929999999998</v>
      </c>
      <c r="F722" t="s">
        <v>41</v>
      </c>
      <c r="G722">
        <v>-261.22620000000001</v>
      </c>
      <c r="H722" s="1">
        <v>-4.2055879999999997E-6</v>
      </c>
      <c r="I722">
        <v>367.02679999999998</v>
      </c>
      <c r="J722">
        <v>-283.0086</v>
      </c>
      <c r="K722">
        <v>1.060338</v>
      </c>
      <c r="L722">
        <v>367.774</v>
      </c>
      <c r="M722">
        <v>0.99988379999999999</v>
      </c>
      <c r="N722">
        <v>0</v>
      </c>
      <c r="O722">
        <v>5.0387740000000002E-3</v>
      </c>
      <c r="P722">
        <v>0.99703529999999996</v>
      </c>
      <c r="Q722">
        <v>-1.109164E-2</v>
      </c>
      <c r="R722">
        <v>7.6145030000000002E-2</v>
      </c>
      <c r="S722">
        <v>3.015228</v>
      </c>
      <c r="T722">
        <v>-0.145574799999999</v>
      </c>
      <c r="U722">
        <v>-0.1024475</v>
      </c>
      <c r="V722">
        <v>-7.112019E-2</v>
      </c>
      <c r="W722">
        <v>3.2632939999999999E-3</v>
      </c>
      <c r="X722">
        <v>0.99746239999999997</v>
      </c>
      <c r="Y722">
        <v>3.894189E-2</v>
      </c>
      <c r="Z722">
        <v>-1.182326E-3</v>
      </c>
      <c r="AA722">
        <v>0.99924080000000004</v>
      </c>
      <c r="AB722">
        <v>36</v>
      </c>
      <c r="AC722">
        <v>21.782399999999999</v>
      </c>
      <c r="AD722">
        <v>-1.0603422055880001</v>
      </c>
      <c r="AE722">
        <v>-0.74720000000001996</v>
      </c>
      <c r="AF722">
        <v>0.85493496577858696</v>
      </c>
      <c r="AG722">
        <v>-1.0603422055880001</v>
      </c>
      <c r="AH722">
        <v>21.726933764659801</v>
      </c>
      <c r="AI722">
        <v>92.791839031872399</v>
      </c>
      <c r="AJ722">
        <v>87.7466260202103</v>
      </c>
      <c r="AK722">
        <v>21.769586358095498</v>
      </c>
      <c r="AL722">
        <v>89.813026691828</v>
      </c>
      <c r="AM722">
        <v>94.078351566147106</v>
      </c>
      <c r="AN722">
        <v>0.99999998496356302</v>
      </c>
    </row>
    <row r="723" spans="1:40" x14ac:dyDescent="0.3">
      <c r="A723" t="str">
        <f>"20200111160418164"</f>
        <v>20200111160418164</v>
      </c>
      <c r="B723" t="str">
        <f>"1578729858161551"</f>
        <v>1578729858161551</v>
      </c>
      <c r="C723" t="s">
        <v>40</v>
      </c>
      <c r="D723">
        <v>4.8030749999999998</v>
      </c>
      <c r="E723">
        <v>0.54295649999999995</v>
      </c>
      <c r="F723" t="s">
        <v>41</v>
      </c>
      <c r="G723">
        <v>-261.07929999999999</v>
      </c>
      <c r="H723" s="1">
        <v>-4.2721119999999996E-6</v>
      </c>
      <c r="I723">
        <v>367.00709999999998</v>
      </c>
      <c r="J723">
        <v>-282.81659999999999</v>
      </c>
      <c r="K723">
        <v>1.0603400000000001</v>
      </c>
      <c r="L723">
        <v>367.77499999999998</v>
      </c>
      <c r="M723">
        <v>0.99988350000000004</v>
      </c>
      <c r="N723">
        <v>0</v>
      </c>
      <c r="O723">
        <v>5.0429480000000002E-3</v>
      </c>
      <c r="P723">
        <v>0.99705250000000001</v>
      </c>
      <c r="Q723">
        <v>-1.137842E-2</v>
      </c>
      <c r="R723">
        <v>7.5876379999999993E-2</v>
      </c>
      <c r="S723">
        <v>3.01532</v>
      </c>
      <c r="T723">
        <v>-0.14579829999999999</v>
      </c>
      <c r="U723">
        <v>-0.1054382</v>
      </c>
      <c r="V723">
        <v>-7.0847229999999997E-2</v>
      </c>
      <c r="W723">
        <v>3.0015110000000001E-3</v>
      </c>
      <c r="X723">
        <v>0.99748270000000006</v>
      </c>
      <c r="Y723">
        <v>3.9933620000000003E-2</v>
      </c>
      <c r="Z723">
        <v>-1.2082410000000001E-3</v>
      </c>
      <c r="AA723">
        <v>0.99920160000000002</v>
      </c>
      <c r="AB723">
        <v>36</v>
      </c>
      <c r="AC723">
        <v>21.737300000000001</v>
      </c>
      <c r="AD723">
        <v>-1.060344272112</v>
      </c>
      <c r="AE723">
        <v>-0.76789999999999703</v>
      </c>
      <c r="AF723">
        <v>0.87544118401375204</v>
      </c>
      <c r="AG723">
        <v>-1.060344272112</v>
      </c>
      <c r="AH723">
        <v>21.681623904265301</v>
      </c>
      <c r="AI723">
        <v>92.797555267776104</v>
      </c>
      <c r="AJ723">
        <v>87.687818328778803</v>
      </c>
      <c r="AK723">
        <v>21.725182217143299</v>
      </c>
      <c r="AL723">
        <v>89.828025835839597</v>
      </c>
      <c r="AM723">
        <v>94.062668922671506</v>
      </c>
      <c r="AN723">
        <v>1.00000003793312</v>
      </c>
    </row>
    <row r="724" spans="1:40" x14ac:dyDescent="0.3">
      <c r="A724" t="str">
        <f>"20200111160418175"</f>
        <v>20200111160418175</v>
      </c>
      <c r="B724" t="str">
        <f>"1578729858171970"</f>
        <v>1578729858171970</v>
      </c>
      <c r="C724" t="s">
        <v>40</v>
      </c>
      <c r="D724">
        <v>4.8440029999999998</v>
      </c>
      <c r="E724">
        <v>0.54305709999999996</v>
      </c>
      <c r="F724" t="s">
        <v>41</v>
      </c>
      <c r="G724">
        <v>-261.02289999999999</v>
      </c>
      <c r="H724" s="1">
        <v>-4.2997929999999999E-6</v>
      </c>
      <c r="I724">
        <v>366.98750000000001</v>
      </c>
      <c r="J724">
        <v>-282.61860000000001</v>
      </c>
      <c r="K724">
        <v>1.0603469999999999</v>
      </c>
      <c r="L724">
        <v>367.77589999999998</v>
      </c>
      <c r="M724">
        <v>0.99988310000000002</v>
      </c>
      <c r="N724">
        <v>0</v>
      </c>
      <c r="O724">
        <v>5.0473080000000003E-3</v>
      </c>
      <c r="P724">
        <v>0.99707690000000004</v>
      </c>
      <c r="Q724">
        <v>-1.1264730000000001E-2</v>
      </c>
      <c r="R724">
        <v>7.5571509999999995E-2</v>
      </c>
      <c r="S724">
        <v>3.0154719999999999</v>
      </c>
      <c r="T724">
        <v>-0.14671300000000001</v>
      </c>
      <c r="U724">
        <v>-0.1089478</v>
      </c>
      <c r="V724">
        <v>-7.0537559999999999E-2</v>
      </c>
      <c r="W724">
        <v>3.138839E-3</v>
      </c>
      <c r="X724">
        <v>0.99750419999999995</v>
      </c>
      <c r="Y724">
        <v>4.1095600000000003E-2</v>
      </c>
      <c r="Z724">
        <v>-1.2441780000000001E-3</v>
      </c>
      <c r="AA724">
        <v>0.9991544</v>
      </c>
      <c r="AB724">
        <v>36</v>
      </c>
      <c r="AC724">
        <v>21.595700000000001</v>
      </c>
      <c r="AD724">
        <v>-1.060351299793</v>
      </c>
      <c r="AE724">
        <v>-0.78839999999996702</v>
      </c>
      <c r="AF724">
        <v>0.89524605423982795</v>
      </c>
      <c r="AG724">
        <v>-1.060351299793</v>
      </c>
      <c r="AH724">
        <v>21.5395861790008</v>
      </c>
      <c r="AI724">
        <v>92.815855778573095</v>
      </c>
      <c r="AJ724">
        <v>87.619995364272896</v>
      </c>
      <c r="AK724">
        <v>21.584243863040601</v>
      </c>
      <c r="AL724">
        <v>89.820157479998002</v>
      </c>
      <c r="AM724">
        <v>94.044883361637801</v>
      </c>
      <c r="AN724">
        <v>1.0000000143493299</v>
      </c>
    </row>
    <row r="725" spans="1:40" x14ac:dyDescent="0.3">
      <c r="A725" t="str">
        <f>"20200111160418187"</f>
        <v>20200111160418187</v>
      </c>
      <c r="B725" t="str">
        <f>"1578729858181730"</f>
        <v>1578729858181730</v>
      </c>
      <c r="C725" t="s">
        <v>40</v>
      </c>
      <c r="D725">
        <v>4.7589360000000003</v>
      </c>
      <c r="E725">
        <v>0.54312199999999999</v>
      </c>
      <c r="F725" t="s">
        <v>41</v>
      </c>
      <c r="G725">
        <v>-260.76850000000002</v>
      </c>
      <c r="H725" s="1">
        <v>-4.4109870000000001E-6</v>
      </c>
      <c r="I725">
        <v>366.97579999999999</v>
      </c>
      <c r="J725">
        <v>-282.4325</v>
      </c>
      <c r="K725">
        <v>1.060349</v>
      </c>
      <c r="L725">
        <v>367.77690000000001</v>
      </c>
      <c r="M725">
        <v>0.99988279999999996</v>
      </c>
      <c r="N725">
        <v>0</v>
      </c>
      <c r="O725">
        <v>5.0513850000000002E-3</v>
      </c>
      <c r="P725">
        <v>0.99706360000000005</v>
      </c>
      <c r="Q725">
        <v>-1.148738E-2</v>
      </c>
      <c r="R725">
        <v>7.5713569999999994E-2</v>
      </c>
      <c r="S725">
        <v>3.0154719999999999</v>
      </c>
      <c r="T725">
        <v>-0.14633599999999999</v>
      </c>
      <c r="U725">
        <v>-0.1104126</v>
      </c>
      <c r="V725">
        <v>-7.0675520000000006E-2</v>
      </c>
      <c r="W725">
        <v>2.9376150000000002E-3</v>
      </c>
      <c r="X725">
        <v>0.99749509999999997</v>
      </c>
      <c r="Y725">
        <v>4.1584099999999999E-2</v>
      </c>
      <c r="Z725">
        <v>-1.253014E-3</v>
      </c>
      <c r="AA725">
        <v>0.99913419999999997</v>
      </c>
      <c r="AB725">
        <v>36</v>
      </c>
      <c r="AC725">
        <v>21.663999999999898</v>
      </c>
      <c r="AD725">
        <v>-1.0603534109870001</v>
      </c>
      <c r="AE725">
        <v>-0.80110000000001902</v>
      </c>
      <c r="AF725">
        <v>0.90836126507457204</v>
      </c>
      <c r="AG725">
        <v>-1.0603534109870001</v>
      </c>
      <c r="AH725">
        <v>21.607981910980499</v>
      </c>
      <c r="AI725">
        <v>92.806907015577906</v>
      </c>
      <c r="AJ725">
        <v>87.592804312181698</v>
      </c>
      <c r="AK725">
        <v>21.653044862312999</v>
      </c>
      <c r="AL725">
        <v>89.831686827798805</v>
      </c>
      <c r="AM725">
        <v>94.052805009542297</v>
      </c>
      <c r="AN725">
        <v>1.00000006661658</v>
      </c>
    </row>
    <row r="726" spans="1:40" x14ac:dyDescent="0.3">
      <c r="A726" t="str">
        <f>"20200111160418198"</f>
        <v>20200111160418198</v>
      </c>
      <c r="B726" t="str">
        <f>"1578729858191489"</f>
        <v>1578729858191489</v>
      </c>
      <c r="C726" t="s">
        <v>40</v>
      </c>
      <c r="D726">
        <v>4.7989490000000004</v>
      </c>
      <c r="E726">
        <v>0.54313420000000001</v>
      </c>
      <c r="F726" t="s">
        <v>41</v>
      </c>
      <c r="G726">
        <v>-260.67829999999998</v>
      </c>
      <c r="H726" s="1">
        <v>-4.4490470000000003E-6</v>
      </c>
      <c r="I726">
        <v>366.97919999999999</v>
      </c>
      <c r="J726">
        <v>-282.2552</v>
      </c>
      <c r="K726">
        <v>1.0603499999999999</v>
      </c>
      <c r="L726">
        <v>367.77780000000001</v>
      </c>
      <c r="M726">
        <v>0.99988250000000001</v>
      </c>
      <c r="N726">
        <v>0</v>
      </c>
      <c r="O726">
        <v>5.0553000000000004E-3</v>
      </c>
      <c r="P726">
        <v>0.99709219999999998</v>
      </c>
      <c r="Q726">
        <v>-1.1548839999999999E-2</v>
      </c>
      <c r="R726">
        <v>7.5327779999999997E-2</v>
      </c>
      <c r="S726">
        <v>3.015533</v>
      </c>
      <c r="T726">
        <v>-0.1469848</v>
      </c>
      <c r="U726">
        <v>-0.1105652</v>
      </c>
      <c r="V726">
        <v>-7.0285979999999998E-2</v>
      </c>
      <c r="W726">
        <v>2.8947000000000001E-3</v>
      </c>
      <c r="X726">
        <v>0.99752269999999998</v>
      </c>
      <c r="Y726">
        <v>4.1637210000000001E-2</v>
      </c>
      <c r="Z726">
        <v>-1.2600199999999999E-3</v>
      </c>
      <c r="AA726">
        <v>0.99913200000000002</v>
      </c>
      <c r="AB726">
        <v>36</v>
      </c>
      <c r="AC726">
        <v>21.576899999999998</v>
      </c>
      <c r="AD726">
        <v>-1.0603544490469901</v>
      </c>
      <c r="AE726">
        <v>-0.79860000000002096</v>
      </c>
      <c r="AF726">
        <v>0.90549510586598503</v>
      </c>
      <c r="AG726">
        <v>-1.0603544490469901</v>
      </c>
      <c r="AH726">
        <v>21.520684466349699</v>
      </c>
      <c r="AI726">
        <v>92.818273099347707</v>
      </c>
      <c r="AJ726">
        <v>87.590668430615295</v>
      </c>
      <c r="AK726">
        <v>21.565809348237899</v>
      </c>
      <c r="AL726">
        <v>89.834145678345706</v>
      </c>
      <c r="AM726">
        <v>94.030429965789494</v>
      </c>
      <c r="AN726">
        <v>1.0000000176439701</v>
      </c>
    </row>
    <row r="727" spans="1:40" x14ac:dyDescent="0.3">
      <c r="A727" t="str">
        <f>"20200111160418629"</f>
        <v>20200111160418629</v>
      </c>
      <c r="B727" t="str">
        <f>"1578729858621683"</f>
        <v>1578729858621683</v>
      </c>
      <c r="C727" t="s">
        <v>40</v>
      </c>
      <c r="D727">
        <v>5.2589370000000004</v>
      </c>
      <c r="E727">
        <v>0.54313420000000001</v>
      </c>
      <c r="F727" t="s">
        <v>41</v>
      </c>
      <c r="G727">
        <v>-260.60559999999998</v>
      </c>
      <c r="H727" s="1">
        <v>-4.4810970000000003E-6</v>
      </c>
      <c r="I727">
        <v>366.97449999999998</v>
      </c>
      <c r="J727">
        <v>-275.4461</v>
      </c>
      <c r="K727">
        <v>1.092632</v>
      </c>
      <c r="L727">
        <v>367.81279999999998</v>
      </c>
      <c r="M727">
        <v>0.99995299999999998</v>
      </c>
      <c r="N727">
        <v>0</v>
      </c>
      <c r="O727">
        <v>5.2153080000000001E-3</v>
      </c>
      <c r="P727">
        <v>0.99752779999999996</v>
      </c>
      <c r="Q727">
        <v>-7.7889539999999998E-3</v>
      </c>
      <c r="R727">
        <v>6.9840830000000007E-2</v>
      </c>
      <c r="S727">
        <v>3.0154420000000002</v>
      </c>
      <c r="T727">
        <v>-0.14769009999999999</v>
      </c>
      <c r="U727">
        <v>-0.1118774</v>
      </c>
      <c r="V727">
        <v>-6.463721E-2</v>
      </c>
      <c r="W727">
        <v>3.7747989999999999E-4</v>
      </c>
      <c r="X727">
        <v>0.99790880000000004</v>
      </c>
      <c r="Y727">
        <v>4.22306E-2</v>
      </c>
      <c r="Z727">
        <v>-1.2884179999999999E-3</v>
      </c>
      <c r="AA727">
        <v>0.99910710000000003</v>
      </c>
      <c r="AB727">
        <v>35</v>
      </c>
      <c r="AC727">
        <v>14.8405</v>
      </c>
      <c r="AD727">
        <v>-1.092636481097</v>
      </c>
      <c r="AE727">
        <v>-0.83830000000000304</v>
      </c>
      <c r="AF727">
        <v>0.91076767848911599</v>
      </c>
      <c r="AG727">
        <v>-1.092636481097</v>
      </c>
      <c r="AH727">
        <v>14.756191741296499</v>
      </c>
      <c r="AI727">
        <v>94.2267790988098</v>
      </c>
      <c r="AJ727">
        <v>86.468124542977904</v>
      </c>
      <c r="AK727">
        <v>14.824592640268801</v>
      </c>
      <c r="AL727">
        <v>89.978371995279403</v>
      </c>
      <c r="AM727">
        <v>93.706023109606306</v>
      </c>
      <c r="AN727">
        <v>1.0000000422625399</v>
      </c>
    </row>
    <row r="728" spans="1:40" x14ac:dyDescent="0.3">
      <c r="A728" t="str">
        <f>"20200111160418640"</f>
        <v>20200111160418640</v>
      </c>
      <c r="B728" t="str">
        <f>"1578729858631444"</f>
        <v>1578729858631444</v>
      </c>
      <c r="C728" t="s">
        <v>40</v>
      </c>
      <c r="D728">
        <v>4.7489540000000003</v>
      </c>
      <c r="E728">
        <v>0.54342880000000005</v>
      </c>
      <c r="F728" t="s">
        <v>41</v>
      </c>
      <c r="G728">
        <v>-251.65549999999999</v>
      </c>
      <c r="H728" s="1">
        <v>-4.0610219999999999E-6</v>
      </c>
      <c r="I728">
        <v>366.80349999999999</v>
      </c>
      <c r="J728">
        <v>-275.27229999999997</v>
      </c>
      <c r="K728">
        <v>1.093874</v>
      </c>
      <c r="L728">
        <v>367.81380000000001</v>
      </c>
      <c r="M728">
        <v>0.99995089999999998</v>
      </c>
      <c r="N728">
        <v>0</v>
      </c>
      <c r="O728">
        <v>5.2190750000000001E-3</v>
      </c>
      <c r="P728">
        <v>0.99754909999999997</v>
      </c>
      <c r="Q728">
        <v>-7.9759340000000005E-3</v>
      </c>
      <c r="R728">
        <v>6.9516930000000005E-2</v>
      </c>
      <c r="S728">
        <v>3.01532</v>
      </c>
      <c r="T728">
        <v>-0.13848479999999999</v>
      </c>
      <c r="U728">
        <v>-0.12792970000000001</v>
      </c>
      <c r="V728">
        <v>-6.4309829999999998E-2</v>
      </c>
      <c r="W728">
        <v>4.4376069999999999E-4</v>
      </c>
      <c r="X728">
        <v>0.99792990000000004</v>
      </c>
      <c r="Y728">
        <v>4.7546919999999999E-2</v>
      </c>
      <c r="Z728">
        <v>-1.330258E-3</v>
      </c>
      <c r="AA728">
        <v>0.99886810000000004</v>
      </c>
      <c r="AB728">
        <v>35</v>
      </c>
      <c r="AC728">
        <v>23.616799999999898</v>
      </c>
      <c r="AD728">
        <v>-1.093878061022</v>
      </c>
      <c r="AE728">
        <v>-1.01030000000002</v>
      </c>
      <c r="AF728">
        <v>1.13112624772328</v>
      </c>
      <c r="AG728">
        <v>-1.093878061022</v>
      </c>
      <c r="AH728">
        <v>23.5607518660964</v>
      </c>
      <c r="AI728">
        <v>92.655164545371306</v>
      </c>
      <c r="AJ728">
        <v>87.251401925741405</v>
      </c>
      <c r="AK728">
        <v>23.613238750676299</v>
      </c>
      <c r="AL728">
        <v>89.9745743844054</v>
      </c>
      <c r="AM728">
        <v>93.687226698017398</v>
      </c>
      <c r="AN728">
        <v>1.00000001823609</v>
      </c>
    </row>
    <row r="729" spans="1:40" x14ac:dyDescent="0.3">
      <c r="A729" t="str">
        <f>"20200111160418651"</f>
        <v>20200111160418651</v>
      </c>
      <c r="B729" t="str">
        <f>"1578729858642180"</f>
        <v>1578729858642180</v>
      </c>
      <c r="C729" t="s">
        <v>40</v>
      </c>
      <c r="D729">
        <v>5.1623619999999999</v>
      </c>
      <c r="E729">
        <v>0.54342880000000005</v>
      </c>
      <c r="F729" t="s">
        <v>41</v>
      </c>
      <c r="G729">
        <v>-252.11539999999999</v>
      </c>
      <c r="H729" s="1">
        <v>-3.8630500000000002E-6</v>
      </c>
      <c r="I729">
        <v>366.80739999999997</v>
      </c>
      <c r="J729">
        <v>-275.0992</v>
      </c>
      <c r="K729">
        <v>1.0950299999999999</v>
      </c>
      <c r="L729">
        <v>367.81470000000002</v>
      </c>
      <c r="M729">
        <v>0.99994859999999997</v>
      </c>
      <c r="N729">
        <v>0</v>
      </c>
      <c r="O729">
        <v>5.2228580000000004E-3</v>
      </c>
      <c r="P729">
        <v>0.99756270000000002</v>
      </c>
      <c r="Q729">
        <v>-8.1127899999999999E-3</v>
      </c>
      <c r="R729">
        <v>6.9303149999999994E-2</v>
      </c>
      <c r="S729">
        <v>3.0153500000000002</v>
      </c>
      <c r="T729">
        <v>-0.1424376</v>
      </c>
      <c r="U729">
        <v>-0.13104250000000001</v>
      </c>
      <c r="V729">
        <v>-6.4091880000000004E-2</v>
      </c>
      <c r="W729">
        <v>5.6296980000000003E-4</v>
      </c>
      <c r="X729">
        <v>0.99794380000000005</v>
      </c>
      <c r="Y729">
        <v>4.8575140000000003E-2</v>
      </c>
      <c r="Z729">
        <v>-1.3925809999999999E-3</v>
      </c>
      <c r="AA729">
        <v>0.9988186</v>
      </c>
      <c r="AB729">
        <v>35</v>
      </c>
      <c r="AC729">
        <v>22.983799999999999</v>
      </c>
      <c r="AD729">
        <v>-1.0950338630500001</v>
      </c>
      <c r="AE729">
        <v>-1.0073000000000401</v>
      </c>
      <c r="AF729">
        <v>1.1247836374321301</v>
      </c>
      <c r="AG729">
        <v>-1.0950338630500001</v>
      </c>
      <c r="AH729">
        <v>22.9262841421574</v>
      </c>
      <c r="AI729">
        <v>92.731274398787207</v>
      </c>
      <c r="AJ729">
        <v>87.191270795213299</v>
      </c>
      <c r="AK729">
        <v>22.979963924236198</v>
      </c>
      <c r="AL729">
        <v>89.967744203375403</v>
      </c>
      <c r="AM729">
        <v>93.674713712782605</v>
      </c>
      <c r="AN729">
        <v>0.99999995698768396</v>
      </c>
    </row>
    <row r="730" spans="1:40" x14ac:dyDescent="0.3">
      <c r="A730" t="str">
        <f>"20200111160418662"</f>
        <v>20200111160418662</v>
      </c>
      <c r="B730" t="str">
        <f>"1578729858651941"</f>
        <v>1578729858651941</v>
      </c>
      <c r="C730" t="s">
        <v>40</v>
      </c>
      <c r="D730">
        <v>5.127567</v>
      </c>
      <c r="E730">
        <v>0.59037379999999995</v>
      </c>
      <c r="F730" t="s">
        <v>41</v>
      </c>
      <c r="G730">
        <v>-251.98349999999999</v>
      </c>
      <c r="H730" s="1">
        <v>-3.9199630000000002E-6</v>
      </c>
      <c r="I730">
        <v>366.80560000000003</v>
      </c>
      <c r="J730">
        <v>-274.92189999999999</v>
      </c>
      <c r="K730">
        <v>1.096182</v>
      </c>
      <c r="L730">
        <v>367.81560000000002</v>
      </c>
      <c r="M730">
        <v>0.99994629999999995</v>
      </c>
      <c r="N730">
        <v>0</v>
      </c>
      <c r="O730">
        <v>5.226573E-3</v>
      </c>
      <c r="P730">
        <v>0.99756199999999995</v>
      </c>
      <c r="Q730">
        <v>-8.3291679999999996E-3</v>
      </c>
      <c r="R730">
        <v>6.9287299999999996E-2</v>
      </c>
      <c r="S730">
        <v>3.0153500000000002</v>
      </c>
      <c r="T730">
        <v>-0.14284229999999901</v>
      </c>
      <c r="U730">
        <v>-0.1316223</v>
      </c>
      <c r="V730">
        <v>-6.4072370000000003E-2</v>
      </c>
      <c r="W730">
        <v>6.1065350000000002E-4</v>
      </c>
      <c r="X730">
        <v>0.99794510000000003</v>
      </c>
      <c r="Y730">
        <v>4.8770000000000001E-2</v>
      </c>
      <c r="Z730">
        <v>-1.401315E-3</v>
      </c>
      <c r="AA730">
        <v>0.99880899999999995</v>
      </c>
      <c r="AB730">
        <v>35</v>
      </c>
      <c r="AC730">
        <v>22.938400000000001</v>
      </c>
      <c r="AD730">
        <v>-1.096185919963</v>
      </c>
      <c r="AE730">
        <v>-1.00999999999999</v>
      </c>
      <c r="AF730">
        <v>1.12731074975992</v>
      </c>
      <c r="AG730">
        <v>-1.096185919963</v>
      </c>
      <c r="AH730">
        <v>22.880655794024801</v>
      </c>
      <c r="AI730">
        <v>92.739559700555105</v>
      </c>
      <c r="AJ730">
        <v>87.179365766289294</v>
      </c>
      <c r="AK730">
        <v>22.934621485045</v>
      </c>
      <c r="AL730">
        <v>89.965012130652099</v>
      </c>
      <c r="AM730">
        <v>93.673593396377001</v>
      </c>
      <c r="AN730">
        <v>1.0000000320545599</v>
      </c>
    </row>
    <row r="731" spans="1:40" x14ac:dyDescent="0.3">
      <c r="A731" t="str">
        <f>"20200111160418675"</f>
        <v>20200111160418675</v>
      </c>
      <c r="B731" t="str">
        <f>"1578729858671459"</f>
        <v>1578729858671459</v>
      </c>
      <c r="C731" t="s">
        <v>40</v>
      </c>
      <c r="D731">
        <v>5.1071099999999996</v>
      </c>
      <c r="E731">
        <v>0.59388219999999903</v>
      </c>
      <c r="F731" t="s">
        <v>41</v>
      </c>
      <c r="G731">
        <v>-260.1902</v>
      </c>
      <c r="H731" s="1">
        <v>-4.940679E-6</v>
      </c>
      <c r="I731">
        <v>365.38830000000002</v>
      </c>
      <c r="J731">
        <v>-274.7319</v>
      </c>
      <c r="K731">
        <v>1.0973109999999999</v>
      </c>
      <c r="L731">
        <v>367.81659999999999</v>
      </c>
      <c r="M731">
        <v>0.99994360000000004</v>
      </c>
      <c r="N731">
        <v>0</v>
      </c>
      <c r="O731">
        <v>5.2310129999999996E-3</v>
      </c>
      <c r="P731">
        <v>0.99755899999999997</v>
      </c>
      <c r="Q731">
        <v>-8.4966869999999993E-3</v>
      </c>
      <c r="R731">
        <v>6.9309099999999998E-2</v>
      </c>
      <c r="S731">
        <v>3.0402529999999999</v>
      </c>
      <c r="T731">
        <v>-0.22622429999999999</v>
      </c>
      <c r="U731">
        <v>-0.50091549999999996</v>
      </c>
      <c r="V731">
        <v>-6.4089969999999996E-2</v>
      </c>
      <c r="W731">
        <v>7.2223329999999996E-4</v>
      </c>
      <c r="X731">
        <v>0.99794389999999999</v>
      </c>
      <c r="Y731">
        <v>0.16726440000000001</v>
      </c>
      <c r="Z731">
        <v>-6.5591790000000001E-3</v>
      </c>
      <c r="AA731">
        <v>0.9858903</v>
      </c>
      <c r="AB731">
        <v>35</v>
      </c>
      <c r="AC731">
        <v>14.541699999999899</v>
      </c>
      <c r="AD731">
        <v>-1.0973159406790001</v>
      </c>
      <c r="AE731">
        <v>-2.4282999999999801</v>
      </c>
      <c r="AF731">
        <v>2.4905409272783001</v>
      </c>
      <c r="AG731">
        <v>-1.0973159406790001</v>
      </c>
      <c r="AH731">
        <v>14.4487558469565</v>
      </c>
      <c r="AI731">
        <v>94.280131905585307</v>
      </c>
      <c r="AJ731">
        <v>80.219995506135305</v>
      </c>
      <c r="AK731">
        <v>14.7028378862408</v>
      </c>
      <c r="AL731">
        <v>89.9586190780078</v>
      </c>
      <c r="AM731">
        <v>93.674604135597804</v>
      </c>
      <c r="AN731">
        <v>1.0000000367113699</v>
      </c>
    </row>
    <row r="732" spans="1:40" x14ac:dyDescent="0.3">
      <c r="A732" t="str">
        <f>"20200111160418688"</f>
        <v>20200111160418688</v>
      </c>
      <c r="B732" t="str">
        <f>"1578729858681220"</f>
        <v>1578729858681220</v>
      </c>
      <c r="C732" t="s">
        <v>40</v>
      </c>
      <c r="D732">
        <v>5.0597849999999998</v>
      </c>
      <c r="E732">
        <v>0.59447069999999902</v>
      </c>
      <c r="F732" t="s">
        <v>41</v>
      </c>
      <c r="G732">
        <v>-259.6309</v>
      </c>
      <c r="H732" s="1">
        <v>-1.2898149999999999E-6</v>
      </c>
      <c r="I732">
        <v>365.18849999999998</v>
      </c>
      <c r="J732">
        <v>-274.5249</v>
      </c>
      <c r="K732">
        <v>1.098482</v>
      </c>
      <c r="L732">
        <v>367.8177</v>
      </c>
      <c r="M732">
        <v>0.99994079999999996</v>
      </c>
      <c r="N732">
        <v>0</v>
      </c>
      <c r="O732">
        <v>5.2356690000000001E-3</v>
      </c>
      <c r="P732">
        <v>0.99754770000000004</v>
      </c>
      <c r="Q732">
        <v>-8.8597369999999995E-3</v>
      </c>
      <c r="R732">
        <v>6.9425890000000004E-2</v>
      </c>
      <c r="S732">
        <v>3.0422359999999999</v>
      </c>
      <c r="T732">
        <v>-0.22106239999999999</v>
      </c>
      <c r="U732">
        <v>-0.52944950000000002</v>
      </c>
      <c r="V732">
        <v>-6.4201809999999998E-2</v>
      </c>
      <c r="W732">
        <v>6.5976789999999902E-4</v>
      </c>
      <c r="X732">
        <v>0.99793670000000001</v>
      </c>
      <c r="Y732">
        <v>0.17614759999999999</v>
      </c>
      <c r="Z732">
        <v>-6.721098E-3</v>
      </c>
      <c r="AA732">
        <v>0.98434080000000002</v>
      </c>
      <c r="AB732">
        <v>35</v>
      </c>
      <c r="AC732">
        <v>14.894</v>
      </c>
      <c r="AD732">
        <v>-1.0984832898150001</v>
      </c>
      <c r="AE732">
        <v>-2.62920000000002</v>
      </c>
      <c r="AF732">
        <v>2.6929418077439902</v>
      </c>
      <c r="AG732">
        <v>-1.0984832898150001</v>
      </c>
      <c r="AH732">
        <v>14.8019466519125</v>
      </c>
      <c r="AI732">
        <v>94.175959690460502</v>
      </c>
      <c r="AJ732">
        <v>79.688863333425303</v>
      </c>
      <c r="AK732">
        <v>15.0849668811026</v>
      </c>
      <c r="AL732">
        <v>89.962198080465996</v>
      </c>
      <c r="AM732">
        <v>93.681025362145206</v>
      </c>
      <c r="AN732">
        <v>0.99999998245392296</v>
      </c>
    </row>
    <row r="733" spans="1:40" x14ac:dyDescent="0.3">
      <c r="A733" t="str">
        <f>"20200111160418698"</f>
        <v>20200111160418698</v>
      </c>
      <c r="B733" t="str">
        <f>"1578729858691956"</f>
        <v>1578729858691956</v>
      </c>
      <c r="C733" t="s">
        <v>40</v>
      </c>
      <c r="D733">
        <v>5.0695899999999998</v>
      </c>
      <c r="E733">
        <v>0.59487939999999995</v>
      </c>
      <c r="F733" t="s">
        <v>41</v>
      </c>
      <c r="G733">
        <v>-259.38279999999997</v>
      </c>
      <c r="H733" s="1">
        <v>-1.3813109999999999E-6</v>
      </c>
      <c r="I733">
        <v>365.1619</v>
      </c>
      <c r="J733">
        <v>-274.34730000000002</v>
      </c>
      <c r="K733">
        <v>1.0994159999999999</v>
      </c>
      <c r="L733">
        <v>367.8186</v>
      </c>
      <c r="M733">
        <v>0.99993840000000001</v>
      </c>
      <c r="N733">
        <v>0</v>
      </c>
      <c r="O733">
        <v>5.2394470000000004E-3</v>
      </c>
      <c r="P733">
        <v>0.99753579999999997</v>
      </c>
      <c r="Q733">
        <v>-8.9962480000000001E-3</v>
      </c>
      <c r="R733">
        <v>6.9581199999999996E-2</v>
      </c>
      <c r="S733">
        <v>3.0425420000000001</v>
      </c>
      <c r="T733">
        <v>-0.2207201</v>
      </c>
      <c r="U733">
        <v>-0.53363039999999995</v>
      </c>
      <c r="V733">
        <v>-6.4353590000000002E-2</v>
      </c>
      <c r="W733">
        <v>7.7563920000000002E-4</v>
      </c>
      <c r="X733">
        <v>0.9979268</v>
      </c>
      <c r="Y733">
        <v>0.1774454</v>
      </c>
      <c r="Z733">
        <v>-6.7562009999999999E-3</v>
      </c>
      <c r="AA733">
        <v>0.98410739999999997</v>
      </c>
      <c r="AB733">
        <v>35</v>
      </c>
      <c r="AC733">
        <v>14.964499999999999</v>
      </c>
      <c r="AD733">
        <v>-1.099417381311</v>
      </c>
      <c r="AE733">
        <v>-2.6566999999999998</v>
      </c>
      <c r="AF733">
        <v>2.7208357351614501</v>
      </c>
      <c r="AG733">
        <v>-1.099417381311</v>
      </c>
      <c r="AH733">
        <v>14.8725510207097</v>
      </c>
      <c r="AI733">
        <v>94.158986159657601</v>
      </c>
      <c r="AJ733">
        <v>79.632756155144506</v>
      </c>
      <c r="AK733">
        <v>15.159302079570599</v>
      </c>
      <c r="AL733">
        <v>89.955559140388502</v>
      </c>
      <c r="AM733">
        <v>93.6897401946608</v>
      </c>
      <c r="AN733">
        <v>0.99999994216014598</v>
      </c>
    </row>
    <row r="734" spans="1:40" x14ac:dyDescent="0.3">
      <c r="A734" t="str">
        <f>"20200111160418709"</f>
        <v>20200111160418709</v>
      </c>
      <c r="B734" t="str">
        <f>"1578729858701717"</f>
        <v>1578729858701717</v>
      </c>
      <c r="C734" t="s">
        <v>40</v>
      </c>
      <c r="D734">
        <v>5.0478569999999996</v>
      </c>
      <c r="E734">
        <v>0.59505330000000001</v>
      </c>
      <c r="F734" t="s">
        <v>41</v>
      </c>
      <c r="G734">
        <v>-258.97210000000001</v>
      </c>
      <c r="H734" s="1">
        <v>-1.5357679999999999E-6</v>
      </c>
      <c r="I734">
        <v>365.10669999999999</v>
      </c>
      <c r="J734">
        <v>-274.1848</v>
      </c>
      <c r="K734">
        <v>1.100214</v>
      </c>
      <c r="L734">
        <v>367.81950000000001</v>
      </c>
      <c r="M734">
        <v>0.99993620000000005</v>
      </c>
      <c r="N734">
        <v>0</v>
      </c>
      <c r="O734">
        <v>5.2430369999999999E-3</v>
      </c>
      <c r="P734">
        <v>0.99753219999999998</v>
      </c>
      <c r="Q734">
        <v>-9.4587649999999992E-3</v>
      </c>
      <c r="R734">
        <v>6.9573129999999997E-2</v>
      </c>
      <c r="S734">
        <v>3.0428769999999998</v>
      </c>
      <c r="T734">
        <v>-0.21758279999999999</v>
      </c>
      <c r="U734">
        <v>-0.53671259999999998</v>
      </c>
      <c r="V734">
        <v>-6.4341709999999996E-2</v>
      </c>
      <c r="W734">
        <v>5.3626719999999995E-4</v>
      </c>
      <c r="X734">
        <v>0.99792780000000003</v>
      </c>
      <c r="Y734">
        <v>0.17840829999999999</v>
      </c>
      <c r="Z734">
        <v>-6.6934869999999997E-3</v>
      </c>
      <c r="AA734">
        <v>0.98393379999999997</v>
      </c>
      <c r="AB734">
        <v>35</v>
      </c>
      <c r="AC734">
        <v>15.2126999999999</v>
      </c>
      <c r="AD734">
        <v>-1.1002155357679999</v>
      </c>
      <c r="AE734">
        <v>-2.7128000000000099</v>
      </c>
      <c r="AF734">
        <v>2.77844270568254</v>
      </c>
      <c r="AG734">
        <v>-1.1002155357679999</v>
      </c>
      <c r="AH734">
        <v>15.121610956538699</v>
      </c>
      <c r="AI734">
        <v>94.093103604647098</v>
      </c>
      <c r="AJ734">
        <v>79.588608875610802</v>
      </c>
      <c r="AK734">
        <v>15.4140629301563</v>
      </c>
      <c r="AL734">
        <v>89.969274151848097</v>
      </c>
      <c r="AM734">
        <v>93.689057244453593</v>
      </c>
      <c r="AN734">
        <v>1.00000001862053</v>
      </c>
    </row>
    <row r="735" spans="1:40" x14ac:dyDescent="0.3">
      <c r="A735" t="str">
        <f>"20200111160418720"</f>
        <v>20200111160418720</v>
      </c>
      <c r="B735" t="str">
        <f>"1578729858711476"</f>
        <v>1578729858711476</v>
      </c>
      <c r="C735" t="s">
        <v>40</v>
      </c>
      <c r="D735">
        <v>5.3365749999999998</v>
      </c>
      <c r="E735">
        <v>0.59431679999999998</v>
      </c>
      <c r="F735" t="s">
        <v>41</v>
      </c>
      <c r="G735">
        <v>-258.67649999999998</v>
      </c>
      <c r="H735" s="1">
        <v>-1.6443979999999901E-6</v>
      </c>
      <c r="I735">
        <v>365.07650000000001</v>
      </c>
      <c r="J735">
        <v>-274.01240000000001</v>
      </c>
      <c r="K735">
        <v>1.1010180000000001</v>
      </c>
      <c r="L735">
        <v>367.82040000000001</v>
      </c>
      <c r="M735">
        <v>0.99993379999999998</v>
      </c>
      <c r="N735">
        <v>0</v>
      </c>
      <c r="O735">
        <v>5.2470939999999999E-3</v>
      </c>
      <c r="P735">
        <v>0.99752890000000005</v>
      </c>
      <c r="Q735">
        <v>-9.7114590000000004E-3</v>
      </c>
      <c r="R735">
        <v>6.9583409999999998E-2</v>
      </c>
      <c r="S735">
        <v>3.0429080000000002</v>
      </c>
      <c r="T735">
        <v>-0.21587429999999999</v>
      </c>
      <c r="U735">
        <v>-0.53820800000000002</v>
      </c>
      <c r="V735">
        <v>-6.4347890000000005E-2</v>
      </c>
      <c r="W735">
        <v>5.1623999999999995E-4</v>
      </c>
      <c r="X735">
        <v>0.99792740000000002</v>
      </c>
      <c r="Y735">
        <v>0.1788854</v>
      </c>
      <c r="Z735">
        <v>-6.6577709999999998E-3</v>
      </c>
      <c r="AA735">
        <v>0.98384740000000004</v>
      </c>
      <c r="AB735">
        <v>35</v>
      </c>
      <c r="AC735">
        <v>15.335900000000001</v>
      </c>
      <c r="AD735">
        <v>-1.101019644398</v>
      </c>
      <c r="AE735">
        <v>-2.7438999999999898</v>
      </c>
      <c r="AF735">
        <v>2.8102994829892101</v>
      </c>
      <c r="AG735">
        <v>-1.101019644398</v>
      </c>
      <c r="AH735">
        <v>15.245149640327099</v>
      </c>
      <c r="AI735">
        <v>94.062571039970095</v>
      </c>
      <c r="AJ735">
        <v>79.555318733025203</v>
      </c>
      <c r="AK735">
        <v>15.5410622223002</v>
      </c>
      <c r="AL735">
        <v>89.9704216256644</v>
      </c>
      <c r="AM735">
        <v>93.689412073322799</v>
      </c>
      <c r="AN735">
        <v>1.00000000656097</v>
      </c>
    </row>
    <row r="736" spans="1:40" x14ac:dyDescent="0.3">
      <c r="A736" t="str">
        <f>"20200111160418731"</f>
        <v>20200111160418731</v>
      </c>
      <c r="B736" t="str">
        <f>"1578729858721236"</f>
        <v>1578729858721236</v>
      </c>
      <c r="C736" t="s">
        <v>40</v>
      </c>
      <c r="D736">
        <v>5.0836040000000002</v>
      </c>
      <c r="E736">
        <v>0.5944488</v>
      </c>
      <c r="F736" t="s">
        <v>41</v>
      </c>
      <c r="G736">
        <v>-258.30579999999998</v>
      </c>
      <c r="H736" s="1">
        <v>-1.772049E-6</v>
      </c>
      <c r="I736">
        <v>365.07089999999999</v>
      </c>
      <c r="J736">
        <v>-273.84829999999999</v>
      </c>
      <c r="K736">
        <v>1.101715</v>
      </c>
      <c r="L736">
        <v>367.82130000000001</v>
      </c>
      <c r="M736">
        <v>0.99993160000000003</v>
      </c>
      <c r="N736">
        <v>0</v>
      </c>
      <c r="O736">
        <v>5.2506979999999998E-3</v>
      </c>
      <c r="P736">
        <v>0.99752220000000003</v>
      </c>
      <c r="Q736">
        <v>-1.0257530000000001E-2</v>
      </c>
      <c r="R736">
        <v>6.9601800000000005E-2</v>
      </c>
      <c r="S736">
        <v>3.0425420000000001</v>
      </c>
      <c r="T736">
        <v>-0.2132783</v>
      </c>
      <c r="U736">
        <v>-0.53259279999999998</v>
      </c>
      <c r="V736">
        <v>-6.4363119999999996E-2</v>
      </c>
      <c r="W736">
        <v>1.8149999999999999E-4</v>
      </c>
      <c r="X736">
        <v>0.99792650000000005</v>
      </c>
      <c r="Y736">
        <v>0.17716229999999999</v>
      </c>
      <c r="Z736">
        <v>-6.520105E-3</v>
      </c>
      <c r="AA736">
        <v>0.98416009999999998</v>
      </c>
      <c r="AB736">
        <v>35</v>
      </c>
      <c r="AC736">
        <v>15.5425</v>
      </c>
      <c r="AD736">
        <v>-1.101716772049</v>
      </c>
      <c r="AE736">
        <v>-2.7504000000000102</v>
      </c>
      <c r="AF736">
        <v>2.8182450343704799</v>
      </c>
      <c r="AG736">
        <v>-1.101716772049</v>
      </c>
      <c r="AH736">
        <v>15.452558613081001</v>
      </c>
      <c r="AI736">
        <v>94.012140763610205</v>
      </c>
      <c r="AJ736">
        <v>79.663970343207296</v>
      </c>
      <c r="AK736">
        <v>15.746042442794099</v>
      </c>
      <c r="AL736">
        <v>89.989600815667799</v>
      </c>
      <c r="AM736">
        <v>93.690286197789604</v>
      </c>
      <c r="AN736">
        <v>0.99999997178031597</v>
      </c>
    </row>
    <row r="737" spans="1:40" x14ac:dyDescent="0.3">
      <c r="A737" t="str">
        <f>"20200111160418743"</f>
        <v>20200111160418743</v>
      </c>
      <c r="B737" t="str">
        <f>"1578729858731972"</f>
        <v>1578729858731972</v>
      </c>
      <c r="C737" t="s">
        <v>40</v>
      </c>
      <c r="D737">
        <v>5.0796199999999896</v>
      </c>
      <c r="E737">
        <v>0.59456779999999998</v>
      </c>
      <c r="F737" t="s">
        <v>41</v>
      </c>
      <c r="G737">
        <v>-258.17090000000002</v>
      </c>
      <c r="H737" s="1">
        <v>-1.817863E-6</v>
      </c>
      <c r="I737">
        <v>365.07119999999998</v>
      </c>
      <c r="J737">
        <v>-273.66120000000001</v>
      </c>
      <c r="K737">
        <v>1.102484</v>
      </c>
      <c r="L737">
        <v>367.82220000000001</v>
      </c>
      <c r="M737">
        <v>0.99992910000000002</v>
      </c>
      <c r="N737">
        <v>0</v>
      </c>
      <c r="O737">
        <v>5.2547979999999998E-3</v>
      </c>
      <c r="P737">
        <v>0.99752059999999998</v>
      </c>
      <c r="Q737">
        <v>-1.0721619999999999E-2</v>
      </c>
      <c r="R737">
        <v>6.9556419999999994E-2</v>
      </c>
      <c r="S737">
        <v>3.0424500000000001</v>
      </c>
      <c r="T737">
        <v>-0.21380440000000001</v>
      </c>
      <c r="U737">
        <v>-0.53369140000000004</v>
      </c>
      <c r="V737">
        <v>-6.4313659999999995E-2</v>
      </c>
      <c r="W737" s="1">
        <v>-4.5740739999999997E-5</v>
      </c>
      <c r="X737">
        <v>0.99792979999999998</v>
      </c>
      <c r="Y737">
        <v>0.17751329999999901</v>
      </c>
      <c r="Z737">
        <v>-6.548651E-3</v>
      </c>
      <c r="AA737">
        <v>0.98409659999999999</v>
      </c>
      <c r="AB737">
        <v>35</v>
      </c>
      <c r="AC737">
        <v>15.4902999999999</v>
      </c>
      <c r="AD737">
        <v>-1.1024858178629999</v>
      </c>
      <c r="AE737">
        <v>-2.7510000000000301</v>
      </c>
      <c r="AF737">
        <v>2.8185242308835199</v>
      </c>
      <c r="AG737">
        <v>-1.1024858178629999</v>
      </c>
      <c r="AH737">
        <v>15.4000050693546</v>
      </c>
      <c r="AI737">
        <v>94.0281337622515</v>
      </c>
      <c r="AJ737">
        <v>79.628456949357002</v>
      </c>
      <c r="AK737">
        <v>15.6945758131532</v>
      </c>
      <c r="AL737">
        <v>90.002620751178199</v>
      </c>
      <c r="AM737">
        <v>93.687446055055602</v>
      </c>
      <c r="AN737">
        <v>1.00000006734142</v>
      </c>
    </row>
    <row r="738" spans="1:40" x14ac:dyDescent="0.3">
      <c r="A738" t="str">
        <f>"20200111160418755"</f>
        <v>20200111160418755</v>
      </c>
      <c r="B738" t="str">
        <f>"1578729858751492"</f>
        <v>1578729858751492</v>
      </c>
      <c r="C738" t="s">
        <v>40</v>
      </c>
      <c r="D738">
        <v>5.0840540000000001</v>
      </c>
      <c r="E738">
        <v>0.59381809999999902</v>
      </c>
      <c r="F738" t="s">
        <v>41</v>
      </c>
      <c r="G738">
        <v>-258.13909999999998</v>
      </c>
      <c r="H738" s="1">
        <v>-1.8223900000000001E-6</v>
      </c>
      <c r="I738">
        <v>365.09480000000002</v>
      </c>
      <c r="J738">
        <v>-273.48689999999999</v>
      </c>
      <c r="K738">
        <v>1.103119</v>
      </c>
      <c r="L738">
        <v>367.82319999999999</v>
      </c>
      <c r="M738">
        <v>0.99992689999999995</v>
      </c>
      <c r="N738">
        <v>0</v>
      </c>
      <c r="O738">
        <v>5.2587409999999999E-3</v>
      </c>
      <c r="P738">
        <v>0.99752859999999999</v>
      </c>
      <c r="Q738">
        <v>-1.111469E-2</v>
      </c>
      <c r="R738">
        <v>6.9380799999999895E-2</v>
      </c>
      <c r="S738">
        <v>3.042389</v>
      </c>
      <c r="T738">
        <v>-0.21609039999999999</v>
      </c>
      <c r="U738">
        <v>-0.53457639999999995</v>
      </c>
      <c r="V738">
        <v>-6.4133770000000007E-2</v>
      </c>
      <c r="W738">
        <v>-2.3262329999999999E-4</v>
      </c>
      <c r="X738">
        <v>0.99794130000000003</v>
      </c>
      <c r="Y738">
        <v>0.1777881</v>
      </c>
      <c r="Z738">
        <v>-6.6284179999999996E-3</v>
      </c>
      <c r="AA738">
        <v>0.98404650000000005</v>
      </c>
      <c r="AB738">
        <v>35</v>
      </c>
      <c r="AC738">
        <v>15.347799999999999</v>
      </c>
      <c r="AD738">
        <v>-1.10312082239</v>
      </c>
      <c r="AE738">
        <v>-2.7283999999999602</v>
      </c>
      <c r="AF738">
        <v>2.7950801344448202</v>
      </c>
      <c r="AG738">
        <v>-1.10312082239</v>
      </c>
      <c r="AH738">
        <v>15.256836743401299</v>
      </c>
      <c r="AI738">
        <v>94.0680111631507</v>
      </c>
      <c r="AJ738">
        <v>79.618432936107794</v>
      </c>
      <c r="AK738">
        <v>15.5499329876871</v>
      </c>
      <c r="AL738">
        <v>90.013328333207895</v>
      </c>
      <c r="AM738">
        <v>93.677118078855599</v>
      </c>
      <c r="AN738">
        <v>1.0000000164068501</v>
      </c>
    </row>
    <row r="739" spans="1:40" x14ac:dyDescent="0.3">
      <c r="A739" t="str">
        <f>"20200111160418766"</f>
        <v>20200111160418766</v>
      </c>
      <c r="B739" t="str">
        <f>"1578729858761252"</f>
        <v>1578729858761252</v>
      </c>
      <c r="C739" t="s">
        <v>40</v>
      </c>
      <c r="D739">
        <v>5.0845880000000001</v>
      </c>
      <c r="E739">
        <v>0.593449</v>
      </c>
      <c r="F739" t="s">
        <v>41</v>
      </c>
      <c r="G739">
        <v>-258.00130000000001</v>
      </c>
      <c r="H739" s="1">
        <v>-1.8599960000000001E-6</v>
      </c>
      <c r="I739">
        <v>365.12979999999999</v>
      </c>
      <c r="J739">
        <v>-273.31150000000002</v>
      </c>
      <c r="K739">
        <v>1.1037399999999999</v>
      </c>
      <c r="L739">
        <v>367.82409999999999</v>
      </c>
      <c r="M739">
        <v>0.99992460000000005</v>
      </c>
      <c r="N739">
        <v>0</v>
      </c>
      <c r="O739">
        <v>5.2626139999999997E-3</v>
      </c>
      <c r="P739">
        <v>0.99753130000000001</v>
      </c>
      <c r="Q739">
        <v>-1.149236E-2</v>
      </c>
      <c r="R739">
        <v>6.9278670000000001E-2</v>
      </c>
      <c r="S739">
        <v>3.0418090000000002</v>
      </c>
      <c r="T739">
        <v>-0.21668309999999999</v>
      </c>
      <c r="U739">
        <v>-0.52905269999999904</v>
      </c>
      <c r="V739">
        <v>-6.4027650000000005E-2</v>
      </c>
      <c r="W739">
        <v>-4.0613580000000002E-4</v>
      </c>
      <c r="X739">
        <v>0.9979481</v>
      </c>
      <c r="Y739">
        <v>0.1760911</v>
      </c>
      <c r="Z739">
        <v>-6.5891819999999999E-3</v>
      </c>
      <c r="AA739">
        <v>0.9843518</v>
      </c>
      <c r="AB739">
        <v>35</v>
      </c>
      <c r="AC739">
        <v>15.3102</v>
      </c>
      <c r="AD739">
        <v>-1.1037418599959901</v>
      </c>
      <c r="AE739">
        <v>-2.6942999999999899</v>
      </c>
      <c r="AF739">
        <v>2.76092116508153</v>
      </c>
      <c r="AG739">
        <v>-1.1037418599959901</v>
      </c>
      <c r="AH739">
        <v>15.2190866874527</v>
      </c>
      <c r="AI739">
        <v>94.0816403511255</v>
      </c>
      <c r="AJ739">
        <v>79.717696734729998</v>
      </c>
      <c r="AK739">
        <v>15.5068220913733</v>
      </c>
      <c r="AL739">
        <v>90.023269866548404</v>
      </c>
      <c r="AM739">
        <v>93.671025380629899</v>
      </c>
      <c r="AN739">
        <v>1.0000000576021999</v>
      </c>
    </row>
    <row r="740" spans="1:40" x14ac:dyDescent="0.3">
      <c r="A740" t="str">
        <f>"20200111160418776"</f>
        <v>20200111160418776</v>
      </c>
      <c r="B740" t="str">
        <f>"1578729858771988"</f>
        <v>1578729858771988</v>
      </c>
      <c r="C740" t="s">
        <v>40</v>
      </c>
      <c r="D740">
        <v>5.1125579999999999</v>
      </c>
      <c r="E740">
        <v>0.59302540000000004</v>
      </c>
      <c r="F740" t="s">
        <v>41</v>
      </c>
      <c r="G740">
        <v>-257.8152</v>
      </c>
      <c r="H740" s="1">
        <v>-1.9202339999999999E-6</v>
      </c>
      <c r="I740">
        <v>365.1413</v>
      </c>
      <c r="J740">
        <v>-273.1311</v>
      </c>
      <c r="K740">
        <v>1.1043099999999999</v>
      </c>
      <c r="L740">
        <v>367.82499999999999</v>
      </c>
      <c r="M740">
        <v>0.99992239999999999</v>
      </c>
      <c r="N740">
        <v>0</v>
      </c>
      <c r="O740">
        <v>5.2665699999999999E-3</v>
      </c>
      <c r="P740">
        <v>0.99753190000000003</v>
      </c>
      <c r="Q740">
        <v>-1.156947E-2</v>
      </c>
      <c r="R740">
        <v>6.9256999999999999E-2</v>
      </c>
      <c r="S740">
        <v>3.0415040000000002</v>
      </c>
      <c r="T740">
        <v>-0.21663479999999999</v>
      </c>
      <c r="U740">
        <v>-0.52655030000000003</v>
      </c>
      <c r="V740">
        <v>-6.4001950000000002E-2</v>
      </c>
      <c r="W740">
        <v>-2.8657189999999999E-4</v>
      </c>
      <c r="X740">
        <v>0.99794970000000005</v>
      </c>
      <c r="Y740">
        <v>0.17532729999999999</v>
      </c>
      <c r="Z740">
        <v>-6.5621369999999896E-3</v>
      </c>
      <c r="AA740">
        <v>0.98448829999999998</v>
      </c>
      <c r="AB740">
        <v>35</v>
      </c>
      <c r="AC740">
        <v>15.315899999999999</v>
      </c>
      <c r="AD740">
        <v>-1.1043119202339999</v>
      </c>
      <c r="AE740">
        <v>-2.68369999999998</v>
      </c>
      <c r="AF740">
        <v>2.7504571967286799</v>
      </c>
      <c r="AG740">
        <v>-1.1043119202339999</v>
      </c>
      <c r="AH740">
        <v>15.2247608803965</v>
      </c>
      <c r="AI740">
        <v>94.082762862312407</v>
      </c>
      <c r="AJ740">
        <v>79.759577354282897</v>
      </c>
      <c r="AK740">
        <v>15.510572635253</v>
      </c>
      <c r="AL740">
        <v>90.016419361151605</v>
      </c>
      <c r="AM740">
        <v>93.669550030754607</v>
      </c>
      <c r="AN740">
        <v>0.99999996772867195</v>
      </c>
    </row>
    <row r="741" spans="1:40" x14ac:dyDescent="0.3">
      <c r="A741" t="str">
        <f>"20200111160418789"</f>
        <v>20200111160418789</v>
      </c>
      <c r="B741" t="str">
        <f>"1578729858781748"</f>
        <v>1578729858781748</v>
      </c>
      <c r="C741" t="s">
        <v>40</v>
      </c>
      <c r="D741">
        <v>5.1047479999999998</v>
      </c>
      <c r="E741">
        <v>0.59273580000000003</v>
      </c>
      <c r="F741" t="s">
        <v>41</v>
      </c>
      <c r="G741">
        <v>-257.58859999999999</v>
      </c>
      <c r="H741" s="1">
        <v>-1.9951120000000001E-6</v>
      </c>
      <c r="I741">
        <v>365.14980000000003</v>
      </c>
      <c r="J741">
        <v>-272.94189999999998</v>
      </c>
      <c r="K741">
        <v>1.1048720000000001</v>
      </c>
      <c r="L741">
        <v>367.82600000000002</v>
      </c>
      <c r="M741">
        <v>0.99992009999999998</v>
      </c>
      <c r="N741">
        <v>0</v>
      </c>
      <c r="O741">
        <v>5.2707919999999998E-3</v>
      </c>
      <c r="P741">
        <v>0.99753409999999998</v>
      </c>
      <c r="Q741">
        <v>-1.179672E-2</v>
      </c>
      <c r="R741">
        <v>6.9188719999999995E-2</v>
      </c>
      <c r="S741">
        <v>3.0412599999999999</v>
      </c>
      <c r="T741">
        <v>-0.2160832</v>
      </c>
      <c r="U741">
        <v>-0.52346800000000004</v>
      </c>
      <c r="V741">
        <v>-6.3929630000000001E-2</v>
      </c>
      <c r="W741">
        <v>-3.1503219999999999E-4</v>
      </c>
      <c r="X741">
        <v>0.99795440000000002</v>
      </c>
      <c r="Y741">
        <v>0.17438020000000001</v>
      </c>
      <c r="Z741">
        <v>-6.5134819999999897E-3</v>
      </c>
      <c r="AA741">
        <v>0.98465689999999995</v>
      </c>
      <c r="AB741">
        <v>35</v>
      </c>
      <c r="AC741">
        <v>15.3532999999999</v>
      </c>
      <c r="AD741">
        <v>-1.1048739951119999</v>
      </c>
      <c r="AE741">
        <v>-2.67619999999993</v>
      </c>
      <c r="AF741">
        <v>2.74330434138006</v>
      </c>
      <c r="AG741">
        <v>-1.1048739951119999</v>
      </c>
      <c r="AH741">
        <v>15.262271764123</v>
      </c>
      <c r="AI741">
        <v>94.075475182303805</v>
      </c>
      <c r="AJ741">
        <v>79.810224982598896</v>
      </c>
      <c r="AK741">
        <v>15.546170096086501</v>
      </c>
      <c r="AL741">
        <v>90.018050015035399</v>
      </c>
      <c r="AM741">
        <v>93.665397660225494</v>
      </c>
      <c r="AN741">
        <v>1.0000000406582901</v>
      </c>
    </row>
    <row r="742" spans="1:40" x14ac:dyDescent="0.3">
      <c r="A742" t="str">
        <f>"20200111160418800"</f>
        <v>20200111160418800</v>
      </c>
      <c r="B742" t="str">
        <f>"1578729858791507"</f>
        <v>1578729858791507</v>
      </c>
      <c r="C742" t="s">
        <v>40</v>
      </c>
      <c r="D742">
        <v>5.0728299999999997</v>
      </c>
      <c r="E742">
        <v>0.59248780000000001</v>
      </c>
      <c r="F742" t="s">
        <v>41</v>
      </c>
      <c r="G742">
        <v>-257.34269999999998</v>
      </c>
      <c r="H742" s="1">
        <v>-2.078657E-6</v>
      </c>
      <c r="I742">
        <v>365.15039999999999</v>
      </c>
      <c r="J742">
        <v>-272.75979999999998</v>
      </c>
      <c r="K742">
        <v>1.105378</v>
      </c>
      <c r="L742">
        <v>367.827</v>
      </c>
      <c r="M742">
        <v>0.99991790000000003</v>
      </c>
      <c r="N742">
        <v>0</v>
      </c>
      <c r="O742">
        <v>5.2747890000000002E-3</v>
      </c>
      <c r="P742">
        <v>0.9975387</v>
      </c>
      <c r="Q742">
        <v>-1.189434E-2</v>
      </c>
      <c r="R742">
        <v>6.91026E-2</v>
      </c>
      <c r="S742">
        <v>3.0410159999999999</v>
      </c>
      <c r="T742">
        <v>-0.21539050000000001</v>
      </c>
      <c r="U742">
        <v>-0.52160640000000003</v>
      </c>
      <c r="V742">
        <v>-6.3839209999999993E-2</v>
      </c>
      <c r="W742">
        <v>-2.298682E-4</v>
      </c>
      <c r="X742">
        <v>0.99796019999999996</v>
      </c>
      <c r="Y742">
        <v>0.1738159</v>
      </c>
      <c r="Z742">
        <v>-6.4739649999999999E-3</v>
      </c>
      <c r="AA742">
        <v>0.98475690000000005</v>
      </c>
      <c r="AB742">
        <v>35</v>
      </c>
      <c r="AC742">
        <v>15.4171</v>
      </c>
      <c r="AD742">
        <v>-1.1053800786570001</v>
      </c>
      <c r="AE742">
        <v>-2.6766000000000001</v>
      </c>
      <c r="AF742">
        <v>2.7441960670867598</v>
      </c>
      <c r="AG742">
        <v>-1.1053800786570001</v>
      </c>
      <c r="AH742">
        <v>15.3262842499506</v>
      </c>
      <c r="AI742">
        <v>94.060850257905003</v>
      </c>
      <c r="AJ742">
        <v>79.848667676534404</v>
      </c>
      <c r="AK742">
        <v>15.609210937238</v>
      </c>
      <c r="AL742">
        <v>90.013170477435906</v>
      </c>
      <c r="AM742">
        <v>93.6602063286022</v>
      </c>
      <c r="AN742">
        <v>1.0000000291784199</v>
      </c>
    </row>
    <row r="743" spans="1:40" x14ac:dyDescent="0.3">
      <c r="A743" t="str">
        <f>"20200111160418812"</f>
        <v>20200111160418812</v>
      </c>
      <c r="B743" t="str">
        <f>"1578729858801269"</f>
        <v>1578729858801269</v>
      </c>
      <c r="C743" t="s">
        <v>40</v>
      </c>
      <c r="D743">
        <v>5.0843999999999996</v>
      </c>
      <c r="E743">
        <v>0.59228230000000004</v>
      </c>
      <c r="F743" t="s">
        <v>41</v>
      </c>
      <c r="G743">
        <v>-257.09320000000002</v>
      </c>
      <c r="H743" s="1">
        <v>-2.1641000000000002E-6</v>
      </c>
      <c r="I743">
        <v>365.14830000000001</v>
      </c>
      <c r="J743">
        <v>-272.59530000000001</v>
      </c>
      <c r="K743">
        <v>1.1057840000000001</v>
      </c>
      <c r="L743">
        <v>367.8279</v>
      </c>
      <c r="M743">
        <v>0.99991609999999997</v>
      </c>
      <c r="N743">
        <v>0</v>
      </c>
      <c r="O743">
        <v>5.2783989999999996E-3</v>
      </c>
      <c r="P743">
        <v>0.99754180000000003</v>
      </c>
      <c r="Q743">
        <v>-1.185724E-2</v>
      </c>
      <c r="R743">
        <v>6.9065360000000006E-2</v>
      </c>
      <c r="S743">
        <v>3.0408629999999999</v>
      </c>
      <c r="T743">
        <v>-0.21455099999999999</v>
      </c>
      <c r="U743">
        <v>-0.51992799999999995</v>
      </c>
      <c r="V743">
        <v>-6.3798289999999994E-2</v>
      </c>
      <c r="W743" s="1">
        <v>-3.7859079999999997E-5</v>
      </c>
      <c r="X743">
        <v>0.99796280000000004</v>
      </c>
      <c r="Y743">
        <v>0.17330409999999999</v>
      </c>
      <c r="Z743">
        <v>-6.4317569999999998E-3</v>
      </c>
      <c r="AA743">
        <v>0.98484740000000004</v>
      </c>
      <c r="AB743">
        <v>35</v>
      </c>
      <c r="AC743">
        <v>15.502099999999899</v>
      </c>
      <c r="AD743">
        <v>-1.1057861641</v>
      </c>
      <c r="AE743">
        <v>-2.67959999999999</v>
      </c>
      <c r="AF743">
        <v>2.7478189254738998</v>
      </c>
      <c r="AG743">
        <v>-1.1057861641</v>
      </c>
      <c r="AH743">
        <v>15.4115972680283</v>
      </c>
      <c r="AI743">
        <v>94.040451312035003</v>
      </c>
      <c r="AJ743">
        <v>79.890648319734595</v>
      </c>
      <c r="AK743">
        <v>15.6936484680843</v>
      </c>
      <c r="AL743">
        <v>90.002169165529594</v>
      </c>
      <c r="AM743">
        <v>93.657857057611906</v>
      </c>
      <c r="AN743">
        <v>0.99999998671203605</v>
      </c>
    </row>
    <row r="744" spans="1:40" x14ac:dyDescent="0.3">
      <c r="A744" t="str">
        <f>"20200111160418822"</f>
        <v>20200111160418822</v>
      </c>
      <c r="B744" t="str">
        <f>"1578729858812004"</f>
        <v>1578729858812004</v>
      </c>
      <c r="C744" t="s">
        <v>40</v>
      </c>
      <c r="D744">
        <v>5.0805470000000001</v>
      </c>
      <c r="E744">
        <v>0.59204429999999997</v>
      </c>
      <c r="F744" t="s">
        <v>41</v>
      </c>
      <c r="G744">
        <v>-256.89800000000002</v>
      </c>
      <c r="H744" s="1">
        <v>-2.2297579999999999E-6</v>
      </c>
      <c r="I744">
        <v>365.15120000000002</v>
      </c>
      <c r="J744">
        <v>-272.4162</v>
      </c>
      <c r="K744">
        <v>1.1062080000000001</v>
      </c>
      <c r="L744">
        <v>367.8288</v>
      </c>
      <c r="M744">
        <v>0.99991390000000002</v>
      </c>
      <c r="N744">
        <v>0</v>
      </c>
      <c r="O744">
        <v>5.2824129999999997E-3</v>
      </c>
      <c r="P744">
        <v>0.99752870000000005</v>
      </c>
      <c r="Q744">
        <v>-1.192696E-2</v>
      </c>
      <c r="R744">
        <v>6.9241620000000004E-2</v>
      </c>
      <c r="S744">
        <v>3.0407410000000001</v>
      </c>
      <c r="T744">
        <v>-0.21420159999999999</v>
      </c>
      <c r="U744">
        <v>-0.51849369999999995</v>
      </c>
      <c r="V744">
        <v>-6.3970550000000001E-2</v>
      </c>
      <c r="W744" s="1">
        <v>5.7202179999999998E-5</v>
      </c>
      <c r="X744">
        <v>0.99795180000000006</v>
      </c>
      <c r="Y744">
        <v>0.17286560000000001</v>
      </c>
      <c r="Z744">
        <v>-6.4067799999999999E-3</v>
      </c>
      <c r="AA744">
        <v>0.98492460000000004</v>
      </c>
      <c r="AB744">
        <v>35</v>
      </c>
      <c r="AC744">
        <v>15.5182</v>
      </c>
      <c r="AD744">
        <v>-1.1062102297579901</v>
      </c>
      <c r="AE744">
        <v>-2.67759999999998</v>
      </c>
      <c r="AF744">
        <v>2.7459917343556701</v>
      </c>
      <c r="AG744">
        <v>-1.1062102297579901</v>
      </c>
      <c r="AH744">
        <v>15.427708747587699</v>
      </c>
      <c r="AI744">
        <v>94.038000193777194</v>
      </c>
      <c r="AJ744">
        <v>79.907565658000195</v>
      </c>
      <c r="AK744">
        <v>15.709181037786999</v>
      </c>
      <c r="AL744">
        <v>89.996722556553806</v>
      </c>
      <c r="AM744">
        <v>93.6677469310508</v>
      </c>
      <c r="AN744">
        <v>1.00000001483131</v>
      </c>
    </row>
    <row r="745" spans="1:40" x14ac:dyDescent="0.3">
      <c r="A745" t="str">
        <f>"20200111160418834"</f>
        <v>20200111160418834</v>
      </c>
      <c r="B745" t="str">
        <f>"1578729858831524"</f>
        <v>1578729858831524</v>
      </c>
      <c r="C745" t="s">
        <v>40</v>
      </c>
      <c r="D745">
        <v>5.0945010000000002</v>
      </c>
      <c r="E745">
        <v>0.59149229999999997</v>
      </c>
      <c r="F745" t="s">
        <v>41</v>
      </c>
      <c r="G745">
        <v>-256.69600000000003</v>
      </c>
      <c r="H745" s="1">
        <v>-2.295621E-6</v>
      </c>
      <c r="I745">
        <v>365.16199999999998</v>
      </c>
      <c r="J745">
        <v>-272.24340000000001</v>
      </c>
      <c r="K745">
        <v>1.1065670000000001</v>
      </c>
      <c r="L745">
        <v>367.8297</v>
      </c>
      <c r="M745">
        <v>0.99991229999999998</v>
      </c>
      <c r="N745">
        <v>0</v>
      </c>
      <c r="O745">
        <v>5.2861119999999999E-3</v>
      </c>
      <c r="P745">
        <v>0.99751999999999996</v>
      </c>
      <c r="Q745">
        <v>-1.208627E-2</v>
      </c>
      <c r="R745">
        <v>6.9340760000000001E-2</v>
      </c>
      <c r="S745">
        <v>3.0406490000000002</v>
      </c>
      <c r="T745">
        <v>-0.21396509999999999</v>
      </c>
      <c r="U745">
        <v>-0.51580809999999999</v>
      </c>
      <c r="V745">
        <v>-6.4066189999999995E-2</v>
      </c>
      <c r="W745" s="1">
        <v>4.370196E-5</v>
      </c>
      <c r="X745">
        <v>0.99794570000000005</v>
      </c>
      <c r="Y745">
        <v>0.1720315</v>
      </c>
      <c r="Z745">
        <v>-6.3715359999999997E-3</v>
      </c>
      <c r="AA745">
        <v>0.98507080000000002</v>
      </c>
      <c r="AB745">
        <v>35</v>
      </c>
      <c r="AC745">
        <v>15.5474</v>
      </c>
      <c r="AD745">
        <v>-1.106569295621</v>
      </c>
      <c r="AE745">
        <v>-2.6677000000000199</v>
      </c>
      <c r="AF745">
        <v>2.73638872365686</v>
      </c>
      <c r="AG745">
        <v>-1.106569295621</v>
      </c>
      <c r="AH745">
        <v>15.457018289034499</v>
      </c>
      <c r="AI745">
        <v>94.032335583850099</v>
      </c>
      <c r="AJ745">
        <v>79.960821454152196</v>
      </c>
      <c r="AK745">
        <v>15.7363189228141</v>
      </c>
      <c r="AL745">
        <v>89.997496062258406</v>
      </c>
      <c r="AM745">
        <v>93.673237833391397</v>
      </c>
      <c r="AN745">
        <v>1.0000000493797301</v>
      </c>
    </row>
    <row r="746" spans="1:40" x14ac:dyDescent="0.3">
      <c r="A746" t="str">
        <f>"20200111160418847"</f>
        <v>20200111160418847</v>
      </c>
      <c r="B746" t="str">
        <f>"1578729858841283"</f>
        <v>1578729858841283</v>
      </c>
      <c r="C746" t="s">
        <v>40</v>
      </c>
      <c r="D746">
        <v>5.0980480000000004</v>
      </c>
      <c r="E746">
        <v>0.59135380000000004</v>
      </c>
      <c r="F746" t="s">
        <v>41</v>
      </c>
      <c r="G746">
        <v>-256.464</v>
      </c>
      <c r="H746" s="1">
        <v>-2.3710650000000001E-6</v>
      </c>
      <c r="I746">
        <v>365.17520000000002</v>
      </c>
      <c r="J746">
        <v>-272.048</v>
      </c>
      <c r="K746">
        <v>1.1069530000000001</v>
      </c>
      <c r="L746">
        <v>367.83080000000001</v>
      </c>
      <c r="M746">
        <v>0.99991019999999997</v>
      </c>
      <c r="N746">
        <v>0</v>
      </c>
      <c r="O746">
        <v>5.2904850000000002E-3</v>
      </c>
      <c r="P746">
        <v>0.99749299999999996</v>
      </c>
      <c r="Q746">
        <v>-1.229766E-2</v>
      </c>
      <c r="R746">
        <v>6.9688280000000005E-2</v>
      </c>
      <c r="S746">
        <v>3.0404360000000001</v>
      </c>
      <c r="T746">
        <v>-0.2132163</v>
      </c>
      <c r="U746">
        <v>-0.5114746</v>
      </c>
      <c r="V746">
        <v>-6.4409770000000005E-2</v>
      </c>
      <c r="W746" s="1">
        <v>-7.4210109999999999E-6</v>
      </c>
      <c r="X746">
        <v>0.99792360000000002</v>
      </c>
      <c r="Y746">
        <v>0.17068800000000001</v>
      </c>
      <c r="Z746">
        <v>-6.3040589999999999E-3</v>
      </c>
      <c r="AA746">
        <v>0.98530499999999999</v>
      </c>
      <c r="AB746">
        <v>35</v>
      </c>
      <c r="AC746">
        <v>15.584</v>
      </c>
      <c r="AD746">
        <v>-1.106955371065</v>
      </c>
      <c r="AE746">
        <v>-2.65559999999999</v>
      </c>
      <c r="AF746">
        <v>2.72465672920125</v>
      </c>
      <c r="AG746">
        <v>-1.106955371065</v>
      </c>
      <c r="AH746">
        <v>15.493763894467101</v>
      </c>
      <c r="AI746">
        <v>94.025010650072204</v>
      </c>
      <c r="AJ746">
        <v>80.026226031631197</v>
      </c>
      <c r="AK746">
        <v>15.770409763319501</v>
      </c>
      <c r="AL746">
        <v>90.000425192582398</v>
      </c>
      <c r="AM746">
        <v>93.692964198131904</v>
      </c>
      <c r="AN746">
        <v>1.00000006498174</v>
      </c>
    </row>
    <row r="747" spans="1:40" x14ac:dyDescent="0.3">
      <c r="A747" t="str">
        <f>"20200111160418858"</f>
        <v>20200111160418858</v>
      </c>
      <c r="B747" t="str">
        <f>"1578729858851044"</f>
        <v>1578729858851044</v>
      </c>
      <c r="C747" t="s">
        <v>40</v>
      </c>
      <c r="D747">
        <v>5.733625</v>
      </c>
      <c r="E747">
        <v>0.59129600000000004</v>
      </c>
      <c r="F747" t="s">
        <v>41</v>
      </c>
      <c r="G747">
        <v>-256.35320000000002</v>
      </c>
      <c r="H747" s="1">
        <v>-2.4015319999999998E-6</v>
      </c>
      <c r="I747">
        <v>365.20229999999998</v>
      </c>
      <c r="J747">
        <v>-271.86180000000002</v>
      </c>
      <c r="K747">
        <v>1.10727999999999</v>
      </c>
      <c r="L747">
        <v>367.83179999999999</v>
      </c>
      <c r="M747">
        <v>0.99990840000000003</v>
      </c>
      <c r="N747">
        <v>0</v>
      </c>
      <c r="O747">
        <v>5.2946590000000002E-3</v>
      </c>
      <c r="P747">
        <v>0.99747439999999998</v>
      </c>
      <c r="Q747">
        <v>-1.2224189999999999E-2</v>
      </c>
      <c r="R747">
        <v>6.9968580000000002E-2</v>
      </c>
      <c r="S747">
        <v>3.0404659999999999</v>
      </c>
      <c r="T747">
        <v>-0.21444360000000001</v>
      </c>
      <c r="U747">
        <v>-0.50918580000000002</v>
      </c>
      <c r="V747">
        <v>-6.4686229999999997E-2</v>
      </c>
      <c r="W747">
        <v>2.0820290000000001E-4</v>
      </c>
      <c r="X747">
        <v>0.99790559999999995</v>
      </c>
      <c r="Y747">
        <v>0.169965899999999</v>
      </c>
      <c r="Z747">
        <v>-6.3156210000000004E-3</v>
      </c>
      <c r="AA747">
        <v>0.98542969999999996</v>
      </c>
      <c r="AB747">
        <v>35</v>
      </c>
      <c r="AC747">
        <v>15.508599999999999</v>
      </c>
      <c r="AD747">
        <v>-1.10728240153199</v>
      </c>
      <c r="AE747">
        <v>-2.6295000000000002</v>
      </c>
      <c r="AF747">
        <v>2.6982120273013401</v>
      </c>
      <c r="AG747">
        <v>-1.10728240153199</v>
      </c>
      <c r="AH747">
        <v>15.4180593509681</v>
      </c>
      <c r="AI747">
        <v>94.046484037528998</v>
      </c>
      <c r="AJ747">
        <v>80.073568290787307</v>
      </c>
      <c r="AK747">
        <v>15.691493766082001</v>
      </c>
      <c r="AL747">
        <v>89.988070852092804</v>
      </c>
      <c r="AM747">
        <v>93.7088377265285</v>
      </c>
      <c r="AN747">
        <v>0.99999996910570899</v>
      </c>
    </row>
    <row r="748" spans="1:40" x14ac:dyDescent="0.3">
      <c r="A748" t="str">
        <f>"20200111160418872"</f>
        <v>20200111160418872</v>
      </c>
      <c r="B748" t="str">
        <f>"1578729858861780"</f>
        <v>1578729858861780</v>
      </c>
      <c r="C748" t="s">
        <v>40</v>
      </c>
      <c r="D748">
        <v>7.3894330000000004</v>
      </c>
      <c r="E748">
        <v>0.59129600000000004</v>
      </c>
      <c r="F748" t="s">
        <v>41</v>
      </c>
      <c r="G748">
        <v>-255.85400000000001</v>
      </c>
      <c r="H748" s="1">
        <v>-2.5833950000000002E-6</v>
      </c>
      <c r="I748">
        <v>365.15730000000002</v>
      </c>
      <c r="J748">
        <v>-271.65309999999999</v>
      </c>
      <c r="K748">
        <v>1.107615</v>
      </c>
      <c r="L748">
        <v>367.8329</v>
      </c>
      <c r="M748">
        <v>0.99990659999999998</v>
      </c>
      <c r="N748">
        <v>0</v>
      </c>
      <c r="O748">
        <v>5.2993679999999996E-3</v>
      </c>
      <c r="P748">
        <v>0.99746299999999999</v>
      </c>
      <c r="Q748">
        <v>-1.2486560000000001E-2</v>
      </c>
      <c r="R748">
        <v>7.0084729999999998E-2</v>
      </c>
      <c r="S748">
        <v>3.0406490000000002</v>
      </c>
      <c r="T748">
        <v>-0.21032490000000001</v>
      </c>
      <c r="U748">
        <v>-0.50799559999999999</v>
      </c>
      <c r="V748">
        <v>-6.4797110000000005E-2</v>
      </c>
      <c r="W748" s="1">
        <v>9.6380239999999999E-5</v>
      </c>
      <c r="X748">
        <v>0.99789850000000002</v>
      </c>
      <c r="Y748">
        <v>0.16960259999999999</v>
      </c>
      <c r="Z748">
        <v>-6.1822989999999996E-3</v>
      </c>
      <c r="AA748">
        <v>0.98549310000000001</v>
      </c>
      <c r="AB748">
        <v>35</v>
      </c>
      <c r="AC748">
        <v>15.7990999999999</v>
      </c>
      <c r="AD748">
        <v>-1.1076175833949999</v>
      </c>
      <c r="AE748">
        <v>-2.67559999999997</v>
      </c>
      <c r="AF748">
        <v>2.7461734417477</v>
      </c>
      <c r="AG748">
        <v>-1.1076175833949999</v>
      </c>
      <c r="AH748">
        <v>15.709639319413601</v>
      </c>
      <c r="AI748">
        <v>93.972951134682702</v>
      </c>
      <c r="AJ748">
        <v>80.084418792326503</v>
      </c>
      <c r="AK748">
        <v>15.986277015905699</v>
      </c>
      <c r="AL748">
        <v>89.9944778192624</v>
      </c>
      <c r="AM748">
        <v>93.715203691377894</v>
      </c>
      <c r="AN748">
        <v>1.0000000455278699</v>
      </c>
    </row>
    <row r="749" spans="1:40" x14ac:dyDescent="0.3">
      <c r="A749" t="str">
        <f>"20200111160418886"</f>
        <v>20200111160418886</v>
      </c>
      <c r="B749" t="str">
        <f>"1578729858881300"</f>
        <v>1578729858881300</v>
      </c>
      <c r="C749" t="s">
        <v>40</v>
      </c>
      <c r="D749">
        <v>5.2230230000000004</v>
      </c>
      <c r="E749">
        <v>0.59129600000000004</v>
      </c>
      <c r="F749" t="s">
        <v>41</v>
      </c>
      <c r="G749">
        <v>-255.7045</v>
      </c>
      <c r="H749" s="1">
        <v>-2.6307609999999998E-6</v>
      </c>
      <c r="I749">
        <v>365.1705</v>
      </c>
      <c r="J749">
        <v>-271.44979999999998</v>
      </c>
      <c r="K749">
        <v>1.1079239999999999</v>
      </c>
      <c r="L749">
        <v>367.834</v>
      </c>
      <c r="M749">
        <v>0.99990460000000003</v>
      </c>
      <c r="N749">
        <v>0</v>
      </c>
      <c r="O749">
        <v>5.3040769999999999E-3</v>
      </c>
      <c r="P749">
        <v>0.99746950000000001</v>
      </c>
      <c r="Q749">
        <v>-1.2701580000000001E-2</v>
      </c>
      <c r="R749">
        <v>6.9951810000000003E-2</v>
      </c>
      <c r="S749">
        <v>3.0406490000000002</v>
      </c>
      <c r="T749">
        <v>-0.2111692</v>
      </c>
      <c r="U749">
        <v>-0.50756840000000003</v>
      </c>
      <c r="V749">
        <v>-6.4659590000000003E-2</v>
      </c>
      <c r="W749" s="1">
        <v>2.1078160000000001E-5</v>
      </c>
      <c r="X749">
        <v>0.9979074</v>
      </c>
      <c r="Y749">
        <v>0.1694695</v>
      </c>
      <c r="Z749">
        <v>-6.2028710000000004E-3</v>
      </c>
      <c r="AA749">
        <v>0.9855159</v>
      </c>
      <c r="AB749">
        <v>35</v>
      </c>
      <c r="AC749">
        <v>15.745299999999901</v>
      </c>
      <c r="AD749">
        <v>-1.1079266307609901</v>
      </c>
      <c r="AE749">
        <v>-2.6634999999999902</v>
      </c>
      <c r="AF749">
        <v>2.7338241586847798</v>
      </c>
      <c r="AG749">
        <v>-1.1079266307609901</v>
      </c>
      <c r="AH749">
        <v>15.655590690383001</v>
      </c>
      <c r="AI749">
        <v>93.987856656099794</v>
      </c>
      <c r="AJ749">
        <v>80.094721780658901</v>
      </c>
      <c r="AK749">
        <v>15.931064490942401</v>
      </c>
      <c r="AL749">
        <v>89.998792310417301</v>
      </c>
      <c r="AM749">
        <v>93.707307892474603</v>
      </c>
      <c r="AN749">
        <v>1.0000000209990001</v>
      </c>
    </row>
    <row r="750" spans="1:40" x14ac:dyDescent="0.3">
      <c r="A750" t="str">
        <f>"20200111160418898"</f>
        <v>20200111160418898</v>
      </c>
      <c r="B750" t="str">
        <f>"1578729858891060"</f>
        <v>1578729858891060</v>
      </c>
      <c r="C750" t="s">
        <v>40</v>
      </c>
      <c r="D750">
        <v>5.2460870000000002</v>
      </c>
      <c r="E750">
        <v>0.50241759999999902</v>
      </c>
      <c r="F750" t="s">
        <v>41</v>
      </c>
      <c r="G750">
        <v>-255.53440000000001</v>
      </c>
      <c r="H750" s="1">
        <v>-2.6875429999999998E-6</v>
      </c>
      <c r="I750">
        <v>365.17469999999997</v>
      </c>
      <c r="J750">
        <v>-271.24650000000003</v>
      </c>
      <c r="K750">
        <v>1.1081890000000001</v>
      </c>
      <c r="L750">
        <v>367.83499999999998</v>
      </c>
      <c r="M750">
        <v>0.99990310000000004</v>
      </c>
      <c r="N750">
        <v>0</v>
      </c>
      <c r="O750">
        <v>5.3086130000000002E-3</v>
      </c>
      <c r="P750">
        <v>0.99748910000000002</v>
      </c>
      <c r="Q750">
        <v>-1.292491E-2</v>
      </c>
      <c r="R750">
        <v>6.9632050000000001E-2</v>
      </c>
      <c r="S750">
        <v>3.0405880000000001</v>
      </c>
      <c r="T750">
        <v>-0.21166470000000001</v>
      </c>
      <c r="U750">
        <v>-0.50802609999999904</v>
      </c>
      <c r="V750">
        <v>-6.4335530000000002E-2</v>
      </c>
      <c r="W750" s="1">
        <v>-7.3937700000000002E-5</v>
      </c>
      <c r="X750">
        <v>0.99792829999999999</v>
      </c>
      <c r="Y750">
        <v>0.1696193</v>
      </c>
      <c r="Z750">
        <v>-6.2229210000000002E-3</v>
      </c>
      <c r="AA750">
        <v>0.98548999999999998</v>
      </c>
      <c r="AB750">
        <v>35</v>
      </c>
      <c r="AC750">
        <v>15.7121</v>
      </c>
      <c r="AD750">
        <v>-1.10819168754299</v>
      </c>
      <c r="AE750">
        <v>-2.6602999999999999</v>
      </c>
      <c r="AF750">
        <v>2.7304743028104199</v>
      </c>
      <c r="AG750">
        <v>-1.10819168754299</v>
      </c>
      <c r="AH750">
        <v>15.6222059218225</v>
      </c>
      <c r="AI750">
        <v>93.997196904751902</v>
      </c>
      <c r="AJ750">
        <v>80.085895950201106</v>
      </c>
      <c r="AK750">
        <v>15.897700984685599</v>
      </c>
      <c r="AL750">
        <v>90.004236318250094</v>
      </c>
      <c r="AM750">
        <v>93.688702046970107</v>
      </c>
      <c r="AN750">
        <v>0.99999997891402603</v>
      </c>
    </row>
    <row r="751" spans="1:40" x14ac:dyDescent="0.3">
      <c r="A751" t="str">
        <f>"20200111160418911"</f>
        <v>20200111160418911</v>
      </c>
      <c r="B751" t="str">
        <f>"1578729858901796"</f>
        <v>1578729858901796</v>
      </c>
      <c r="C751" t="s">
        <v>40</v>
      </c>
      <c r="D751">
        <v>5.2124489999999897</v>
      </c>
      <c r="E751">
        <v>0.50219709999999995</v>
      </c>
      <c r="F751" t="s">
        <v>41</v>
      </c>
      <c r="G751">
        <v>-259.78210000000001</v>
      </c>
      <c r="H751" s="1">
        <v>-3.2700580000000003E-7</v>
      </c>
      <c r="I751">
        <v>368.61369999999999</v>
      </c>
      <c r="J751">
        <v>-271.05540000000002</v>
      </c>
      <c r="K751">
        <v>1.1084179999999999</v>
      </c>
      <c r="L751">
        <v>367.83600000000001</v>
      </c>
      <c r="M751">
        <v>0.99990159999999995</v>
      </c>
      <c r="N751">
        <v>0</v>
      </c>
      <c r="O751">
        <v>5.3128769999999997E-3</v>
      </c>
      <c r="P751">
        <v>0.99751369999999895</v>
      </c>
      <c r="Q751">
        <v>-1.271372E-2</v>
      </c>
      <c r="R751">
        <v>6.9317909999999996E-2</v>
      </c>
      <c r="S751">
        <v>2.9896240000000001</v>
      </c>
      <c r="T751">
        <v>-0.28898610000000002</v>
      </c>
      <c r="U751">
        <v>0.20306399999999999</v>
      </c>
      <c r="V751">
        <v>-6.4017180000000007E-2</v>
      </c>
      <c r="W751">
        <v>2.5159530000000001E-4</v>
      </c>
      <c r="X751">
        <v>0.99794879999999997</v>
      </c>
      <c r="Y751">
        <v>-6.2200789999999999E-2</v>
      </c>
      <c r="Z751">
        <v>2.4840439999999999E-3</v>
      </c>
      <c r="AA751">
        <v>0.99806059999999996</v>
      </c>
      <c r="AB751">
        <v>35</v>
      </c>
      <c r="AC751">
        <v>11.273300000000001</v>
      </c>
      <c r="AD751">
        <v>-1.1084183270057999</v>
      </c>
      <c r="AE751">
        <v>0.77769999999998096</v>
      </c>
      <c r="AF751">
        <v>-0.71094990413531001</v>
      </c>
      <c r="AG751">
        <v>-1.1084183270057999</v>
      </c>
      <c r="AH751">
        <v>11.1698026492281</v>
      </c>
      <c r="AI751">
        <v>95.655735668375499</v>
      </c>
      <c r="AJ751">
        <v>93.641922365293695</v>
      </c>
      <c r="AK751">
        <v>11.2471566263005</v>
      </c>
      <c r="AL751">
        <v>89.985584651517499</v>
      </c>
      <c r="AM751">
        <v>93.670424156753299</v>
      </c>
      <c r="AN751">
        <v>1.00000003502839</v>
      </c>
    </row>
    <row r="752" spans="1:40" x14ac:dyDescent="0.3">
      <c r="A752" t="str">
        <f>"20200111160418927"</f>
        <v>20200111160418927</v>
      </c>
      <c r="B752" t="str">
        <f>"1578729858921317"</f>
        <v>1578729858921317</v>
      </c>
      <c r="C752" t="s">
        <v>40</v>
      </c>
      <c r="D752">
        <v>5.1810010000000002</v>
      </c>
      <c r="E752">
        <v>0.50247240000000004</v>
      </c>
      <c r="F752" t="s">
        <v>41</v>
      </c>
      <c r="G752">
        <v>-259.79379999999998</v>
      </c>
      <c r="H752" s="1">
        <v>-3.254405E-7</v>
      </c>
      <c r="I752">
        <v>368.6046</v>
      </c>
      <c r="J752">
        <v>-270.82100000000003</v>
      </c>
      <c r="K752">
        <v>1.108676</v>
      </c>
      <c r="L752">
        <v>367.83730000000003</v>
      </c>
      <c r="M752">
        <v>0.99989980000000001</v>
      </c>
      <c r="N752">
        <v>0</v>
      </c>
      <c r="O752">
        <v>5.3182680000000001E-3</v>
      </c>
      <c r="P752">
        <v>0.99753899999999995</v>
      </c>
      <c r="Q752">
        <v>-1.2863400000000001E-2</v>
      </c>
      <c r="R752">
        <v>6.8924879999999994E-2</v>
      </c>
      <c r="S752">
        <v>2.989563</v>
      </c>
      <c r="T752">
        <v>-0.29424479999999997</v>
      </c>
      <c r="U752">
        <v>0.20404050000000001</v>
      </c>
      <c r="V752">
        <v>-6.3618419999999995E-2</v>
      </c>
      <c r="W752">
        <v>2.334755E-4</v>
      </c>
      <c r="X752">
        <v>0.99797429999999998</v>
      </c>
      <c r="Y752">
        <v>-6.2510159999999995E-2</v>
      </c>
      <c r="Z752">
        <v>2.5436959999999998E-3</v>
      </c>
      <c r="AA752">
        <v>0.99804110000000001</v>
      </c>
      <c r="AB752">
        <v>35</v>
      </c>
      <c r="AC752">
        <v>11.027199999999899</v>
      </c>
      <c r="AD752">
        <v>-1.1086763254404901</v>
      </c>
      <c r="AE752">
        <v>0.767299999999977</v>
      </c>
      <c r="AF752">
        <v>-0.70158086096985295</v>
      </c>
      <c r="AG752">
        <v>-1.1086763254404901</v>
      </c>
      <c r="AH752">
        <v>10.9212613923874</v>
      </c>
      <c r="AI752">
        <v>95.784704430895104</v>
      </c>
      <c r="AJ752">
        <v>93.675625186028199</v>
      </c>
      <c r="AK752">
        <v>10.999787693402199</v>
      </c>
      <c r="AL752">
        <v>89.986622839519001</v>
      </c>
      <c r="AM752">
        <v>93.647530223758096</v>
      </c>
      <c r="AN752">
        <v>1.00000003066729</v>
      </c>
    </row>
    <row r="753" spans="1:40" x14ac:dyDescent="0.3">
      <c r="A753" t="str">
        <f>"20200111160418940"</f>
        <v>20200111160418940</v>
      </c>
      <c r="B753" t="str">
        <f>"1578729858931076"</f>
        <v>1578729858931076</v>
      </c>
      <c r="C753" t="s">
        <v>40</v>
      </c>
      <c r="D753">
        <v>5.1858849999999999</v>
      </c>
      <c r="E753">
        <v>0.50241179999999996</v>
      </c>
      <c r="F753" t="s">
        <v>41</v>
      </c>
      <c r="G753">
        <v>-259.65050000000002</v>
      </c>
      <c r="H753" s="1">
        <v>-3.78914E-7</v>
      </c>
      <c r="I753">
        <v>368.58690000000001</v>
      </c>
      <c r="J753">
        <v>-270.58620000000002</v>
      </c>
      <c r="K753">
        <v>1.1089039999999999</v>
      </c>
      <c r="L753">
        <v>367.83850000000001</v>
      </c>
      <c r="M753">
        <v>0.99989810000000001</v>
      </c>
      <c r="N753">
        <v>0</v>
      </c>
      <c r="O753">
        <v>5.323309E-3</v>
      </c>
      <c r="P753">
        <v>0.99760530000000003</v>
      </c>
      <c r="Q753">
        <v>-1.312147E-2</v>
      </c>
      <c r="R753">
        <v>6.7907209999999996E-2</v>
      </c>
      <c r="S753">
        <v>2.9897459999999998</v>
      </c>
      <c r="T753">
        <v>-0.29672859999999901</v>
      </c>
      <c r="U753">
        <v>0.2006531</v>
      </c>
      <c r="V753">
        <v>-6.2595250000000005E-2</v>
      </c>
      <c r="W753" s="1">
        <v>9.6949280000000002E-5</v>
      </c>
      <c r="X753">
        <v>0.99803900000000001</v>
      </c>
      <c r="Y753">
        <v>-6.137621E-2</v>
      </c>
      <c r="Z753">
        <v>2.5084339999999999E-3</v>
      </c>
      <c r="AA753">
        <v>0.99811150000000004</v>
      </c>
      <c r="AB753">
        <v>35</v>
      </c>
      <c r="AC753">
        <v>10.935699999999899</v>
      </c>
      <c r="AD753">
        <v>-1.1089043789139901</v>
      </c>
      <c r="AE753">
        <v>0.74840000000000295</v>
      </c>
      <c r="AF753">
        <v>-0.68317820344543601</v>
      </c>
      <c r="AG753">
        <v>-1.1089043789139901</v>
      </c>
      <c r="AH753">
        <v>10.828703205718201</v>
      </c>
      <c r="AI753">
        <v>95.835423929600097</v>
      </c>
      <c r="AJ753">
        <v>93.609981435469095</v>
      </c>
      <c r="AK753">
        <v>10.906750868006799</v>
      </c>
      <c r="AL753">
        <v>89.994445215476702</v>
      </c>
      <c r="AM753">
        <v>93.588789808694798</v>
      </c>
      <c r="AN753">
        <v>1.00000001012136</v>
      </c>
    </row>
    <row r="754" spans="1:40" x14ac:dyDescent="0.3">
      <c r="A754" t="str">
        <f>"20200111160418954"</f>
        <v>20200111160418954</v>
      </c>
      <c r="B754" t="str">
        <f>"1578729858951572"</f>
        <v>1578729858951572</v>
      </c>
      <c r="C754" t="s">
        <v>40</v>
      </c>
      <c r="D754">
        <v>5.1858449999999996</v>
      </c>
      <c r="E754">
        <v>0.50249169999999999</v>
      </c>
      <c r="F754" t="s">
        <v>41</v>
      </c>
      <c r="G754">
        <v>-259.52809999999999</v>
      </c>
      <c r="H754" s="1">
        <v>-4.246917E-7</v>
      </c>
      <c r="I754">
        <v>368.57139999999998</v>
      </c>
      <c r="J754">
        <v>-270.39510000000001</v>
      </c>
      <c r="K754">
        <v>1.1090610000000001</v>
      </c>
      <c r="L754">
        <v>367.83949999999999</v>
      </c>
      <c r="M754">
        <v>0.99989700000000004</v>
      </c>
      <c r="N754">
        <v>0</v>
      </c>
      <c r="O754">
        <v>5.3275900000000001E-3</v>
      </c>
      <c r="P754">
        <v>0.99764109999999995</v>
      </c>
      <c r="Q754">
        <v>-1.346262E-2</v>
      </c>
      <c r="R754">
        <v>6.7313970000000001E-2</v>
      </c>
      <c r="S754">
        <v>2.9898069999999999</v>
      </c>
      <c r="T754">
        <v>-0.29981400000000002</v>
      </c>
      <c r="U754">
        <v>0.19815060000000001</v>
      </c>
      <c r="V754">
        <v>-6.1997509999999999E-2</v>
      </c>
      <c r="W754">
        <v>-1.533056E-4</v>
      </c>
      <c r="X754">
        <v>0.99807630000000003</v>
      </c>
      <c r="Y754">
        <v>-6.0537319999999999E-2</v>
      </c>
      <c r="Z754">
        <v>2.4920670000000002E-3</v>
      </c>
      <c r="AA754">
        <v>0.99816280000000002</v>
      </c>
      <c r="AB754">
        <v>35</v>
      </c>
      <c r="AC754">
        <v>10.867000000000001</v>
      </c>
      <c r="AD754">
        <v>-1.1090614246916899</v>
      </c>
      <c r="AE754">
        <v>0.731899999999996</v>
      </c>
      <c r="AF754">
        <v>-0.66707283876734802</v>
      </c>
      <c r="AG754">
        <v>-1.1090614246916899</v>
      </c>
      <c r="AH754">
        <v>10.7591860740642</v>
      </c>
      <c r="AI754">
        <v>95.874086751142002</v>
      </c>
      <c r="AJ754">
        <v>93.547814587368904</v>
      </c>
      <c r="AK754">
        <v>10.8367471315103</v>
      </c>
      <c r="AL754">
        <v>90.008783763822606</v>
      </c>
      <c r="AM754">
        <v>93.554475213383199</v>
      </c>
      <c r="AN754">
        <v>1.00000000768524</v>
      </c>
    </row>
    <row r="755" spans="1:40" x14ac:dyDescent="0.3">
      <c r="A755" t="str">
        <f>"20200111160418967"</f>
        <v>20200111160418967</v>
      </c>
      <c r="B755" t="str">
        <f>"1578729858961331"</f>
        <v>1578729858961331</v>
      </c>
      <c r="C755" t="s">
        <v>40</v>
      </c>
      <c r="D755">
        <v>5.2147949999999996</v>
      </c>
      <c r="E755">
        <v>0.50228739999999905</v>
      </c>
      <c r="F755" t="s">
        <v>41</v>
      </c>
      <c r="G755">
        <v>-259.41140000000001</v>
      </c>
      <c r="H755" s="1">
        <v>-4.6758930000000002E-7</v>
      </c>
      <c r="I755">
        <v>368.55939999999998</v>
      </c>
      <c r="J755">
        <v>-270.1968</v>
      </c>
      <c r="K755">
        <v>1.1092169999999999</v>
      </c>
      <c r="L755">
        <v>367.84059999999999</v>
      </c>
      <c r="M755">
        <v>0.9998958</v>
      </c>
      <c r="N755">
        <v>0</v>
      </c>
      <c r="O755">
        <v>5.3320499999999996E-3</v>
      </c>
      <c r="P755">
        <v>0.99766520000000003</v>
      </c>
      <c r="Q755">
        <v>-1.379729E-2</v>
      </c>
      <c r="R755">
        <v>6.6886050000000002E-2</v>
      </c>
      <c r="S755">
        <v>2.9897770000000001</v>
      </c>
      <c r="T755">
        <v>-0.30188749999999998</v>
      </c>
      <c r="U755">
        <v>0.1959534</v>
      </c>
      <c r="V755">
        <v>-6.1564889999999997E-2</v>
      </c>
      <c r="W755">
        <v>-3.97871E-4</v>
      </c>
      <c r="X755">
        <v>0.99810299999999996</v>
      </c>
      <c r="Y755">
        <v>-5.9803009999999997E-2</v>
      </c>
      <c r="Z755">
        <v>2.4719120000000002E-3</v>
      </c>
      <c r="AA755">
        <v>0.99820719999999996</v>
      </c>
      <c r="AB755">
        <v>35</v>
      </c>
      <c r="AC755">
        <v>10.7853999999999</v>
      </c>
      <c r="AD755">
        <v>-1.1092174675892901</v>
      </c>
      <c r="AE755">
        <v>0.718799999999987</v>
      </c>
      <c r="AF755">
        <v>-0.654385509481482</v>
      </c>
      <c r="AG755">
        <v>-1.1092174675892901</v>
      </c>
      <c r="AH755">
        <v>10.6766525035202</v>
      </c>
      <c r="AI755">
        <v>95.920256799593403</v>
      </c>
      <c r="AJ755">
        <v>93.507343126922095</v>
      </c>
      <c r="AK755">
        <v>10.754045400050501</v>
      </c>
      <c r="AL755">
        <v>90.022796329776497</v>
      </c>
      <c r="AM755">
        <v>93.529640750019098</v>
      </c>
      <c r="AN755">
        <v>0.99999999629552205</v>
      </c>
    </row>
    <row r="756" spans="1:40" x14ac:dyDescent="0.3">
      <c r="A756" t="str">
        <f>"20200111160418979"</f>
        <v>20200111160418979</v>
      </c>
      <c r="B756" t="str">
        <f>"1578729858971092"</f>
        <v>1578729858971092</v>
      </c>
      <c r="C756" t="s">
        <v>40</v>
      </c>
      <c r="D756">
        <v>5.1773829999999998</v>
      </c>
      <c r="E756">
        <v>0.50224650000000004</v>
      </c>
      <c r="F756" t="s">
        <v>41</v>
      </c>
      <c r="G756">
        <v>-259.2396</v>
      </c>
      <c r="H756" s="1">
        <v>-5.2607009999999999E-7</v>
      </c>
      <c r="I756">
        <v>368.55939999999998</v>
      </c>
      <c r="J756">
        <v>-269.9853</v>
      </c>
      <c r="K756">
        <v>1.109361</v>
      </c>
      <c r="L756">
        <v>367.8417</v>
      </c>
      <c r="M756">
        <v>0.99989450000000002</v>
      </c>
      <c r="N756">
        <v>0</v>
      </c>
      <c r="O756">
        <v>5.336815E-3</v>
      </c>
      <c r="P756">
        <v>0.99768299999999999</v>
      </c>
      <c r="Q756">
        <v>-1.417887E-2</v>
      </c>
      <c r="R756">
        <v>6.6542459999999998E-2</v>
      </c>
      <c r="S756">
        <v>2.989655</v>
      </c>
      <c r="T756">
        <v>-0.302645099999999</v>
      </c>
      <c r="U756">
        <v>0.19613649999999999</v>
      </c>
      <c r="V756">
        <v>-6.1216489999999998E-2</v>
      </c>
      <c r="W756">
        <v>-6.9106739999999999E-4</v>
      </c>
      <c r="X756">
        <v>0.99812429999999996</v>
      </c>
      <c r="Y756">
        <v>-5.9860120000000003E-2</v>
      </c>
      <c r="Z756">
        <v>2.4805790000000001E-3</v>
      </c>
      <c r="AA756">
        <v>0.99820370000000003</v>
      </c>
      <c r="AB756">
        <v>34</v>
      </c>
      <c r="AC756">
        <v>10.745699999999999</v>
      </c>
      <c r="AD756">
        <v>-1.1093615260701</v>
      </c>
      <c r="AE756">
        <v>0.71769999999997902</v>
      </c>
      <c r="AF756">
        <v>-0.65340366460358601</v>
      </c>
      <c r="AG756">
        <v>-1.1093615260701</v>
      </c>
      <c r="AH756">
        <v>10.6365167072614</v>
      </c>
      <c r="AI756">
        <v>95.943152834170107</v>
      </c>
      <c r="AJ756">
        <v>93.515275504110505</v>
      </c>
      <c r="AK756">
        <v>10.7141545167266</v>
      </c>
      <c r="AL756">
        <v>90.039595247452198</v>
      </c>
      <c r="AM756">
        <v>93.509641627973295</v>
      </c>
      <c r="AN756">
        <v>1.0000000272362799</v>
      </c>
    </row>
    <row r="757" spans="1:40" x14ac:dyDescent="0.3">
      <c r="A757" t="str">
        <f>"20200111160418993"</f>
        <v>20200111160418993</v>
      </c>
      <c r="B757" t="str">
        <f>"1578729858981828"</f>
        <v>1578729858981828</v>
      </c>
      <c r="C757" t="s">
        <v>40</v>
      </c>
      <c r="D757">
        <v>5.1464359999999996</v>
      </c>
      <c r="E757">
        <v>0.50233620000000001</v>
      </c>
      <c r="F757" t="s">
        <v>41</v>
      </c>
      <c r="G757">
        <v>-259.1053</v>
      </c>
      <c r="H757" s="1">
        <v>-5.7357899999999995E-7</v>
      </c>
      <c r="I757">
        <v>368.55250000000001</v>
      </c>
      <c r="J757">
        <v>-269.7921</v>
      </c>
      <c r="K757">
        <v>1.1094790000000001</v>
      </c>
      <c r="L757">
        <v>367.84280000000001</v>
      </c>
      <c r="M757">
        <v>0.99989360000000005</v>
      </c>
      <c r="N757">
        <v>0</v>
      </c>
      <c r="O757">
        <v>5.3411919999999998E-3</v>
      </c>
      <c r="P757">
        <v>0.99768670000000004</v>
      </c>
      <c r="Q757">
        <v>-1.459016E-2</v>
      </c>
      <c r="R757">
        <v>6.6397090000000006E-2</v>
      </c>
      <c r="S757">
        <v>2.9895939999999999</v>
      </c>
      <c r="T757">
        <v>-0.30482930000000003</v>
      </c>
      <c r="U757">
        <v>0.1953125</v>
      </c>
      <c r="V757">
        <v>-6.1067030000000001E-2</v>
      </c>
      <c r="W757">
        <v>-1.0278570000000001E-3</v>
      </c>
      <c r="X757">
        <v>0.9981331</v>
      </c>
      <c r="Y757">
        <v>-5.9580559999999998E-2</v>
      </c>
      <c r="Z757">
        <v>2.4838159999999998E-3</v>
      </c>
      <c r="AA757">
        <v>0.99822040000000001</v>
      </c>
      <c r="AB757">
        <v>34</v>
      </c>
      <c r="AC757">
        <v>10.6868</v>
      </c>
      <c r="AD757">
        <v>-1.109479573579</v>
      </c>
      <c r="AE757">
        <v>0.709699999999997</v>
      </c>
      <c r="AF757">
        <v>-0.64567574630591296</v>
      </c>
      <c r="AG757">
        <v>-1.109479573579</v>
      </c>
      <c r="AH757">
        <v>10.576939487576301</v>
      </c>
      <c r="AI757">
        <v>95.977158073983404</v>
      </c>
      <c r="AJ757">
        <v>93.493320876662494</v>
      </c>
      <c r="AK757">
        <v>10.6545525958347</v>
      </c>
      <c r="AL757">
        <v>90.0588918806518</v>
      </c>
      <c r="AM757">
        <v>93.501063390954002</v>
      </c>
      <c r="AN757">
        <v>0.99999996197932095</v>
      </c>
    </row>
    <row r="758" spans="1:40" x14ac:dyDescent="0.3">
      <c r="A758" t="str">
        <f>"20200111160419009"</f>
        <v>20200111160419009</v>
      </c>
      <c r="B758" t="str">
        <f>"1578729859001347"</f>
        <v>1578729859001347</v>
      </c>
      <c r="C758" t="s">
        <v>40</v>
      </c>
      <c r="D758">
        <v>5.1790050000000001</v>
      </c>
      <c r="E758">
        <v>0.50245890000000004</v>
      </c>
      <c r="F758" t="s">
        <v>41</v>
      </c>
      <c r="G758">
        <v>-258.93200000000002</v>
      </c>
      <c r="H758" s="1">
        <v>-6.3370909999999899E-7</v>
      </c>
      <c r="I758">
        <v>368.54829999999998</v>
      </c>
      <c r="J758">
        <v>-269.55119999999999</v>
      </c>
      <c r="K758">
        <v>1.1096170000000001</v>
      </c>
      <c r="L758">
        <v>367.84410000000003</v>
      </c>
      <c r="M758">
        <v>0.99989229999999996</v>
      </c>
      <c r="N758">
        <v>0</v>
      </c>
      <c r="O758">
        <v>5.3467899999999997E-3</v>
      </c>
      <c r="P758">
        <v>0.99768769999999996</v>
      </c>
      <c r="Q758">
        <v>-1.4452059999999999E-2</v>
      </c>
      <c r="R758">
        <v>6.6411750000000006E-2</v>
      </c>
      <c r="S758">
        <v>2.989563</v>
      </c>
      <c r="T758">
        <v>-0.30541239999999997</v>
      </c>
      <c r="U758">
        <v>0.19421389999999999</v>
      </c>
      <c r="V758">
        <v>-6.1075610000000002E-2</v>
      </c>
      <c r="W758">
        <v>-8.0257240000000001E-4</v>
      </c>
      <c r="X758">
        <v>0.99813280000000004</v>
      </c>
      <c r="Y758">
        <v>-5.9211189999999997E-2</v>
      </c>
      <c r="Z758">
        <v>2.469228E-3</v>
      </c>
      <c r="AA758">
        <v>0.99824239999999997</v>
      </c>
      <c r="AB758">
        <v>34</v>
      </c>
      <c r="AC758">
        <v>10.6191999999999</v>
      </c>
      <c r="AD758">
        <v>-1.1096176337090999</v>
      </c>
      <c r="AE758">
        <v>0.70419999999995697</v>
      </c>
      <c r="AF758">
        <v>-0.64044392289842</v>
      </c>
      <c r="AG758">
        <v>-1.1096176337090999</v>
      </c>
      <c r="AH758">
        <v>10.508578151679099</v>
      </c>
      <c r="AI758">
        <v>96.016536645699404</v>
      </c>
      <c r="AJ758">
        <v>93.487570133392296</v>
      </c>
      <c r="AK758">
        <v>10.5863891143941</v>
      </c>
      <c r="AL758">
        <v>90.045984017113895</v>
      </c>
      <c r="AM758">
        <v>93.501555121089694</v>
      </c>
      <c r="AN758">
        <v>0.99999998034758397</v>
      </c>
    </row>
    <row r="759" spans="1:40" x14ac:dyDescent="0.3">
      <c r="A759" t="str">
        <f>"20200111160419020"</f>
        <v>20200111160419020</v>
      </c>
      <c r="B759" t="str">
        <f>"1578729859011107"</f>
        <v>1578729859011107</v>
      </c>
      <c r="C759" t="s">
        <v>40</v>
      </c>
      <c r="D759">
        <v>5.1809029999999998</v>
      </c>
      <c r="E759">
        <v>0.50246629999999903</v>
      </c>
      <c r="F759" t="s">
        <v>41</v>
      </c>
      <c r="G759">
        <v>-258.64519999999999</v>
      </c>
      <c r="H759" s="1">
        <v>-7.5283279999999999E-7</v>
      </c>
      <c r="I759">
        <v>368.54919999999998</v>
      </c>
      <c r="J759">
        <v>-269.358</v>
      </c>
      <c r="K759">
        <v>1.1097129999999999</v>
      </c>
      <c r="L759">
        <v>367.8451</v>
      </c>
      <c r="M759">
        <v>0.99989139999999999</v>
      </c>
      <c r="N759">
        <v>0</v>
      </c>
      <c r="O759">
        <v>5.3512280000000004E-3</v>
      </c>
      <c r="P759">
        <v>0.99770270000000005</v>
      </c>
      <c r="Q759">
        <v>-1.3979180000000001E-2</v>
      </c>
      <c r="R759">
        <v>6.629119E-2</v>
      </c>
      <c r="S759">
        <v>2.989655</v>
      </c>
      <c r="T759">
        <v>-0.30417480000000002</v>
      </c>
      <c r="U759">
        <v>0.19329830000000001</v>
      </c>
      <c r="V759">
        <v>-6.095093E-2</v>
      </c>
      <c r="W759">
        <v>-2.6464830000000003E-4</v>
      </c>
      <c r="X759">
        <v>0.99814080000000005</v>
      </c>
      <c r="Y759">
        <v>-5.8904239999999997E-2</v>
      </c>
      <c r="Z759">
        <v>2.4432130000000001E-3</v>
      </c>
      <c r="AA759">
        <v>0.9982607</v>
      </c>
      <c r="AB759">
        <v>34</v>
      </c>
      <c r="AC759">
        <v>10.7128</v>
      </c>
      <c r="AD759">
        <v>-1.1097137528328</v>
      </c>
      <c r="AE759">
        <v>0.70409999999998196</v>
      </c>
      <c r="AF759">
        <v>-0.63992080425486397</v>
      </c>
      <c r="AG759">
        <v>-1.1097137528328</v>
      </c>
      <c r="AH759">
        <v>10.6031282986095</v>
      </c>
      <c r="AI759">
        <v>95.963999273872005</v>
      </c>
      <c r="AJ759">
        <v>93.453730043472802</v>
      </c>
      <c r="AK759">
        <v>10.6802290689721</v>
      </c>
      <c r="AL759">
        <v>90.015163229741603</v>
      </c>
      <c r="AM759">
        <v>93.494396824697802</v>
      </c>
      <c r="AN759">
        <v>1.0000000712656101</v>
      </c>
    </row>
    <row r="760" spans="1:40" x14ac:dyDescent="0.3">
      <c r="A760" t="str">
        <f>"20200111160419033"</f>
        <v>20200111160419033</v>
      </c>
      <c r="B760" t="str">
        <f>"1578729859021844"</f>
        <v>1578729859021844</v>
      </c>
      <c r="C760" t="s">
        <v>40</v>
      </c>
      <c r="D760">
        <v>5.1589419999999997</v>
      </c>
      <c r="E760">
        <v>0.5024111</v>
      </c>
      <c r="F760" t="s">
        <v>41</v>
      </c>
      <c r="G760">
        <v>-258.4359</v>
      </c>
      <c r="H760" s="1">
        <v>-8.4255530000000005E-7</v>
      </c>
      <c r="I760">
        <v>368.54969999999997</v>
      </c>
      <c r="J760">
        <v>-269.1737</v>
      </c>
      <c r="K760">
        <v>1.109799</v>
      </c>
      <c r="L760">
        <v>367.846</v>
      </c>
      <c r="M760">
        <v>0.99989059999999996</v>
      </c>
      <c r="N760">
        <v>0</v>
      </c>
      <c r="O760">
        <v>5.3555419999999996E-3</v>
      </c>
      <c r="P760">
        <v>0.99769549999999996</v>
      </c>
      <c r="Q760">
        <v>-1.3511749999999999E-2</v>
      </c>
      <c r="R760">
        <v>6.6494239999999996E-2</v>
      </c>
      <c r="S760">
        <v>2.9898380000000002</v>
      </c>
      <c r="T760">
        <v>-0.30377219999999999</v>
      </c>
      <c r="U760">
        <v>0.19287109999999999</v>
      </c>
      <c r="V760">
        <v>-6.1149389999999998E-2</v>
      </c>
      <c r="W760">
        <v>2.5922469999999998E-4</v>
      </c>
      <c r="X760">
        <v>0.99812860000000003</v>
      </c>
      <c r="Y760">
        <v>-5.8755479999999999E-2</v>
      </c>
      <c r="Z760">
        <v>2.4318920000000002E-3</v>
      </c>
      <c r="AA760">
        <v>0.99826939999999997</v>
      </c>
      <c r="AB760">
        <v>34</v>
      </c>
      <c r="AC760">
        <v>10.737799999999901</v>
      </c>
      <c r="AD760">
        <v>-1.1097998425553</v>
      </c>
      <c r="AE760">
        <v>0.70369999999996902</v>
      </c>
      <c r="AF760">
        <v>-0.63937698698818801</v>
      </c>
      <c r="AG760">
        <v>-1.1097998425553</v>
      </c>
      <c r="AH760">
        <v>10.6283667402937</v>
      </c>
      <c r="AI760">
        <v>95.950465951262899</v>
      </c>
      <c r="AJ760">
        <v>93.442627443751405</v>
      </c>
      <c r="AK760">
        <v>10.7052621727918</v>
      </c>
      <c r="AL760">
        <v>89.985147518706</v>
      </c>
      <c r="AM760">
        <v>93.505789209450199</v>
      </c>
      <c r="AN760">
        <v>1.0000000086163801</v>
      </c>
    </row>
    <row r="761" spans="1:40" x14ac:dyDescent="0.3">
      <c r="A761" t="str">
        <f>"20200111160419045"</f>
        <v>20200111160419045</v>
      </c>
      <c r="B761" t="str">
        <f>"1578729859041364"</f>
        <v>1578729859041364</v>
      </c>
      <c r="C761" t="s">
        <v>40</v>
      </c>
      <c r="D761">
        <v>5.2469460000000003</v>
      </c>
      <c r="E761">
        <v>0.5022141</v>
      </c>
      <c r="F761" t="s">
        <v>41</v>
      </c>
      <c r="G761">
        <v>-258.2251</v>
      </c>
      <c r="H761" s="1">
        <v>-9.3188909999999998E-7</v>
      </c>
      <c r="I761">
        <v>368.55579999999998</v>
      </c>
      <c r="J761">
        <v>-268.98750000000001</v>
      </c>
      <c r="K761">
        <v>1.109883</v>
      </c>
      <c r="L761">
        <v>367.84699999999998</v>
      </c>
      <c r="M761">
        <v>0.99988969999999999</v>
      </c>
      <c r="N761">
        <v>0</v>
      </c>
      <c r="O761">
        <v>5.3598659999999996E-3</v>
      </c>
      <c r="P761">
        <v>0.99770020000000004</v>
      </c>
      <c r="Q761">
        <v>-1.3057869999999999E-2</v>
      </c>
      <c r="R761">
        <v>6.6512979999999999E-2</v>
      </c>
      <c r="S761">
        <v>2.9898989999999999</v>
      </c>
      <c r="T761">
        <v>-0.30306660000000002</v>
      </c>
      <c r="U761">
        <v>0.19381709999999999</v>
      </c>
      <c r="V761">
        <v>-6.1164129999999997E-2</v>
      </c>
      <c r="W761">
        <v>7.6848659999999996E-4</v>
      </c>
      <c r="X761">
        <v>0.9981274</v>
      </c>
      <c r="Y761">
        <v>-5.9064119999999998E-2</v>
      </c>
      <c r="Z761">
        <v>2.441347E-3</v>
      </c>
      <c r="AA761">
        <v>0.99825120000000001</v>
      </c>
      <c r="AB761">
        <v>34</v>
      </c>
      <c r="AC761">
        <v>10.7624</v>
      </c>
      <c r="AD761">
        <v>-1.1098839318891001</v>
      </c>
      <c r="AE761">
        <v>0.70879999999999599</v>
      </c>
      <c r="AF761">
        <v>-0.64427697553779895</v>
      </c>
      <c r="AG761">
        <v>-1.1098839318891001</v>
      </c>
      <c r="AH761">
        <v>10.653237093048199</v>
      </c>
      <c r="AI761">
        <v>95.937007125845497</v>
      </c>
      <c r="AJ761">
        <v>93.460867829138294</v>
      </c>
      <c r="AK761">
        <v>10.7302560884711</v>
      </c>
      <c r="AL761">
        <v>89.955968955728906</v>
      </c>
      <c r="AM761">
        <v>93.506636373384197</v>
      </c>
      <c r="AN761">
        <v>0.99999997400053497</v>
      </c>
    </row>
    <row r="762" spans="1:40" x14ac:dyDescent="0.3">
      <c r="A762" t="str">
        <f>"20200111160419056"</f>
        <v>20200111160419056</v>
      </c>
      <c r="B762" t="str">
        <f>"1578729859051124"</f>
        <v>1578729859051124</v>
      </c>
      <c r="C762" t="s">
        <v>40</v>
      </c>
      <c r="D762">
        <v>5.1825260000000002</v>
      </c>
      <c r="E762">
        <v>0.50218309999999999</v>
      </c>
      <c r="F762" t="s">
        <v>41</v>
      </c>
      <c r="G762">
        <v>-258.01299999999998</v>
      </c>
      <c r="H762" s="1">
        <v>-1.021098E-6</v>
      </c>
      <c r="I762">
        <v>368.56580000000002</v>
      </c>
      <c r="J762">
        <v>-268.79399999999998</v>
      </c>
      <c r="K762">
        <v>1.109964</v>
      </c>
      <c r="L762">
        <v>367.84809999999999</v>
      </c>
      <c r="M762">
        <v>0.99988889999999997</v>
      </c>
      <c r="N762">
        <v>0</v>
      </c>
      <c r="O762">
        <v>5.3643900000000001E-3</v>
      </c>
      <c r="P762">
        <v>0.99771500000000002</v>
      </c>
      <c r="Q762">
        <v>-1.226552E-2</v>
      </c>
      <c r="R762">
        <v>6.6441669999999994E-2</v>
      </c>
      <c r="S762">
        <v>2.9899290000000001</v>
      </c>
      <c r="T762">
        <v>-0.3023787</v>
      </c>
      <c r="U762">
        <v>0.19583130000000001</v>
      </c>
      <c r="V762">
        <v>-6.1088410000000003E-2</v>
      </c>
      <c r="W762">
        <v>1.6129650000000001E-3</v>
      </c>
      <c r="X762">
        <v>0.99813099999999999</v>
      </c>
      <c r="Y762">
        <v>-5.9726479999999998E-2</v>
      </c>
      <c r="Z762">
        <v>2.4686729999999998E-3</v>
      </c>
      <c r="AA762">
        <v>0.99821170000000004</v>
      </c>
      <c r="AB762">
        <v>34</v>
      </c>
      <c r="AC762">
        <v>10.781000000000001</v>
      </c>
      <c r="AD762">
        <v>-1.1099650210980001</v>
      </c>
      <c r="AE762">
        <v>0.71770000000003598</v>
      </c>
      <c r="AF762">
        <v>-0.65295983808521296</v>
      </c>
      <c r="AG762">
        <v>-1.1099650210980001</v>
      </c>
      <c r="AH762">
        <v>10.6720717918601</v>
      </c>
      <c r="AI762">
        <v>95.926781606981905</v>
      </c>
      <c r="AJ762">
        <v>93.501219325430597</v>
      </c>
      <c r="AK762">
        <v>10.7494881379919</v>
      </c>
      <c r="AL762">
        <v>89.907583867780005</v>
      </c>
      <c r="AM762">
        <v>93.502293437817499</v>
      </c>
      <c r="AN762">
        <v>0.99999994432670802</v>
      </c>
    </row>
    <row r="763" spans="1:40" x14ac:dyDescent="0.3">
      <c r="A763" t="str">
        <f>"20200111160419069"</f>
        <v>20200111160419069</v>
      </c>
      <c r="B763" t="str">
        <f>"1578729859061861"</f>
        <v>1578729859061861</v>
      </c>
      <c r="C763" t="s">
        <v>40</v>
      </c>
      <c r="D763">
        <v>5.1784939999999997</v>
      </c>
      <c r="E763">
        <v>0.50213609999999997</v>
      </c>
      <c r="F763" t="s">
        <v>41</v>
      </c>
      <c r="G763">
        <v>-257.7534</v>
      </c>
      <c r="H763" s="1">
        <v>-1.1316009999999999E-6</v>
      </c>
      <c r="I763">
        <v>368.57069999999999</v>
      </c>
      <c r="J763">
        <v>-268.61779999999999</v>
      </c>
      <c r="K763">
        <v>1.1100289999999999</v>
      </c>
      <c r="L763">
        <v>367.84899999999999</v>
      </c>
      <c r="M763">
        <v>0.99988840000000001</v>
      </c>
      <c r="N763">
        <v>0</v>
      </c>
      <c r="O763">
        <v>5.3682469999999996E-3</v>
      </c>
      <c r="P763">
        <v>0.99773999999999996</v>
      </c>
      <c r="Q763">
        <v>-1.1655449999999999E-2</v>
      </c>
      <c r="R763">
        <v>6.6175049999999999E-2</v>
      </c>
      <c r="S763">
        <v>2.9901430000000002</v>
      </c>
      <c r="T763">
        <v>-0.30060900000000002</v>
      </c>
      <c r="U763">
        <v>0.1957092</v>
      </c>
      <c r="V763">
        <v>-6.0817030000000001E-2</v>
      </c>
      <c r="W763">
        <v>2.2681379999999998E-3</v>
      </c>
      <c r="X763">
        <v>0.99814639999999999</v>
      </c>
      <c r="Y763">
        <v>-5.9680900000000002E-2</v>
      </c>
      <c r="Z763">
        <v>2.4514570000000002E-3</v>
      </c>
      <c r="AA763">
        <v>0.9982145</v>
      </c>
      <c r="AB763">
        <v>34</v>
      </c>
      <c r="AC763">
        <v>10.8643999999999</v>
      </c>
      <c r="AD763">
        <v>-1.1100301316009999</v>
      </c>
      <c r="AE763">
        <v>0.72169999999999801</v>
      </c>
      <c r="AF763">
        <v>-0.65653767377984795</v>
      </c>
      <c r="AG763">
        <v>-1.1100301316009999</v>
      </c>
      <c r="AH763">
        <v>10.7563262950782</v>
      </c>
      <c r="AI763">
        <v>95.881078314235197</v>
      </c>
      <c r="AJ763">
        <v>93.492849355755197</v>
      </c>
      <c r="AK763">
        <v>10.833363465532999</v>
      </c>
      <c r="AL763">
        <v>89.870045159762498</v>
      </c>
      <c r="AM763">
        <v>93.486719607791301</v>
      </c>
      <c r="AN763">
        <v>1.0000000457104801</v>
      </c>
    </row>
    <row r="764" spans="1:40" x14ac:dyDescent="0.3">
      <c r="A764" t="str">
        <f>"20200111160419081"</f>
        <v>20200111160419081</v>
      </c>
      <c r="B764" t="str">
        <f>"1578729859071620"</f>
        <v>1578729859071620</v>
      </c>
      <c r="C764" t="s">
        <v>40</v>
      </c>
      <c r="D764">
        <v>5.2223810000000004</v>
      </c>
      <c r="E764">
        <v>0.50207729999999995</v>
      </c>
      <c r="F764" t="s">
        <v>41</v>
      </c>
      <c r="G764">
        <v>-257.51870000000002</v>
      </c>
      <c r="H764" s="1">
        <v>-1.2316899999999999E-6</v>
      </c>
      <c r="I764">
        <v>368.57409999999999</v>
      </c>
      <c r="J764">
        <v>-268.42860000000002</v>
      </c>
      <c r="K764">
        <v>1.110098</v>
      </c>
      <c r="L764">
        <v>367.8501</v>
      </c>
      <c r="M764">
        <v>0.99988779999999999</v>
      </c>
      <c r="N764">
        <v>0</v>
      </c>
      <c r="O764">
        <v>5.3725179999999997E-3</v>
      </c>
      <c r="P764">
        <v>0.99773880000000004</v>
      </c>
      <c r="Q764">
        <v>-1.119535E-2</v>
      </c>
      <c r="R764">
        <v>6.6277119999999995E-2</v>
      </c>
      <c r="S764">
        <v>2.9903559999999998</v>
      </c>
      <c r="T764">
        <v>-0.299064099999999</v>
      </c>
      <c r="U764">
        <v>0.19534299999999999</v>
      </c>
      <c r="V764">
        <v>-6.0915480000000001E-2</v>
      </c>
      <c r="W764">
        <v>2.7731069999999999E-3</v>
      </c>
      <c r="X764">
        <v>0.99813909999999995</v>
      </c>
      <c r="Y764">
        <v>-5.9553719999999997E-2</v>
      </c>
      <c r="Z764">
        <v>2.4319950000000002E-3</v>
      </c>
      <c r="AA764">
        <v>0.9982221</v>
      </c>
      <c r="AB764">
        <v>34</v>
      </c>
      <c r="AC764">
        <v>10.909899999999899</v>
      </c>
      <c r="AD764">
        <v>-1.11009923169</v>
      </c>
      <c r="AE764">
        <v>0.72399999999998899</v>
      </c>
      <c r="AF764">
        <v>-0.65858153688520304</v>
      </c>
      <c r="AG764">
        <v>-1.11009923169</v>
      </c>
      <c r="AH764">
        <v>10.8022828549288</v>
      </c>
      <c r="AI764">
        <v>95.856619408829204</v>
      </c>
      <c r="AJ764">
        <v>93.4888268673064</v>
      </c>
      <c r="AK764">
        <v>10.8791251864667</v>
      </c>
      <c r="AL764">
        <v>89.841112472992094</v>
      </c>
      <c r="AM764">
        <v>93.492375394743306</v>
      </c>
      <c r="AN764">
        <v>1.0000000243874301</v>
      </c>
    </row>
    <row r="765" spans="1:40" x14ac:dyDescent="0.3">
      <c r="A765" t="str">
        <f>"20200111160419093"</f>
        <v>20200111160419093</v>
      </c>
      <c r="B765" t="str">
        <f>"1578729859081380"</f>
        <v>1578729859081380</v>
      </c>
      <c r="C765" t="s">
        <v>40</v>
      </c>
      <c r="D765">
        <v>4.7728320000000002</v>
      </c>
      <c r="E765">
        <v>0.50207729999999995</v>
      </c>
      <c r="F765" t="s">
        <v>41</v>
      </c>
      <c r="G765">
        <v>-257.2593</v>
      </c>
      <c r="H765" s="1">
        <v>-1.341177E-6</v>
      </c>
      <c r="I765">
        <v>368.58409999999998</v>
      </c>
      <c r="J765">
        <v>-268.25700000000001</v>
      </c>
      <c r="K765">
        <v>1.110155</v>
      </c>
      <c r="L765">
        <v>367.851</v>
      </c>
      <c r="M765">
        <v>0.99988710000000003</v>
      </c>
      <c r="N765">
        <v>0</v>
      </c>
      <c r="O765">
        <v>5.3764269999999996E-3</v>
      </c>
      <c r="P765">
        <v>0.99776140000000002</v>
      </c>
      <c r="Q765">
        <v>-1.077728E-2</v>
      </c>
      <c r="R765">
        <v>6.5999699999999994E-2</v>
      </c>
      <c r="S765">
        <v>2.9904169999999999</v>
      </c>
      <c r="T765">
        <v>-0.2972108</v>
      </c>
      <c r="U765">
        <v>0.19653319999999999</v>
      </c>
      <c r="V765">
        <v>-6.0634109999999998E-2</v>
      </c>
      <c r="W765">
        <v>3.2289609999999998E-3</v>
      </c>
      <c r="X765">
        <v>0.99815480000000001</v>
      </c>
      <c r="Y765">
        <v>-5.9945520000000002E-2</v>
      </c>
      <c r="Z765">
        <v>2.4359310000000001E-3</v>
      </c>
      <c r="AA765">
        <v>0.99819869999999999</v>
      </c>
      <c r="AB765">
        <v>34</v>
      </c>
      <c r="AC765">
        <v>10.9977</v>
      </c>
      <c r="AD765">
        <v>-1.1101563411769999</v>
      </c>
      <c r="AE765">
        <v>0.73309999999997899</v>
      </c>
      <c r="AF765">
        <v>-0.667186841780255</v>
      </c>
      <c r="AG765">
        <v>-1.1101563411769999</v>
      </c>
      <c r="AH765">
        <v>10.890997007929</v>
      </c>
      <c r="AI765">
        <v>95.809434790261406</v>
      </c>
      <c r="AJ765">
        <v>93.5055815052783</v>
      </c>
      <c r="AK765">
        <v>10.9677436699815</v>
      </c>
      <c r="AL765">
        <v>89.814993834179504</v>
      </c>
      <c r="AM765">
        <v>93.476229138604694</v>
      </c>
      <c r="AN765">
        <v>0.99999996312383499</v>
      </c>
    </row>
    <row r="766" spans="1:40" x14ac:dyDescent="0.3">
      <c r="A766" t="str">
        <f>"20200111160419105"</f>
        <v>20200111160419105</v>
      </c>
      <c r="B766" t="str">
        <f>"1578729859101876"</f>
        <v>1578729859101876</v>
      </c>
      <c r="C766" t="s">
        <v>40</v>
      </c>
      <c r="D766">
        <v>5.1958510000000002</v>
      </c>
      <c r="E766">
        <v>0.50195369999999995</v>
      </c>
      <c r="F766" t="s">
        <v>41</v>
      </c>
      <c r="G766">
        <v>-257.03899999999999</v>
      </c>
      <c r="H766" s="1">
        <v>-1.435636E-6</v>
      </c>
      <c r="I766">
        <v>368.58429999999998</v>
      </c>
      <c r="J766">
        <v>-268.077</v>
      </c>
      <c r="K766">
        <v>1.110212</v>
      </c>
      <c r="L766">
        <v>367.85199999999998</v>
      </c>
      <c r="M766">
        <v>0.99988659999999996</v>
      </c>
      <c r="N766">
        <v>0</v>
      </c>
      <c r="O766">
        <v>5.3800339999999997E-3</v>
      </c>
      <c r="P766">
        <v>0.9977859</v>
      </c>
      <c r="Q766">
        <v>-1.060759E-2</v>
      </c>
      <c r="R766">
        <v>6.5658320000000006E-2</v>
      </c>
      <c r="S766">
        <v>2.9906009999999998</v>
      </c>
      <c r="T766">
        <v>-0.295956</v>
      </c>
      <c r="U766">
        <v>0.19549559999999999</v>
      </c>
      <c r="V766">
        <v>-6.0288990000000001E-2</v>
      </c>
      <c r="W766">
        <v>3.4373369999999999E-3</v>
      </c>
      <c r="X766">
        <v>0.99817500000000003</v>
      </c>
      <c r="Y766">
        <v>-5.959706E-2</v>
      </c>
      <c r="Z766">
        <v>2.4080389999999998E-3</v>
      </c>
      <c r="AA766">
        <v>0.99821959999999998</v>
      </c>
      <c r="AB766">
        <v>34</v>
      </c>
      <c r="AC766">
        <v>11.038</v>
      </c>
      <c r="AD766">
        <v>-1.1102134356360001</v>
      </c>
      <c r="AE766">
        <v>0.73230000000000905</v>
      </c>
      <c r="AF766">
        <v>-0.66618871542042801</v>
      </c>
      <c r="AG766">
        <v>-1.1102134356360001</v>
      </c>
      <c r="AH766">
        <v>10.931674273459301</v>
      </c>
      <c r="AI766">
        <v>95.788372030477404</v>
      </c>
      <c r="AJ766">
        <v>93.487357366482897</v>
      </c>
      <c r="AK766">
        <v>11.0080826531341</v>
      </c>
      <c r="AL766">
        <v>89.803054700269698</v>
      </c>
      <c r="AM766">
        <v>93.456421307316006</v>
      </c>
      <c r="AN766">
        <v>0.99999995411293396</v>
      </c>
    </row>
    <row r="767" spans="1:40" x14ac:dyDescent="0.3">
      <c r="A767" t="str">
        <f>"20200111160419120"</f>
        <v>20200111160419120</v>
      </c>
      <c r="B767" t="str">
        <f>"1578729859111636"</f>
        <v>1578729859111636</v>
      </c>
      <c r="C767" t="s">
        <v>40</v>
      </c>
      <c r="D767">
        <v>5.2061820000000001</v>
      </c>
      <c r="E767">
        <v>0.50188169999999999</v>
      </c>
      <c r="F767" t="s">
        <v>41</v>
      </c>
      <c r="G767">
        <v>-256.88010000000003</v>
      </c>
      <c r="H767" s="1">
        <v>-1.5038009999999999E-6</v>
      </c>
      <c r="I767">
        <v>368.58440000000002</v>
      </c>
      <c r="J767">
        <v>-267.83839999999998</v>
      </c>
      <c r="K767">
        <v>1.110285</v>
      </c>
      <c r="L767">
        <v>367.85320000000002</v>
      </c>
      <c r="M767">
        <v>0.99988589999999999</v>
      </c>
      <c r="N767">
        <v>0</v>
      </c>
      <c r="O767">
        <v>5.3854339999999997E-3</v>
      </c>
      <c r="P767">
        <v>0.99782219999999999</v>
      </c>
      <c r="Q767">
        <v>-1.0887330000000001E-2</v>
      </c>
      <c r="R767">
        <v>6.5055399999999999E-2</v>
      </c>
      <c r="S767">
        <v>2.990631</v>
      </c>
      <c r="T767">
        <v>-0.29653010000000002</v>
      </c>
      <c r="U767">
        <v>0.19564819999999999</v>
      </c>
      <c r="V767">
        <v>-5.9680249999999997E-2</v>
      </c>
      <c r="W767">
        <v>3.202735E-3</v>
      </c>
      <c r="X767">
        <v>0.9982124</v>
      </c>
      <c r="Y767">
        <v>-5.9640520000000002E-2</v>
      </c>
      <c r="Z767">
        <v>2.4142719999999999E-3</v>
      </c>
      <c r="AA767">
        <v>0.99821700000000002</v>
      </c>
      <c r="AB767">
        <v>34</v>
      </c>
      <c r="AC767">
        <v>10.9582999999999</v>
      </c>
      <c r="AD767">
        <v>-1.1102865038009999</v>
      </c>
      <c r="AE767">
        <v>0.73120000000000096</v>
      </c>
      <c r="AF767">
        <v>-0.66536819639165701</v>
      </c>
      <c r="AG767">
        <v>-1.1102865038009999</v>
      </c>
      <c r="AH767">
        <v>10.851179323516099</v>
      </c>
      <c r="AI767">
        <v>95.831264213046495</v>
      </c>
      <c r="AJ767">
        <v>93.508846109236103</v>
      </c>
      <c r="AK767">
        <v>10.9281079637967</v>
      </c>
      <c r="AL767">
        <v>89.816496486533396</v>
      </c>
      <c r="AM767">
        <v>93.421477146590206</v>
      </c>
      <c r="AN767">
        <v>0.99999999263265105</v>
      </c>
    </row>
    <row r="768" spans="1:40" x14ac:dyDescent="0.3">
      <c r="A768" t="str">
        <f>"20200111160419146"</f>
        <v>20200111160419146</v>
      </c>
      <c r="B768" t="str">
        <f>"1578729859141891"</f>
        <v>1578729859141891</v>
      </c>
      <c r="C768" t="s">
        <v>40</v>
      </c>
      <c r="D768">
        <v>5.2237080000000002</v>
      </c>
      <c r="E768">
        <v>0.50149600000000005</v>
      </c>
      <c r="F768" t="s">
        <v>41</v>
      </c>
      <c r="G768">
        <v>-256.68759999999997</v>
      </c>
      <c r="H768" s="1">
        <v>-1.5876780000000001E-6</v>
      </c>
      <c r="I768">
        <v>368.577</v>
      </c>
      <c r="J768">
        <v>-267.4545</v>
      </c>
      <c r="K768">
        <v>1.110366</v>
      </c>
      <c r="L768">
        <v>367.8553</v>
      </c>
      <c r="M768">
        <v>0.99988509999999997</v>
      </c>
      <c r="N768">
        <v>0</v>
      </c>
      <c r="O768">
        <v>5.3935509999999999E-3</v>
      </c>
      <c r="P768">
        <v>0.99784589999999995</v>
      </c>
      <c r="Q768">
        <v>-1.075987E-2</v>
      </c>
      <c r="R768">
        <v>6.4716819999999994E-2</v>
      </c>
      <c r="S768">
        <v>2.990631</v>
      </c>
      <c r="T768">
        <v>-0.29777480000000001</v>
      </c>
      <c r="U768">
        <v>0.1941223</v>
      </c>
      <c r="V768">
        <v>-5.9333700000000003E-2</v>
      </c>
      <c r="W768">
        <v>3.3953759999999999E-3</v>
      </c>
      <c r="X768">
        <v>0.99823240000000002</v>
      </c>
      <c r="Y768">
        <v>-5.9125570000000002E-2</v>
      </c>
      <c r="Z768">
        <v>2.3980429999999999E-3</v>
      </c>
      <c r="AA768">
        <v>0.99824769999999896</v>
      </c>
      <c r="AB768">
        <v>34</v>
      </c>
      <c r="AC768">
        <v>10.7669</v>
      </c>
      <c r="AD768">
        <v>-1.1103675876779999</v>
      </c>
      <c r="AE768">
        <v>0.72169999999999801</v>
      </c>
      <c r="AF768">
        <v>-0.656659277806109</v>
      </c>
      <c r="AG768">
        <v>-1.1103675876779999</v>
      </c>
      <c r="AH768">
        <v>10.657793799996</v>
      </c>
      <c r="AI768">
        <v>95.9366472801767</v>
      </c>
      <c r="AJ768">
        <v>93.525711350041703</v>
      </c>
      <c r="AK768">
        <v>10.735580388135901</v>
      </c>
      <c r="AL768">
        <v>89.805458905797195</v>
      </c>
      <c r="AM768">
        <v>93.401588182208101</v>
      </c>
      <c r="AN768">
        <v>0.99999997047181499</v>
      </c>
    </row>
    <row r="769" spans="1:40" x14ac:dyDescent="0.3">
      <c r="A769" t="str">
        <f>"20200111160419159"</f>
        <v>20200111160419159</v>
      </c>
      <c r="B769" t="str">
        <f>"1578729859151652"</f>
        <v>1578729859151652</v>
      </c>
      <c r="C769" t="s">
        <v>40</v>
      </c>
      <c r="D769">
        <v>5.1981859999999998</v>
      </c>
      <c r="E769">
        <v>0.50143279999999901</v>
      </c>
      <c r="F769" t="s">
        <v>41</v>
      </c>
      <c r="G769">
        <v>-256.3193</v>
      </c>
      <c r="H769" s="1">
        <v>-1.7441409999999901E-6</v>
      </c>
      <c r="I769">
        <v>368.58569999999997</v>
      </c>
      <c r="J769">
        <v>-267.24020000000002</v>
      </c>
      <c r="K769">
        <v>1.1104160000000001</v>
      </c>
      <c r="L769">
        <v>367.85640000000001</v>
      </c>
      <c r="M769">
        <v>0.99988449999999995</v>
      </c>
      <c r="N769">
        <v>0</v>
      </c>
      <c r="O769">
        <v>5.398506E-3</v>
      </c>
      <c r="P769">
        <v>0.9978998</v>
      </c>
      <c r="Q769">
        <v>-9.9103530000000002E-3</v>
      </c>
      <c r="R769">
        <v>6.4014509999999997E-2</v>
      </c>
      <c r="S769">
        <v>2.9905089999999999</v>
      </c>
      <c r="T769">
        <v>-0.29820239999999998</v>
      </c>
      <c r="U769">
        <v>0.19616700000000001</v>
      </c>
      <c r="V769">
        <v>-5.8625679999999999E-2</v>
      </c>
      <c r="W769">
        <v>4.2775180000000001E-3</v>
      </c>
      <c r="X769">
        <v>0.99827089999999996</v>
      </c>
      <c r="Y769">
        <v>-5.9798810000000001E-2</v>
      </c>
      <c r="Z769">
        <v>2.4344700000000002E-3</v>
      </c>
      <c r="AA769">
        <v>0.99820750000000003</v>
      </c>
      <c r="AB769">
        <v>34</v>
      </c>
      <c r="AC769">
        <v>10.9209</v>
      </c>
      <c r="AD769">
        <v>-1.1104177441409999</v>
      </c>
      <c r="AE769">
        <v>0.72929999999996598</v>
      </c>
      <c r="AF769">
        <v>-0.66349778394424397</v>
      </c>
      <c r="AG769">
        <v>-1.1104177441409999</v>
      </c>
      <c r="AH769">
        <v>10.8133809717619</v>
      </c>
      <c r="AI769">
        <v>95.852178480030005</v>
      </c>
      <c r="AJ769">
        <v>93.511207244433706</v>
      </c>
      <c r="AK769">
        <v>10.890475881074501</v>
      </c>
      <c r="AL769">
        <v>89.754915531435202</v>
      </c>
      <c r="AM769">
        <v>93.360961837081604</v>
      </c>
      <c r="AN769">
        <v>1.00000002865125</v>
      </c>
    </row>
    <row r="770" spans="1:40" x14ac:dyDescent="0.3">
      <c r="A770" t="str">
        <f>"20200111160419171"</f>
        <v>20200111160419171</v>
      </c>
      <c r="B770" t="str">
        <f>"1578729859161412"</f>
        <v>1578729859161412</v>
      </c>
      <c r="C770" t="s">
        <v>40</v>
      </c>
      <c r="D770">
        <v>5.266108</v>
      </c>
      <c r="E770">
        <v>0.50137730000000003</v>
      </c>
      <c r="F770" t="s">
        <v>41</v>
      </c>
      <c r="G770">
        <v>-256.02210000000002</v>
      </c>
      <c r="H770" s="1">
        <v>-1.871601E-6</v>
      </c>
      <c r="I770">
        <v>368.58600000000001</v>
      </c>
      <c r="J770">
        <v>-267.0591</v>
      </c>
      <c r="K770">
        <v>1.110449</v>
      </c>
      <c r="L770">
        <v>367.85739999999998</v>
      </c>
      <c r="M770">
        <v>0.999884</v>
      </c>
      <c r="N770">
        <v>0</v>
      </c>
      <c r="O770">
        <v>5.402736E-3</v>
      </c>
      <c r="P770">
        <v>0.99791160000000001</v>
      </c>
      <c r="Q770">
        <v>-9.4714389999999999E-3</v>
      </c>
      <c r="R770">
        <v>6.389649E-2</v>
      </c>
      <c r="S770">
        <v>2.9909059999999998</v>
      </c>
      <c r="T770">
        <v>-0.29605110000000001</v>
      </c>
      <c r="U770">
        <v>0.194519</v>
      </c>
      <c r="V770">
        <v>-5.850371E-2</v>
      </c>
      <c r="W770">
        <v>4.7414759999999997E-3</v>
      </c>
      <c r="X770">
        <v>0.99827589999999999</v>
      </c>
      <c r="Y770">
        <v>-5.9244890000000001E-2</v>
      </c>
      <c r="Z770">
        <v>2.3889810000000001E-3</v>
      </c>
      <c r="AA770">
        <v>0.99824060000000003</v>
      </c>
      <c r="AB770">
        <v>34</v>
      </c>
      <c r="AC770">
        <v>11.0369999999999</v>
      </c>
      <c r="AD770">
        <v>-1.110450871601</v>
      </c>
      <c r="AE770">
        <v>0.728600000000028</v>
      </c>
      <c r="AF770">
        <v>-0.66227835924160705</v>
      </c>
      <c r="AG770">
        <v>-1.110450871601</v>
      </c>
      <c r="AH770">
        <v>10.930608479438099</v>
      </c>
      <c r="AI770">
        <v>95.790284721345898</v>
      </c>
      <c r="AJ770">
        <v>93.467274773449304</v>
      </c>
      <c r="AK770">
        <v>11.0068122312559</v>
      </c>
      <c r="AL770">
        <v>89.728332410216098</v>
      </c>
      <c r="AM770">
        <v>93.353968616797701</v>
      </c>
      <c r="AN770">
        <v>0.99999996909961497</v>
      </c>
    </row>
    <row r="771" spans="1:40" x14ac:dyDescent="0.3">
      <c r="A771" t="str">
        <f>"20200111160419186"</f>
        <v>20200111160419186</v>
      </c>
      <c r="B771" t="str">
        <f>"1578729859181908"</f>
        <v>1578729859181908</v>
      </c>
      <c r="C771" t="s">
        <v>40</v>
      </c>
      <c r="D771">
        <v>5.1730799999999997</v>
      </c>
      <c r="E771">
        <v>0.5013801</v>
      </c>
      <c r="F771" t="s">
        <v>41</v>
      </c>
      <c r="G771">
        <v>-255.80240000000001</v>
      </c>
      <c r="H771" s="1">
        <v>-1.9652299999999998E-6</v>
      </c>
      <c r="I771">
        <v>368.58960000000002</v>
      </c>
      <c r="J771">
        <v>-266.82170000000002</v>
      </c>
      <c r="K771">
        <v>1.1104769999999999</v>
      </c>
      <c r="L771">
        <v>367.8587</v>
      </c>
      <c r="M771">
        <v>0.99988370000000004</v>
      </c>
      <c r="N771">
        <v>0</v>
      </c>
      <c r="O771">
        <v>5.4078800000000003E-3</v>
      </c>
      <c r="P771">
        <v>0.99794070000000001</v>
      </c>
      <c r="Q771">
        <v>-8.3988499999999994E-3</v>
      </c>
      <c r="R771">
        <v>6.3592560000000006E-2</v>
      </c>
      <c r="S771">
        <v>2.991028</v>
      </c>
      <c r="T771">
        <v>-0.29505569999999998</v>
      </c>
      <c r="U771">
        <v>0.19454959999999999</v>
      </c>
      <c r="V771">
        <v>-5.8193950000000001E-2</v>
      </c>
      <c r="W771">
        <v>5.8453389999999997E-3</v>
      </c>
      <c r="X771">
        <v>0.99828819999999996</v>
      </c>
      <c r="Y771">
        <v>-5.9249040000000003E-2</v>
      </c>
      <c r="Z771">
        <v>2.380587E-3</v>
      </c>
      <c r="AA771">
        <v>0.99824040000000003</v>
      </c>
      <c r="AB771">
        <v>34</v>
      </c>
      <c r="AC771">
        <v>11.019299999999999</v>
      </c>
      <c r="AD771">
        <v>-1.11047896522999</v>
      </c>
      <c r="AE771">
        <v>0.73090000000001898</v>
      </c>
      <c r="AF771">
        <v>-0.66457251938638295</v>
      </c>
      <c r="AG771">
        <v>-1.11047896522999</v>
      </c>
      <c r="AH771">
        <v>10.912749982540401</v>
      </c>
      <c r="AI771">
        <v>95.799733737605905</v>
      </c>
      <c r="AJ771">
        <v>93.4849358177498</v>
      </c>
      <c r="AK771">
        <v>10.989218914335</v>
      </c>
      <c r="AL771">
        <v>89.665084843933002</v>
      </c>
      <c r="AM771">
        <v>93.336209542014501</v>
      </c>
      <c r="AN771">
        <v>1.0000000170319301</v>
      </c>
    </row>
    <row r="772" spans="1:40" x14ac:dyDescent="0.3">
      <c r="A772" t="str">
        <f>"20200111160419198"</f>
        <v>20200111160419198</v>
      </c>
      <c r="B772" t="str">
        <f>"1578729859191668"</f>
        <v>1578729859191668</v>
      </c>
      <c r="C772" t="s">
        <v>40</v>
      </c>
      <c r="D772">
        <v>5.6083550000000004</v>
      </c>
      <c r="E772">
        <v>0.5013801</v>
      </c>
      <c r="F772" t="s">
        <v>41</v>
      </c>
      <c r="G772">
        <v>-255.4358</v>
      </c>
      <c r="H772" s="1">
        <v>-2.1214300000000001E-6</v>
      </c>
      <c r="I772">
        <v>368.59550000000002</v>
      </c>
      <c r="J772">
        <v>-266.64710000000002</v>
      </c>
      <c r="K772">
        <v>1.110492</v>
      </c>
      <c r="L772">
        <v>367.8596</v>
      </c>
      <c r="M772">
        <v>0.99988330000000003</v>
      </c>
      <c r="N772">
        <v>0</v>
      </c>
      <c r="O772">
        <v>5.4120849999999996E-3</v>
      </c>
      <c r="P772">
        <v>0.99795929999999999</v>
      </c>
      <c r="Q772">
        <v>-8.2243219999999992E-3</v>
      </c>
      <c r="R772">
        <v>6.3321050000000004E-2</v>
      </c>
      <c r="S772">
        <v>2.9913940000000001</v>
      </c>
      <c r="T772">
        <v>-0.29175309999999999</v>
      </c>
      <c r="U772">
        <v>0.193573</v>
      </c>
      <c r="V772">
        <v>-5.7918749999999998E-2</v>
      </c>
      <c r="W772">
        <v>6.0398860000000004E-3</v>
      </c>
      <c r="X772">
        <v>0.9983031</v>
      </c>
      <c r="Y772">
        <v>-5.8919810000000003E-2</v>
      </c>
      <c r="Z772">
        <v>2.3373959999999998E-3</v>
      </c>
      <c r="AA772">
        <v>0.99826000000000004</v>
      </c>
      <c r="AB772">
        <v>34</v>
      </c>
      <c r="AC772">
        <v>11.2113</v>
      </c>
      <c r="AD772">
        <v>-1.1104941214299999</v>
      </c>
      <c r="AE772">
        <v>0.73590000000001499</v>
      </c>
      <c r="AF772">
        <v>-0.66867419049212495</v>
      </c>
      <c r="AG772">
        <v>-1.1104941214299999</v>
      </c>
      <c r="AH772">
        <v>11.106617552128499</v>
      </c>
      <c r="AI772">
        <v>95.699485090215603</v>
      </c>
      <c r="AJ772">
        <v>93.445335164204707</v>
      </c>
      <c r="AK772">
        <v>11.1820067884083</v>
      </c>
      <c r="AL772">
        <v>89.653937943816302</v>
      </c>
      <c r="AM772">
        <v>93.320418497600997</v>
      </c>
      <c r="AN772">
        <v>1.00000007064703</v>
      </c>
    </row>
    <row r="773" spans="1:40" x14ac:dyDescent="0.3">
      <c r="A773" t="str">
        <f>"20200111160419209"</f>
        <v>20200111160419209</v>
      </c>
      <c r="B773" t="str">
        <f>"1578729859201428"</f>
        <v>1578729859201428</v>
      </c>
      <c r="C773" t="s">
        <v>40</v>
      </c>
      <c r="D773">
        <v>5.3955719999999996</v>
      </c>
      <c r="E773">
        <v>0.49427650000000001</v>
      </c>
      <c r="F773" t="s">
        <v>41</v>
      </c>
      <c r="G773">
        <v>-255.24100000000001</v>
      </c>
      <c r="H773" s="1">
        <v>-2.2053330000000002E-6</v>
      </c>
      <c r="I773">
        <v>368.59359999999998</v>
      </c>
      <c r="J773">
        <v>-266.48140000000001</v>
      </c>
      <c r="K773">
        <v>1.110498</v>
      </c>
      <c r="L773">
        <v>367.8605</v>
      </c>
      <c r="M773">
        <v>0.99988319999999997</v>
      </c>
      <c r="N773">
        <v>0</v>
      </c>
      <c r="O773">
        <v>5.4158280000000001E-3</v>
      </c>
      <c r="P773">
        <v>0.99794870000000002</v>
      </c>
      <c r="Q773">
        <v>-7.7451059999999999E-3</v>
      </c>
      <c r="R773">
        <v>6.3552479999999995E-2</v>
      </c>
      <c r="S773">
        <v>2.9914860000000001</v>
      </c>
      <c r="T773">
        <v>-0.29124899999999998</v>
      </c>
      <c r="U773">
        <v>0.19250490000000001</v>
      </c>
      <c r="V773">
        <v>-5.8146580000000003E-2</v>
      </c>
      <c r="W773">
        <v>6.5372169999999997E-3</v>
      </c>
      <c r="X773">
        <v>0.99828669999999997</v>
      </c>
      <c r="Y773">
        <v>-5.8561729999999999E-2</v>
      </c>
      <c r="Z773">
        <v>2.315597E-3</v>
      </c>
      <c r="AA773">
        <v>0.99828110000000003</v>
      </c>
      <c r="AB773">
        <v>34</v>
      </c>
      <c r="AC773">
        <v>11.240399999999999</v>
      </c>
      <c r="AD773">
        <v>-1.110500205333</v>
      </c>
      <c r="AE773">
        <v>0.73309999999997899</v>
      </c>
      <c r="AF773">
        <v>-0.66573653156409696</v>
      </c>
      <c r="AG773">
        <v>-1.110500205333</v>
      </c>
      <c r="AH773">
        <v>11.1359731637198</v>
      </c>
      <c r="AI773">
        <v>95.684732745536294</v>
      </c>
      <c r="AJ773">
        <v>93.421214177699099</v>
      </c>
      <c r="AK773">
        <v>11.210990774173</v>
      </c>
      <c r="AL773">
        <v>89.625442406167807</v>
      </c>
      <c r="AM773">
        <v>93.3335049845182</v>
      </c>
      <c r="AN773">
        <v>1.00000004768434</v>
      </c>
    </row>
    <row r="774" spans="1:40" x14ac:dyDescent="0.3">
      <c r="A774" t="str">
        <f>"20200111160419220"</f>
        <v>20200111160419220</v>
      </c>
      <c r="B774" t="str">
        <f>"1578729859211188"</f>
        <v>1578729859211188</v>
      </c>
      <c r="C774" t="s">
        <v>40</v>
      </c>
      <c r="D774">
        <v>5.1276650000000004</v>
      </c>
      <c r="E774">
        <v>0.49427650000000001</v>
      </c>
      <c r="F774" t="s">
        <v>41</v>
      </c>
      <c r="G774">
        <v>-254.78659999999999</v>
      </c>
      <c r="H774" s="1">
        <v>-2.3568769999999998E-6</v>
      </c>
      <c r="I774">
        <v>368.8381</v>
      </c>
      <c r="J774">
        <v>-266.29770000000002</v>
      </c>
      <c r="K774">
        <v>1.1105020000000001</v>
      </c>
      <c r="L774">
        <v>367.86149999999998</v>
      </c>
      <c r="M774">
        <v>0.99988279999999996</v>
      </c>
      <c r="N774">
        <v>0</v>
      </c>
      <c r="O774">
        <v>5.4200430000000003E-3</v>
      </c>
      <c r="P774">
        <v>0.99792320000000001</v>
      </c>
      <c r="Q774">
        <v>-7.8030840000000001E-3</v>
      </c>
      <c r="R774">
        <v>6.3941659999999997E-2</v>
      </c>
      <c r="S774">
        <v>2.9880680000000002</v>
      </c>
      <c r="T774">
        <v>-0.2837365</v>
      </c>
      <c r="U774">
        <v>0.24978639999999999</v>
      </c>
      <c r="V774">
        <v>-5.8530730000000003E-2</v>
      </c>
      <c r="W774">
        <v>6.4976399999999998E-3</v>
      </c>
      <c r="X774">
        <v>0.99826440000000005</v>
      </c>
      <c r="Y774">
        <v>-7.7578770000000005E-2</v>
      </c>
      <c r="Z774">
        <v>3.156037E-3</v>
      </c>
      <c r="AA774">
        <v>0.99698120000000001</v>
      </c>
      <c r="AB774">
        <v>34</v>
      </c>
      <c r="AC774">
        <v>11.511100000000001</v>
      </c>
      <c r="AD774">
        <v>-1.1105043568770001</v>
      </c>
      <c r="AE774">
        <v>0.97660000000001901</v>
      </c>
      <c r="AF774">
        <v>-0.90581844831752001</v>
      </c>
      <c r="AG774">
        <v>-1.1105043568770001</v>
      </c>
      <c r="AH774">
        <v>11.4107841059365</v>
      </c>
      <c r="AI774">
        <v>95.541231926529605</v>
      </c>
      <c r="AJ774">
        <v>94.538773763608503</v>
      </c>
      <c r="AK774">
        <v>11.5004226400706</v>
      </c>
      <c r="AL774">
        <v>89.627710008822305</v>
      </c>
      <c r="AM774">
        <v>93.355552679197103</v>
      </c>
      <c r="AN774">
        <v>0.99999993899362905</v>
      </c>
    </row>
    <row r="775" spans="1:40" x14ac:dyDescent="0.3">
      <c r="A775" t="str">
        <f>"20200111160419233"</f>
        <v>20200111160419233</v>
      </c>
      <c r="B775" t="str">
        <f>"1578729859221925"</f>
        <v>1578729859221925</v>
      </c>
      <c r="C775" t="s">
        <v>40</v>
      </c>
      <c r="D775">
        <v>5.2222210000000002</v>
      </c>
      <c r="E775">
        <v>0.50319290000000005</v>
      </c>
      <c r="F775" t="s">
        <v>41</v>
      </c>
      <c r="G775">
        <v>-254.6088</v>
      </c>
      <c r="H775" s="1">
        <v>-2.4322319999999998E-6</v>
      </c>
      <c r="I775">
        <v>368.84339999999997</v>
      </c>
      <c r="J775">
        <v>-266.12950000000001</v>
      </c>
      <c r="K775">
        <v>1.110503</v>
      </c>
      <c r="L775">
        <v>367.86239999999998</v>
      </c>
      <c r="M775">
        <v>0.99988259999999995</v>
      </c>
      <c r="N775">
        <v>0</v>
      </c>
      <c r="O775">
        <v>5.4238050000000003E-3</v>
      </c>
      <c r="P775">
        <v>0.99789159999999999</v>
      </c>
      <c r="Q775">
        <v>-8.1986239999999998E-3</v>
      </c>
      <c r="R775">
        <v>6.4385209999999998E-2</v>
      </c>
      <c r="S775">
        <v>2.9879150000000001</v>
      </c>
      <c r="T775">
        <v>-0.2838656</v>
      </c>
      <c r="U775">
        <v>0.25097659999999999</v>
      </c>
      <c r="V775">
        <v>-5.8971170000000003E-2</v>
      </c>
      <c r="W775">
        <v>6.1171309999999996E-3</v>
      </c>
      <c r="X775">
        <v>0.99824089999999999</v>
      </c>
      <c r="Y775">
        <v>-7.7971559999999995E-2</v>
      </c>
      <c r="Z775">
        <v>3.1758020000000001E-3</v>
      </c>
      <c r="AA775">
        <v>0.99695049999999996</v>
      </c>
      <c r="AB775">
        <v>34</v>
      </c>
      <c r="AC775">
        <v>11.5207</v>
      </c>
      <c r="AD775">
        <v>-1.1105054322319901</v>
      </c>
      <c r="AE775">
        <v>0.98099999999999399</v>
      </c>
      <c r="AF775">
        <v>-0.91009785995725001</v>
      </c>
      <c r="AG775">
        <v>-1.1105054322319901</v>
      </c>
      <c r="AH775">
        <v>11.4205025988648</v>
      </c>
      <c r="AI775">
        <v>95.536417576200904</v>
      </c>
      <c r="AJ775">
        <v>94.556262154452995</v>
      </c>
      <c r="AK775">
        <v>11.5104031224104</v>
      </c>
      <c r="AL775">
        <v>89.649512009799096</v>
      </c>
      <c r="AM775">
        <v>93.380824052350107</v>
      </c>
      <c r="AN775">
        <v>0.99999995630782401</v>
      </c>
    </row>
    <row r="776" spans="1:40" x14ac:dyDescent="0.3">
      <c r="A776" t="str">
        <f>"20200111160419245"</f>
        <v>20200111160419245</v>
      </c>
      <c r="B776" t="str">
        <f>"1578729859241443"</f>
        <v>1578729859241443</v>
      </c>
      <c r="C776" t="s">
        <v>40</v>
      </c>
      <c r="D776">
        <v>5.1125099999999897</v>
      </c>
      <c r="E776">
        <v>0.50340149999999995</v>
      </c>
      <c r="F776" t="s">
        <v>41</v>
      </c>
      <c r="G776">
        <v>-254.2183</v>
      </c>
      <c r="H776" s="1">
        <v>-2.64601E-6</v>
      </c>
      <c r="I776">
        <v>368.58260000000001</v>
      </c>
      <c r="J776">
        <v>-265.9443</v>
      </c>
      <c r="K776">
        <v>1.1105069999999999</v>
      </c>
      <c r="L776">
        <v>367.86349999999999</v>
      </c>
      <c r="M776">
        <v>0.9998823</v>
      </c>
      <c r="N776">
        <v>0</v>
      </c>
      <c r="O776">
        <v>5.4280960000000003E-3</v>
      </c>
      <c r="P776">
        <v>0.99785239999999997</v>
      </c>
      <c r="Q776">
        <v>-8.9077630000000008E-3</v>
      </c>
      <c r="R776">
        <v>6.4893729999999997E-2</v>
      </c>
      <c r="S776">
        <v>2.9923709999999999</v>
      </c>
      <c r="T776">
        <v>-0.27898420000000002</v>
      </c>
      <c r="U776">
        <v>0.18093870000000001</v>
      </c>
      <c r="V776">
        <v>-5.9475489999999999E-2</v>
      </c>
      <c r="W776">
        <v>5.4238219999999896E-3</v>
      </c>
      <c r="X776">
        <v>0.99821499999999996</v>
      </c>
      <c r="Y776">
        <v>-5.4723819999999999E-2</v>
      </c>
      <c r="Z776">
        <v>2.038626E-3</v>
      </c>
      <c r="AA776">
        <v>0.99849949999999998</v>
      </c>
      <c r="AB776">
        <v>34</v>
      </c>
      <c r="AC776">
        <v>11.726000000000001</v>
      </c>
      <c r="AD776">
        <v>-1.1105096460099999</v>
      </c>
      <c r="AE776">
        <v>0.71910000000002505</v>
      </c>
      <c r="AF776">
        <v>-0.64962829811925504</v>
      </c>
      <c r="AG776">
        <v>-1.1105096460099999</v>
      </c>
      <c r="AH776">
        <v>11.6258491879796</v>
      </c>
      <c r="AI776">
        <v>95.447932761182102</v>
      </c>
      <c r="AJ776">
        <v>93.198243215405199</v>
      </c>
      <c r="AK776">
        <v>11.6968208476169</v>
      </c>
      <c r="AL776">
        <v>89.689236357254202</v>
      </c>
      <c r="AM776">
        <v>93.409757111153496</v>
      </c>
      <c r="AN776">
        <v>0.99999996899041299</v>
      </c>
    </row>
    <row r="777" spans="1:40" x14ac:dyDescent="0.3">
      <c r="A777" t="str">
        <f>"20200111160419256"</f>
        <v>20200111160419256</v>
      </c>
      <c r="B777" t="str">
        <f>"1578729859251204"</f>
        <v>1578729859251204</v>
      </c>
      <c r="C777" t="s">
        <v>40</v>
      </c>
      <c r="D777">
        <v>5.1573880000000001</v>
      </c>
      <c r="E777">
        <v>0.50348729999999997</v>
      </c>
      <c r="F777" t="s">
        <v>41</v>
      </c>
      <c r="G777">
        <v>-253.9341</v>
      </c>
      <c r="H777" s="1">
        <v>-2.7670080000000002E-6</v>
      </c>
      <c r="I777">
        <v>368.58789999999999</v>
      </c>
      <c r="J777">
        <v>-265.77100000000002</v>
      </c>
      <c r="K777">
        <v>1.110511</v>
      </c>
      <c r="L777">
        <v>367.86439999999999</v>
      </c>
      <c r="M777">
        <v>0.99988200000000005</v>
      </c>
      <c r="N777">
        <v>0</v>
      </c>
      <c r="O777">
        <v>5.4319909999999997E-3</v>
      </c>
      <c r="P777">
        <v>0.99781189999999997</v>
      </c>
      <c r="Q777">
        <v>-9.3382929999999992E-3</v>
      </c>
      <c r="R777">
        <v>6.5456029999999998E-2</v>
      </c>
      <c r="S777">
        <v>2.9922490000000002</v>
      </c>
      <c r="T777">
        <v>-0.27667360000000002</v>
      </c>
      <c r="U777">
        <v>0.180481</v>
      </c>
      <c r="V777">
        <v>-6.0034419999999998E-2</v>
      </c>
      <c r="W777">
        <v>5.0065939999999996E-3</v>
      </c>
      <c r="X777">
        <v>0.99818370000000001</v>
      </c>
      <c r="Y777">
        <v>-5.4574320000000003E-2</v>
      </c>
      <c r="Z777">
        <v>2.0146560000000001E-3</v>
      </c>
      <c r="AA777">
        <v>0.9985077</v>
      </c>
      <c r="AB777">
        <v>34</v>
      </c>
      <c r="AC777">
        <v>11.836899999999901</v>
      </c>
      <c r="AD777">
        <v>-1.1105137670080001</v>
      </c>
      <c r="AE777">
        <v>0.72350000000000103</v>
      </c>
      <c r="AF777">
        <v>-0.653454575663035</v>
      </c>
      <c r="AG777">
        <v>-1.1105137670080001</v>
      </c>
      <c r="AH777">
        <v>11.737727086505799</v>
      </c>
      <c r="AI777">
        <v>95.396395436333904</v>
      </c>
      <c r="AJ777">
        <v>93.186441582401201</v>
      </c>
      <c r="AK777">
        <v>11.8082378391723</v>
      </c>
      <c r="AL777">
        <v>89.713142080816993</v>
      </c>
      <c r="AM777">
        <v>93.441831816713403</v>
      </c>
      <c r="AN777">
        <v>0.99999994825695204</v>
      </c>
    </row>
    <row r="778" spans="1:40" x14ac:dyDescent="0.3">
      <c r="A778" t="str">
        <f>"20200111160419267"</f>
        <v>20200111160419267</v>
      </c>
      <c r="B778" t="str">
        <f>"1578729859261940"</f>
        <v>1578729859261940</v>
      </c>
      <c r="C778" t="s">
        <v>40</v>
      </c>
      <c r="D778">
        <v>6.16221</v>
      </c>
      <c r="E778">
        <v>0.50348729999999997</v>
      </c>
      <c r="F778" t="s">
        <v>41</v>
      </c>
      <c r="G778">
        <v>-253.9212</v>
      </c>
      <c r="H778" s="1">
        <v>-2.7731819999999999E-6</v>
      </c>
      <c r="I778">
        <v>368.58420000000001</v>
      </c>
      <c r="J778">
        <v>-265.60419999999999</v>
      </c>
      <c r="K778">
        <v>1.1105179999999999</v>
      </c>
      <c r="L778">
        <v>367.86529999999999</v>
      </c>
      <c r="M778">
        <v>0.99988189999999999</v>
      </c>
      <c r="N778">
        <v>0</v>
      </c>
      <c r="O778">
        <v>5.4354759999999998E-3</v>
      </c>
      <c r="P778">
        <v>0.99779680000000004</v>
      </c>
      <c r="Q778">
        <v>-9.3054009999999996E-3</v>
      </c>
      <c r="R778">
        <v>6.5690219999999994E-2</v>
      </c>
      <c r="S778">
        <v>2.992035</v>
      </c>
      <c r="T778">
        <v>-0.2803987</v>
      </c>
      <c r="U778">
        <v>0.1817627</v>
      </c>
      <c r="V778">
        <v>-6.0265249999999999E-2</v>
      </c>
      <c r="W778">
        <v>5.0514160000000004E-3</v>
      </c>
      <c r="X778">
        <v>0.99816959999999999</v>
      </c>
      <c r="Y778">
        <v>-5.4993809999999997E-2</v>
      </c>
      <c r="Z778">
        <v>2.0610509999999999E-3</v>
      </c>
      <c r="AA778">
        <v>0.99848460000000006</v>
      </c>
      <c r="AB778">
        <v>34</v>
      </c>
      <c r="AC778">
        <v>11.6829999999999</v>
      </c>
      <c r="AD778">
        <v>-1.1105207731819999</v>
      </c>
      <c r="AE778">
        <v>0.71890000000001897</v>
      </c>
      <c r="AF778">
        <v>-0.64953352954092403</v>
      </c>
      <c r="AG778">
        <v>-1.1105207731819999</v>
      </c>
      <c r="AH778">
        <v>11.5824784469871</v>
      </c>
      <c r="AI778">
        <v>95.468202675535494</v>
      </c>
      <c r="AJ778">
        <v>93.209726750137094</v>
      </c>
      <c r="AK778">
        <v>11.653710017354401</v>
      </c>
      <c r="AL778">
        <v>89.710573947055394</v>
      </c>
      <c r="AM778">
        <v>93.455082216045</v>
      </c>
      <c r="AN778">
        <v>0.99999998376266297</v>
      </c>
    </row>
    <row r="779" spans="1:40" x14ac:dyDescent="0.3">
      <c r="A779" t="str">
        <f>"20200111160419279"</f>
        <v>20200111160419279</v>
      </c>
      <c r="B779" t="str">
        <f>"1578729859271700"</f>
        <v>1578729859271700</v>
      </c>
      <c r="C779" t="s">
        <v>40</v>
      </c>
      <c r="D779">
        <v>5.2554499999999997</v>
      </c>
      <c r="E779">
        <v>0.48703920000000001</v>
      </c>
      <c r="F779" t="s">
        <v>41</v>
      </c>
      <c r="G779">
        <v>-253.7499</v>
      </c>
      <c r="H779" s="1">
        <v>-2.8458439999999999E-6</v>
      </c>
      <c r="I779">
        <v>368.589</v>
      </c>
      <c r="J779">
        <v>-265.41160000000002</v>
      </c>
      <c r="K779">
        <v>1.110525</v>
      </c>
      <c r="L779">
        <v>367.86630000000002</v>
      </c>
      <c r="M779">
        <v>0.99988169999999998</v>
      </c>
      <c r="N779">
        <v>0</v>
      </c>
      <c r="O779">
        <v>5.4395559999999999E-3</v>
      </c>
      <c r="P779">
        <v>0.99776229999999999</v>
      </c>
      <c r="Q779">
        <v>-9.1659870000000004E-3</v>
      </c>
      <c r="R779">
        <v>6.6233749999999994E-2</v>
      </c>
      <c r="S779">
        <v>2.991943</v>
      </c>
      <c r="T779">
        <v>-0.2802849</v>
      </c>
      <c r="U779">
        <v>0.1826477</v>
      </c>
      <c r="V779">
        <v>-6.0804940000000002E-2</v>
      </c>
      <c r="W779">
        <v>5.2040029999999996E-3</v>
      </c>
      <c r="X779">
        <v>0.99813609999999997</v>
      </c>
      <c r="Y779">
        <v>-5.5284750000000001E-2</v>
      </c>
      <c r="Z779">
        <v>2.0734669999999998E-3</v>
      </c>
      <c r="AA779">
        <v>0.99846849999999998</v>
      </c>
      <c r="AB779">
        <v>34</v>
      </c>
      <c r="AC779">
        <v>11.6617</v>
      </c>
      <c r="AD779">
        <v>-1.110527845844</v>
      </c>
      <c r="AE779">
        <v>0.72269999999997403</v>
      </c>
      <c r="AF779">
        <v>-0.65334607182154303</v>
      </c>
      <c r="AG779">
        <v>-1.110527845844</v>
      </c>
      <c r="AH779">
        <v>11.561019081650301</v>
      </c>
      <c r="AI779">
        <v>95.478193073265501</v>
      </c>
      <c r="AJ779">
        <v>93.234507046764094</v>
      </c>
      <c r="AK779">
        <v>11.632596244701499</v>
      </c>
      <c r="AL779">
        <v>89.701831245177402</v>
      </c>
      <c r="AM779">
        <v>93.486064066241994</v>
      </c>
      <c r="AN779">
        <v>0.99999999824941799</v>
      </c>
    </row>
    <row r="780" spans="1:40" x14ac:dyDescent="0.3">
      <c r="A780" t="str">
        <f>"20200111160419291"</f>
        <v>20200111160419291</v>
      </c>
      <c r="B780" t="str">
        <f>"1578729859281460"</f>
        <v>1578729859281460</v>
      </c>
      <c r="C780" t="s">
        <v>40</v>
      </c>
      <c r="D780">
        <v>5.390644</v>
      </c>
      <c r="E780">
        <v>0.48703920000000001</v>
      </c>
      <c r="F780" t="s">
        <v>43</v>
      </c>
      <c r="G780">
        <v>-163.91390000000001</v>
      </c>
      <c r="H780">
        <v>6.6740919999999999</v>
      </c>
      <c r="I780">
        <v>377.77679999999998</v>
      </c>
      <c r="J780">
        <v>-265.24020000000002</v>
      </c>
      <c r="K780">
        <v>1.1105320000000001</v>
      </c>
      <c r="L780">
        <v>367.8673</v>
      </c>
      <c r="M780">
        <v>0.99988149999999998</v>
      </c>
      <c r="N780">
        <v>0</v>
      </c>
      <c r="O780">
        <v>5.4433519999999899E-3</v>
      </c>
      <c r="P780">
        <v>0.99772229999999995</v>
      </c>
      <c r="Q780">
        <v>-8.9167949999999999E-3</v>
      </c>
      <c r="R780">
        <v>6.6865859999999999E-2</v>
      </c>
      <c r="S780">
        <v>2.988861</v>
      </c>
      <c r="T780">
        <v>0.16383610000000001</v>
      </c>
      <c r="U780">
        <v>0.29183959999999998</v>
      </c>
      <c r="V780">
        <v>-6.1433099999999997E-2</v>
      </c>
      <c r="W780">
        <v>5.4633989999999999E-3</v>
      </c>
      <c r="X780">
        <v>0.99809619999999999</v>
      </c>
      <c r="Y780">
        <v>-9.1632500000000006E-2</v>
      </c>
      <c r="Z780">
        <v>-2.2061590000000001E-3</v>
      </c>
      <c r="AA780">
        <v>0.99579039999999996</v>
      </c>
      <c r="AB780">
        <v>34</v>
      </c>
      <c r="AC780">
        <v>101.3263</v>
      </c>
      <c r="AD780">
        <v>5.5635599999999998</v>
      </c>
      <c r="AE780">
        <v>9.90949999999998</v>
      </c>
      <c r="AF780">
        <v>-9.3298798316140292</v>
      </c>
      <c r="AG780">
        <v>5.5635599999999998</v>
      </c>
      <c r="AH780">
        <v>101.07690343052199</v>
      </c>
      <c r="AI780">
        <v>86.862766381892101</v>
      </c>
      <c r="AJ780">
        <v>95.273729659576404</v>
      </c>
      <c r="AK780">
        <v>101.658940898718</v>
      </c>
      <c r="AL780">
        <v>89.686968722411905</v>
      </c>
      <c r="AM780">
        <v>93.522127936733</v>
      </c>
      <c r="AN780">
        <v>0.99999994947934001</v>
      </c>
    </row>
    <row r="781" spans="1:40" x14ac:dyDescent="0.3">
      <c r="A781" t="str">
        <f>"20200111160419302"</f>
        <v>20200111160419302</v>
      </c>
      <c r="B781" t="str">
        <f>"1578729859291220"</f>
        <v>1578729859291220</v>
      </c>
      <c r="C781" t="s">
        <v>40</v>
      </c>
      <c r="D781">
        <v>6.3973680000000002</v>
      </c>
      <c r="E781">
        <v>0.4882707</v>
      </c>
      <c r="F781" t="s">
        <v>43</v>
      </c>
      <c r="G781">
        <v>-164.16679999999999</v>
      </c>
      <c r="H781">
        <v>6.6740899999999996</v>
      </c>
      <c r="I781">
        <v>377.80540000000002</v>
      </c>
      <c r="J781">
        <v>-265.06889999999999</v>
      </c>
      <c r="K781">
        <v>1.1105419999999999</v>
      </c>
      <c r="L781">
        <v>367.8682</v>
      </c>
      <c r="M781">
        <v>0.99988129999999997</v>
      </c>
      <c r="N781">
        <v>0</v>
      </c>
      <c r="O781">
        <v>5.4471519999999898E-3</v>
      </c>
      <c r="P781">
        <v>0.99768809999999997</v>
      </c>
      <c r="Q781">
        <v>-8.6570009999999992E-3</v>
      </c>
      <c r="R781">
        <v>6.7407209999999995E-2</v>
      </c>
      <c r="S781">
        <v>2.9885860000000002</v>
      </c>
      <c r="T781">
        <v>0.1645083</v>
      </c>
      <c r="U781">
        <v>0.2938538</v>
      </c>
      <c r="V781">
        <v>-6.1970789999999998E-2</v>
      </c>
      <c r="W781">
        <v>5.7328070000000004E-3</v>
      </c>
      <c r="X781">
        <v>0.99806150000000005</v>
      </c>
      <c r="Y781">
        <v>-9.2300209999999994E-2</v>
      </c>
      <c r="Z781">
        <v>-2.2334379999999999E-3</v>
      </c>
      <c r="AA781">
        <v>0.99572870000000002</v>
      </c>
      <c r="AB781">
        <v>34</v>
      </c>
      <c r="AC781">
        <v>100.9021</v>
      </c>
      <c r="AD781">
        <v>5.5635479999999999</v>
      </c>
      <c r="AE781">
        <v>9.9372000000000096</v>
      </c>
      <c r="AF781">
        <v>-9.3591858287839091</v>
      </c>
      <c r="AG781">
        <v>5.5635479999999999</v>
      </c>
      <c r="AH781">
        <v>100.65167518381</v>
      </c>
      <c r="AI781">
        <v>86.849742485125404</v>
      </c>
      <c r="AJ781">
        <v>95.312423257029195</v>
      </c>
      <c r="AK781">
        <v>101.238861822095</v>
      </c>
      <c r="AL781">
        <v>89.671532555210106</v>
      </c>
      <c r="AM781">
        <v>93.552999763475398</v>
      </c>
      <c r="AN781">
        <v>1.0000000008357799</v>
      </c>
    </row>
    <row r="782" spans="1:40" x14ac:dyDescent="0.3">
      <c r="A782" t="str">
        <f>"20200111160419313"</f>
        <v>20200111160419313</v>
      </c>
      <c r="B782" t="str">
        <f>"1578729859311716"</f>
        <v>1578729859311716</v>
      </c>
      <c r="C782" t="s">
        <v>40</v>
      </c>
      <c r="D782">
        <v>7.8509509999999896</v>
      </c>
      <c r="E782">
        <v>0.4854772</v>
      </c>
      <c r="F782" t="s">
        <v>43</v>
      </c>
      <c r="G782">
        <v>-158.44460000000001</v>
      </c>
      <c r="H782">
        <v>6.6740909999999998</v>
      </c>
      <c r="I782">
        <v>378.08080000000001</v>
      </c>
      <c r="J782">
        <v>-264.9008</v>
      </c>
      <c r="K782">
        <v>1.1105510000000001</v>
      </c>
      <c r="L782">
        <v>367.8691</v>
      </c>
      <c r="M782">
        <v>0.99988109999999997</v>
      </c>
      <c r="N782">
        <v>0</v>
      </c>
      <c r="O782">
        <v>5.4507820000000004E-3</v>
      </c>
      <c r="P782">
        <v>0.99765859999999995</v>
      </c>
      <c r="Q782">
        <v>-8.4158159999999996E-3</v>
      </c>
      <c r="R782">
        <v>6.787195E-2</v>
      </c>
      <c r="S782">
        <v>2.988953</v>
      </c>
      <c r="T782">
        <v>0.15596289999999999</v>
      </c>
      <c r="U782">
        <v>0.28628540000000002</v>
      </c>
      <c r="V782">
        <v>-6.2432319999999999E-2</v>
      </c>
      <c r="W782">
        <v>5.9826649999999999E-3</v>
      </c>
      <c r="X782">
        <v>0.99803129999999995</v>
      </c>
      <c r="Y782">
        <v>-8.9803199999999903E-2</v>
      </c>
      <c r="Z782">
        <v>-2.0524390000000001E-3</v>
      </c>
      <c r="AA782">
        <v>0.99595739999999999</v>
      </c>
      <c r="AB782">
        <v>34</v>
      </c>
      <c r="AC782">
        <v>106.4562</v>
      </c>
      <c r="AD782">
        <v>5.5635399999999997</v>
      </c>
      <c r="AE782">
        <v>10.2117</v>
      </c>
      <c r="AF782">
        <v>-9.6052233308748693</v>
      </c>
      <c r="AG782">
        <v>5.5635399999999997</v>
      </c>
      <c r="AH782">
        <v>106.222810496024</v>
      </c>
      <c r="AI782">
        <v>87.013969200479707</v>
      </c>
      <c r="AJ782">
        <v>95.166932435919904</v>
      </c>
      <c r="AK782">
        <v>106.801211426846</v>
      </c>
      <c r="AL782">
        <v>89.657216511141002</v>
      </c>
      <c r="AM782">
        <v>93.579500363338497</v>
      </c>
      <c r="AN782">
        <v>1.0000000313203801</v>
      </c>
    </row>
    <row r="783" spans="1:40" x14ac:dyDescent="0.3">
      <c r="A783" t="str">
        <f>"20200111160419326"</f>
        <v>20200111160419326</v>
      </c>
      <c r="B783" t="str">
        <f>"1578729859321475"</f>
        <v>1578729859321475</v>
      </c>
      <c r="C783" t="s">
        <v>40</v>
      </c>
      <c r="D783">
        <v>5.2974360000000003</v>
      </c>
      <c r="E783">
        <v>0.48739070000000001</v>
      </c>
      <c r="F783" t="s">
        <v>43</v>
      </c>
      <c r="G783">
        <v>-158.19499999999999</v>
      </c>
      <c r="H783">
        <v>4.3071519999999897</v>
      </c>
      <c r="I783">
        <v>379.06849999999997</v>
      </c>
      <c r="J783">
        <v>-264.71480000000003</v>
      </c>
      <c r="K783">
        <v>1.1105579999999999</v>
      </c>
      <c r="L783">
        <v>367.87009999999998</v>
      </c>
      <c r="M783">
        <v>0.99988100000000002</v>
      </c>
      <c r="N783">
        <v>0</v>
      </c>
      <c r="O783">
        <v>5.4550639999999999E-3</v>
      </c>
      <c r="P783">
        <v>0.99761929999999999</v>
      </c>
      <c r="Q783">
        <v>-8.4732060000000005E-3</v>
      </c>
      <c r="R783">
        <v>6.8440870000000001E-2</v>
      </c>
      <c r="S783">
        <v>2.98645</v>
      </c>
      <c r="T783">
        <v>8.946788E-2</v>
      </c>
      <c r="U783">
        <v>0.313446</v>
      </c>
      <c r="V783">
        <v>-6.2997230000000001E-2</v>
      </c>
      <c r="W783">
        <v>5.934028E-3</v>
      </c>
      <c r="X783">
        <v>0.99799599999999999</v>
      </c>
      <c r="Y783">
        <v>-9.8913870000000001E-2</v>
      </c>
      <c r="Z783">
        <v>-1.314298E-3</v>
      </c>
      <c r="AA783">
        <v>0.99509510000000001</v>
      </c>
      <c r="AB783">
        <v>34</v>
      </c>
      <c r="AC783">
        <v>106.5198</v>
      </c>
      <c r="AD783">
        <v>3.1965939999999899</v>
      </c>
      <c r="AE783">
        <v>11.1983999999999</v>
      </c>
      <c r="AF783">
        <v>-10.6076520748814</v>
      </c>
      <c r="AG783">
        <v>3.1965939999999899</v>
      </c>
      <c r="AH783">
        <v>106.484461391941</v>
      </c>
      <c r="AI783">
        <v>88.288998050460293</v>
      </c>
      <c r="AJ783">
        <v>95.688859698683999</v>
      </c>
      <c r="AK783">
        <v>107.05924067391101</v>
      </c>
      <c r="AL783">
        <v>89.660003224248598</v>
      </c>
      <c r="AM783">
        <v>93.611931027275304</v>
      </c>
      <c r="AN783">
        <v>0.99999993984598601</v>
      </c>
    </row>
    <row r="784" spans="1:40" x14ac:dyDescent="0.3">
      <c r="A784" t="str">
        <f>"20200111160419338"</f>
        <v>20200111160419338</v>
      </c>
      <c r="B784" t="str">
        <f>"1578729859331236"</f>
        <v>1578729859331236</v>
      </c>
      <c r="C784" t="s">
        <v>40</v>
      </c>
      <c r="D784">
        <v>5.3103720000000001</v>
      </c>
      <c r="E784">
        <v>0.4888844</v>
      </c>
      <c r="F784" t="s">
        <v>43</v>
      </c>
      <c r="G784">
        <v>-158.19499999999999</v>
      </c>
      <c r="H784">
        <v>4.2935140000000001</v>
      </c>
      <c r="I784">
        <v>378.55369999999999</v>
      </c>
      <c r="J784">
        <v>-264.53390000000002</v>
      </c>
      <c r="K784">
        <v>1.1105659999999999</v>
      </c>
      <c r="L784">
        <v>367.87110000000001</v>
      </c>
      <c r="M784">
        <v>0.99988089999999996</v>
      </c>
      <c r="N784">
        <v>0</v>
      </c>
      <c r="O784">
        <v>5.4592360000000001E-3</v>
      </c>
      <c r="P784">
        <v>0.99760219999999999</v>
      </c>
      <c r="Q784">
        <v>-8.6884459999999903E-3</v>
      </c>
      <c r="R784">
        <v>6.8662650000000006E-2</v>
      </c>
      <c r="S784">
        <v>2.9873660000000002</v>
      </c>
      <c r="T784">
        <v>8.9268920000000002E-2</v>
      </c>
      <c r="U784">
        <v>0.29962159999999999</v>
      </c>
      <c r="V784">
        <v>-6.3214790000000007E-2</v>
      </c>
      <c r="W784">
        <v>5.7270860000000002E-3</v>
      </c>
      <c r="X784">
        <v>0.99798350000000002</v>
      </c>
      <c r="Y784">
        <v>-9.4322260000000005E-2</v>
      </c>
      <c r="Z784">
        <v>-1.2427439999999901E-3</v>
      </c>
      <c r="AA784">
        <v>0.99554089999999995</v>
      </c>
      <c r="AB784">
        <v>34</v>
      </c>
      <c r="AC784">
        <v>106.3389</v>
      </c>
      <c r="AD784">
        <v>3.1829480000000001</v>
      </c>
      <c r="AE784">
        <v>10.6825999999999</v>
      </c>
      <c r="AF784">
        <v>-10.092898929791501</v>
      </c>
      <c r="AG784">
        <v>3.1829480000000001</v>
      </c>
      <c r="AH784">
        <v>106.30135275612901</v>
      </c>
      <c r="AI784">
        <v>88.292596989634205</v>
      </c>
      <c r="AJ784">
        <v>95.423751895144306</v>
      </c>
      <c r="AK784">
        <v>106.826847583183</v>
      </c>
      <c r="AL784">
        <v>89.671860345445197</v>
      </c>
      <c r="AM784">
        <v>93.624416860705594</v>
      </c>
      <c r="AN784">
        <v>0.99999998773052201</v>
      </c>
    </row>
    <row r="785" spans="1:40" x14ac:dyDescent="0.3">
      <c r="A785" t="str">
        <f>"20200111160419349"</f>
        <v>20200111160419349</v>
      </c>
      <c r="B785" t="str">
        <f>"1578729859341972"</f>
        <v>1578729859341972</v>
      </c>
      <c r="C785" t="s">
        <v>40</v>
      </c>
      <c r="D785">
        <v>5.1840020000000004</v>
      </c>
      <c r="E785">
        <v>0.49071740000000003</v>
      </c>
      <c r="F785" t="s">
        <v>43</v>
      </c>
      <c r="G785">
        <v>-158.19499999999999</v>
      </c>
      <c r="H785">
        <v>4.5201209999999996</v>
      </c>
      <c r="I785">
        <v>378.12400000000002</v>
      </c>
      <c r="J785">
        <v>-264.36180000000002</v>
      </c>
      <c r="K785">
        <v>1.1105719999999999</v>
      </c>
      <c r="L785">
        <v>367.87209999999999</v>
      </c>
      <c r="M785">
        <v>0.99988080000000001</v>
      </c>
      <c r="N785">
        <v>0</v>
      </c>
      <c r="O785">
        <v>5.4631760000000001E-3</v>
      </c>
      <c r="P785">
        <v>0.99759209999999998</v>
      </c>
      <c r="Q785">
        <v>-8.7180439999999994E-3</v>
      </c>
      <c r="R785">
        <v>6.8807899999999894E-2</v>
      </c>
      <c r="S785">
        <v>2.988251</v>
      </c>
      <c r="T785">
        <v>9.5814940000000001E-2</v>
      </c>
      <c r="U785">
        <v>0.2881165</v>
      </c>
      <c r="V785">
        <v>-6.3356120000000002E-2</v>
      </c>
      <c r="W785">
        <v>5.7041979999999997E-3</v>
      </c>
      <c r="X785">
        <v>0.99797469999999999</v>
      </c>
      <c r="Y785">
        <v>-9.0488139999999995E-2</v>
      </c>
      <c r="Z785">
        <v>-1.272249E-3</v>
      </c>
      <c r="AA785">
        <v>0.99589669999999997</v>
      </c>
      <c r="AB785">
        <v>34</v>
      </c>
      <c r="AC785">
        <v>106.16679999999999</v>
      </c>
      <c r="AD785">
        <v>3.4095490000000002</v>
      </c>
      <c r="AE785">
        <v>10.251899999999999</v>
      </c>
      <c r="AF785">
        <v>-9.6618056960628405</v>
      </c>
      <c r="AG785">
        <v>3.4095490000000002</v>
      </c>
      <c r="AH785">
        <v>106.112798126545</v>
      </c>
      <c r="AI785">
        <v>88.167218051670005</v>
      </c>
      <c r="AJ785">
        <v>95.202562199768195</v>
      </c>
      <c r="AK785">
        <v>106.606291746485</v>
      </c>
      <c r="AL785">
        <v>89.673171762847602</v>
      </c>
      <c r="AM785">
        <v>93.632530282495296</v>
      </c>
      <c r="AN785">
        <v>1.0000000188281799</v>
      </c>
    </row>
    <row r="786" spans="1:40" x14ac:dyDescent="0.3">
      <c r="A786" t="str">
        <f>"20200111160419360"</f>
        <v>20200111160419360</v>
      </c>
      <c r="B786" t="str">
        <f>"1578729859351732"</f>
        <v>1578729859351732</v>
      </c>
      <c r="C786" t="s">
        <v>40</v>
      </c>
      <c r="D786">
        <v>5.1681140000000001</v>
      </c>
      <c r="E786">
        <v>0.49203350000000001</v>
      </c>
      <c r="F786" t="s">
        <v>43</v>
      </c>
      <c r="G786">
        <v>-158.19499999999999</v>
      </c>
      <c r="H786">
        <v>3.1839620000000002</v>
      </c>
      <c r="I786">
        <v>377.6807</v>
      </c>
      <c r="J786">
        <v>-264.18849999999998</v>
      </c>
      <c r="K786">
        <v>1.1105799999999999</v>
      </c>
      <c r="L786">
        <v>367.87299999999999</v>
      </c>
      <c r="M786">
        <v>0.99988060000000001</v>
      </c>
      <c r="N786">
        <v>0</v>
      </c>
      <c r="O786">
        <v>5.4671800000000003E-3</v>
      </c>
      <c r="P786">
        <v>0.99758939999999996</v>
      </c>
      <c r="Q786">
        <v>-8.7253639999999993E-3</v>
      </c>
      <c r="R786">
        <v>6.8842730000000005E-2</v>
      </c>
      <c r="S786">
        <v>2.9887079999999999</v>
      </c>
      <c r="T786">
        <v>5.837059E-2</v>
      </c>
      <c r="U786">
        <v>0.27612300000000001</v>
      </c>
      <c r="V786">
        <v>-6.3387059999999995E-2</v>
      </c>
      <c r="W786">
        <v>5.7032439999999997E-3</v>
      </c>
      <c r="X786">
        <v>0.99797270000000005</v>
      </c>
      <c r="Y786">
        <v>-8.6535710000000002E-2</v>
      </c>
      <c r="Z786">
        <v>-7.3661880000000003E-4</v>
      </c>
      <c r="AA786">
        <v>0.99624849999999998</v>
      </c>
      <c r="AB786">
        <v>34</v>
      </c>
      <c r="AC786">
        <v>105.993499999999</v>
      </c>
      <c r="AD786">
        <v>2.0733820000000001</v>
      </c>
      <c r="AE786">
        <v>9.8076999999999508</v>
      </c>
      <c r="AF786">
        <v>-9.2245075329335808</v>
      </c>
      <c r="AG786">
        <v>2.0733820000000001</v>
      </c>
      <c r="AH786">
        <v>106.00532320138601</v>
      </c>
      <c r="AI786">
        <v>88.883699283372906</v>
      </c>
      <c r="AJ786">
        <v>94.973309845922699</v>
      </c>
      <c r="AK786">
        <v>106.42611991035599</v>
      </c>
      <c r="AL786">
        <v>89.673226410618696</v>
      </c>
      <c r="AM786">
        <v>93.6343067414752</v>
      </c>
      <c r="AN786">
        <v>0.99999997815642805</v>
      </c>
    </row>
    <row r="787" spans="1:40" x14ac:dyDescent="0.3">
      <c r="A787" t="str">
        <f>"20200111160419372"</f>
        <v>20200111160419372</v>
      </c>
      <c r="B787" t="str">
        <f>"1578729859361492"</f>
        <v>1578729859361492</v>
      </c>
      <c r="C787" t="s">
        <v>40</v>
      </c>
      <c r="D787">
        <v>5.2279619999999998</v>
      </c>
      <c r="E787">
        <v>0.49308550000000001</v>
      </c>
      <c r="F787" t="s">
        <v>43</v>
      </c>
      <c r="G787">
        <v>-158.19499999999999</v>
      </c>
      <c r="H787">
        <v>1.6992860000000001</v>
      </c>
      <c r="I787">
        <v>377.36290000000002</v>
      </c>
      <c r="J787">
        <v>-264.01900000000001</v>
      </c>
      <c r="K787">
        <v>1.110582</v>
      </c>
      <c r="L787">
        <v>367.87389999999999</v>
      </c>
      <c r="M787">
        <v>0.9998804</v>
      </c>
      <c r="N787">
        <v>0</v>
      </c>
      <c r="O787">
        <v>5.4710109999999996E-3</v>
      </c>
      <c r="P787">
        <v>0.9976199</v>
      </c>
      <c r="Q787">
        <v>-7.8795529999999992E-3</v>
      </c>
      <c r="R787">
        <v>6.8501450000000005E-2</v>
      </c>
      <c r="S787">
        <v>2.988953</v>
      </c>
      <c r="T787">
        <v>1.6603590000000001E-2</v>
      </c>
      <c r="U787">
        <v>0.26760859999999997</v>
      </c>
      <c r="V787">
        <v>-6.3041719999999996E-2</v>
      </c>
      <c r="W787">
        <v>6.5553360000000001E-3</v>
      </c>
      <c r="X787">
        <v>0.99798940000000003</v>
      </c>
      <c r="Y787">
        <v>-8.3723549999999994E-2</v>
      </c>
      <c r="Z787">
        <v>-2.017439E-4</v>
      </c>
      <c r="AA787">
        <v>0.99648899999999996</v>
      </c>
      <c r="AB787">
        <v>34</v>
      </c>
      <c r="AC787">
        <v>105.824</v>
      </c>
      <c r="AD787">
        <v>0.58870400000000001</v>
      </c>
      <c r="AE787">
        <v>9.4890000000000292</v>
      </c>
      <c r="AF787">
        <v>-8.9095595748630991</v>
      </c>
      <c r="AG787">
        <v>0.58870400000000001</v>
      </c>
      <c r="AH787">
        <v>105.871085440272</v>
      </c>
      <c r="AI787">
        <v>89.682528030996906</v>
      </c>
      <c r="AJ787">
        <v>94.810380239100297</v>
      </c>
      <c r="AK787">
        <v>106.24694610443601</v>
      </c>
      <c r="AL787">
        <v>89.624404237618293</v>
      </c>
      <c r="AM787">
        <v>93.614498931115705</v>
      </c>
      <c r="AN787">
        <v>1.0000000367014901</v>
      </c>
    </row>
    <row r="788" spans="1:40" x14ac:dyDescent="0.3">
      <c r="A788" t="str">
        <f>"20200111160419383"</f>
        <v>20200111160419383</v>
      </c>
      <c r="B788" t="str">
        <f>"1578729859381011"</f>
        <v>1578729859381011</v>
      </c>
      <c r="C788" t="s">
        <v>40</v>
      </c>
      <c r="D788">
        <v>5.4262920000000001</v>
      </c>
      <c r="E788">
        <v>0.49418960000000001</v>
      </c>
      <c r="F788" t="s">
        <v>43</v>
      </c>
      <c r="G788">
        <v>-158.19499999999999</v>
      </c>
      <c r="H788">
        <v>0.58191969999999904</v>
      </c>
      <c r="I788">
        <v>377.0745</v>
      </c>
      <c r="J788">
        <v>-263.84660000000002</v>
      </c>
      <c r="K788">
        <v>1.1105849999999999</v>
      </c>
      <c r="L788">
        <v>367.87479999999999</v>
      </c>
      <c r="M788">
        <v>0.9998804</v>
      </c>
      <c r="N788">
        <v>0</v>
      </c>
      <c r="O788">
        <v>5.4750220000000004E-3</v>
      </c>
      <c r="P788">
        <v>0.99766299999999997</v>
      </c>
      <c r="Q788">
        <v>-7.2648490000000003E-3</v>
      </c>
      <c r="R788">
        <v>6.7938330000000005E-2</v>
      </c>
      <c r="S788">
        <v>2.9892270000000001</v>
      </c>
      <c r="T788">
        <v>-1.493073E-2</v>
      </c>
      <c r="U788">
        <v>0.2598877</v>
      </c>
      <c r="V788">
        <v>-6.2474189999999999E-2</v>
      </c>
      <c r="W788">
        <v>7.1761619999999998E-3</v>
      </c>
      <c r="X788">
        <v>0.99802080000000004</v>
      </c>
      <c r="Y788">
        <v>-8.1157450000000006E-2</v>
      </c>
      <c r="Z788">
        <v>1.7500520000000001E-4</v>
      </c>
      <c r="AA788">
        <v>0.99670130000000001</v>
      </c>
      <c r="AB788">
        <v>34</v>
      </c>
      <c r="AC788">
        <v>105.6516</v>
      </c>
      <c r="AD788">
        <v>-0.5286653</v>
      </c>
      <c r="AE788">
        <v>9.1997</v>
      </c>
      <c r="AF788">
        <v>-8.6208425044164905</v>
      </c>
      <c r="AG788">
        <v>-0.5286653</v>
      </c>
      <c r="AH788">
        <v>105.697763382204</v>
      </c>
      <c r="AI788">
        <v>90.285623746216203</v>
      </c>
      <c r="AJ788">
        <v>94.662794767191002</v>
      </c>
      <c r="AK788">
        <v>106.050061746732</v>
      </c>
      <c r="AL788">
        <v>89.588832683252605</v>
      </c>
      <c r="AM788">
        <v>93.581932280422507</v>
      </c>
      <c r="AN788">
        <v>1.0000000194749199</v>
      </c>
    </row>
    <row r="789" spans="1:40" x14ac:dyDescent="0.3">
      <c r="A789" t="str">
        <f>"20200111160419395"</f>
        <v>20200111160419395</v>
      </c>
      <c r="B789" t="str">
        <f>"1578729859391747"</f>
        <v>1578729859391747</v>
      </c>
      <c r="C789" t="s">
        <v>40</v>
      </c>
      <c r="D789">
        <v>5.199649</v>
      </c>
      <c r="E789">
        <v>0.49499910000000003</v>
      </c>
      <c r="F789" t="s">
        <v>41</v>
      </c>
      <c r="G789">
        <v>-210.94149999999999</v>
      </c>
      <c r="H789" s="1">
        <v>-4.438624E-6</v>
      </c>
      <c r="I789">
        <v>372.33920000000001</v>
      </c>
      <c r="J789">
        <v>-263.666</v>
      </c>
      <c r="K789">
        <v>1.1105860000000001</v>
      </c>
      <c r="L789">
        <v>367.8759</v>
      </c>
      <c r="M789">
        <v>0.99988030000000006</v>
      </c>
      <c r="N789">
        <v>0</v>
      </c>
      <c r="O789">
        <v>5.4789779999999998E-3</v>
      </c>
      <c r="P789">
        <v>0.99770300000000001</v>
      </c>
      <c r="Q789">
        <v>-6.3761919999999897E-3</v>
      </c>
      <c r="R789">
        <v>6.7439750000000007E-2</v>
      </c>
      <c r="S789">
        <v>2.9893800000000001</v>
      </c>
      <c r="T789">
        <v>-6.2753320000000001E-2</v>
      </c>
      <c r="U789">
        <v>0.25225829999999999</v>
      </c>
      <c r="V789">
        <v>-6.1971699999999998E-2</v>
      </c>
      <c r="W789">
        <v>8.0702080000000006E-3</v>
      </c>
      <c r="X789">
        <v>0.99804530000000002</v>
      </c>
      <c r="Y789">
        <v>-7.8608579999999997E-2</v>
      </c>
      <c r="Z789">
        <v>7.0872169999999996E-4</v>
      </c>
      <c r="AA789">
        <v>0.99690529999999999</v>
      </c>
      <c r="AB789">
        <v>34</v>
      </c>
      <c r="AC789">
        <v>52.724499999999999</v>
      </c>
      <c r="AD789">
        <v>-1.110590438624</v>
      </c>
      <c r="AE789">
        <v>4.4633000000000003</v>
      </c>
      <c r="AF789">
        <v>-4.1724882393840002</v>
      </c>
      <c r="AG789">
        <v>-1.110590438624</v>
      </c>
      <c r="AH789">
        <v>52.724938083585897</v>
      </c>
      <c r="AI789">
        <v>91.202931755322595</v>
      </c>
      <c r="AJ789">
        <v>94.524780486888503</v>
      </c>
      <c r="AK789">
        <v>52.901438214363601</v>
      </c>
      <c r="AL789">
        <v>89.537606131975707</v>
      </c>
      <c r="AM789">
        <v>93.553109327697499</v>
      </c>
      <c r="AN789">
        <v>1.0000000203550701</v>
      </c>
    </row>
    <row r="790" spans="1:40" x14ac:dyDescent="0.3">
      <c r="A790" t="str">
        <f>"20200111160419410"</f>
        <v>20200111160419410</v>
      </c>
      <c r="B790" t="str">
        <f>"1578729859401508"</f>
        <v>1578729859401508</v>
      </c>
      <c r="C790" t="s">
        <v>40</v>
      </c>
      <c r="D790">
        <v>5.1809390000000004</v>
      </c>
      <c r="E790">
        <v>0.49558839999999998</v>
      </c>
      <c r="F790" t="s">
        <v>41</v>
      </c>
      <c r="G790">
        <v>-222.2079</v>
      </c>
      <c r="H790" s="1">
        <v>-3.7675910000000001E-6</v>
      </c>
      <c r="I790">
        <v>371.27940000000001</v>
      </c>
      <c r="J790">
        <v>-263.45510000000002</v>
      </c>
      <c r="K790">
        <v>1.1105849999999999</v>
      </c>
      <c r="L790">
        <v>367.87700000000001</v>
      </c>
      <c r="M790">
        <v>0.99988010000000005</v>
      </c>
      <c r="N790">
        <v>0</v>
      </c>
      <c r="O790">
        <v>5.4840039999999998E-3</v>
      </c>
      <c r="P790">
        <v>0.99786070000000004</v>
      </c>
      <c r="Q790">
        <v>-5.6520219999999996E-3</v>
      </c>
      <c r="R790">
        <v>6.5132159999999995E-2</v>
      </c>
      <c r="S790">
        <v>2.9898069999999999</v>
      </c>
      <c r="T790">
        <v>-8.0091480000000007E-2</v>
      </c>
      <c r="U790">
        <v>0.2454529</v>
      </c>
      <c r="V790">
        <v>-5.9658269999999999E-2</v>
      </c>
      <c r="W790">
        <v>8.8016480000000005E-3</v>
      </c>
      <c r="X790">
        <v>0.99817999999999996</v>
      </c>
      <c r="Y790">
        <v>-7.6328649999999998E-2</v>
      </c>
      <c r="Z790">
        <v>8.7381350000000004E-4</v>
      </c>
      <c r="AA790">
        <v>0.99708240000000004</v>
      </c>
      <c r="AB790">
        <v>34</v>
      </c>
      <c r="AC790">
        <v>41.247199999999999</v>
      </c>
      <c r="AD790">
        <v>-1.110588767591</v>
      </c>
      <c r="AE790">
        <v>3.4024000000000498</v>
      </c>
      <c r="AF790">
        <v>-3.1738399190872699</v>
      </c>
      <c r="AG790">
        <v>-1.110588767591</v>
      </c>
      <c r="AH790">
        <v>41.2355480234787</v>
      </c>
      <c r="AI790">
        <v>91.538215424228994</v>
      </c>
      <c r="AJ790">
        <v>94.401294854244995</v>
      </c>
      <c r="AK790">
        <v>41.372419412445602</v>
      </c>
      <c r="AL790">
        <v>89.495696177788801</v>
      </c>
      <c r="AM790">
        <v>93.420330775652005</v>
      </c>
      <c r="AN790">
        <v>0.99999994529345204</v>
      </c>
    </row>
    <row r="791" spans="1:40" x14ac:dyDescent="0.3">
      <c r="A791" t="str">
        <f>"20200111160419421"</f>
        <v>20200111160419421</v>
      </c>
      <c r="B791" t="str">
        <f>"1578729859411268"</f>
        <v>1578729859411268</v>
      </c>
      <c r="C791" t="s">
        <v>40</v>
      </c>
      <c r="D791">
        <v>5.1897739999999999</v>
      </c>
      <c r="E791">
        <v>0.49625540000000001</v>
      </c>
      <c r="F791" t="s">
        <v>41</v>
      </c>
      <c r="G791">
        <v>-228.44919999999999</v>
      </c>
      <c r="H791" s="1">
        <v>-9.1552939999999999E-7</v>
      </c>
      <c r="I791">
        <v>370.6232</v>
      </c>
      <c r="J791">
        <v>-263.27449999999999</v>
      </c>
      <c r="K791">
        <v>1.110592</v>
      </c>
      <c r="L791">
        <v>367.87799999999999</v>
      </c>
      <c r="M791">
        <v>0.99988010000000005</v>
      </c>
      <c r="N791">
        <v>0</v>
      </c>
      <c r="O791">
        <v>5.488026E-3</v>
      </c>
      <c r="P791">
        <v>0.99794439999999995</v>
      </c>
      <c r="Q791">
        <v>-5.2898619999999898E-3</v>
      </c>
      <c r="R791">
        <v>6.3869129999999996E-2</v>
      </c>
      <c r="S791">
        <v>2.990631</v>
      </c>
      <c r="T791">
        <v>-9.487951E-2</v>
      </c>
      <c r="U791">
        <v>0.2346191</v>
      </c>
      <c r="V791">
        <v>-5.8390989999999997E-2</v>
      </c>
      <c r="W791">
        <v>9.1692749999999993E-3</v>
      </c>
      <c r="X791">
        <v>0.99825169999999996</v>
      </c>
      <c r="Y791">
        <v>-7.2704499999999894E-2</v>
      </c>
      <c r="Z791">
        <v>9.7743060000000004E-4</v>
      </c>
      <c r="AA791">
        <v>0.99735309999999999</v>
      </c>
      <c r="AB791">
        <v>34</v>
      </c>
      <c r="AC791">
        <v>34.825299999999999</v>
      </c>
      <c r="AD791">
        <v>-1.1105929155293901</v>
      </c>
      <c r="AE791">
        <v>2.7451999999999499</v>
      </c>
      <c r="AF791">
        <v>-2.55143767669556</v>
      </c>
      <c r="AG791">
        <v>-1.1105929155293901</v>
      </c>
      <c r="AH791">
        <v>34.804665068602503</v>
      </c>
      <c r="AI791">
        <v>91.822760911124604</v>
      </c>
      <c r="AJ791">
        <v>94.192701870856993</v>
      </c>
      <c r="AK791">
        <v>34.915726562391399</v>
      </c>
      <c r="AL791">
        <v>89.474631889829595</v>
      </c>
      <c r="AM791">
        <v>93.347602150921304</v>
      </c>
      <c r="AN791">
        <v>1.0000000199350401</v>
      </c>
    </row>
    <row r="792" spans="1:40" x14ac:dyDescent="0.3">
      <c r="A792" t="str">
        <f>"20200111160419433"</f>
        <v>20200111160419433</v>
      </c>
      <c r="B792" t="str">
        <f>"1578729859421027"</f>
        <v>1578729859421027</v>
      </c>
      <c r="C792" t="s">
        <v>40</v>
      </c>
      <c r="D792">
        <v>5.3552609999999996</v>
      </c>
      <c r="E792">
        <v>0.4976855</v>
      </c>
      <c r="F792" t="s">
        <v>41</v>
      </c>
      <c r="G792">
        <v>-232.30709999999999</v>
      </c>
      <c r="H792" s="1">
        <v>-3.443326E-6</v>
      </c>
      <c r="I792">
        <v>370.22070000000002</v>
      </c>
      <c r="J792">
        <v>-263.10160000000002</v>
      </c>
      <c r="K792">
        <v>1.1105910000000001</v>
      </c>
      <c r="L792">
        <v>367.87889999999999</v>
      </c>
      <c r="M792">
        <v>0.99987999999999999</v>
      </c>
      <c r="N792">
        <v>0</v>
      </c>
      <c r="O792">
        <v>5.491994E-3</v>
      </c>
      <c r="P792">
        <v>0.99805080000000002</v>
      </c>
      <c r="Q792">
        <v>-4.6390310000000001E-3</v>
      </c>
      <c r="R792">
        <v>6.2237050000000002E-2</v>
      </c>
      <c r="S792">
        <v>2.9911500000000002</v>
      </c>
      <c r="T792">
        <v>-0.1072724</v>
      </c>
      <c r="U792">
        <v>0.22628780000000001</v>
      </c>
      <c r="V792">
        <v>-5.6754539999999999E-2</v>
      </c>
      <c r="W792">
        <v>9.8248980000000003E-3</v>
      </c>
      <c r="X792">
        <v>0.9983398</v>
      </c>
      <c r="Y792">
        <v>-6.9917670000000001E-2</v>
      </c>
      <c r="Z792">
        <v>1.054922E-3</v>
      </c>
      <c r="AA792">
        <v>0.9975522</v>
      </c>
      <c r="AB792">
        <v>34</v>
      </c>
      <c r="AC792">
        <v>30.794499999999999</v>
      </c>
      <c r="AD792">
        <v>-1.110594443326</v>
      </c>
      <c r="AE792">
        <v>2.3418000000000299</v>
      </c>
      <c r="AF792">
        <v>-2.1698177465826798</v>
      </c>
      <c r="AG792">
        <v>-1.110594443326</v>
      </c>
      <c r="AH792">
        <v>30.7671104473905</v>
      </c>
      <c r="AI792">
        <v>92.062179661114698</v>
      </c>
      <c r="AJ792">
        <v>94.034044826142903</v>
      </c>
      <c r="AK792">
        <v>30.8635159104218</v>
      </c>
      <c r="AL792">
        <v>89.437065743161</v>
      </c>
      <c r="AM792">
        <v>93.253701131108997</v>
      </c>
      <c r="AN792">
        <v>0.99999998134767998</v>
      </c>
    </row>
    <row r="793" spans="1:40" x14ac:dyDescent="0.3">
      <c r="A793" t="str">
        <f>"20200111160419445"</f>
        <v>20200111160419445</v>
      </c>
      <c r="B793" t="str">
        <f>"1578729859441524"</f>
        <v>1578729859441524</v>
      </c>
      <c r="C793" t="s">
        <v>40</v>
      </c>
      <c r="D793">
        <v>5.2371249999999998</v>
      </c>
      <c r="E793">
        <v>0.50040720000000005</v>
      </c>
      <c r="F793" t="s">
        <v>41</v>
      </c>
      <c r="G793">
        <v>-233.89230000000001</v>
      </c>
      <c r="H793" s="1">
        <v>-2.687434E-6</v>
      </c>
      <c r="I793">
        <v>369.93560000000002</v>
      </c>
      <c r="J793">
        <v>-262.92419999999998</v>
      </c>
      <c r="K793">
        <v>1.110595</v>
      </c>
      <c r="L793">
        <v>367.87990000000002</v>
      </c>
      <c r="M793">
        <v>0.99987990000000004</v>
      </c>
      <c r="N793">
        <v>0</v>
      </c>
      <c r="O793">
        <v>5.4960219999999997E-3</v>
      </c>
      <c r="P793">
        <v>0.99812509999999999</v>
      </c>
      <c r="Q793">
        <v>-4.3758709999999999E-3</v>
      </c>
      <c r="R793">
        <v>6.1050640000000003E-2</v>
      </c>
      <c r="S793">
        <v>2.9921880000000001</v>
      </c>
      <c r="T793">
        <v>-0.11376849999999999</v>
      </c>
      <c r="U793">
        <v>0.2106934</v>
      </c>
      <c r="V793">
        <v>-5.5563759999999997E-2</v>
      </c>
      <c r="W793">
        <v>1.009239E-2</v>
      </c>
      <c r="X793">
        <v>0.99840410000000002</v>
      </c>
      <c r="Y793">
        <v>-6.4713930000000003E-2</v>
      </c>
      <c r="Z793">
        <v>1.019662E-3</v>
      </c>
      <c r="AA793">
        <v>0.99790330000000005</v>
      </c>
      <c r="AB793">
        <v>34</v>
      </c>
      <c r="AC793">
        <v>29.031899999999901</v>
      </c>
      <c r="AD793">
        <v>-1.110597687434</v>
      </c>
      <c r="AE793">
        <v>2.0556999999999999</v>
      </c>
      <c r="AF793">
        <v>-1.89333534821469</v>
      </c>
      <c r="AG793">
        <v>-1.110597687434</v>
      </c>
      <c r="AH793">
        <v>29.000533175156999</v>
      </c>
      <c r="AI793">
        <v>92.188459754653493</v>
      </c>
      <c r="AJ793">
        <v>93.735324186333401</v>
      </c>
      <c r="AK793">
        <v>29.083484495629399</v>
      </c>
      <c r="AL793">
        <v>89.421738812029602</v>
      </c>
      <c r="AM793">
        <v>93.185371844784001</v>
      </c>
      <c r="AN793">
        <v>0.99999996732902896</v>
      </c>
    </row>
    <row r="794" spans="1:40" x14ac:dyDescent="0.3">
      <c r="A794" t="str">
        <f>"20200111160419456"</f>
        <v>20200111160419456</v>
      </c>
      <c r="B794" t="str">
        <f>"1578729859451284"</f>
        <v>1578729859451284</v>
      </c>
      <c r="C794" t="s">
        <v>40</v>
      </c>
      <c r="D794">
        <v>5.2590620000000001</v>
      </c>
      <c r="E794">
        <v>0.50155720000000004</v>
      </c>
      <c r="F794" t="s">
        <v>41</v>
      </c>
      <c r="G794">
        <v>-236.1704</v>
      </c>
      <c r="H794" s="1">
        <v>-1.638542E-6</v>
      </c>
      <c r="I794">
        <v>369.54129999999998</v>
      </c>
      <c r="J794">
        <v>-262.75749999999999</v>
      </c>
      <c r="K794">
        <v>1.1105929999999999</v>
      </c>
      <c r="L794">
        <v>367.88080000000002</v>
      </c>
      <c r="M794">
        <v>0.99987999999999999</v>
      </c>
      <c r="N794">
        <v>0</v>
      </c>
      <c r="O794">
        <v>5.4993430000000003E-3</v>
      </c>
      <c r="P794">
        <v>0.99819559999999996</v>
      </c>
      <c r="Q794">
        <v>-4.4778459999999997E-3</v>
      </c>
      <c r="R794">
        <v>5.9881810000000001E-2</v>
      </c>
      <c r="S794">
        <v>2.9937130000000001</v>
      </c>
      <c r="T794">
        <v>-0.12427390000000001</v>
      </c>
      <c r="U794">
        <v>0.1859131</v>
      </c>
      <c r="V794">
        <v>-5.4390719999999997E-2</v>
      </c>
      <c r="W794">
        <v>9.9941660000000005E-3</v>
      </c>
      <c r="X794">
        <v>0.99846970000000002</v>
      </c>
      <c r="Y794">
        <v>-5.6447780000000003E-2</v>
      </c>
      <c r="Z794">
        <v>9.4200689999999999E-4</v>
      </c>
      <c r="AA794">
        <v>0.99840510000000005</v>
      </c>
      <c r="AB794">
        <v>34</v>
      </c>
      <c r="AC794">
        <v>26.5870999999999</v>
      </c>
      <c r="AD794">
        <v>-1.110594638542</v>
      </c>
      <c r="AE794">
        <v>1.6604999999999499</v>
      </c>
      <c r="AF794">
        <v>-1.51162059713286</v>
      </c>
      <c r="AG794">
        <v>-1.110594638542</v>
      </c>
      <c r="AH794">
        <v>26.549684094820201</v>
      </c>
      <c r="AI794">
        <v>92.391463551851004</v>
      </c>
      <c r="AJ794">
        <v>93.258648038784798</v>
      </c>
      <c r="AK794">
        <v>26.615862616409501</v>
      </c>
      <c r="AL794">
        <v>89.427366928437195</v>
      </c>
      <c r="AM794">
        <v>93.118053213357598</v>
      </c>
      <c r="AN794">
        <v>0.99999998779712196</v>
      </c>
    </row>
    <row r="795" spans="1:40" x14ac:dyDescent="0.3">
      <c r="A795" t="str">
        <f>"20200111160419468"</f>
        <v>20200111160419468</v>
      </c>
      <c r="B795" t="str">
        <f>"1578729859461043"</f>
        <v>1578729859461043</v>
      </c>
      <c r="C795" t="s">
        <v>40</v>
      </c>
      <c r="D795">
        <v>5.2173049999999996</v>
      </c>
      <c r="E795">
        <v>0.50252459999999999</v>
      </c>
      <c r="F795" t="s">
        <v>41</v>
      </c>
      <c r="G795">
        <v>-236.77279999999999</v>
      </c>
      <c r="H795" s="1">
        <v>-1.408025E-6</v>
      </c>
      <c r="I795">
        <v>369.38389999999998</v>
      </c>
      <c r="J795">
        <v>-262.58359999999999</v>
      </c>
      <c r="K795">
        <v>1.110589</v>
      </c>
      <c r="L795">
        <v>367.88170000000002</v>
      </c>
      <c r="M795">
        <v>0.99987979999999999</v>
      </c>
      <c r="N795">
        <v>0</v>
      </c>
      <c r="O795">
        <v>5.5030210000000003E-3</v>
      </c>
      <c r="P795">
        <v>0.99823090000000003</v>
      </c>
      <c r="Q795">
        <v>-5.083377E-3</v>
      </c>
      <c r="R795">
        <v>5.9239449999999999E-2</v>
      </c>
      <c r="S795">
        <v>2.9944459999999999</v>
      </c>
      <c r="T795">
        <v>-0.12798319999999999</v>
      </c>
      <c r="U795">
        <v>0.17321779999999901</v>
      </c>
      <c r="V795">
        <v>-5.3744E-2</v>
      </c>
      <c r="W795">
        <v>9.3914729999999991E-3</v>
      </c>
      <c r="X795">
        <v>0.99851060000000003</v>
      </c>
      <c r="Y795">
        <v>-5.2212040000000001E-2</v>
      </c>
      <c r="Z795">
        <v>8.7942589999999996E-4</v>
      </c>
      <c r="AA795">
        <v>0.99863559999999996</v>
      </c>
      <c r="AB795">
        <v>34</v>
      </c>
      <c r="AC795">
        <v>25.8108</v>
      </c>
      <c r="AD795">
        <v>-1.110590408025</v>
      </c>
      <c r="AE795">
        <v>1.50219999999995</v>
      </c>
      <c r="AF795">
        <v>-1.3576199122415</v>
      </c>
      <c r="AG795">
        <v>-1.110590408025</v>
      </c>
      <c r="AH795">
        <v>25.771124506789398</v>
      </c>
      <c r="AI795">
        <v>92.464186126456397</v>
      </c>
      <c r="AJ795">
        <v>93.015547666270905</v>
      </c>
      <c r="AK795">
        <v>25.830745270412802</v>
      </c>
      <c r="AL795">
        <v>89.461900333029106</v>
      </c>
      <c r="AM795">
        <v>93.080924637975897</v>
      </c>
      <c r="AN795">
        <v>1.0000000178067301</v>
      </c>
    </row>
    <row r="796" spans="1:40" x14ac:dyDescent="0.3">
      <c r="A796" t="str">
        <f>"20200111160419480"</f>
        <v>20200111160419480</v>
      </c>
      <c r="B796" t="str">
        <f>"1578729859471779"</f>
        <v>1578729859471779</v>
      </c>
      <c r="C796" t="s">
        <v>40</v>
      </c>
      <c r="D796">
        <v>5.2411960000000004</v>
      </c>
      <c r="E796">
        <v>0.50337699999999996</v>
      </c>
      <c r="F796" t="s">
        <v>41</v>
      </c>
      <c r="G796">
        <v>-237.12639999999999</v>
      </c>
      <c r="H796" s="1">
        <v>-1.27581E-6</v>
      </c>
      <c r="I796">
        <v>369.27420000000001</v>
      </c>
      <c r="J796">
        <v>-262.3947</v>
      </c>
      <c r="K796">
        <v>1.1105860000000001</v>
      </c>
      <c r="L796">
        <v>367.88279999999997</v>
      </c>
      <c r="M796">
        <v>0.99987999999999999</v>
      </c>
      <c r="N796">
        <v>0</v>
      </c>
      <c r="O796">
        <v>5.5072339999999997E-3</v>
      </c>
      <c r="P796">
        <v>0.99825540000000001</v>
      </c>
      <c r="Q796">
        <v>-6.2542969999999998E-3</v>
      </c>
      <c r="R796">
        <v>5.871407E-2</v>
      </c>
      <c r="S796">
        <v>2.9949650000000001</v>
      </c>
      <c r="T796">
        <v>-0.130657</v>
      </c>
      <c r="U796">
        <v>0.1638184</v>
      </c>
      <c r="V796">
        <v>-5.321509E-2</v>
      </c>
      <c r="W796">
        <v>8.2237430000000004E-3</v>
      </c>
      <c r="X796">
        <v>0.99854920000000003</v>
      </c>
      <c r="Y796">
        <v>-4.9074560000000003E-2</v>
      </c>
      <c r="Z796">
        <v>8.2916730000000001E-4</v>
      </c>
      <c r="AA796">
        <v>0.99879479999999998</v>
      </c>
      <c r="AB796">
        <v>34</v>
      </c>
      <c r="AC796">
        <v>25.2683</v>
      </c>
      <c r="AD796">
        <v>-1.1105872758099999</v>
      </c>
      <c r="AE796">
        <v>1.3914000000000299</v>
      </c>
      <c r="AF796">
        <v>-1.2497988503019499</v>
      </c>
      <c r="AG796">
        <v>-1.1105872758099999</v>
      </c>
      <c r="AH796">
        <v>25.226995095541401</v>
      </c>
      <c r="AI796">
        <v>92.517664398527799</v>
      </c>
      <c r="AJ796">
        <v>92.836235534282693</v>
      </c>
      <c r="AK796">
        <v>25.2823393461499</v>
      </c>
      <c r="AL796">
        <v>89.528808918516205</v>
      </c>
      <c r="AM796">
        <v>93.050544233061103</v>
      </c>
      <c r="AN796">
        <v>0.999999990286639</v>
      </c>
    </row>
    <row r="797" spans="1:40" x14ac:dyDescent="0.3">
      <c r="A797" t="str">
        <f>"20200111160419492"</f>
        <v>20200111160419492</v>
      </c>
      <c r="B797" t="str">
        <f>"1578729859481540"</f>
        <v>1578729859481540</v>
      </c>
      <c r="C797" t="s">
        <v>40</v>
      </c>
      <c r="D797">
        <v>6.2148329999999996</v>
      </c>
      <c r="E797">
        <v>0.50382559999999998</v>
      </c>
      <c r="F797" t="s">
        <v>41</v>
      </c>
      <c r="G797">
        <v>-237.83150000000001</v>
      </c>
      <c r="H797" s="1">
        <v>-9.9377360000000007E-7</v>
      </c>
      <c r="I797">
        <v>369.15890000000002</v>
      </c>
      <c r="J797">
        <v>-262.2217</v>
      </c>
      <c r="K797">
        <v>1.110582</v>
      </c>
      <c r="L797">
        <v>367.88380000000001</v>
      </c>
      <c r="M797">
        <v>0.99987969999999904</v>
      </c>
      <c r="N797">
        <v>0</v>
      </c>
      <c r="O797">
        <v>5.5110940000000002E-3</v>
      </c>
      <c r="P797">
        <v>0.99825759999999997</v>
      </c>
      <c r="Q797">
        <v>-7.3444039999999997E-3</v>
      </c>
      <c r="R797">
        <v>5.8549610000000002E-2</v>
      </c>
      <c r="S797">
        <v>2.9952390000000002</v>
      </c>
      <c r="T797">
        <v>-0.13542419999999999</v>
      </c>
      <c r="U797">
        <v>0.1556091</v>
      </c>
      <c r="V797">
        <v>-5.3046980000000001E-2</v>
      </c>
      <c r="W797">
        <v>7.1356319999999899E-3</v>
      </c>
      <c r="X797">
        <v>0.99856650000000002</v>
      </c>
      <c r="Y797">
        <v>-4.6335550000000003E-2</v>
      </c>
      <c r="Z797">
        <v>7.9735339999999905E-4</v>
      </c>
      <c r="AA797">
        <v>0.99892559999999997</v>
      </c>
      <c r="AB797">
        <v>34</v>
      </c>
      <c r="AC797">
        <v>24.3902</v>
      </c>
      <c r="AD797">
        <v>-1.1105829937736</v>
      </c>
      <c r="AE797">
        <v>1.2750999999999999</v>
      </c>
      <c r="AF797">
        <v>-1.1382961703329899</v>
      </c>
      <c r="AG797">
        <v>-1.1105829937736</v>
      </c>
      <c r="AH797">
        <v>24.3465163526607</v>
      </c>
      <c r="AI797">
        <v>92.608929678835295</v>
      </c>
      <c r="AJ797">
        <v>92.676855522576105</v>
      </c>
      <c r="AK797">
        <v>24.398400998176601</v>
      </c>
      <c r="AL797">
        <v>89.591154923295605</v>
      </c>
      <c r="AM797">
        <v>93.040872892345703</v>
      </c>
      <c r="AN797">
        <v>0.99999997712670396</v>
      </c>
    </row>
    <row r="798" spans="1:40" x14ac:dyDescent="0.3">
      <c r="A798" t="str">
        <f>"20200111160419505"</f>
        <v>20200111160419505</v>
      </c>
      <c r="B798" t="str">
        <f>"1578729859501059"</f>
        <v>1578729859501059</v>
      </c>
      <c r="C798" t="s">
        <v>40</v>
      </c>
      <c r="D798">
        <v>6.3247660000000003</v>
      </c>
      <c r="E798">
        <v>0.51942250000000001</v>
      </c>
      <c r="F798" t="s">
        <v>41</v>
      </c>
      <c r="G798">
        <v>-236.5505</v>
      </c>
      <c r="H798" s="1">
        <v>-1.5399489999999999E-6</v>
      </c>
      <c r="I798">
        <v>369.17790000000002</v>
      </c>
      <c r="J798">
        <v>-262.01650000000001</v>
      </c>
      <c r="K798">
        <v>1.110576</v>
      </c>
      <c r="L798">
        <v>367.88490000000002</v>
      </c>
      <c r="M798">
        <v>0.99987969999999904</v>
      </c>
      <c r="N798">
        <v>0</v>
      </c>
      <c r="O798">
        <v>5.51543E-3</v>
      </c>
      <c r="P798">
        <v>0.99825509999999995</v>
      </c>
      <c r="Q798">
        <v>-8.5004250000000007E-3</v>
      </c>
      <c r="R798">
        <v>5.8436519999999999E-2</v>
      </c>
      <c r="S798">
        <v>2.9953919999999998</v>
      </c>
      <c r="T798">
        <v>-0.1295857</v>
      </c>
      <c r="U798">
        <v>0.151001</v>
      </c>
      <c r="V798">
        <v>-5.2929280000000002E-2</v>
      </c>
      <c r="W798">
        <v>5.9812340000000002E-3</v>
      </c>
      <c r="X798">
        <v>0.99858029999999998</v>
      </c>
      <c r="Y798">
        <v>-4.4800739999999999E-2</v>
      </c>
      <c r="Z798">
        <v>7.2965110000000003E-4</v>
      </c>
      <c r="AA798">
        <v>0.99899570000000004</v>
      </c>
      <c r="AB798">
        <v>33</v>
      </c>
      <c r="AC798">
        <v>25.466000000000001</v>
      </c>
      <c r="AD798">
        <v>-1.1105775399490001</v>
      </c>
      <c r="AE798">
        <v>1.2929999999999999</v>
      </c>
      <c r="AF798">
        <v>-1.15032750185237</v>
      </c>
      <c r="AG798">
        <v>-1.1105775399490001</v>
      </c>
      <c r="AH798">
        <v>25.4245154922212</v>
      </c>
      <c r="AI798">
        <v>92.498614972604202</v>
      </c>
      <c r="AJ798">
        <v>92.590570199714406</v>
      </c>
      <c r="AK798">
        <v>25.474744824000702</v>
      </c>
      <c r="AL798">
        <v>89.657298474892301</v>
      </c>
      <c r="AM798">
        <v>93.034096608692593</v>
      </c>
      <c r="AN798">
        <v>0.99999994969478401</v>
      </c>
    </row>
    <row r="799" spans="1:40" x14ac:dyDescent="0.3">
      <c r="A799" t="str">
        <f>"20200111160419518"</f>
        <v>20200111160419518</v>
      </c>
      <c r="B799" t="str">
        <f>"1578729859511796"</f>
        <v>1578729859511796</v>
      </c>
      <c r="C799" t="s">
        <v>40</v>
      </c>
      <c r="D799">
        <v>5.2732469999999996</v>
      </c>
      <c r="E799">
        <v>0.51942250000000001</v>
      </c>
      <c r="F799" t="s">
        <v>43</v>
      </c>
      <c r="G799">
        <v>-158.78319999999999</v>
      </c>
      <c r="H799">
        <v>6.0109300000000001</v>
      </c>
      <c r="I799">
        <v>368.26429999999999</v>
      </c>
      <c r="J799">
        <v>-261.82089999999999</v>
      </c>
      <c r="K799">
        <v>1.1105769999999999</v>
      </c>
      <c r="L799">
        <v>367.88600000000002</v>
      </c>
      <c r="M799">
        <v>0.99987969999999904</v>
      </c>
      <c r="N799">
        <v>0</v>
      </c>
      <c r="O799">
        <v>5.5199489999999997E-3</v>
      </c>
      <c r="P799">
        <v>0.99825750000000002</v>
      </c>
      <c r="Q799">
        <v>-8.943744E-3</v>
      </c>
      <c r="R799">
        <v>5.8328360000000003E-2</v>
      </c>
      <c r="S799">
        <v>3.0058289999999999</v>
      </c>
      <c r="T799">
        <v>0.14268529999999999</v>
      </c>
      <c r="U799">
        <v>1.1047360000000001E-2</v>
      </c>
      <c r="V799">
        <v>-5.281657E-2</v>
      </c>
      <c r="W799">
        <v>5.5392150000000001E-3</v>
      </c>
      <c r="X799">
        <v>0.9985889</v>
      </c>
      <c r="Y799">
        <v>1.8369739999999999E-3</v>
      </c>
      <c r="Z799">
        <v>3.0548240000000001E-4</v>
      </c>
      <c r="AA799">
        <v>0.99999830000000001</v>
      </c>
      <c r="AB799">
        <v>33</v>
      </c>
      <c r="AC799">
        <v>103.0377</v>
      </c>
      <c r="AD799">
        <v>4.900353</v>
      </c>
      <c r="AE799">
        <v>0.37830000000002401</v>
      </c>
      <c r="AF799">
        <v>0.19009840919505699</v>
      </c>
      <c r="AG799">
        <v>4.900353</v>
      </c>
      <c r="AH799">
        <v>102.805691124253</v>
      </c>
      <c r="AI799">
        <v>87.271000171285607</v>
      </c>
      <c r="AJ799">
        <v>89.894054268725696</v>
      </c>
      <c r="AK799">
        <v>102.92259093350199</v>
      </c>
      <c r="AL799">
        <v>89.682624745854696</v>
      </c>
      <c r="AM799">
        <v>93.027621673675597</v>
      </c>
      <c r="AN799">
        <v>1.0000000320862901</v>
      </c>
    </row>
    <row r="800" spans="1:40" x14ac:dyDescent="0.3">
      <c r="A800" t="str">
        <f>"20200111160419533"</f>
        <v>20200111160419533</v>
      </c>
      <c r="B800" t="str">
        <f>"1578729859521555"</f>
        <v>1578729859521555</v>
      </c>
      <c r="C800" t="s">
        <v>40</v>
      </c>
      <c r="D800">
        <v>5.2563319999999996</v>
      </c>
      <c r="E800">
        <v>0.52445140000000001</v>
      </c>
      <c r="F800" t="s">
        <v>43</v>
      </c>
      <c r="G800">
        <v>-158.78319999999999</v>
      </c>
      <c r="H800">
        <v>5.9564300000000001</v>
      </c>
      <c r="I800">
        <v>368.25420000000003</v>
      </c>
      <c r="J800">
        <v>-261.61450000000002</v>
      </c>
      <c r="K800">
        <v>1.1105860000000001</v>
      </c>
      <c r="L800">
        <v>367.88709999999998</v>
      </c>
      <c r="M800">
        <v>0.99987969999999904</v>
      </c>
      <c r="N800">
        <v>0</v>
      </c>
      <c r="O800">
        <v>5.5246480000000001E-3</v>
      </c>
      <c r="P800">
        <v>0.99826740000000003</v>
      </c>
      <c r="Q800">
        <v>-7.9160369999999904E-3</v>
      </c>
      <c r="R800">
        <v>5.8304059999999998E-2</v>
      </c>
      <c r="S800">
        <v>3.00589</v>
      </c>
      <c r="T800">
        <v>0.1413691</v>
      </c>
      <c r="U800">
        <v>1.074219E-2</v>
      </c>
      <c r="V800">
        <v>-5.2787199999999902E-2</v>
      </c>
      <c r="W800">
        <v>6.5682099999999997E-3</v>
      </c>
      <c r="X800">
        <v>0.99858420000000003</v>
      </c>
      <c r="Y800">
        <v>1.943303E-3</v>
      </c>
      <c r="Z800">
        <v>3.0538149999999998E-4</v>
      </c>
      <c r="AA800">
        <v>0.9999981</v>
      </c>
      <c r="AB800">
        <v>33</v>
      </c>
      <c r="AC800">
        <v>102.8313</v>
      </c>
      <c r="AD800">
        <v>4.8458439999999996</v>
      </c>
      <c r="AE800">
        <v>0.36710000000005</v>
      </c>
      <c r="AF800">
        <v>0.200626494249695</v>
      </c>
      <c r="AG800">
        <v>4.8458439999999996</v>
      </c>
      <c r="AH800">
        <v>102.603909960792</v>
      </c>
      <c r="AI800">
        <v>87.296012194496001</v>
      </c>
      <c r="AJ800">
        <v>89.887966874425999</v>
      </c>
      <c r="AK800">
        <v>102.718473481185</v>
      </c>
      <c r="AL800">
        <v>89.623666588551998</v>
      </c>
      <c r="AM800">
        <v>93.025955432758096</v>
      </c>
      <c r="AN800">
        <v>1.0000000171780401</v>
      </c>
    </row>
    <row r="801" spans="1:40" x14ac:dyDescent="0.3">
      <c r="A801" t="str">
        <f>"20200111160419556"</f>
        <v>20200111160419556</v>
      </c>
      <c r="B801" t="str">
        <f>"1578729859551812"</f>
        <v>1578729859551812</v>
      </c>
      <c r="C801" t="s">
        <v>40</v>
      </c>
      <c r="D801">
        <v>5.2768649999999999</v>
      </c>
      <c r="E801">
        <v>0.52187629999999996</v>
      </c>
      <c r="F801" t="s">
        <v>41</v>
      </c>
      <c r="G801">
        <v>-226.7833</v>
      </c>
      <c r="H801" s="1">
        <v>-1.7023960000000001E-6</v>
      </c>
      <c r="I801">
        <v>367.69889999999998</v>
      </c>
      <c r="J801">
        <v>-261.27109999999999</v>
      </c>
      <c r="K801">
        <v>1.1105969999999901</v>
      </c>
      <c r="L801">
        <v>367.88900000000001</v>
      </c>
      <c r="M801">
        <v>0.99987969999999904</v>
      </c>
      <c r="N801">
        <v>0</v>
      </c>
      <c r="O801">
        <v>5.5325629999999999E-3</v>
      </c>
      <c r="P801">
        <v>0.99827089999999996</v>
      </c>
      <c r="Q801">
        <v>-5.8638170000000003E-3</v>
      </c>
      <c r="R801">
        <v>5.8490170000000001E-2</v>
      </c>
      <c r="S801">
        <v>3.0054020000000001</v>
      </c>
      <c r="T801">
        <v>-9.5826629999999996E-2</v>
      </c>
      <c r="U801">
        <v>-1.6235349999999999E-2</v>
      </c>
      <c r="V801">
        <v>-5.2965409999999997E-2</v>
      </c>
      <c r="W801">
        <v>8.6218879999999994E-3</v>
      </c>
      <c r="X801">
        <v>0.99855910000000003</v>
      </c>
      <c r="Y801">
        <v>1.092659E-2</v>
      </c>
      <c r="Z801">
        <v>-3.5052770000000002E-4</v>
      </c>
      <c r="AA801">
        <v>0.99994019999999995</v>
      </c>
      <c r="AB801">
        <v>33</v>
      </c>
      <c r="AC801">
        <v>34.487799999999901</v>
      </c>
      <c r="AD801">
        <v>-1.11059870239599</v>
      </c>
      <c r="AE801">
        <v>-0.190100000000029</v>
      </c>
      <c r="AF801">
        <v>0.38052845152213399</v>
      </c>
      <c r="AG801">
        <v>-1.11059870239599</v>
      </c>
      <c r="AH801">
        <v>34.450495755744797</v>
      </c>
      <c r="AI801">
        <v>91.846322084363507</v>
      </c>
      <c r="AJ801">
        <v>89.367156055276794</v>
      </c>
      <c r="AK801">
        <v>34.470493022246899</v>
      </c>
      <c r="AL801">
        <v>89.505996072685605</v>
      </c>
      <c r="AM801">
        <v>93.036228175446098</v>
      </c>
      <c r="AN801">
        <v>0.99999997390098005</v>
      </c>
    </row>
    <row r="802" spans="1:40" x14ac:dyDescent="0.3">
      <c r="A802" t="str">
        <f>"20200111160419567"</f>
        <v>20200111160419567</v>
      </c>
      <c r="B802" t="str">
        <f>"1578729859561571"</f>
        <v>1578729859561571</v>
      </c>
      <c r="C802" t="s">
        <v>40</v>
      </c>
      <c r="D802">
        <v>5.3660300000000003</v>
      </c>
      <c r="E802">
        <v>0.52109300000000003</v>
      </c>
      <c r="F802" t="s">
        <v>41</v>
      </c>
      <c r="G802">
        <v>-242.07249999999999</v>
      </c>
      <c r="H802" s="1">
        <v>-4.023466E-6</v>
      </c>
      <c r="I802">
        <v>367.94979999999998</v>
      </c>
      <c r="J802">
        <v>-261.10390000000001</v>
      </c>
      <c r="K802">
        <v>1.1106009999999999</v>
      </c>
      <c r="L802">
        <v>367.88990000000001</v>
      </c>
      <c r="M802">
        <v>0.99987950000000003</v>
      </c>
      <c r="N802">
        <v>0</v>
      </c>
      <c r="O802">
        <v>5.5366130000000001E-3</v>
      </c>
      <c r="P802">
        <v>0.99826809999999999</v>
      </c>
      <c r="Q802">
        <v>-4.787192E-3</v>
      </c>
      <c r="R802">
        <v>5.8636559999999997E-2</v>
      </c>
      <c r="S802">
        <v>3.003571</v>
      </c>
      <c r="T802">
        <v>-0.17375060000000001</v>
      </c>
      <c r="U802">
        <v>9.5214840000000002E-3</v>
      </c>
      <c r="V802">
        <v>-5.3107719999999997E-2</v>
      </c>
      <c r="W802">
        <v>9.6985430000000004E-3</v>
      </c>
      <c r="X802">
        <v>0.99854169999999998</v>
      </c>
      <c r="Y802">
        <v>2.353983E-3</v>
      </c>
      <c r="Z802">
        <v>-3.880752E-4</v>
      </c>
      <c r="AA802">
        <v>0.99999709999999997</v>
      </c>
      <c r="AB802">
        <v>33</v>
      </c>
      <c r="AC802">
        <v>19.031400000000001</v>
      </c>
      <c r="AD802">
        <v>-1.1106050234660001</v>
      </c>
      <c r="AE802">
        <v>5.9899999999970498E-2</v>
      </c>
      <c r="AF802">
        <v>4.5327138999561999E-2</v>
      </c>
      <c r="AG802">
        <v>-1.1106050234660001</v>
      </c>
      <c r="AH802">
        <v>18.966849413403899</v>
      </c>
      <c r="AI802">
        <v>93.351121807000993</v>
      </c>
      <c r="AJ802">
        <v>89.8630743165929</v>
      </c>
      <c r="AK802">
        <v>18.999391430738498</v>
      </c>
      <c r="AL802">
        <v>89.444305711931094</v>
      </c>
      <c r="AM802">
        <v>93.044423682979499</v>
      </c>
      <c r="AN802">
        <v>1.0000000091493999</v>
      </c>
    </row>
    <row r="803" spans="1:40" x14ac:dyDescent="0.3">
      <c r="A803" t="str">
        <f>"20200111160419578"</f>
        <v>20200111160419578</v>
      </c>
      <c r="B803" t="str">
        <f>"1578729859571332"</f>
        <v>1578729859571332</v>
      </c>
      <c r="C803" t="s">
        <v>40</v>
      </c>
      <c r="D803">
        <v>5.2743520000000004</v>
      </c>
      <c r="E803">
        <v>0.52115219999999995</v>
      </c>
      <c r="F803" t="s">
        <v>41</v>
      </c>
      <c r="G803">
        <v>-242.62739999999999</v>
      </c>
      <c r="H803" s="1">
        <v>-3.753708E-6</v>
      </c>
      <c r="I803">
        <v>367.99180000000001</v>
      </c>
      <c r="J803">
        <v>-260.93549999999999</v>
      </c>
      <c r="K803">
        <v>1.110603</v>
      </c>
      <c r="L803">
        <v>367.89080000000001</v>
      </c>
      <c r="M803">
        <v>0.99987950000000003</v>
      </c>
      <c r="N803">
        <v>0</v>
      </c>
      <c r="O803">
        <v>5.5404240000000004E-3</v>
      </c>
      <c r="P803">
        <v>0.99823010000000001</v>
      </c>
      <c r="Q803">
        <v>-4.3972600000000001E-3</v>
      </c>
      <c r="R803">
        <v>5.9308369999999999E-2</v>
      </c>
      <c r="S803">
        <v>3.0033569999999998</v>
      </c>
      <c r="T803">
        <v>-0.1805291</v>
      </c>
      <c r="U803">
        <v>1.6571039999999999E-2</v>
      </c>
      <c r="V803">
        <v>-5.3776490000000003E-2</v>
      </c>
      <c r="W803">
        <v>1.008858E-2</v>
      </c>
      <c r="X803">
        <v>0.998502</v>
      </c>
      <c r="Y803" s="1">
        <v>1.355842E-5</v>
      </c>
      <c r="Z803">
        <v>-3.3316679999999998E-4</v>
      </c>
      <c r="AA803">
        <v>0.99999990000000005</v>
      </c>
      <c r="AB803">
        <v>33</v>
      </c>
      <c r="AC803">
        <v>18.3081</v>
      </c>
      <c r="AD803">
        <v>-1.110606753708</v>
      </c>
      <c r="AE803">
        <v>0.10099999999999899</v>
      </c>
      <c r="AF803">
        <v>4.4521582864748201E-4</v>
      </c>
      <c r="AG803">
        <v>-1.110606753708</v>
      </c>
      <c r="AH803">
        <v>18.241254934933799</v>
      </c>
      <c r="AI803">
        <v>93.484114831865597</v>
      </c>
      <c r="AJ803">
        <v>89.998601577137094</v>
      </c>
      <c r="AK803">
        <v>18.275032945547501</v>
      </c>
      <c r="AL803">
        <v>89.421957119975204</v>
      </c>
      <c r="AM803">
        <v>93.082810066417295</v>
      </c>
      <c r="AN803">
        <v>0.99999996716356698</v>
      </c>
    </row>
    <row r="804" spans="1:40" x14ac:dyDescent="0.3">
      <c r="A804" t="str">
        <f>"20200111160419589"</f>
        <v>20200111160419589</v>
      </c>
      <c r="B804" t="str">
        <f>"1578729859581092"</f>
        <v>1578729859581092</v>
      </c>
      <c r="C804" t="s">
        <v>40</v>
      </c>
      <c r="D804">
        <v>5.3039440000000004</v>
      </c>
      <c r="E804">
        <v>0.52098270000000002</v>
      </c>
      <c r="F804" t="s">
        <v>41</v>
      </c>
      <c r="G804">
        <v>-243.19730000000001</v>
      </c>
      <c r="H804" s="1">
        <v>-3.4827039999999998E-6</v>
      </c>
      <c r="I804">
        <v>368.00110000000001</v>
      </c>
      <c r="J804">
        <v>-260.76620000000003</v>
      </c>
      <c r="K804">
        <v>1.1106039999999999</v>
      </c>
      <c r="L804">
        <v>367.89179999999999</v>
      </c>
      <c r="M804">
        <v>0.99987950000000003</v>
      </c>
      <c r="N804">
        <v>0</v>
      </c>
      <c r="O804">
        <v>5.5442969999999897E-3</v>
      </c>
      <c r="P804">
        <v>0.99819170000000002</v>
      </c>
      <c r="Q804">
        <v>-4.2431600000000002E-3</v>
      </c>
      <c r="R804">
        <v>5.99629E-2</v>
      </c>
      <c r="S804">
        <v>3.003387</v>
      </c>
      <c r="T804">
        <v>-0.18804470000000001</v>
      </c>
      <c r="U804">
        <v>1.8676760000000001E-2</v>
      </c>
      <c r="V804">
        <v>-5.4427250000000003E-2</v>
      </c>
      <c r="W804">
        <v>1.0242589999999999E-2</v>
      </c>
      <c r="X804">
        <v>0.99846520000000005</v>
      </c>
      <c r="Y804">
        <v>-6.8309489999999996E-4</v>
      </c>
      <c r="Z804">
        <v>-3.2546060000000001E-4</v>
      </c>
      <c r="AA804">
        <v>0.99999970000000005</v>
      </c>
      <c r="AB804">
        <v>33</v>
      </c>
      <c r="AC804">
        <v>17.568899999999999</v>
      </c>
      <c r="AD804">
        <v>-1.110607482704</v>
      </c>
      <c r="AE804">
        <v>0.10930000000001799</v>
      </c>
      <c r="AF804">
        <v>-1.18335928851886E-2</v>
      </c>
      <c r="AG804">
        <v>-1.110607482704</v>
      </c>
      <c r="AH804">
        <v>17.4993103736964</v>
      </c>
      <c r="AI804">
        <v>93.631450349473297</v>
      </c>
      <c r="AJ804">
        <v>90.038745231153001</v>
      </c>
      <c r="AK804">
        <v>17.5345217376899</v>
      </c>
      <c r="AL804">
        <v>89.413132557566001</v>
      </c>
      <c r="AM804">
        <v>93.120157264340094</v>
      </c>
      <c r="AN804">
        <v>0.99999999590175503</v>
      </c>
    </row>
    <row r="805" spans="1:40" x14ac:dyDescent="0.3">
      <c r="A805" t="str">
        <f>"20200111160419601"</f>
        <v>20200111160419601</v>
      </c>
      <c r="B805" t="str">
        <f>"1578729859591828"</f>
        <v>1578729859591828</v>
      </c>
      <c r="C805" t="s">
        <v>40</v>
      </c>
      <c r="D805">
        <v>5.271261</v>
      </c>
      <c r="E805">
        <v>0.52106509999999995</v>
      </c>
      <c r="F805" t="s">
        <v>41</v>
      </c>
      <c r="G805">
        <v>-243.4898</v>
      </c>
      <c r="H805" s="1">
        <v>-3.3408989999999998E-6</v>
      </c>
      <c r="I805">
        <v>368.02100000000002</v>
      </c>
      <c r="J805">
        <v>-260.59210000000002</v>
      </c>
      <c r="K805">
        <v>1.1106</v>
      </c>
      <c r="L805">
        <v>367.89269999999999</v>
      </c>
      <c r="M805">
        <v>0.99987939999999997</v>
      </c>
      <c r="N805">
        <v>0</v>
      </c>
      <c r="O805">
        <v>5.548351E-3</v>
      </c>
      <c r="P805">
        <v>0.9981546</v>
      </c>
      <c r="Q805">
        <v>-4.4210330000000004E-3</v>
      </c>
      <c r="R805">
        <v>6.0563739999999998E-2</v>
      </c>
      <c r="S805">
        <v>3.0032649999999999</v>
      </c>
      <c r="T805">
        <v>-0.1930635</v>
      </c>
      <c r="U805">
        <v>2.2460939999999999E-2</v>
      </c>
      <c r="V805">
        <v>-5.5023900000000001E-2</v>
      </c>
      <c r="W805">
        <v>1.006378E-2</v>
      </c>
      <c r="X805">
        <v>0.9984343</v>
      </c>
      <c r="Y805">
        <v>-1.9371900000000001E-3</v>
      </c>
      <c r="Z805">
        <v>-2.9413410000000002E-4</v>
      </c>
      <c r="AA805">
        <v>0.9999981</v>
      </c>
      <c r="AB805">
        <v>33</v>
      </c>
      <c r="AC805">
        <v>17.1023</v>
      </c>
      <c r="AD805">
        <v>-1.1106033408989999</v>
      </c>
      <c r="AE805">
        <v>0.128299999999967</v>
      </c>
      <c r="AF805">
        <v>-3.3258233645143097E-2</v>
      </c>
      <c r="AG805">
        <v>-1.1106033408989999</v>
      </c>
      <c r="AH805">
        <v>17.030932352572499</v>
      </c>
      <c r="AI805">
        <v>93.731022618924101</v>
      </c>
      <c r="AJ805">
        <v>90.111887826233797</v>
      </c>
      <c r="AK805">
        <v>17.0671380930964</v>
      </c>
      <c r="AL805">
        <v>89.423378135083695</v>
      </c>
      <c r="AM805">
        <v>93.154390215499802</v>
      </c>
      <c r="AN805">
        <v>0.99999998032779303</v>
      </c>
    </row>
    <row r="806" spans="1:40" x14ac:dyDescent="0.3">
      <c r="A806" t="str">
        <f>"20200111160419613"</f>
        <v>20200111160419613</v>
      </c>
      <c r="B806" t="str">
        <f>"1578729859611348"</f>
        <v>1578729859611348</v>
      </c>
      <c r="C806" t="s">
        <v>40</v>
      </c>
      <c r="D806">
        <v>5.3155659999999996</v>
      </c>
      <c r="E806">
        <v>0.52088259999999997</v>
      </c>
      <c r="F806" t="s">
        <v>41</v>
      </c>
      <c r="G806">
        <v>-243.63650000000001</v>
      </c>
      <c r="H806" s="1">
        <v>-3.2703779999999999E-6</v>
      </c>
      <c r="I806">
        <v>368.02749999999997</v>
      </c>
      <c r="J806">
        <v>-260.41660000000002</v>
      </c>
      <c r="K806">
        <v>1.110598</v>
      </c>
      <c r="L806">
        <v>367.89370000000002</v>
      </c>
      <c r="M806">
        <v>0.99987950000000003</v>
      </c>
      <c r="N806">
        <v>0</v>
      </c>
      <c r="O806">
        <v>5.5522269999999999E-3</v>
      </c>
      <c r="P806">
        <v>0.99811139999999998</v>
      </c>
      <c r="Q806">
        <v>-4.7421640000000001E-3</v>
      </c>
      <c r="R806">
        <v>6.1246799999999997E-2</v>
      </c>
      <c r="S806">
        <v>3.0032350000000001</v>
      </c>
      <c r="T806">
        <v>-0.1967139</v>
      </c>
      <c r="U806">
        <v>2.3864750000000001E-2</v>
      </c>
      <c r="V806">
        <v>-5.5702969999999997E-2</v>
      </c>
      <c r="W806">
        <v>9.7419299999999993E-3</v>
      </c>
      <c r="X806">
        <v>0.99839990000000001</v>
      </c>
      <c r="Y806">
        <v>-2.4000940000000002E-3</v>
      </c>
      <c r="Z806">
        <v>-2.847959E-4</v>
      </c>
      <c r="AA806">
        <v>0.99999709999999997</v>
      </c>
      <c r="AB806">
        <v>33</v>
      </c>
      <c r="AC806">
        <v>16.780100000000001</v>
      </c>
      <c r="AD806">
        <v>-1.1106012703779999</v>
      </c>
      <c r="AE806">
        <v>0.13379999999995101</v>
      </c>
      <c r="AF806">
        <v>-4.0444066064875099E-2</v>
      </c>
      <c r="AG806">
        <v>-1.1106012703779999</v>
      </c>
      <c r="AH806">
        <v>16.707401548664102</v>
      </c>
      <c r="AI806">
        <v>93.803051112079999</v>
      </c>
      <c r="AJ806">
        <v>90.138697197094501</v>
      </c>
      <c r="AK806">
        <v>16.7443225426575</v>
      </c>
      <c r="AL806">
        <v>89.441819721525604</v>
      </c>
      <c r="AM806">
        <v>93.193349416890598</v>
      </c>
      <c r="AN806">
        <v>1.0000000431934699</v>
      </c>
    </row>
    <row r="807" spans="1:40" x14ac:dyDescent="0.3">
      <c r="A807" t="str">
        <f>"20200111160419626"</f>
        <v>20200111160419626</v>
      </c>
      <c r="B807" t="str">
        <f>"1578729859621108"</f>
        <v>1578729859621108</v>
      </c>
      <c r="C807" t="s">
        <v>40</v>
      </c>
      <c r="D807">
        <v>5.3024800000000001</v>
      </c>
      <c r="E807">
        <v>0.52099529999999905</v>
      </c>
      <c r="F807" t="s">
        <v>41</v>
      </c>
      <c r="G807">
        <v>-244.0461</v>
      </c>
      <c r="H807" s="1">
        <v>-3.0736239999999999E-6</v>
      </c>
      <c r="I807">
        <v>368.04509999999999</v>
      </c>
      <c r="J807">
        <v>-260.22199999999998</v>
      </c>
      <c r="K807">
        <v>1.1105959999999999</v>
      </c>
      <c r="L807">
        <v>367.89479999999998</v>
      </c>
      <c r="M807">
        <v>0.99987939999999997</v>
      </c>
      <c r="N807">
        <v>0</v>
      </c>
      <c r="O807">
        <v>5.5565819999999896E-3</v>
      </c>
      <c r="P807">
        <v>0.99806569999999994</v>
      </c>
      <c r="Q807">
        <v>-5.1274429999999998E-3</v>
      </c>
      <c r="R807">
        <v>6.195676E-2</v>
      </c>
      <c r="S807">
        <v>3.0030209999999999</v>
      </c>
      <c r="T807">
        <v>-0.20372989999999999</v>
      </c>
      <c r="U807">
        <v>2.7771000000000001E-2</v>
      </c>
      <c r="V807">
        <v>-5.6409180000000003E-2</v>
      </c>
      <c r="W807">
        <v>9.3557120000000004E-3</v>
      </c>
      <c r="X807">
        <v>0.99836389999999997</v>
      </c>
      <c r="Y807">
        <v>-3.6945010000000002E-3</v>
      </c>
      <c r="Z807">
        <v>-2.513886E-4</v>
      </c>
      <c r="AA807">
        <v>0.99999309999999997</v>
      </c>
      <c r="AB807">
        <v>33</v>
      </c>
      <c r="AC807">
        <v>16.175899999999899</v>
      </c>
      <c r="AD807">
        <v>-1.1105990736239999</v>
      </c>
      <c r="AE807">
        <v>0.150300000000015</v>
      </c>
      <c r="AF807">
        <v>-6.0122127819303602E-2</v>
      </c>
      <c r="AG807">
        <v>-1.1105990736239999</v>
      </c>
      <c r="AH807">
        <v>16.100595884773998</v>
      </c>
      <c r="AI807">
        <v>93.945913734111699</v>
      </c>
      <c r="AJ807">
        <v>90.213950352713795</v>
      </c>
      <c r="AK807">
        <v>16.138966287138398</v>
      </c>
      <c r="AL807">
        <v>89.463949368310494</v>
      </c>
      <c r="AM807">
        <v>93.233866117767505</v>
      </c>
      <c r="AN807">
        <v>1.00000000087925</v>
      </c>
    </row>
    <row r="808" spans="1:40" x14ac:dyDescent="0.3">
      <c r="A808" t="str">
        <f>"20200111160419637"</f>
        <v>20200111160419637</v>
      </c>
      <c r="B808" t="str">
        <f>"1578729859631843"</f>
        <v>1578729859631843</v>
      </c>
      <c r="C808" t="s">
        <v>40</v>
      </c>
      <c r="D808">
        <v>5.3743550000000004</v>
      </c>
      <c r="E808">
        <v>0.52098420000000001</v>
      </c>
      <c r="F808" t="s">
        <v>41</v>
      </c>
      <c r="G808">
        <v>-244.09790000000001</v>
      </c>
      <c r="H808" s="1">
        <v>-3.0479629999999999E-6</v>
      </c>
      <c r="I808">
        <v>368.05189999999999</v>
      </c>
      <c r="J808">
        <v>-260.04570000000001</v>
      </c>
      <c r="K808">
        <v>1.1105959999999999</v>
      </c>
      <c r="L808">
        <v>367.89580000000001</v>
      </c>
      <c r="M808">
        <v>0.99987939999999997</v>
      </c>
      <c r="N808">
        <v>0</v>
      </c>
      <c r="O808">
        <v>5.5602840000000004E-3</v>
      </c>
      <c r="P808">
        <v>0.99804839999999995</v>
      </c>
      <c r="Q808">
        <v>-5.6093150000000001E-3</v>
      </c>
      <c r="R808">
        <v>6.2194100000000002E-2</v>
      </c>
      <c r="S808">
        <v>3.0029599999999999</v>
      </c>
      <c r="T808">
        <v>-0.2068381</v>
      </c>
      <c r="U808">
        <v>2.9266360000000002E-2</v>
      </c>
      <c r="V808">
        <v>-5.6642699999999997E-2</v>
      </c>
      <c r="W808">
        <v>8.8731720000000004E-3</v>
      </c>
      <c r="X808">
        <v>0.99835510000000005</v>
      </c>
      <c r="Y808">
        <v>-4.1878699999999998E-3</v>
      </c>
      <c r="Z808">
        <v>-2.385035E-4</v>
      </c>
      <c r="AA808">
        <v>0.99999119999999997</v>
      </c>
      <c r="AB808">
        <v>33</v>
      </c>
      <c r="AC808">
        <v>15.947800000000001</v>
      </c>
      <c r="AD808">
        <v>-1.1105990479629999</v>
      </c>
      <c r="AE808">
        <v>0.15609999999998</v>
      </c>
      <c r="AF808">
        <v>-6.7088637842589005E-2</v>
      </c>
      <c r="AG808">
        <v>-1.1105990479629999</v>
      </c>
      <c r="AH808">
        <v>15.8714573641498</v>
      </c>
      <c r="AI808">
        <v>94.002689680618005</v>
      </c>
      <c r="AJ808">
        <v>90.242187772684204</v>
      </c>
      <c r="AK808">
        <v>15.910408228348199</v>
      </c>
      <c r="AL808">
        <v>89.491598030736299</v>
      </c>
      <c r="AM808">
        <v>93.247253492114694</v>
      </c>
      <c r="AN808">
        <v>1.0000000171703201</v>
      </c>
    </row>
    <row r="809" spans="1:40" x14ac:dyDescent="0.3">
      <c r="A809" t="str">
        <f>"20200111160419649"</f>
        <v>20200111160419649</v>
      </c>
      <c r="B809" t="str">
        <f>"1578729859641604"</f>
        <v>1578729859641604</v>
      </c>
      <c r="C809" t="s">
        <v>40</v>
      </c>
      <c r="D809">
        <v>5.3493040000000001</v>
      </c>
      <c r="E809">
        <v>0.5209954</v>
      </c>
      <c r="F809" t="s">
        <v>41</v>
      </c>
      <c r="G809">
        <v>-244.2244</v>
      </c>
      <c r="H809" s="1">
        <v>-2.9873300000000002E-6</v>
      </c>
      <c r="I809">
        <v>368.05650000000003</v>
      </c>
      <c r="J809">
        <v>-259.887</v>
      </c>
      <c r="K809">
        <v>1.110598</v>
      </c>
      <c r="L809">
        <v>367.89670000000001</v>
      </c>
      <c r="M809">
        <v>0.99987950000000003</v>
      </c>
      <c r="N809">
        <v>0</v>
      </c>
      <c r="O809">
        <v>5.5636870000000003E-3</v>
      </c>
      <c r="P809">
        <v>0.99803549999999996</v>
      </c>
      <c r="Q809">
        <v>-5.1373499999999997E-3</v>
      </c>
      <c r="R809">
        <v>6.2443150000000003E-2</v>
      </c>
      <c r="S809">
        <v>3.0027469999999998</v>
      </c>
      <c r="T809">
        <v>-0.21078250000000001</v>
      </c>
      <c r="U809">
        <v>3.048706E-2</v>
      </c>
      <c r="V809">
        <v>-5.6888569999999999E-2</v>
      </c>
      <c r="W809">
        <v>9.3437920000000001E-3</v>
      </c>
      <c r="X809">
        <v>0.99833680000000002</v>
      </c>
      <c r="Y809">
        <v>-4.5907880000000002E-3</v>
      </c>
      <c r="Z809">
        <v>-2.291719E-4</v>
      </c>
      <c r="AA809">
        <v>0.99998940000000003</v>
      </c>
      <c r="AB809">
        <v>33</v>
      </c>
      <c r="AC809">
        <v>15.6625999999999</v>
      </c>
      <c r="AD809">
        <v>-1.11060098733</v>
      </c>
      <c r="AE809">
        <v>0.15980000000001801</v>
      </c>
      <c r="AF809">
        <v>-7.2283173288472502E-2</v>
      </c>
      <c r="AG809">
        <v>-1.11060098733</v>
      </c>
      <c r="AH809">
        <v>15.584895245485701</v>
      </c>
      <c r="AI809">
        <v>94.076041670303496</v>
      </c>
      <c r="AJ809">
        <v>90.265737497615007</v>
      </c>
      <c r="AK809">
        <v>15.624583809592</v>
      </c>
      <c r="AL809">
        <v>89.464632358587494</v>
      </c>
      <c r="AM809">
        <v>93.261378196453506</v>
      </c>
      <c r="AN809">
        <v>0.999999991039912</v>
      </c>
    </row>
    <row r="810" spans="1:40" x14ac:dyDescent="0.3">
      <c r="A810" t="str">
        <f>"20200111160419660"</f>
        <v>20200111160419660</v>
      </c>
      <c r="B810" t="str">
        <f>"1578729859651364"</f>
        <v>1578729859651364</v>
      </c>
      <c r="C810" t="s">
        <v>40</v>
      </c>
      <c r="D810">
        <v>6.6441169999999996</v>
      </c>
      <c r="E810">
        <v>0.5209954</v>
      </c>
      <c r="F810" t="s">
        <v>41</v>
      </c>
      <c r="G810">
        <v>-244.17570000000001</v>
      </c>
      <c r="H810" s="1">
        <v>-3.009777E-6</v>
      </c>
      <c r="I810">
        <v>368.05970000000002</v>
      </c>
      <c r="J810">
        <v>-259.72019999999998</v>
      </c>
      <c r="K810">
        <v>1.1106039999999999</v>
      </c>
      <c r="L810">
        <v>367.89760000000001</v>
      </c>
      <c r="M810">
        <v>0.99987950000000003</v>
      </c>
      <c r="N810">
        <v>0</v>
      </c>
      <c r="O810">
        <v>5.5673869999999896E-3</v>
      </c>
      <c r="P810">
        <v>0.99805129999999997</v>
      </c>
      <c r="Q810">
        <v>-4.7562230000000004E-3</v>
      </c>
      <c r="R810">
        <v>6.2219549999999998E-2</v>
      </c>
      <c r="S810">
        <v>3.002869</v>
      </c>
      <c r="T810">
        <v>-0.2122675</v>
      </c>
      <c r="U810">
        <v>3.1158450000000001E-2</v>
      </c>
      <c r="V810">
        <v>-5.6661290000000003E-2</v>
      </c>
      <c r="W810">
        <v>9.7247649999999998E-3</v>
      </c>
      <c r="X810">
        <v>0.99834610000000001</v>
      </c>
      <c r="Y810">
        <v>-4.8097259999999899E-3</v>
      </c>
      <c r="Z810">
        <v>-2.233057E-4</v>
      </c>
      <c r="AA810">
        <v>0.9999884</v>
      </c>
      <c r="AB810">
        <v>33</v>
      </c>
      <c r="AC810">
        <v>15.5444999999999</v>
      </c>
      <c r="AD810">
        <v>-1.110607009777</v>
      </c>
      <c r="AE810">
        <v>0.16210000000000899</v>
      </c>
      <c r="AF810">
        <v>-7.5162514311171505E-2</v>
      </c>
      <c r="AG810">
        <v>-1.110607009777</v>
      </c>
      <c r="AH810">
        <v>15.466220308804401</v>
      </c>
      <c r="AI810">
        <v>94.107229086761905</v>
      </c>
      <c r="AJ810">
        <v>90.278443010587793</v>
      </c>
      <c r="AK810">
        <v>15.506226748445201</v>
      </c>
      <c r="AL810">
        <v>89.442803228351593</v>
      </c>
      <c r="AM810">
        <v>93.2483461717746</v>
      </c>
      <c r="AN810">
        <v>1.0000000041119801</v>
      </c>
    </row>
    <row r="811" spans="1:40" x14ac:dyDescent="0.3">
      <c r="A811" t="str">
        <f>"20200111160419671"</f>
        <v>20200111160419671</v>
      </c>
      <c r="B811" t="str">
        <f>"1578729859661124"</f>
        <v>1578729859661124</v>
      </c>
      <c r="C811" t="s">
        <v>40</v>
      </c>
      <c r="D811">
        <v>5.3815049999999998</v>
      </c>
      <c r="E811">
        <v>0.52127049999999997</v>
      </c>
      <c r="F811" t="s">
        <v>41</v>
      </c>
      <c r="G811">
        <v>-243.92410000000001</v>
      </c>
      <c r="H811" s="1">
        <v>-3.128869E-6</v>
      </c>
      <c r="I811">
        <v>368.05880000000002</v>
      </c>
      <c r="J811">
        <v>-259.55079999999998</v>
      </c>
      <c r="K811">
        <v>1.110606</v>
      </c>
      <c r="L811">
        <v>367.89859999999999</v>
      </c>
      <c r="M811">
        <v>0.99987939999999997</v>
      </c>
      <c r="N811">
        <v>0</v>
      </c>
      <c r="O811">
        <v>5.5712670000000004E-3</v>
      </c>
      <c r="P811">
        <v>0.99807230000000002</v>
      </c>
      <c r="Q811">
        <v>-4.6848819999999996E-3</v>
      </c>
      <c r="R811">
        <v>6.1885759999999998E-2</v>
      </c>
      <c r="S811">
        <v>3.0029300000000001</v>
      </c>
      <c r="T811">
        <v>-0.2111336</v>
      </c>
      <c r="U811">
        <v>3.0639650000000001E-2</v>
      </c>
      <c r="V811">
        <v>-5.6323730000000002E-2</v>
      </c>
      <c r="W811">
        <v>9.7953339999999993E-3</v>
      </c>
      <c r="X811">
        <v>0.99836449999999999</v>
      </c>
      <c r="Y811">
        <v>-4.6333169999999996E-3</v>
      </c>
      <c r="Z811">
        <v>-2.2857779999999999E-4</v>
      </c>
      <c r="AA811">
        <v>0.99998920000000002</v>
      </c>
      <c r="AB811">
        <v>33</v>
      </c>
      <c r="AC811">
        <v>15.6266999999999</v>
      </c>
      <c r="AD811">
        <v>-1.1106091288690001</v>
      </c>
      <c r="AE811">
        <v>0.16020000000003101</v>
      </c>
      <c r="AF811">
        <v>-7.2760363124070998E-2</v>
      </c>
      <c r="AG811">
        <v>-1.1106091288690001</v>
      </c>
      <c r="AH811">
        <v>15.548819296627499</v>
      </c>
      <c r="AI811">
        <v>94.085495867218</v>
      </c>
      <c r="AJ811">
        <v>90.268112402265203</v>
      </c>
      <c r="AK811">
        <v>15.588602510383801</v>
      </c>
      <c r="AL811">
        <v>89.438759723669804</v>
      </c>
      <c r="AM811">
        <v>93.228975815758105</v>
      </c>
      <c r="AN811">
        <v>0.99999999299476705</v>
      </c>
    </row>
    <row r="812" spans="1:40" x14ac:dyDescent="0.3">
      <c r="A812" t="str">
        <f>"20200111160419683"</f>
        <v>20200111160419683</v>
      </c>
      <c r="B812" t="str">
        <f>"1578729859681034"</f>
        <v>1578729859681034</v>
      </c>
      <c r="C812" t="s">
        <v>40</v>
      </c>
      <c r="D812">
        <v>6.0659510000000001</v>
      </c>
      <c r="E812">
        <v>0.52137429999999996</v>
      </c>
      <c r="F812" t="s">
        <v>41</v>
      </c>
      <c r="G812">
        <v>-243.0026</v>
      </c>
      <c r="H812" s="1">
        <v>-3.566719E-6</v>
      </c>
      <c r="I812">
        <v>368.0462</v>
      </c>
      <c r="J812">
        <v>-259.37270000000001</v>
      </c>
      <c r="K812">
        <v>1.110608</v>
      </c>
      <c r="L812">
        <v>367.89949999999999</v>
      </c>
      <c r="M812">
        <v>0.99987939999999997</v>
      </c>
      <c r="N812">
        <v>0</v>
      </c>
      <c r="O812">
        <v>5.5749679999999996E-3</v>
      </c>
      <c r="P812">
        <v>0.99811260000000002</v>
      </c>
      <c r="Q812">
        <v>-4.437346E-3</v>
      </c>
      <c r="R812">
        <v>6.1252790000000001E-2</v>
      </c>
      <c r="S812">
        <v>3.0031430000000001</v>
      </c>
      <c r="T812">
        <v>-0.20155139999999999</v>
      </c>
      <c r="U812">
        <v>2.6794430000000001E-2</v>
      </c>
      <c r="V812">
        <v>-5.5686609999999998E-2</v>
      </c>
      <c r="W812">
        <v>1.0042799999999999E-2</v>
      </c>
      <c r="X812">
        <v>0.9983978</v>
      </c>
      <c r="Y812">
        <v>-3.351307E-3</v>
      </c>
      <c r="Z812">
        <v>-2.6143290000000001E-4</v>
      </c>
      <c r="AA812">
        <v>0.9999943</v>
      </c>
      <c r="AB812">
        <v>33</v>
      </c>
      <c r="AC812">
        <v>16.370100000000001</v>
      </c>
      <c r="AD812">
        <v>-1.110611566719</v>
      </c>
      <c r="AE812">
        <v>0.14670000000000899</v>
      </c>
      <c r="AF812">
        <v>-5.5171424788473498E-2</v>
      </c>
      <c r="AG812">
        <v>-1.110611566719</v>
      </c>
      <c r="AH812">
        <v>16.2956638924869</v>
      </c>
      <c r="AI812">
        <v>93.898874088510297</v>
      </c>
      <c r="AJ812">
        <v>90.193982751050001</v>
      </c>
      <c r="AK812">
        <v>16.3335594294429</v>
      </c>
      <c r="AL812">
        <v>89.424580279367405</v>
      </c>
      <c r="AM812">
        <v>93.192420169145294</v>
      </c>
      <c r="AN812">
        <v>1.0000000117049801</v>
      </c>
    </row>
    <row r="813" spans="1:40" x14ac:dyDescent="0.3">
      <c r="A813" t="str">
        <f>"20200111160419696"</f>
        <v>20200111160419696</v>
      </c>
      <c r="B813" t="str">
        <f>"1578729859691770"</f>
        <v>1578729859691770</v>
      </c>
      <c r="C813" t="s">
        <v>40</v>
      </c>
      <c r="D813">
        <v>6.4493269999999896</v>
      </c>
      <c r="E813">
        <v>0.52137429999999996</v>
      </c>
      <c r="F813" t="s">
        <v>41</v>
      </c>
      <c r="G813">
        <v>-241.32740000000001</v>
      </c>
      <c r="H813" s="1">
        <v>-4.3596249999999998E-6</v>
      </c>
      <c r="I813">
        <v>368.0403</v>
      </c>
      <c r="J813">
        <v>-259.1841</v>
      </c>
      <c r="K813">
        <v>1.1106049999999901</v>
      </c>
      <c r="L813">
        <v>367.9006</v>
      </c>
      <c r="M813">
        <v>0.99987939999999997</v>
      </c>
      <c r="N813">
        <v>0</v>
      </c>
      <c r="O813">
        <v>5.5793259999999999E-3</v>
      </c>
      <c r="P813">
        <v>0.9981582</v>
      </c>
      <c r="Q813">
        <v>-4.2935669999999999E-3</v>
      </c>
      <c r="R813">
        <v>6.0515430000000002E-2</v>
      </c>
      <c r="S813">
        <v>3.003387</v>
      </c>
      <c r="T813">
        <v>-0.18484600000000001</v>
      </c>
      <c r="U813">
        <v>2.34375E-2</v>
      </c>
      <c r="V813">
        <v>-5.4944800000000002E-2</v>
      </c>
      <c r="W813">
        <v>1.018584E-2</v>
      </c>
      <c r="X813">
        <v>0.99843749999999998</v>
      </c>
      <c r="Y813">
        <v>-2.2299249999999998E-3</v>
      </c>
      <c r="Z813">
        <v>-2.7453200000000002E-4</v>
      </c>
      <c r="AA813">
        <v>0.99999749999999998</v>
      </c>
      <c r="AB813">
        <v>33</v>
      </c>
      <c r="AC813">
        <v>17.856699999999901</v>
      </c>
      <c r="AD813">
        <v>-1.11060935962499</v>
      </c>
      <c r="AE813">
        <v>0.13970000000000399</v>
      </c>
      <c r="AF813">
        <v>-3.99046553772247E-2</v>
      </c>
      <c r="AG813">
        <v>-1.11060935962499</v>
      </c>
      <c r="AH813">
        <v>17.788394870335001</v>
      </c>
      <c r="AI813">
        <v>93.572586545580606</v>
      </c>
      <c r="AJ813">
        <v>90.1285312428369</v>
      </c>
      <c r="AK813">
        <v>17.8230759857598</v>
      </c>
      <c r="AL813">
        <v>89.4163843012131</v>
      </c>
      <c r="AM813">
        <v>93.149854662026399</v>
      </c>
      <c r="AN813">
        <v>1.0000000618948901</v>
      </c>
    </row>
    <row r="814" spans="1:40" x14ac:dyDescent="0.3">
      <c r="A814" t="str">
        <f>"20200111160419712"</f>
        <v>20200111160419712</v>
      </c>
      <c r="B814" t="str">
        <f>"1578729859701531"</f>
        <v>1578729859701531</v>
      </c>
      <c r="C814" t="s">
        <v>40</v>
      </c>
      <c r="D814">
        <v>5.4210379999999896</v>
      </c>
      <c r="E814">
        <v>0.51910639999999997</v>
      </c>
      <c r="F814" t="s">
        <v>41</v>
      </c>
      <c r="G814">
        <v>-241.09049999999999</v>
      </c>
      <c r="H814" s="1">
        <v>-4.4739569999999997E-6</v>
      </c>
      <c r="I814">
        <v>368.02710000000002</v>
      </c>
      <c r="J814">
        <v>-258.96030000000002</v>
      </c>
      <c r="K814">
        <v>1.110598</v>
      </c>
      <c r="L814">
        <v>367.90179999999998</v>
      </c>
      <c r="M814">
        <v>0.99987939999999997</v>
      </c>
      <c r="N814">
        <v>0</v>
      </c>
      <c r="O814">
        <v>5.5842230000000001E-3</v>
      </c>
      <c r="P814">
        <v>0.99826369999999998</v>
      </c>
      <c r="Q814">
        <v>-5.1769540000000001E-3</v>
      </c>
      <c r="R814">
        <v>5.8679130000000003E-2</v>
      </c>
      <c r="S814">
        <v>3.003479</v>
      </c>
      <c r="T814">
        <v>-0.18435840000000001</v>
      </c>
      <c r="U814">
        <v>2.0996089999999999E-2</v>
      </c>
      <c r="V814">
        <v>-5.3103169999999998E-2</v>
      </c>
      <c r="W814">
        <v>9.3023069999999992E-3</v>
      </c>
      <c r="X814">
        <v>0.99854569999999998</v>
      </c>
      <c r="Y814">
        <v>-1.413489E-3</v>
      </c>
      <c r="Z814">
        <v>-2.9913530000000001E-4</v>
      </c>
      <c r="AA814">
        <v>0.99999890000000002</v>
      </c>
      <c r="AB814">
        <v>33</v>
      </c>
      <c r="AC814">
        <v>17.869800000000001</v>
      </c>
      <c r="AD814">
        <v>-1.110602473957</v>
      </c>
      <c r="AE814">
        <v>0.12530000000003799</v>
      </c>
      <c r="AF814">
        <v>-2.5400511399835901E-2</v>
      </c>
      <c r="AG814">
        <v>-1.110602473957</v>
      </c>
      <c r="AH814">
        <v>17.8014648288563</v>
      </c>
      <c r="AI814">
        <v>93.569953572303405</v>
      </c>
      <c r="AJ814">
        <v>90.081754008841102</v>
      </c>
      <c r="AK814">
        <v>17.836093549153301</v>
      </c>
      <c r="AL814">
        <v>89.467009380656805</v>
      </c>
      <c r="AM814">
        <v>93.0441511713572</v>
      </c>
      <c r="AN814">
        <v>0.99999999728403</v>
      </c>
    </row>
    <row r="815" spans="1:40" x14ac:dyDescent="0.3">
      <c r="A815" t="str">
        <f>"20200111160419725"</f>
        <v>20200111160419725</v>
      </c>
      <c r="B815" t="str">
        <f>"1578729859721051"</f>
        <v>1578729859721051</v>
      </c>
      <c r="C815" t="s">
        <v>40</v>
      </c>
      <c r="D815">
        <v>6.3116560000000002</v>
      </c>
      <c r="E815">
        <v>0.51968919999999996</v>
      </c>
      <c r="F815" t="s">
        <v>43</v>
      </c>
      <c r="G815">
        <v>-158.78319999999999</v>
      </c>
      <c r="H815">
        <v>2.3320090000000002</v>
      </c>
      <c r="I815">
        <v>368.59589999999997</v>
      </c>
      <c r="J815">
        <v>-258.76350000000002</v>
      </c>
      <c r="K815">
        <v>1.110592</v>
      </c>
      <c r="L815">
        <v>367.90289999999999</v>
      </c>
      <c r="M815">
        <v>0.99987930000000003</v>
      </c>
      <c r="N815">
        <v>0</v>
      </c>
      <c r="O815">
        <v>5.5889399999999997E-3</v>
      </c>
      <c r="P815">
        <v>0.99831369999999997</v>
      </c>
      <c r="Q815">
        <v>-5.956037E-3</v>
      </c>
      <c r="R815">
        <v>5.774841E-2</v>
      </c>
      <c r="S815">
        <v>3.0041500000000001</v>
      </c>
      <c r="T815">
        <v>3.6630749999999997E-2</v>
      </c>
      <c r="U815">
        <v>2.081299E-2</v>
      </c>
      <c r="V815">
        <v>-5.2167409999999997E-2</v>
      </c>
      <c r="W815">
        <v>8.5227110000000005E-3</v>
      </c>
      <c r="X815">
        <v>0.99860199999999999</v>
      </c>
      <c r="Y815">
        <v>-1.3387270000000001E-3</v>
      </c>
      <c r="Z815" s="1">
        <v>5.9989889999999999E-5</v>
      </c>
      <c r="AA815">
        <v>0.99999910000000003</v>
      </c>
      <c r="AB815">
        <v>33</v>
      </c>
      <c r="AC815">
        <v>99.9803</v>
      </c>
      <c r="AD815">
        <v>1.221417</v>
      </c>
      <c r="AE815">
        <v>0.69299999999998296</v>
      </c>
      <c r="AF815">
        <v>-0.134126536433641</v>
      </c>
      <c r="AG815">
        <v>1.221417</v>
      </c>
      <c r="AH815">
        <v>99.967692761101802</v>
      </c>
      <c r="AI815">
        <v>89.299988904787497</v>
      </c>
      <c r="AJ815">
        <v>90.076873634218899</v>
      </c>
      <c r="AK815">
        <v>99.975244162711206</v>
      </c>
      <c r="AL815">
        <v>89.511678725147206</v>
      </c>
      <c r="AM815">
        <v>92.990438465550795</v>
      </c>
      <c r="AN815">
        <v>1.0000000148364401</v>
      </c>
    </row>
    <row r="816" spans="1:40" x14ac:dyDescent="0.3">
      <c r="A816" t="str">
        <f>"20200111160419736"</f>
        <v>20200111160419736</v>
      </c>
      <c r="B816" t="str">
        <f>"1578729859731788"</f>
        <v>1578729859731788</v>
      </c>
      <c r="C816" t="s">
        <v>40</v>
      </c>
      <c r="D816">
        <v>5.3966139999999996</v>
      </c>
      <c r="E816">
        <v>0.51968919999999996</v>
      </c>
      <c r="F816" t="s">
        <v>43</v>
      </c>
      <c r="G816">
        <v>-158.78319999999999</v>
      </c>
      <c r="H816">
        <v>1.6640760000000001</v>
      </c>
      <c r="I816">
        <v>368.36900000000003</v>
      </c>
      <c r="J816">
        <v>-258.59030000000001</v>
      </c>
      <c r="K816">
        <v>1.110584</v>
      </c>
      <c r="L816">
        <v>367.90390000000002</v>
      </c>
      <c r="M816">
        <v>0.99987939999999997</v>
      </c>
      <c r="N816">
        <v>0</v>
      </c>
      <c r="O816">
        <v>5.5928219999999999E-3</v>
      </c>
      <c r="P816">
        <v>0.99837620000000005</v>
      </c>
      <c r="Q816">
        <v>-6.957965E-3</v>
      </c>
      <c r="R816">
        <v>5.6539329999999999E-2</v>
      </c>
      <c r="S816">
        <v>3.0043639999999998</v>
      </c>
      <c r="T816">
        <v>1.663458E-2</v>
      </c>
      <c r="U816">
        <v>1.400757E-2</v>
      </c>
      <c r="V816">
        <v>-5.0954010000000001E-2</v>
      </c>
      <c r="W816">
        <v>7.5209069999999899E-3</v>
      </c>
      <c r="X816">
        <v>0.99867269999999997</v>
      </c>
      <c r="Y816">
        <v>9.3096439999999997E-4</v>
      </c>
      <c r="Z816" s="1">
        <v>3.3546249999999998E-5</v>
      </c>
      <c r="AA816">
        <v>0.99999959999999999</v>
      </c>
      <c r="AB816">
        <v>33</v>
      </c>
      <c r="AC816">
        <v>99.807100000000005</v>
      </c>
      <c r="AD816">
        <v>0.55349199999999898</v>
      </c>
      <c r="AE816">
        <v>0.46510000000000601</v>
      </c>
      <c r="AF816">
        <v>9.3166349424639194E-2</v>
      </c>
      <c r="AG816">
        <v>0.55349199999999898</v>
      </c>
      <c r="AH816">
        <v>99.805070862787801</v>
      </c>
      <c r="AI816">
        <v>89.682256458519205</v>
      </c>
      <c r="AJ816">
        <v>89.946515372234799</v>
      </c>
      <c r="AK816">
        <v>99.806649093578997</v>
      </c>
      <c r="AL816">
        <v>89.569079716243394</v>
      </c>
      <c r="AM816">
        <v>92.920797125388802</v>
      </c>
      <c r="AN816">
        <v>1.0000000184512301</v>
      </c>
    </row>
    <row r="817" spans="1:40" x14ac:dyDescent="0.3">
      <c r="A817" t="str">
        <f>"20200111160419748"</f>
        <v>20200111160419748</v>
      </c>
      <c r="B817" t="str">
        <f>"1578729859741547"</f>
        <v>1578729859741547</v>
      </c>
      <c r="C817" t="s">
        <v>40</v>
      </c>
      <c r="D817">
        <v>5.351534</v>
      </c>
      <c r="E817">
        <v>0.51909139999999998</v>
      </c>
      <c r="F817" t="s">
        <v>43</v>
      </c>
      <c r="G817">
        <v>-158.78319999999999</v>
      </c>
      <c r="H817">
        <v>1.5615110000000001</v>
      </c>
      <c r="I817">
        <v>368.2577</v>
      </c>
      <c r="J817">
        <v>-258.42259999999999</v>
      </c>
      <c r="K817">
        <v>1.1105750000000001</v>
      </c>
      <c r="L817">
        <v>367.90480000000002</v>
      </c>
      <c r="M817">
        <v>0.99987939999999997</v>
      </c>
      <c r="N817">
        <v>0</v>
      </c>
      <c r="O817">
        <v>5.5967029999999997E-3</v>
      </c>
      <c r="P817">
        <v>0.99841829999999998</v>
      </c>
      <c r="Q817">
        <v>-7.8659430000000002E-3</v>
      </c>
      <c r="R817">
        <v>5.567192E-2</v>
      </c>
      <c r="S817">
        <v>3.0043329999999999</v>
      </c>
      <c r="T817">
        <v>1.357615E-2</v>
      </c>
      <c r="U817">
        <v>1.0650629999999999E-2</v>
      </c>
      <c r="V817">
        <v>-5.008286E-2</v>
      </c>
      <c r="W817">
        <v>6.6120789999999999E-3</v>
      </c>
      <c r="X817">
        <v>0.99872309999999997</v>
      </c>
      <c r="Y817">
        <v>2.0521649999999999E-3</v>
      </c>
      <c r="Z817" s="1">
        <v>2.992966E-5</v>
      </c>
      <c r="AA817">
        <v>0.9999979</v>
      </c>
      <c r="AB817">
        <v>33</v>
      </c>
      <c r="AC817">
        <v>99.639399999999995</v>
      </c>
      <c r="AD817">
        <v>0.450935999999999</v>
      </c>
      <c r="AE817">
        <v>0.35289999999997601</v>
      </c>
      <c r="AF817">
        <v>0.20481198651007099</v>
      </c>
      <c r="AG817">
        <v>0.450935999999999</v>
      </c>
      <c r="AH817">
        <v>99.637773704363696</v>
      </c>
      <c r="AI817">
        <v>89.740695745308102</v>
      </c>
      <c r="AJ817">
        <v>89.8822249287944</v>
      </c>
      <c r="AK817">
        <v>99.639004611587197</v>
      </c>
      <c r="AL817">
        <v>89.621152989199402</v>
      </c>
      <c r="AM817">
        <v>92.870800500343506</v>
      </c>
      <c r="AN817">
        <v>0.99999992146404204</v>
      </c>
    </row>
    <row r="818" spans="1:40" x14ac:dyDescent="0.3">
      <c r="A818" t="str">
        <f>"20200111160419760"</f>
        <v>20200111160419760</v>
      </c>
      <c r="B818" t="str">
        <f>"1578729859751306"</f>
        <v>1578729859751306</v>
      </c>
      <c r="C818" t="s">
        <v>40</v>
      </c>
      <c r="D818">
        <v>5.3927459999999998</v>
      </c>
      <c r="E818">
        <v>0.51985040000000005</v>
      </c>
      <c r="F818" t="s">
        <v>41</v>
      </c>
      <c r="G818">
        <v>-241.1155</v>
      </c>
      <c r="H818" s="1">
        <v>-4.4585230000000002E-6</v>
      </c>
      <c r="I818">
        <v>368.04750000000001</v>
      </c>
      <c r="J818">
        <v>-258.24340000000001</v>
      </c>
      <c r="K818">
        <v>1.110568</v>
      </c>
      <c r="L818">
        <v>367.9058</v>
      </c>
      <c r="M818">
        <v>0.99987939999999997</v>
      </c>
      <c r="N818">
        <v>0</v>
      </c>
      <c r="O818">
        <v>5.6007039999999998E-3</v>
      </c>
      <c r="P818">
        <v>0.99846460000000004</v>
      </c>
      <c r="Q818">
        <v>-8.4101349999999991E-3</v>
      </c>
      <c r="R818">
        <v>5.4754700000000003E-2</v>
      </c>
      <c r="S818">
        <v>3.0018310000000001</v>
      </c>
      <c r="T818">
        <v>-0.1926244</v>
      </c>
      <c r="U818">
        <v>2.4749759999999999E-2</v>
      </c>
      <c r="V818">
        <v>-4.9161040000000003E-2</v>
      </c>
      <c r="W818">
        <v>6.067065E-3</v>
      </c>
      <c r="X818">
        <v>0.9987724</v>
      </c>
      <c r="Y818">
        <v>-2.6494460000000002E-3</v>
      </c>
      <c r="Z818">
        <v>-2.7413310000000001E-4</v>
      </c>
      <c r="AA818">
        <v>0.99999640000000001</v>
      </c>
      <c r="AB818">
        <v>33</v>
      </c>
      <c r="AC818">
        <v>17.1279</v>
      </c>
      <c r="AD818">
        <v>-1.1105724585229999</v>
      </c>
      <c r="AE818">
        <v>0.14170000000001401</v>
      </c>
      <c r="AF818">
        <v>-4.55678495456973E-2</v>
      </c>
      <c r="AG818">
        <v>-1.1105724585229999</v>
      </c>
      <c r="AH818">
        <v>17.0567196962742</v>
      </c>
      <c r="AI818">
        <v>93.725288264794202</v>
      </c>
      <c r="AJ818">
        <v>90.153068074965404</v>
      </c>
      <c r="AK818">
        <v>17.092897191869199</v>
      </c>
      <c r="AL818">
        <v>89.652380635656797</v>
      </c>
      <c r="AM818">
        <v>92.8179079346164</v>
      </c>
      <c r="AN818">
        <v>0.99999996206667696</v>
      </c>
    </row>
    <row r="819" spans="1:40" x14ac:dyDescent="0.3">
      <c r="A819" t="str">
        <f>"20200111160419771"</f>
        <v>20200111160419771</v>
      </c>
      <c r="B819" t="str">
        <f>"1578729859761066"</f>
        <v>1578729859761066</v>
      </c>
      <c r="C819" t="s">
        <v>40</v>
      </c>
      <c r="D819">
        <v>6.7575699999999896</v>
      </c>
      <c r="E819">
        <v>0.51985040000000005</v>
      </c>
      <c r="F819" t="s">
        <v>41</v>
      </c>
      <c r="G819">
        <v>-242.80170000000001</v>
      </c>
      <c r="H819" s="1">
        <v>-3.6709599999999998E-6</v>
      </c>
      <c r="I819">
        <v>367.9939</v>
      </c>
      <c r="J819">
        <v>-258.07240000000002</v>
      </c>
      <c r="K819">
        <v>1.110563</v>
      </c>
      <c r="L819">
        <v>367.90679999999998</v>
      </c>
      <c r="M819">
        <v>0.99987930000000003</v>
      </c>
      <c r="N819">
        <v>0</v>
      </c>
      <c r="O819">
        <v>5.6047659999999997E-3</v>
      </c>
      <c r="P819">
        <v>0.99850459999999996</v>
      </c>
      <c r="Q819">
        <v>-8.9887679999999994E-3</v>
      </c>
      <c r="R819">
        <v>5.3924199999999999E-2</v>
      </c>
      <c r="S819">
        <v>3.001862</v>
      </c>
      <c r="T819">
        <v>-0.21589539999999999</v>
      </c>
      <c r="U819">
        <v>1.7120360000000001E-2</v>
      </c>
      <c r="V819">
        <v>-4.8326309999999997E-2</v>
      </c>
      <c r="W819">
        <v>5.4881940000000001E-3</v>
      </c>
      <c r="X819">
        <v>0.9988165</v>
      </c>
      <c r="Y819">
        <v>-1.1199120000000001E-4</v>
      </c>
      <c r="Z819">
        <v>-3.9859150000000001E-4</v>
      </c>
      <c r="AA819">
        <v>0.99999990000000005</v>
      </c>
      <c r="AB819">
        <v>33</v>
      </c>
      <c r="AC819">
        <v>15.2707</v>
      </c>
      <c r="AD819">
        <v>-1.1105666709599999</v>
      </c>
      <c r="AE819">
        <v>8.71000000000208E-2</v>
      </c>
      <c r="AF819">
        <v>-1.4930480259021999E-3</v>
      </c>
      <c r="AG819">
        <v>-1.1105666709599999</v>
      </c>
      <c r="AH819">
        <v>15.190608213050901</v>
      </c>
      <c r="AI819">
        <v>94.181384809396704</v>
      </c>
      <c r="AJ819">
        <v>90.005631463139494</v>
      </c>
      <c r="AK819">
        <v>15.231150266550699</v>
      </c>
      <c r="AL819">
        <v>89.6855480607136</v>
      </c>
      <c r="AM819">
        <v>92.770014311780699</v>
      </c>
      <c r="AN819">
        <v>0.99999997659192297</v>
      </c>
    </row>
    <row r="820" spans="1:40" x14ac:dyDescent="0.3">
      <c r="A820" t="str">
        <f>"20200111160419785"</f>
        <v>20200111160419785</v>
      </c>
      <c r="B820" t="str">
        <f>"1578729859781563"</f>
        <v>1578729859781563</v>
      </c>
      <c r="C820" t="s">
        <v>40</v>
      </c>
      <c r="D820">
        <v>5.4796469999999999</v>
      </c>
      <c r="E820">
        <v>0.51974799999999999</v>
      </c>
      <c r="F820" t="s">
        <v>41</v>
      </c>
      <c r="G820">
        <v>-242.75909999999999</v>
      </c>
      <c r="H820" s="1">
        <v>-3.692989E-6</v>
      </c>
      <c r="I820">
        <v>367.98320000000001</v>
      </c>
      <c r="J820">
        <v>-257.88810000000001</v>
      </c>
      <c r="K820">
        <v>1.11056</v>
      </c>
      <c r="L820">
        <v>367.90780000000001</v>
      </c>
      <c r="M820">
        <v>0.99987919999999997</v>
      </c>
      <c r="N820">
        <v>0</v>
      </c>
      <c r="O820">
        <v>5.6089470000000004E-3</v>
      </c>
      <c r="P820">
        <v>0.99853930000000002</v>
      </c>
      <c r="Q820">
        <v>-9.3865189999999994E-3</v>
      </c>
      <c r="R820">
        <v>5.3208499999999999E-2</v>
      </c>
      <c r="S820">
        <v>3.0017239999999998</v>
      </c>
      <c r="T820">
        <v>-0.21769479999999999</v>
      </c>
      <c r="U820">
        <v>1.498413E-2</v>
      </c>
      <c r="V820">
        <v>-4.7606269999999999E-2</v>
      </c>
      <c r="W820">
        <v>5.0895630000000001E-3</v>
      </c>
      <c r="X820">
        <v>0.9988532</v>
      </c>
      <c r="Y820">
        <v>6.0145459999999995E-4</v>
      </c>
      <c r="Z820">
        <v>-4.2806380000000001E-4</v>
      </c>
      <c r="AA820">
        <v>0.99999970000000005</v>
      </c>
      <c r="AB820">
        <v>33</v>
      </c>
      <c r="AC820">
        <v>15.129</v>
      </c>
      <c r="AD820">
        <v>-1.1105636929889999</v>
      </c>
      <c r="AE820">
        <v>7.5400000000001896E-2</v>
      </c>
      <c r="AF820">
        <v>9.4171195273666606E-3</v>
      </c>
      <c r="AG820">
        <v>-1.1105636929889999</v>
      </c>
      <c r="AH820">
        <v>15.0481005098368</v>
      </c>
      <c r="AI820">
        <v>94.220828610513195</v>
      </c>
      <c r="AJ820">
        <v>89.964144236456903</v>
      </c>
      <c r="AK820">
        <v>15.0890281115941</v>
      </c>
      <c r="AL820">
        <v>89.708388258020094</v>
      </c>
      <c r="AM820">
        <v>92.728705103698104</v>
      </c>
      <c r="AN820">
        <v>0.99999998787254096</v>
      </c>
    </row>
    <row r="821" spans="1:40" x14ac:dyDescent="0.3">
      <c r="A821" t="str">
        <f>"20200111160419796"</f>
        <v>20200111160419796</v>
      </c>
      <c r="B821" t="str">
        <f>"1578729859791322"</f>
        <v>1578729859791322</v>
      </c>
      <c r="C821" t="s">
        <v>40</v>
      </c>
      <c r="D821">
        <v>5.4044589999999904</v>
      </c>
      <c r="E821">
        <v>0.51939769999999996</v>
      </c>
      <c r="F821" t="s">
        <v>42</v>
      </c>
      <c r="G821">
        <v>-256.8741</v>
      </c>
      <c r="H821">
        <v>1.0387500000000001</v>
      </c>
      <c r="I821">
        <v>367.91219999999998</v>
      </c>
      <c r="J821">
        <v>-257.7124</v>
      </c>
      <c r="K821">
        <v>1.110557</v>
      </c>
      <c r="L821">
        <v>367.90879999999999</v>
      </c>
      <c r="M821">
        <v>0.99987939999999997</v>
      </c>
      <c r="N821">
        <v>0</v>
      </c>
      <c r="O821">
        <v>5.6128310000000004E-3</v>
      </c>
      <c r="P821">
        <v>0.99855859999999996</v>
      </c>
      <c r="Q821">
        <v>-9.3209650000000005E-3</v>
      </c>
      <c r="R821">
        <v>5.2860579999999997E-2</v>
      </c>
      <c r="S821">
        <v>3.0017239999999998</v>
      </c>
      <c r="T821">
        <v>-0.21259459999999999</v>
      </c>
      <c r="U821">
        <v>1.312256E-2</v>
      </c>
      <c r="V821">
        <v>-4.725476E-2</v>
      </c>
      <c r="W821">
        <v>5.1539350000000001E-3</v>
      </c>
      <c r="X821">
        <v>0.99886960000000002</v>
      </c>
      <c r="Y821">
        <v>1.2246749999999999E-3</v>
      </c>
      <c r="Z821">
        <v>-4.403775E-4</v>
      </c>
      <c r="AA821">
        <v>0.99999919999999998</v>
      </c>
      <c r="AB821">
        <v>33</v>
      </c>
      <c r="AC821">
        <v>0.83830000000000304</v>
      </c>
      <c r="AD821">
        <v>-7.1806999999999899E-2</v>
      </c>
      <c r="AE821">
        <v>3.3999999999991802E-3</v>
      </c>
      <c r="AF821">
        <v>1.2962722280358699E-3</v>
      </c>
      <c r="AG821">
        <v>-7.1806999999999899E-2</v>
      </c>
      <c r="AH821">
        <v>0.83219990111278597</v>
      </c>
      <c r="AI821">
        <v>94.931589110348099</v>
      </c>
      <c r="AJ821">
        <v>89.910753573029197</v>
      </c>
      <c r="AK821">
        <v>0.83529312279152601</v>
      </c>
      <c r="AL821">
        <v>89.704699977114601</v>
      </c>
      <c r="AM821">
        <v>92.708542898523206</v>
      </c>
      <c r="AN821">
        <v>1.0000000265964</v>
      </c>
    </row>
    <row r="822" spans="1:40" x14ac:dyDescent="0.3">
      <c r="A822" t="str">
        <f>"20200111160420074"</f>
        <v>20200111160420074</v>
      </c>
      <c r="B822" t="str">
        <f>"1578729860071978"</f>
        <v>1578729860071978</v>
      </c>
      <c r="C822" t="s">
        <v>40</v>
      </c>
      <c r="D822">
        <v>5.48942</v>
      </c>
      <c r="E822">
        <v>0.52076290000000003</v>
      </c>
      <c r="F822" t="s">
        <v>41</v>
      </c>
      <c r="G822">
        <v>-242.54079999999999</v>
      </c>
      <c r="H822" s="1">
        <v>-3.7955220000000001E-6</v>
      </c>
      <c r="I822">
        <v>367.98700000000002</v>
      </c>
      <c r="J822">
        <v>-253.65710000000001</v>
      </c>
      <c r="K822">
        <v>1.1105339999999999</v>
      </c>
      <c r="L822">
        <v>367.93180000000001</v>
      </c>
      <c r="M822">
        <v>0.99987939999999997</v>
      </c>
      <c r="N822">
        <v>0</v>
      </c>
      <c r="O822">
        <v>5.7040540000000001E-3</v>
      </c>
      <c r="P822">
        <v>0.99820960000000003</v>
      </c>
      <c r="Q822">
        <v>-9.037191E-3</v>
      </c>
      <c r="R822">
        <v>5.9128970000000003E-2</v>
      </c>
      <c r="S822">
        <v>3.0014949999999998</v>
      </c>
      <c r="T822">
        <v>-0.2197093</v>
      </c>
      <c r="U822">
        <v>1.5472410000000001E-2</v>
      </c>
      <c r="V822">
        <v>-5.3433710000000002E-2</v>
      </c>
      <c r="W822">
        <v>5.3961649999999996E-3</v>
      </c>
      <c r="X822">
        <v>0.99855680000000002</v>
      </c>
      <c r="Y822">
        <v>5.3313600000000003E-4</v>
      </c>
      <c r="Z822">
        <v>-4.3650269999999998E-4</v>
      </c>
      <c r="AA822">
        <v>0.99999979999999999</v>
      </c>
      <c r="AB822">
        <v>32</v>
      </c>
      <c r="AC822">
        <v>11.116300000000001</v>
      </c>
      <c r="AD822">
        <v>-1.1105377955219999</v>
      </c>
      <c r="AE822">
        <v>5.5199999999956603E-2</v>
      </c>
      <c r="AF822">
        <v>8.1343084051809303E-3</v>
      </c>
      <c r="AG822">
        <v>-1.1105377955219999</v>
      </c>
      <c r="AH822">
        <v>11.006587033165699</v>
      </c>
      <c r="AI822">
        <v>95.761504367177494</v>
      </c>
      <c r="AJ822">
        <v>89.957656133130101</v>
      </c>
      <c r="AK822">
        <v>11.0624734341334</v>
      </c>
      <c r="AL822">
        <v>89.690821013702305</v>
      </c>
      <c r="AM822">
        <v>93.063029495672396</v>
      </c>
      <c r="AN822">
        <v>0.99999998139365498</v>
      </c>
    </row>
    <row r="823" spans="1:40" x14ac:dyDescent="0.3">
      <c r="A823" t="str">
        <f>"20200111160420088"</f>
        <v>20200111160420088</v>
      </c>
      <c r="B823" t="str">
        <f>"1578729860081464"</f>
        <v>1578729860081464</v>
      </c>
      <c r="C823" t="s">
        <v>40</v>
      </c>
      <c r="D823">
        <v>5.594252</v>
      </c>
      <c r="E823">
        <v>0.52076290000000003</v>
      </c>
      <c r="F823" t="s">
        <v>41</v>
      </c>
      <c r="G823">
        <v>-238.7311</v>
      </c>
      <c r="H823" s="1">
        <v>-8.359326E-7</v>
      </c>
      <c r="I823">
        <v>368.0453</v>
      </c>
      <c r="J823">
        <v>-253.4759</v>
      </c>
      <c r="K823">
        <v>1.1105370000000001</v>
      </c>
      <c r="L823">
        <v>367.93279999999999</v>
      </c>
      <c r="M823">
        <v>0.99987939999999997</v>
      </c>
      <c r="N823">
        <v>0</v>
      </c>
      <c r="O823">
        <v>5.7082979999999997E-3</v>
      </c>
      <c r="P823">
        <v>0.99823220000000001</v>
      </c>
      <c r="Q823">
        <v>-8.4129700000000005E-3</v>
      </c>
      <c r="R823">
        <v>5.8837880000000002E-2</v>
      </c>
      <c r="S823">
        <v>3.002014</v>
      </c>
      <c r="T823">
        <v>-0.2233562</v>
      </c>
      <c r="U823">
        <v>2.2827150000000001E-2</v>
      </c>
      <c r="V823">
        <v>-5.3138310000000001E-2</v>
      </c>
      <c r="W823">
        <v>6.0189049999999997E-3</v>
      </c>
      <c r="X823">
        <v>0.99856900000000004</v>
      </c>
      <c r="Y823">
        <v>-1.905384E-3</v>
      </c>
      <c r="Z823">
        <v>-3.5337409999999997E-4</v>
      </c>
      <c r="AA823">
        <v>0.9999981</v>
      </c>
      <c r="AB823">
        <v>32</v>
      </c>
      <c r="AC823">
        <v>14.7447999999999</v>
      </c>
      <c r="AD823">
        <v>-1.1105378359325999</v>
      </c>
      <c r="AE823">
        <v>0.11250000000001099</v>
      </c>
      <c r="AF823">
        <v>-2.81619297061458E-2</v>
      </c>
      <c r="AG823">
        <v>-1.1105378359325999</v>
      </c>
      <c r="AH823">
        <v>14.6620336610239</v>
      </c>
      <c r="AI823">
        <v>94.331442323051206</v>
      </c>
      <c r="AJ823">
        <v>90.110050063186804</v>
      </c>
      <c r="AK823">
        <v>14.704057890811001</v>
      </c>
      <c r="AL823">
        <v>89.655140056204104</v>
      </c>
      <c r="AM823">
        <v>93.046090843817893</v>
      </c>
      <c r="AN823">
        <v>0.99999997748402703</v>
      </c>
    </row>
    <row r="824" spans="1:40" x14ac:dyDescent="0.3">
      <c r="A824" t="str">
        <f>"20200111160420102"</f>
        <v>20200111160420102</v>
      </c>
      <c r="B824" t="str">
        <f>"1578729860091221"</f>
        <v>1578729860091221</v>
      </c>
      <c r="C824" t="s">
        <v>40</v>
      </c>
      <c r="D824">
        <v>5.6827990000000002</v>
      </c>
      <c r="E824">
        <v>0.5544964</v>
      </c>
      <c r="F824" t="s">
        <v>42</v>
      </c>
      <c r="G824">
        <v>-252.50829999999999</v>
      </c>
      <c r="H824">
        <v>1.0392030000000001</v>
      </c>
      <c r="I824">
        <v>367.93970000000002</v>
      </c>
      <c r="J824">
        <v>-253.2567</v>
      </c>
      <c r="K824">
        <v>1.1105419999999999</v>
      </c>
      <c r="L824">
        <v>367.93400000000003</v>
      </c>
      <c r="M824">
        <v>0.99987939999999997</v>
      </c>
      <c r="N824">
        <v>0</v>
      </c>
      <c r="O824">
        <v>5.7133210000000004E-3</v>
      </c>
      <c r="P824">
        <v>0.99828799999999995</v>
      </c>
      <c r="Q824">
        <v>-8.0887770000000001E-3</v>
      </c>
      <c r="R824">
        <v>5.7931120000000003E-2</v>
      </c>
      <c r="S824">
        <v>3.0021360000000001</v>
      </c>
      <c r="T824">
        <v>-0.22157009999999999</v>
      </c>
      <c r="U824">
        <v>2.215576E-2</v>
      </c>
      <c r="V824">
        <v>-5.2225870000000001E-2</v>
      </c>
      <c r="W824">
        <v>6.3417179999999997E-3</v>
      </c>
      <c r="X824">
        <v>0.99861509999999998</v>
      </c>
      <c r="Y824">
        <v>-1.676896E-3</v>
      </c>
      <c r="Z824">
        <v>-3.5933230000000002E-4</v>
      </c>
      <c r="AA824">
        <v>0.99999850000000001</v>
      </c>
      <c r="AB824">
        <v>32</v>
      </c>
      <c r="AC824">
        <v>0.74840000000000295</v>
      </c>
      <c r="AD824">
        <v>-7.1338999999999805E-2</v>
      </c>
      <c r="AE824">
        <v>5.6999999999902597E-3</v>
      </c>
      <c r="AF824">
        <v>-1.4107934622092401E-3</v>
      </c>
      <c r="AG824">
        <v>-7.1338999999999805E-2</v>
      </c>
      <c r="AH824">
        <v>0.74168161053565596</v>
      </c>
      <c r="AI824">
        <v>95.494110423707497</v>
      </c>
      <c r="AJ824">
        <v>90.108985328086803</v>
      </c>
      <c r="AK824">
        <v>0.74510593519710899</v>
      </c>
      <c r="AL824">
        <v>89.636643865793999</v>
      </c>
      <c r="AM824">
        <v>92.993744325362201</v>
      </c>
      <c r="AN824">
        <v>0.99999993841622703</v>
      </c>
    </row>
    <row r="825" spans="1:40" x14ac:dyDescent="0.3">
      <c r="A825" t="str">
        <f>"20200111160420116"</f>
        <v>20200111160420116</v>
      </c>
      <c r="B825" t="str">
        <f>"1578729860111718"</f>
        <v>1578729860111718</v>
      </c>
      <c r="C825" t="s">
        <v>40</v>
      </c>
      <c r="D825">
        <v>5.5512949999999996</v>
      </c>
      <c r="E825">
        <v>0.56624589999999997</v>
      </c>
      <c r="F825" t="s">
        <v>42</v>
      </c>
      <c r="G825">
        <v>-252.5136</v>
      </c>
      <c r="H825">
        <v>1.036095</v>
      </c>
      <c r="I825">
        <v>367.87349999999998</v>
      </c>
      <c r="J825">
        <v>-253.07220000000001</v>
      </c>
      <c r="K825">
        <v>1.1105419999999999</v>
      </c>
      <c r="L825">
        <v>367.93509999999998</v>
      </c>
      <c r="M825">
        <v>0.99987930000000003</v>
      </c>
      <c r="N825">
        <v>0</v>
      </c>
      <c r="O825">
        <v>5.7177449999999998E-3</v>
      </c>
      <c r="P825">
        <v>0.99832169999999998</v>
      </c>
      <c r="Q825">
        <v>-7.7506010000000002E-3</v>
      </c>
      <c r="R825">
        <v>5.7391690000000002E-2</v>
      </c>
      <c r="S825">
        <v>3.0168759999999999</v>
      </c>
      <c r="T825">
        <v>-0.30255710000000002</v>
      </c>
      <c r="U825">
        <v>-0.24459839999999999</v>
      </c>
      <c r="V825">
        <v>-5.1682430000000001E-2</v>
      </c>
      <c r="W825">
        <v>6.6783579999999997E-3</v>
      </c>
      <c r="X825">
        <v>0.99864129999999995</v>
      </c>
      <c r="Y825">
        <v>8.6052459999999997E-2</v>
      </c>
      <c r="Z825">
        <v>-4.8683779999999996E-3</v>
      </c>
      <c r="AA825">
        <v>0.99627869999999996</v>
      </c>
      <c r="AB825">
        <v>32</v>
      </c>
      <c r="AC825">
        <v>0.55860000000001198</v>
      </c>
      <c r="AD825">
        <v>-7.4446999999999902E-2</v>
      </c>
      <c r="AE825">
        <v>-6.1599999999998503E-2</v>
      </c>
      <c r="AF825">
        <v>6.3675835270379899E-2</v>
      </c>
      <c r="AG825">
        <v>-7.4446999999999902E-2</v>
      </c>
      <c r="AH825">
        <v>0.54861124490298796</v>
      </c>
      <c r="AI825">
        <v>97.6769630051175</v>
      </c>
      <c r="AJ825">
        <v>83.379456362022594</v>
      </c>
      <c r="AK825">
        <v>0.55728921202584403</v>
      </c>
      <c r="AL825">
        <v>89.617355451110797</v>
      </c>
      <c r="AM825">
        <v>92.962570905871701</v>
      </c>
      <c r="AN825">
        <v>1.00000006005098</v>
      </c>
    </row>
    <row r="826" spans="1:40" x14ac:dyDescent="0.3">
      <c r="A826" t="str">
        <f>"20200111160420130"</f>
        <v>20200111160420130</v>
      </c>
      <c r="B826" t="str">
        <f>"1578729860121478"</f>
        <v>1578729860121478</v>
      </c>
      <c r="C826" t="s">
        <v>40</v>
      </c>
      <c r="D826">
        <v>5.4897330000000002</v>
      </c>
      <c r="E826">
        <v>0.56908519999999996</v>
      </c>
      <c r="F826" t="s">
        <v>42</v>
      </c>
      <c r="G826">
        <v>-252.22929999999999</v>
      </c>
      <c r="H826">
        <v>1.027496</v>
      </c>
      <c r="I826">
        <v>367.84</v>
      </c>
      <c r="J826">
        <v>-252.8623</v>
      </c>
      <c r="K826">
        <v>1.1105449999999999</v>
      </c>
      <c r="L826">
        <v>367.93630000000002</v>
      </c>
      <c r="M826">
        <v>0.99987939999999997</v>
      </c>
      <c r="N826">
        <v>0</v>
      </c>
      <c r="O826">
        <v>5.7224090000000003E-3</v>
      </c>
      <c r="P826">
        <v>0.99833260000000001</v>
      </c>
      <c r="Q826">
        <v>-7.5358259999999998E-3</v>
      </c>
      <c r="R826">
        <v>5.7228880000000003E-2</v>
      </c>
      <c r="S826">
        <v>3.0222630000000001</v>
      </c>
      <c r="T826">
        <v>-0.29795100000000002</v>
      </c>
      <c r="U826">
        <v>-0.34014889999999998</v>
      </c>
      <c r="V826">
        <v>-5.1514740000000003E-2</v>
      </c>
      <c r="W826">
        <v>6.8905449999999997E-3</v>
      </c>
      <c r="X826">
        <v>0.99864850000000005</v>
      </c>
      <c r="Y826">
        <v>0.1169396</v>
      </c>
      <c r="Z826">
        <v>-6.293491E-3</v>
      </c>
      <c r="AA826">
        <v>0.99311910000000003</v>
      </c>
      <c r="AB826">
        <v>32</v>
      </c>
      <c r="AC826">
        <v>0.633000000000009</v>
      </c>
      <c r="AD826">
        <v>-8.3049000000000095E-2</v>
      </c>
      <c r="AE826">
        <v>-9.6300000000042005E-2</v>
      </c>
      <c r="AF826">
        <v>9.8267845371440704E-2</v>
      </c>
      <c r="AG826">
        <v>-8.3049000000000095E-2</v>
      </c>
      <c r="AH826">
        <v>0.62197452398210196</v>
      </c>
      <c r="AI826">
        <v>97.513308616906897</v>
      </c>
      <c r="AJ826">
        <v>81.021860183089103</v>
      </c>
      <c r="AK826">
        <v>0.63514251496629304</v>
      </c>
      <c r="AL826">
        <v>89.605197743462995</v>
      </c>
      <c r="AM826">
        <v>92.952954268506602</v>
      </c>
      <c r="AN826">
        <v>1.00000003729995</v>
      </c>
    </row>
    <row r="827" spans="1:40" x14ac:dyDescent="0.3">
      <c r="A827" t="str">
        <f>"20200111160420142"</f>
        <v>20200111160420142</v>
      </c>
      <c r="B827" t="str">
        <f>"1578729860131239"</f>
        <v>1578729860131239</v>
      </c>
      <c r="C827" t="s">
        <v>40</v>
      </c>
      <c r="D827">
        <v>5.4840980000000004</v>
      </c>
      <c r="E827">
        <v>0.5709185</v>
      </c>
      <c r="F827" t="s">
        <v>42</v>
      </c>
      <c r="G827">
        <v>-251.9442</v>
      </c>
      <c r="H827">
        <v>1.0208919999999999</v>
      </c>
      <c r="I827">
        <v>367.82569999999998</v>
      </c>
      <c r="J827">
        <v>-252.67769999999999</v>
      </c>
      <c r="K827">
        <v>1.110555</v>
      </c>
      <c r="L827">
        <v>367.93729999999999</v>
      </c>
      <c r="M827">
        <v>0.99987939999999997</v>
      </c>
      <c r="N827">
        <v>0</v>
      </c>
      <c r="O827">
        <v>5.7266549999999998E-3</v>
      </c>
      <c r="P827">
        <v>0.9983419</v>
      </c>
      <c r="Q827">
        <v>-7.261539E-3</v>
      </c>
      <c r="R827">
        <v>5.7102640000000003E-2</v>
      </c>
      <c r="S827">
        <v>3.0236209999999999</v>
      </c>
      <c r="T827">
        <v>-0.29541289999999998</v>
      </c>
      <c r="U827">
        <v>-0.36343379999999997</v>
      </c>
      <c r="V827">
        <v>-5.1383680000000001E-2</v>
      </c>
      <c r="W827">
        <v>7.1632889999999998E-3</v>
      </c>
      <c r="X827">
        <v>0.99865329999999997</v>
      </c>
      <c r="Y827">
        <v>0.1244126</v>
      </c>
      <c r="Z827">
        <v>-6.5979309999999996E-3</v>
      </c>
      <c r="AA827">
        <v>0.9922086</v>
      </c>
      <c r="AB827">
        <v>32</v>
      </c>
      <c r="AC827">
        <v>0.73349999999999205</v>
      </c>
      <c r="AD827">
        <v>-8.9663000000000007E-2</v>
      </c>
      <c r="AE827">
        <v>-0.111600000000009</v>
      </c>
      <c r="AF827">
        <v>0.114132261132993</v>
      </c>
      <c r="AG827">
        <v>-8.9663000000000007E-2</v>
      </c>
      <c r="AH827">
        <v>0.72229995925052803</v>
      </c>
      <c r="AI827">
        <v>96.990380282874099</v>
      </c>
      <c r="AJ827">
        <v>81.020802770779596</v>
      </c>
      <c r="AK827">
        <v>0.73673798445148997</v>
      </c>
      <c r="AL827">
        <v>89.589570264595295</v>
      </c>
      <c r="AM827">
        <v>92.945440693886795</v>
      </c>
      <c r="AN827">
        <v>1.0000000044402599</v>
      </c>
    </row>
    <row r="828" spans="1:40" x14ac:dyDescent="0.3">
      <c r="A828" t="str">
        <f>"20200111160420155"</f>
        <v>20200111160420155</v>
      </c>
      <c r="B828" t="str">
        <f>"1578729860151733"</f>
        <v>1578729860151733</v>
      </c>
      <c r="C828" t="s">
        <v>40</v>
      </c>
      <c r="D828">
        <v>5.520753</v>
      </c>
      <c r="E828">
        <v>0.57285649999999999</v>
      </c>
      <c r="F828" t="s">
        <v>42</v>
      </c>
      <c r="G828">
        <v>-251.9358</v>
      </c>
      <c r="H828">
        <v>1.038643</v>
      </c>
      <c r="I828">
        <v>367.84440000000001</v>
      </c>
      <c r="J828">
        <v>-252.50139999999999</v>
      </c>
      <c r="K828">
        <v>1.11056</v>
      </c>
      <c r="L828">
        <v>367.9384</v>
      </c>
      <c r="M828">
        <v>0.99987939999999997</v>
      </c>
      <c r="N828">
        <v>0</v>
      </c>
      <c r="O828">
        <v>5.7307209999999898E-3</v>
      </c>
      <c r="P828">
        <v>0.99835839999999998</v>
      </c>
      <c r="Q828">
        <v>-6.6934400000000002E-3</v>
      </c>
      <c r="R828">
        <v>5.688845E-2</v>
      </c>
      <c r="S828">
        <v>3.0244900000000001</v>
      </c>
      <c r="T828">
        <v>-0.29335</v>
      </c>
      <c r="U828">
        <v>-0.37832640000000001</v>
      </c>
      <c r="V828">
        <v>-5.1165849999999999E-2</v>
      </c>
      <c r="W828">
        <v>7.729756E-3</v>
      </c>
      <c r="X828">
        <v>0.99866029999999995</v>
      </c>
      <c r="Y828">
        <v>0.12918189999999999</v>
      </c>
      <c r="Z828">
        <v>-6.7785140000000002E-3</v>
      </c>
      <c r="AA828">
        <v>0.99159779999999997</v>
      </c>
      <c r="AB828">
        <v>32</v>
      </c>
      <c r="AC828">
        <v>0.565599999999989</v>
      </c>
      <c r="AD828">
        <v>-7.1916999999999995E-2</v>
      </c>
      <c r="AE828">
        <v>-9.3999999999994005E-2</v>
      </c>
      <c r="AF828">
        <v>9.5733908477743795E-2</v>
      </c>
      <c r="AG828">
        <v>-7.1916999999999995E-2</v>
      </c>
      <c r="AH828">
        <v>0.55629970581063204</v>
      </c>
      <c r="AI828">
        <v>97.260632476740795</v>
      </c>
      <c r="AJ828">
        <v>80.235581137654094</v>
      </c>
      <c r="AK828">
        <v>0.56903989210460504</v>
      </c>
      <c r="AL828">
        <v>89.557113213625499</v>
      </c>
      <c r="AM828">
        <v>92.932955460761704</v>
      </c>
      <c r="AN828">
        <v>1.00000004406506</v>
      </c>
    </row>
    <row r="829" spans="1:40" x14ac:dyDescent="0.3">
      <c r="A829" t="str">
        <f>"20200111160420169"</f>
        <v>20200111160420169</v>
      </c>
      <c r="B829" t="str">
        <f>"1578729860161494"</f>
        <v>1578729860161494</v>
      </c>
      <c r="C829" t="s">
        <v>40</v>
      </c>
      <c r="D829">
        <v>5.5260170000000004</v>
      </c>
      <c r="E829">
        <v>0.57343900000000003</v>
      </c>
      <c r="F829" t="s">
        <v>42</v>
      </c>
      <c r="G829">
        <v>-251.6523</v>
      </c>
      <c r="H829">
        <v>1.029571</v>
      </c>
      <c r="I829">
        <v>367.82740000000001</v>
      </c>
      <c r="J829">
        <v>-252.29640000000001</v>
      </c>
      <c r="K829">
        <v>1.110574</v>
      </c>
      <c r="L829">
        <v>367.93950000000001</v>
      </c>
      <c r="M829">
        <v>0.99987930000000003</v>
      </c>
      <c r="N829">
        <v>0</v>
      </c>
      <c r="O829">
        <v>5.7355649999999998E-3</v>
      </c>
      <c r="P829">
        <v>0.99835059999999998</v>
      </c>
      <c r="Q829">
        <v>-5.9638729999999997E-3</v>
      </c>
      <c r="R829">
        <v>5.7100039999999998E-2</v>
      </c>
      <c r="S829">
        <v>3.0254970000000001</v>
      </c>
      <c r="T829">
        <v>-0.28879939999999998</v>
      </c>
      <c r="U829">
        <v>-0.39471440000000002</v>
      </c>
      <c r="V829">
        <v>-5.1372689999999999E-2</v>
      </c>
      <c r="W829">
        <v>8.4564319999999998E-3</v>
      </c>
      <c r="X829">
        <v>0.99864379999999997</v>
      </c>
      <c r="Y829">
        <v>0.13442560000000001</v>
      </c>
      <c r="Z829">
        <v>-6.9184959999999997E-3</v>
      </c>
      <c r="AA829">
        <v>0.99089959999999999</v>
      </c>
      <c r="AB829">
        <v>32</v>
      </c>
      <c r="AC829">
        <v>0.644100000000008</v>
      </c>
      <c r="AD829">
        <v>-8.1002999999999895E-2</v>
      </c>
      <c r="AE829">
        <v>-0.11209999999999801</v>
      </c>
      <c r="AF829">
        <v>0.114042159967914</v>
      </c>
      <c r="AG829">
        <v>-8.1002999999999895E-2</v>
      </c>
      <c r="AH829">
        <v>0.63371818734268903</v>
      </c>
      <c r="AI829">
        <v>97.170201055974104</v>
      </c>
      <c r="AJ829">
        <v>79.798400773776706</v>
      </c>
      <c r="AK829">
        <v>0.64897291255340595</v>
      </c>
      <c r="AL829">
        <v>89.515476386876003</v>
      </c>
      <c r="AM829">
        <v>92.944839793038099</v>
      </c>
      <c r="AN829">
        <v>1.00000005189922</v>
      </c>
    </row>
    <row r="830" spans="1:40" x14ac:dyDescent="0.3">
      <c r="A830" t="str">
        <f>"20200111160420182"</f>
        <v>20200111160420182</v>
      </c>
      <c r="B830" t="str">
        <f>"1578729860171255"</f>
        <v>1578729860171255</v>
      </c>
      <c r="C830" t="s">
        <v>40</v>
      </c>
      <c r="D830">
        <v>5.5656970000000001</v>
      </c>
      <c r="E830">
        <v>0.57379219999999997</v>
      </c>
      <c r="F830" t="s">
        <v>42</v>
      </c>
      <c r="G830">
        <v>-251.36799999999999</v>
      </c>
      <c r="H830">
        <v>1.022956</v>
      </c>
      <c r="I830">
        <v>367.81720000000001</v>
      </c>
      <c r="J830">
        <v>-252.10570000000001</v>
      </c>
      <c r="K830">
        <v>1.110579</v>
      </c>
      <c r="L830">
        <v>367.94060000000002</v>
      </c>
      <c r="M830">
        <v>0.99987939999999997</v>
      </c>
      <c r="N830">
        <v>0</v>
      </c>
      <c r="O830">
        <v>5.739811E-3</v>
      </c>
      <c r="P830">
        <v>0.99834040000000002</v>
      </c>
      <c r="Q830">
        <v>-5.2376480000000001E-3</v>
      </c>
      <c r="R830">
        <v>5.7352930000000003E-2</v>
      </c>
      <c r="S830">
        <v>3.0260470000000002</v>
      </c>
      <c r="T830">
        <v>-0.28570440000000003</v>
      </c>
      <c r="U830">
        <v>-0.3984375</v>
      </c>
      <c r="V830">
        <v>-5.1620930000000002E-2</v>
      </c>
      <c r="W830">
        <v>9.1807199999999999E-3</v>
      </c>
      <c r="X830">
        <v>0.99862459999999997</v>
      </c>
      <c r="Y830">
        <v>0.1356137</v>
      </c>
      <c r="Z830">
        <v>-6.8990340000000001E-3</v>
      </c>
      <c r="AA830">
        <v>0.9907378</v>
      </c>
      <c r="AB830">
        <v>32</v>
      </c>
      <c r="AC830">
        <v>0.73770000000001701</v>
      </c>
      <c r="AD830">
        <v>-8.7623000000000006E-2</v>
      </c>
      <c r="AE830">
        <v>-0.12340000000000299</v>
      </c>
      <c r="AF830">
        <v>0.12590470768881301</v>
      </c>
      <c r="AG830">
        <v>-8.7623000000000006E-2</v>
      </c>
      <c r="AH830">
        <v>0.72700186039554204</v>
      </c>
      <c r="AI830">
        <v>96.772653464646396</v>
      </c>
      <c r="AJ830">
        <v>80.174772114531606</v>
      </c>
      <c r="AK830">
        <v>0.74300840544760005</v>
      </c>
      <c r="AL830">
        <v>89.473976127269594</v>
      </c>
      <c r="AM830">
        <v>92.959101231640105</v>
      </c>
      <c r="AN830">
        <v>1.00000004887947</v>
      </c>
    </row>
    <row r="831" spans="1:40" x14ac:dyDescent="0.3">
      <c r="A831" t="str">
        <f>"20200111160420203"</f>
        <v>20200111160420203</v>
      </c>
      <c r="B831" t="str">
        <f>"1578729860191749"</f>
        <v>1578729860191749</v>
      </c>
      <c r="C831" t="s">
        <v>40</v>
      </c>
      <c r="D831">
        <v>5.528378</v>
      </c>
      <c r="E831">
        <v>0.57438469999999997</v>
      </c>
      <c r="F831" t="s">
        <v>42</v>
      </c>
      <c r="G831">
        <v>-251.3597</v>
      </c>
      <c r="H831">
        <v>1.0409109999999999</v>
      </c>
      <c r="I831">
        <v>367.8417</v>
      </c>
      <c r="J831">
        <v>-251.81049999999999</v>
      </c>
      <c r="K831">
        <v>1.110592</v>
      </c>
      <c r="L831">
        <v>367.94229999999999</v>
      </c>
      <c r="M831">
        <v>0.99987939999999997</v>
      </c>
      <c r="N831">
        <v>0</v>
      </c>
      <c r="O831">
        <v>5.7460369999999998E-3</v>
      </c>
      <c r="P831">
        <v>0.99831749999999997</v>
      </c>
      <c r="Q831">
        <v>-4.308498E-3</v>
      </c>
      <c r="R831">
        <v>5.7827469999999999E-2</v>
      </c>
      <c r="S831">
        <v>3.0265200000000001</v>
      </c>
      <c r="T831">
        <v>-0.28276089999999998</v>
      </c>
      <c r="U831">
        <v>-0.40069579999999999</v>
      </c>
      <c r="V831">
        <v>-5.208902E-2</v>
      </c>
      <c r="W831">
        <v>1.01067E-2</v>
      </c>
      <c r="X831">
        <v>0.99859129999999996</v>
      </c>
      <c r="Y831">
        <v>0.13633609999999999</v>
      </c>
      <c r="Z831">
        <v>-6.8609869999999998E-3</v>
      </c>
      <c r="AA831">
        <v>0.99063889999999999</v>
      </c>
      <c r="AB831">
        <v>32</v>
      </c>
      <c r="AC831">
        <v>0.45079999999998599</v>
      </c>
      <c r="AD831">
        <v>-6.9680999999999799E-2</v>
      </c>
      <c r="AE831">
        <v>-0.10059999999998499</v>
      </c>
      <c r="AF831">
        <v>0.100892698502266</v>
      </c>
      <c r="AG831">
        <v>-6.9680999999999799E-2</v>
      </c>
      <c r="AH831">
        <v>0.44019599544533899</v>
      </c>
      <c r="AI831">
        <v>98.771257022588898</v>
      </c>
      <c r="AJ831">
        <v>77.090804436439896</v>
      </c>
      <c r="AK831">
        <v>0.45695436618789598</v>
      </c>
      <c r="AL831">
        <v>89.420918885290405</v>
      </c>
      <c r="AM831">
        <v>92.9859849212516</v>
      </c>
      <c r="AN831">
        <v>0.99999999791256999</v>
      </c>
    </row>
    <row r="832" spans="1:40" x14ac:dyDescent="0.3">
      <c r="A832" t="str">
        <f>"20200111160420217"</f>
        <v>20200111160420217</v>
      </c>
      <c r="B832" t="str">
        <f>"1578729860211270"</f>
        <v>1578729860211270</v>
      </c>
      <c r="C832" t="s">
        <v>40</v>
      </c>
      <c r="D832">
        <v>5.5399200000000004</v>
      </c>
      <c r="E832">
        <v>0.57489330000000005</v>
      </c>
      <c r="F832" t="s">
        <v>42</v>
      </c>
      <c r="G832">
        <v>-251.0718</v>
      </c>
      <c r="H832">
        <v>1.0420529999999999</v>
      </c>
      <c r="I832">
        <v>367.84359999999998</v>
      </c>
      <c r="J832">
        <v>-251.6224</v>
      </c>
      <c r="K832">
        <v>1.1105959999999999</v>
      </c>
      <c r="L832">
        <v>367.9434</v>
      </c>
      <c r="M832">
        <v>0.99987939999999997</v>
      </c>
      <c r="N832">
        <v>0</v>
      </c>
      <c r="O832">
        <v>5.7504619999999996E-3</v>
      </c>
      <c r="P832">
        <v>0.99829489999999999</v>
      </c>
      <c r="Q832">
        <v>-3.793027E-3</v>
      </c>
      <c r="R832">
        <v>5.8250089999999997E-2</v>
      </c>
      <c r="S832">
        <v>3.027237</v>
      </c>
      <c r="T832">
        <v>-0.2810802</v>
      </c>
      <c r="U832">
        <v>-0.40390009999999998</v>
      </c>
      <c r="V832">
        <v>-5.2508239999999998E-2</v>
      </c>
      <c r="W832">
        <v>1.061927E-2</v>
      </c>
      <c r="X832">
        <v>0.99856400000000001</v>
      </c>
      <c r="Y832">
        <v>0.13734360000000001</v>
      </c>
      <c r="Z832">
        <v>-6.8651900000000002E-3</v>
      </c>
      <c r="AA832">
        <v>0.99049969999999998</v>
      </c>
      <c r="AB832">
        <v>32</v>
      </c>
      <c r="AC832">
        <v>0.55060000000000198</v>
      </c>
      <c r="AD832">
        <v>-6.8542999999999799E-2</v>
      </c>
      <c r="AE832">
        <v>-9.9800000000016098E-2</v>
      </c>
      <c r="AF832">
        <v>0.101442808231602</v>
      </c>
      <c r="AG832">
        <v>-6.8542999999999799E-2</v>
      </c>
      <c r="AH832">
        <v>0.54188633012144105</v>
      </c>
      <c r="AI832">
        <v>97.0872053565069</v>
      </c>
      <c r="AJ832">
        <v>79.396778233656306</v>
      </c>
      <c r="AK832">
        <v>0.55554440053284404</v>
      </c>
      <c r="AL832">
        <v>89.391549195054196</v>
      </c>
      <c r="AM832">
        <v>93.010054685822496</v>
      </c>
      <c r="AN832">
        <v>0.99999997312961397</v>
      </c>
    </row>
    <row r="833" spans="1:40" x14ac:dyDescent="0.3">
      <c r="A833" t="str">
        <f>"20200111160420229"</f>
        <v>20200111160420229</v>
      </c>
      <c r="B833" t="str">
        <f>"1578729860221030"</f>
        <v>1578729860221030</v>
      </c>
      <c r="C833" t="s">
        <v>40</v>
      </c>
      <c r="D833">
        <v>5.5616490000000001</v>
      </c>
      <c r="E833">
        <v>0.57506999999999997</v>
      </c>
      <c r="F833" t="s">
        <v>42</v>
      </c>
      <c r="G833">
        <v>-250.78960000000001</v>
      </c>
      <c r="H833">
        <v>1.033318</v>
      </c>
      <c r="I833">
        <v>367.83120000000002</v>
      </c>
      <c r="J833">
        <v>-251.43700000000001</v>
      </c>
      <c r="K833">
        <v>1.1106</v>
      </c>
      <c r="L833">
        <v>367.94450000000001</v>
      </c>
      <c r="M833">
        <v>0.99987939999999997</v>
      </c>
      <c r="N833">
        <v>0</v>
      </c>
      <c r="O833">
        <v>5.7546480000000002E-3</v>
      </c>
      <c r="P833">
        <v>0.99827909999999997</v>
      </c>
      <c r="Q833">
        <v>-3.7573929999999999E-3</v>
      </c>
      <c r="R833">
        <v>5.8522110000000002E-2</v>
      </c>
      <c r="S833">
        <v>3.0278019999999999</v>
      </c>
      <c r="T833">
        <v>-0.28119899999999998</v>
      </c>
      <c r="U833">
        <v>-0.40664670000000003</v>
      </c>
      <c r="V833">
        <v>-5.2775330000000002E-2</v>
      </c>
      <c r="W833">
        <v>1.065312E-2</v>
      </c>
      <c r="X833">
        <v>0.99854960000000004</v>
      </c>
      <c r="Y833">
        <v>0.1382023</v>
      </c>
      <c r="Z833">
        <v>-6.9064069999999998E-3</v>
      </c>
      <c r="AA833">
        <v>0.99037989999999998</v>
      </c>
      <c r="AB833">
        <v>32</v>
      </c>
      <c r="AC833">
        <v>0.64740000000000397</v>
      </c>
      <c r="AD833">
        <v>-7.7282000000000003E-2</v>
      </c>
      <c r="AE833">
        <v>-0.113299999999981</v>
      </c>
      <c r="AF833">
        <v>0.115428113646962</v>
      </c>
      <c r="AG833">
        <v>-7.7282000000000003E-2</v>
      </c>
      <c r="AH833">
        <v>0.63791710369029797</v>
      </c>
      <c r="AI833">
        <v>96.798235976247597</v>
      </c>
      <c r="AJ833">
        <v>79.743571965423797</v>
      </c>
      <c r="AK833">
        <v>0.65286628655852297</v>
      </c>
      <c r="AL833">
        <v>89.389609648124804</v>
      </c>
      <c r="AM833">
        <v>93.0253808969033</v>
      </c>
      <c r="AN833">
        <v>1.0000000140412499</v>
      </c>
    </row>
    <row r="834" spans="1:40" x14ac:dyDescent="0.3">
      <c r="A834" t="str">
        <f>"20200111160420243"</f>
        <v>20200111160420243</v>
      </c>
      <c r="B834" t="str">
        <f>"1578729860231766"</f>
        <v>1578729860231766</v>
      </c>
      <c r="C834" t="s">
        <v>40</v>
      </c>
      <c r="D834">
        <v>5.5516489999999896</v>
      </c>
      <c r="E834">
        <v>0.57528970000000001</v>
      </c>
      <c r="F834" t="s">
        <v>42</v>
      </c>
      <c r="G834">
        <v>-250.50739999999999</v>
      </c>
      <c r="H834">
        <v>1.0244279999999999</v>
      </c>
      <c r="I834">
        <v>367.8193</v>
      </c>
      <c r="J834">
        <v>-251.2373</v>
      </c>
      <c r="K834">
        <v>1.1106020000000001</v>
      </c>
      <c r="L834">
        <v>367.94560000000001</v>
      </c>
      <c r="M834">
        <v>0.99987939999999997</v>
      </c>
      <c r="N834">
        <v>0</v>
      </c>
      <c r="O834">
        <v>5.7590130000000003E-3</v>
      </c>
      <c r="P834">
        <v>0.99826060000000005</v>
      </c>
      <c r="Q834">
        <v>-3.7230570000000001E-3</v>
      </c>
      <c r="R834">
        <v>5.8837340000000002E-2</v>
      </c>
      <c r="S834">
        <v>3.0279690000000001</v>
      </c>
      <c r="T834">
        <v>-0.2808369</v>
      </c>
      <c r="U834">
        <v>-0.40725709999999998</v>
      </c>
      <c r="V834">
        <v>-5.3086710000000002E-2</v>
      </c>
      <c r="W834">
        <v>1.068506E-2</v>
      </c>
      <c r="X834">
        <v>0.99853270000000005</v>
      </c>
      <c r="Y834">
        <v>0.1383963</v>
      </c>
      <c r="Z834">
        <v>-6.9064219999999997E-3</v>
      </c>
      <c r="AA834">
        <v>0.99035289999999998</v>
      </c>
      <c r="AB834">
        <v>32</v>
      </c>
      <c r="AC834">
        <v>0.72990000000001398</v>
      </c>
      <c r="AD834">
        <v>-8.6173999999999903E-2</v>
      </c>
      <c r="AE834">
        <v>-0.12630000000001401</v>
      </c>
      <c r="AF834">
        <v>0.128759270711824</v>
      </c>
      <c r="AG834">
        <v>-8.6173999999999903E-2</v>
      </c>
      <c r="AH834">
        <v>0.71942406364990197</v>
      </c>
      <c r="AI834">
        <v>96.724604414157994</v>
      </c>
      <c r="AJ834">
        <v>79.852894598259795</v>
      </c>
      <c r="AK834">
        <v>0.73591839997976605</v>
      </c>
      <c r="AL834">
        <v>89.387779484392297</v>
      </c>
      <c r="AM834">
        <v>93.0432489174175</v>
      </c>
      <c r="AN834">
        <v>0.99999996112755796</v>
      </c>
    </row>
    <row r="835" spans="1:40" x14ac:dyDescent="0.3">
      <c r="A835" t="str">
        <f>"20200111160420258"</f>
        <v>20200111160420258</v>
      </c>
      <c r="B835" t="str">
        <f>"1578729860251285"</f>
        <v>1578729860251285</v>
      </c>
      <c r="C835" t="s">
        <v>40</v>
      </c>
      <c r="D835">
        <v>5.5456440000000002</v>
      </c>
      <c r="E835">
        <v>0.5755555</v>
      </c>
      <c r="F835" t="s">
        <v>42</v>
      </c>
      <c r="G835">
        <v>-250.49870000000001</v>
      </c>
      <c r="H835">
        <v>1.042176</v>
      </c>
      <c r="I835">
        <v>367.84589999999997</v>
      </c>
      <c r="J835">
        <v>-251.03129999999999</v>
      </c>
      <c r="K835">
        <v>1.1106020000000001</v>
      </c>
      <c r="L835">
        <v>367.9468</v>
      </c>
      <c r="M835">
        <v>0.99987939999999997</v>
      </c>
      <c r="N835">
        <v>0</v>
      </c>
      <c r="O835">
        <v>5.7637359999999898E-3</v>
      </c>
      <c r="P835">
        <v>0.99824880000000005</v>
      </c>
      <c r="Q835">
        <v>-3.6443339999999999E-3</v>
      </c>
      <c r="R835">
        <v>5.9045960000000001E-2</v>
      </c>
      <c r="S835">
        <v>3.0282589999999998</v>
      </c>
      <c r="T835">
        <v>-0.28074070000000001</v>
      </c>
      <c r="U835">
        <v>-0.40829470000000001</v>
      </c>
      <c r="V835">
        <v>-5.3290459999999998E-2</v>
      </c>
      <c r="W835">
        <v>1.0761359999999999E-2</v>
      </c>
      <c r="X835">
        <v>0.99852110000000005</v>
      </c>
      <c r="Y835">
        <v>0.13872089999999901</v>
      </c>
      <c r="Z835">
        <v>-6.9186389999999999E-3</v>
      </c>
      <c r="AA835">
        <v>0.9903073</v>
      </c>
      <c r="AB835">
        <v>32</v>
      </c>
      <c r="AC835">
        <v>0.53259999999997298</v>
      </c>
      <c r="AD835">
        <v>-6.8426000000000098E-2</v>
      </c>
      <c r="AE835">
        <v>-0.100900000000024</v>
      </c>
      <c r="AF835">
        <v>0.10233775404084799</v>
      </c>
      <c r="AG835">
        <v>-6.8426000000000098E-2</v>
      </c>
      <c r="AH835">
        <v>0.52366542017145801</v>
      </c>
      <c r="AI835">
        <v>97.307809498798406</v>
      </c>
      <c r="AJ835">
        <v>78.942287883829096</v>
      </c>
      <c r="AK835">
        <v>0.53794108010215602</v>
      </c>
      <c r="AL835">
        <v>89.383407609549295</v>
      </c>
      <c r="AM835">
        <v>93.054942431051302</v>
      </c>
      <c r="AN835">
        <v>1.0000000335706301</v>
      </c>
    </row>
    <row r="836" spans="1:40" x14ac:dyDescent="0.3">
      <c r="A836" t="str">
        <f>"20200111160420270"</f>
        <v>20200111160420270</v>
      </c>
      <c r="B836" t="str">
        <f>"1578729860261046"</f>
        <v>1578729860261046</v>
      </c>
      <c r="C836" t="s">
        <v>40</v>
      </c>
      <c r="D836">
        <v>5.5707250000000004</v>
      </c>
      <c r="E836">
        <v>0.57571450000000002</v>
      </c>
      <c r="F836" t="s">
        <v>42</v>
      </c>
      <c r="G836">
        <v>-250.2165</v>
      </c>
      <c r="H836">
        <v>1.035158</v>
      </c>
      <c r="I836">
        <v>367.8365</v>
      </c>
      <c r="J836">
        <v>-250.851</v>
      </c>
      <c r="K836">
        <v>1.110598</v>
      </c>
      <c r="L836">
        <v>367.94779999999997</v>
      </c>
      <c r="M836">
        <v>0.99987939999999997</v>
      </c>
      <c r="N836">
        <v>0</v>
      </c>
      <c r="O836">
        <v>5.7679799999999998E-3</v>
      </c>
      <c r="P836">
        <v>0.9982221</v>
      </c>
      <c r="Q836">
        <v>-4.7092360000000003E-3</v>
      </c>
      <c r="R836">
        <v>5.9421160000000001E-2</v>
      </c>
      <c r="S836">
        <v>3.028473</v>
      </c>
      <c r="T836">
        <v>-0.28053149999999999</v>
      </c>
      <c r="U836">
        <v>-0.4094238</v>
      </c>
      <c r="V836">
        <v>-5.3661470000000003E-2</v>
      </c>
      <c r="W836">
        <v>9.6942480000000008E-3</v>
      </c>
      <c r="X836">
        <v>0.99851210000000001</v>
      </c>
      <c r="Y836">
        <v>0.13907800000000001</v>
      </c>
      <c r="Z836">
        <v>-6.9296699999999998E-3</v>
      </c>
      <c r="AA836">
        <v>0.99025719999999995</v>
      </c>
      <c r="AB836">
        <v>32</v>
      </c>
      <c r="AC836">
        <v>0.63450000000000195</v>
      </c>
      <c r="AD836">
        <v>-7.5439999999999896E-2</v>
      </c>
      <c r="AE836">
        <v>-0.11129999999997101</v>
      </c>
      <c r="AF836">
        <v>0.113403051664106</v>
      </c>
      <c r="AG836">
        <v>-7.5439999999999896E-2</v>
      </c>
      <c r="AH836">
        <v>0.62527213746809096</v>
      </c>
      <c r="AI836">
        <v>96.770170355239898</v>
      </c>
      <c r="AJ836">
        <v>79.720239439284498</v>
      </c>
      <c r="AK836">
        <v>0.63993491201890795</v>
      </c>
      <c r="AL836">
        <v>89.444551788695094</v>
      </c>
      <c r="AM836">
        <v>93.076198010549902</v>
      </c>
      <c r="AN836">
        <v>0.999999972826627</v>
      </c>
    </row>
    <row r="837" spans="1:40" x14ac:dyDescent="0.3">
      <c r="A837" t="str">
        <f>"20200111160420282"</f>
        <v>20200111160420282</v>
      </c>
      <c r="B837" t="str">
        <f>"1578729860271782"</f>
        <v>1578729860271782</v>
      </c>
      <c r="C837" t="s">
        <v>40</v>
      </c>
      <c r="D837">
        <v>5.577153</v>
      </c>
      <c r="E837">
        <v>0.57593879999999997</v>
      </c>
      <c r="F837" t="s">
        <v>42</v>
      </c>
      <c r="G837">
        <v>-249.93559999999999</v>
      </c>
      <c r="H837">
        <v>1.0248930000000001</v>
      </c>
      <c r="I837">
        <v>367.82380000000001</v>
      </c>
      <c r="J837">
        <v>-250.6704</v>
      </c>
      <c r="K837">
        <v>1.1105910000000001</v>
      </c>
      <c r="L837">
        <v>367.94889999999998</v>
      </c>
      <c r="M837">
        <v>0.99987950000000003</v>
      </c>
      <c r="N837">
        <v>0</v>
      </c>
      <c r="O837">
        <v>5.7720459999999899E-3</v>
      </c>
      <c r="P837">
        <v>0.99818750000000001</v>
      </c>
      <c r="Q837">
        <v>-5.4470059999999999E-3</v>
      </c>
      <c r="R837">
        <v>5.993598E-2</v>
      </c>
      <c r="S837">
        <v>3.028381</v>
      </c>
      <c r="T837">
        <v>-0.28368759999999998</v>
      </c>
      <c r="U837">
        <v>-0.4097595</v>
      </c>
      <c r="V837">
        <v>-5.4172720000000001E-2</v>
      </c>
      <c r="W837">
        <v>8.9547080000000005E-3</v>
      </c>
      <c r="X837">
        <v>0.99849140000000003</v>
      </c>
      <c r="Y837">
        <v>0.13917950000000001</v>
      </c>
      <c r="Z837">
        <v>-7.0125600000000001E-3</v>
      </c>
      <c r="AA837">
        <v>0.99024239999999997</v>
      </c>
      <c r="AB837">
        <v>32</v>
      </c>
      <c r="AC837">
        <v>0.734800000000007</v>
      </c>
      <c r="AD837">
        <v>-8.5697999999999802E-2</v>
      </c>
      <c r="AE837">
        <v>-0.12509999999997401</v>
      </c>
      <c r="AF837">
        <v>0.12765223860361999</v>
      </c>
      <c r="AG837">
        <v>-8.5697999999999802E-2</v>
      </c>
      <c r="AH837">
        <v>0.72448868561049395</v>
      </c>
      <c r="AI837">
        <v>96.644614305338806</v>
      </c>
      <c r="AJ837">
        <v>80.007260858617997</v>
      </c>
      <c r="AK837">
        <v>0.74062345142598396</v>
      </c>
      <c r="AL837">
        <v>89.486926153928096</v>
      </c>
      <c r="AM837">
        <v>93.105513092980004</v>
      </c>
      <c r="AN837">
        <v>0.99999997313076106</v>
      </c>
    </row>
    <row r="838" spans="1:40" x14ac:dyDescent="0.3">
      <c r="A838" t="str">
        <f>"20200111160420298"</f>
        <v>20200111160420298</v>
      </c>
      <c r="B838" t="str">
        <f>"1578729860291301"</f>
        <v>1578729860291301</v>
      </c>
      <c r="C838" t="s">
        <v>40</v>
      </c>
      <c r="D838">
        <v>5.5665750000000003</v>
      </c>
      <c r="E838">
        <v>0.57630209999999904</v>
      </c>
      <c r="F838" t="s">
        <v>42</v>
      </c>
      <c r="G838">
        <v>-249.92840000000001</v>
      </c>
      <c r="H838">
        <v>1.040467</v>
      </c>
      <c r="I838">
        <v>367.84809999999999</v>
      </c>
      <c r="J838">
        <v>-250.46299999999999</v>
      </c>
      <c r="K838">
        <v>1.1105879999999999</v>
      </c>
      <c r="L838">
        <v>367.95010000000002</v>
      </c>
      <c r="M838">
        <v>0.99987939999999997</v>
      </c>
      <c r="N838">
        <v>0</v>
      </c>
      <c r="O838">
        <v>5.7770690000000001E-3</v>
      </c>
      <c r="P838">
        <v>0.99817409999999995</v>
      </c>
      <c r="Q838">
        <v>-6.4756419999999898E-3</v>
      </c>
      <c r="R838">
        <v>6.0053969999999998E-2</v>
      </c>
      <c r="S838">
        <v>3.0284879999999998</v>
      </c>
      <c r="T838">
        <v>-0.28639160000000002</v>
      </c>
      <c r="U838">
        <v>-0.41003420000000002</v>
      </c>
      <c r="V838">
        <v>-5.4285550000000002E-2</v>
      </c>
      <c r="W838">
        <v>7.923345E-3</v>
      </c>
      <c r="X838">
        <v>0.99849399999999999</v>
      </c>
      <c r="Y838">
        <v>0.13925589999999999</v>
      </c>
      <c r="Z838">
        <v>-7.0828769999999996E-3</v>
      </c>
      <c r="AA838">
        <v>0.99023110000000003</v>
      </c>
      <c r="AB838">
        <v>32</v>
      </c>
      <c r="AC838">
        <v>0.53459999999998298</v>
      </c>
      <c r="AD838">
        <v>-7.0120999999999795E-2</v>
      </c>
      <c r="AE838">
        <v>-0.102000000000032</v>
      </c>
      <c r="AF838">
        <v>0.103371074368726</v>
      </c>
      <c r="AG838">
        <v>-7.0120999999999795E-2</v>
      </c>
      <c r="AH838">
        <v>0.52528204554563995</v>
      </c>
      <c r="AI838">
        <v>97.462119601623499</v>
      </c>
      <c r="AJ838">
        <v>78.866935652554304</v>
      </c>
      <c r="AK838">
        <v>0.539929403746227</v>
      </c>
      <c r="AL838">
        <v>89.546021014522097</v>
      </c>
      <c r="AM838">
        <v>93.111960414268196</v>
      </c>
      <c r="AN838">
        <v>0.99999998418539504</v>
      </c>
    </row>
    <row r="839" spans="1:40" x14ac:dyDescent="0.3">
      <c r="A839" t="str">
        <f>"20200111160420309"</f>
        <v>20200111160420309</v>
      </c>
      <c r="B839" t="str">
        <f>"1578729860302039"</f>
        <v>1578729860302039</v>
      </c>
      <c r="C839" t="s">
        <v>40</v>
      </c>
      <c r="D839">
        <v>5.5688959999999996</v>
      </c>
      <c r="E839">
        <v>0.57643769999999905</v>
      </c>
      <c r="F839" t="s">
        <v>42</v>
      </c>
      <c r="G839">
        <v>-249.64680000000001</v>
      </c>
      <c r="H839">
        <v>1.0325260000000001</v>
      </c>
      <c r="I839">
        <v>367.83850000000001</v>
      </c>
      <c r="J839">
        <v>-250.28919999999999</v>
      </c>
      <c r="K839">
        <v>1.1105830000000001</v>
      </c>
      <c r="L839">
        <v>367.9511</v>
      </c>
      <c r="M839">
        <v>0.99987939999999997</v>
      </c>
      <c r="N839">
        <v>0</v>
      </c>
      <c r="O839">
        <v>5.7811349999999997E-3</v>
      </c>
      <c r="P839">
        <v>0.998143</v>
      </c>
      <c r="Q839">
        <v>-7.4072460000000001E-3</v>
      </c>
      <c r="R839">
        <v>6.0464099999999903E-2</v>
      </c>
      <c r="S839">
        <v>3.028397</v>
      </c>
      <c r="T839">
        <v>-0.289958099999999</v>
      </c>
      <c r="U839">
        <v>-0.4126282</v>
      </c>
      <c r="V839">
        <v>-5.4692060000000001E-2</v>
      </c>
      <c r="W839">
        <v>6.9897240000000001E-3</v>
      </c>
      <c r="X839">
        <v>0.9984788</v>
      </c>
      <c r="Y839">
        <v>0.14007709999999901</v>
      </c>
      <c r="Z839">
        <v>-7.2099269999999997E-3</v>
      </c>
      <c r="AA839">
        <v>0.9901143</v>
      </c>
      <c r="AB839">
        <v>32</v>
      </c>
      <c r="AC839">
        <v>0.64239999999997999</v>
      </c>
      <c r="AD839">
        <v>-7.8057000000000001E-2</v>
      </c>
      <c r="AE839">
        <v>-0.112599999999986</v>
      </c>
      <c r="AF839">
        <v>0.114669751574542</v>
      </c>
      <c r="AG839">
        <v>-7.8057000000000001E-2</v>
      </c>
      <c r="AH839">
        <v>0.63267566150677101</v>
      </c>
      <c r="AI839">
        <v>96.921731701264207</v>
      </c>
      <c r="AJ839">
        <v>79.726907154830698</v>
      </c>
      <c r="AK839">
        <v>0.64770405266463904</v>
      </c>
      <c r="AL839">
        <v>89.599515052103499</v>
      </c>
      <c r="AM839">
        <v>93.135265223881206</v>
      </c>
      <c r="AN839">
        <v>0.99999999585903898</v>
      </c>
    </row>
    <row r="840" spans="1:40" x14ac:dyDescent="0.3">
      <c r="A840" t="str">
        <f>"20200111160420320"</f>
        <v>20200111160420320</v>
      </c>
      <c r="B840" t="str">
        <f>"1578729860311798"</f>
        <v>1578729860311798</v>
      </c>
      <c r="C840" t="s">
        <v>40</v>
      </c>
      <c r="D840">
        <v>5.5839679999999996</v>
      </c>
      <c r="E840">
        <v>0.57658669999999901</v>
      </c>
      <c r="F840" t="s">
        <v>42</v>
      </c>
      <c r="G840">
        <v>-249.36709999999999</v>
      </c>
      <c r="H840">
        <v>1.0212650000000001</v>
      </c>
      <c r="I840">
        <v>367.8254</v>
      </c>
      <c r="J840">
        <v>-250.12309999999999</v>
      </c>
      <c r="K840">
        <v>1.110582</v>
      </c>
      <c r="L840">
        <v>367.952</v>
      </c>
      <c r="M840">
        <v>0.99987939999999997</v>
      </c>
      <c r="N840">
        <v>0</v>
      </c>
      <c r="O840">
        <v>5.7848439999999999E-3</v>
      </c>
      <c r="P840">
        <v>0.99812259999999997</v>
      </c>
      <c r="Q840">
        <v>-8.1792749999999997E-3</v>
      </c>
      <c r="R840">
        <v>6.0699790000000003E-2</v>
      </c>
      <c r="S840">
        <v>3.028381</v>
      </c>
      <c r="T840">
        <v>-0.29345260000000001</v>
      </c>
      <c r="U840">
        <v>-0.41241460000000002</v>
      </c>
      <c r="V840">
        <v>-5.4924210000000001E-2</v>
      </c>
      <c r="W840">
        <v>6.2153579999999998E-3</v>
      </c>
      <c r="X840">
        <v>0.9984712</v>
      </c>
      <c r="Y840">
        <v>0.13999739999999999</v>
      </c>
      <c r="Z840">
        <v>-7.2930149999999999E-3</v>
      </c>
      <c r="AA840">
        <v>0.99012500000000003</v>
      </c>
      <c r="AB840">
        <v>32</v>
      </c>
      <c r="AC840">
        <v>0.75600000000000001</v>
      </c>
      <c r="AD840">
        <v>-8.9316999999999994E-2</v>
      </c>
      <c r="AE840">
        <v>-0.12659999999999599</v>
      </c>
      <c r="AF840">
        <v>0.12921725619567101</v>
      </c>
      <c r="AG840">
        <v>-8.9316999999999994E-2</v>
      </c>
      <c r="AH840">
        <v>0.745137949208734</v>
      </c>
      <c r="AI840">
        <v>96.735642982622295</v>
      </c>
      <c r="AJ840">
        <v>80.161956223841202</v>
      </c>
      <c r="AK840">
        <v>0.76151506166243099</v>
      </c>
      <c r="AL840">
        <v>89.643883932121398</v>
      </c>
      <c r="AM840">
        <v>93.148570602784204</v>
      </c>
      <c r="AN840">
        <v>1.0000000183743101</v>
      </c>
    </row>
    <row r="841" spans="1:40" x14ac:dyDescent="0.3">
      <c r="A841" t="str">
        <f>"20200111160420338"</f>
        <v>20200111160420338</v>
      </c>
      <c r="B841" t="str">
        <f>"1578729860331317"</f>
        <v>1578729860331317</v>
      </c>
      <c r="C841" t="s">
        <v>40</v>
      </c>
      <c r="D841">
        <v>5.6007730000000002</v>
      </c>
      <c r="E841">
        <v>0.57685850000000005</v>
      </c>
      <c r="F841" t="s">
        <v>42</v>
      </c>
      <c r="G841">
        <v>-249.3603</v>
      </c>
      <c r="H841">
        <v>1.0360860000000001</v>
      </c>
      <c r="I841">
        <v>367.84789999999998</v>
      </c>
      <c r="J841">
        <v>-249.88810000000001</v>
      </c>
      <c r="K841">
        <v>1.1105830000000001</v>
      </c>
      <c r="L841">
        <v>367.95339999999999</v>
      </c>
      <c r="M841">
        <v>0.99987930000000003</v>
      </c>
      <c r="N841">
        <v>0</v>
      </c>
      <c r="O841">
        <v>5.7904050000000002E-3</v>
      </c>
      <c r="P841">
        <v>0.99807259999999998</v>
      </c>
      <c r="Q841">
        <v>-8.7847369999999904E-3</v>
      </c>
      <c r="R841">
        <v>6.1429579999999998E-2</v>
      </c>
      <c r="S841">
        <v>3.0283199999999999</v>
      </c>
      <c r="T841">
        <v>-0.2958518</v>
      </c>
      <c r="U841">
        <v>-0.41302489999999997</v>
      </c>
      <c r="V841">
        <v>-5.5648549999999998E-2</v>
      </c>
      <c r="W841">
        <v>5.6069229999999998E-3</v>
      </c>
      <c r="X841">
        <v>0.99843470000000001</v>
      </c>
      <c r="Y841">
        <v>0.14018949999999999</v>
      </c>
      <c r="Z841">
        <v>-7.3622699999999998E-3</v>
      </c>
      <c r="AA841">
        <v>0.99009729999999996</v>
      </c>
      <c r="AB841">
        <v>32</v>
      </c>
      <c r="AC841">
        <v>0.52780000000001304</v>
      </c>
      <c r="AD841">
        <v>-7.4496999999999994E-2</v>
      </c>
      <c r="AE841">
        <v>-0.10550000000000601</v>
      </c>
      <c r="AF841">
        <v>0.106514245377516</v>
      </c>
      <c r="AG841">
        <v>-7.4496999999999994E-2</v>
      </c>
      <c r="AH841">
        <v>0.51727090958677802</v>
      </c>
      <c r="AI841">
        <v>98.029156333045904</v>
      </c>
      <c r="AJ841">
        <v>78.364528392614204</v>
      </c>
      <c r="AK841">
        <v>0.53335193013813598</v>
      </c>
      <c r="AL841">
        <v>89.678745300634205</v>
      </c>
      <c r="AM841">
        <v>93.190125100500595</v>
      </c>
      <c r="AN841">
        <v>1.00000002443336</v>
      </c>
    </row>
    <row r="842" spans="1:40" x14ac:dyDescent="0.3">
      <c r="A842" t="str">
        <f>"20200111160420348"</f>
        <v>20200111160420348</v>
      </c>
      <c r="B842" t="str">
        <f>"1578729860342054"</f>
        <v>1578729860342054</v>
      </c>
      <c r="C842" t="s">
        <v>40</v>
      </c>
      <c r="D842">
        <v>5.606592</v>
      </c>
      <c r="E842">
        <v>0.57699560000000005</v>
      </c>
      <c r="F842" t="s">
        <v>42</v>
      </c>
      <c r="G842">
        <v>-249.078</v>
      </c>
      <c r="H842">
        <v>1.030994</v>
      </c>
      <c r="I842">
        <v>367.8426</v>
      </c>
      <c r="J842">
        <v>-249.7285</v>
      </c>
      <c r="K842">
        <v>1.110587</v>
      </c>
      <c r="L842">
        <v>367.95429999999999</v>
      </c>
      <c r="M842">
        <v>0.99987950000000003</v>
      </c>
      <c r="N842">
        <v>0</v>
      </c>
      <c r="O842">
        <v>5.7939339999999997E-3</v>
      </c>
      <c r="P842">
        <v>0.99804499999999996</v>
      </c>
      <c r="Q842">
        <v>-8.6990190000000005E-3</v>
      </c>
      <c r="R842">
        <v>6.189397E-2</v>
      </c>
      <c r="S842">
        <v>3.0285950000000001</v>
      </c>
      <c r="T842">
        <v>-0.29785729999999999</v>
      </c>
      <c r="U842">
        <v>-0.41299439999999998</v>
      </c>
      <c r="V842">
        <v>-5.6109859999999998E-2</v>
      </c>
      <c r="W842">
        <v>5.6908459999999899E-3</v>
      </c>
      <c r="X842">
        <v>0.99840839999999997</v>
      </c>
      <c r="Y842">
        <v>0.14016219999999999</v>
      </c>
      <c r="Z842">
        <v>-7.4102930000000001E-3</v>
      </c>
      <c r="AA842">
        <v>0.9901008</v>
      </c>
      <c r="AB842">
        <v>32</v>
      </c>
      <c r="AC842">
        <v>0.65049999999999297</v>
      </c>
      <c r="AD842">
        <v>-7.9592999999999997E-2</v>
      </c>
      <c r="AE842">
        <v>-0.11169999999998401</v>
      </c>
      <c r="AF842">
        <v>0.11381236955028699</v>
      </c>
      <c r="AG842">
        <v>-7.9592999999999997E-2</v>
      </c>
      <c r="AH842">
        <v>0.64052705605154803</v>
      </c>
      <c r="AI842">
        <v>96.9752095088121</v>
      </c>
      <c r="AJ842">
        <v>79.924527299097903</v>
      </c>
      <c r="AK842">
        <v>0.65541071905005899</v>
      </c>
      <c r="AL842">
        <v>89.673936788115498</v>
      </c>
      <c r="AM842">
        <v>93.216599544224394</v>
      </c>
      <c r="AN842">
        <v>1.0000000176539801</v>
      </c>
    </row>
    <row r="843" spans="1:40" x14ac:dyDescent="0.3">
      <c r="A843" t="str">
        <f>"20200111160420361"</f>
        <v>20200111160420361</v>
      </c>
      <c r="B843" t="str">
        <f>"1578729860351814"</f>
        <v>1578729860351814</v>
      </c>
      <c r="C843" t="s">
        <v>40</v>
      </c>
      <c r="D843">
        <v>5.6124879999999999</v>
      </c>
      <c r="E843">
        <v>0.57710680000000003</v>
      </c>
      <c r="F843" t="s">
        <v>42</v>
      </c>
      <c r="G843">
        <v>-248.79910000000001</v>
      </c>
      <c r="H843">
        <v>1.019355</v>
      </c>
      <c r="I843">
        <v>367.82729999999998</v>
      </c>
      <c r="J843">
        <v>-249.54949999999999</v>
      </c>
      <c r="K843">
        <v>1.1105910000000001</v>
      </c>
      <c r="L843">
        <v>367.9554</v>
      </c>
      <c r="M843">
        <v>0.99987939999999997</v>
      </c>
      <c r="N843">
        <v>0</v>
      </c>
      <c r="O843">
        <v>5.79818E-3</v>
      </c>
      <c r="P843">
        <v>0.99801050000000002</v>
      </c>
      <c r="Q843">
        <v>-8.1362819999999999E-3</v>
      </c>
      <c r="R843">
        <v>6.2521359999999998E-2</v>
      </c>
      <c r="S843">
        <v>3.0289000000000001</v>
      </c>
      <c r="T843">
        <v>-0.29751</v>
      </c>
      <c r="U843">
        <v>-0.41299439999999998</v>
      </c>
      <c r="V843">
        <v>-5.6733319999999997E-2</v>
      </c>
      <c r="W843">
        <v>6.2506430000000002E-3</v>
      </c>
      <c r="X843">
        <v>0.99836979999999997</v>
      </c>
      <c r="Y843">
        <v>0.140154799999999</v>
      </c>
      <c r="Z843">
        <v>-7.4010129999999997E-3</v>
      </c>
      <c r="AA843">
        <v>0.99010189999999998</v>
      </c>
      <c r="AB843">
        <v>32</v>
      </c>
      <c r="AC843">
        <v>0.75039999999998397</v>
      </c>
      <c r="AD843">
        <v>-9.1235999999999803E-2</v>
      </c>
      <c r="AE843">
        <v>-0.12810000000001701</v>
      </c>
      <c r="AF843">
        <v>0.13057370732793699</v>
      </c>
      <c r="AG843">
        <v>-9.1235999999999803E-2</v>
      </c>
      <c r="AH843">
        <v>0.73902923368495699</v>
      </c>
      <c r="AI843">
        <v>96.931485094241694</v>
      </c>
      <c r="AJ843">
        <v>79.980232532348296</v>
      </c>
      <c r="AK843">
        <v>0.75600113027847804</v>
      </c>
      <c r="AL843">
        <v>89.641862204311096</v>
      </c>
      <c r="AM843">
        <v>93.252389690356097</v>
      </c>
      <c r="AN843">
        <v>0.99999999884408697</v>
      </c>
    </row>
    <row r="844" spans="1:40" x14ac:dyDescent="0.3">
      <c r="A844" t="str">
        <f>"20200111160420374"</f>
        <v>20200111160420374</v>
      </c>
      <c r="B844" t="str">
        <f>"1578729860361575"</f>
        <v>1578729860361575</v>
      </c>
      <c r="C844" t="s">
        <v>40</v>
      </c>
      <c r="D844">
        <v>5.6008699999999996</v>
      </c>
      <c r="E844">
        <v>0.57722810000000002</v>
      </c>
      <c r="F844" t="s">
        <v>42</v>
      </c>
      <c r="G844">
        <v>-248.7911</v>
      </c>
      <c r="H844">
        <v>1.0366109999999999</v>
      </c>
      <c r="I844">
        <v>367.85199999999998</v>
      </c>
      <c r="J844">
        <v>-249.38030000000001</v>
      </c>
      <c r="K844">
        <v>1.1105910000000001</v>
      </c>
      <c r="L844">
        <v>367.95639999999997</v>
      </c>
      <c r="M844">
        <v>0.99987939999999997</v>
      </c>
      <c r="N844">
        <v>0</v>
      </c>
      <c r="O844">
        <v>5.801891E-3</v>
      </c>
      <c r="P844">
        <v>0.99796640000000003</v>
      </c>
      <c r="Q844">
        <v>-7.8366289999999995E-3</v>
      </c>
      <c r="R844">
        <v>6.3257960000000002E-2</v>
      </c>
      <c r="S844">
        <v>3.0293730000000001</v>
      </c>
      <c r="T844">
        <v>-0.29575820000000003</v>
      </c>
      <c r="U844">
        <v>-0.41186519999999999</v>
      </c>
      <c r="V844">
        <v>-5.7465849999999999E-2</v>
      </c>
      <c r="W844">
        <v>6.5477060000000004E-3</v>
      </c>
      <c r="X844">
        <v>0.99832600000000005</v>
      </c>
      <c r="Y844">
        <v>0.1397854</v>
      </c>
      <c r="Z844">
        <v>-7.3391380000000003E-3</v>
      </c>
      <c r="AA844">
        <v>0.9901546</v>
      </c>
      <c r="AB844">
        <v>32</v>
      </c>
      <c r="AC844">
        <v>0.58920000000000505</v>
      </c>
      <c r="AD844">
        <v>-7.3979999999999893E-2</v>
      </c>
      <c r="AE844">
        <v>-0.10439999999999799</v>
      </c>
      <c r="AF844">
        <v>0.106193852565589</v>
      </c>
      <c r="AG844">
        <v>-7.3979999999999893E-2</v>
      </c>
      <c r="AH844">
        <v>0.57972298489479201</v>
      </c>
      <c r="AI844">
        <v>97.154579340347297</v>
      </c>
      <c r="AJ844">
        <v>79.619623324374004</v>
      </c>
      <c r="AK844">
        <v>0.59399403527144001</v>
      </c>
      <c r="AL844">
        <v>89.624841399759305</v>
      </c>
      <c r="AM844">
        <v>93.294436248754806</v>
      </c>
      <c r="AN844">
        <v>0.99999999932304195</v>
      </c>
    </row>
    <row r="845" spans="1:40" x14ac:dyDescent="0.3">
      <c r="A845" t="str">
        <f>"20200111160420386"</f>
        <v>20200111160420386</v>
      </c>
      <c r="B845" t="str">
        <f>"1578729860381916"</f>
        <v>1578729860381916</v>
      </c>
      <c r="C845" t="s">
        <v>40</v>
      </c>
      <c r="D845">
        <v>5.5528069999999996</v>
      </c>
      <c r="E845">
        <v>0.57753929999999998</v>
      </c>
      <c r="F845" t="s">
        <v>42</v>
      </c>
      <c r="G845">
        <v>-248.512</v>
      </c>
      <c r="H845">
        <v>1.0261940000000001</v>
      </c>
      <c r="I845">
        <v>367.83819999999997</v>
      </c>
      <c r="J845">
        <v>-249.20500000000001</v>
      </c>
      <c r="K845">
        <v>1.110595</v>
      </c>
      <c r="L845">
        <v>367.95740000000001</v>
      </c>
      <c r="M845">
        <v>0.99987950000000003</v>
      </c>
      <c r="N845">
        <v>0</v>
      </c>
      <c r="O845">
        <v>5.8054229999999997E-3</v>
      </c>
      <c r="P845">
        <v>0.99792990000000004</v>
      </c>
      <c r="Q845">
        <v>-7.2861760000000001E-3</v>
      </c>
      <c r="R845">
        <v>6.3897460000000003E-2</v>
      </c>
      <c r="S845">
        <v>3.029846</v>
      </c>
      <c r="T845">
        <v>-0.29482429999999998</v>
      </c>
      <c r="U845">
        <v>-0.41113280000000002</v>
      </c>
      <c r="V845">
        <v>-5.810208E-2</v>
      </c>
      <c r="W845">
        <v>7.0955790000000003E-3</v>
      </c>
      <c r="X845">
        <v>0.99828539999999999</v>
      </c>
      <c r="Y845">
        <v>0.13953879999999999</v>
      </c>
      <c r="Z845">
        <v>-7.3034900000000002E-3</v>
      </c>
      <c r="AA845">
        <v>0.99018969999999995</v>
      </c>
      <c r="AB845">
        <v>32</v>
      </c>
      <c r="AC845">
        <v>0.69300000000001205</v>
      </c>
      <c r="AD845">
        <v>-8.4400999999999907E-2</v>
      </c>
      <c r="AE845">
        <v>-0.119200000000034</v>
      </c>
      <c r="AF845">
        <v>0.121471555415922</v>
      </c>
      <c r="AG845">
        <v>-8.4400999999999907E-2</v>
      </c>
      <c r="AH845">
        <v>0.68246414922730203</v>
      </c>
      <c r="AI845">
        <v>96.942011936374499</v>
      </c>
      <c r="AJ845">
        <v>79.9076349393345</v>
      </c>
      <c r="AK845">
        <v>0.69830951773315297</v>
      </c>
      <c r="AL845">
        <v>89.593449846161604</v>
      </c>
      <c r="AM845">
        <v>93.330963903463399</v>
      </c>
      <c r="AN845">
        <v>0.99999996939741498</v>
      </c>
    </row>
    <row r="846" spans="1:40" x14ac:dyDescent="0.3">
      <c r="A846" t="str">
        <f>"20200111160420397"</f>
        <v>20200111160420397</v>
      </c>
      <c r="B846" t="str">
        <f>"1578729860391677"</f>
        <v>1578729860391677</v>
      </c>
      <c r="C846" t="s">
        <v>40</v>
      </c>
      <c r="D846">
        <v>5.5722040000000002</v>
      </c>
      <c r="E846">
        <v>0.57772380000000001</v>
      </c>
      <c r="F846" t="s">
        <v>42</v>
      </c>
      <c r="G846">
        <v>-248.23259999999999</v>
      </c>
      <c r="H846">
        <v>1.016775</v>
      </c>
      <c r="I846">
        <v>367.82510000000002</v>
      </c>
      <c r="J846">
        <v>-249.0367</v>
      </c>
      <c r="K846">
        <v>1.1105959999999999</v>
      </c>
      <c r="L846">
        <v>367.95830000000001</v>
      </c>
      <c r="M846">
        <v>0.99987959999999998</v>
      </c>
      <c r="N846">
        <v>0</v>
      </c>
      <c r="O846">
        <v>5.8091319999999998E-3</v>
      </c>
      <c r="P846">
        <v>0.99786339999999996</v>
      </c>
      <c r="Q846">
        <v>-7.3038969999999898E-3</v>
      </c>
      <c r="R846">
        <v>6.4929529999999999E-2</v>
      </c>
      <c r="S846">
        <v>3.030411</v>
      </c>
      <c r="T846">
        <v>-0.29251159999999998</v>
      </c>
      <c r="U846">
        <v>-0.41143800000000003</v>
      </c>
      <c r="V846">
        <v>-5.9130740000000001E-2</v>
      </c>
      <c r="W846">
        <v>7.0755530000000001E-3</v>
      </c>
      <c r="X846">
        <v>0.99822520000000003</v>
      </c>
      <c r="Y846">
        <v>0.13962620000000001</v>
      </c>
      <c r="Z846">
        <v>-7.2496230000000002E-3</v>
      </c>
      <c r="AA846">
        <v>0.9901778</v>
      </c>
      <c r="AB846">
        <v>32</v>
      </c>
      <c r="AC846">
        <v>0.80410000000000503</v>
      </c>
      <c r="AD846">
        <v>-9.3820999999999904E-2</v>
      </c>
      <c r="AE846">
        <v>-0.13319999999998799</v>
      </c>
      <c r="AF846">
        <v>0.13606644701631801</v>
      </c>
      <c r="AG846">
        <v>-9.3820999999999904E-2</v>
      </c>
      <c r="AH846">
        <v>0.79280768896693499</v>
      </c>
      <c r="AI846">
        <v>96.652627774102498</v>
      </c>
      <c r="AJ846">
        <v>80.261430496539106</v>
      </c>
      <c r="AK846">
        <v>0.80985214065886002</v>
      </c>
      <c r="AL846">
        <v>89.594597304399699</v>
      </c>
      <c r="AM846">
        <v>93.390004105855596</v>
      </c>
      <c r="AN846">
        <v>1.00000002888912</v>
      </c>
    </row>
    <row r="847" spans="1:40" x14ac:dyDescent="0.3">
      <c r="A847" t="str">
        <f>"20200111160420409"</f>
        <v>20200111160420409</v>
      </c>
      <c r="B847" t="str">
        <f>"1578729860401436"</f>
        <v>1578729860401436</v>
      </c>
      <c r="C847" t="s">
        <v>40</v>
      </c>
      <c r="D847">
        <v>5.5853820000000001</v>
      </c>
      <c r="E847">
        <v>0.57787659999999996</v>
      </c>
      <c r="F847" t="s">
        <v>42</v>
      </c>
      <c r="G847">
        <v>-248.22550000000001</v>
      </c>
      <c r="H847">
        <v>1.0323659999999999</v>
      </c>
      <c r="I847">
        <v>367.8485</v>
      </c>
      <c r="J847">
        <v>-248.8801</v>
      </c>
      <c r="K847">
        <v>1.110598</v>
      </c>
      <c r="L847">
        <v>367.95920000000001</v>
      </c>
      <c r="M847">
        <v>0.99987939999999997</v>
      </c>
      <c r="N847">
        <v>0</v>
      </c>
      <c r="O847">
        <v>5.8128390000000002E-3</v>
      </c>
      <c r="P847">
        <v>0.99781229999999999</v>
      </c>
      <c r="Q847">
        <v>-7.3880259999999998E-3</v>
      </c>
      <c r="R847">
        <v>6.5696980000000002E-2</v>
      </c>
      <c r="S847">
        <v>3.0309599999999999</v>
      </c>
      <c r="T847">
        <v>-0.29247649999999997</v>
      </c>
      <c r="U847">
        <v>-0.40969850000000002</v>
      </c>
      <c r="V847">
        <v>-5.9895200000000003E-2</v>
      </c>
      <c r="W847">
        <v>6.989248E-3</v>
      </c>
      <c r="X847">
        <v>0.99818019999999996</v>
      </c>
      <c r="Y847">
        <v>0.139050799999999</v>
      </c>
      <c r="Z847">
        <v>-7.2205239999999999E-3</v>
      </c>
      <c r="AA847">
        <v>0.99025890000000005</v>
      </c>
      <c r="AB847">
        <v>32</v>
      </c>
      <c r="AC847">
        <v>0.65459999999998697</v>
      </c>
      <c r="AD847">
        <v>-7.8231999999999996E-2</v>
      </c>
      <c r="AE847">
        <v>-0.110700000000008</v>
      </c>
      <c r="AF847">
        <v>0.112935409648369</v>
      </c>
      <c r="AG847">
        <v>-7.8231999999999996E-2</v>
      </c>
      <c r="AH847">
        <v>0.64498919792925602</v>
      </c>
      <c r="AI847">
        <v>96.813079312189203</v>
      </c>
      <c r="AJ847">
        <v>80.068384787254402</v>
      </c>
      <c r="AK847">
        <v>0.65945865527860903</v>
      </c>
      <c r="AL847">
        <v>89.599542326466903</v>
      </c>
      <c r="AM847">
        <v>93.4338813311346</v>
      </c>
      <c r="AN847">
        <v>0.99999999812134199</v>
      </c>
    </row>
    <row r="848" spans="1:40" x14ac:dyDescent="0.3">
      <c r="A848" t="str">
        <f>"20200111160420419"</f>
        <v>20200111160420419</v>
      </c>
      <c r="B848" t="str">
        <f>"1578729860411196"</f>
        <v>1578729860411196</v>
      </c>
      <c r="C848" t="s">
        <v>40</v>
      </c>
      <c r="D848">
        <v>5.5419689999999999</v>
      </c>
      <c r="E848">
        <v>0.57806740000000001</v>
      </c>
      <c r="F848" t="s">
        <v>42</v>
      </c>
      <c r="G848">
        <v>-247.94759999999999</v>
      </c>
      <c r="H848">
        <v>1.0207409999999999</v>
      </c>
      <c r="I848">
        <v>367.83330000000001</v>
      </c>
      <c r="J848">
        <v>-248.7116</v>
      </c>
      <c r="K848">
        <v>1.110595</v>
      </c>
      <c r="L848">
        <v>367.96030000000002</v>
      </c>
      <c r="M848">
        <v>0.99987950000000003</v>
      </c>
      <c r="N848">
        <v>0</v>
      </c>
      <c r="O848">
        <v>5.8167260000000004E-3</v>
      </c>
      <c r="P848">
        <v>0.99778429999999996</v>
      </c>
      <c r="Q848">
        <v>-7.6755969999999897E-3</v>
      </c>
      <c r="R848">
        <v>6.6089560000000006E-2</v>
      </c>
      <c r="S848">
        <v>3.0313110000000001</v>
      </c>
      <c r="T848">
        <v>-0.29223270000000001</v>
      </c>
      <c r="U848">
        <v>-0.40872190000000003</v>
      </c>
      <c r="V848">
        <v>-6.0283709999999997E-2</v>
      </c>
      <c r="W848">
        <v>6.699338E-3</v>
      </c>
      <c r="X848">
        <v>0.99815880000000001</v>
      </c>
      <c r="Y848">
        <v>0.13872880000000001</v>
      </c>
      <c r="Z848">
        <v>-7.1988140000000004E-3</v>
      </c>
      <c r="AA848">
        <v>0.99030419999999997</v>
      </c>
      <c r="AB848">
        <v>32</v>
      </c>
      <c r="AC848">
        <v>0.76400000000001</v>
      </c>
      <c r="AD848">
        <v>-8.98540000000001E-2</v>
      </c>
      <c r="AE848">
        <v>-0.12700000000000899</v>
      </c>
      <c r="AF848">
        <v>0.12969655353722001</v>
      </c>
      <c r="AG848">
        <v>-8.98540000000001E-2</v>
      </c>
      <c r="AH848">
        <v>0.75311127249661902</v>
      </c>
      <c r="AI848">
        <v>96.706021943085204</v>
      </c>
      <c r="AJ848">
        <v>80.228691789435601</v>
      </c>
      <c r="AK848">
        <v>0.76946184185891198</v>
      </c>
      <c r="AL848">
        <v>89.616153335179703</v>
      </c>
      <c r="AM848">
        <v>93.456175290452293</v>
      </c>
      <c r="AN848">
        <v>0.99999999841922105</v>
      </c>
    </row>
    <row r="849" spans="1:40" x14ac:dyDescent="0.3">
      <c r="A849" t="str">
        <f>"20200111160420431"</f>
        <v>20200111160420431</v>
      </c>
      <c r="B849" t="str">
        <f>"1578729860421932"</f>
        <v>1578729860421932</v>
      </c>
      <c r="C849" t="s">
        <v>40</v>
      </c>
      <c r="D849">
        <v>5.7349699999999997</v>
      </c>
      <c r="E849">
        <v>0.57811869999999999</v>
      </c>
      <c r="F849" t="s">
        <v>42</v>
      </c>
      <c r="G849">
        <v>-247.94049999999999</v>
      </c>
      <c r="H849">
        <v>1.036076</v>
      </c>
      <c r="I849">
        <v>367.85599999999999</v>
      </c>
      <c r="J849">
        <v>-248.5532</v>
      </c>
      <c r="K849">
        <v>1.11059</v>
      </c>
      <c r="L849">
        <v>367.96120000000002</v>
      </c>
      <c r="M849">
        <v>0.99987950000000003</v>
      </c>
      <c r="N849">
        <v>0</v>
      </c>
      <c r="O849">
        <v>5.8202530000000001E-3</v>
      </c>
      <c r="P849">
        <v>0.99774750000000001</v>
      </c>
      <c r="Q849">
        <v>-8.0058300000000002E-3</v>
      </c>
      <c r="R849">
        <v>6.6603280000000001E-2</v>
      </c>
      <c r="S849">
        <v>3.0315089999999998</v>
      </c>
      <c r="T849">
        <v>-0.29312939999999998</v>
      </c>
      <c r="U849">
        <v>-0.40914919999999999</v>
      </c>
      <c r="V849">
        <v>-6.0794059999999997E-2</v>
      </c>
      <c r="W849">
        <v>6.366989E-3</v>
      </c>
      <c r="X849">
        <v>0.99812999999999996</v>
      </c>
      <c r="Y849">
        <v>0.13885620000000001</v>
      </c>
      <c r="Z849">
        <v>-7.2267290000000003E-3</v>
      </c>
      <c r="AA849">
        <v>0.99028620000000001</v>
      </c>
      <c r="AB849">
        <v>32</v>
      </c>
      <c r="AC849">
        <v>0.61270000000001801</v>
      </c>
      <c r="AD849">
        <v>-7.45139999999999E-2</v>
      </c>
      <c r="AE849">
        <v>-0.105200000000024</v>
      </c>
      <c r="AF849">
        <v>0.107224181379417</v>
      </c>
      <c r="AG849">
        <v>-7.45139999999999E-2</v>
      </c>
      <c r="AH849">
        <v>0.60340818540192198</v>
      </c>
      <c r="AI849">
        <v>96.932217589979004</v>
      </c>
      <c r="AJ849">
        <v>79.923855641076301</v>
      </c>
      <c r="AK849">
        <v>0.61737411630106998</v>
      </c>
      <c r="AL849">
        <v>89.635195928754101</v>
      </c>
      <c r="AM849">
        <v>93.485463081326003</v>
      </c>
      <c r="AN849">
        <v>0.99999997659010398</v>
      </c>
    </row>
    <row r="850" spans="1:40" x14ac:dyDescent="0.3">
      <c r="A850" t="str">
        <f>"20200111160420444"</f>
        <v>20200111160420444</v>
      </c>
      <c r="B850" t="str">
        <f>"1578729860441453"</f>
        <v>1578729860441453</v>
      </c>
      <c r="C850" t="s">
        <v>40</v>
      </c>
      <c r="D850">
        <v>5.5685209999999996</v>
      </c>
      <c r="E850">
        <v>0.57843169999999899</v>
      </c>
      <c r="F850" t="s">
        <v>42</v>
      </c>
      <c r="G850">
        <v>-247.66300000000001</v>
      </c>
      <c r="H850">
        <v>1.024259</v>
      </c>
      <c r="I850">
        <v>367.84120000000001</v>
      </c>
      <c r="J850">
        <v>-248.3854</v>
      </c>
      <c r="K850">
        <v>1.110584</v>
      </c>
      <c r="L850">
        <v>367.9622</v>
      </c>
      <c r="M850">
        <v>0.99987950000000003</v>
      </c>
      <c r="N850">
        <v>0</v>
      </c>
      <c r="O850">
        <v>5.8241389999999999E-3</v>
      </c>
      <c r="P850">
        <v>0.99774229999999997</v>
      </c>
      <c r="Q850">
        <v>-8.5429080000000001E-3</v>
      </c>
      <c r="R850">
        <v>6.6614580000000007E-2</v>
      </c>
      <c r="S850">
        <v>3.0316619999999999</v>
      </c>
      <c r="T850">
        <v>-0.29413779999999901</v>
      </c>
      <c r="U850">
        <v>-0.4079895</v>
      </c>
      <c r="V850">
        <v>-6.0801870000000001E-2</v>
      </c>
      <c r="W850">
        <v>5.8281729999999999E-3</v>
      </c>
      <c r="X850">
        <v>0.99813280000000004</v>
      </c>
      <c r="Y850">
        <v>0.13847860000000001</v>
      </c>
      <c r="Z850">
        <v>-7.2334790000000001E-3</v>
      </c>
      <c r="AA850">
        <v>0.99033899999999997</v>
      </c>
      <c r="AB850">
        <v>32</v>
      </c>
      <c r="AC850">
        <v>0.72240000000002103</v>
      </c>
      <c r="AD850">
        <v>-8.6324999999999902E-2</v>
      </c>
      <c r="AE850">
        <v>-0.12099999999998</v>
      </c>
      <c r="AF850">
        <v>0.12349046259219899</v>
      </c>
      <c r="AG850">
        <v>-8.6324999999999902E-2</v>
      </c>
      <c r="AH850">
        <v>0.71179612674562998</v>
      </c>
      <c r="AI850">
        <v>96.814119057370803</v>
      </c>
      <c r="AJ850">
        <v>80.157647313811495</v>
      </c>
      <c r="AK850">
        <v>0.72756829646866605</v>
      </c>
      <c r="AL850">
        <v>89.666068381215396</v>
      </c>
      <c r="AM850">
        <v>93.4858999877993</v>
      </c>
      <c r="AN850">
        <v>0.99999996071592601</v>
      </c>
    </row>
    <row r="851" spans="1:40" x14ac:dyDescent="0.3">
      <c r="A851" t="str">
        <f>"20200111160420456"</f>
        <v>20200111160420456</v>
      </c>
      <c r="B851" t="str">
        <f>"1578729860451213"</f>
        <v>1578729860451213</v>
      </c>
      <c r="C851" t="s">
        <v>40</v>
      </c>
      <c r="D851">
        <v>5.6848830000000001</v>
      </c>
      <c r="E851">
        <v>0.5784823</v>
      </c>
      <c r="F851" t="s">
        <v>42</v>
      </c>
      <c r="G851">
        <v>-247.3853</v>
      </c>
      <c r="H851">
        <v>1.013296</v>
      </c>
      <c r="I851">
        <v>367.82650000000001</v>
      </c>
      <c r="J851">
        <v>-248.21530000000001</v>
      </c>
      <c r="K851">
        <v>1.110581</v>
      </c>
      <c r="L851">
        <v>367.96319999999997</v>
      </c>
      <c r="M851">
        <v>0.99987959999999998</v>
      </c>
      <c r="N851">
        <v>0</v>
      </c>
      <c r="O851">
        <v>5.828026E-3</v>
      </c>
      <c r="P851">
        <v>0.99773420000000002</v>
      </c>
      <c r="Q851">
        <v>-8.9797009999999997E-3</v>
      </c>
      <c r="R851">
        <v>6.6678319999999999E-2</v>
      </c>
      <c r="S851">
        <v>3.0316619999999999</v>
      </c>
      <c r="T851">
        <v>-0.29510259999999999</v>
      </c>
      <c r="U851">
        <v>-0.41058349999999999</v>
      </c>
      <c r="V851">
        <v>-6.0861520000000002E-2</v>
      </c>
      <c r="W851">
        <v>5.3899669999999998E-3</v>
      </c>
      <c r="X851">
        <v>0.99813169999999996</v>
      </c>
      <c r="Y851">
        <v>0.1393065</v>
      </c>
      <c r="Z851">
        <v>-7.2970750000000001E-3</v>
      </c>
      <c r="AA851">
        <v>0.99022250000000001</v>
      </c>
      <c r="AB851">
        <v>32</v>
      </c>
      <c r="AC851">
        <v>0.83000000000001195</v>
      </c>
      <c r="AD851">
        <v>-9.7284999999999996E-2</v>
      </c>
      <c r="AE851">
        <v>-0.13669999999996199</v>
      </c>
      <c r="AF851">
        <v>0.139667311244251</v>
      </c>
      <c r="AG851">
        <v>-9.7284999999999996E-2</v>
      </c>
      <c r="AH851">
        <v>0.81824464682721998</v>
      </c>
      <c r="AI851">
        <v>96.684552434237006</v>
      </c>
      <c r="AJ851">
        <v>80.313458370889904</v>
      </c>
      <c r="AK851">
        <v>0.83576051062287005</v>
      </c>
      <c r="AL851">
        <v>89.691176154192107</v>
      </c>
      <c r="AM851">
        <v>93.489315239225405</v>
      </c>
      <c r="AN851">
        <v>1.00000003345293</v>
      </c>
    </row>
    <row r="852" spans="1:40" x14ac:dyDescent="0.3">
      <c r="A852" t="str">
        <f>"20200111160420470"</f>
        <v>20200111160420470</v>
      </c>
      <c r="B852" t="str">
        <f>"1578729860461948"</f>
        <v>1578729860461948</v>
      </c>
      <c r="C852" t="s">
        <v>40</v>
      </c>
      <c r="D852">
        <v>5.5931280000000001</v>
      </c>
      <c r="E852">
        <v>0.57860249999999902</v>
      </c>
      <c r="F852" t="s">
        <v>42</v>
      </c>
      <c r="G852">
        <v>-247.37819999999999</v>
      </c>
      <c r="H852">
        <v>1.028994</v>
      </c>
      <c r="I852">
        <v>367.84949999999998</v>
      </c>
      <c r="J852">
        <v>-248.00049999999999</v>
      </c>
      <c r="K852">
        <v>1.1105670000000001</v>
      </c>
      <c r="L852">
        <v>367.96440000000001</v>
      </c>
      <c r="M852">
        <v>0.99987950000000003</v>
      </c>
      <c r="N852">
        <v>0</v>
      </c>
      <c r="O852">
        <v>5.833108E-3</v>
      </c>
      <c r="P852">
        <v>0.99773679999999998</v>
      </c>
      <c r="Q852">
        <v>-8.6012869999999905E-3</v>
      </c>
      <c r="R852">
        <v>6.6690620000000006E-2</v>
      </c>
      <c r="S852">
        <v>3.0315859999999999</v>
      </c>
      <c r="T852">
        <v>-0.29566969999999998</v>
      </c>
      <c r="U852">
        <v>-0.4107056</v>
      </c>
      <c r="V852">
        <v>-6.0868999999999999E-2</v>
      </c>
      <c r="W852">
        <v>5.7657079999999996E-3</v>
      </c>
      <c r="X852">
        <v>0.99812909999999999</v>
      </c>
      <c r="Y852">
        <v>0.13935110000000001</v>
      </c>
      <c r="Z852">
        <v>-7.3138500000000002E-3</v>
      </c>
      <c r="AA852">
        <v>0.99021599999999999</v>
      </c>
      <c r="AB852">
        <v>32</v>
      </c>
      <c r="AC852">
        <v>0.62229999999999497</v>
      </c>
      <c r="AD852">
        <v>-8.1573000000000104E-2</v>
      </c>
      <c r="AE852">
        <v>-0.114900000000034</v>
      </c>
      <c r="AF852">
        <v>0.116591051029644</v>
      </c>
      <c r="AG852">
        <v>-8.1573000000000104E-2</v>
      </c>
      <c r="AH852">
        <v>0.61145892856387696</v>
      </c>
      <c r="AI852">
        <v>97.465848864587599</v>
      </c>
      <c r="AJ852">
        <v>79.204609145069696</v>
      </c>
      <c r="AK852">
        <v>0.62779745844474499</v>
      </c>
      <c r="AL852">
        <v>89.669647431839095</v>
      </c>
      <c r="AM852">
        <v>93.489752091032599</v>
      </c>
      <c r="AN852">
        <v>0.99999998940827495</v>
      </c>
    </row>
    <row r="853" spans="1:40" x14ac:dyDescent="0.3">
      <c r="A853" t="str">
        <f>"20200111160420483"</f>
        <v>20200111160420483</v>
      </c>
      <c r="B853" t="str">
        <f>"1578729860471709"</f>
        <v>1578729860471709</v>
      </c>
      <c r="C853" t="s">
        <v>40</v>
      </c>
      <c r="D853">
        <v>5.7095690000000001</v>
      </c>
      <c r="E853">
        <v>0.57860249999999902</v>
      </c>
      <c r="F853" t="s">
        <v>42</v>
      </c>
      <c r="G853">
        <v>-247.0985</v>
      </c>
      <c r="H853">
        <v>1.0232460000000001</v>
      </c>
      <c r="I853">
        <v>367.84160000000003</v>
      </c>
      <c r="J853">
        <v>-247.8235</v>
      </c>
      <c r="K853">
        <v>1.1105640000000001</v>
      </c>
      <c r="L853">
        <v>367.96539999999999</v>
      </c>
      <c r="M853">
        <v>0.99987950000000003</v>
      </c>
      <c r="N853">
        <v>0</v>
      </c>
      <c r="O853">
        <v>5.8372930000000003E-3</v>
      </c>
      <c r="P853">
        <v>0.9977277</v>
      </c>
      <c r="Q853">
        <v>-7.811859E-3</v>
      </c>
      <c r="R853">
        <v>6.6922720000000005E-2</v>
      </c>
      <c r="S853">
        <v>3.031784</v>
      </c>
      <c r="T853">
        <v>-0.29371639999999999</v>
      </c>
      <c r="U853">
        <v>-0.41189579999999998</v>
      </c>
      <c r="V853">
        <v>-6.109668E-2</v>
      </c>
      <c r="W853">
        <v>6.5529509999999996E-3</v>
      </c>
      <c r="X853">
        <v>0.99811039999999995</v>
      </c>
      <c r="Y853">
        <v>0.13973559999999999</v>
      </c>
      <c r="Z853">
        <v>-7.283996E-3</v>
      </c>
      <c r="AA853">
        <v>0.99016210000000004</v>
      </c>
      <c r="AB853">
        <v>32</v>
      </c>
      <c r="AC853">
        <v>0.72499999999999398</v>
      </c>
      <c r="AD853">
        <v>-8.7317999999999896E-2</v>
      </c>
      <c r="AE853">
        <v>-0.12379999999996</v>
      </c>
      <c r="AF853">
        <v>0.12625092366483001</v>
      </c>
      <c r="AG853">
        <v>-8.7317999999999896E-2</v>
      </c>
      <c r="AH853">
        <v>0.71419865016644701</v>
      </c>
      <c r="AI853">
        <v>96.864998539266594</v>
      </c>
      <c r="AJ853">
        <v>79.975226340419994</v>
      </c>
      <c r="AK853">
        <v>0.73050902852038502</v>
      </c>
      <c r="AL853">
        <v>89.624540898991</v>
      </c>
      <c r="AM853">
        <v>93.502838502951306</v>
      </c>
      <c r="AN853">
        <v>1.00000005803099</v>
      </c>
    </row>
    <row r="854" spans="1:40" x14ac:dyDescent="0.3">
      <c r="A854" t="str">
        <f>"20200111160420496"</f>
        <v>20200111160420496</v>
      </c>
      <c r="B854" t="str">
        <f>"1578729860491231"</f>
        <v>1578729860491231</v>
      </c>
      <c r="C854" t="s">
        <v>40</v>
      </c>
      <c r="D854">
        <v>5.6123729999999998</v>
      </c>
      <c r="E854">
        <v>0.52519139999999997</v>
      </c>
      <c r="F854" t="s">
        <v>42</v>
      </c>
      <c r="G854">
        <v>-247.09059999999999</v>
      </c>
      <c r="H854">
        <v>1.040287</v>
      </c>
      <c r="I854">
        <v>367.86579999999998</v>
      </c>
      <c r="J854">
        <v>-247.6534</v>
      </c>
      <c r="K854">
        <v>1.1105590000000001</v>
      </c>
      <c r="L854">
        <v>367.96640000000002</v>
      </c>
      <c r="M854">
        <v>0.99987950000000003</v>
      </c>
      <c r="N854">
        <v>0</v>
      </c>
      <c r="O854">
        <v>5.841359E-3</v>
      </c>
      <c r="P854">
        <v>0.9977298</v>
      </c>
      <c r="Q854">
        <v>-6.9002009999999999E-3</v>
      </c>
      <c r="R854">
        <v>6.6991229999999999E-2</v>
      </c>
      <c r="S854">
        <v>3.0321500000000001</v>
      </c>
      <c r="T854">
        <v>-0.29096749999999999</v>
      </c>
      <c r="U854">
        <v>-0.411499</v>
      </c>
      <c r="V854">
        <v>-6.1161020000000003E-2</v>
      </c>
      <c r="W854">
        <v>7.4627349999999999E-3</v>
      </c>
      <c r="X854">
        <v>0.99809999999999999</v>
      </c>
      <c r="Y854">
        <v>0.1396096</v>
      </c>
      <c r="Z854">
        <v>-7.2097189999999998E-3</v>
      </c>
      <c r="AA854">
        <v>0.99018039999999996</v>
      </c>
      <c r="AB854">
        <v>32</v>
      </c>
      <c r="AC854">
        <v>0.56280000000000996</v>
      </c>
      <c r="AD854">
        <v>-7.0271999999999807E-2</v>
      </c>
      <c r="AE854">
        <v>-0.100600000000042</v>
      </c>
      <c r="AF854">
        <v>0.102340021753913</v>
      </c>
      <c r="AG854">
        <v>-7.0271999999999807E-2</v>
      </c>
      <c r="AH854">
        <v>0.55383553436476096</v>
      </c>
      <c r="AI854">
        <v>97.112049875169205</v>
      </c>
      <c r="AJ854">
        <v>79.530741018434099</v>
      </c>
      <c r="AK854">
        <v>0.56757857003386902</v>
      </c>
      <c r="AL854">
        <v>89.572412806099706</v>
      </c>
      <c r="AM854">
        <v>93.506554536716294</v>
      </c>
      <c r="AN854">
        <v>0.99999998639055998</v>
      </c>
    </row>
    <row r="855" spans="1:40" x14ac:dyDescent="0.3">
      <c r="A855" t="str">
        <f>"20200111160420507"</f>
        <v>20200111160420507</v>
      </c>
      <c r="B855" t="str">
        <f>"1578729860501964"</f>
        <v>1578729860501964</v>
      </c>
      <c r="C855" t="s">
        <v>40</v>
      </c>
      <c r="D855">
        <v>6.619078</v>
      </c>
      <c r="E855">
        <v>0.51695139999999995</v>
      </c>
      <c r="F855" t="s">
        <v>41</v>
      </c>
      <c r="G855">
        <v>-221.89240000000001</v>
      </c>
      <c r="H855" s="1">
        <v>-3.7441049999999998E-6</v>
      </c>
      <c r="I855">
        <v>368.01740000000001</v>
      </c>
      <c r="J855">
        <v>-247.47929999999999</v>
      </c>
      <c r="K855">
        <v>1.1105560000000001</v>
      </c>
      <c r="L855">
        <v>367.96749999999997</v>
      </c>
      <c r="M855">
        <v>0.99987950000000003</v>
      </c>
      <c r="N855">
        <v>0</v>
      </c>
      <c r="O855">
        <v>5.8453649999999999E-3</v>
      </c>
      <c r="P855">
        <v>0.99773500000000004</v>
      </c>
      <c r="Q855">
        <v>-6.3918739999999996E-3</v>
      </c>
      <c r="R855">
        <v>6.6962140000000003E-2</v>
      </c>
      <c r="S855">
        <v>3.0055390000000002</v>
      </c>
      <c r="T855">
        <v>-0.12956860000000001</v>
      </c>
      <c r="U855">
        <v>5.9509280000000003E-3</v>
      </c>
      <c r="V855">
        <v>-6.1127939999999999E-2</v>
      </c>
      <c r="W855">
        <v>7.9691209999999991E-3</v>
      </c>
      <c r="X855">
        <v>0.99809809999999999</v>
      </c>
      <c r="Y855">
        <v>3.856997E-3</v>
      </c>
      <c r="Z855">
        <v>-3.3499959999999998E-4</v>
      </c>
      <c r="AA855">
        <v>0.99999249999999995</v>
      </c>
      <c r="AB855">
        <v>32</v>
      </c>
      <c r="AC855">
        <v>25.586899999999901</v>
      </c>
      <c r="AD855">
        <v>-1.1105597441049999</v>
      </c>
      <c r="AE855">
        <v>4.9900000000036401E-2</v>
      </c>
      <c r="AF855">
        <v>9.9493659719416205E-2</v>
      </c>
      <c r="AG855">
        <v>-1.1105597441049999</v>
      </c>
      <c r="AH855">
        <v>25.538643456187899</v>
      </c>
      <c r="AI855">
        <v>92.489945943656394</v>
      </c>
      <c r="AJ855">
        <v>89.776787754584703</v>
      </c>
      <c r="AK855">
        <v>25.562972274675701</v>
      </c>
      <c r="AL855">
        <v>89.543398155683605</v>
      </c>
      <c r="AM855">
        <v>93.504669339163101</v>
      </c>
      <c r="AN855">
        <v>0.99999997458088197</v>
      </c>
    </row>
    <row r="856" spans="1:40" x14ac:dyDescent="0.3">
      <c r="A856" t="str">
        <f>"20200111160420519"</f>
        <v>20200111160420519</v>
      </c>
      <c r="B856" t="str">
        <f>"1578729860511724"</f>
        <v>1578729860511724</v>
      </c>
      <c r="C856" t="s">
        <v>40</v>
      </c>
      <c r="D856">
        <v>5.6765610000000004</v>
      </c>
      <c r="E856">
        <v>0.5142525</v>
      </c>
      <c r="F856" t="s">
        <v>41</v>
      </c>
      <c r="G856">
        <v>-218.42150000000001</v>
      </c>
      <c r="H856" s="1">
        <v>-8.3028749999999999E-7</v>
      </c>
      <c r="I856">
        <v>368.65350000000001</v>
      </c>
      <c r="J856">
        <v>-247.3073</v>
      </c>
      <c r="K856">
        <v>1.110549</v>
      </c>
      <c r="L856">
        <v>367.96839999999997</v>
      </c>
      <c r="M856">
        <v>0.99987950000000003</v>
      </c>
      <c r="N856">
        <v>0</v>
      </c>
      <c r="O856">
        <v>5.8492519999999897E-3</v>
      </c>
      <c r="P856">
        <v>0.99771370000000004</v>
      </c>
      <c r="Q856">
        <v>-6.3141660000000004E-3</v>
      </c>
      <c r="R856">
        <v>6.7289769999999999E-2</v>
      </c>
      <c r="S856">
        <v>3.001312</v>
      </c>
      <c r="T856">
        <v>-0.11470660000000001</v>
      </c>
      <c r="U856">
        <v>7.0861820000000006E-2</v>
      </c>
      <c r="V856">
        <v>-6.1452010000000001E-2</v>
      </c>
      <c r="W856">
        <v>8.0449370000000003E-3</v>
      </c>
      <c r="X856">
        <v>0.99807760000000001</v>
      </c>
      <c r="Y856">
        <v>-1.7746390000000001E-2</v>
      </c>
      <c r="Z856">
        <v>1.154949E-4</v>
      </c>
      <c r="AA856">
        <v>0.99984249999999997</v>
      </c>
      <c r="AB856">
        <v>32</v>
      </c>
      <c r="AC856">
        <v>28.8857999999999</v>
      </c>
      <c r="AD856">
        <v>-1.1105498302875001</v>
      </c>
      <c r="AE856">
        <v>0.68510000000003402</v>
      </c>
      <c r="AF856">
        <v>-0.51534916785767304</v>
      </c>
      <c r="AG856">
        <v>-1.1105498302875001</v>
      </c>
      <c r="AH856">
        <v>28.846698808908801</v>
      </c>
      <c r="AI856">
        <v>92.204351846198506</v>
      </c>
      <c r="AJ856">
        <v>91.023485971776395</v>
      </c>
      <c r="AK856">
        <v>28.8726676609949</v>
      </c>
      <c r="AL856">
        <v>89.539054083414598</v>
      </c>
      <c r="AM856">
        <v>93.523274860882907</v>
      </c>
      <c r="AN856">
        <v>0.99999998308306604</v>
      </c>
    </row>
    <row r="857" spans="1:40" x14ac:dyDescent="0.3">
      <c r="A857" t="str">
        <f>"20200111160420531"</f>
        <v>20200111160420531</v>
      </c>
      <c r="B857" t="str">
        <f>"1578729860521485"</f>
        <v>1578729860521485</v>
      </c>
      <c r="C857" t="s">
        <v>40</v>
      </c>
      <c r="D857">
        <v>5.5966319999999996</v>
      </c>
      <c r="E857">
        <v>0.51295259999999998</v>
      </c>
      <c r="F857" t="s">
        <v>41</v>
      </c>
      <c r="G857">
        <v>-218.84899999999999</v>
      </c>
      <c r="H857" s="1">
        <v>-6.1082429999999999E-7</v>
      </c>
      <c r="I857">
        <v>368.8569</v>
      </c>
      <c r="J857">
        <v>-247.1446</v>
      </c>
      <c r="K857">
        <v>1.1105389999999999</v>
      </c>
      <c r="L857">
        <v>367.96940000000001</v>
      </c>
      <c r="M857">
        <v>0.99987939999999997</v>
      </c>
      <c r="N857">
        <v>0</v>
      </c>
      <c r="O857">
        <v>5.8529599999999999E-3</v>
      </c>
      <c r="P857">
        <v>0.9977026</v>
      </c>
      <c r="Q857">
        <v>-5.9573760000000003E-3</v>
      </c>
      <c r="R857">
        <v>6.7485180000000006E-2</v>
      </c>
      <c r="S857">
        <v>2.9998170000000002</v>
      </c>
      <c r="T857">
        <v>-0.117064</v>
      </c>
      <c r="U857">
        <v>9.3658450000000004E-2</v>
      </c>
      <c r="V857">
        <v>-6.16441E-2</v>
      </c>
      <c r="W857">
        <v>8.4001670000000001E-3</v>
      </c>
      <c r="X857">
        <v>0.99806280000000003</v>
      </c>
      <c r="Y857">
        <v>-2.5340120000000001E-2</v>
      </c>
      <c r="Z857">
        <v>2.6584519999999997E-4</v>
      </c>
      <c r="AA857">
        <v>0.99967890000000004</v>
      </c>
      <c r="AB857">
        <v>32</v>
      </c>
      <c r="AC857">
        <v>28.295599999999901</v>
      </c>
      <c r="AD857">
        <v>-1.1105396108243</v>
      </c>
      <c r="AE857">
        <v>0.88749999999998797</v>
      </c>
      <c r="AF857">
        <v>-0.72074550546849803</v>
      </c>
      <c r="AG857">
        <v>-1.1105396108243</v>
      </c>
      <c r="AH857">
        <v>28.2568265572427</v>
      </c>
      <c r="AI857">
        <v>92.249928708975105</v>
      </c>
      <c r="AJ857">
        <v>91.461123854746404</v>
      </c>
      <c r="AK857">
        <v>28.2878245787292</v>
      </c>
      <c r="AL857">
        <v>89.518700201760097</v>
      </c>
      <c r="AM857">
        <v>93.534312506618207</v>
      </c>
      <c r="AN857">
        <v>0.99999995530713803</v>
      </c>
    </row>
    <row r="858" spans="1:40" x14ac:dyDescent="0.3">
      <c r="A858" t="str">
        <f>"20200111160420544"</f>
        <v>20200111160420544</v>
      </c>
      <c r="B858" t="str">
        <f>"1578729860541981"</f>
        <v>1578729860541981</v>
      </c>
      <c r="C858" t="s">
        <v>40</v>
      </c>
      <c r="D858">
        <v>5.5152380000000001</v>
      </c>
      <c r="E858">
        <v>0.51172980000000001</v>
      </c>
      <c r="F858" t="s">
        <v>41</v>
      </c>
      <c r="G858">
        <v>-221.21639999999999</v>
      </c>
      <c r="H858" s="1">
        <v>-3.8812360000000004E-6</v>
      </c>
      <c r="I858">
        <v>368.87909999999999</v>
      </c>
      <c r="J858">
        <v>-246.96619999999999</v>
      </c>
      <c r="K858">
        <v>1.1105320000000001</v>
      </c>
      <c r="L858">
        <v>367.97050000000002</v>
      </c>
      <c r="M858">
        <v>0.99987950000000003</v>
      </c>
      <c r="N858">
        <v>0</v>
      </c>
      <c r="O858">
        <v>5.8570269999999999E-3</v>
      </c>
      <c r="P858">
        <v>0.99768520000000005</v>
      </c>
      <c r="Q858">
        <v>-6.0700399999999996E-3</v>
      </c>
      <c r="R858">
        <v>6.7731319999999998E-2</v>
      </c>
      <c r="S858">
        <v>2.9990389999999998</v>
      </c>
      <c r="T858">
        <v>-0.12845319999999999</v>
      </c>
      <c r="U858">
        <v>0.1052246</v>
      </c>
      <c r="V858">
        <v>-6.1885919999999997E-2</v>
      </c>
      <c r="W858">
        <v>8.2852529999999994E-3</v>
      </c>
      <c r="X858">
        <v>0.99804879999999996</v>
      </c>
      <c r="Y858">
        <v>-2.9188539999999999E-2</v>
      </c>
      <c r="Z858">
        <v>3.7392419999999999E-4</v>
      </c>
      <c r="AA858">
        <v>0.99957379999999996</v>
      </c>
      <c r="AB858">
        <v>31</v>
      </c>
      <c r="AC858">
        <v>25.7498</v>
      </c>
      <c r="AD858">
        <v>-1.110535881236</v>
      </c>
      <c r="AE858">
        <v>0.90859999999997798</v>
      </c>
      <c r="AF858">
        <v>-0.75634648053044595</v>
      </c>
      <c r="AG858">
        <v>-1.110535881236</v>
      </c>
      <c r="AH858">
        <v>25.7069245613108</v>
      </c>
      <c r="AI858">
        <v>92.472563761618403</v>
      </c>
      <c r="AJ858">
        <v>91.685264340069907</v>
      </c>
      <c r="AK858">
        <v>25.7420146908328</v>
      </c>
      <c r="AL858">
        <v>89.525284520560803</v>
      </c>
      <c r="AM858">
        <v>93.548191346192198</v>
      </c>
      <c r="AN858">
        <v>0.99999995984647905</v>
      </c>
    </row>
    <row r="859" spans="1:40" x14ac:dyDescent="0.3">
      <c r="A859" t="str">
        <f>"20200111160420557"</f>
        <v>20200111160420557</v>
      </c>
      <c r="B859" t="str">
        <f>"1578729860551740"</f>
        <v>1578729860551740</v>
      </c>
      <c r="C859" t="s">
        <v>40</v>
      </c>
      <c r="D859">
        <v>5.5099450000000001</v>
      </c>
      <c r="E859">
        <v>0.51156309999999905</v>
      </c>
      <c r="F859" t="s">
        <v>41</v>
      </c>
      <c r="G859">
        <v>-227.5737</v>
      </c>
      <c r="H859" s="1">
        <v>-1.1798830000000001E-6</v>
      </c>
      <c r="I859">
        <v>368.73320000000001</v>
      </c>
      <c r="J859">
        <v>-246.773</v>
      </c>
      <c r="K859">
        <v>1.1105229999999999</v>
      </c>
      <c r="L859">
        <v>367.97160000000002</v>
      </c>
      <c r="M859">
        <v>0.99987950000000003</v>
      </c>
      <c r="N859">
        <v>0</v>
      </c>
      <c r="O859">
        <v>5.86157E-3</v>
      </c>
      <c r="P859">
        <v>0.99766659999999996</v>
      </c>
      <c r="Q859">
        <v>-6.3798329999999997E-3</v>
      </c>
      <c r="R859">
        <v>6.7976170000000002E-2</v>
      </c>
      <c r="S859">
        <v>2.997925</v>
      </c>
      <c r="T859">
        <v>-0.17167789999999999</v>
      </c>
      <c r="U859">
        <v>0.11791989999999899</v>
      </c>
      <c r="V859">
        <v>-6.2126420000000002E-2</v>
      </c>
      <c r="W859">
        <v>7.9729339999999992E-3</v>
      </c>
      <c r="X859">
        <v>0.99803640000000005</v>
      </c>
      <c r="Y859">
        <v>-3.3400099999999898E-2</v>
      </c>
      <c r="Z859">
        <v>6.1990129999999995E-4</v>
      </c>
      <c r="AA859">
        <v>0.99944189999999999</v>
      </c>
      <c r="AB859">
        <v>31</v>
      </c>
      <c r="AC859">
        <v>19.199299999999901</v>
      </c>
      <c r="AD859">
        <v>-1.1105241798829999</v>
      </c>
      <c r="AE859">
        <v>0.76159999999998695</v>
      </c>
      <c r="AF859">
        <v>-0.64687639878775305</v>
      </c>
      <c r="AG859">
        <v>-1.1105241798829999</v>
      </c>
      <c r="AH859">
        <v>19.139500572021099</v>
      </c>
      <c r="AI859">
        <v>93.318837885073904</v>
      </c>
      <c r="AJ859">
        <v>91.935744589457101</v>
      </c>
      <c r="AK859">
        <v>19.182601366233101</v>
      </c>
      <c r="AL859">
        <v>89.543179672232796</v>
      </c>
      <c r="AM859">
        <v>93.561988975670701</v>
      </c>
      <c r="AN859">
        <v>0.99999995773177097</v>
      </c>
    </row>
    <row r="860" spans="1:40" x14ac:dyDescent="0.3">
      <c r="A860" t="str">
        <f>"20200111160420571"</f>
        <v>20200111160420571</v>
      </c>
      <c r="B860" t="str">
        <f>"1578729860561500"</f>
        <v>1578729860561500</v>
      </c>
      <c r="C860" t="s">
        <v>40</v>
      </c>
      <c r="D860">
        <v>5.5090260000000004</v>
      </c>
      <c r="E860">
        <v>0.51134469999999999</v>
      </c>
      <c r="F860" t="s">
        <v>41</v>
      </c>
      <c r="G860">
        <v>-229.0522</v>
      </c>
      <c r="H860" s="1">
        <v>-5.5630699999999995E-7</v>
      </c>
      <c r="I860">
        <v>368.68540000000002</v>
      </c>
      <c r="J860">
        <v>-246.5874</v>
      </c>
      <c r="K860">
        <v>1.110506</v>
      </c>
      <c r="L860">
        <v>367.97269999999997</v>
      </c>
      <c r="M860">
        <v>0.99987959999999998</v>
      </c>
      <c r="N860">
        <v>0</v>
      </c>
      <c r="O860">
        <v>5.8654600000000003E-3</v>
      </c>
      <c r="P860">
        <v>0.99761440000000001</v>
      </c>
      <c r="Q860">
        <v>-7.1145590000000003E-3</v>
      </c>
      <c r="R860">
        <v>6.8666260000000007E-2</v>
      </c>
      <c r="S860">
        <v>2.9975740000000002</v>
      </c>
      <c r="T860">
        <v>-0.1878503</v>
      </c>
      <c r="U860">
        <v>0.12075809999999999</v>
      </c>
      <c r="V860">
        <v>-6.2812999999999994E-2</v>
      </c>
      <c r="W860">
        <v>7.2357659999999898E-3</v>
      </c>
      <c r="X860">
        <v>0.99799910000000003</v>
      </c>
      <c r="Y860">
        <v>-3.4334860000000002E-2</v>
      </c>
      <c r="Z860">
        <v>7.0725989999999999E-4</v>
      </c>
      <c r="AA860">
        <v>0.99941020000000003</v>
      </c>
      <c r="AB860">
        <v>31</v>
      </c>
      <c r="AC860">
        <v>17.5352</v>
      </c>
      <c r="AD860">
        <v>-1.110506556307</v>
      </c>
      <c r="AE860">
        <v>0.71270000000003997</v>
      </c>
      <c r="AF860">
        <v>-0.60739305115864295</v>
      </c>
      <c r="AG860">
        <v>-1.110506556307</v>
      </c>
      <c r="AH860">
        <v>17.469131046749698</v>
      </c>
      <c r="AI860">
        <v>93.635187517423702</v>
      </c>
      <c r="AJ860">
        <v>91.991343732321695</v>
      </c>
      <c r="AK860">
        <v>17.514927652111801</v>
      </c>
      <c r="AL860">
        <v>89.585417535749698</v>
      </c>
      <c r="AM860">
        <v>93.601384927590601</v>
      </c>
      <c r="AN860">
        <v>1.0000000164397</v>
      </c>
    </row>
    <row r="861" spans="1:40" x14ac:dyDescent="0.3">
      <c r="A861" t="str">
        <f>"20200111160420584"</f>
        <v>20200111160420584</v>
      </c>
      <c r="B861" t="str">
        <f>"1578729860581996"</f>
        <v>1578729860581996</v>
      </c>
      <c r="C861" t="s">
        <v>40</v>
      </c>
      <c r="D861">
        <v>5.4904970000000004</v>
      </c>
      <c r="E861">
        <v>0.51113770000000003</v>
      </c>
      <c r="F861" t="s">
        <v>41</v>
      </c>
      <c r="G861">
        <v>-230.20259999999999</v>
      </c>
      <c r="H861" s="1">
        <v>-4.3557179999999997E-6</v>
      </c>
      <c r="I861">
        <v>368.65620000000001</v>
      </c>
      <c r="J861">
        <v>-246.40719999999999</v>
      </c>
      <c r="K861">
        <v>1.1105050000000001</v>
      </c>
      <c r="L861">
        <v>367.97379999999998</v>
      </c>
      <c r="M861">
        <v>0.99987950000000003</v>
      </c>
      <c r="N861">
        <v>0</v>
      </c>
      <c r="O861">
        <v>5.8691719999999998E-3</v>
      </c>
      <c r="P861">
        <v>0.99758460000000004</v>
      </c>
      <c r="Q861">
        <v>-7.764651E-3</v>
      </c>
      <c r="R861">
        <v>6.9028320000000004E-2</v>
      </c>
      <c r="S861">
        <v>2.9971160000000001</v>
      </c>
      <c r="T861">
        <v>-0.2031338</v>
      </c>
      <c r="U861">
        <v>0.12503049999999999</v>
      </c>
      <c r="V861">
        <v>-6.3171630000000006E-2</v>
      </c>
      <c r="W861">
        <v>6.5834689999999998E-3</v>
      </c>
      <c r="X861">
        <v>0.99798100000000001</v>
      </c>
      <c r="Y861">
        <v>-3.574687E-2</v>
      </c>
      <c r="Z861">
        <v>8.1229479999999905E-4</v>
      </c>
      <c r="AA861">
        <v>0.99936060000000004</v>
      </c>
      <c r="AB861">
        <v>31</v>
      </c>
      <c r="AC861">
        <v>16.204599999999999</v>
      </c>
      <c r="AD861">
        <v>-1.1105093557179999</v>
      </c>
      <c r="AE861">
        <v>0.68240000000002898</v>
      </c>
      <c r="AF861">
        <v>-0.58453048970108901</v>
      </c>
      <c r="AG861">
        <v>-1.1105093557179999</v>
      </c>
      <c r="AH861">
        <v>16.132694436195699</v>
      </c>
      <c r="AI861">
        <v>93.935223553595094</v>
      </c>
      <c r="AJ861">
        <v>92.075070964606795</v>
      </c>
      <c r="AK861">
        <v>16.181431849319999</v>
      </c>
      <c r="AL861">
        <v>89.622792300702201</v>
      </c>
      <c r="AM861">
        <v>93.621957922733202</v>
      </c>
      <c r="AN861">
        <v>1.00000003663096</v>
      </c>
    </row>
    <row r="862" spans="1:40" x14ac:dyDescent="0.3">
      <c r="A862" t="str">
        <f>"20200111160420597"</f>
        <v>20200111160420597</v>
      </c>
      <c r="B862" t="str">
        <f>"1578729860591757"</f>
        <v>1578729860591757</v>
      </c>
      <c r="C862" t="s">
        <v>40</v>
      </c>
      <c r="D862">
        <v>6.1987540000000001</v>
      </c>
      <c r="E862">
        <v>0.51074079999999999</v>
      </c>
      <c r="F862" t="s">
        <v>41</v>
      </c>
      <c r="G862">
        <v>-231.5797</v>
      </c>
      <c r="H862" s="1">
        <v>-3.7728699999999999E-6</v>
      </c>
      <c r="I862">
        <v>368.6114</v>
      </c>
      <c r="J862">
        <v>-246.22239999999999</v>
      </c>
      <c r="K862">
        <v>1.1105039999999999</v>
      </c>
      <c r="L862">
        <v>367.97480000000002</v>
      </c>
      <c r="M862">
        <v>0.99987950000000003</v>
      </c>
      <c r="N862">
        <v>0</v>
      </c>
      <c r="O862">
        <v>5.8734169999999997E-3</v>
      </c>
      <c r="P862">
        <v>0.9975716</v>
      </c>
      <c r="Q862">
        <v>-8.0496259999999903E-3</v>
      </c>
      <c r="R862">
        <v>6.9181110000000004E-2</v>
      </c>
      <c r="S862">
        <v>2.996597</v>
      </c>
      <c r="T862">
        <v>-0.22442909999999999</v>
      </c>
      <c r="U862">
        <v>0.12887570000000001</v>
      </c>
      <c r="V862">
        <v>-6.3319739999999999E-2</v>
      </c>
      <c r="W862">
        <v>6.2964190000000001E-3</v>
      </c>
      <c r="X862">
        <v>0.99797340000000001</v>
      </c>
      <c r="Y862">
        <v>-3.7011259999999997E-2</v>
      </c>
      <c r="Z862">
        <v>9.4429780000000003E-4</v>
      </c>
      <c r="AA862">
        <v>0.99931440000000005</v>
      </c>
      <c r="AB862">
        <v>31</v>
      </c>
      <c r="AC862">
        <v>14.6426999999999</v>
      </c>
      <c r="AD862">
        <v>-1.1105077728699999</v>
      </c>
      <c r="AE862">
        <v>0.63659999999998695</v>
      </c>
      <c r="AF862">
        <v>-0.54743467994845896</v>
      </c>
      <c r="AG862">
        <v>-1.1105077728699999</v>
      </c>
      <c r="AH862">
        <v>14.562584290573501</v>
      </c>
      <c r="AI862">
        <v>94.357732771754897</v>
      </c>
      <c r="AJ862">
        <v>92.152841406219395</v>
      </c>
      <c r="AK862">
        <v>14.6151213974593</v>
      </c>
      <c r="AL862">
        <v>89.639239370950705</v>
      </c>
      <c r="AM862">
        <v>93.630454727731305</v>
      </c>
      <c r="AN862">
        <v>0.99999997073672497</v>
      </c>
    </row>
    <row r="863" spans="1:40" x14ac:dyDescent="0.3">
      <c r="A863" t="str">
        <f>"20200111160420609"</f>
        <v>20200111160420609</v>
      </c>
      <c r="B863" t="str">
        <f>"1578729860601517"</f>
        <v>1578729860601517</v>
      </c>
      <c r="C863" t="s">
        <v>40</v>
      </c>
      <c r="D863">
        <v>5.5815539999999997</v>
      </c>
      <c r="E863">
        <v>0.51005999999999996</v>
      </c>
      <c r="F863" t="s">
        <v>41</v>
      </c>
      <c r="G863">
        <v>-230.33189999999999</v>
      </c>
      <c r="H863" s="1">
        <v>-4.2972759999999997E-6</v>
      </c>
      <c r="I863">
        <v>368.6728</v>
      </c>
      <c r="J863">
        <v>-246.0547</v>
      </c>
      <c r="K863">
        <v>1.110511</v>
      </c>
      <c r="L863">
        <v>367.97579999999999</v>
      </c>
      <c r="M863">
        <v>0.99987950000000003</v>
      </c>
      <c r="N863">
        <v>0</v>
      </c>
      <c r="O863">
        <v>5.8771259999999999E-3</v>
      </c>
      <c r="P863">
        <v>0.99754069999999995</v>
      </c>
      <c r="Q863">
        <v>-8.2372460000000002E-3</v>
      </c>
      <c r="R863">
        <v>6.9606769999999998E-2</v>
      </c>
      <c r="S863">
        <v>2.9964900000000001</v>
      </c>
      <c r="T863">
        <v>-0.20940890000000001</v>
      </c>
      <c r="U863">
        <v>0.1316223</v>
      </c>
      <c r="V863">
        <v>-6.3742380000000001E-2</v>
      </c>
      <c r="W863">
        <v>6.1066419999999998E-3</v>
      </c>
      <c r="X863">
        <v>0.99794769999999999</v>
      </c>
      <c r="Y863">
        <v>-3.793233E-2</v>
      </c>
      <c r="Z863">
        <v>9.1314390000000003E-4</v>
      </c>
      <c r="AA863">
        <v>0.9992799</v>
      </c>
      <c r="AB863">
        <v>31</v>
      </c>
      <c r="AC863">
        <v>15.722799999999999</v>
      </c>
      <c r="AD863">
        <v>-1.110515297276</v>
      </c>
      <c r="AE863">
        <v>0.69700000000000195</v>
      </c>
      <c r="AF863">
        <v>-0.60157832273310397</v>
      </c>
      <c r="AG863">
        <v>-1.110515297276</v>
      </c>
      <c r="AH863">
        <v>15.6487112286397</v>
      </c>
      <c r="AI863">
        <v>94.056220359682399</v>
      </c>
      <c r="AJ863">
        <v>92.201518970943795</v>
      </c>
      <c r="AK863">
        <v>15.6995956578894</v>
      </c>
      <c r="AL863">
        <v>89.650113010723004</v>
      </c>
      <c r="AM863">
        <v>93.654715314053803</v>
      </c>
      <c r="AN863">
        <v>0.99999999700993503</v>
      </c>
    </row>
    <row r="864" spans="1:40" x14ac:dyDescent="0.3">
      <c r="A864" t="str">
        <f>"20200111160420621"</f>
        <v>20200111160420621</v>
      </c>
      <c r="B864" t="str">
        <f>"1578729860611276"</f>
        <v>1578729860611276</v>
      </c>
      <c r="C864" t="s">
        <v>40</v>
      </c>
      <c r="D864">
        <v>6.4607479999999997</v>
      </c>
      <c r="E864">
        <v>0.50958379999999903</v>
      </c>
      <c r="F864" t="s">
        <v>41</v>
      </c>
      <c r="G864">
        <v>-229.25829999999999</v>
      </c>
      <c r="H864" s="1">
        <v>-4.6947269999999998E-7</v>
      </c>
      <c r="I864">
        <v>368.7482</v>
      </c>
      <c r="J864">
        <v>-245.88849999999999</v>
      </c>
      <c r="K864">
        <v>1.1105100000000001</v>
      </c>
      <c r="L864">
        <v>367.97680000000003</v>
      </c>
      <c r="M864">
        <v>0.99987950000000003</v>
      </c>
      <c r="N864">
        <v>0</v>
      </c>
      <c r="O864">
        <v>5.8809519999999896E-3</v>
      </c>
      <c r="P864">
        <v>0.99751840000000003</v>
      </c>
      <c r="Q864">
        <v>-8.3793229999999993E-3</v>
      </c>
      <c r="R864">
        <v>6.9906990000000002E-2</v>
      </c>
      <c r="S864">
        <v>2.99614</v>
      </c>
      <c r="T864">
        <v>-0.19809270000000001</v>
      </c>
      <c r="U864">
        <v>0.13778689999999999</v>
      </c>
      <c r="V864">
        <v>-6.4038899999999996E-2</v>
      </c>
      <c r="W864">
        <v>5.9626389999999996E-3</v>
      </c>
      <c r="X864">
        <v>0.99792959999999997</v>
      </c>
      <c r="Y864">
        <v>-3.9989139999999999E-2</v>
      </c>
      <c r="Z864">
        <v>9.3160200000000002E-4</v>
      </c>
      <c r="AA864">
        <v>0.99919970000000002</v>
      </c>
      <c r="AB864">
        <v>31</v>
      </c>
      <c r="AC864">
        <v>16.630199999999999</v>
      </c>
      <c r="AD864">
        <v>-1.1105104694726999</v>
      </c>
      <c r="AE864">
        <v>0.771399999999971</v>
      </c>
      <c r="AF864">
        <v>-0.67059131941789496</v>
      </c>
      <c r="AG864">
        <v>-1.1105104694726999</v>
      </c>
      <c r="AH864">
        <v>16.560761310596099</v>
      </c>
      <c r="AI864">
        <v>93.833192333051798</v>
      </c>
      <c r="AJ864">
        <v>92.318798787367299</v>
      </c>
      <c r="AK864">
        <v>16.611494255696101</v>
      </c>
      <c r="AL864">
        <v>89.658363929624599</v>
      </c>
      <c r="AM864">
        <v>93.671736515703998</v>
      </c>
      <c r="AN864">
        <v>1.0000000101666</v>
      </c>
    </row>
    <row r="865" spans="1:40" x14ac:dyDescent="0.3">
      <c r="A865" t="str">
        <f>"20200111160420632"</f>
        <v>20200111160420632</v>
      </c>
      <c r="B865" t="str">
        <f>"1578729860622013"</f>
        <v>1578729860622013</v>
      </c>
      <c r="C865" t="s">
        <v>40</v>
      </c>
      <c r="D865">
        <v>5.5071500000000002</v>
      </c>
      <c r="E865">
        <v>0.50974629999999999</v>
      </c>
      <c r="F865" t="s">
        <v>41</v>
      </c>
      <c r="G865">
        <v>-227.74039999999999</v>
      </c>
      <c r="H865" s="1">
        <v>-1.0903489999999901E-6</v>
      </c>
      <c r="I865">
        <v>368.8347</v>
      </c>
      <c r="J865">
        <v>-245.73159999999999</v>
      </c>
      <c r="K865">
        <v>1.1105149999999999</v>
      </c>
      <c r="L865">
        <v>367.9778</v>
      </c>
      <c r="M865">
        <v>0.99987950000000003</v>
      </c>
      <c r="N865">
        <v>0</v>
      </c>
      <c r="O865">
        <v>5.8846590000000004E-3</v>
      </c>
      <c r="P865">
        <v>0.99747660000000005</v>
      </c>
      <c r="Q865">
        <v>-8.7761279999999994E-3</v>
      </c>
      <c r="R865">
        <v>7.0452970000000004E-2</v>
      </c>
      <c r="S865">
        <v>2.9960019999999998</v>
      </c>
      <c r="T865">
        <v>-0.18332960000000001</v>
      </c>
      <c r="U865">
        <v>0.14163210000000001</v>
      </c>
      <c r="V865">
        <v>-6.4581490000000005E-2</v>
      </c>
      <c r="W865">
        <v>5.564009E-3</v>
      </c>
      <c r="X865">
        <v>0.99789689999999998</v>
      </c>
      <c r="Y865">
        <v>-4.1275390000000002E-2</v>
      </c>
      <c r="Z865">
        <v>9.0139069999999998E-4</v>
      </c>
      <c r="AA865">
        <v>0.99914740000000002</v>
      </c>
      <c r="AB865">
        <v>31</v>
      </c>
      <c r="AC865">
        <v>17.9911999999999</v>
      </c>
      <c r="AD865">
        <v>-1.1105160903489999</v>
      </c>
      <c r="AE865">
        <v>0.856899999999996</v>
      </c>
      <c r="AF865">
        <v>-0.74815809761053198</v>
      </c>
      <c r="AG865">
        <v>-1.1105160903489999</v>
      </c>
      <c r="AH865">
        <v>17.9277805606527</v>
      </c>
      <c r="AI865">
        <v>93.541518651002804</v>
      </c>
      <c r="AJ865">
        <v>92.389667965468504</v>
      </c>
      <c r="AK865">
        <v>17.9777168282533</v>
      </c>
      <c r="AL865">
        <v>89.681204114264006</v>
      </c>
      <c r="AM865">
        <v>93.702881287095494</v>
      </c>
      <c r="AN865">
        <v>0.99999997503819005</v>
      </c>
    </row>
    <row r="866" spans="1:40" x14ac:dyDescent="0.3">
      <c r="A866" t="str">
        <f>"20200111160420645"</f>
        <v>20200111160420645</v>
      </c>
      <c r="B866" t="str">
        <f>"1578729860641532"</f>
        <v>1578729860641532</v>
      </c>
      <c r="C866" t="s">
        <v>40</v>
      </c>
      <c r="D866">
        <v>5.5621070000000001</v>
      </c>
      <c r="E866">
        <v>0.50907429999999998</v>
      </c>
      <c r="F866" t="s">
        <v>41</v>
      </c>
      <c r="G866">
        <v>-228.3956</v>
      </c>
      <c r="H866" s="1">
        <v>-8.1523659999999898E-7</v>
      </c>
      <c r="I866">
        <v>368.80099999999999</v>
      </c>
      <c r="J866">
        <v>-245.55189999999999</v>
      </c>
      <c r="K866">
        <v>1.110525</v>
      </c>
      <c r="L866">
        <v>367.97879999999998</v>
      </c>
      <c r="M866">
        <v>0.99987950000000003</v>
      </c>
      <c r="N866">
        <v>0</v>
      </c>
      <c r="O866">
        <v>5.8887239999999997E-3</v>
      </c>
      <c r="P866">
        <v>0.99744820000000001</v>
      </c>
      <c r="Q866">
        <v>-8.6186270000000002E-3</v>
      </c>
      <c r="R866">
        <v>7.0871610000000002E-2</v>
      </c>
      <c r="S866">
        <v>2.9958499999999999</v>
      </c>
      <c r="T866">
        <v>-0.1919081</v>
      </c>
      <c r="U866">
        <v>0.14227290000000001</v>
      </c>
      <c r="V866">
        <v>-6.4995880000000006E-2</v>
      </c>
      <c r="W866">
        <v>5.7189789999999999E-3</v>
      </c>
      <c r="X866">
        <v>0.99786909999999895</v>
      </c>
      <c r="Y866">
        <v>-4.1480259999999998E-2</v>
      </c>
      <c r="Z866">
        <v>9.4981969999999999E-4</v>
      </c>
      <c r="AA866">
        <v>0.99913890000000005</v>
      </c>
      <c r="AB866">
        <v>31</v>
      </c>
      <c r="AC866">
        <v>17.156299999999899</v>
      </c>
      <c r="AD866">
        <v>-1.1105258152366</v>
      </c>
      <c r="AE866">
        <v>0.82220000000000903</v>
      </c>
      <c r="AF866">
        <v>-0.71814449951362402</v>
      </c>
      <c r="AG866">
        <v>-1.1105258152366</v>
      </c>
      <c r="AH866">
        <v>17.089404804897001</v>
      </c>
      <c r="AI866">
        <v>93.714771464470999</v>
      </c>
      <c r="AJ866">
        <v>92.406312829932105</v>
      </c>
      <c r="AK866">
        <v>17.140500450515599</v>
      </c>
      <c r="AL866">
        <v>89.672324839524094</v>
      </c>
      <c r="AM866">
        <v>93.726677778378104</v>
      </c>
      <c r="AN866">
        <v>0.99999995593629198</v>
      </c>
    </row>
    <row r="867" spans="1:40" x14ac:dyDescent="0.3">
      <c r="A867" t="str">
        <f>"20200111160420657"</f>
        <v>20200111160420657</v>
      </c>
      <c r="B867" t="str">
        <f>"1578729860651292"</f>
        <v>1578729860651292</v>
      </c>
      <c r="C867" t="s">
        <v>40</v>
      </c>
      <c r="D867">
        <v>5.5122390000000001</v>
      </c>
      <c r="E867">
        <v>0.50919970000000003</v>
      </c>
      <c r="F867" t="s">
        <v>41</v>
      </c>
      <c r="G867">
        <v>-227.02860000000001</v>
      </c>
      <c r="H867" s="1">
        <v>-1.384965E-6</v>
      </c>
      <c r="I867">
        <v>368.89530000000002</v>
      </c>
      <c r="J867">
        <v>-245.37700000000001</v>
      </c>
      <c r="K867">
        <v>1.1105320000000001</v>
      </c>
      <c r="L867">
        <v>367.97980000000001</v>
      </c>
      <c r="M867">
        <v>0.99987950000000003</v>
      </c>
      <c r="N867">
        <v>0</v>
      </c>
      <c r="O867">
        <v>5.8927889999999998E-3</v>
      </c>
      <c r="P867">
        <v>0.99741460000000004</v>
      </c>
      <c r="Q867">
        <v>-8.2963499999999992E-3</v>
      </c>
      <c r="R867">
        <v>7.1381509999999995E-2</v>
      </c>
      <c r="S867">
        <v>2.99559</v>
      </c>
      <c r="T867">
        <v>-0.17959310000000001</v>
      </c>
      <c r="U867">
        <v>0.14822389999999999</v>
      </c>
      <c r="V867">
        <v>-6.5502030000000003E-2</v>
      </c>
      <c r="W867">
        <v>6.038931E-3</v>
      </c>
      <c r="X867">
        <v>0.99783409999999995</v>
      </c>
      <c r="Y867">
        <v>-4.346589E-2</v>
      </c>
      <c r="Z867">
        <v>9.4820440000000005E-4</v>
      </c>
      <c r="AA867">
        <v>0.99905449999999996</v>
      </c>
      <c r="AB867">
        <v>31</v>
      </c>
      <c r="AC867">
        <v>18.348400000000002</v>
      </c>
      <c r="AD867">
        <v>-1.1105333849650001</v>
      </c>
      <c r="AE867">
        <v>0.91550000000000797</v>
      </c>
      <c r="AF867">
        <v>-0.80441025912532504</v>
      </c>
      <c r="AG867">
        <v>-1.1105333849650001</v>
      </c>
      <c r="AH867">
        <v>18.2866544893431</v>
      </c>
      <c r="AI867">
        <v>93.471907886150106</v>
      </c>
      <c r="AJ867">
        <v>92.518755923391794</v>
      </c>
      <c r="AK867">
        <v>18.337995874051199</v>
      </c>
      <c r="AL867">
        <v>89.653992616338201</v>
      </c>
      <c r="AM867">
        <v>93.755747589955803</v>
      </c>
      <c r="AN867">
        <v>0.99999993787227404</v>
      </c>
    </row>
    <row r="868" spans="1:40" x14ac:dyDescent="0.3">
      <c r="A868" t="str">
        <f>"20200111160420672"</f>
        <v>20200111160420672</v>
      </c>
      <c r="B868" t="str">
        <f>"1578729860662028"</f>
        <v>1578729860662028</v>
      </c>
      <c r="C868" t="s">
        <v>40</v>
      </c>
      <c r="D868">
        <v>6.5262989999999999</v>
      </c>
      <c r="E868">
        <v>0.50877700000000003</v>
      </c>
      <c r="F868" t="s">
        <v>41</v>
      </c>
      <c r="G868">
        <v>-227.4605</v>
      </c>
      <c r="H868" s="1">
        <v>-1.2040949999999999E-6</v>
      </c>
      <c r="I868">
        <v>368.87029999999999</v>
      </c>
      <c r="J868">
        <v>-245.1772</v>
      </c>
      <c r="K868">
        <v>1.110549</v>
      </c>
      <c r="L868">
        <v>367.98099999999999</v>
      </c>
      <c r="M868">
        <v>0.99987950000000003</v>
      </c>
      <c r="N868">
        <v>0</v>
      </c>
      <c r="O868">
        <v>5.8973319999999999E-3</v>
      </c>
      <c r="P868">
        <v>0.99737050000000005</v>
      </c>
      <c r="Q868">
        <v>-6.0990899999999997E-3</v>
      </c>
      <c r="R868">
        <v>7.2214799999999996E-2</v>
      </c>
      <c r="S868">
        <v>2.99559</v>
      </c>
      <c r="T868">
        <v>-0.18567800000000001</v>
      </c>
      <c r="U868">
        <v>0.14889530000000001</v>
      </c>
      <c r="V868">
        <v>-6.6331249999999994E-2</v>
      </c>
      <c r="W868">
        <v>8.2332789999999996E-3</v>
      </c>
      <c r="X868">
        <v>0.99776370000000003</v>
      </c>
      <c r="Y868">
        <v>-4.3679679999999999E-2</v>
      </c>
      <c r="Z868">
        <v>9.8659950000000007E-4</v>
      </c>
      <c r="AA868">
        <v>0.99904510000000002</v>
      </c>
      <c r="AB868">
        <v>31</v>
      </c>
      <c r="AC868">
        <v>17.716699999999999</v>
      </c>
      <c r="AD868">
        <v>-1.1105502040949999</v>
      </c>
      <c r="AE868">
        <v>0.88929999999999099</v>
      </c>
      <c r="AF868">
        <v>-0.78172860162747804</v>
      </c>
      <c r="AG868">
        <v>-1.1105502040949999</v>
      </c>
      <c r="AH868">
        <v>17.652450153856702</v>
      </c>
      <c r="AI868">
        <v>93.596329979076799</v>
      </c>
      <c r="AJ868">
        <v>92.535653940311605</v>
      </c>
      <c r="AK868">
        <v>17.704615720111399</v>
      </c>
      <c r="AL868">
        <v>89.528262537383696</v>
      </c>
      <c r="AM868">
        <v>93.803422196175504</v>
      </c>
      <c r="AN868">
        <v>1.00000001132367</v>
      </c>
    </row>
    <row r="869" spans="1:40" x14ac:dyDescent="0.3">
      <c r="A869" t="str">
        <f>"20200111160420686"</f>
        <v>20200111160420686</v>
      </c>
      <c r="B869" t="str">
        <f>"1578729860681549"</f>
        <v>1578729860681549</v>
      </c>
      <c r="C869" t="s">
        <v>40</v>
      </c>
      <c r="D869">
        <v>5.5850439999999999</v>
      </c>
      <c r="E869">
        <v>0.50860640000000001</v>
      </c>
      <c r="F869" t="s">
        <v>41</v>
      </c>
      <c r="G869">
        <v>-225.8783</v>
      </c>
      <c r="H869" s="1">
        <v>-1.863996E-6</v>
      </c>
      <c r="I869">
        <v>368.97680000000003</v>
      </c>
      <c r="J869">
        <v>-244.9924</v>
      </c>
      <c r="K869">
        <v>1.11056</v>
      </c>
      <c r="L869">
        <v>367.9821</v>
      </c>
      <c r="M869">
        <v>0.99987950000000003</v>
      </c>
      <c r="N869">
        <v>0</v>
      </c>
      <c r="O869">
        <v>5.9016969999999896E-3</v>
      </c>
      <c r="P869">
        <v>0.99732940000000003</v>
      </c>
      <c r="Q869">
        <v>-4.8737939999999999E-3</v>
      </c>
      <c r="R869">
        <v>7.2871740000000004E-2</v>
      </c>
      <c r="S869">
        <v>2.9956510000000001</v>
      </c>
      <c r="T869">
        <v>-0.17238249999999999</v>
      </c>
      <c r="U869">
        <v>0.1545715</v>
      </c>
      <c r="V869">
        <v>-6.698374E-2</v>
      </c>
      <c r="W869">
        <v>9.456318E-3</v>
      </c>
      <c r="X869">
        <v>0.99770930000000002</v>
      </c>
      <c r="Y869">
        <v>-4.5569289999999998E-2</v>
      </c>
      <c r="Z869">
        <v>9.7004899999999995E-4</v>
      </c>
      <c r="AA869">
        <v>0.99896070000000003</v>
      </c>
      <c r="AB869">
        <v>31</v>
      </c>
      <c r="AC869">
        <v>19.114100000000001</v>
      </c>
      <c r="AD869">
        <v>-1.110561863996</v>
      </c>
      <c r="AE869">
        <v>0.99470000000002201</v>
      </c>
      <c r="AF869">
        <v>-0.87890641114551404</v>
      </c>
      <c r="AG869">
        <v>-1.110561863996</v>
      </c>
      <c r="AH869">
        <v>19.0554841536586</v>
      </c>
      <c r="AI869">
        <v>93.331915586037994</v>
      </c>
      <c r="AJ869">
        <v>92.640812644652101</v>
      </c>
      <c r="AK869">
        <v>19.108042821378898</v>
      </c>
      <c r="AL869">
        <v>89.458184838200197</v>
      </c>
      <c r="AM869">
        <v>93.840933211770604</v>
      </c>
      <c r="AN869">
        <v>1.00000004534049</v>
      </c>
    </row>
    <row r="870" spans="1:40" x14ac:dyDescent="0.3">
      <c r="A870" t="str">
        <f>"20200111160420698"</f>
        <v>20200111160420698</v>
      </c>
      <c r="B870" t="str">
        <f>"1578729860691309"</f>
        <v>1578729860691309</v>
      </c>
      <c r="C870" t="s">
        <v>40</v>
      </c>
      <c r="D870">
        <v>5.599189</v>
      </c>
      <c r="E870">
        <v>0.50867079999999998</v>
      </c>
      <c r="F870" t="s">
        <v>41</v>
      </c>
      <c r="G870">
        <v>-224.55369999999999</v>
      </c>
      <c r="H870" s="1">
        <v>-2.4180489999999998E-6</v>
      </c>
      <c r="I870">
        <v>369.0566</v>
      </c>
      <c r="J870">
        <v>-244.8082</v>
      </c>
      <c r="K870">
        <v>1.110565</v>
      </c>
      <c r="L870">
        <v>367.98320000000001</v>
      </c>
      <c r="M870">
        <v>0.99987959999999998</v>
      </c>
      <c r="N870">
        <v>0</v>
      </c>
      <c r="O870">
        <v>5.905942E-3</v>
      </c>
      <c r="P870">
        <v>0.99731800000000004</v>
      </c>
      <c r="Q870">
        <v>-3.036398E-3</v>
      </c>
      <c r="R870">
        <v>7.3130329999999993E-2</v>
      </c>
      <c r="S870">
        <v>2.9957280000000002</v>
      </c>
      <c r="T870">
        <v>-0.162775799999999</v>
      </c>
      <c r="U870">
        <v>0.15750120000000001</v>
      </c>
      <c r="V870">
        <v>-6.7238409999999998E-2</v>
      </c>
      <c r="W870">
        <v>1.129109E-2</v>
      </c>
      <c r="X870">
        <v>0.99767300000000003</v>
      </c>
      <c r="Y870">
        <v>-4.6543679999999997E-2</v>
      </c>
      <c r="Z870">
        <v>9.4222909999999997E-4</v>
      </c>
      <c r="AA870">
        <v>0.99891580000000002</v>
      </c>
      <c r="AB870">
        <v>31</v>
      </c>
      <c r="AC870">
        <v>20.2545</v>
      </c>
      <c r="AD870">
        <v>-1.1105674180489999</v>
      </c>
      <c r="AE870">
        <v>1.0733999999999899</v>
      </c>
      <c r="AF870">
        <v>-0.95089628789492098</v>
      </c>
      <c r="AG870">
        <v>-1.1105674180489999</v>
      </c>
      <c r="AH870">
        <v>20.199927788756401</v>
      </c>
      <c r="AI870">
        <v>93.143410085386293</v>
      </c>
      <c r="AJ870">
        <v>92.695165747044001</v>
      </c>
      <c r="AK870">
        <v>20.252768857895301</v>
      </c>
      <c r="AL870">
        <v>89.3530544200772</v>
      </c>
      <c r="AM870">
        <v>93.855632212763197</v>
      </c>
      <c r="AN870">
        <v>0.99999995371085704</v>
      </c>
    </row>
    <row r="871" spans="1:40" x14ac:dyDescent="0.3">
      <c r="A871" t="str">
        <f>"20200111160420710"</f>
        <v>20200111160420710</v>
      </c>
      <c r="B871" t="str">
        <f>"1578729860702045"</f>
        <v>1578729860702045</v>
      </c>
      <c r="C871" t="s">
        <v>40</v>
      </c>
      <c r="D871">
        <v>6.7888270000000004</v>
      </c>
      <c r="E871">
        <v>0.50844089999999997</v>
      </c>
      <c r="F871" t="s">
        <v>41</v>
      </c>
      <c r="G871">
        <v>-224.07910000000001</v>
      </c>
      <c r="H871" s="1">
        <v>-2.618408E-6</v>
      </c>
      <c r="I871">
        <v>369.07510000000002</v>
      </c>
      <c r="J871">
        <v>-244.6344</v>
      </c>
      <c r="K871">
        <v>1.1105750000000001</v>
      </c>
      <c r="L871">
        <v>367.98430000000002</v>
      </c>
      <c r="M871">
        <v>0.99987950000000003</v>
      </c>
      <c r="N871">
        <v>0</v>
      </c>
      <c r="O871">
        <v>5.9101279999999997E-3</v>
      </c>
      <c r="P871">
        <v>0.99730490000000005</v>
      </c>
      <c r="Q871">
        <v>-1.630217E-3</v>
      </c>
      <c r="R871">
        <v>7.335071E-2</v>
      </c>
      <c r="S871">
        <v>2.9960019999999998</v>
      </c>
      <c r="T871">
        <v>-0.16051089999999901</v>
      </c>
      <c r="U871">
        <v>0.15780640000000001</v>
      </c>
      <c r="V871">
        <v>-6.7454680000000003E-2</v>
      </c>
      <c r="W871">
        <v>1.2694799999999999E-2</v>
      </c>
      <c r="X871">
        <v>0.99764160000000002</v>
      </c>
      <c r="Y871">
        <v>-4.6637690000000002E-2</v>
      </c>
      <c r="Z871">
        <v>9.3134119999999999E-4</v>
      </c>
      <c r="AA871">
        <v>0.9989114</v>
      </c>
      <c r="AB871">
        <v>31</v>
      </c>
      <c r="AC871">
        <v>20.5552999999999</v>
      </c>
      <c r="AD871">
        <v>-1.1105776184080001</v>
      </c>
      <c r="AE871">
        <v>1.0908</v>
      </c>
      <c r="AF871">
        <v>-0.96647066300603102</v>
      </c>
      <c r="AG871">
        <v>-1.1105776184080001</v>
      </c>
      <c r="AH871">
        <v>20.501709710248001</v>
      </c>
      <c r="AI871">
        <v>93.097249039473994</v>
      </c>
      <c r="AJ871">
        <v>92.698981021425496</v>
      </c>
      <c r="AK871">
        <v>20.5545019212882</v>
      </c>
      <c r="AL871">
        <v>89.272622019807201</v>
      </c>
      <c r="AM871">
        <v>93.8681175063507</v>
      </c>
      <c r="AN871">
        <v>1.0000000269257501</v>
      </c>
    </row>
    <row r="872" spans="1:40" x14ac:dyDescent="0.3">
      <c r="A872" t="str">
        <f>"20200111160420723"</f>
        <v>20200111160420723</v>
      </c>
      <c r="B872" t="str">
        <f>"1578729860711804"</f>
        <v>1578729860711804</v>
      </c>
      <c r="C872" t="s">
        <v>40</v>
      </c>
      <c r="D872">
        <v>5.6195879999999896</v>
      </c>
      <c r="E872">
        <v>0.50830880000000001</v>
      </c>
      <c r="F872" t="s">
        <v>41</v>
      </c>
      <c r="G872">
        <v>-222.10130000000001</v>
      </c>
      <c r="H872" s="1">
        <v>-3.4469220000000002E-6</v>
      </c>
      <c r="I872">
        <v>369.18759999999997</v>
      </c>
      <c r="J872">
        <v>-244.4606</v>
      </c>
      <c r="K872">
        <v>1.1105780000000001</v>
      </c>
      <c r="L872">
        <v>367.9853</v>
      </c>
      <c r="M872">
        <v>0.99987959999999998</v>
      </c>
      <c r="N872">
        <v>0</v>
      </c>
      <c r="O872">
        <v>5.9143750000000004E-3</v>
      </c>
      <c r="P872">
        <v>0.99729900000000005</v>
      </c>
      <c r="Q872">
        <v>-3.5035049999999999E-4</v>
      </c>
      <c r="R872">
        <v>7.3451760000000005E-2</v>
      </c>
      <c r="S872">
        <v>2.9960939999999998</v>
      </c>
      <c r="T872">
        <v>-0.14766609999999999</v>
      </c>
      <c r="U872">
        <v>0.1600037</v>
      </c>
      <c r="V872">
        <v>-6.7551050000000001E-2</v>
      </c>
      <c r="W872">
        <v>1.3973090000000001E-2</v>
      </c>
      <c r="X872">
        <v>0.997618</v>
      </c>
      <c r="Y872">
        <v>-4.7370429999999998E-2</v>
      </c>
      <c r="Z872">
        <v>8.7468679999999903E-4</v>
      </c>
      <c r="AA872">
        <v>0.99887700000000001</v>
      </c>
      <c r="AB872">
        <v>31</v>
      </c>
      <c r="AC872">
        <v>22.359299999999902</v>
      </c>
      <c r="AD872">
        <v>-1.1105814469219999</v>
      </c>
      <c r="AE872">
        <v>1.2022999999999699</v>
      </c>
      <c r="AF872">
        <v>-1.0673983002863701</v>
      </c>
      <c r="AG872">
        <v>-1.1105814469219999</v>
      </c>
      <c r="AH872">
        <v>22.311135625839999</v>
      </c>
      <c r="AI872">
        <v>92.846409893459693</v>
      </c>
      <c r="AJ872">
        <v>92.739027875356896</v>
      </c>
      <c r="AK872">
        <v>22.364246090497399</v>
      </c>
      <c r="AL872">
        <v>89.199374887725298</v>
      </c>
      <c r="AM872">
        <v>93.873718287139496</v>
      </c>
      <c r="AN872">
        <v>1.0000000327621199</v>
      </c>
    </row>
    <row r="873" spans="1:40" x14ac:dyDescent="0.3">
      <c r="A873" t="str">
        <f>"20200111160420761"</f>
        <v>20200111160420761</v>
      </c>
      <c r="B873" t="str">
        <f>"1578729860751821"</f>
        <v>1578729860751821</v>
      </c>
      <c r="C873" t="s">
        <v>40</v>
      </c>
      <c r="D873">
        <v>5.5963849999999997</v>
      </c>
      <c r="E873">
        <v>0.50799910000000004</v>
      </c>
      <c r="F873" t="s">
        <v>41</v>
      </c>
      <c r="G873">
        <v>-220.68729999999999</v>
      </c>
      <c r="H873" s="1">
        <v>-4.0398909999999996E-6</v>
      </c>
      <c r="I873">
        <v>369.26429999999999</v>
      </c>
      <c r="J873">
        <v>-243.93299999999999</v>
      </c>
      <c r="K873">
        <v>1.110592</v>
      </c>
      <c r="L873">
        <v>367.98840000000001</v>
      </c>
      <c r="M873">
        <v>0.99987939999999997</v>
      </c>
      <c r="N873">
        <v>0</v>
      </c>
      <c r="O873">
        <v>5.9463349999999996E-3</v>
      </c>
      <c r="P873">
        <v>0.99742940000000002</v>
      </c>
      <c r="Q873">
        <v>1.3163889999999901E-3</v>
      </c>
      <c r="R873">
        <v>7.1646299999999996E-2</v>
      </c>
      <c r="S873">
        <v>2.9961850000000001</v>
      </c>
      <c r="T873">
        <v>-0.13996829999999999</v>
      </c>
      <c r="U873">
        <v>0.1611938</v>
      </c>
      <c r="V873">
        <v>-6.5713590000000002E-2</v>
      </c>
      <c r="W873">
        <v>1.5634209999999999E-2</v>
      </c>
      <c r="X873">
        <v>0.99771609999999999</v>
      </c>
      <c r="Y873">
        <v>-4.7737259999999997E-2</v>
      </c>
      <c r="Z873">
        <v>8.3617309999999999E-4</v>
      </c>
      <c r="AA873">
        <v>0.99885959999999996</v>
      </c>
      <c r="AB873">
        <v>31</v>
      </c>
      <c r="AC873">
        <v>23.245699999999999</v>
      </c>
      <c r="AD873">
        <v>-1.110596039891</v>
      </c>
      <c r="AE873">
        <v>1.2758999999999701</v>
      </c>
      <c r="AF873">
        <v>-1.1350534167112101</v>
      </c>
      <c r="AG873">
        <v>-1.110596039891</v>
      </c>
      <c r="AH873">
        <v>23.200079552636499</v>
      </c>
      <c r="AI873">
        <v>92.737407888946905</v>
      </c>
      <c r="AJ873">
        <v>92.800936782127494</v>
      </c>
      <c r="AK873">
        <v>23.254364344597199</v>
      </c>
      <c r="AL873">
        <v>89.104189308871199</v>
      </c>
      <c r="AM873">
        <v>93.768287445323395</v>
      </c>
      <c r="AN873">
        <v>1.0000000603160999</v>
      </c>
    </row>
    <row r="874" spans="1:40" x14ac:dyDescent="0.3">
      <c r="A874" t="str">
        <f>"20200111160420784"</f>
        <v>20200111160420784</v>
      </c>
      <c r="B874" t="str">
        <f>"1578729860782076"</f>
        <v>1578729860782076</v>
      </c>
      <c r="C874" t="s">
        <v>40</v>
      </c>
      <c r="D874">
        <v>5.6109460000000002</v>
      </c>
      <c r="E874">
        <v>0.5081019</v>
      </c>
      <c r="F874" t="s">
        <v>41</v>
      </c>
      <c r="G874">
        <v>-218.45949999999999</v>
      </c>
      <c r="H874" s="1">
        <v>-6.9387829999999999E-7</v>
      </c>
      <c r="I874">
        <v>369.33069999999998</v>
      </c>
      <c r="J874">
        <v>-243.62629999999999</v>
      </c>
      <c r="K874">
        <v>1.110608</v>
      </c>
      <c r="L874">
        <v>367.99029999999999</v>
      </c>
      <c r="M874">
        <v>0.99987919999999997</v>
      </c>
      <c r="N874">
        <v>0</v>
      </c>
      <c r="O874">
        <v>5.9853629999999996E-3</v>
      </c>
      <c r="P874">
        <v>0.99748879999999995</v>
      </c>
      <c r="Q874">
        <v>1.7625710000000001E-3</v>
      </c>
      <c r="R874">
        <v>7.0803889999999994E-2</v>
      </c>
      <c r="S874">
        <v>2.9965519999999999</v>
      </c>
      <c r="T874">
        <v>-0.13064300000000001</v>
      </c>
      <c r="U874">
        <v>0.15789790000000001</v>
      </c>
      <c r="V874">
        <v>-6.4832020000000004E-2</v>
      </c>
      <c r="W874">
        <v>1.6076179999999999E-2</v>
      </c>
      <c r="X874">
        <v>0.99776670000000001</v>
      </c>
      <c r="Y874">
        <v>-4.6603119999999998E-2</v>
      </c>
      <c r="Z874">
        <v>7.5405160000000004E-4</v>
      </c>
      <c r="AA874">
        <v>0.99891319999999995</v>
      </c>
      <c r="AB874">
        <v>31</v>
      </c>
      <c r="AC874">
        <v>25.166799999999899</v>
      </c>
      <c r="AD874">
        <v>-1.1106086938783</v>
      </c>
      <c r="AE874">
        <v>1.3403999999999801</v>
      </c>
      <c r="AF874">
        <v>-1.1874221489586201</v>
      </c>
      <c r="AG874">
        <v>-1.1106086938783</v>
      </c>
      <c r="AH874">
        <v>25.125580331739499</v>
      </c>
      <c r="AI874">
        <v>92.528140299005997</v>
      </c>
      <c r="AJ874">
        <v>92.705756201594099</v>
      </c>
      <c r="AK874">
        <v>25.1781295976776</v>
      </c>
      <c r="AL874">
        <v>89.078863065553605</v>
      </c>
      <c r="AM874">
        <v>93.7176893255224</v>
      </c>
      <c r="AN874">
        <v>1.00000001100478</v>
      </c>
    </row>
    <row r="875" spans="1:40" x14ac:dyDescent="0.3">
      <c r="A875" t="str">
        <f>"20200111160420795"</f>
        <v>20200111160420795</v>
      </c>
      <c r="B875" t="str">
        <f>"1578729860791837"</f>
        <v>1578729860791837</v>
      </c>
      <c r="C875" t="s">
        <v>40</v>
      </c>
      <c r="D875">
        <v>5.603281</v>
      </c>
      <c r="E875">
        <v>0.50798089999999996</v>
      </c>
      <c r="F875" t="s">
        <v>41</v>
      </c>
      <c r="G875">
        <v>-217.6651</v>
      </c>
      <c r="H875" s="1">
        <v>-1.035274E-6</v>
      </c>
      <c r="I875">
        <v>369.3272</v>
      </c>
      <c r="J875">
        <v>-243.4658</v>
      </c>
      <c r="K875">
        <v>1.110616</v>
      </c>
      <c r="L875">
        <v>367.99130000000002</v>
      </c>
      <c r="M875">
        <v>0.99987910000000002</v>
      </c>
      <c r="N875">
        <v>0</v>
      </c>
      <c r="O875">
        <v>6.0176550000000002E-3</v>
      </c>
      <c r="P875">
        <v>0.99752529999999995</v>
      </c>
      <c r="Q875">
        <v>1.678014E-3</v>
      </c>
      <c r="R875">
        <v>7.0291140000000002E-2</v>
      </c>
      <c r="S875">
        <v>2.996826</v>
      </c>
      <c r="T875">
        <v>-0.12820280000000001</v>
      </c>
      <c r="U875">
        <v>0.154327399999999</v>
      </c>
      <c r="V875">
        <v>-6.4287339999999998E-2</v>
      </c>
      <c r="W875">
        <v>1.5988929999999998E-2</v>
      </c>
      <c r="X875">
        <v>0.99780329999999995</v>
      </c>
      <c r="Y875">
        <v>-4.5381650000000003E-2</v>
      </c>
      <c r="Z875">
        <v>7.1245749999999995E-4</v>
      </c>
      <c r="AA875">
        <v>0.99896949999999995</v>
      </c>
      <c r="AB875">
        <v>31</v>
      </c>
      <c r="AC875">
        <v>25.800699999999999</v>
      </c>
      <c r="AD875">
        <v>-1.1106170352739999</v>
      </c>
      <c r="AE875">
        <v>1.3358999999999801</v>
      </c>
      <c r="AF875">
        <v>-1.1784224050172301</v>
      </c>
      <c r="AG875">
        <v>-1.1106170352739999</v>
      </c>
      <c r="AH875">
        <v>25.7606667440938</v>
      </c>
      <c r="AI875">
        <v>92.466082687893504</v>
      </c>
      <c r="AJ875">
        <v>92.619171054126099</v>
      </c>
      <c r="AK875">
        <v>25.811511010863899</v>
      </c>
      <c r="AL875">
        <v>89.083862724306101</v>
      </c>
      <c r="AM875">
        <v>93.6864071592953</v>
      </c>
      <c r="AN875">
        <v>0.99999996672885405</v>
      </c>
    </row>
    <row r="876" spans="1:40" x14ac:dyDescent="0.3">
      <c r="A876" t="str">
        <f>"20200111160420807"</f>
        <v>20200111160420807</v>
      </c>
      <c r="B876" t="str">
        <f>"1578729860801596"</f>
        <v>1578729860801596</v>
      </c>
      <c r="C876" t="s">
        <v>40</v>
      </c>
      <c r="D876">
        <v>5.6029900000000001</v>
      </c>
      <c r="E876">
        <v>0.50783719999999999</v>
      </c>
      <c r="F876" t="s">
        <v>41</v>
      </c>
      <c r="G876">
        <v>-218.43719999999999</v>
      </c>
      <c r="H876" s="1">
        <v>-7.1336799999999999E-7</v>
      </c>
      <c r="I876">
        <v>369.27480000000003</v>
      </c>
      <c r="J876">
        <v>-243.29830000000001</v>
      </c>
      <c r="K876">
        <v>1.11063</v>
      </c>
      <c r="L876">
        <v>367.9923</v>
      </c>
      <c r="M876">
        <v>0.99987879999999996</v>
      </c>
      <c r="N876">
        <v>0</v>
      </c>
      <c r="O876">
        <v>6.0564679999999997E-3</v>
      </c>
      <c r="P876">
        <v>0.99755240000000001</v>
      </c>
      <c r="Q876">
        <v>1.714604E-3</v>
      </c>
      <c r="R876">
        <v>6.990217E-2</v>
      </c>
      <c r="S876">
        <v>2.9968409999999999</v>
      </c>
      <c r="T876">
        <v>-0.1329813</v>
      </c>
      <c r="U876">
        <v>0.1536865</v>
      </c>
      <c r="V876">
        <v>-6.3860040000000007E-2</v>
      </c>
      <c r="W876">
        <v>1.602278E-2</v>
      </c>
      <c r="X876">
        <v>0.9978302</v>
      </c>
      <c r="Y876">
        <v>-4.512712E-2</v>
      </c>
      <c r="Z876">
        <v>7.3162649999999896E-4</v>
      </c>
      <c r="AA876">
        <v>0.99898100000000001</v>
      </c>
      <c r="AB876">
        <v>31</v>
      </c>
      <c r="AC876">
        <v>24.8611</v>
      </c>
      <c r="AD876">
        <v>-1.110630713368</v>
      </c>
      <c r="AE876">
        <v>1.28250000000002</v>
      </c>
      <c r="AF876">
        <v>-1.12964206701204</v>
      </c>
      <c r="AG876">
        <v>-1.110630713368</v>
      </c>
      <c r="AH876">
        <v>24.819011929306999</v>
      </c>
      <c r="AI876">
        <v>92.5595840740081</v>
      </c>
      <c r="AJ876">
        <v>92.606029759174703</v>
      </c>
      <c r="AK876">
        <v>24.869518389549199</v>
      </c>
      <c r="AL876">
        <v>89.081923017646801</v>
      </c>
      <c r="AM876">
        <v>93.661873082506204</v>
      </c>
      <c r="AN876">
        <v>0.99999997110988403</v>
      </c>
    </row>
    <row r="877" spans="1:40" x14ac:dyDescent="0.3">
      <c r="A877" t="str">
        <f>"20200111160420819"</f>
        <v>20200111160420819</v>
      </c>
      <c r="B877" t="str">
        <f>"1578729860811356"</f>
        <v>1578729860811356</v>
      </c>
      <c r="C877" t="s">
        <v>40</v>
      </c>
      <c r="D877">
        <v>6.2368059999999996</v>
      </c>
      <c r="E877">
        <v>0.50778809999999996</v>
      </c>
      <c r="F877" t="s">
        <v>41</v>
      </c>
      <c r="G877">
        <v>-219.03729999999999</v>
      </c>
      <c r="H877" s="1">
        <v>-4.6180049999999998E-7</v>
      </c>
      <c r="I877">
        <v>369.24169999999998</v>
      </c>
      <c r="J877">
        <v>-243.1378</v>
      </c>
      <c r="K877">
        <v>1.1106419999999999</v>
      </c>
      <c r="L877">
        <v>367.99340000000001</v>
      </c>
      <c r="M877">
        <v>0.9998785</v>
      </c>
      <c r="N877">
        <v>0</v>
      </c>
      <c r="O877">
        <v>6.104249E-3</v>
      </c>
      <c r="P877">
        <v>0.99756520000000004</v>
      </c>
      <c r="Q877">
        <v>2.0061150000000002E-3</v>
      </c>
      <c r="R877">
        <v>6.9711720000000005E-2</v>
      </c>
      <c r="S877">
        <v>2.9967959999999998</v>
      </c>
      <c r="T877">
        <v>-0.13718810000000001</v>
      </c>
      <c r="U877">
        <v>0.154327399999999</v>
      </c>
      <c r="V877">
        <v>-6.3622319999999996E-2</v>
      </c>
      <c r="W877">
        <v>1.6310749999999999E-2</v>
      </c>
      <c r="X877">
        <v>0.99784079999999997</v>
      </c>
      <c r="Y877">
        <v>-4.529064E-2</v>
      </c>
      <c r="Z877">
        <v>7.5630830000000002E-4</v>
      </c>
      <c r="AA877">
        <v>0.99897349999999996</v>
      </c>
      <c r="AB877">
        <v>31</v>
      </c>
      <c r="AC877">
        <v>24.1005</v>
      </c>
      <c r="AD877">
        <v>-1.1106424618005</v>
      </c>
      <c r="AE877">
        <v>1.24829999999997</v>
      </c>
      <c r="AF877">
        <v>-1.0988188147372</v>
      </c>
      <c r="AG877">
        <v>-1.1106424618005</v>
      </c>
      <c r="AH877">
        <v>24.056718663893299</v>
      </c>
      <c r="AI877">
        <v>92.640586008163794</v>
      </c>
      <c r="AJ877">
        <v>92.615234147396094</v>
      </c>
      <c r="AK877">
        <v>24.1073980831463</v>
      </c>
      <c r="AL877">
        <v>89.0654214696944</v>
      </c>
      <c r="AM877">
        <v>93.648239935461802</v>
      </c>
      <c r="AN877">
        <v>1.00000005115619</v>
      </c>
    </row>
    <row r="878" spans="1:40" x14ac:dyDescent="0.3">
      <c r="A878" t="str">
        <f>"20200111160420830"</f>
        <v>20200111160420830</v>
      </c>
      <c r="B878" t="str">
        <f>"1578729860822092"</f>
        <v>1578729860822092</v>
      </c>
      <c r="C878" t="s">
        <v>40</v>
      </c>
      <c r="D878">
        <v>6.2365640000000004</v>
      </c>
      <c r="E878">
        <v>0.50759169999999998</v>
      </c>
      <c r="F878" t="s">
        <v>41</v>
      </c>
      <c r="G878">
        <v>-218.46109999999999</v>
      </c>
      <c r="H878" s="1">
        <v>-7.0599940000000004E-7</v>
      </c>
      <c r="I878">
        <v>369.2586</v>
      </c>
      <c r="J878">
        <v>-242.9734</v>
      </c>
      <c r="K878">
        <v>1.110662</v>
      </c>
      <c r="L878">
        <v>367.99439999999998</v>
      </c>
      <c r="M878">
        <v>0.9998783</v>
      </c>
      <c r="N878">
        <v>0</v>
      </c>
      <c r="O878">
        <v>6.1624799999999997E-3</v>
      </c>
      <c r="P878">
        <v>0.99755850000000001</v>
      </c>
      <c r="Q878">
        <v>2.1507800000000001E-3</v>
      </c>
      <c r="R878">
        <v>6.9805290000000006E-2</v>
      </c>
      <c r="S878">
        <v>2.9968720000000002</v>
      </c>
      <c r="T878">
        <v>-0.1348819</v>
      </c>
      <c r="U878">
        <v>0.15365599999999999</v>
      </c>
      <c r="V878">
        <v>-6.3657859999999997E-2</v>
      </c>
      <c r="W878">
        <v>1.645187E-2</v>
      </c>
      <c r="X878">
        <v>0.99783619999999995</v>
      </c>
      <c r="Y878">
        <v>-4.5009670000000002E-2</v>
      </c>
      <c r="Z878">
        <v>7.3465960000000002E-4</v>
      </c>
      <c r="AA878">
        <v>0.99898629999999999</v>
      </c>
      <c r="AB878">
        <v>31</v>
      </c>
      <c r="AC878">
        <v>24.5123</v>
      </c>
      <c r="AD878">
        <v>-1.1106627059993901</v>
      </c>
      <c r="AE878">
        <v>1.26420000000001</v>
      </c>
      <c r="AF878">
        <v>-1.11082939390336</v>
      </c>
      <c r="AG878">
        <v>-1.1106627059993901</v>
      </c>
      <c r="AH878">
        <v>24.469522361501099</v>
      </c>
      <c r="AI878">
        <v>92.596180692919802</v>
      </c>
      <c r="AJ878">
        <v>92.599240305178</v>
      </c>
      <c r="AK878">
        <v>24.5198906642925</v>
      </c>
      <c r="AL878">
        <v>89.0573347889964</v>
      </c>
      <c r="AM878">
        <v>93.650289148775798</v>
      </c>
      <c r="AN878">
        <v>1.00000003459835</v>
      </c>
    </row>
    <row r="879" spans="1:40" x14ac:dyDescent="0.3">
      <c r="A879" t="str">
        <f>"20200111160420844"</f>
        <v>20200111160420844</v>
      </c>
      <c r="B879" t="str">
        <f>"1578729860841612"</f>
        <v>1578729860841612</v>
      </c>
      <c r="C879" t="s">
        <v>40</v>
      </c>
      <c r="D879">
        <v>6.3650349999999998</v>
      </c>
      <c r="E879">
        <v>0.50743199999999999</v>
      </c>
      <c r="F879" t="s">
        <v>41</v>
      </c>
      <c r="G879">
        <v>-217.8083</v>
      </c>
      <c r="H879" s="1">
        <v>-9.787182E-7</v>
      </c>
      <c r="I879">
        <v>369.29989999999998</v>
      </c>
      <c r="J879">
        <v>-242.7903</v>
      </c>
      <c r="K879">
        <v>1.1106799999999999</v>
      </c>
      <c r="L879">
        <v>367.99560000000002</v>
      </c>
      <c r="M879">
        <v>0.99987789999999999</v>
      </c>
      <c r="N879">
        <v>0</v>
      </c>
      <c r="O879">
        <v>6.2351739999999996E-3</v>
      </c>
      <c r="P879">
        <v>0.99754069999999995</v>
      </c>
      <c r="Q879">
        <v>2.0275229999999998E-3</v>
      </c>
      <c r="R879">
        <v>7.0060929999999993E-2</v>
      </c>
      <c r="S879">
        <v>2.99675</v>
      </c>
      <c r="T879">
        <v>-0.1322612</v>
      </c>
      <c r="U879">
        <v>0.1554565</v>
      </c>
      <c r="V879">
        <v>-6.384165E-2</v>
      </c>
      <c r="W879">
        <v>1.6324100000000001E-2</v>
      </c>
      <c r="X879">
        <v>0.99782649999999995</v>
      </c>
      <c r="Y879">
        <v>-4.5538790000000003E-2</v>
      </c>
      <c r="Z879">
        <v>7.2887570000000005E-4</v>
      </c>
      <c r="AA879">
        <v>0.99896229999999997</v>
      </c>
      <c r="AB879">
        <v>31</v>
      </c>
      <c r="AC879">
        <v>24.981999999999999</v>
      </c>
      <c r="AD879">
        <v>-1.1106809787181999</v>
      </c>
      <c r="AE879">
        <v>1.3042999999999501</v>
      </c>
      <c r="AF879">
        <v>-1.1462320195561799</v>
      </c>
      <c r="AG879">
        <v>-1.1106809787181999</v>
      </c>
      <c r="AH879">
        <v>24.9404836827045</v>
      </c>
      <c r="AI879">
        <v>92.547197802169094</v>
      </c>
      <c r="AJ879">
        <v>92.631387479230497</v>
      </c>
      <c r="AK879">
        <v>24.9915022839043</v>
      </c>
      <c r="AL879">
        <v>89.064656401082999</v>
      </c>
      <c r="AM879">
        <v>93.660834965715694</v>
      </c>
      <c r="AN879">
        <v>0.99999997830889098</v>
      </c>
    </row>
    <row r="880" spans="1:40" x14ac:dyDescent="0.3">
      <c r="A880" t="str">
        <f>"20200111160420857"</f>
        <v>20200111160420857</v>
      </c>
      <c r="B880" t="str">
        <f>"1578729860851373"</f>
        <v>1578729860851373</v>
      </c>
      <c r="C880" t="s">
        <v>40</v>
      </c>
      <c r="D880">
        <v>6.1235299999999997</v>
      </c>
      <c r="E880">
        <v>0.50734639999999998</v>
      </c>
      <c r="F880" t="s">
        <v>41</v>
      </c>
      <c r="G880">
        <v>-217.10910000000001</v>
      </c>
      <c r="H880" s="1">
        <v>-1.2711119999999999E-6</v>
      </c>
      <c r="I880">
        <v>369.3426</v>
      </c>
      <c r="J880">
        <v>-242.6138</v>
      </c>
      <c r="K880">
        <v>1.110697</v>
      </c>
      <c r="L880">
        <v>367.99680000000001</v>
      </c>
      <c r="M880">
        <v>0.99987729999999997</v>
      </c>
      <c r="N880">
        <v>0</v>
      </c>
      <c r="O880">
        <v>6.3230099999999996E-3</v>
      </c>
      <c r="P880">
        <v>0.99750499999999998</v>
      </c>
      <c r="Q880">
        <v>1.9140839999999999E-3</v>
      </c>
      <c r="R880">
        <v>7.0571060000000005E-2</v>
      </c>
      <c r="S880">
        <v>2.9966279999999998</v>
      </c>
      <c r="T880">
        <v>-0.1296002</v>
      </c>
      <c r="U880">
        <v>0.15716550000000001</v>
      </c>
      <c r="V880">
        <v>-6.4265240000000001E-2</v>
      </c>
      <c r="W880">
        <v>1.6205859999999999E-2</v>
      </c>
      <c r="X880">
        <v>0.99780119999999894</v>
      </c>
      <c r="Y880">
        <v>-4.6022449999999999E-2</v>
      </c>
      <c r="Z880">
        <v>7.2089630000000005E-4</v>
      </c>
      <c r="AA880">
        <v>0.99894019999999994</v>
      </c>
      <c r="AB880">
        <v>31</v>
      </c>
      <c r="AC880">
        <v>25.5046999999999</v>
      </c>
      <c r="AD880">
        <v>-1.1106982711119999</v>
      </c>
      <c r="AE880">
        <v>1.3457999999999899</v>
      </c>
      <c r="AF880">
        <v>-1.18225413942239</v>
      </c>
      <c r="AG880">
        <v>-1.1106982711119999</v>
      </c>
      <c r="AH880">
        <v>25.464541137077301</v>
      </c>
      <c r="AI880">
        <v>92.494828634518498</v>
      </c>
      <c r="AJ880">
        <v>92.658189082988002</v>
      </c>
      <c r="AK880">
        <v>25.516156270518799</v>
      </c>
      <c r="AL880">
        <v>89.071431917564695</v>
      </c>
      <c r="AM880">
        <v>93.685151113633395</v>
      </c>
      <c r="AN880">
        <v>0.99999994284601601</v>
      </c>
    </row>
    <row r="881" spans="1:40" x14ac:dyDescent="0.3">
      <c r="A881" t="str">
        <f>"20200111160420870"</f>
        <v>20200111160420870</v>
      </c>
      <c r="B881" t="str">
        <f>"1578729860862109"</f>
        <v>1578729860862109</v>
      </c>
      <c r="C881" t="s">
        <v>40</v>
      </c>
      <c r="D881">
        <v>5.5600709999999998</v>
      </c>
      <c r="E881">
        <v>0.50723580000000001</v>
      </c>
      <c r="F881" t="s">
        <v>41</v>
      </c>
      <c r="G881">
        <v>-216.47389999999999</v>
      </c>
      <c r="H881" s="1">
        <v>-1.535693E-6</v>
      </c>
      <c r="I881">
        <v>369.387</v>
      </c>
      <c r="J881">
        <v>-242.42529999999999</v>
      </c>
      <c r="K881">
        <v>1.110719</v>
      </c>
      <c r="L881">
        <v>367.99810000000002</v>
      </c>
      <c r="M881">
        <v>0.9998766</v>
      </c>
      <c r="N881">
        <v>0</v>
      </c>
      <c r="O881">
        <v>6.42648E-3</v>
      </c>
      <c r="P881">
        <v>0.99746330000000005</v>
      </c>
      <c r="Q881">
        <v>2.11955E-3</v>
      </c>
      <c r="R881">
        <v>7.1153359999999999E-2</v>
      </c>
      <c r="S881">
        <v>2.9964900000000001</v>
      </c>
      <c r="T881">
        <v>-0.12732249999999901</v>
      </c>
      <c r="U881">
        <v>0.1593628</v>
      </c>
      <c r="V881">
        <v>-6.4745090000000005E-2</v>
      </c>
      <c r="W881">
        <v>1.6406099999999899E-2</v>
      </c>
      <c r="X881">
        <v>0.99776699999999996</v>
      </c>
      <c r="Y881">
        <v>-4.6652739999999998E-2</v>
      </c>
      <c r="Z881">
        <v>7.1724050000000002E-4</v>
      </c>
      <c r="AA881">
        <v>0.99891090000000005</v>
      </c>
      <c r="AB881">
        <v>31</v>
      </c>
      <c r="AC881">
        <v>25.9514</v>
      </c>
      <c r="AD881">
        <v>-1.1107205356929899</v>
      </c>
      <c r="AE881">
        <v>1.3888999999999201</v>
      </c>
      <c r="AF881">
        <v>-1.21984983258505</v>
      </c>
      <c r="AG881">
        <v>-1.1107205356929899</v>
      </c>
      <c r="AH881">
        <v>25.912458690342302</v>
      </c>
      <c r="AI881">
        <v>92.451731639012195</v>
      </c>
      <c r="AJ881">
        <v>92.695255062105005</v>
      </c>
      <c r="AK881">
        <v>25.964923437229</v>
      </c>
      <c r="AL881">
        <v>89.0599575725455</v>
      </c>
      <c r="AM881">
        <v>93.712717301076594</v>
      </c>
      <c r="AN881">
        <v>1.00000003654265</v>
      </c>
    </row>
    <row r="882" spans="1:40" x14ac:dyDescent="0.3">
      <c r="A882" t="str">
        <f>"20200111160420885"</f>
        <v>20200111160420885</v>
      </c>
      <c r="B882" t="str">
        <f>"1578729860881629"</f>
        <v>1578729860881629</v>
      </c>
      <c r="C882" t="s">
        <v>40</v>
      </c>
      <c r="D882">
        <v>5.6151770000000001</v>
      </c>
      <c r="E882">
        <v>0.50713079999999999</v>
      </c>
      <c r="F882" t="s">
        <v>41</v>
      </c>
      <c r="G882">
        <v>-215.90039999999999</v>
      </c>
      <c r="H882" s="1">
        <v>-1.77400999999999E-6</v>
      </c>
      <c r="I882">
        <v>369.43049999999999</v>
      </c>
      <c r="J882">
        <v>-242.23609999999999</v>
      </c>
      <c r="K882">
        <v>1.1107400000000001</v>
      </c>
      <c r="L882">
        <v>367.99950000000001</v>
      </c>
      <c r="M882">
        <v>0.99987599999999999</v>
      </c>
      <c r="N882">
        <v>0</v>
      </c>
      <c r="O882">
        <v>6.5407369999999996E-3</v>
      </c>
      <c r="P882">
        <v>0.9973959</v>
      </c>
      <c r="Q882">
        <v>2.4311670000000001E-3</v>
      </c>
      <c r="R882">
        <v>7.2081580000000006E-2</v>
      </c>
      <c r="S882">
        <v>2.9963380000000002</v>
      </c>
      <c r="T882">
        <v>-0.12547059999999999</v>
      </c>
      <c r="U882">
        <v>0.16180420000000001</v>
      </c>
      <c r="V882">
        <v>-6.5560679999999996E-2</v>
      </c>
      <c r="W882">
        <v>1.6711719999999999E-2</v>
      </c>
      <c r="X882">
        <v>0.99770859999999995</v>
      </c>
      <c r="Y882">
        <v>-4.7353390000000002E-2</v>
      </c>
      <c r="Z882">
        <v>7.1671219999999995E-4</v>
      </c>
      <c r="AA882">
        <v>0.99887789999999999</v>
      </c>
      <c r="AB882">
        <v>31</v>
      </c>
      <c r="AC882">
        <v>26.335699999999999</v>
      </c>
      <c r="AD882">
        <v>-1.1107417740100001</v>
      </c>
      <c r="AE882">
        <v>1.4309999999999801</v>
      </c>
      <c r="AF882">
        <v>-1.25646834515284</v>
      </c>
      <c r="AG882">
        <v>-1.1107417740100001</v>
      </c>
      <c r="AH882">
        <v>26.297855373589499</v>
      </c>
      <c r="AI882">
        <v>92.415810166484107</v>
      </c>
      <c r="AJ882">
        <v>92.735418078550396</v>
      </c>
      <c r="AK882">
        <v>26.3512743001384</v>
      </c>
      <c r="AL882">
        <v>89.042444369604098</v>
      </c>
      <c r="AM882">
        <v>93.7595723135898</v>
      </c>
      <c r="AN882">
        <v>0.99999996743068897</v>
      </c>
    </row>
    <row r="883" spans="1:40" x14ac:dyDescent="0.3">
      <c r="A883" t="str">
        <f>"20200111160420898"</f>
        <v>20200111160420898</v>
      </c>
      <c r="B883" t="str">
        <f>"1578729860891388"</f>
        <v>1578729860891388</v>
      </c>
      <c r="C883" t="s">
        <v>40</v>
      </c>
      <c r="D883">
        <v>6.1793149999999999</v>
      </c>
      <c r="E883">
        <v>0.50714729999999997</v>
      </c>
      <c r="F883" t="s">
        <v>41</v>
      </c>
      <c r="G883">
        <v>-215.8355</v>
      </c>
      <c r="H883" s="1">
        <v>-1.79660999999999E-6</v>
      </c>
      <c r="I883">
        <v>369.46010000000001</v>
      </c>
      <c r="J883">
        <v>-242.05</v>
      </c>
      <c r="K883">
        <v>1.1107530000000001</v>
      </c>
      <c r="L883">
        <v>368.00080000000003</v>
      </c>
      <c r="M883">
        <v>0.99987510000000002</v>
      </c>
      <c r="N883">
        <v>0</v>
      </c>
      <c r="O883">
        <v>6.6725710000000004E-3</v>
      </c>
      <c r="P883">
        <v>0.99735620000000003</v>
      </c>
      <c r="Q883">
        <v>2.638254E-3</v>
      </c>
      <c r="R883">
        <v>7.2618909999999995E-2</v>
      </c>
      <c r="S883">
        <v>2.9961700000000002</v>
      </c>
      <c r="T883">
        <v>-0.12605630000000001</v>
      </c>
      <c r="U883">
        <v>0.16577149999999999</v>
      </c>
      <c r="V883">
        <v>-6.5967200000000004E-2</v>
      </c>
      <c r="W883">
        <v>1.6913859999999999E-2</v>
      </c>
      <c r="X883">
        <v>0.99767850000000002</v>
      </c>
      <c r="Y883">
        <v>-4.8542090000000003E-2</v>
      </c>
      <c r="Z883">
        <v>7.3950519999999996E-4</v>
      </c>
      <c r="AA883">
        <v>0.99882079999999995</v>
      </c>
      <c r="AB883">
        <v>31</v>
      </c>
      <c r="AC883">
        <v>26.214500000000001</v>
      </c>
      <c r="AD883">
        <v>-1.11075479661</v>
      </c>
      <c r="AE883">
        <v>1.4592999999999801</v>
      </c>
      <c r="AF883">
        <v>-1.2820368235775601</v>
      </c>
      <c r="AG883">
        <v>-1.11075479661</v>
      </c>
      <c r="AH883">
        <v>26.176802799932499</v>
      </c>
      <c r="AI883">
        <v>92.426856859545495</v>
      </c>
      <c r="AJ883">
        <v>92.803881467320394</v>
      </c>
      <c r="AK883">
        <v>26.231705996022399</v>
      </c>
      <c r="AL883">
        <v>89.030861062250494</v>
      </c>
      <c r="AM883">
        <v>93.782930491677106</v>
      </c>
      <c r="AN883">
        <v>1.0000000697490901</v>
      </c>
    </row>
    <row r="884" spans="1:40" x14ac:dyDescent="0.3">
      <c r="A884" t="str">
        <f>"20200111160420912"</f>
        <v>20200111160420912</v>
      </c>
      <c r="B884" t="str">
        <f>"1578729860901149"</f>
        <v>1578729860901149</v>
      </c>
      <c r="C884" t="s">
        <v>40</v>
      </c>
      <c r="D884">
        <v>5.5336169999999996</v>
      </c>
      <c r="E884">
        <v>0.50722259999999997</v>
      </c>
      <c r="F884" t="s">
        <v>41</v>
      </c>
      <c r="G884">
        <v>-214.96960000000001</v>
      </c>
      <c r="H884" s="1">
        <v>-2.1592250000000001E-6</v>
      </c>
      <c r="I884">
        <v>369.5102</v>
      </c>
      <c r="J884">
        <v>-241.8553</v>
      </c>
      <c r="K884">
        <v>1.1107689999999999</v>
      </c>
      <c r="L884">
        <v>368.00220000000002</v>
      </c>
      <c r="M884">
        <v>0.99987409999999999</v>
      </c>
      <c r="N884">
        <v>0</v>
      </c>
      <c r="O884">
        <v>6.8212189999999999E-3</v>
      </c>
      <c r="P884">
        <v>0.99733629999999995</v>
      </c>
      <c r="Q884">
        <v>2.588468E-3</v>
      </c>
      <c r="R884">
        <v>7.2895160000000001E-2</v>
      </c>
      <c r="S884">
        <v>2.99614</v>
      </c>
      <c r="T884">
        <v>-0.1228921</v>
      </c>
      <c r="U884">
        <v>0.16699220000000001</v>
      </c>
      <c r="V884">
        <v>-6.6095730000000005E-2</v>
      </c>
      <c r="W884">
        <v>1.6859039999999999E-2</v>
      </c>
      <c r="X884">
        <v>0.99767079999999997</v>
      </c>
      <c r="Y884">
        <v>-4.8801589999999999E-2</v>
      </c>
      <c r="Z884">
        <v>7.2018349999999995E-4</v>
      </c>
      <c r="AA884">
        <v>0.99880820000000003</v>
      </c>
      <c r="AB884">
        <v>31</v>
      </c>
      <c r="AC884">
        <v>26.8856999999999</v>
      </c>
      <c r="AD884">
        <v>-1.110771159225</v>
      </c>
      <c r="AE884">
        <v>1.50799999999998</v>
      </c>
      <c r="AF884">
        <v>-1.32230288554705</v>
      </c>
      <c r="AG884">
        <v>-1.110771159225</v>
      </c>
      <c r="AH884">
        <v>26.849676018921699</v>
      </c>
      <c r="AI884">
        <v>92.366111282128799</v>
      </c>
      <c r="AJ884">
        <v>92.819446018433595</v>
      </c>
      <c r="AK884">
        <v>26.905155636240998</v>
      </c>
      <c r="AL884">
        <v>89.034002347895594</v>
      </c>
      <c r="AM884">
        <v>93.790308829247607</v>
      </c>
      <c r="AN884">
        <v>0.99999994896329503</v>
      </c>
    </row>
    <row r="885" spans="1:40" x14ac:dyDescent="0.3">
      <c r="A885" t="str">
        <f>"20200111160420927"</f>
        <v>20200111160420927</v>
      </c>
      <c r="B885" t="str">
        <f>"1578729860921647"</f>
        <v>1578729860921647</v>
      </c>
      <c r="C885" t="s">
        <v>40</v>
      </c>
      <c r="D885">
        <v>5.4406249999999998</v>
      </c>
      <c r="E885">
        <v>0.50733349999999999</v>
      </c>
      <c r="F885" t="s">
        <v>41</v>
      </c>
      <c r="G885">
        <v>-214.68190000000001</v>
      </c>
      <c r="H885" s="1">
        <v>-2.2812069999999998E-6</v>
      </c>
      <c r="I885">
        <v>369.51819999999998</v>
      </c>
      <c r="J885">
        <v>-241.6456</v>
      </c>
      <c r="K885">
        <v>1.1107849999999999</v>
      </c>
      <c r="L885">
        <v>368.00380000000001</v>
      </c>
      <c r="M885">
        <v>0.99987300000000001</v>
      </c>
      <c r="N885">
        <v>0</v>
      </c>
      <c r="O885">
        <v>6.9937180000000003E-3</v>
      </c>
      <c r="P885">
        <v>0.99730039999999998</v>
      </c>
      <c r="Q885">
        <v>2.1350269999999998E-3</v>
      </c>
      <c r="R885">
        <v>7.3400740000000006E-2</v>
      </c>
      <c r="S885">
        <v>2.99614</v>
      </c>
      <c r="T885">
        <v>-0.1224736</v>
      </c>
      <c r="U885">
        <v>0.16714479999999901</v>
      </c>
      <c r="V885">
        <v>-6.643019E-2</v>
      </c>
      <c r="W885">
        <v>1.639991E-2</v>
      </c>
      <c r="X885">
        <v>0.99765630000000005</v>
      </c>
      <c r="Y885">
        <v>-4.8680479999999998E-2</v>
      </c>
      <c r="Z885">
        <v>7.082166E-4</v>
      </c>
      <c r="AA885">
        <v>0.99881419999999999</v>
      </c>
      <c r="AB885">
        <v>31</v>
      </c>
      <c r="AC885">
        <v>26.9636999999999</v>
      </c>
      <c r="AD885">
        <v>-1.1107872812070001</v>
      </c>
      <c r="AE885">
        <v>1.51439999999996</v>
      </c>
      <c r="AF885">
        <v>-1.32352803028376</v>
      </c>
      <c r="AG885">
        <v>-1.1107872812070001</v>
      </c>
      <c r="AH885">
        <v>26.928077350821699</v>
      </c>
      <c r="AI885">
        <v>92.359275650012506</v>
      </c>
      <c r="AJ885">
        <v>92.813850869842298</v>
      </c>
      <c r="AK885">
        <v>26.983456499175102</v>
      </c>
      <c r="AL885">
        <v>89.060312256242497</v>
      </c>
      <c r="AM885">
        <v>93.809487558285497</v>
      </c>
      <c r="AN885">
        <v>1.0000000100605599</v>
      </c>
    </row>
    <row r="886" spans="1:40" x14ac:dyDescent="0.3">
      <c r="A886" t="str">
        <f>"20200111160420939"</f>
        <v>20200111160420939</v>
      </c>
      <c r="B886" t="str">
        <f>"1578729860931404"</f>
        <v>1578729860931404</v>
      </c>
      <c r="C886" t="s">
        <v>40</v>
      </c>
      <c r="D886">
        <v>5.4338769999999998</v>
      </c>
      <c r="E886">
        <v>0.50731839999999995</v>
      </c>
      <c r="F886" t="s">
        <v>41</v>
      </c>
      <c r="G886">
        <v>-214.45570000000001</v>
      </c>
      <c r="H886" s="1">
        <v>-2.3768869999999999E-6</v>
      </c>
      <c r="I886">
        <v>369.52569999999997</v>
      </c>
      <c r="J886">
        <v>-241.4726</v>
      </c>
      <c r="K886">
        <v>1.1107990000000001</v>
      </c>
      <c r="L886">
        <v>368.0052</v>
      </c>
      <c r="M886">
        <v>0.99987199999999998</v>
      </c>
      <c r="N886">
        <v>0</v>
      </c>
      <c r="O886">
        <v>7.1468349999999998E-3</v>
      </c>
      <c r="P886">
        <v>0.99730209999999997</v>
      </c>
      <c r="Q886">
        <v>8.4807160000000003E-4</v>
      </c>
      <c r="R886">
        <v>7.3403590000000005E-2</v>
      </c>
      <c r="S886">
        <v>2.9960629999999999</v>
      </c>
      <c r="T886">
        <v>-0.12239800000000001</v>
      </c>
      <c r="U886">
        <v>0.16769410000000001</v>
      </c>
      <c r="V886">
        <v>-6.6279779999999996E-2</v>
      </c>
      <c r="W886">
        <v>1.510974E-2</v>
      </c>
      <c r="X886">
        <v>0.99768670000000004</v>
      </c>
      <c r="Y886">
        <v>-4.871164E-2</v>
      </c>
      <c r="Z886">
        <v>7.0218250000000004E-4</v>
      </c>
      <c r="AA886">
        <v>0.99881260000000005</v>
      </c>
      <c r="AB886">
        <v>31</v>
      </c>
      <c r="AC886">
        <v>27.0169</v>
      </c>
      <c r="AD886">
        <v>-1.110801376887</v>
      </c>
      <c r="AE886">
        <v>1.52049999999997</v>
      </c>
      <c r="AF886">
        <v>-1.3251230695268801</v>
      </c>
      <c r="AG886">
        <v>-1.110801376887</v>
      </c>
      <c r="AH886">
        <v>26.981610756184502</v>
      </c>
      <c r="AI886">
        <v>92.354634228330497</v>
      </c>
      <c r="AJ886">
        <v>92.811655883621498</v>
      </c>
      <c r="AK886">
        <v>27.036958960773301</v>
      </c>
      <c r="AL886">
        <v>89.134242751720706</v>
      </c>
      <c r="AM886">
        <v>93.800772023595599</v>
      </c>
      <c r="AN886">
        <v>1.0000000324183</v>
      </c>
    </row>
    <row r="887" spans="1:40" x14ac:dyDescent="0.3">
      <c r="A887" t="str">
        <f>"20200111160420951"</f>
        <v>20200111160420951</v>
      </c>
      <c r="B887" t="str">
        <f>"1578729860941165"</f>
        <v>1578729860941165</v>
      </c>
      <c r="C887" t="s">
        <v>40</v>
      </c>
      <c r="D887">
        <v>5.4538070000000003</v>
      </c>
      <c r="E887">
        <v>0.50735739999999996</v>
      </c>
      <c r="F887" t="s">
        <v>41</v>
      </c>
      <c r="G887">
        <v>-215.19290000000001</v>
      </c>
      <c r="H887" s="1">
        <v>-2.0693120000000002E-6</v>
      </c>
      <c r="I887">
        <v>369.47680000000003</v>
      </c>
      <c r="J887">
        <v>-241.3091</v>
      </c>
      <c r="K887">
        <v>1.1108119999999999</v>
      </c>
      <c r="L887">
        <v>368.00659999999999</v>
      </c>
      <c r="M887">
        <v>0.99987090000000001</v>
      </c>
      <c r="N887">
        <v>0</v>
      </c>
      <c r="O887">
        <v>7.2988459999999899E-3</v>
      </c>
      <c r="P887">
        <v>0.99731300000000001</v>
      </c>
      <c r="Q887" s="1">
        <v>-7.0407989999999993E-5</v>
      </c>
      <c r="R887">
        <v>7.3261399999999893E-2</v>
      </c>
      <c r="S887">
        <v>2.9958650000000002</v>
      </c>
      <c r="T887">
        <v>-0.1266303</v>
      </c>
      <c r="U887">
        <v>0.16775509999999999</v>
      </c>
      <c r="V887">
        <v>-6.5986669999999997E-2</v>
      </c>
      <c r="W887">
        <v>1.4188589999999999E-2</v>
      </c>
      <c r="X887">
        <v>0.99771960000000004</v>
      </c>
      <c r="Y887">
        <v>-4.8581569999999998E-2</v>
      </c>
      <c r="Z887">
        <v>7.1732610000000004E-4</v>
      </c>
      <c r="AA887">
        <v>0.99881889999999995</v>
      </c>
      <c r="AB887">
        <v>31</v>
      </c>
      <c r="AC887">
        <v>26.1161999999999</v>
      </c>
      <c r="AD887">
        <v>-1.1108140693119899</v>
      </c>
      <c r="AE887">
        <v>1.4702000000000299</v>
      </c>
      <c r="AF887">
        <v>-1.27721985555753</v>
      </c>
      <c r="AG887">
        <v>-1.1108140693119899</v>
      </c>
      <c r="AH887">
        <v>26.079205197774499</v>
      </c>
      <c r="AI887">
        <v>92.436058095220005</v>
      </c>
      <c r="AJ887">
        <v>92.803800326243604</v>
      </c>
      <c r="AK887">
        <v>26.134080091015999</v>
      </c>
      <c r="AL887">
        <v>89.187026379249005</v>
      </c>
      <c r="AM887">
        <v>93.783888340845493</v>
      </c>
      <c r="AN887">
        <v>0.999999978464018</v>
      </c>
    </row>
    <row r="888" spans="1:40" x14ac:dyDescent="0.3">
      <c r="A888" t="str">
        <f>"20200111160420965"</f>
        <v>20200111160420965</v>
      </c>
      <c r="B888" t="str">
        <f>"1578729860961661"</f>
        <v>1578729860961661</v>
      </c>
      <c r="C888" t="s">
        <v>40</v>
      </c>
      <c r="D888">
        <v>5.3943269999999997</v>
      </c>
      <c r="E888">
        <v>0.50749540000000004</v>
      </c>
      <c r="F888" t="s">
        <v>41</v>
      </c>
      <c r="G888">
        <v>-215.81100000000001</v>
      </c>
      <c r="H888" s="1">
        <v>-1.8125509999999999E-6</v>
      </c>
      <c r="I888">
        <v>369.42939999999999</v>
      </c>
      <c r="J888">
        <v>-241.12440000000001</v>
      </c>
      <c r="K888">
        <v>1.110825</v>
      </c>
      <c r="L888">
        <v>368.00810000000001</v>
      </c>
      <c r="M888">
        <v>0.99986960000000003</v>
      </c>
      <c r="N888">
        <v>0</v>
      </c>
      <c r="O888">
        <v>7.4754239999999996E-3</v>
      </c>
      <c r="P888">
        <v>0.99731369999999997</v>
      </c>
      <c r="Q888">
        <v>-4.4520570000000003E-4</v>
      </c>
      <c r="R888">
        <v>7.3247049999999994E-2</v>
      </c>
      <c r="S888">
        <v>2.9957889999999998</v>
      </c>
      <c r="T888">
        <v>-0.13050999999999999</v>
      </c>
      <c r="U888">
        <v>0.1671753</v>
      </c>
      <c r="V888">
        <v>-6.5796240000000006E-2</v>
      </c>
      <c r="W888">
        <v>1.380954E-2</v>
      </c>
      <c r="X888">
        <v>0.99773750000000005</v>
      </c>
      <c r="Y888">
        <v>-4.8212100000000001E-2</v>
      </c>
      <c r="Z888">
        <v>7.2358509999999895E-4</v>
      </c>
      <c r="AA888">
        <v>0.99883690000000003</v>
      </c>
      <c r="AB888">
        <v>31</v>
      </c>
      <c r="AC888">
        <v>25.313400000000001</v>
      </c>
      <c r="AD888">
        <v>-1.1108268125509999</v>
      </c>
      <c r="AE888">
        <v>1.42129999999997</v>
      </c>
      <c r="AF888">
        <v>-1.2296519753847599</v>
      </c>
      <c r="AG888">
        <v>-1.1108268125509999</v>
      </c>
      <c r="AH888">
        <v>25.274799404349501</v>
      </c>
      <c r="AI888">
        <v>92.513559469609405</v>
      </c>
      <c r="AJ888">
        <v>92.785318262157602</v>
      </c>
      <c r="AK888">
        <v>25.3290636447176</v>
      </c>
      <c r="AL888">
        <v>89.208746477643203</v>
      </c>
      <c r="AM888">
        <v>93.772932563138795</v>
      </c>
      <c r="AN888">
        <v>0.99999998374969901</v>
      </c>
    </row>
    <row r="889" spans="1:40" x14ac:dyDescent="0.3">
      <c r="A889" t="str">
        <f>"20200111160420977"</f>
        <v>20200111160420977</v>
      </c>
      <c r="B889" t="str">
        <f>"1578729860971420"</f>
        <v>1578729860971420</v>
      </c>
      <c r="C889" t="s">
        <v>40</v>
      </c>
      <c r="D889">
        <v>6.0633419999999996</v>
      </c>
      <c r="E889">
        <v>0.50744160000000005</v>
      </c>
      <c r="F889" t="s">
        <v>41</v>
      </c>
      <c r="G889">
        <v>-216.18</v>
      </c>
      <c r="H889" s="1">
        <v>-1.6611540000000001E-6</v>
      </c>
      <c r="I889">
        <v>369.39069999999998</v>
      </c>
      <c r="J889">
        <v>-240.95779999999999</v>
      </c>
      <c r="K889">
        <v>1.1108359999999999</v>
      </c>
      <c r="L889">
        <v>368.0095</v>
      </c>
      <c r="M889">
        <v>0.99986830000000004</v>
      </c>
      <c r="N889">
        <v>0</v>
      </c>
      <c r="O889">
        <v>7.6418679999999996E-3</v>
      </c>
      <c r="P889">
        <v>0.99731199999999998</v>
      </c>
      <c r="Q889">
        <v>-7.8193100000000003E-4</v>
      </c>
      <c r="R889">
        <v>7.3269650000000006E-2</v>
      </c>
      <c r="S889">
        <v>2.9957889999999998</v>
      </c>
      <c r="T889">
        <v>-0.13340839999999901</v>
      </c>
      <c r="U889">
        <v>0.1660461</v>
      </c>
      <c r="V889">
        <v>-6.5652849999999999E-2</v>
      </c>
      <c r="W889">
        <v>1.347055E-2</v>
      </c>
      <c r="X889">
        <v>0.99775159999999996</v>
      </c>
      <c r="Y889">
        <v>-4.7669490000000002E-2</v>
      </c>
      <c r="Z889">
        <v>7.2017749999999997E-4</v>
      </c>
      <c r="AA889">
        <v>0.9988629</v>
      </c>
      <c r="AB889">
        <v>31</v>
      </c>
      <c r="AC889">
        <v>24.7777999999999</v>
      </c>
      <c r="AD889">
        <v>-1.1108376611540001</v>
      </c>
      <c r="AE889">
        <v>1.38119999999997</v>
      </c>
      <c r="AF889">
        <v>-1.18940838125809</v>
      </c>
      <c r="AG889">
        <v>-1.1108376611540001</v>
      </c>
      <c r="AH889">
        <v>24.738065223069501</v>
      </c>
      <c r="AI889">
        <v>92.568118896020806</v>
      </c>
      <c r="AJ889">
        <v>92.752666384389101</v>
      </c>
      <c r="AK889">
        <v>24.791541371759902</v>
      </c>
      <c r="AL889">
        <v>89.228170996933301</v>
      </c>
      <c r="AM889">
        <v>93.7646808187516</v>
      </c>
      <c r="AN889">
        <v>1.00000000386649</v>
      </c>
    </row>
    <row r="890" spans="1:40" x14ac:dyDescent="0.3">
      <c r="A890" t="str">
        <f>"20200111160420988"</f>
        <v>20200111160420988</v>
      </c>
      <c r="B890" t="str">
        <f>"1578729860981180"</f>
        <v>1578729860981180</v>
      </c>
      <c r="C890" t="s">
        <v>40</v>
      </c>
      <c r="D890">
        <v>5.3634639999999996</v>
      </c>
      <c r="E890">
        <v>0.50757099999999999</v>
      </c>
      <c r="F890" t="s">
        <v>41</v>
      </c>
      <c r="G890">
        <v>-216.1662</v>
      </c>
      <c r="H890" s="1">
        <v>-1.667916E-6</v>
      </c>
      <c r="I890">
        <v>369.38589999999999</v>
      </c>
      <c r="J890">
        <v>-240.79329999999999</v>
      </c>
      <c r="K890">
        <v>1.110846</v>
      </c>
      <c r="L890">
        <v>368.01089999999999</v>
      </c>
      <c r="M890">
        <v>0.99986710000000001</v>
      </c>
      <c r="N890">
        <v>0</v>
      </c>
      <c r="O890">
        <v>7.8082339999999998E-3</v>
      </c>
      <c r="P890">
        <v>0.99731890000000001</v>
      </c>
      <c r="Q890">
        <v>-9.2755069999999999E-4</v>
      </c>
      <c r="R890">
        <v>7.3174420000000004E-2</v>
      </c>
      <c r="S890">
        <v>2.9957579999999999</v>
      </c>
      <c r="T890">
        <v>-0.1342304</v>
      </c>
      <c r="U890">
        <v>0.16632079999999999</v>
      </c>
      <c r="V890">
        <v>-6.5391320000000003E-2</v>
      </c>
      <c r="W890">
        <v>1.3322260000000001E-2</v>
      </c>
      <c r="X890">
        <v>0.99777079999999996</v>
      </c>
      <c r="Y890">
        <v>-4.7594900000000002E-2</v>
      </c>
      <c r="Z890">
        <v>7.1550229999999904E-4</v>
      </c>
      <c r="AA890">
        <v>0.99886640000000004</v>
      </c>
      <c r="AB890">
        <v>31</v>
      </c>
      <c r="AC890">
        <v>24.627099999999899</v>
      </c>
      <c r="AD890">
        <v>-1.110847667916</v>
      </c>
      <c r="AE890">
        <v>1.375</v>
      </c>
      <c r="AF890">
        <v>-1.1802503263250199</v>
      </c>
      <c r="AG890">
        <v>-1.110847667916</v>
      </c>
      <c r="AH890">
        <v>24.587216432020998</v>
      </c>
      <c r="AI890">
        <v>92.583886494698206</v>
      </c>
      <c r="AJ890">
        <v>92.7482368317945</v>
      </c>
      <c r="AK890">
        <v>24.640580050988</v>
      </c>
      <c r="AL890">
        <v>89.236668176866203</v>
      </c>
      <c r="AM890">
        <v>93.749655025307902</v>
      </c>
      <c r="AN890">
        <v>1.0000000383377401</v>
      </c>
    </row>
    <row r="891" spans="1:40" x14ac:dyDescent="0.3">
      <c r="A891" t="str">
        <f>"20200111160421000"</f>
        <v>20200111160421000</v>
      </c>
      <c r="B891" t="str">
        <f>"1578729860991916"</f>
        <v>1578729860991916</v>
      </c>
      <c r="C891" t="s">
        <v>40</v>
      </c>
      <c r="D891">
        <v>5.3014659999999996</v>
      </c>
      <c r="E891">
        <v>0.50771109999999997</v>
      </c>
      <c r="F891" t="s">
        <v>41</v>
      </c>
      <c r="G891">
        <v>-216.4486</v>
      </c>
      <c r="H891" s="1">
        <v>-1.552756E-6</v>
      </c>
      <c r="I891">
        <v>369.35210000000001</v>
      </c>
      <c r="J891">
        <v>-240.6292</v>
      </c>
      <c r="K891">
        <v>1.1108530000000001</v>
      </c>
      <c r="L891">
        <v>368.01240000000001</v>
      </c>
      <c r="M891">
        <v>0.99986580000000003</v>
      </c>
      <c r="N891">
        <v>0</v>
      </c>
      <c r="O891">
        <v>7.9769049999999994E-3</v>
      </c>
      <c r="P891">
        <v>0.99730280000000004</v>
      </c>
      <c r="Q891">
        <v>-9.8526660000000004E-4</v>
      </c>
      <c r="R891">
        <v>7.3394230000000005E-2</v>
      </c>
      <c r="S891">
        <v>2.9958339999999999</v>
      </c>
      <c r="T891">
        <v>-0.1366994</v>
      </c>
      <c r="U891">
        <v>0.16503909999999999</v>
      </c>
      <c r="V891">
        <v>-6.5443230000000005E-2</v>
      </c>
      <c r="W891">
        <v>1.3261709999999999E-2</v>
      </c>
      <c r="X891">
        <v>0.99776819999999999</v>
      </c>
      <c r="Y891">
        <v>-4.6998249999999998E-2</v>
      </c>
      <c r="Z891">
        <v>7.0735820000000001E-4</v>
      </c>
      <c r="AA891">
        <v>0.99889479999999997</v>
      </c>
      <c r="AB891">
        <v>31</v>
      </c>
      <c r="AC891">
        <v>24.180599999999998</v>
      </c>
      <c r="AD891">
        <v>-1.1108545527560001</v>
      </c>
      <c r="AE891">
        <v>1.3396999999999899</v>
      </c>
      <c r="AF891">
        <v>-1.14434355048432</v>
      </c>
      <c r="AG891">
        <v>-1.1108545527560001</v>
      </c>
      <c r="AH891">
        <v>24.139727874940998</v>
      </c>
      <c r="AI891">
        <v>92.631809423969699</v>
      </c>
      <c r="AJ891">
        <v>92.714074000439396</v>
      </c>
      <c r="AK891">
        <v>24.192353789474801</v>
      </c>
      <c r="AL891">
        <v>89.240137740246098</v>
      </c>
      <c r="AM891">
        <v>93.752632886268302</v>
      </c>
      <c r="AN891">
        <v>1.00000003511809</v>
      </c>
    </row>
    <row r="892" spans="1:40" x14ac:dyDescent="0.3">
      <c r="A892" t="str">
        <f>"20200111160421013"</f>
        <v>20200111160421013</v>
      </c>
      <c r="B892" t="str">
        <f>"1578729861001677"</f>
        <v>1578729861001677</v>
      </c>
      <c r="C892" t="s">
        <v>40</v>
      </c>
      <c r="D892">
        <v>5.3161189999999996</v>
      </c>
      <c r="E892">
        <v>0.50777799999999995</v>
      </c>
      <c r="F892" t="s">
        <v>41</v>
      </c>
      <c r="G892">
        <v>-216.69280000000001</v>
      </c>
      <c r="H892" s="1">
        <v>-1.4525789999999999E-6</v>
      </c>
      <c r="I892">
        <v>369.32639999999998</v>
      </c>
      <c r="J892">
        <v>-240.47399999999999</v>
      </c>
      <c r="K892">
        <v>1.1108579999999999</v>
      </c>
      <c r="L892">
        <v>368.0138</v>
      </c>
      <c r="M892">
        <v>0.99986439999999999</v>
      </c>
      <c r="N892">
        <v>0</v>
      </c>
      <c r="O892">
        <v>8.1388640000000009E-3</v>
      </c>
      <c r="P892">
        <v>0.99730719999999995</v>
      </c>
      <c r="Q892">
        <v>-7.5081360000000001E-4</v>
      </c>
      <c r="R892">
        <v>7.3333259999999997E-2</v>
      </c>
      <c r="S892">
        <v>2.9958800000000001</v>
      </c>
      <c r="T892">
        <v>-0.13903389999999999</v>
      </c>
      <c r="U892">
        <v>0.1644592</v>
      </c>
      <c r="V892">
        <v>-6.5220840000000002E-2</v>
      </c>
      <c r="W892">
        <v>1.349439E-2</v>
      </c>
      <c r="X892">
        <v>0.99777959999999999</v>
      </c>
      <c r="Y892">
        <v>-4.6642009999999998E-2</v>
      </c>
      <c r="Z892">
        <v>7.0365599999999999E-4</v>
      </c>
      <c r="AA892">
        <v>0.9989114</v>
      </c>
      <c r="AB892">
        <v>31</v>
      </c>
      <c r="AC892">
        <v>23.781199999999998</v>
      </c>
      <c r="AD892">
        <v>-1.1108594525790001</v>
      </c>
      <c r="AE892">
        <v>1.31259999999997</v>
      </c>
      <c r="AF892">
        <v>-1.11655582488505</v>
      </c>
      <c r="AG892">
        <v>-1.1108594525790001</v>
      </c>
      <c r="AH892">
        <v>23.7394546643417</v>
      </c>
      <c r="AI892">
        <v>92.676179162970897</v>
      </c>
      <c r="AJ892">
        <v>92.692851454941007</v>
      </c>
      <c r="AK892">
        <v>23.791645873999599</v>
      </c>
      <c r="AL892">
        <v>89.226804933261803</v>
      </c>
      <c r="AM892">
        <v>93.739874286448895</v>
      </c>
      <c r="AN892">
        <v>0.99999999335396805</v>
      </c>
    </row>
    <row r="893" spans="1:40" x14ac:dyDescent="0.3">
      <c r="A893" t="str">
        <f>"20200111160421026"</f>
        <v>20200111160421026</v>
      </c>
      <c r="B893" t="str">
        <f>"1578729861021196"</f>
        <v>1578729861021196</v>
      </c>
      <c r="C893" t="s">
        <v>40</v>
      </c>
      <c r="D893">
        <v>6.5161059999999997</v>
      </c>
      <c r="E893">
        <v>0.50755450000000002</v>
      </c>
      <c r="F893" t="s">
        <v>41</v>
      </c>
      <c r="G893">
        <v>-216.87430000000001</v>
      </c>
      <c r="H893" s="1">
        <v>-1.3784429999999999E-6</v>
      </c>
      <c r="I893">
        <v>369.30520000000001</v>
      </c>
      <c r="J893">
        <v>-240.30109999999999</v>
      </c>
      <c r="K893">
        <v>1.1108610000000001</v>
      </c>
      <c r="L893">
        <v>368.0154</v>
      </c>
      <c r="M893">
        <v>0.9998631</v>
      </c>
      <c r="N893">
        <v>0</v>
      </c>
      <c r="O893">
        <v>8.3195969999999998E-3</v>
      </c>
      <c r="P893">
        <v>0.99729520000000005</v>
      </c>
      <c r="Q893">
        <v>-1.004549E-3</v>
      </c>
      <c r="R893">
        <v>7.3495660000000004E-2</v>
      </c>
      <c r="S893">
        <v>2.9959560000000001</v>
      </c>
      <c r="T893">
        <v>-0.14102200000000001</v>
      </c>
      <c r="U893">
        <v>0.16394039999999999</v>
      </c>
      <c r="V893">
        <v>-6.5202990000000002E-2</v>
      </c>
      <c r="W893">
        <v>1.3238349999999999E-2</v>
      </c>
      <c r="X893">
        <v>0.99778420000000001</v>
      </c>
      <c r="Y893">
        <v>-4.6287010000000003E-2</v>
      </c>
      <c r="Z893">
        <v>6.9685179999999904E-4</v>
      </c>
      <c r="AA893">
        <v>0.99892800000000004</v>
      </c>
      <c r="AB893">
        <v>31</v>
      </c>
      <c r="AC893">
        <v>23.426799999999901</v>
      </c>
      <c r="AD893">
        <v>-1.1108623784430001</v>
      </c>
      <c r="AE893">
        <v>1.28980000000001</v>
      </c>
      <c r="AF893">
        <v>-1.0923850653273199</v>
      </c>
      <c r="AG893">
        <v>-1.1108623784430001</v>
      </c>
      <c r="AH893">
        <v>23.384299880297</v>
      </c>
      <c r="AI893">
        <v>92.716811505628698</v>
      </c>
      <c r="AJ893">
        <v>92.674597295922993</v>
      </c>
      <c r="AK893">
        <v>23.436143053976402</v>
      </c>
      <c r="AL893">
        <v>89.241476258041104</v>
      </c>
      <c r="AM893">
        <v>93.7388364525642</v>
      </c>
      <c r="AN893">
        <v>0.99999999679265095</v>
      </c>
    </row>
    <row r="894" spans="1:40" x14ac:dyDescent="0.3">
      <c r="A894" t="str">
        <f>"20200111160421039"</f>
        <v>20200111160421039</v>
      </c>
      <c r="B894" t="str">
        <f>"1578729861031932"</f>
        <v>1578729861031932</v>
      </c>
      <c r="C894" t="s">
        <v>40</v>
      </c>
      <c r="D894">
        <v>5.3543200000000004</v>
      </c>
      <c r="E894">
        <v>0.50767890000000004</v>
      </c>
      <c r="F894" t="s">
        <v>41</v>
      </c>
      <c r="G894">
        <v>-216.64080000000001</v>
      </c>
      <c r="H894" s="1">
        <v>-1.4742809999999999E-6</v>
      </c>
      <c r="I894">
        <v>369.3297</v>
      </c>
      <c r="J894">
        <v>-240.09700000000001</v>
      </c>
      <c r="K894">
        <v>1.1108530000000001</v>
      </c>
      <c r="L894">
        <v>368.0172</v>
      </c>
      <c r="M894">
        <v>0.99986120000000001</v>
      </c>
      <c r="N894">
        <v>0</v>
      </c>
      <c r="O894">
        <v>8.5348239999999999E-3</v>
      </c>
      <c r="P894">
        <v>0.99728360000000005</v>
      </c>
      <c r="Q894">
        <v>-1.0037659999999999E-3</v>
      </c>
      <c r="R894">
        <v>7.3650629999999995E-2</v>
      </c>
      <c r="S894">
        <v>2.9957280000000002</v>
      </c>
      <c r="T894">
        <v>-0.1406502</v>
      </c>
      <c r="U894">
        <v>0.16641239999999999</v>
      </c>
      <c r="V894">
        <v>-6.5143510000000002E-2</v>
      </c>
      <c r="W894">
        <v>1.323596E-2</v>
      </c>
      <c r="X894">
        <v>0.99778809999999996</v>
      </c>
      <c r="Y894">
        <v>-4.6897689999999999E-2</v>
      </c>
      <c r="Z894">
        <v>6.9927990000000001E-4</v>
      </c>
      <c r="AA894">
        <v>0.99889950000000005</v>
      </c>
      <c r="AB894">
        <v>31</v>
      </c>
      <c r="AC894">
        <v>23.4561999999999</v>
      </c>
      <c r="AD894">
        <v>-1.110854474281</v>
      </c>
      <c r="AE894">
        <v>1.3125</v>
      </c>
      <c r="AF894">
        <v>-1.10975591007985</v>
      </c>
      <c r="AG894">
        <v>-1.110854474281</v>
      </c>
      <c r="AH894">
        <v>23.414198121101201</v>
      </c>
      <c r="AI894">
        <v>92.713241460570899</v>
      </c>
      <c r="AJ894">
        <v>92.713600556375496</v>
      </c>
      <c r="AK894">
        <v>23.466789927409401</v>
      </c>
      <c r="AL894">
        <v>89.241613194230098</v>
      </c>
      <c r="AM894">
        <v>93.7354208825368</v>
      </c>
      <c r="AN894">
        <v>0.99999998001692503</v>
      </c>
    </row>
    <row r="895" spans="1:40" x14ac:dyDescent="0.3">
      <c r="A895" t="str">
        <f>"20200111160421053"</f>
        <v>20200111160421053</v>
      </c>
      <c r="B895" t="str">
        <f>"1578729861041692"</f>
        <v>1578729861041692</v>
      </c>
      <c r="C895" t="s">
        <v>40</v>
      </c>
      <c r="D895">
        <v>5.4783400000000002</v>
      </c>
      <c r="E895">
        <v>0.50750079999999997</v>
      </c>
      <c r="F895" t="s">
        <v>41</v>
      </c>
      <c r="G895">
        <v>-216.78960000000001</v>
      </c>
      <c r="H895" s="1">
        <v>-1.414193E-6</v>
      </c>
      <c r="I895">
        <v>369.30869999999999</v>
      </c>
      <c r="J895">
        <v>-239.9263</v>
      </c>
      <c r="K895">
        <v>1.1108530000000001</v>
      </c>
      <c r="L895">
        <v>368.01889999999997</v>
      </c>
      <c r="M895">
        <v>0.99985979999999997</v>
      </c>
      <c r="N895">
        <v>0</v>
      </c>
      <c r="O895">
        <v>8.7149769999999901E-3</v>
      </c>
      <c r="P895">
        <v>0.99728490000000003</v>
      </c>
      <c r="Q895">
        <v>-1.112523E-3</v>
      </c>
      <c r="R895">
        <v>7.3633509999999999E-2</v>
      </c>
      <c r="S895">
        <v>2.9957579999999999</v>
      </c>
      <c r="T895">
        <v>-0.142780399999999</v>
      </c>
      <c r="U895">
        <v>0.1659851</v>
      </c>
      <c r="V895">
        <v>-6.4946149999999994E-2</v>
      </c>
      <c r="W895">
        <v>1.3125349999999999E-2</v>
      </c>
      <c r="X895">
        <v>0.99780239999999998</v>
      </c>
      <c r="Y895">
        <v>-4.6574409999999997E-2</v>
      </c>
      <c r="Z895">
        <v>6.9358639999999997E-4</v>
      </c>
      <c r="AA895">
        <v>0.99891459999999999</v>
      </c>
      <c r="AB895">
        <v>31</v>
      </c>
      <c r="AC895">
        <v>23.136699999999902</v>
      </c>
      <c r="AD895">
        <v>-1.1108544141929999</v>
      </c>
      <c r="AE895">
        <v>1.28980000000001</v>
      </c>
      <c r="AF895">
        <v>-1.08559979872844</v>
      </c>
      <c r="AG895">
        <v>-1.1108544141929999</v>
      </c>
      <c r="AH895">
        <v>23.093991218614899</v>
      </c>
      <c r="AI895">
        <v>92.750854336100602</v>
      </c>
      <c r="AJ895">
        <v>92.691372454622794</v>
      </c>
      <c r="AK895">
        <v>23.1461650140578</v>
      </c>
      <c r="AL895">
        <v>89.247951211036707</v>
      </c>
      <c r="AM895">
        <v>93.724082654765198</v>
      </c>
      <c r="AN895">
        <v>0.99999995332910097</v>
      </c>
    </row>
    <row r="896" spans="1:40" x14ac:dyDescent="0.3">
      <c r="A896" t="str">
        <f>"20200111160421066"</f>
        <v>20200111160421066</v>
      </c>
      <c r="B896" t="str">
        <f>"1578729861061213"</f>
        <v>1578729861061213</v>
      </c>
      <c r="C896" t="s">
        <v>40</v>
      </c>
      <c r="D896">
        <v>5.2870290000000004</v>
      </c>
      <c r="E896">
        <v>0.50736289999999995</v>
      </c>
      <c r="F896" t="s">
        <v>41</v>
      </c>
      <c r="G896">
        <v>-216.99760000000001</v>
      </c>
      <c r="H896" s="1">
        <v>-1.3261910000000001E-6</v>
      </c>
      <c r="I896">
        <v>369.30169999999998</v>
      </c>
      <c r="J896">
        <v>-239.75540000000001</v>
      </c>
      <c r="K896">
        <v>1.1108549999999999</v>
      </c>
      <c r="L896">
        <v>368.02050000000003</v>
      </c>
      <c r="M896">
        <v>0.99985809999999997</v>
      </c>
      <c r="N896">
        <v>0</v>
      </c>
      <c r="O896">
        <v>8.8952419999999994E-3</v>
      </c>
      <c r="P896">
        <v>0.99729290000000004</v>
      </c>
      <c r="Q896">
        <v>-1.330901E-3</v>
      </c>
      <c r="R896">
        <v>7.3520639999999998E-2</v>
      </c>
      <c r="S896">
        <v>2.9956209999999999</v>
      </c>
      <c r="T896">
        <v>-0.14513180000000001</v>
      </c>
      <c r="U896">
        <v>0.16760249999999999</v>
      </c>
      <c r="V896">
        <v>-6.4653249999999995E-2</v>
      </c>
      <c r="W896">
        <v>1.290554E-2</v>
      </c>
      <c r="X896">
        <v>0.9978243</v>
      </c>
      <c r="Y896">
        <v>-4.6932880000000003E-2</v>
      </c>
      <c r="Z896">
        <v>7.049682E-4</v>
      </c>
      <c r="AA896">
        <v>0.99889779999999995</v>
      </c>
      <c r="AB896">
        <v>31</v>
      </c>
      <c r="AC896">
        <v>22.7578</v>
      </c>
      <c r="AD896">
        <v>-1.1108563261909901</v>
      </c>
      <c r="AE896">
        <v>1.2811999999999499</v>
      </c>
      <c r="AF896">
        <v>-1.0761365182690501</v>
      </c>
      <c r="AG896">
        <v>-1.1108563261909901</v>
      </c>
      <c r="AH896">
        <v>22.714348455793601</v>
      </c>
      <c r="AI896">
        <v>92.796715409424294</v>
      </c>
      <c r="AJ896">
        <v>92.712470963362904</v>
      </c>
      <c r="AK896">
        <v>22.7669430832205</v>
      </c>
      <c r="AL896">
        <v>89.260546472216305</v>
      </c>
      <c r="AM896">
        <v>93.707253255195397</v>
      </c>
      <c r="AN896">
        <v>0.99999996468437102</v>
      </c>
    </row>
    <row r="897" spans="1:40" x14ac:dyDescent="0.3">
      <c r="A897" t="str">
        <f>"20200111160421077"</f>
        <v>20200111160421077</v>
      </c>
      <c r="B897" t="str">
        <f>"1578729861071948"</f>
        <v>1578729861071948</v>
      </c>
      <c r="C897" t="s">
        <v>40</v>
      </c>
      <c r="D897">
        <v>5.3099439999999998</v>
      </c>
      <c r="E897">
        <v>0.50728269999999998</v>
      </c>
      <c r="F897" t="s">
        <v>41</v>
      </c>
      <c r="G897">
        <v>-217.6404</v>
      </c>
      <c r="H897" s="1">
        <v>-1.057337E-6</v>
      </c>
      <c r="I897">
        <v>369.26260000000002</v>
      </c>
      <c r="J897">
        <v>-239.5874</v>
      </c>
      <c r="K897">
        <v>1.1108579999999999</v>
      </c>
      <c r="L897">
        <v>368.0222</v>
      </c>
      <c r="M897">
        <v>0.99985659999999998</v>
      </c>
      <c r="N897">
        <v>0</v>
      </c>
      <c r="O897">
        <v>9.0715080000000007E-3</v>
      </c>
      <c r="P897">
        <v>0.99730180000000002</v>
      </c>
      <c r="Q897">
        <v>-1.5729540000000001E-3</v>
      </c>
      <c r="R897">
        <v>7.3393459999999994E-2</v>
      </c>
      <c r="S897">
        <v>2.9955289999999999</v>
      </c>
      <c r="T897">
        <v>-0.15046809999999999</v>
      </c>
      <c r="U897">
        <v>0.16824339999999999</v>
      </c>
      <c r="V897">
        <v>-6.4349870000000003E-2</v>
      </c>
      <c r="W897">
        <v>1.26619E-2</v>
      </c>
      <c r="X897">
        <v>0.99784709999999999</v>
      </c>
      <c r="Y897">
        <v>-4.6968370000000002E-2</v>
      </c>
      <c r="Z897">
        <v>7.2292410000000004E-4</v>
      </c>
      <c r="AA897">
        <v>0.99889609999999995</v>
      </c>
      <c r="AB897">
        <v>31</v>
      </c>
      <c r="AC897">
        <v>21.946999999999999</v>
      </c>
      <c r="AD897">
        <v>-1.1108590573370001</v>
      </c>
      <c r="AE897">
        <v>1.2404000000000199</v>
      </c>
      <c r="AF897">
        <v>-1.03858389666617</v>
      </c>
      <c r="AG897">
        <v>-1.1108590573370001</v>
      </c>
      <c r="AH897">
        <v>21.901418926707802</v>
      </c>
      <c r="AI897">
        <v>92.900349981899197</v>
      </c>
      <c r="AJ897">
        <v>92.714980679164995</v>
      </c>
      <c r="AK897">
        <v>21.954152576650198</v>
      </c>
      <c r="AL897">
        <v>89.274507206269305</v>
      </c>
      <c r="AM897">
        <v>93.689821371749005</v>
      </c>
      <c r="AN897">
        <v>1.0000000322295099</v>
      </c>
    </row>
    <row r="898" spans="1:40" x14ac:dyDescent="0.3">
      <c r="A898" t="str">
        <f>"20200111160421089"</f>
        <v>20200111160421089</v>
      </c>
      <c r="B898" t="str">
        <f>"1578729861081709"</f>
        <v>1578729861081709</v>
      </c>
      <c r="C898" t="s">
        <v>40</v>
      </c>
      <c r="D898">
        <v>6.5432829999999997</v>
      </c>
      <c r="E898">
        <v>0.50713229999999998</v>
      </c>
      <c r="F898" t="s">
        <v>41</v>
      </c>
      <c r="G898">
        <v>-217.92439999999999</v>
      </c>
      <c r="H898" s="1">
        <v>-9.3856490000000005E-7</v>
      </c>
      <c r="I898">
        <v>369.24540000000002</v>
      </c>
      <c r="J898">
        <v>-239.42939999999999</v>
      </c>
      <c r="K898">
        <v>1.11086</v>
      </c>
      <c r="L898">
        <v>368.02379999999999</v>
      </c>
      <c r="M898">
        <v>0.9998551</v>
      </c>
      <c r="N898">
        <v>0</v>
      </c>
      <c r="O898">
        <v>9.2370999999999998E-3</v>
      </c>
      <c r="P898">
        <v>0.99734630000000002</v>
      </c>
      <c r="Q898">
        <v>-1.7088279999999999E-3</v>
      </c>
      <c r="R898">
        <v>7.2782910000000006E-2</v>
      </c>
      <c r="S898">
        <v>2.9954529999999999</v>
      </c>
      <c r="T898">
        <v>-0.15360370000000001</v>
      </c>
      <c r="U898">
        <v>0.16912839999999901</v>
      </c>
      <c r="V898">
        <v>-6.3573459999999998E-2</v>
      </c>
      <c r="W898">
        <v>1.2525059999999999E-2</v>
      </c>
      <c r="X898">
        <v>0.99789859999999997</v>
      </c>
      <c r="Y898">
        <v>-4.7096600000000002E-2</v>
      </c>
      <c r="Z898">
        <v>7.3278679999999998E-4</v>
      </c>
      <c r="AA898">
        <v>0.99888999999999994</v>
      </c>
      <c r="AB898">
        <v>31</v>
      </c>
      <c r="AC898">
        <v>21.5049999999999</v>
      </c>
      <c r="AD898">
        <v>-1.11086093856489</v>
      </c>
      <c r="AE898">
        <v>1.22160000000002</v>
      </c>
      <c r="AF898">
        <v>-1.0201703254968399</v>
      </c>
      <c r="AG898">
        <v>-1.11086093856489</v>
      </c>
      <c r="AH898">
        <v>21.458293774588299</v>
      </c>
      <c r="AI898">
        <v>92.960126344974199</v>
      </c>
      <c r="AJ898">
        <v>92.721906789285697</v>
      </c>
      <c r="AK898">
        <v>21.511232675845999</v>
      </c>
      <c r="AL898">
        <v>89.282348187085304</v>
      </c>
      <c r="AM898">
        <v>93.6452351753898</v>
      </c>
      <c r="AN898">
        <v>1.00000003891316</v>
      </c>
    </row>
    <row r="899" spans="1:40" x14ac:dyDescent="0.3">
      <c r="A899" t="str">
        <f>"20200111160421102"</f>
        <v>20200111160421102</v>
      </c>
      <c r="B899" t="str">
        <f>"1578729861091467"</f>
        <v>1578729861091467</v>
      </c>
      <c r="C899" t="s">
        <v>40</v>
      </c>
      <c r="D899">
        <v>5.2412510000000001</v>
      </c>
      <c r="E899">
        <v>0.50708229999999999</v>
      </c>
      <c r="F899" t="s">
        <v>41</v>
      </c>
      <c r="G899">
        <v>-217.41829999999999</v>
      </c>
      <c r="H899" s="1">
        <v>-1.1528950000000001E-6</v>
      </c>
      <c r="I899">
        <v>369.26100000000002</v>
      </c>
      <c r="J899">
        <v>-239.25880000000001</v>
      </c>
      <c r="K899">
        <v>1.110867</v>
      </c>
      <c r="L899">
        <v>368.0256</v>
      </c>
      <c r="M899">
        <v>0.9998534</v>
      </c>
      <c r="N899">
        <v>0</v>
      </c>
      <c r="O899">
        <v>9.4153259999999999E-3</v>
      </c>
      <c r="P899">
        <v>0.99737600000000004</v>
      </c>
      <c r="Q899">
        <v>-1.838693E-3</v>
      </c>
      <c r="R899">
        <v>7.2372859999999997E-2</v>
      </c>
      <c r="S899">
        <v>2.9954070000000002</v>
      </c>
      <c r="T899">
        <v>-0.1511729</v>
      </c>
      <c r="U899">
        <v>0.1683655</v>
      </c>
      <c r="V899">
        <v>-6.2985879999999994E-2</v>
      </c>
      <c r="W899">
        <v>1.239441E-2</v>
      </c>
      <c r="X899">
        <v>0.99793739999999997</v>
      </c>
      <c r="Y899">
        <v>-4.6668099999999997E-2</v>
      </c>
      <c r="Z899">
        <v>7.0144239999999996E-4</v>
      </c>
      <c r="AA899">
        <v>0.99891019999999997</v>
      </c>
      <c r="AB899">
        <v>30</v>
      </c>
      <c r="AC899">
        <v>21.840499999999999</v>
      </c>
      <c r="AD899">
        <v>-1.110868152895</v>
      </c>
      <c r="AE899">
        <v>1.2353999999999601</v>
      </c>
      <c r="AF899">
        <v>-1.0270402691817599</v>
      </c>
      <c r="AG899">
        <v>-1.110868152895</v>
      </c>
      <c r="AH899">
        <v>21.794960419590701</v>
      </c>
      <c r="AI899">
        <v>92.914557231059803</v>
      </c>
      <c r="AJ899">
        <v>92.697943618950802</v>
      </c>
      <c r="AK899">
        <v>21.847405783277001</v>
      </c>
      <c r="AL899">
        <v>89.289834397235097</v>
      </c>
      <c r="AM899">
        <v>93.611493497291704</v>
      </c>
      <c r="AN899">
        <v>0.999999948398689</v>
      </c>
    </row>
    <row r="900" spans="1:40" x14ac:dyDescent="0.3">
      <c r="A900" t="str">
        <f>"20200111160421115"</f>
        <v>20200111160421115</v>
      </c>
      <c r="B900" t="str">
        <f>"1578729861111965"</f>
        <v>1578729861111965</v>
      </c>
      <c r="C900" t="s">
        <v>40</v>
      </c>
      <c r="D900">
        <v>6.103027</v>
      </c>
      <c r="E900">
        <v>0.50700459999999903</v>
      </c>
      <c r="F900" t="s">
        <v>41</v>
      </c>
      <c r="G900">
        <v>-217.60599999999999</v>
      </c>
      <c r="H900" s="1">
        <v>-1.076316E-6</v>
      </c>
      <c r="I900">
        <v>369.2389</v>
      </c>
      <c r="J900">
        <v>-239.07759999999999</v>
      </c>
      <c r="K900">
        <v>1.11087</v>
      </c>
      <c r="L900">
        <v>368.02749999999997</v>
      </c>
      <c r="M900">
        <v>0.99985179999999996</v>
      </c>
      <c r="N900">
        <v>0</v>
      </c>
      <c r="O900">
        <v>9.6037420000000002E-3</v>
      </c>
      <c r="P900">
        <v>0.99741150000000001</v>
      </c>
      <c r="Q900">
        <v>-2.005836E-3</v>
      </c>
      <c r="R900">
        <v>7.1876209999999996E-2</v>
      </c>
      <c r="S900">
        <v>2.9954529999999999</v>
      </c>
      <c r="T900">
        <v>-0.15367709999999901</v>
      </c>
      <c r="U900">
        <v>0.16784669999999999</v>
      </c>
      <c r="V900">
        <v>-6.2300300000000003E-2</v>
      </c>
      <c r="W900">
        <v>1.22261E-2</v>
      </c>
      <c r="X900">
        <v>0.99798260000000005</v>
      </c>
      <c r="Y900">
        <v>-4.6305689999999997E-2</v>
      </c>
      <c r="Z900">
        <v>6.9410439999999999E-4</v>
      </c>
      <c r="AA900">
        <v>0.99892709999999996</v>
      </c>
      <c r="AB900">
        <v>30</v>
      </c>
      <c r="AC900">
        <v>21.471599999999899</v>
      </c>
      <c r="AD900">
        <v>-1.1108710763159999</v>
      </c>
      <c r="AE900">
        <v>1.21140000000002</v>
      </c>
      <c r="AF900">
        <v>-1.0024406525532901</v>
      </c>
      <c r="AG900">
        <v>-1.1108710763159999</v>
      </c>
      <c r="AH900">
        <v>21.425078368306099</v>
      </c>
      <c r="AI900">
        <v>92.964839258473503</v>
      </c>
      <c r="AJ900">
        <v>92.678812237883704</v>
      </c>
      <c r="AK900">
        <v>21.4772648374542</v>
      </c>
      <c r="AL900">
        <v>89.299478643524793</v>
      </c>
      <c r="AM900">
        <v>93.572124588547197</v>
      </c>
      <c r="AN900">
        <v>1.0000000374020199</v>
      </c>
    </row>
    <row r="901" spans="1:40" x14ac:dyDescent="0.3">
      <c r="A901" t="str">
        <f>"20200111160421130"</f>
        <v>20200111160421130</v>
      </c>
      <c r="B901" t="str">
        <f>"1578729861121724"</f>
        <v>1578729861121724</v>
      </c>
      <c r="C901" t="s">
        <v>40</v>
      </c>
      <c r="D901">
        <v>5.2547750000000004</v>
      </c>
      <c r="E901">
        <v>0.50696229999999998</v>
      </c>
      <c r="F901" t="s">
        <v>41</v>
      </c>
      <c r="G901">
        <v>-216.7704</v>
      </c>
      <c r="H901" s="1">
        <v>-1.4297400000000001E-6</v>
      </c>
      <c r="I901">
        <v>369.26749999999998</v>
      </c>
      <c r="J901">
        <v>-238.8734</v>
      </c>
      <c r="K901">
        <v>1.1108739999999999</v>
      </c>
      <c r="L901">
        <v>368.02969999999999</v>
      </c>
      <c r="M901">
        <v>0.99984980000000001</v>
      </c>
      <c r="N901">
        <v>0</v>
      </c>
      <c r="O901">
        <v>9.8158199999999994E-3</v>
      </c>
      <c r="P901">
        <v>0.99744010000000005</v>
      </c>
      <c r="Q901">
        <v>-2.250625E-3</v>
      </c>
      <c r="R901">
        <v>7.1473540000000002E-2</v>
      </c>
      <c r="S901">
        <v>2.9954679999999998</v>
      </c>
      <c r="T901">
        <v>-0.14917</v>
      </c>
      <c r="U901">
        <v>0.16650390000000001</v>
      </c>
      <c r="V901">
        <v>-6.168564E-2</v>
      </c>
      <c r="W901">
        <v>1.1980070000000001E-2</v>
      </c>
      <c r="X901">
        <v>0.99802369999999996</v>
      </c>
      <c r="Y901">
        <v>-4.5650969999999999E-2</v>
      </c>
      <c r="Z901">
        <v>6.4695269999999895E-4</v>
      </c>
      <c r="AA901">
        <v>0.99895719999999999</v>
      </c>
      <c r="AB901">
        <v>30</v>
      </c>
      <c r="AC901">
        <v>22.103000000000002</v>
      </c>
      <c r="AD901">
        <v>-1.1108754297400001</v>
      </c>
      <c r="AE901">
        <v>1.23779999999999</v>
      </c>
      <c r="AF901">
        <v>-1.0181952591494099</v>
      </c>
      <c r="AG901">
        <v>-1.1108754297400001</v>
      </c>
      <c r="AH901">
        <v>22.058541176939201</v>
      </c>
      <c r="AI901">
        <v>92.879937560562396</v>
      </c>
      <c r="AJ901">
        <v>92.642827147983297</v>
      </c>
      <c r="AK901">
        <v>22.1099526155276</v>
      </c>
      <c r="AL901">
        <v>89.313576112037296</v>
      </c>
      <c r="AM901">
        <v>93.536826331021004</v>
      </c>
      <c r="AN901">
        <v>0.99999997301055099</v>
      </c>
    </row>
    <row r="902" spans="1:40" x14ac:dyDescent="0.3">
      <c r="A902" t="str">
        <f>"20200111160421143"</f>
        <v>20200111160421143</v>
      </c>
      <c r="B902" t="str">
        <f>"1578729861131485"</f>
        <v>1578729861131485</v>
      </c>
      <c r="C902" t="s">
        <v>40</v>
      </c>
      <c r="D902">
        <v>5.2768079999999999</v>
      </c>
      <c r="E902">
        <v>0.50695429999999997</v>
      </c>
      <c r="F902" t="s">
        <v>41</v>
      </c>
      <c r="G902">
        <v>-216.38560000000001</v>
      </c>
      <c r="H902" s="1">
        <v>-1.5941079999999999E-6</v>
      </c>
      <c r="I902">
        <v>369.27140000000003</v>
      </c>
      <c r="J902">
        <v>-238.7012</v>
      </c>
      <c r="K902">
        <v>1.11087</v>
      </c>
      <c r="L902">
        <v>368.03160000000003</v>
      </c>
      <c r="M902">
        <v>0.99984790000000001</v>
      </c>
      <c r="N902">
        <v>0</v>
      </c>
      <c r="O902">
        <v>9.9944579999999995E-3</v>
      </c>
      <c r="P902">
        <v>0.99750899999999998</v>
      </c>
      <c r="Q902">
        <v>-3.1988770000000001E-3</v>
      </c>
      <c r="R902">
        <v>7.0466310000000004E-2</v>
      </c>
      <c r="S902">
        <v>2.995514</v>
      </c>
      <c r="T902">
        <v>-0.1479752</v>
      </c>
      <c r="U902">
        <v>0.16540529999999901</v>
      </c>
      <c r="V902">
        <v>-6.049889E-2</v>
      </c>
      <c r="W902">
        <v>1.103171E-2</v>
      </c>
      <c r="X902">
        <v>0.99810730000000003</v>
      </c>
      <c r="Y902">
        <v>-4.5107979999999999E-2</v>
      </c>
      <c r="Z902">
        <v>6.1956819999999999E-4</v>
      </c>
      <c r="AA902">
        <v>0.99898200000000004</v>
      </c>
      <c r="AB902">
        <v>30</v>
      </c>
      <c r="AC902">
        <v>22.3155999999999</v>
      </c>
      <c r="AD902">
        <v>-1.1108715941079901</v>
      </c>
      <c r="AE902">
        <v>1.2398</v>
      </c>
      <c r="AF902">
        <v>-1.0141775005337801</v>
      </c>
      <c r="AG902">
        <v>-1.1108715941079901</v>
      </c>
      <c r="AH902">
        <v>22.271856585282102</v>
      </c>
      <c r="AI902">
        <v>92.852471135357902</v>
      </c>
      <c r="AJ902">
        <v>92.607235581460202</v>
      </c>
      <c r="AK902">
        <v>22.322593654335101</v>
      </c>
      <c r="AL902">
        <v>89.367916754070194</v>
      </c>
      <c r="AM902">
        <v>93.468660417451005</v>
      </c>
      <c r="AN902">
        <v>0.99999999831502295</v>
      </c>
    </row>
    <row r="903" spans="1:40" x14ac:dyDescent="0.3">
      <c r="A903" t="str">
        <f>"20200111160421155"</f>
        <v>20200111160421155</v>
      </c>
      <c r="B903" t="str">
        <f>"1578729861151980"</f>
        <v>1578729861151980</v>
      </c>
      <c r="C903" t="s">
        <v>40</v>
      </c>
      <c r="D903">
        <v>5.337421</v>
      </c>
      <c r="E903">
        <v>0.50713039999999998</v>
      </c>
      <c r="F903" t="s">
        <v>41</v>
      </c>
      <c r="G903">
        <v>-216.33019999999999</v>
      </c>
      <c r="H903" s="1">
        <v>-1.622564E-6</v>
      </c>
      <c r="I903">
        <v>369.24489999999997</v>
      </c>
      <c r="J903">
        <v>-238.53120000000001</v>
      </c>
      <c r="K903">
        <v>1.1108690000000001</v>
      </c>
      <c r="L903">
        <v>368.03339999999997</v>
      </c>
      <c r="M903">
        <v>0.99984620000000002</v>
      </c>
      <c r="N903">
        <v>0</v>
      </c>
      <c r="O903">
        <v>1.0169940000000001E-2</v>
      </c>
      <c r="P903">
        <v>0.99754889999999996</v>
      </c>
      <c r="Q903">
        <v>-4.4018870000000002E-3</v>
      </c>
      <c r="R903">
        <v>6.9835419999999995E-2</v>
      </c>
      <c r="S903">
        <v>2.9955440000000002</v>
      </c>
      <c r="T903">
        <v>-0.1487483</v>
      </c>
      <c r="U903">
        <v>0.1624756</v>
      </c>
      <c r="V903">
        <v>-5.969149E-2</v>
      </c>
      <c r="W903">
        <v>9.8282349999999994E-3</v>
      </c>
      <c r="X903">
        <v>0.99816850000000001</v>
      </c>
      <c r="Y903">
        <v>-4.3959129999999999E-2</v>
      </c>
      <c r="Z903">
        <v>5.8562410000000001E-4</v>
      </c>
      <c r="AA903">
        <v>0.99903319999999995</v>
      </c>
      <c r="AB903">
        <v>30</v>
      </c>
      <c r="AC903">
        <v>22.201000000000001</v>
      </c>
      <c r="AD903">
        <v>-1.1108706225639999</v>
      </c>
      <c r="AE903">
        <v>1.2115</v>
      </c>
      <c r="AF903">
        <v>-0.98317717616535205</v>
      </c>
      <c r="AG903">
        <v>-1.1108706225639999</v>
      </c>
      <c r="AH903">
        <v>22.156864389357999</v>
      </c>
      <c r="AI903">
        <v>92.867397401855797</v>
      </c>
      <c r="AJ903">
        <v>92.540746412670003</v>
      </c>
      <c r="AK903">
        <v>22.2064700136741</v>
      </c>
      <c r="AL903">
        <v>89.436874554769503</v>
      </c>
      <c r="AM903">
        <v>93.4222701551151</v>
      </c>
      <c r="AN903">
        <v>1.00000001128694</v>
      </c>
    </row>
    <row r="904" spans="1:40" x14ac:dyDescent="0.3">
      <c r="A904" t="str">
        <f>"20200111160421168"</f>
        <v>20200111160421168</v>
      </c>
      <c r="B904" t="str">
        <f>"1578729861161740"</f>
        <v>1578729861161740</v>
      </c>
      <c r="C904" t="s">
        <v>40</v>
      </c>
      <c r="D904">
        <v>5.3636530000000002</v>
      </c>
      <c r="E904">
        <v>0.50713039999999998</v>
      </c>
      <c r="F904" t="s">
        <v>41</v>
      </c>
      <c r="G904">
        <v>-216.66139999999999</v>
      </c>
      <c r="H904" s="1">
        <v>-1.4896089999999999E-6</v>
      </c>
      <c r="I904">
        <v>369.19349999999997</v>
      </c>
      <c r="J904">
        <v>-238.35990000000001</v>
      </c>
      <c r="K904">
        <v>1.1108629999999999</v>
      </c>
      <c r="L904">
        <v>368.03539999999998</v>
      </c>
      <c r="M904">
        <v>0.99984439999999997</v>
      </c>
      <c r="N904">
        <v>0</v>
      </c>
      <c r="O904">
        <v>1.034702E-2</v>
      </c>
      <c r="P904">
        <v>0.99756440000000002</v>
      </c>
      <c r="Q904">
        <v>-5.7091809999999998E-3</v>
      </c>
      <c r="R904">
        <v>6.9518389999999999E-2</v>
      </c>
      <c r="S904">
        <v>2.9955750000000001</v>
      </c>
      <c r="T904">
        <v>-0.1521586</v>
      </c>
      <c r="U904">
        <v>0.15890499999999999</v>
      </c>
      <c r="V904">
        <v>-5.919671E-2</v>
      </c>
      <c r="W904">
        <v>8.5193709999999995E-3</v>
      </c>
      <c r="X904">
        <v>0.99821000000000004</v>
      </c>
      <c r="Y904">
        <v>-4.2594279999999998E-2</v>
      </c>
      <c r="Z904">
        <v>5.5544630000000002E-4</v>
      </c>
      <c r="AA904">
        <v>0.99909230000000004</v>
      </c>
      <c r="AB904">
        <v>30</v>
      </c>
      <c r="AC904">
        <v>21.698499999999999</v>
      </c>
      <c r="AD904">
        <v>-1.1108644896090001</v>
      </c>
      <c r="AE904">
        <v>1.1580999999999899</v>
      </c>
      <c r="AF904">
        <v>-0.93106689115214403</v>
      </c>
      <c r="AG904">
        <v>-1.1108644896090001</v>
      </c>
      <c r="AH904">
        <v>21.652732259714099</v>
      </c>
      <c r="AI904">
        <v>92.934201817095399</v>
      </c>
      <c r="AJ904">
        <v>92.462200155366901</v>
      </c>
      <c r="AK904">
        <v>21.701191667301099</v>
      </c>
      <c r="AL904">
        <v>89.511870101114596</v>
      </c>
      <c r="AM904">
        <v>93.393828931123807</v>
      </c>
      <c r="AN904">
        <v>1.0000000171285199</v>
      </c>
    </row>
    <row r="905" spans="1:40" x14ac:dyDescent="0.3">
      <c r="A905" t="str">
        <f>"20200111160421179"</f>
        <v>20200111160421179</v>
      </c>
      <c r="B905" t="str">
        <f>"1578729861171501"</f>
        <v>1578729861171501</v>
      </c>
      <c r="C905" t="s">
        <v>40</v>
      </c>
      <c r="D905">
        <v>5.6594540000000002</v>
      </c>
      <c r="E905">
        <v>0.54617669999999996</v>
      </c>
      <c r="F905" t="s">
        <v>41</v>
      </c>
      <c r="G905">
        <v>-217.04249999999999</v>
      </c>
      <c r="H905" s="1">
        <v>-1.3320319999999999E-6</v>
      </c>
      <c r="I905">
        <v>369.16019999999997</v>
      </c>
      <c r="J905">
        <v>-238.2013</v>
      </c>
      <c r="K905">
        <v>1.110859</v>
      </c>
      <c r="L905">
        <v>368.03710000000001</v>
      </c>
      <c r="M905">
        <v>0.99984280000000003</v>
      </c>
      <c r="N905">
        <v>0</v>
      </c>
      <c r="O905">
        <v>1.051117E-2</v>
      </c>
      <c r="P905">
        <v>0.99758769999999997</v>
      </c>
      <c r="Q905">
        <v>-6.9903969999999998E-3</v>
      </c>
      <c r="R905">
        <v>6.9066459999999996E-2</v>
      </c>
      <c r="S905">
        <v>2.995438</v>
      </c>
      <c r="T905">
        <v>-0.1560937</v>
      </c>
      <c r="U905">
        <v>0.15805050000000001</v>
      </c>
      <c r="V905">
        <v>-5.8579949999999999E-2</v>
      </c>
      <c r="W905">
        <v>7.238151E-3</v>
      </c>
      <c r="X905">
        <v>0.99825649999999999</v>
      </c>
      <c r="Y905">
        <v>-4.2147120000000003E-2</v>
      </c>
      <c r="Z905">
        <v>5.4964629999999998E-4</v>
      </c>
      <c r="AA905">
        <v>0.99911119999999998</v>
      </c>
      <c r="AB905">
        <v>30</v>
      </c>
      <c r="AC905">
        <v>21.158799999999999</v>
      </c>
      <c r="AD905">
        <v>-1.1108603320320001</v>
      </c>
      <c r="AE905">
        <v>1.12309999999996</v>
      </c>
      <c r="AF905">
        <v>-0.89814286769107698</v>
      </c>
      <c r="AG905">
        <v>-1.1108603320320001</v>
      </c>
      <c r="AH905">
        <v>21.111409886754199</v>
      </c>
      <c r="AI905">
        <v>93.009349136593499</v>
      </c>
      <c r="AJ905">
        <v>92.436065797679106</v>
      </c>
      <c r="AK905">
        <v>21.1596856946082</v>
      </c>
      <c r="AL905">
        <v>89.585280883457202</v>
      </c>
      <c r="AM905">
        <v>93.358394510605294</v>
      </c>
      <c r="AN905">
        <v>1.00000002058207</v>
      </c>
    </row>
    <row r="906" spans="1:40" x14ac:dyDescent="0.3">
      <c r="A906" t="str">
        <f>"20200111160421197"</f>
        <v>20200111160421197</v>
      </c>
      <c r="B906" t="str">
        <f>"1578729861191996"</f>
        <v>1578729861191996</v>
      </c>
      <c r="C906" t="s">
        <v>40</v>
      </c>
      <c r="D906">
        <v>5.3693210000000002</v>
      </c>
      <c r="E906">
        <v>0.55194929999999998</v>
      </c>
      <c r="F906" t="s">
        <v>42</v>
      </c>
      <c r="G906">
        <v>-237.42910000000001</v>
      </c>
      <c r="H906">
        <v>1.0193160000000001</v>
      </c>
      <c r="I906">
        <v>367.99990000000003</v>
      </c>
      <c r="J906">
        <v>-237.96170000000001</v>
      </c>
      <c r="K906">
        <v>1.1108530000000001</v>
      </c>
      <c r="L906">
        <v>368.03989999999999</v>
      </c>
      <c r="M906">
        <v>0.99984019999999996</v>
      </c>
      <c r="N906">
        <v>0</v>
      </c>
      <c r="O906">
        <v>1.0758999999999999E-2</v>
      </c>
      <c r="P906">
        <v>0.99765420000000005</v>
      </c>
      <c r="Q906">
        <v>-8.8606250000000004E-3</v>
      </c>
      <c r="R906">
        <v>6.7879140000000004E-2</v>
      </c>
      <c r="S906">
        <v>3.0148160000000002</v>
      </c>
      <c r="T906">
        <v>-0.35748679999999999</v>
      </c>
      <c r="U906">
        <v>-0.1451721</v>
      </c>
      <c r="V906">
        <v>-5.7143489999999998E-2</v>
      </c>
      <c r="W906">
        <v>5.3666010000000004E-3</v>
      </c>
      <c r="X906">
        <v>0.99835160000000001</v>
      </c>
      <c r="Y906">
        <v>5.8358849999999997E-2</v>
      </c>
      <c r="Z906">
        <v>-4.7167240000000003E-3</v>
      </c>
      <c r="AA906">
        <v>0.99828450000000002</v>
      </c>
      <c r="AB906">
        <v>30</v>
      </c>
      <c r="AC906">
        <v>0.53260000000000196</v>
      </c>
      <c r="AD906">
        <v>-9.1537000000000202E-2</v>
      </c>
      <c r="AE906">
        <v>-3.9999999999963599E-2</v>
      </c>
      <c r="AF906">
        <v>4.4423655855631503E-2</v>
      </c>
      <c r="AG906">
        <v>-9.1537000000000202E-2</v>
      </c>
      <c r="AH906">
        <v>0.51695426667283395</v>
      </c>
      <c r="AI906">
        <v>100.00514825912001</v>
      </c>
      <c r="AJ906">
        <v>85.088443029370296</v>
      </c>
      <c r="AK906">
        <v>0.52687208827174303</v>
      </c>
      <c r="AL906">
        <v>89.692514951179504</v>
      </c>
      <c r="AM906">
        <v>93.275912347255598</v>
      </c>
      <c r="AN906">
        <v>1.00000004803911</v>
      </c>
    </row>
    <row r="907" spans="1:40" x14ac:dyDescent="0.3">
      <c r="A907" t="str">
        <f>"20200111160421209"</f>
        <v>20200111160421209</v>
      </c>
      <c r="B907" t="str">
        <f>"1578729861201756"</f>
        <v>1578729861201756</v>
      </c>
      <c r="C907" t="s">
        <v>40</v>
      </c>
      <c r="D907">
        <v>5.6506069999999999</v>
      </c>
      <c r="E907">
        <v>0.55171499999999996</v>
      </c>
      <c r="F907" t="s">
        <v>42</v>
      </c>
      <c r="G907">
        <v>-237.16139999999999</v>
      </c>
      <c r="H907">
        <v>1.0136149999999999</v>
      </c>
      <c r="I907">
        <v>367.98860000000002</v>
      </c>
      <c r="J907">
        <v>-237.8015</v>
      </c>
      <c r="K907">
        <v>1.110852</v>
      </c>
      <c r="L907">
        <v>368.04180000000002</v>
      </c>
      <c r="M907">
        <v>0.99983840000000002</v>
      </c>
      <c r="N907">
        <v>0</v>
      </c>
      <c r="O907">
        <v>1.092452E-2</v>
      </c>
      <c r="P907">
        <v>0.99768939999999995</v>
      </c>
      <c r="Q907">
        <v>-9.203447E-3</v>
      </c>
      <c r="R907">
        <v>6.7316810000000005E-2</v>
      </c>
      <c r="S907">
        <v>3.017029</v>
      </c>
      <c r="T907">
        <v>-0.36641849999999998</v>
      </c>
      <c r="U907">
        <v>-0.19421389999999999</v>
      </c>
      <c r="V907">
        <v>-5.6415699999999902E-2</v>
      </c>
      <c r="W907">
        <v>5.0232829999999999E-3</v>
      </c>
      <c r="X907">
        <v>0.99839469999999997</v>
      </c>
      <c r="Y907">
        <v>7.4513499999999996E-2</v>
      </c>
      <c r="Z907">
        <v>-5.82447E-3</v>
      </c>
      <c r="AA907">
        <v>0.99720299999999995</v>
      </c>
      <c r="AB907">
        <v>30</v>
      </c>
      <c r="AC907">
        <v>0.64010000000001799</v>
      </c>
      <c r="AD907">
        <v>-9.7237000000000004E-2</v>
      </c>
      <c r="AE907">
        <v>-5.3200000000003897E-2</v>
      </c>
      <c r="AF907">
        <v>5.8841783263921497E-2</v>
      </c>
      <c r="AG907">
        <v>-9.7237000000000004E-2</v>
      </c>
      <c r="AH907">
        <v>0.62515325206301497</v>
      </c>
      <c r="AI907">
        <v>98.802710142803903</v>
      </c>
      <c r="AJ907">
        <v>84.622946620103704</v>
      </c>
      <c r="AK907">
        <v>0.63540064383949202</v>
      </c>
      <c r="AL907">
        <v>89.712185865962297</v>
      </c>
      <c r="AM907">
        <v>93.234139544634104</v>
      </c>
      <c r="AN907">
        <v>0.99999997078333802</v>
      </c>
    </row>
    <row r="908" spans="1:40" x14ac:dyDescent="0.3">
      <c r="A908" t="str">
        <f>"20200111160421222"</f>
        <v>20200111160421222</v>
      </c>
      <c r="B908" t="str">
        <f>"1578729861211516"</f>
        <v>1578729861211516</v>
      </c>
      <c r="C908" t="s">
        <v>40</v>
      </c>
      <c r="D908">
        <v>5.3478379999999897</v>
      </c>
      <c r="E908">
        <v>0.55284540000000004</v>
      </c>
      <c r="F908" t="s">
        <v>42</v>
      </c>
      <c r="G908">
        <v>-236.8972</v>
      </c>
      <c r="H908">
        <v>1.0014620000000001</v>
      </c>
      <c r="I908">
        <v>367.98349999999999</v>
      </c>
      <c r="J908">
        <v>-237.6319</v>
      </c>
      <c r="K908">
        <v>1.110852</v>
      </c>
      <c r="L908">
        <v>368.04390000000001</v>
      </c>
      <c r="M908">
        <v>0.99983639999999996</v>
      </c>
      <c r="N908">
        <v>0</v>
      </c>
      <c r="O908">
        <v>1.1099879999999999E-2</v>
      </c>
      <c r="P908">
        <v>0.99773350000000005</v>
      </c>
      <c r="Q908">
        <v>-9.1605019999999992E-3</v>
      </c>
      <c r="R908">
        <v>6.6665539999999995E-2</v>
      </c>
      <c r="S908">
        <v>3.0166780000000002</v>
      </c>
      <c r="T908">
        <v>-0.36511310000000002</v>
      </c>
      <c r="U908">
        <v>-0.19415279999999999</v>
      </c>
      <c r="V908">
        <v>-5.5588739999999998E-2</v>
      </c>
      <c r="W908">
        <v>5.0657219999999999E-3</v>
      </c>
      <c r="X908">
        <v>0.99844089999999996</v>
      </c>
      <c r="Y908">
        <v>7.4677549999999995E-2</v>
      </c>
      <c r="Z908">
        <v>-5.8355539999999997E-3</v>
      </c>
      <c r="AA908">
        <v>0.99719069999999999</v>
      </c>
      <c r="AB908">
        <v>30</v>
      </c>
      <c r="AC908">
        <v>0.73470000000000302</v>
      </c>
      <c r="AD908">
        <v>-0.109389999999999</v>
      </c>
      <c r="AE908">
        <v>-6.0400000000015497E-2</v>
      </c>
      <c r="AF908">
        <v>6.7075220973333294E-2</v>
      </c>
      <c r="AG908">
        <v>-0.109389999999999</v>
      </c>
      <c r="AH908">
        <v>0.71817038836773595</v>
      </c>
      <c r="AI908">
        <v>98.623626020210594</v>
      </c>
      <c r="AJ908">
        <v>84.664204151345601</v>
      </c>
      <c r="AK908">
        <v>0.72954366839613205</v>
      </c>
      <c r="AL908">
        <v>89.709754267896002</v>
      </c>
      <c r="AM908">
        <v>93.186683737578207</v>
      </c>
      <c r="AN908">
        <v>1.0000000001734799</v>
      </c>
    </row>
    <row r="909" spans="1:40" x14ac:dyDescent="0.3">
      <c r="A909" t="str">
        <f>"20200111160421234"</f>
        <v>20200111160421234</v>
      </c>
      <c r="B909" t="str">
        <f>"1578729861232012"</f>
        <v>1578729861232012</v>
      </c>
      <c r="C909" t="s">
        <v>40</v>
      </c>
      <c r="D909">
        <v>5.5738219999999998</v>
      </c>
      <c r="E909">
        <v>0.55379769999999995</v>
      </c>
      <c r="F909" t="s">
        <v>42</v>
      </c>
      <c r="G909">
        <v>-236.88759999999999</v>
      </c>
      <c r="H909">
        <v>1.020931</v>
      </c>
      <c r="I909">
        <v>367.99310000000003</v>
      </c>
      <c r="J909">
        <v>-237.46729999999999</v>
      </c>
      <c r="K909">
        <v>1.110857</v>
      </c>
      <c r="L909">
        <v>368.04590000000002</v>
      </c>
      <c r="M909">
        <v>0.99983469999999997</v>
      </c>
      <c r="N909">
        <v>0</v>
      </c>
      <c r="O909">
        <v>1.127005E-2</v>
      </c>
      <c r="P909">
        <v>0.9977857</v>
      </c>
      <c r="Q909">
        <v>-8.8276450000000003E-3</v>
      </c>
      <c r="R909">
        <v>6.592539E-2</v>
      </c>
      <c r="S909">
        <v>3.0171809999999999</v>
      </c>
      <c r="T909">
        <v>-0.36472070000000001</v>
      </c>
      <c r="U909">
        <v>-0.2051086</v>
      </c>
      <c r="V909">
        <v>-5.4678320000000002E-2</v>
      </c>
      <c r="W909">
        <v>5.3980729999999998E-3</v>
      </c>
      <c r="X909">
        <v>0.99848939999999997</v>
      </c>
      <c r="Y909">
        <v>7.8414600000000001E-2</v>
      </c>
      <c r="Z909">
        <v>-6.072951E-3</v>
      </c>
      <c r="AA909">
        <v>0.99690230000000002</v>
      </c>
      <c r="AB909">
        <v>30</v>
      </c>
      <c r="AC909">
        <v>0.57970000000000199</v>
      </c>
      <c r="AD909">
        <v>-8.9925999999999895E-2</v>
      </c>
      <c r="AE909">
        <v>-5.2799999999990598E-2</v>
      </c>
      <c r="AF909">
        <v>5.7947593489693E-2</v>
      </c>
      <c r="AG909">
        <v>-8.9925999999999895E-2</v>
      </c>
      <c r="AH909">
        <v>0.56557027100838697</v>
      </c>
      <c r="AI909">
        <v>98.988154334302905</v>
      </c>
      <c r="AJ909">
        <v>84.149962857925203</v>
      </c>
      <c r="AK909">
        <v>0.57559911441536005</v>
      </c>
      <c r="AL909">
        <v>89.690711688203095</v>
      </c>
      <c r="AM909">
        <v>93.134445929030903</v>
      </c>
      <c r="AN909">
        <v>0.99999996989124695</v>
      </c>
    </row>
    <row r="910" spans="1:40" x14ac:dyDescent="0.3">
      <c r="A910" t="str">
        <f>"20200111160421246"</f>
        <v>20200111160421246</v>
      </c>
      <c r="B910" t="str">
        <f>"1578729861241772"</f>
        <v>1578729861241772</v>
      </c>
      <c r="C910" t="s">
        <v>40</v>
      </c>
      <c r="D910">
        <v>5.3261960000000004</v>
      </c>
      <c r="E910">
        <v>0.55462809999999996</v>
      </c>
      <c r="F910" t="s">
        <v>42</v>
      </c>
      <c r="G910">
        <v>-236.62299999999999</v>
      </c>
      <c r="H910">
        <v>1.0102850000000001</v>
      </c>
      <c r="I910">
        <v>367.98559999999998</v>
      </c>
      <c r="J910">
        <v>-237.3004</v>
      </c>
      <c r="K910">
        <v>1.1108610000000001</v>
      </c>
      <c r="L910">
        <v>368.04790000000003</v>
      </c>
      <c r="M910">
        <v>0.99983259999999996</v>
      </c>
      <c r="N910">
        <v>0</v>
      </c>
      <c r="O910">
        <v>1.144301E-2</v>
      </c>
      <c r="P910">
        <v>0.99782780000000004</v>
      </c>
      <c r="Q910">
        <v>-8.5964000000000006E-3</v>
      </c>
      <c r="R910">
        <v>6.5314239999999996E-2</v>
      </c>
      <c r="S910">
        <v>3.0177</v>
      </c>
      <c r="T910">
        <v>-0.35951300000000003</v>
      </c>
      <c r="U910">
        <v>-0.2149963</v>
      </c>
      <c r="V910">
        <v>-5.3894079999999997E-2</v>
      </c>
      <c r="W910">
        <v>5.6288589999999999E-3</v>
      </c>
      <c r="X910">
        <v>0.99853080000000005</v>
      </c>
      <c r="Y910">
        <v>8.1819240000000001E-2</v>
      </c>
      <c r="Z910">
        <v>-6.2075150000000003E-3</v>
      </c>
      <c r="AA910">
        <v>0.99662790000000001</v>
      </c>
      <c r="AB910">
        <v>30</v>
      </c>
      <c r="AC910">
        <v>0.677400000000005</v>
      </c>
      <c r="AD910">
        <v>-0.100576</v>
      </c>
      <c r="AE910">
        <v>-6.2300000000050197E-2</v>
      </c>
      <c r="AF910">
        <v>6.8549741690074495E-2</v>
      </c>
      <c r="AG910">
        <v>-0.100576</v>
      </c>
      <c r="AH910">
        <v>0.66216800090569905</v>
      </c>
      <c r="AI910">
        <v>98.591359484613605</v>
      </c>
      <c r="AJ910">
        <v>84.089612280406598</v>
      </c>
      <c r="AK910">
        <v>0.67326150958244002</v>
      </c>
      <c r="AL910">
        <v>89.677488435063495</v>
      </c>
      <c r="AM910">
        <v>93.089449090133201</v>
      </c>
      <c r="AN910">
        <v>1.0000000072306601</v>
      </c>
    </row>
    <row r="911" spans="1:40" x14ac:dyDescent="0.3">
      <c r="A911" t="str">
        <f>"20200111160421258"</f>
        <v>20200111160421258</v>
      </c>
      <c r="B911" t="str">
        <f>"1578729861251534"</f>
        <v>1578729861251534</v>
      </c>
      <c r="C911" t="s">
        <v>40</v>
      </c>
      <c r="D911">
        <v>5.3820589999999999</v>
      </c>
      <c r="E911">
        <v>0.55530649999999904</v>
      </c>
      <c r="F911" t="s">
        <v>42</v>
      </c>
      <c r="G911">
        <v>-236.3586</v>
      </c>
      <c r="H911">
        <v>0.99953440000000005</v>
      </c>
      <c r="I911">
        <v>367.97820000000002</v>
      </c>
      <c r="J911">
        <v>-237.1387</v>
      </c>
      <c r="K911">
        <v>1.1108640000000001</v>
      </c>
      <c r="L911">
        <v>368.05</v>
      </c>
      <c r="M911">
        <v>0.99983069999999996</v>
      </c>
      <c r="N911">
        <v>0</v>
      </c>
      <c r="O911">
        <v>1.161044E-2</v>
      </c>
      <c r="P911">
        <v>0.99788060000000001</v>
      </c>
      <c r="Q911">
        <v>-7.9457369999999996E-3</v>
      </c>
      <c r="R911">
        <v>6.4585439999999994E-2</v>
      </c>
      <c r="S911">
        <v>3.0180820000000002</v>
      </c>
      <c r="T911">
        <v>-0.35674420000000001</v>
      </c>
      <c r="U911">
        <v>-0.2234497</v>
      </c>
      <c r="V911">
        <v>-5.2997750000000003E-2</v>
      </c>
      <c r="W911">
        <v>6.2792519999999999E-3</v>
      </c>
      <c r="X911">
        <v>0.99857490000000004</v>
      </c>
      <c r="Y911">
        <v>8.4742590000000007E-2</v>
      </c>
      <c r="Z911">
        <v>-6.3502949999999997E-3</v>
      </c>
      <c r="AA911">
        <v>0.99638269999999995</v>
      </c>
      <c r="AB911">
        <v>30</v>
      </c>
      <c r="AC911">
        <v>0.78010000000000401</v>
      </c>
      <c r="AD911">
        <v>-0.111329599999999</v>
      </c>
      <c r="AE911">
        <v>-7.1799999999996006E-2</v>
      </c>
      <c r="AF911">
        <v>7.9252826579036803E-2</v>
      </c>
      <c r="AG911">
        <v>-0.111329599999999</v>
      </c>
      <c r="AH911">
        <v>0.76378851002119696</v>
      </c>
      <c r="AI911">
        <v>98.249339205565903</v>
      </c>
      <c r="AJ911">
        <v>84.076029945720293</v>
      </c>
      <c r="AK911">
        <v>0.77591763634894095</v>
      </c>
      <c r="AL911">
        <v>89.640223001452995</v>
      </c>
      <c r="AM911">
        <v>93.038030605429896</v>
      </c>
      <c r="AN911">
        <v>1.0000000107103699</v>
      </c>
    </row>
    <row r="912" spans="1:40" x14ac:dyDescent="0.3">
      <c r="A912" t="str">
        <f>"20200111160421270"</f>
        <v>20200111160421270</v>
      </c>
      <c r="B912" t="str">
        <f>"1578729861261295"</f>
        <v>1578729861261295</v>
      </c>
      <c r="C912" t="s">
        <v>40</v>
      </c>
      <c r="D912">
        <v>5.42272</v>
      </c>
      <c r="E912">
        <v>0.5558324</v>
      </c>
      <c r="F912" t="s">
        <v>42</v>
      </c>
      <c r="G912">
        <v>-236.3494</v>
      </c>
      <c r="H912">
        <v>1.018564</v>
      </c>
      <c r="I912">
        <v>367.98950000000002</v>
      </c>
      <c r="J912">
        <v>-236.98519999999999</v>
      </c>
      <c r="K912">
        <v>1.1108709999999999</v>
      </c>
      <c r="L912">
        <v>368.05189999999999</v>
      </c>
      <c r="M912">
        <v>0.99982899999999997</v>
      </c>
      <c r="N912">
        <v>0</v>
      </c>
      <c r="O912">
        <v>1.176899E-2</v>
      </c>
      <c r="P912">
        <v>0.99792409999999998</v>
      </c>
      <c r="Q912">
        <v>-6.894631E-3</v>
      </c>
      <c r="R912">
        <v>6.4030889999999993E-2</v>
      </c>
      <c r="S912">
        <v>3.0185089999999999</v>
      </c>
      <c r="T912">
        <v>-0.35292400000000002</v>
      </c>
      <c r="U912">
        <v>-0.2312012</v>
      </c>
      <c r="V912">
        <v>-5.2285030000000003E-2</v>
      </c>
      <c r="W912">
        <v>7.3297010000000001E-3</v>
      </c>
      <c r="X912">
        <v>0.99860530000000003</v>
      </c>
      <c r="Y912">
        <v>8.7429350000000003E-2</v>
      </c>
      <c r="Z912">
        <v>-6.4560390000000002E-3</v>
      </c>
      <c r="AA912">
        <v>0.99614979999999997</v>
      </c>
      <c r="AB912">
        <v>30</v>
      </c>
      <c r="AC912">
        <v>0.63579999999998904</v>
      </c>
      <c r="AD912">
        <v>-9.2306999999999903E-2</v>
      </c>
      <c r="AE912">
        <v>-6.2399999999968203E-2</v>
      </c>
      <c r="AF912">
        <v>6.8450139256801601E-2</v>
      </c>
      <c r="AG912">
        <v>-9.2306999999999903E-2</v>
      </c>
      <c r="AH912">
        <v>0.62203535780361796</v>
      </c>
      <c r="AI912">
        <v>98.390890599459794</v>
      </c>
      <c r="AJ912">
        <v>83.720312545492604</v>
      </c>
      <c r="AK912">
        <v>0.63256145169552502</v>
      </c>
      <c r="AL912">
        <v>89.580035305904005</v>
      </c>
      <c r="AM912">
        <v>92.997158734751295</v>
      </c>
      <c r="AN912">
        <v>0.99999999703346998</v>
      </c>
    </row>
    <row r="913" spans="1:40" x14ac:dyDescent="0.3">
      <c r="A913" t="str">
        <f>"20200111160421281"</f>
        <v>20200111160421281</v>
      </c>
      <c r="B913" t="str">
        <f>"1578729861272029"</f>
        <v>1578729861272029</v>
      </c>
      <c r="C913" t="s">
        <v>40</v>
      </c>
      <c r="D913">
        <v>5.394323</v>
      </c>
      <c r="E913">
        <v>0.55620369999999997</v>
      </c>
      <c r="F913" t="s">
        <v>42</v>
      </c>
      <c r="G913">
        <v>-236.0855</v>
      </c>
      <c r="H913">
        <v>1.0073810000000001</v>
      </c>
      <c r="I913">
        <v>367.98129999999998</v>
      </c>
      <c r="J913">
        <v>-236.82380000000001</v>
      </c>
      <c r="K913">
        <v>1.1108720000000001</v>
      </c>
      <c r="L913">
        <v>368.05399999999997</v>
      </c>
      <c r="M913">
        <v>0.99982689999999996</v>
      </c>
      <c r="N913">
        <v>0</v>
      </c>
      <c r="O913">
        <v>1.1936240000000001E-2</v>
      </c>
      <c r="P913">
        <v>0.99795370000000005</v>
      </c>
      <c r="Q913">
        <v>-6.1995740000000002E-3</v>
      </c>
      <c r="R913">
        <v>6.3639829999999994E-2</v>
      </c>
      <c r="S913">
        <v>3.019028</v>
      </c>
      <c r="T913">
        <v>-0.34727829999999998</v>
      </c>
      <c r="U913">
        <v>-0.23690800000000001</v>
      </c>
      <c r="V913">
        <v>-5.1726679999999997E-2</v>
      </c>
      <c r="W913">
        <v>8.0234769999999993E-3</v>
      </c>
      <c r="X913">
        <v>0.99862899999999999</v>
      </c>
      <c r="Y913">
        <v>8.9461699999999894E-2</v>
      </c>
      <c r="Z913">
        <v>-6.4873860000000004E-3</v>
      </c>
      <c r="AA913">
        <v>0.99596910000000005</v>
      </c>
      <c r="AB913">
        <v>30</v>
      </c>
      <c r="AC913">
        <v>0.73830000000000895</v>
      </c>
      <c r="AD913">
        <v>-0.103491</v>
      </c>
      <c r="AE913">
        <v>-7.2700000000054305E-2</v>
      </c>
      <c r="AF913">
        <v>7.9952349792676E-2</v>
      </c>
      <c r="AG913">
        <v>-0.103491</v>
      </c>
      <c r="AH913">
        <v>0.72330385724583601</v>
      </c>
      <c r="AI913">
        <v>98.0940289663274</v>
      </c>
      <c r="AJ913">
        <v>83.692263278626001</v>
      </c>
      <c r="AK913">
        <v>0.73503145186112595</v>
      </c>
      <c r="AL913">
        <v>89.540283676546196</v>
      </c>
      <c r="AM913">
        <v>92.965139361847307</v>
      </c>
      <c r="AN913">
        <v>0.99999995262399399</v>
      </c>
    </row>
    <row r="914" spans="1:40" x14ac:dyDescent="0.3">
      <c r="A914" t="str">
        <f>"20200111160421294"</f>
        <v>20200111160421294</v>
      </c>
      <c r="B914" t="str">
        <f>"1578729861291549"</f>
        <v>1578729861291549</v>
      </c>
      <c r="C914" t="s">
        <v>40</v>
      </c>
      <c r="D914">
        <v>5.6045309999999997</v>
      </c>
      <c r="E914">
        <v>0.55607930000000005</v>
      </c>
      <c r="F914" t="s">
        <v>42</v>
      </c>
      <c r="G914">
        <v>-236.07660000000001</v>
      </c>
      <c r="H914">
        <v>1.0257769999999999</v>
      </c>
      <c r="I914">
        <v>367.99430000000001</v>
      </c>
      <c r="J914">
        <v>-236.65799999999999</v>
      </c>
      <c r="K914">
        <v>1.1108709999999999</v>
      </c>
      <c r="L914">
        <v>368.05619999999999</v>
      </c>
      <c r="M914">
        <v>0.99982490000000002</v>
      </c>
      <c r="N914">
        <v>0</v>
      </c>
      <c r="O914">
        <v>1.210784E-2</v>
      </c>
      <c r="P914">
        <v>0.9979903</v>
      </c>
      <c r="Q914">
        <v>-5.6739059999999899E-3</v>
      </c>
      <c r="R914">
        <v>6.3113429999999998E-2</v>
      </c>
      <c r="S914">
        <v>3.0193789999999998</v>
      </c>
      <c r="T914">
        <v>-0.34386040000000001</v>
      </c>
      <c r="U914">
        <v>-0.24118039999999999</v>
      </c>
      <c r="V914">
        <v>-5.1029310000000001E-2</v>
      </c>
      <c r="W914">
        <v>8.5484580000000001E-3</v>
      </c>
      <c r="X914">
        <v>0.99866060000000001</v>
      </c>
      <c r="Y914">
        <v>9.1026070000000001E-2</v>
      </c>
      <c r="Z914">
        <v>-6.5309620000000004E-3</v>
      </c>
      <c r="AA914">
        <v>0.99582709999999997</v>
      </c>
      <c r="AB914">
        <v>30</v>
      </c>
      <c r="AC914">
        <v>0.58139999999997305</v>
      </c>
      <c r="AD914">
        <v>-8.5094000000000003E-2</v>
      </c>
      <c r="AE914">
        <v>-6.1899999999979999E-2</v>
      </c>
      <c r="AF914">
        <v>6.7505815304771899E-2</v>
      </c>
      <c r="AG914">
        <v>-8.5094000000000003E-2</v>
      </c>
      <c r="AH914">
        <v>0.56856487657779697</v>
      </c>
      <c r="AI914">
        <v>98.453458850300194</v>
      </c>
      <c r="AJ914">
        <v>83.228959334291403</v>
      </c>
      <c r="AK914">
        <v>0.57884716706043204</v>
      </c>
      <c r="AL914">
        <v>89.510203484567995</v>
      </c>
      <c r="AM914">
        <v>92.925141377848902</v>
      </c>
      <c r="AN914">
        <v>1.0000000303028</v>
      </c>
    </row>
    <row r="915" spans="1:40" x14ac:dyDescent="0.3">
      <c r="A915" t="str">
        <f>"20200111160421309"</f>
        <v>20200111160421309</v>
      </c>
      <c r="B915" t="str">
        <f>"1578729861301308"</f>
        <v>1578729861301308</v>
      </c>
      <c r="C915" t="s">
        <v>40</v>
      </c>
      <c r="D915">
        <v>5.4180830000000002</v>
      </c>
      <c r="E915">
        <v>0.55655459999999901</v>
      </c>
      <c r="F915" t="s">
        <v>42</v>
      </c>
      <c r="G915">
        <v>-235.81229999999999</v>
      </c>
      <c r="H915">
        <v>1.0163879999999901</v>
      </c>
      <c r="I915">
        <v>367.98829999999998</v>
      </c>
      <c r="J915">
        <v>-236.45920000000001</v>
      </c>
      <c r="K915">
        <v>1.1108610000000001</v>
      </c>
      <c r="L915">
        <v>368.05880000000002</v>
      </c>
      <c r="M915">
        <v>0.99982260000000001</v>
      </c>
      <c r="N915">
        <v>0</v>
      </c>
      <c r="O915">
        <v>1.2313589999999999E-2</v>
      </c>
      <c r="P915">
        <v>0.99797150000000001</v>
      </c>
      <c r="Q915">
        <v>-6.1678920000000003E-3</v>
      </c>
      <c r="R915">
        <v>6.3366169999999999E-2</v>
      </c>
      <c r="S915">
        <v>3.0194549999999998</v>
      </c>
      <c r="T915">
        <v>-0.3373622</v>
      </c>
      <c r="U915">
        <v>-0.24212649999999999</v>
      </c>
      <c r="V915">
        <v>-5.107619E-2</v>
      </c>
      <c r="W915">
        <v>8.0520880000000006E-3</v>
      </c>
      <c r="X915">
        <v>0.9986623</v>
      </c>
      <c r="Y915">
        <v>9.1559219999999997E-2</v>
      </c>
      <c r="Z915">
        <v>-6.4606009999999998E-3</v>
      </c>
      <c r="AA915">
        <v>0.99577870000000002</v>
      </c>
      <c r="AB915">
        <v>30</v>
      </c>
      <c r="AC915">
        <v>0.64690000000001602</v>
      </c>
      <c r="AD915">
        <v>-9.4473000000000196E-2</v>
      </c>
      <c r="AE915">
        <v>-7.0500000000038199E-2</v>
      </c>
      <c r="AF915">
        <v>7.6841518598238998E-2</v>
      </c>
      <c r="AG915">
        <v>-9.4473000000000196E-2</v>
      </c>
      <c r="AH915">
        <v>0.63264827918911604</v>
      </c>
      <c r="AI915">
        <v>98.432116597892204</v>
      </c>
      <c r="AJ915">
        <v>83.074771302393003</v>
      </c>
      <c r="AK915">
        <v>0.64426206769484196</v>
      </c>
      <c r="AL915">
        <v>89.538644356455805</v>
      </c>
      <c r="AM915">
        <v>92.927819020486098</v>
      </c>
      <c r="AN915">
        <v>1.0000000013736801</v>
      </c>
    </row>
    <row r="916" spans="1:40" x14ac:dyDescent="0.3">
      <c r="A916" t="str">
        <f>"20200111160421330"</f>
        <v>20200111160421330</v>
      </c>
      <c r="B916" t="str">
        <f>"1578729861321804"</f>
        <v>1578729861321804</v>
      </c>
      <c r="C916" t="s">
        <v>40</v>
      </c>
      <c r="D916">
        <v>5.627542</v>
      </c>
      <c r="E916">
        <v>0.55670790000000003</v>
      </c>
      <c r="F916" t="s">
        <v>42</v>
      </c>
      <c r="G916">
        <v>-235.5472</v>
      </c>
      <c r="H916">
        <v>1.0089939999999999</v>
      </c>
      <c r="I916">
        <v>367.98489999999998</v>
      </c>
      <c r="J916">
        <v>-236.1678</v>
      </c>
      <c r="K916">
        <v>1.1108549999999999</v>
      </c>
      <c r="L916">
        <v>368.06270000000001</v>
      </c>
      <c r="M916">
        <v>0.99981869999999995</v>
      </c>
      <c r="N916">
        <v>0</v>
      </c>
      <c r="O916">
        <v>1.261578E-2</v>
      </c>
      <c r="P916">
        <v>0.9978804</v>
      </c>
      <c r="Q916">
        <v>-7.3128439999999998E-3</v>
      </c>
      <c r="R916">
        <v>6.4663170000000006E-2</v>
      </c>
      <c r="S916">
        <v>3.0195620000000001</v>
      </c>
      <c r="T916">
        <v>-0.33722649999999998</v>
      </c>
      <c r="U916">
        <v>-0.2451477</v>
      </c>
      <c r="V916">
        <v>-5.2071399999999997E-2</v>
      </c>
      <c r="W916">
        <v>6.9029429999999999E-3</v>
      </c>
      <c r="X916">
        <v>0.99861949999999999</v>
      </c>
      <c r="Y916">
        <v>9.2838030000000002E-2</v>
      </c>
      <c r="Z916">
        <v>-6.5622110000000001E-3</v>
      </c>
      <c r="AA916">
        <v>0.99565959999999998</v>
      </c>
      <c r="AB916">
        <v>30</v>
      </c>
      <c r="AC916">
        <v>0.62059999999999504</v>
      </c>
      <c r="AD916">
        <v>-0.10186099999999899</v>
      </c>
      <c r="AE916">
        <v>-7.7800000000024697E-2</v>
      </c>
      <c r="AF916">
        <v>8.3411642523998797E-2</v>
      </c>
      <c r="AG916">
        <v>-0.10186099999999899</v>
      </c>
      <c r="AH916">
        <v>0.60356084214291295</v>
      </c>
      <c r="AI916">
        <v>99.490815845457803</v>
      </c>
      <c r="AJ916">
        <v>82.131607767325804</v>
      </c>
      <c r="AK916">
        <v>0.61775307008368197</v>
      </c>
      <c r="AL916">
        <v>89.604487356216595</v>
      </c>
      <c r="AM916">
        <v>92.984892547581197</v>
      </c>
      <c r="AN916">
        <v>0.99999999355013502</v>
      </c>
    </row>
    <row r="917" spans="1:40" x14ac:dyDescent="0.3">
      <c r="A917" t="str">
        <f>"20200111160421342"</f>
        <v>20200111160421342</v>
      </c>
      <c r="B917" t="str">
        <f>"1578729861331565"</f>
        <v>1578729861331565</v>
      </c>
      <c r="C917" t="s">
        <v>40</v>
      </c>
      <c r="D917">
        <v>5.5750890000000002</v>
      </c>
      <c r="E917">
        <v>0.55671230000000005</v>
      </c>
      <c r="F917" t="s">
        <v>42</v>
      </c>
      <c r="G917">
        <v>-235.27770000000001</v>
      </c>
      <c r="H917">
        <v>1.011765</v>
      </c>
      <c r="I917">
        <v>367.99099999999999</v>
      </c>
      <c r="J917">
        <v>-236.00540000000001</v>
      </c>
      <c r="K917">
        <v>1.110852</v>
      </c>
      <c r="L917">
        <v>368.06490000000002</v>
      </c>
      <c r="M917">
        <v>0.9998167</v>
      </c>
      <c r="N917">
        <v>0</v>
      </c>
      <c r="O917">
        <v>1.278398E-2</v>
      </c>
      <c r="P917">
        <v>0.99782059999999995</v>
      </c>
      <c r="Q917">
        <v>-8.3230749999999992E-3</v>
      </c>
      <c r="R917">
        <v>6.5464060000000004E-2</v>
      </c>
      <c r="S917">
        <v>3.0196529999999999</v>
      </c>
      <c r="T917">
        <v>-0.33621069999999997</v>
      </c>
      <c r="U917">
        <v>-0.24304200000000001</v>
      </c>
      <c r="V917">
        <v>-5.2704559999999998E-2</v>
      </c>
      <c r="W917">
        <v>5.8901609999999997E-3</v>
      </c>
      <c r="X917">
        <v>0.99859279999999995</v>
      </c>
      <c r="Y917">
        <v>9.2319319999999996E-2</v>
      </c>
      <c r="Z917">
        <v>-6.5324500000000004E-3</v>
      </c>
      <c r="AA917">
        <v>0.99570800000000004</v>
      </c>
      <c r="AB917">
        <v>30</v>
      </c>
      <c r="AC917">
        <v>0.72769999999999802</v>
      </c>
      <c r="AD917">
        <v>-9.9086999999999897E-2</v>
      </c>
      <c r="AE917">
        <v>-7.3900000000037297E-2</v>
      </c>
      <c r="AF917">
        <v>8.16985129601321E-2</v>
      </c>
      <c r="AG917">
        <v>-9.9086999999999897E-2</v>
      </c>
      <c r="AH917">
        <v>0.71360002502478803</v>
      </c>
      <c r="AI917">
        <v>97.854600428365202</v>
      </c>
      <c r="AJ917">
        <v>83.468767862946706</v>
      </c>
      <c r="AK917">
        <v>0.72506404979441297</v>
      </c>
      <c r="AL917">
        <v>89.662516690156096</v>
      </c>
      <c r="AM917">
        <v>93.021201017834898</v>
      </c>
      <c r="AN917">
        <v>1.0000000224266099</v>
      </c>
    </row>
    <row r="918" spans="1:40" x14ac:dyDescent="0.3">
      <c r="A918" t="str">
        <f>"20200111160421355"</f>
        <v>20200111160421355</v>
      </c>
      <c r="B918" t="str">
        <f>"1578729861352060"</f>
        <v>1578729861352060</v>
      </c>
      <c r="C918" t="s">
        <v>40</v>
      </c>
      <c r="D918">
        <v>5.5045400000000004</v>
      </c>
      <c r="E918">
        <v>0.55711379999999999</v>
      </c>
      <c r="F918" t="s">
        <v>42</v>
      </c>
      <c r="G918">
        <v>-235.2697</v>
      </c>
      <c r="H918">
        <v>1.0282979999999999</v>
      </c>
      <c r="I918">
        <v>368.00619999999998</v>
      </c>
      <c r="J918">
        <v>-235.84100000000001</v>
      </c>
      <c r="K918">
        <v>1.110846</v>
      </c>
      <c r="L918">
        <v>368.06729999999999</v>
      </c>
      <c r="M918">
        <v>0.99981450000000005</v>
      </c>
      <c r="N918">
        <v>0</v>
      </c>
      <c r="O918">
        <v>1.2954449999999999E-2</v>
      </c>
      <c r="P918">
        <v>0.99773730000000005</v>
      </c>
      <c r="Q918">
        <v>-9.12608E-3</v>
      </c>
      <c r="R918">
        <v>6.6610660000000002E-2</v>
      </c>
      <c r="S918">
        <v>3.0195159999999999</v>
      </c>
      <c r="T918">
        <v>-0.33886149999999998</v>
      </c>
      <c r="U918">
        <v>-0.24072270000000001</v>
      </c>
      <c r="V918">
        <v>-5.3681399999999997E-2</v>
      </c>
      <c r="W918">
        <v>5.084318E-3</v>
      </c>
      <c r="X918">
        <v>0.99854520000000002</v>
      </c>
      <c r="Y918">
        <v>9.1725100000000004E-2</v>
      </c>
      <c r="Z918">
        <v>-6.5699909999999999E-3</v>
      </c>
      <c r="AA918">
        <v>0.9957627</v>
      </c>
      <c r="AB918">
        <v>30</v>
      </c>
      <c r="AC918">
        <v>0.57129999999997905</v>
      </c>
      <c r="AD918">
        <v>-8.2547999999999996E-2</v>
      </c>
      <c r="AE918">
        <v>-6.1100000000010299E-2</v>
      </c>
      <c r="AF918">
        <v>6.7111211890947403E-2</v>
      </c>
      <c r="AG918">
        <v>-8.2547999999999996E-2</v>
      </c>
      <c r="AH918">
        <v>0.55892332901141695</v>
      </c>
      <c r="AI918">
        <v>98.342273340721803</v>
      </c>
      <c r="AJ918">
        <v>83.153142714770397</v>
      </c>
      <c r="AK918">
        <v>0.56895814852999205</v>
      </c>
      <c r="AL918">
        <v>89.708688790466098</v>
      </c>
      <c r="AM918">
        <v>93.077236510156894</v>
      </c>
      <c r="AN918">
        <v>1.0000000297192599</v>
      </c>
    </row>
    <row r="919" spans="1:40" x14ac:dyDescent="0.3">
      <c r="A919" t="str">
        <f>"20200111160421368"</f>
        <v>20200111160421368</v>
      </c>
      <c r="B919" t="str">
        <f>"1578729861361821"</f>
        <v>1578729861361821</v>
      </c>
      <c r="C919" t="s">
        <v>40</v>
      </c>
      <c r="D919">
        <v>5.4106050000000003</v>
      </c>
      <c r="E919">
        <v>0.55733820000000001</v>
      </c>
      <c r="F919" t="s">
        <v>42</v>
      </c>
      <c r="G919">
        <v>-235.00739999999999</v>
      </c>
      <c r="H919">
        <v>1.016821</v>
      </c>
      <c r="I919">
        <v>368.0009</v>
      </c>
      <c r="J919">
        <v>-235.67250000000001</v>
      </c>
      <c r="K919">
        <v>1.1108439999999999</v>
      </c>
      <c r="L919">
        <v>368.06959999999998</v>
      </c>
      <c r="M919">
        <v>0.99981220000000004</v>
      </c>
      <c r="N919">
        <v>0</v>
      </c>
      <c r="O919">
        <v>1.312933E-2</v>
      </c>
      <c r="P919">
        <v>0.99765590000000004</v>
      </c>
      <c r="Q919">
        <v>-9.9719300000000004E-3</v>
      </c>
      <c r="R919">
        <v>6.7701590000000006E-2</v>
      </c>
      <c r="S919">
        <v>3.019714</v>
      </c>
      <c r="T919">
        <v>-0.34050589999999997</v>
      </c>
      <c r="U919">
        <v>-0.24057010000000001</v>
      </c>
      <c r="V919">
        <v>-5.4598639999999997E-2</v>
      </c>
      <c r="W919">
        <v>4.2355559999999997E-3</v>
      </c>
      <c r="X919">
        <v>0.99849940000000004</v>
      </c>
      <c r="Y919">
        <v>9.1836020000000004E-2</v>
      </c>
      <c r="Z919">
        <v>-6.6271139999999999E-3</v>
      </c>
      <c r="AA919">
        <v>0.99575210000000003</v>
      </c>
      <c r="AB919">
        <v>30</v>
      </c>
      <c r="AC919">
        <v>0.66510000000002301</v>
      </c>
      <c r="AD919">
        <v>-9.4022999999999898E-2</v>
      </c>
      <c r="AE919">
        <v>-6.8699999999978403E-2</v>
      </c>
      <c r="AF919">
        <v>7.5925954399895398E-2</v>
      </c>
      <c r="AG919">
        <v>-9.4022999999999898E-2</v>
      </c>
      <c r="AH919">
        <v>0.65126279074107696</v>
      </c>
      <c r="AI919">
        <v>98.160529540111199</v>
      </c>
      <c r="AJ919">
        <v>83.350323081933197</v>
      </c>
      <c r="AK919">
        <v>0.66238077997809597</v>
      </c>
      <c r="AL919">
        <v>89.757319792085099</v>
      </c>
      <c r="AM919">
        <v>93.129856061154399</v>
      </c>
      <c r="AN919">
        <v>1.00000000161241</v>
      </c>
    </row>
    <row r="920" spans="1:40" x14ac:dyDescent="0.3">
      <c r="A920" t="str">
        <f>"20200111160421381"</f>
        <v>20200111160421381</v>
      </c>
      <c r="B920" t="str">
        <f>"1578729861371580"</f>
        <v>1578729861371580</v>
      </c>
      <c r="C920" t="s">
        <v>40</v>
      </c>
      <c r="D920">
        <v>5.6436900000000003</v>
      </c>
      <c r="E920">
        <v>0.55773359999999905</v>
      </c>
      <c r="F920" t="s">
        <v>42</v>
      </c>
      <c r="G920">
        <v>-234.74520000000001</v>
      </c>
      <c r="H920">
        <v>1.005468</v>
      </c>
      <c r="I920">
        <v>367.99610000000001</v>
      </c>
      <c r="J920">
        <v>-235.48920000000001</v>
      </c>
      <c r="K920">
        <v>1.11084</v>
      </c>
      <c r="L920">
        <v>368.07220000000001</v>
      </c>
      <c r="M920">
        <v>0.99980970000000002</v>
      </c>
      <c r="N920">
        <v>0</v>
      </c>
      <c r="O920">
        <v>1.33197E-2</v>
      </c>
      <c r="P920">
        <v>0.99756460000000002</v>
      </c>
      <c r="Q920">
        <v>-1.095753E-2</v>
      </c>
      <c r="R920">
        <v>6.8885589999999997E-2</v>
      </c>
      <c r="S920">
        <v>3.0198670000000001</v>
      </c>
      <c r="T920">
        <v>-0.34325470000000002</v>
      </c>
      <c r="U920">
        <v>-0.2391663</v>
      </c>
      <c r="V920">
        <v>-5.5592950000000002E-2</v>
      </c>
      <c r="W920">
        <v>3.2466040000000002E-3</v>
      </c>
      <c r="X920">
        <v>0.99844829999999996</v>
      </c>
      <c r="Y920">
        <v>9.1551610000000005E-2</v>
      </c>
      <c r="Z920">
        <v>-6.6855150000000004E-3</v>
      </c>
      <c r="AA920">
        <v>0.99577789999999999</v>
      </c>
      <c r="AB920">
        <v>30</v>
      </c>
      <c r="AC920">
        <v>0.743999999999999</v>
      </c>
      <c r="AD920">
        <v>-0.10537199999999999</v>
      </c>
      <c r="AE920">
        <v>-7.6099999999996698E-2</v>
      </c>
      <c r="AF920">
        <v>8.4330066962970407E-2</v>
      </c>
      <c r="AG920">
        <v>-0.10537199999999999</v>
      </c>
      <c r="AH920">
        <v>0.72845953292008503</v>
      </c>
      <c r="AI920">
        <v>98.176907618659996</v>
      </c>
      <c r="AJ920">
        <v>83.3965521423886</v>
      </c>
      <c r="AK920">
        <v>0.74085633538502405</v>
      </c>
      <c r="AL920">
        <v>89.8139829778262</v>
      </c>
      <c r="AM920">
        <v>93.186901011649198</v>
      </c>
      <c r="AN920">
        <v>1.00000006215006</v>
      </c>
    </row>
    <row r="921" spans="1:40" x14ac:dyDescent="0.3">
      <c r="A921" t="str">
        <f>"20200111160421394"</f>
        <v>20200111160421394</v>
      </c>
      <c r="B921" t="str">
        <f>"1578729861392076"</f>
        <v>1578729861392076</v>
      </c>
      <c r="C921" t="s">
        <v>40</v>
      </c>
      <c r="D921">
        <v>5.4628019999999999</v>
      </c>
      <c r="E921">
        <v>0.55805269999999996</v>
      </c>
      <c r="F921" t="s">
        <v>42</v>
      </c>
      <c r="G921">
        <v>-234.73599999999999</v>
      </c>
      <c r="H921">
        <v>1.024656</v>
      </c>
      <c r="I921">
        <v>368.01249999999999</v>
      </c>
      <c r="J921">
        <v>-235.32740000000001</v>
      </c>
      <c r="K921">
        <v>1.110833</v>
      </c>
      <c r="L921">
        <v>368.07459999999998</v>
      </c>
      <c r="M921">
        <v>0.99980749999999996</v>
      </c>
      <c r="N921">
        <v>0</v>
      </c>
      <c r="O921">
        <v>1.348719E-2</v>
      </c>
      <c r="P921">
        <v>0.99747560000000002</v>
      </c>
      <c r="Q921">
        <v>-1.147518E-2</v>
      </c>
      <c r="R921">
        <v>7.0079680000000005E-2</v>
      </c>
      <c r="S921">
        <v>3.0200200000000001</v>
      </c>
      <c r="T921">
        <v>-0.34564420000000001</v>
      </c>
      <c r="U921">
        <v>-0.2390747</v>
      </c>
      <c r="V921">
        <v>-5.6620440000000001E-2</v>
      </c>
      <c r="W921">
        <v>2.7258999999999999E-3</v>
      </c>
      <c r="X921">
        <v>0.99839199999999995</v>
      </c>
      <c r="Y921">
        <v>9.1673309999999994E-2</v>
      </c>
      <c r="Z921">
        <v>-6.7574410000000003E-3</v>
      </c>
      <c r="AA921">
        <v>0.99576620000000005</v>
      </c>
      <c r="AB921">
        <v>30</v>
      </c>
      <c r="AC921">
        <v>0.59140000000002102</v>
      </c>
      <c r="AD921">
        <v>-8.6176999999999906E-2</v>
      </c>
      <c r="AE921">
        <v>-6.2099999999986701E-2</v>
      </c>
      <c r="AF921">
        <v>6.8630124354555205E-2</v>
      </c>
      <c r="AG921">
        <v>-8.6176999999999906E-2</v>
      </c>
      <c r="AH921">
        <v>0.57836188294083202</v>
      </c>
      <c r="AI921">
        <v>98.416631913442401</v>
      </c>
      <c r="AJ921">
        <v>83.232758604417697</v>
      </c>
      <c r="AK921">
        <v>0.58876059390620405</v>
      </c>
      <c r="AL921">
        <v>89.843817232647496</v>
      </c>
      <c r="AM921">
        <v>93.2458603710989</v>
      </c>
      <c r="AN921">
        <v>0.9999999452103</v>
      </c>
    </row>
    <row r="922" spans="1:40" x14ac:dyDescent="0.3">
      <c r="A922" t="str">
        <f>"20200111160421406"</f>
        <v>20200111160421406</v>
      </c>
      <c r="B922" t="str">
        <f>"1578729861401836"</f>
        <v>1578729861401836</v>
      </c>
      <c r="C922" t="s">
        <v>40</v>
      </c>
      <c r="D922">
        <v>5.420388</v>
      </c>
      <c r="E922">
        <v>0.55808840000000004</v>
      </c>
      <c r="F922" t="s">
        <v>42</v>
      </c>
      <c r="G922">
        <v>-234.4744</v>
      </c>
      <c r="H922">
        <v>1.0129220000000001</v>
      </c>
      <c r="I922">
        <v>368.00729999999999</v>
      </c>
      <c r="J922">
        <v>-235.161</v>
      </c>
      <c r="K922">
        <v>1.110824</v>
      </c>
      <c r="L922">
        <v>368.077</v>
      </c>
      <c r="M922">
        <v>0.9998051</v>
      </c>
      <c r="N922">
        <v>0</v>
      </c>
      <c r="O922">
        <v>1.365981E-2</v>
      </c>
      <c r="P922">
        <v>0.99737719999999996</v>
      </c>
      <c r="Q922">
        <v>-1.2088369999999999E-2</v>
      </c>
      <c r="R922">
        <v>7.1362120000000001E-2</v>
      </c>
      <c r="S922">
        <v>3.0203090000000001</v>
      </c>
      <c r="T922">
        <v>-0.34679870000000002</v>
      </c>
      <c r="U922">
        <v>-0.237793</v>
      </c>
      <c r="V922">
        <v>-5.7731159999999997E-2</v>
      </c>
      <c r="W922">
        <v>2.1093510000000002E-3</v>
      </c>
      <c r="X922">
        <v>0.99832989999999999</v>
      </c>
      <c r="Y922">
        <v>9.1413830000000001E-2</v>
      </c>
      <c r="Z922">
        <v>-6.7842359999999999E-3</v>
      </c>
      <c r="AA922">
        <v>0.99578990000000001</v>
      </c>
      <c r="AB922">
        <v>30</v>
      </c>
      <c r="AC922">
        <v>0.68659999999997001</v>
      </c>
      <c r="AD922">
        <v>-9.79020000000001E-2</v>
      </c>
      <c r="AE922">
        <v>-6.97000000000116E-2</v>
      </c>
      <c r="AF922">
        <v>7.75133642531112E-2</v>
      </c>
      <c r="AG922">
        <v>-9.79020000000001E-2</v>
      </c>
      <c r="AH922">
        <v>0.67205895917105396</v>
      </c>
      <c r="AI922">
        <v>98.234413156149401</v>
      </c>
      <c r="AJ922">
        <v>83.4207392553988</v>
      </c>
      <c r="AK922">
        <v>0.68356153186375002</v>
      </c>
      <c r="AL922">
        <v>89.879142996059301</v>
      </c>
      <c r="AM922">
        <v>93.309599463886798</v>
      </c>
      <c r="AN922">
        <v>0.99999996271529701</v>
      </c>
    </row>
    <row r="923" spans="1:40" x14ac:dyDescent="0.3">
      <c r="A923" t="str">
        <f>"20200111160421420"</f>
        <v>20200111160421420</v>
      </c>
      <c r="B923" t="str">
        <f>"1578729861411596"</f>
        <v>1578729861411596</v>
      </c>
      <c r="C923" t="s">
        <v>40</v>
      </c>
      <c r="D923">
        <v>8.6824139999999996</v>
      </c>
      <c r="E923">
        <v>0.55808840000000004</v>
      </c>
      <c r="F923" t="s">
        <v>42</v>
      </c>
      <c r="G923">
        <v>-234.21289999999999</v>
      </c>
      <c r="H923">
        <v>1.0015579999999999</v>
      </c>
      <c r="I923">
        <v>368.00330000000002</v>
      </c>
      <c r="J923">
        <v>-234.96690000000001</v>
      </c>
      <c r="K923">
        <v>1.1108229999999999</v>
      </c>
      <c r="L923">
        <v>368.07990000000001</v>
      </c>
      <c r="M923">
        <v>0.99980250000000004</v>
      </c>
      <c r="N923">
        <v>0</v>
      </c>
      <c r="O923">
        <v>1.386138E-2</v>
      </c>
      <c r="P923">
        <v>0.99720220000000004</v>
      </c>
      <c r="Q923">
        <v>-1.2604219999999999E-2</v>
      </c>
      <c r="R923">
        <v>7.368384E-2</v>
      </c>
      <c r="S923">
        <v>3.0204620000000002</v>
      </c>
      <c r="T923">
        <v>-0.34812379999999998</v>
      </c>
      <c r="U923">
        <v>-0.23455809999999999</v>
      </c>
      <c r="V923">
        <v>-5.9853749999999997E-2</v>
      </c>
      <c r="W923">
        <v>1.58912299999999E-3</v>
      </c>
      <c r="X923">
        <v>0.99820589999999998</v>
      </c>
      <c r="Y923">
        <v>9.0549740000000004E-2</v>
      </c>
      <c r="Z923">
        <v>-6.7834979999999998E-3</v>
      </c>
      <c r="AA923">
        <v>0.9958688</v>
      </c>
      <c r="AB923">
        <v>30</v>
      </c>
      <c r="AC923">
        <v>0.75400000000001899</v>
      </c>
      <c r="AD923">
        <v>-0.109264999999999</v>
      </c>
      <c r="AE923">
        <v>-7.6599999999984902E-2</v>
      </c>
      <c r="AF923">
        <v>8.5272744598002895E-2</v>
      </c>
      <c r="AG923">
        <v>-0.109264999999999</v>
      </c>
      <c r="AH923">
        <v>0.73753562167896303</v>
      </c>
      <c r="AI923">
        <v>98.372031143645202</v>
      </c>
      <c r="AJ923">
        <v>83.404832517322603</v>
      </c>
      <c r="AK923">
        <v>0.75044591706641395</v>
      </c>
      <c r="AL923">
        <v>89.908949921356594</v>
      </c>
      <c r="AM923">
        <v>93.431422484012799</v>
      </c>
      <c r="AN923">
        <v>1.0000000077478901</v>
      </c>
    </row>
    <row r="924" spans="1:40" x14ac:dyDescent="0.3">
      <c r="A924" t="str">
        <f>"20200111160421435"</f>
        <v>20200111160421435</v>
      </c>
      <c r="B924" t="str">
        <f>"1578729861432093"</f>
        <v>1578729861432093</v>
      </c>
      <c r="C924" t="s">
        <v>40</v>
      </c>
      <c r="D924">
        <v>6.0318019999999999</v>
      </c>
      <c r="E924">
        <v>0.50340370000000001</v>
      </c>
      <c r="F924" t="s">
        <v>42</v>
      </c>
      <c r="G924">
        <v>-234.2029</v>
      </c>
      <c r="H924">
        <v>1.022437</v>
      </c>
      <c r="I924">
        <v>368.02229999999997</v>
      </c>
      <c r="J924">
        <v>-234.78809999999999</v>
      </c>
      <c r="K924">
        <v>1.110827</v>
      </c>
      <c r="L924">
        <v>368.08249999999998</v>
      </c>
      <c r="M924">
        <v>0.99979989999999996</v>
      </c>
      <c r="N924">
        <v>0</v>
      </c>
      <c r="O924">
        <v>1.4046869999999999E-2</v>
      </c>
      <c r="P924">
        <v>0.99713039999999997</v>
      </c>
      <c r="Q924">
        <v>-1.232745E-2</v>
      </c>
      <c r="R924">
        <v>7.4694460000000004E-2</v>
      </c>
      <c r="S924">
        <v>3.020813</v>
      </c>
      <c r="T924">
        <v>-0.3495278</v>
      </c>
      <c r="U924">
        <v>-0.2276001</v>
      </c>
      <c r="V924">
        <v>-6.0680489999999997E-2</v>
      </c>
      <c r="W924">
        <v>1.8628270000000001E-3</v>
      </c>
      <c r="X924">
        <v>0.99815549999999997</v>
      </c>
      <c r="Y924">
        <v>8.8452050000000004E-2</v>
      </c>
      <c r="Z924">
        <v>-6.7110590000000001E-3</v>
      </c>
      <c r="AA924">
        <v>0.99605779999999999</v>
      </c>
      <c r="AB924">
        <v>30</v>
      </c>
      <c r="AC924">
        <v>0.58519999999998595</v>
      </c>
      <c r="AD924">
        <v>-8.8389999999999899E-2</v>
      </c>
      <c r="AE924">
        <v>-6.0200000000008899E-2</v>
      </c>
      <c r="AF924">
        <v>6.69047531626078E-2</v>
      </c>
      <c r="AG924">
        <v>-8.8389999999999899E-2</v>
      </c>
      <c r="AH924">
        <v>0.571397304883699</v>
      </c>
      <c r="AI924">
        <v>98.734698148612694</v>
      </c>
      <c r="AJ924">
        <v>83.321662171443705</v>
      </c>
      <c r="AK924">
        <v>0.58205147377539102</v>
      </c>
      <c r="AL924">
        <v>89.893267812896795</v>
      </c>
      <c r="AM924">
        <v>93.478879200128603</v>
      </c>
      <c r="AN924">
        <v>0.99999999708566101</v>
      </c>
    </row>
    <row r="925" spans="1:40" x14ac:dyDescent="0.3">
      <c r="A925" t="str">
        <f>"20200111160421448"</f>
        <v>20200111160421448</v>
      </c>
      <c r="B925" t="str">
        <f>"1578729861441852"</f>
        <v>1578729861441852</v>
      </c>
      <c r="C925" t="s">
        <v>40</v>
      </c>
      <c r="D925">
        <v>5.5575590000000004</v>
      </c>
      <c r="E925">
        <v>0.4994017</v>
      </c>
      <c r="F925" t="s">
        <v>43</v>
      </c>
      <c r="G925">
        <v>-158.19499999999999</v>
      </c>
      <c r="H925">
        <v>3.5991249999999999</v>
      </c>
      <c r="I925">
        <v>372.96260000000001</v>
      </c>
      <c r="J925">
        <v>-234.59399999999999</v>
      </c>
      <c r="K925">
        <v>1.110827</v>
      </c>
      <c r="L925">
        <v>368.08550000000002</v>
      </c>
      <c r="M925">
        <v>0.99979700000000005</v>
      </c>
      <c r="N925">
        <v>0</v>
      </c>
      <c r="O925">
        <v>1.4248210000000001E-2</v>
      </c>
      <c r="P925">
        <v>0.99705790000000005</v>
      </c>
      <c r="Q925">
        <v>-1.173244E-2</v>
      </c>
      <c r="R925">
        <v>7.574902E-2</v>
      </c>
      <c r="S925">
        <v>2.9955440000000002</v>
      </c>
      <c r="T925">
        <v>9.7320320000000002E-2</v>
      </c>
      <c r="U925">
        <v>0.1908569</v>
      </c>
      <c r="V925">
        <v>-6.1534730000000003E-2</v>
      </c>
      <c r="W925">
        <v>2.45458E-3</v>
      </c>
      <c r="X925">
        <v>0.99810189999999999</v>
      </c>
      <c r="Y925">
        <v>-4.9338960000000001E-2</v>
      </c>
      <c r="Z925">
        <v>-3.381554E-4</v>
      </c>
      <c r="AA925">
        <v>0.99878199999999995</v>
      </c>
      <c r="AB925">
        <v>30</v>
      </c>
      <c r="AC925">
        <v>76.399000000000001</v>
      </c>
      <c r="AD925">
        <v>2.4882979999999999</v>
      </c>
      <c r="AE925">
        <v>4.87709999999998</v>
      </c>
      <c r="AF925">
        <v>-3.7839476663889</v>
      </c>
      <c r="AG925">
        <v>2.4882979999999999</v>
      </c>
      <c r="AH925">
        <v>76.380045745365805</v>
      </c>
      <c r="AI925">
        <v>88.136370317508295</v>
      </c>
      <c r="AJ925">
        <v>92.836174306144002</v>
      </c>
      <c r="AK925">
        <v>76.514190023439099</v>
      </c>
      <c r="AL925">
        <v>89.859362780836506</v>
      </c>
      <c r="AM925">
        <v>93.527919862182003</v>
      </c>
      <c r="AN925">
        <v>0.99999997537137897</v>
      </c>
    </row>
    <row r="926" spans="1:40" x14ac:dyDescent="0.3">
      <c r="A926" t="str">
        <f>"20200111160421460"</f>
        <v>20200111160421460</v>
      </c>
      <c r="B926" t="str">
        <f>"1578729861451612"</f>
        <v>1578729861451612</v>
      </c>
      <c r="C926" t="s">
        <v>40</v>
      </c>
      <c r="D926">
        <v>5.5110060000000001</v>
      </c>
      <c r="E926">
        <v>0.49869999999999998</v>
      </c>
      <c r="F926" t="s">
        <v>43</v>
      </c>
      <c r="G926">
        <v>-158.19499999999999</v>
      </c>
      <c r="H926">
        <v>0.20880560000000001</v>
      </c>
      <c r="I926">
        <v>374.01330000000002</v>
      </c>
      <c r="J926">
        <v>-234.42670000000001</v>
      </c>
      <c r="K926">
        <v>1.1108260000000001</v>
      </c>
      <c r="L926">
        <v>368.08800000000002</v>
      </c>
      <c r="M926">
        <v>0.99979450000000003</v>
      </c>
      <c r="N926">
        <v>0</v>
      </c>
      <c r="O926">
        <v>1.44216E-2</v>
      </c>
      <c r="P926">
        <v>0.99699020000000005</v>
      </c>
      <c r="Q926">
        <v>-1.1225010000000001E-2</v>
      </c>
      <c r="R926">
        <v>7.6708879999999993E-2</v>
      </c>
      <c r="S926">
        <v>2.9908139999999999</v>
      </c>
      <c r="T926">
        <v>-3.5308239999999998E-2</v>
      </c>
      <c r="U926">
        <v>0.2320557</v>
      </c>
      <c r="V926">
        <v>-6.232323E-2</v>
      </c>
      <c r="W926">
        <v>2.9585950000000001E-3</v>
      </c>
      <c r="X926">
        <v>0.99805160000000004</v>
      </c>
      <c r="Y926">
        <v>-6.2965720000000003E-2</v>
      </c>
      <c r="Z926">
        <v>2.0111949999999999E-4</v>
      </c>
      <c r="AA926">
        <v>0.9980156</v>
      </c>
      <c r="AB926">
        <v>30</v>
      </c>
      <c r="AC926">
        <v>76.231700000000004</v>
      </c>
      <c r="AD926">
        <v>-0.90202039999999895</v>
      </c>
      <c r="AE926">
        <v>5.9252999999999902</v>
      </c>
      <c r="AF926">
        <v>-4.8245175598435504</v>
      </c>
      <c r="AG926">
        <v>-0.90202039999999895</v>
      </c>
      <c r="AH926">
        <v>76.298613049850601</v>
      </c>
      <c r="AI926">
        <v>90.675982900516999</v>
      </c>
      <c r="AJ926">
        <v>93.618112518868699</v>
      </c>
      <c r="AK926">
        <v>76.456314087314595</v>
      </c>
      <c r="AL926">
        <v>89.830484740360404</v>
      </c>
      <c r="AM926">
        <v>93.573189516023504</v>
      </c>
      <c r="AN926">
        <v>0.99999996727228202</v>
      </c>
    </row>
    <row r="927" spans="1:40" x14ac:dyDescent="0.3">
      <c r="A927" t="str">
        <f>"20200111160421473"</f>
        <v>20200111160421473</v>
      </c>
      <c r="B927" t="str">
        <f>"1578729861471133"</f>
        <v>1578729861471133</v>
      </c>
      <c r="C927" t="s">
        <v>40</v>
      </c>
      <c r="D927">
        <v>5.5411060000000001</v>
      </c>
      <c r="E927">
        <v>0.498309</v>
      </c>
      <c r="F927" t="s">
        <v>47</v>
      </c>
      <c r="G927">
        <v>-203.85939999999999</v>
      </c>
      <c r="H927" s="1">
        <v>-4.3841040000000002E-6</v>
      </c>
      <c r="I927">
        <v>370.58190000000002</v>
      </c>
      <c r="J927">
        <v>-234.26240000000001</v>
      </c>
      <c r="K927">
        <v>1.1108279999999999</v>
      </c>
      <c r="L927">
        <v>368.09059999999999</v>
      </c>
      <c r="M927">
        <v>0.99979220000000002</v>
      </c>
      <c r="N927">
        <v>0</v>
      </c>
      <c r="O927">
        <v>1.459183E-2</v>
      </c>
      <c r="P927">
        <v>0.99695579999999995</v>
      </c>
      <c r="Q927">
        <v>-1.0703799999999999E-2</v>
      </c>
      <c r="R927">
        <v>7.7234629999999999E-2</v>
      </c>
      <c r="S927">
        <v>2.98909</v>
      </c>
      <c r="T927">
        <v>-0.1086249</v>
      </c>
      <c r="U927">
        <v>0.243866</v>
      </c>
      <c r="V927">
        <v>-6.2679589999999993E-2</v>
      </c>
      <c r="W927">
        <v>3.4783449999999999E-3</v>
      </c>
      <c r="X927">
        <v>0.99802760000000001</v>
      </c>
      <c r="Y927">
        <v>-6.6727369999999994E-2</v>
      </c>
      <c r="Z927">
        <v>6.8086209999999999E-4</v>
      </c>
      <c r="AA927">
        <v>0.99777099999999996</v>
      </c>
      <c r="AB927">
        <v>30</v>
      </c>
      <c r="AC927">
        <v>30.402999999999999</v>
      </c>
      <c r="AD927">
        <v>-1.110832384104</v>
      </c>
      <c r="AE927">
        <v>2.4913000000000198</v>
      </c>
      <c r="AF927">
        <v>-2.0446430580539401</v>
      </c>
      <c r="AG927">
        <v>-1.110832384104</v>
      </c>
      <c r="AH927">
        <v>30.395812580492301</v>
      </c>
      <c r="AI927">
        <v>92.088260595809601</v>
      </c>
      <c r="AJ927">
        <v>93.848332721541396</v>
      </c>
      <c r="AK927">
        <v>30.484749240379799</v>
      </c>
      <c r="AL927">
        <v>89.800705101986793</v>
      </c>
      <c r="AM927">
        <v>93.5936535736016</v>
      </c>
      <c r="AN927">
        <v>0.99999996012413195</v>
      </c>
    </row>
    <row r="928" spans="1:40" x14ac:dyDescent="0.3">
      <c r="A928" t="str">
        <f>"20200111160421487"</f>
        <v>20200111160421487</v>
      </c>
      <c r="B928" t="str">
        <f>"1578729861481868"</f>
        <v>1578729861481868</v>
      </c>
      <c r="C928" t="s">
        <v>40</v>
      </c>
      <c r="D928">
        <v>6.3973259999999996</v>
      </c>
      <c r="E928">
        <v>0.49827690000000002</v>
      </c>
      <c r="F928" t="s">
        <v>41</v>
      </c>
      <c r="G928">
        <v>-215.86949999999999</v>
      </c>
      <c r="H928" s="1">
        <v>-1.7603549999999999E-6</v>
      </c>
      <c r="I928">
        <v>369.63920000000002</v>
      </c>
      <c r="J928">
        <v>-234.0694</v>
      </c>
      <c r="K928">
        <v>1.1108229999999999</v>
      </c>
      <c r="L928">
        <v>368.09359999999998</v>
      </c>
      <c r="M928">
        <v>0.99978920000000004</v>
      </c>
      <c r="N928">
        <v>0</v>
      </c>
      <c r="O928">
        <v>1.47918999999999E-2</v>
      </c>
      <c r="P928">
        <v>0.99692970000000003</v>
      </c>
      <c r="Q928">
        <v>-9.7398269999999995E-3</v>
      </c>
      <c r="R928">
        <v>7.7694390000000002E-2</v>
      </c>
      <c r="S928">
        <v>2.9877319999999998</v>
      </c>
      <c r="T928">
        <v>-0.18044170000000001</v>
      </c>
      <c r="U928">
        <v>0.25155640000000001</v>
      </c>
      <c r="V928">
        <v>-6.2940599999999999E-2</v>
      </c>
      <c r="W928">
        <v>4.442026E-3</v>
      </c>
      <c r="X928">
        <v>0.99800739999999999</v>
      </c>
      <c r="Y928">
        <v>-6.9051029999999999E-2</v>
      </c>
      <c r="Z928">
        <v>1.188686E-3</v>
      </c>
      <c r="AA928">
        <v>0.99761239999999995</v>
      </c>
      <c r="AB928">
        <v>30</v>
      </c>
      <c r="AC928">
        <v>18.1999</v>
      </c>
      <c r="AD928">
        <v>-1.1108247603550001</v>
      </c>
      <c r="AE928">
        <v>1.5456000000000301</v>
      </c>
      <c r="AF928">
        <v>-1.27148979436118</v>
      </c>
      <c r="AG928">
        <v>-1.1108247603550001</v>
      </c>
      <c r="AH928">
        <v>18.153630872800498</v>
      </c>
      <c r="AI928">
        <v>93.4930396418942</v>
      </c>
      <c r="AJ928">
        <v>94.006483389883698</v>
      </c>
      <c r="AK928">
        <v>18.231975532324402</v>
      </c>
      <c r="AL928">
        <v>89.745489823420996</v>
      </c>
      <c r="AM928">
        <v>93.608651631304099</v>
      </c>
      <c r="AN928">
        <v>1.0000000105890501</v>
      </c>
    </row>
    <row r="929" spans="1:40" x14ac:dyDescent="0.3">
      <c r="A929" t="str">
        <f>"20200111160421501"</f>
        <v>20200111160421501</v>
      </c>
      <c r="B929" t="str">
        <f>"1578729861491629"</f>
        <v>1578729861491629</v>
      </c>
      <c r="C929" t="s">
        <v>40</v>
      </c>
      <c r="D929">
        <v>6.2982690000000003</v>
      </c>
      <c r="E929">
        <v>0.4980579</v>
      </c>
      <c r="F929" t="s">
        <v>41</v>
      </c>
      <c r="G929">
        <v>-212.04839999999999</v>
      </c>
      <c r="H929" s="1">
        <v>-3.482379E-6</v>
      </c>
      <c r="I929">
        <v>369.9504</v>
      </c>
      <c r="J929">
        <v>-233.88820000000001</v>
      </c>
      <c r="K929">
        <v>1.110825</v>
      </c>
      <c r="L929">
        <v>368.09649999999999</v>
      </c>
      <c r="M929">
        <v>0.99978630000000002</v>
      </c>
      <c r="N929">
        <v>0</v>
      </c>
      <c r="O929">
        <v>1.497943E-2</v>
      </c>
      <c r="P929">
        <v>0.99692239999999999</v>
      </c>
      <c r="Q929">
        <v>-9.5702410000000002E-3</v>
      </c>
      <c r="R929">
        <v>7.7808020000000006E-2</v>
      </c>
      <c r="S929">
        <v>2.9881129999999998</v>
      </c>
      <c r="T929">
        <v>-0.15073210000000001</v>
      </c>
      <c r="U929">
        <v>0.25195309999999999</v>
      </c>
      <c r="V929">
        <v>-6.2867270000000003E-2</v>
      </c>
      <c r="W929">
        <v>4.6175000000000001E-3</v>
      </c>
      <c r="X929">
        <v>0.99801119999999999</v>
      </c>
      <c r="Y929">
        <v>-6.9014710000000007E-2</v>
      </c>
      <c r="Z929">
        <v>9.8276180000000002E-4</v>
      </c>
      <c r="AA929">
        <v>0.99761520000000004</v>
      </c>
      <c r="AB929">
        <v>30</v>
      </c>
      <c r="AC929">
        <v>21.8398</v>
      </c>
      <c r="AD929">
        <v>-1.110828482379</v>
      </c>
      <c r="AE929">
        <v>1.8539000000000101</v>
      </c>
      <c r="AF929">
        <v>-1.52260020358854</v>
      </c>
      <c r="AG929">
        <v>-1.110828482379</v>
      </c>
      <c r="AH929">
        <v>21.809105751474799</v>
      </c>
      <c r="AI929">
        <v>92.908724761071198</v>
      </c>
      <c r="AJ929">
        <v>93.9936181972556</v>
      </c>
      <c r="AK929">
        <v>21.890393897238202</v>
      </c>
      <c r="AL929">
        <v>89.735435794017306</v>
      </c>
      <c r="AM929">
        <v>93.604444713648604</v>
      </c>
      <c r="AN929">
        <v>0.99999998513447097</v>
      </c>
    </row>
    <row r="930" spans="1:40" x14ac:dyDescent="0.3">
      <c r="A930" t="str">
        <f>"20200111160421516"</f>
        <v>20200111160421516</v>
      </c>
      <c r="B930" t="str">
        <f>"1578729861512125"</f>
        <v>1578729861512125</v>
      </c>
      <c r="C930" t="s">
        <v>40</v>
      </c>
      <c r="D930">
        <v>5.4449389999999998</v>
      </c>
      <c r="E930">
        <v>0.49861270000000002</v>
      </c>
      <c r="F930" t="s">
        <v>47</v>
      </c>
      <c r="G930">
        <v>-208.0943</v>
      </c>
      <c r="H930" s="1">
        <v>-6.1048100000000003E-6</v>
      </c>
      <c r="I930">
        <v>370.28370000000001</v>
      </c>
      <c r="J930">
        <v>-233.70189999999999</v>
      </c>
      <c r="K930">
        <v>1.110835</v>
      </c>
      <c r="L930">
        <v>368.09949999999998</v>
      </c>
      <c r="M930">
        <v>0.99978299999999998</v>
      </c>
      <c r="N930">
        <v>0</v>
      </c>
      <c r="O930">
        <v>1.516761E-2</v>
      </c>
      <c r="P930">
        <v>0.99693960000000004</v>
      </c>
      <c r="Q930">
        <v>-9.3993670000000005E-3</v>
      </c>
      <c r="R930">
        <v>7.7608440000000001E-2</v>
      </c>
      <c r="S930">
        <v>2.9882659999999999</v>
      </c>
      <c r="T930">
        <v>-0.12869120000000001</v>
      </c>
      <c r="U930">
        <v>0.25338749999999999</v>
      </c>
      <c r="V930">
        <v>-6.2479350000000003E-2</v>
      </c>
      <c r="W930">
        <v>4.8230149999999999E-3</v>
      </c>
      <c r="X930">
        <v>0.99803459999999999</v>
      </c>
      <c r="Y930">
        <v>-6.9316489999999994E-2</v>
      </c>
      <c r="Z930">
        <v>8.3754169999999896E-4</v>
      </c>
      <c r="AA930">
        <v>0.99759439999999999</v>
      </c>
      <c r="AB930">
        <v>30</v>
      </c>
      <c r="AC930">
        <v>25.607599999999898</v>
      </c>
      <c r="AD930">
        <v>-1.11084110481</v>
      </c>
      <c r="AE930">
        <v>2.1842000000000299</v>
      </c>
      <c r="AF930">
        <v>-1.79215493424844</v>
      </c>
      <c r="AG930">
        <v>-1.11084110481</v>
      </c>
      <c r="AH930">
        <v>25.589979499714499</v>
      </c>
      <c r="AI930">
        <v>92.479539110928997</v>
      </c>
      <c r="AJ930">
        <v>94.006080991405298</v>
      </c>
      <c r="AK930">
        <v>25.676698348196901</v>
      </c>
      <c r="AL930">
        <v>89.723660523715296</v>
      </c>
      <c r="AM930">
        <v>93.582177953478606</v>
      </c>
      <c r="AN930">
        <v>0.99999999672363604</v>
      </c>
    </row>
    <row r="931" spans="1:40" x14ac:dyDescent="0.3">
      <c r="A931" t="str">
        <f>"20200111160421530"</f>
        <v>20200111160421530</v>
      </c>
      <c r="B931" t="str">
        <f>"1578729861521884"</f>
        <v>1578729861521884</v>
      </c>
      <c r="C931" t="s">
        <v>40</v>
      </c>
      <c r="D931">
        <v>5.4453579999999997</v>
      </c>
      <c r="E931">
        <v>0.49877050000000001</v>
      </c>
      <c r="F931" t="s">
        <v>41</v>
      </c>
      <c r="G931">
        <v>-214.12270000000001</v>
      </c>
      <c r="H931" s="1">
        <v>-2.5360500000000001E-6</v>
      </c>
      <c r="I931">
        <v>369.73820000000001</v>
      </c>
      <c r="J931">
        <v>-233.5077</v>
      </c>
      <c r="K931">
        <v>1.1108530000000001</v>
      </c>
      <c r="L931">
        <v>368.1026</v>
      </c>
      <c r="M931">
        <v>0.99977930000000004</v>
      </c>
      <c r="N931">
        <v>0</v>
      </c>
      <c r="O931">
        <v>1.53603E-2</v>
      </c>
      <c r="P931">
        <v>0.9969614</v>
      </c>
      <c r="Q931">
        <v>-9.3054920000000003E-3</v>
      </c>
      <c r="R931">
        <v>7.7342889999999997E-2</v>
      </c>
      <c r="S931">
        <v>2.9881440000000001</v>
      </c>
      <c r="T931">
        <v>-0.16953360000000001</v>
      </c>
      <c r="U931">
        <v>0.25009160000000002</v>
      </c>
      <c r="V931">
        <v>-6.2021960000000001E-2</v>
      </c>
      <c r="W931">
        <v>4.9732159999999999E-3</v>
      </c>
      <c r="X931">
        <v>0.99806240000000002</v>
      </c>
      <c r="Y931">
        <v>-6.8000790000000005E-2</v>
      </c>
      <c r="Z931">
        <v>1.0549400000000001E-3</v>
      </c>
      <c r="AA931">
        <v>0.99768469999999998</v>
      </c>
      <c r="AB931">
        <v>30</v>
      </c>
      <c r="AC931">
        <v>19.384999999999899</v>
      </c>
      <c r="AD931">
        <v>-1.1108555360500001</v>
      </c>
      <c r="AE931">
        <v>1.6356000000000099</v>
      </c>
      <c r="AF931">
        <v>-1.3332696848805099</v>
      </c>
      <c r="AG931">
        <v>-1.1108555360500001</v>
      </c>
      <c r="AH931">
        <v>19.3447621563182</v>
      </c>
      <c r="AI931">
        <v>93.278788042539801</v>
      </c>
      <c r="AJ931">
        <v>93.942675155286594</v>
      </c>
      <c r="AK931">
        <v>19.4224465750099</v>
      </c>
      <c r="AL931">
        <v>89.715054539521503</v>
      </c>
      <c r="AM931">
        <v>93.555922793735505</v>
      </c>
      <c r="AN931">
        <v>1.00000000534669</v>
      </c>
    </row>
    <row r="932" spans="1:40" x14ac:dyDescent="0.3">
      <c r="A932" t="str">
        <f>"20200111160421543"</f>
        <v>20200111160421543</v>
      </c>
      <c r="B932" t="str">
        <f>"1578729861531645"</f>
        <v>1578729861531645</v>
      </c>
      <c r="C932" t="s">
        <v>40</v>
      </c>
      <c r="D932">
        <v>5.3379640000000004</v>
      </c>
      <c r="E932">
        <v>0.49911220000000001</v>
      </c>
      <c r="F932" t="s">
        <v>41</v>
      </c>
      <c r="G932">
        <v>-215.44290000000001</v>
      </c>
      <c r="H932" s="1">
        <v>-1.9391670000000001E-6</v>
      </c>
      <c r="I932">
        <v>369.60610000000003</v>
      </c>
      <c r="J932">
        <v>-233.33580000000001</v>
      </c>
      <c r="K932">
        <v>1.1108769999999999</v>
      </c>
      <c r="L932">
        <v>368.10550000000001</v>
      </c>
      <c r="M932">
        <v>0.99977559999999999</v>
      </c>
      <c r="N932">
        <v>0</v>
      </c>
      <c r="O932">
        <v>1.5528139999999999E-2</v>
      </c>
      <c r="P932">
        <v>0.99704490000000001</v>
      </c>
      <c r="Q932">
        <v>-9.1469570000000007E-3</v>
      </c>
      <c r="R932">
        <v>7.6275960000000004E-2</v>
      </c>
      <c r="S932">
        <v>2.9881289999999998</v>
      </c>
      <c r="T932">
        <v>-0.18374689999999999</v>
      </c>
      <c r="U932">
        <v>0.24868770000000001</v>
      </c>
      <c r="V932">
        <v>-6.0786380000000001E-2</v>
      </c>
      <c r="W932">
        <v>5.1973269999999998E-3</v>
      </c>
      <c r="X932">
        <v>0.99813730000000001</v>
      </c>
      <c r="Y932">
        <v>-6.7355070000000003E-2</v>
      </c>
      <c r="Z932">
        <v>1.11316E-3</v>
      </c>
      <c r="AA932">
        <v>0.99772850000000002</v>
      </c>
      <c r="AB932">
        <v>30</v>
      </c>
      <c r="AC932">
        <v>17.892899999999901</v>
      </c>
      <c r="AD932">
        <v>-1.110878939167</v>
      </c>
      <c r="AE932">
        <v>1.5006000000000199</v>
      </c>
      <c r="AF932">
        <v>-1.21788513845941</v>
      </c>
      <c r="AG932">
        <v>-1.110878939167</v>
      </c>
      <c r="AH932">
        <v>17.845739574858101</v>
      </c>
      <c r="AI932">
        <v>93.553762481995705</v>
      </c>
      <c r="AJ932">
        <v>93.904105468046097</v>
      </c>
      <c r="AK932">
        <v>17.921710777758499</v>
      </c>
      <c r="AL932">
        <v>89.702213767301402</v>
      </c>
      <c r="AM932">
        <v>93.484998429234693</v>
      </c>
      <c r="AN932">
        <v>1.0000000329263601</v>
      </c>
    </row>
    <row r="933" spans="1:40" x14ac:dyDescent="0.3">
      <c r="A933" t="str">
        <f>"20200111160421566"</f>
        <v>20200111160421566</v>
      </c>
      <c r="B933" t="str">
        <f>"1578729861561900"</f>
        <v>1578729861561900</v>
      </c>
      <c r="C933" t="s">
        <v>40</v>
      </c>
      <c r="D933">
        <v>5.4105189999999999</v>
      </c>
      <c r="E933">
        <v>0.49945810000000002</v>
      </c>
      <c r="F933" t="s">
        <v>41</v>
      </c>
      <c r="G933">
        <v>-216.34360000000001</v>
      </c>
      <c r="H933" s="1">
        <v>-1.5735919999999901E-6</v>
      </c>
      <c r="I933">
        <v>369.48860000000002</v>
      </c>
      <c r="J933">
        <v>-233.04150000000001</v>
      </c>
      <c r="K933">
        <v>1.110914</v>
      </c>
      <c r="L933">
        <v>368.11040000000003</v>
      </c>
      <c r="M933">
        <v>0.99976900000000002</v>
      </c>
      <c r="N933">
        <v>0</v>
      </c>
      <c r="O933">
        <v>1.5816859999999999E-2</v>
      </c>
      <c r="P933">
        <v>0.99714210000000003</v>
      </c>
      <c r="Q933">
        <v>-9.0316760000000006E-3</v>
      </c>
      <c r="R933">
        <v>7.5007859999999996E-2</v>
      </c>
      <c r="S933">
        <v>2.9884949999999999</v>
      </c>
      <c r="T933">
        <v>-0.19537460000000001</v>
      </c>
      <c r="U933">
        <v>0.24325559999999999</v>
      </c>
      <c r="V933">
        <v>-5.922844E-2</v>
      </c>
      <c r="W933">
        <v>5.4719809999999999E-3</v>
      </c>
      <c r="X933">
        <v>0.99822940000000004</v>
      </c>
      <c r="Y933">
        <v>-6.5247730000000004E-2</v>
      </c>
      <c r="Z933">
        <v>1.0958789999999999E-3</v>
      </c>
      <c r="AA933">
        <v>0.99786850000000005</v>
      </c>
      <c r="AB933">
        <v>30</v>
      </c>
      <c r="AC933">
        <v>16.697900000000001</v>
      </c>
      <c r="AD933">
        <v>-1.110915573592</v>
      </c>
      <c r="AE933">
        <v>1.3781999999999901</v>
      </c>
      <c r="AF933">
        <v>-1.1090156480597599</v>
      </c>
      <c r="AG933">
        <v>-1.110915573592</v>
      </c>
      <c r="AH933">
        <v>16.644437484800001</v>
      </c>
      <c r="AI933">
        <v>93.810060359220898</v>
      </c>
      <c r="AJ933">
        <v>93.811972239070897</v>
      </c>
      <c r="AK933">
        <v>16.718293821580801</v>
      </c>
      <c r="AL933">
        <v>89.686477000579401</v>
      </c>
      <c r="AM933">
        <v>93.395577962324595</v>
      </c>
      <c r="AN933">
        <v>0.99999994285262706</v>
      </c>
    </row>
    <row r="934" spans="1:40" x14ac:dyDescent="0.3">
      <c r="A934" t="str">
        <f>"20200111160421578"</f>
        <v>20200111160421578</v>
      </c>
      <c r="B934" t="str">
        <f>"1578729861571660"</f>
        <v>1578729861571660</v>
      </c>
      <c r="C934" t="s">
        <v>40</v>
      </c>
      <c r="D934">
        <v>5.4232699999999996</v>
      </c>
      <c r="E934">
        <v>0.49955820000000001</v>
      </c>
      <c r="F934" t="s">
        <v>41</v>
      </c>
      <c r="G934">
        <v>-218.18989999999999</v>
      </c>
      <c r="H934" s="1">
        <v>-8.1622299999999896E-7</v>
      </c>
      <c r="I934">
        <v>369.29289999999997</v>
      </c>
      <c r="J934">
        <v>-232.87450000000001</v>
      </c>
      <c r="K934">
        <v>1.110935</v>
      </c>
      <c r="L934">
        <v>368.11320000000001</v>
      </c>
      <c r="M934">
        <v>0.99976469999999995</v>
      </c>
      <c r="N934">
        <v>0</v>
      </c>
      <c r="O934">
        <v>1.5985320000000001E-2</v>
      </c>
      <c r="P934">
        <v>0.99718609999999996</v>
      </c>
      <c r="Q934">
        <v>-9.2051870000000001E-3</v>
      </c>
      <c r="R934">
        <v>7.4398930000000002E-2</v>
      </c>
      <c r="S934">
        <v>2.9886780000000002</v>
      </c>
      <c r="T934">
        <v>-0.2235557</v>
      </c>
      <c r="U934">
        <v>0.2379761</v>
      </c>
      <c r="V934">
        <v>-5.8450670000000003E-2</v>
      </c>
      <c r="W934">
        <v>5.404748E-3</v>
      </c>
      <c r="X934">
        <v>0.99827560000000004</v>
      </c>
      <c r="Y934">
        <v>-6.3296599999999995E-2</v>
      </c>
      <c r="Z934">
        <v>1.1682280000000001E-3</v>
      </c>
      <c r="AA934">
        <v>0.9979941</v>
      </c>
      <c r="AB934">
        <v>30</v>
      </c>
      <c r="AC934">
        <v>14.6846</v>
      </c>
      <c r="AD934">
        <v>-1.1109358162230001</v>
      </c>
      <c r="AE934">
        <v>1.17969999999996</v>
      </c>
      <c r="AF934">
        <v>-0.939443635060217</v>
      </c>
      <c r="AG934">
        <v>-1.1109358162230001</v>
      </c>
      <c r="AH934">
        <v>14.6184525444837</v>
      </c>
      <c r="AI934">
        <v>94.336952803148407</v>
      </c>
      <c r="AJ934">
        <v>93.677012977866198</v>
      </c>
      <c r="AK934">
        <v>14.6906734878475</v>
      </c>
      <c r="AL934">
        <v>89.690329221810401</v>
      </c>
      <c r="AM934">
        <v>93.350935815056005</v>
      </c>
      <c r="AN934">
        <v>0.99999993283987398</v>
      </c>
    </row>
    <row r="935" spans="1:40" x14ac:dyDescent="0.3">
      <c r="A935" t="str">
        <f>"20200111160421593"</f>
        <v>20200111160421593</v>
      </c>
      <c r="B935" t="str">
        <f>"1578729861581420"</f>
        <v>1578729861581420</v>
      </c>
      <c r="C935" t="s">
        <v>40</v>
      </c>
      <c r="D935">
        <v>5.4538690000000001</v>
      </c>
      <c r="E935">
        <v>0.49960169999999998</v>
      </c>
      <c r="F935" t="s">
        <v>41</v>
      </c>
      <c r="G935">
        <v>-218.52549999999999</v>
      </c>
      <c r="H935" s="1">
        <v>-6.8075039999999997E-7</v>
      </c>
      <c r="I935">
        <v>369.24520000000001</v>
      </c>
      <c r="J935">
        <v>-232.68819999999999</v>
      </c>
      <c r="K935">
        <v>1.1109560000000001</v>
      </c>
      <c r="L935">
        <v>368.1164</v>
      </c>
      <c r="M935">
        <v>0.99975979999999998</v>
      </c>
      <c r="N935">
        <v>0</v>
      </c>
      <c r="O935">
        <v>1.617677E-2</v>
      </c>
      <c r="P935">
        <v>0.99722889999999997</v>
      </c>
      <c r="Q935">
        <v>-9.2049929999999999E-3</v>
      </c>
      <c r="R935">
        <v>7.3826039999999996E-2</v>
      </c>
      <c r="S935">
        <v>2.9887239999999999</v>
      </c>
      <c r="T935">
        <v>-0.2313936</v>
      </c>
      <c r="U935">
        <v>0.23577880000000001</v>
      </c>
      <c r="V935">
        <v>-5.7685649999999998E-2</v>
      </c>
      <c r="W935">
        <v>5.5344460000000002E-3</v>
      </c>
      <c r="X935">
        <v>0.99831939999999997</v>
      </c>
      <c r="Y935">
        <v>-6.2369069999999999E-2</v>
      </c>
      <c r="Z935">
        <v>1.15851E-3</v>
      </c>
      <c r="AA935">
        <v>0.99805250000000001</v>
      </c>
      <c r="AB935">
        <v>30</v>
      </c>
      <c r="AC935">
        <v>14.162699999999999</v>
      </c>
      <c r="AD935">
        <v>-1.1109566807503899</v>
      </c>
      <c r="AE935">
        <v>1.12880000000001</v>
      </c>
      <c r="AF935">
        <v>-0.89405388901684801</v>
      </c>
      <c r="AG935">
        <v>-1.1109566807503899</v>
      </c>
      <c r="AH935">
        <v>14.092939198356</v>
      </c>
      <c r="AI935">
        <v>94.498341157679704</v>
      </c>
      <c r="AJ935">
        <v>93.629970886328294</v>
      </c>
      <c r="AK935">
        <v>14.164903541907</v>
      </c>
      <c r="AL935">
        <v>89.682897965789195</v>
      </c>
      <c r="AM935">
        <v>93.3070309739023</v>
      </c>
      <c r="AN935">
        <v>0.99999994436240303</v>
      </c>
    </row>
    <row r="936" spans="1:40" x14ac:dyDescent="0.3">
      <c r="A936" t="str">
        <f>"20200111160421608"</f>
        <v>20200111160421608</v>
      </c>
      <c r="B936" t="str">
        <f>"1578729861601917"</f>
        <v>1578729861601917</v>
      </c>
      <c r="C936" t="s">
        <v>40</v>
      </c>
      <c r="D936">
        <v>5.4719569999999997</v>
      </c>
      <c r="E936">
        <v>0.49973620000000002</v>
      </c>
      <c r="F936" t="s">
        <v>41</v>
      </c>
      <c r="G936">
        <v>-218.70410000000001</v>
      </c>
      <c r="H936" s="1">
        <v>-6.1028959999999997E-7</v>
      </c>
      <c r="I936">
        <v>369.21039999999999</v>
      </c>
      <c r="J936">
        <v>-232.48580000000001</v>
      </c>
      <c r="K936">
        <v>1.110978</v>
      </c>
      <c r="L936">
        <v>368.11989999999997</v>
      </c>
      <c r="M936">
        <v>0.99975409999999998</v>
      </c>
      <c r="N936">
        <v>0</v>
      </c>
      <c r="O936">
        <v>1.6387599999999999E-2</v>
      </c>
      <c r="P936">
        <v>0.99724559999999995</v>
      </c>
      <c r="Q936">
        <v>-9.4050780000000007E-3</v>
      </c>
      <c r="R936">
        <v>7.3573949999999999E-2</v>
      </c>
      <c r="S936">
        <v>2.9888150000000002</v>
      </c>
      <c r="T936">
        <v>-0.2374435</v>
      </c>
      <c r="U936">
        <v>0.2338257</v>
      </c>
      <c r="V936">
        <v>-5.7222479999999999E-2</v>
      </c>
      <c r="W936">
        <v>5.4839019999999997E-3</v>
      </c>
      <c r="X936">
        <v>0.99834639999999997</v>
      </c>
      <c r="Y936">
        <v>-6.1504040000000003E-2</v>
      </c>
      <c r="Z936">
        <v>1.1377480000000001E-3</v>
      </c>
      <c r="AA936">
        <v>0.99810620000000005</v>
      </c>
      <c r="AB936">
        <v>29</v>
      </c>
      <c r="AC936">
        <v>13.781700000000001</v>
      </c>
      <c r="AD936">
        <v>-1.1109786102896</v>
      </c>
      <c r="AE936">
        <v>1.09050000000002</v>
      </c>
      <c r="AF936">
        <v>-0.85893238587618104</v>
      </c>
      <c r="AG936">
        <v>-1.1109786102896</v>
      </c>
      <c r="AH936">
        <v>13.709188223733999</v>
      </c>
      <c r="AI936">
        <v>94.62403937677</v>
      </c>
      <c r="AJ936">
        <v>93.585110631190005</v>
      </c>
      <c r="AK936">
        <v>13.780924499822</v>
      </c>
      <c r="AL936">
        <v>89.685793988370094</v>
      </c>
      <c r="AM936">
        <v>93.280447839033599</v>
      </c>
      <c r="AN936">
        <v>1.00000000989572</v>
      </c>
    </row>
    <row r="937" spans="1:40" x14ac:dyDescent="0.3">
      <c r="A937" t="str">
        <f>"20200111160421621"</f>
        <v>20200111160421621</v>
      </c>
      <c r="B937" t="str">
        <f>"1578729861611676"</f>
        <v>1578729861611676</v>
      </c>
      <c r="C937" t="s">
        <v>40</v>
      </c>
      <c r="D937">
        <v>5.4527939999999999</v>
      </c>
      <c r="E937">
        <v>0.49969770000000002</v>
      </c>
      <c r="F937" t="s">
        <v>41</v>
      </c>
      <c r="G937">
        <v>-219.1293</v>
      </c>
      <c r="H937" s="1">
        <v>-4.3706070000000002E-7</v>
      </c>
      <c r="I937">
        <v>369.15859999999998</v>
      </c>
      <c r="J937">
        <v>-232.3075</v>
      </c>
      <c r="K937">
        <v>1.111</v>
      </c>
      <c r="L937">
        <v>368.12299999999999</v>
      </c>
      <c r="M937">
        <v>0.99974890000000005</v>
      </c>
      <c r="N937">
        <v>0</v>
      </c>
      <c r="O937">
        <v>1.657494E-2</v>
      </c>
      <c r="P937">
        <v>0.99730200000000002</v>
      </c>
      <c r="Q937">
        <v>-8.9084469999999999E-3</v>
      </c>
      <c r="R937">
        <v>7.2866340000000002E-2</v>
      </c>
      <c r="S937">
        <v>2.9887999999999999</v>
      </c>
      <c r="T937">
        <v>-0.24860360000000001</v>
      </c>
      <c r="U937">
        <v>0.23242189999999999</v>
      </c>
      <c r="V937">
        <v>-5.632728E-2</v>
      </c>
      <c r="W937">
        <v>6.1176069999999997E-3</v>
      </c>
      <c r="X937">
        <v>0.99839359999999999</v>
      </c>
      <c r="Y937">
        <v>-6.0840739999999997E-2</v>
      </c>
      <c r="Z937">
        <v>1.1480430000000001E-3</v>
      </c>
      <c r="AA937">
        <v>0.9981468</v>
      </c>
      <c r="AB937">
        <v>29</v>
      </c>
      <c r="AC937">
        <v>13.1782</v>
      </c>
      <c r="AD937">
        <v>-1.1110004370606901</v>
      </c>
      <c r="AE937">
        <v>1.0355999999999299</v>
      </c>
      <c r="AF937">
        <v>-0.81127425497009498</v>
      </c>
      <c r="AG937">
        <v>-1.1110004370606901</v>
      </c>
      <c r="AH937">
        <v>13.101012395842901</v>
      </c>
      <c r="AI937">
        <v>94.838012893818103</v>
      </c>
      <c r="AJ937">
        <v>93.543490453099395</v>
      </c>
      <c r="AK937">
        <v>13.173041170662</v>
      </c>
      <c r="AL937">
        <v>89.6494847462222</v>
      </c>
      <c r="AM937">
        <v>93.229084981437396</v>
      </c>
      <c r="AN937">
        <v>0.99999998405428203</v>
      </c>
    </row>
    <row r="938" spans="1:40" x14ac:dyDescent="0.3">
      <c r="A938" t="str">
        <f>"20200111160421636"</f>
        <v>20200111160421636</v>
      </c>
      <c r="B938" t="str">
        <f>"1578729861631198"</f>
        <v>1578729861631198</v>
      </c>
      <c r="C938" t="s">
        <v>40</v>
      </c>
      <c r="D938">
        <v>5.473217</v>
      </c>
      <c r="E938">
        <v>0.49963099999999999</v>
      </c>
      <c r="F938" t="s">
        <v>41</v>
      </c>
      <c r="G938">
        <v>-219.1217</v>
      </c>
      <c r="H938" s="1">
        <v>-4.432467E-7</v>
      </c>
      <c r="I938">
        <v>369.1422</v>
      </c>
      <c r="J938">
        <v>-232.12520000000001</v>
      </c>
      <c r="K938">
        <v>1.1110150000000001</v>
      </c>
      <c r="L938">
        <v>368.12619999999998</v>
      </c>
      <c r="M938">
        <v>0.99974379999999996</v>
      </c>
      <c r="N938">
        <v>0</v>
      </c>
      <c r="O938">
        <v>1.6764439999999999E-2</v>
      </c>
      <c r="P938">
        <v>0.99731579999999997</v>
      </c>
      <c r="Q938">
        <v>-8.4151009999999995E-3</v>
      </c>
      <c r="R938">
        <v>7.2735889999999997E-2</v>
      </c>
      <c r="S938">
        <v>2.9889830000000002</v>
      </c>
      <c r="T938">
        <v>-0.25184230000000002</v>
      </c>
      <c r="U938">
        <v>0.2310181</v>
      </c>
      <c r="V938">
        <v>-5.6007609999999999E-2</v>
      </c>
      <c r="W938">
        <v>6.747973E-3</v>
      </c>
      <c r="X938">
        <v>0.9984075</v>
      </c>
      <c r="Y938">
        <v>-6.0179799999999999E-2</v>
      </c>
      <c r="Z938">
        <v>1.119229E-3</v>
      </c>
      <c r="AA938">
        <v>0.99818689999999999</v>
      </c>
      <c r="AB938">
        <v>29</v>
      </c>
      <c r="AC938">
        <v>13.003500000000001</v>
      </c>
      <c r="AD938">
        <v>-1.1110154432467001</v>
      </c>
      <c r="AE938">
        <v>1.01600000000001</v>
      </c>
      <c r="AF938">
        <v>-0.79208845687261298</v>
      </c>
      <c r="AG938">
        <v>-1.1110154432467001</v>
      </c>
      <c r="AH938">
        <v>12.9249280100478</v>
      </c>
      <c r="AI938">
        <v>94.903862744032693</v>
      </c>
      <c r="AJ938">
        <v>93.506916078647507</v>
      </c>
      <c r="AK938">
        <v>12.996750497857599</v>
      </c>
      <c r="AL938">
        <v>89.613366677785606</v>
      </c>
      <c r="AM938">
        <v>93.210753040606903</v>
      </c>
      <c r="AN938">
        <v>0.999999961786884</v>
      </c>
    </row>
    <row r="939" spans="1:40" x14ac:dyDescent="0.3">
      <c r="A939" t="str">
        <f>"20200111160421649"</f>
        <v>20200111160421649</v>
      </c>
      <c r="B939" t="str">
        <f>"1578729861641933"</f>
        <v>1578729861641933</v>
      </c>
      <c r="C939" t="s">
        <v>40</v>
      </c>
      <c r="D939">
        <v>5.5100759999999998</v>
      </c>
      <c r="E939">
        <v>0.49956970000000001</v>
      </c>
      <c r="F939" t="s">
        <v>41</v>
      </c>
      <c r="G939">
        <v>-219.26830000000001</v>
      </c>
      <c r="H939" s="1">
        <v>-3.8384080000000002E-7</v>
      </c>
      <c r="I939">
        <v>369.12259999999998</v>
      </c>
      <c r="J939">
        <v>-231.94069999999999</v>
      </c>
      <c r="K939">
        <v>1.111035</v>
      </c>
      <c r="L939">
        <v>368.12950000000001</v>
      </c>
      <c r="M939">
        <v>0.99973840000000003</v>
      </c>
      <c r="N939">
        <v>0</v>
      </c>
      <c r="O939">
        <v>1.6954799999999999E-2</v>
      </c>
      <c r="P939">
        <v>0.99732350000000003</v>
      </c>
      <c r="Q939">
        <v>-8.0373849999999993E-3</v>
      </c>
      <c r="R939">
        <v>7.2673749999999995E-2</v>
      </c>
      <c r="S939">
        <v>2.9889830000000002</v>
      </c>
      <c r="T939">
        <v>-0.25828839999999997</v>
      </c>
      <c r="U939">
        <v>0.23162840000000001</v>
      </c>
      <c r="V939">
        <v>-5.575604E-2</v>
      </c>
      <c r="W939">
        <v>7.2596079999999999E-3</v>
      </c>
      <c r="X939">
        <v>0.99841800000000003</v>
      </c>
      <c r="Y939">
        <v>-6.0185099999999998E-2</v>
      </c>
      <c r="Z939">
        <v>1.1316E-3</v>
      </c>
      <c r="AA939">
        <v>0.99818660000000003</v>
      </c>
      <c r="AB939">
        <v>29</v>
      </c>
      <c r="AC939">
        <v>12.6723999999999</v>
      </c>
      <c r="AD939">
        <v>-1.1110353838408</v>
      </c>
      <c r="AE939">
        <v>0.99309999999997001</v>
      </c>
      <c r="AF939">
        <v>-0.77217466627472597</v>
      </c>
      <c r="AG939">
        <v>-1.1110353838408</v>
      </c>
      <c r="AH939">
        <v>12.5912240251551</v>
      </c>
      <c r="AI939">
        <v>95.033247134830305</v>
      </c>
      <c r="AJ939">
        <v>93.5093498487076</v>
      </c>
      <c r="AK939">
        <v>12.663710980238999</v>
      </c>
      <c r="AL939">
        <v>89.584051434730995</v>
      </c>
      <c r="AM939">
        <v>93.196327691308994</v>
      </c>
      <c r="AN939">
        <v>0.99999997031439702</v>
      </c>
    </row>
    <row r="940" spans="1:40" x14ac:dyDescent="0.3">
      <c r="A940" t="str">
        <f>"20200111160421664"</f>
        <v>20200111160421664</v>
      </c>
      <c r="B940" t="str">
        <f>"1578729861661452"</f>
        <v>1578729861661452</v>
      </c>
      <c r="C940" t="s">
        <v>40</v>
      </c>
      <c r="D940">
        <v>5.9116730000000004</v>
      </c>
      <c r="E940">
        <v>0.49959599999999998</v>
      </c>
      <c r="F940" t="s">
        <v>41</v>
      </c>
      <c r="G940">
        <v>-219.17570000000001</v>
      </c>
      <c r="H940" s="1">
        <v>-4.2400939999999999E-7</v>
      </c>
      <c r="I940">
        <v>369.12</v>
      </c>
      <c r="J940">
        <v>-231.75229999999999</v>
      </c>
      <c r="K940">
        <v>1.111054</v>
      </c>
      <c r="L940">
        <v>368.13290000000001</v>
      </c>
      <c r="M940">
        <v>0.99973299999999998</v>
      </c>
      <c r="N940">
        <v>0</v>
      </c>
      <c r="O940">
        <v>1.7147510000000001E-2</v>
      </c>
      <c r="P940">
        <v>0.99731780000000003</v>
      </c>
      <c r="Q940">
        <v>-7.630436E-3</v>
      </c>
      <c r="R940">
        <v>7.2794040000000004E-2</v>
      </c>
      <c r="S940">
        <v>2.9890590000000001</v>
      </c>
      <c r="T940">
        <v>-0.26015880000000002</v>
      </c>
      <c r="U940">
        <v>0.23193359999999999</v>
      </c>
      <c r="V940">
        <v>-5.568393E-2</v>
      </c>
      <c r="W940">
        <v>7.798419E-3</v>
      </c>
      <c r="X940">
        <v>0.99841800000000003</v>
      </c>
      <c r="Y940">
        <v>-6.0090770000000002E-2</v>
      </c>
      <c r="Z940">
        <v>1.1189259999999999E-3</v>
      </c>
      <c r="AA940">
        <v>0.99819230000000003</v>
      </c>
      <c r="AB940">
        <v>29</v>
      </c>
      <c r="AC940">
        <v>12.5765999999999</v>
      </c>
      <c r="AD940">
        <v>-1.11105442400939</v>
      </c>
      <c r="AE940">
        <v>0.98709999999999798</v>
      </c>
      <c r="AF940">
        <v>-0.76533511105349294</v>
      </c>
      <c r="AG940">
        <v>-1.11105442400939</v>
      </c>
      <c r="AH940">
        <v>12.494760647057999</v>
      </c>
      <c r="AI940">
        <v>95.072012678913495</v>
      </c>
      <c r="AJ940">
        <v>93.505129530841899</v>
      </c>
      <c r="AK940">
        <v>12.567387293809</v>
      </c>
      <c r="AL940">
        <v>89.553178979467603</v>
      </c>
      <c r="AM940">
        <v>93.192202394602504</v>
      </c>
      <c r="AN940">
        <v>1.0000000090615699</v>
      </c>
    </row>
    <row r="941" spans="1:40" x14ac:dyDescent="0.3">
      <c r="A941" t="str">
        <f>"20200111160421678"</f>
        <v>20200111160421678</v>
      </c>
      <c r="B941" t="str">
        <f>"1578729861671212"</f>
        <v>1578729861671212</v>
      </c>
      <c r="C941" t="s">
        <v>40</v>
      </c>
      <c r="D941">
        <v>5.5345589999999998</v>
      </c>
      <c r="E941">
        <v>0.4997644</v>
      </c>
      <c r="F941" t="s">
        <v>41</v>
      </c>
      <c r="G941">
        <v>-218.6713</v>
      </c>
      <c r="H941" s="1">
        <v>-6.3529079999999996E-7</v>
      </c>
      <c r="I941">
        <v>369.14870000000002</v>
      </c>
      <c r="J941">
        <v>-231.56639999999999</v>
      </c>
      <c r="K941">
        <v>1.1110690000000001</v>
      </c>
      <c r="L941">
        <v>368.13630000000001</v>
      </c>
      <c r="M941">
        <v>0.99972830000000001</v>
      </c>
      <c r="N941">
        <v>0</v>
      </c>
      <c r="O941">
        <v>1.7333769999999998E-2</v>
      </c>
      <c r="P941">
        <v>0.99730300000000005</v>
      </c>
      <c r="Q941">
        <v>-7.0530230000000003E-3</v>
      </c>
      <c r="R941">
        <v>7.3056360000000001E-2</v>
      </c>
      <c r="S941">
        <v>2.989166</v>
      </c>
      <c r="T941">
        <v>-0.25388860000000002</v>
      </c>
      <c r="U941">
        <v>0.23211670000000001</v>
      </c>
      <c r="V941">
        <v>-5.576122E-2</v>
      </c>
      <c r="W941">
        <v>8.4797959999999995E-3</v>
      </c>
      <c r="X941">
        <v>0.99840810000000002</v>
      </c>
      <c r="Y941">
        <v>-5.997156E-2</v>
      </c>
      <c r="Z941">
        <v>1.071202E-3</v>
      </c>
      <c r="AA941">
        <v>0.99819950000000002</v>
      </c>
      <c r="AB941">
        <v>29</v>
      </c>
      <c r="AC941">
        <v>12.8950999999999</v>
      </c>
      <c r="AD941">
        <v>-1.1110696352908001</v>
      </c>
      <c r="AE941">
        <v>1.01240000000001</v>
      </c>
      <c r="AF941">
        <v>-0.78292326329790496</v>
      </c>
      <c r="AG941">
        <v>-1.1110696352908001</v>
      </c>
      <c r="AH941">
        <v>12.816149835365501</v>
      </c>
      <c r="AI941">
        <v>94.945577665933996</v>
      </c>
      <c r="AJ941">
        <v>93.495786380614703</v>
      </c>
      <c r="AK941">
        <v>12.8880231677794</v>
      </c>
      <c r="AL941">
        <v>89.514137644142096</v>
      </c>
      <c r="AM941">
        <v>93.196655660771995</v>
      </c>
      <c r="AN941">
        <v>0.999999977370849</v>
      </c>
    </row>
    <row r="942" spans="1:40" x14ac:dyDescent="0.3">
      <c r="A942" t="str">
        <f>"20200111160421692"</f>
        <v>20200111160421692</v>
      </c>
      <c r="B942" t="str">
        <f>"1578729861681948"</f>
        <v>1578729861681948</v>
      </c>
      <c r="C942" t="s">
        <v>40</v>
      </c>
      <c r="D942">
        <v>5.4868009999999998</v>
      </c>
      <c r="E942">
        <v>0.4997472</v>
      </c>
      <c r="F942" t="s">
        <v>41</v>
      </c>
      <c r="G942">
        <v>-218.1833</v>
      </c>
      <c r="H942" s="1">
        <v>-8.4007169999999995E-7</v>
      </c>
      <c r="I942">
        <v>369.17450000000002</v>
      </c>
      <c r="J942">
        <v>-231.3886</v>
      </c>
      <c r="K942">
        <v>1.111073</v>
      </c>
      <c r="L942">
        <v>368.13959999999997</v>
      </c>
      <c r="M942">
        <v>0.99972399999999995</v>
      </c>
      <c r="N942">
        <v>0</v>
      </c>
      <c r="O942">
        <v>1.750962E-2</v>
      </c>
      <c r="P942">
        <v>0.99729389999999996</v>
      </c>
      <c r="Q942">
        <v>-6.7044649999999997E-3</v>
      </c>
      <c r="R942">
        <v>7.3211699999999894E-2</v>
      </c>
      <c r="S942">
        <v>2.9893800000000001</v>
      </c>
      <c r="T942">
        <v>-0.24817900000000001</v>
      </c>
      <c r="U942">
        <v>0.2319031</v>
      </c>
      <c r="V942">
        <v>-5.5741010000000001E-2</v>
      </c>
      <c r="W942">
        <v>8.9070260000000002E-3</v>
      </c>
      <c r="X942">
        <v>0.99840549999999995</v>
      </c>
      <c r="Y942">
        <v>-5.9727780000000001E-2</v>
      </c>
      <c r="Z942">
        <v>1.0224889999999999E-3</v>
      </c>
      <c r="AA942">
        <v>0.99821420000000005</v>
      </c>
      <c r="AB942">
        <v>29</v>
      </c>
      <c r="AC942">
        <v>13.2052999999999</v>
      </c>
      <c r="AD942">
        <v>-1.1110738400717</v>
      </c>
      <c r="AE942">
        <v>1.0349000000000499</v>
      </c>
      <c r="AF942">
        <v>-0.79787921885093205</v>
      </c>
      <c r="AG942">
        <v>-1.1110738400717</v>
      </c>
      <c r="AH942">
        <v>13.129021293874899</v>
      </c>
      <c r="AI942">
        <v>94.828396422575594</v>
      </c>
      <c r="AJ942">
        <v>93.477712156542907</v>
      </c>
      <c r="AK942">
        <v>13.200086986872</v>
      </c>
      <c r="AL942">
        <v>89.489658238143903</v>
      </c>
      <c r="AM942">
        <v>93.195507776233597</v>
      </c>
      <c r="AN942">
        <v>0.99999996886911602</v>
      </c>
    </row>
    <row r="943" spans="1:40" x14ac:dyDescent="0.3">
      <c r="A943" t="str">
        <f>"20200111160421710"</f>
        <v>20200111160421710</v>
      </c>
      <c r="B943" t="str">
        <f>"1578729861701468"</f>
        <v>1578729861701468</v>
      </c>
      <c r="C943" t="s">
        <v>40</v>
      </c>
      <c r="D943">
        <v>6.1109910000000003</v>
      </c>
      <c r="E943">
        <v>0.4997664</v>
      </c>
      <c r="F943" t="s">
        <v>41</v>
      </c>
      <c r="G943">
        <v>-218.14529999999999</v>
      </c>
      <c r="H943" s="1">
        <v>-8.5713509999999997E-7</v>
      </c>
      <c r="I943">
        <v>369.1703</v>
      </c>
      <c r="J943">
        <v>-231.1515</v>
      </c>
      <c r="K943">
        <v>1.11107</v>
      </c>
      <c r="L943">
        <v>368.14400000000001</v>
      </c>
      <c r="M943">
        <v>0.99971880000000002</v>
      </c>
      <c r="N943">
        <v>0</v>
      </c>
      <c r="O943">
        <v>1.7743539999999999E-2</v>
      </c>
      <c r="P943">
        <v>0.99725960000000002</v>
      </c>
      <c r="Q943">
        <v>-6.1910169999999896E-3</v>
      </c>
      <c r="R943">
        <v>7.3723730000000001E-2</v>
      </c>
      <c r="S943">
        <v>2.9893800000000001</v>
      </c>
      <c r="T943">
        <v>-0.25079839999999998</v>
      </c>
      <c r="U943">
        <v>0.23266600000000001</v>
      </c>
      <c r="V943">
        <v>-5.6020170000000001E-2</v>
      </c>
      <c r="W943">
        <v>9.4887429999999991E-3</v>
      </c>
      <c r="X943">
        <v>0.99838450000000001</v>
      </c>
      <c r="Y943">
        <v>-5.9745140000000002E-2</v>
      </c>
      <c r="Z943">
        <v>1.0144030000000001E-3</v>
      </c>
      <c r="AA943">
        <v>0.99821320000000002</v>
      </c>
      <c r="AB943">
        <v>29</v>
      </c>
      <c r="AC943">
        <v>13.0062</v>
      </c>
      <c r="AD943">
        <v>-1.1110708571351</v>
      </c>
      <c r="AE943">
        <v>1.02629999999999</v>
      </c>
      <c r="AF943">
        <v>-0.78960718342974701</v>
      </c>
      <c r="AG943">
        <v>-1.1110708571351</v>
      </c>
      <c r="AH943">
        <v>12.928599902768999</v>
      </c>
      <c r="AI943">
        <v>94.902782346950801</v>
      </c>
      <c r="AJ943">
        <v>93.494967266333703</v>
      </c>
      <c r="AK943">
        <v>13.0002558974652</v>
      </c>
      <c r="AL943">
        <v>89.456326888946194</v>
      </c>
      <c r="AM943">
        <v>93.211545390349301</v>
      </c>
      <c r="AN943">
        <v>0.99999995276539799</v>
      </c>
    </row>
    <row r="944" spans="1:40" x14ac:dyDescent="0.3">
      <c r="A944" t="str">
        <f>"20200111160421723"</f>
        <v>20200111160421723</v>
      </c>
      <c r="B944" t="str">
        <f>"1578729861711228"</f>
        <v>1578729861711228</v>
      </c>
      <c r="C944" t="s">
        <v>40</v>
      </c>
      <c r="D944">
        <v>5.5349940000000002</v>
      </c>
      <c r="E944">
        <v>0.49470950000000002</v>
      </c>
      <c r="F944" t="s">
        <v>41</v>
      </c>
      <c r="G944">
        <v>-218.02369999999999</v>
      </c>
      <c r="H944" s="1">
        <v>-9.0912859999999999E-7</v>
      </c>
      <c r="I944">
        <v>369.17110000000002</v>
      </c>
      <c r="J944">
        <v>-230.9794</v>
      </c>
      <c r="K944">
        <v>1.1110610000000001</v>
      </c>
      <c r="L944">
        <v>368.14729999999997</v>
      </c>
      <c r="M944">
        <v>0.99971529999999997</v>
      </c>
      <c r="N944">
        <v>0</v>
      </c>
      <c r="O944">
        <v>1.7914739999999998E-2</v>
      </c>
      <c r="P944">
        <v>0.99726110000000001</v>
      </c>
      <c r="Q944">
        <v>-6.1922649999999997E-3</v>
      </c>
      <c r="R944">
        <v>7.370198E-2</v>
      </c>
      <c r="S944">
        <v>2.9893800000000001</v>
      </c>
      <c r="T944">
        <v>-0.2530056</v>
      </c>
      <c r="U944">
        <v>0.2338867</v>
      </c>
      <c r="V944">
        <v>-5.582782E-2</v>
      </c>
      <c r="W944">
        <v>9.5140139999999995E-3</v>
      </c>
      <c r="X944">
        <v>0.99839509999999998</v>
      </c>
      <c r="Y944">
        <v>-5.9976540000000002E-2</v>
      </c>
      <c r="Z944">
        <v>1.018606E-3</v>
      </c>
      <c r="AA944">
        <v>0.99819930000000001</v>
      </c>
      <c r="AB944">
        <v>29</v>
      </c>
      <c r="AC944">
        <v>12.9557</v>
      </c>
      <c r="AD944">
        <v>-1.1110619091286</v>
      </c>
      <c r="AE944">
        <v>1.02380000000005</v>
      </c>
      <c r="AF944">
        <v>-0.78576575906912505</v>
      </c>
      <c r="AG944">
        <v>-1.1110619091286</v>
      </c>
      <c r="AH944">
        <v>12.8778410508195</v>
      </c>
      <c r="AI944">
        <v>94.921989939120493</v>
      </c>
      <c r="AJ944">
        <v>93.491681092938094</v>
      </c>
      <c r="AK944">
        <v>12.9495434870969</v>
      </c>
      <c r="AL944">
        <v>89.454878937884999</v>
      </c>
      <c r="AM944">
        <v>93.200507331449899</v>
      </c>
      <c r="AN944">
        <v>1.00000001882617</v>
      </c>
    </row>
    <row r="945" spans="1:40" x14ac:dyDescent="0.3">
      <c r="A945" t="str">
        <f>"20200111160421738"</f>
        <v>20200111160421738</v>
      </c>
      <c r="B945" t="str">
        <f>"1578729861731724"</f>
        <v>1578729861731724</v>
      </c>
      <c r="C945" t="s">
        <v>40</v>
      </c>
      <c r="D945">
        <v>5.5787659999999999</v>
      </c>
      <c r="E945">
        <v>0.49456559999999999</v>
      </c>
      <c r="F945" t="s">
        <v>43</v>
      </c>
      <c r="G945">
        <v>-158.19499999999999</v>
      </c>
      <c r="H945">
        <v>0.23538780000000001</v>
      </c>
      <c r="I945">
        <v>374.58089999999999</v>
      </c>
      <c r="J945">
        <v>-230.78829999999999</v>
      </c>
      <c r="K945">
        <v>1.1110359999999999</v>
      </c>
      <c r="L945">
        <v>368.15089999999998</v>
      </c>
      <c r="M945">
        <v>0.99971220000000005</v>
      </c>
      <c r="N945">
        <v>0</v>
      </c>
      <c r="O945">
        <v>1.81142E-2</v>
      </c>
      <c r="P945">
        <v>0.99724259999999998</v>
      </c>
      <c r="Q945">
        <v>-5.9644640000000001E-3</v>
      </c>
      <c r="R945">
        <v>7.3969850000000004E-2</v>
      </c>
      <c r="S945">
        <v>2.9884949999999999</v>
      </c>
      <c r="T945">
        <v>-3.5951139999999999E-2</v>
      </c>
      <c r="U945">
        <v>0.26416020000000001</v>
      </c>
      <c r="V945">
        <v>-5.5896260000000003E-2</v>
      </c>
      <c r="W945">
        <v>9.7123680000000007E-3</v>
      </c>
      <c r="X945">
        <v>0.99838939999999998</v>
      </c>
      <c r="Y945">
        <v>-6.9984820000000003E-2</v>
      </c>
      <c r="Z945">
        <v>2.0266540000000001E-4</v>
      </c>
      <c r="AA945">
        <v>0.99754799999999999</v>
      </c>
      <c r="AB945">
        <v>29</v>
      </c>
      <c r="AC945">
        <v>72.593299999999999</v>
      </c>
      <c r="AD945">
        <v>-0.87564819999999999</v>
      </c>
      <c r="AE945">
        <v>6.43</v>
      </c>
      <c r="AF945">
        <v>-5.1130743243135797</v>
      </c>
      <c r="AG945">
        <v>-0.87564819999999999</v>
      </c>
      <c r="AH945">
        <v>72.687381217976906</v>
      </c>
      <c r="AI945">
        <v>90.688494585874295</v>
      </c>
      <c r="AJ945">
        <v>94.0237493870912</v>
      </c>
      <c r="AK945">
        <v>72.872255880709602</v>
      </c>
      <c r="AL945">
        <v>89.443513587664299</v>
      </c>
      <c r="AM945">
        <v>93.204440957108901</v>
      </c>
      <c r="AN945">
        <v>1.00000005800325</v>
      </c>
    </row>
    <row r="946" spans="1:40" x14ac:dyDescent="0.3">
      <c r="A946" t="str">
        <f>"20200111160421751"</f>
        <v>20200111160421751</v>
      </c>
      <c r="B946" t="str">
        <f>"1578729861741484"</f>
        <v>1578729861741484</v>
      </c>
      <c r="C946" t="s">
        <v>40</v>
      </c>
      <c r="D946">
        <v>5.5663780000000003</v>
      </c>
      <c r="E946">
        <v>0.49417050000000001</v>
      </c>
      <c r="F946" t="s">
        <v>43</v>
      </c>
      <c r="G946">
        <v>-158.19499999999999</v>
      </c>
      <c r="H946">
        <v>0.56887339999999997</v>
      </c>
      <c r="I946">
        <v>374.59140000000002</v>
      </c>
      <c r="J946">
        <v>-230.62620000000001</v>
      </c>
      <c r="K946">
        <v>1.111011</v>
      </c>
      <c r="L946">
        <v>368.154</v>
      </c>
      <c r="M946">
        <v>0.99970979999999998</v>
      </c>
      <c r="N946">
        <v>0</v>
      </c>
      <c r="O946">
        <v>1.8285719999999998E-2</v>
      </c>
      <c r="P946">
        <v>0.99723689999999998</v>
      </c>
      <c r="Q946">
        <v>-5.8479939999999996E-3</v>
      </c>
      <c r="R946">
        <v>7.4057529999999996E-2</v>
      </c>
      <c r="S946">
        <v>2.9884949999999999</v>
      </c>
      <c r="T946">
        <v>-2.2315979999999999E-2</v>
      </c>
      <c r="U946">
        <v>0.2651367</v>
      </c>
      <c r="V946">
        <v>-5.581291E-2</v>
      </c>
      <c r="W946">
        <v>9.7843689999999994E-3</v>
      </c>
      <c r="X946">
        <v>0.99839330000000004</v>
      </c>
      <c r="Y946">
        <v>-7.0139419999999994E-2</v>
      </c>
      <c r="Z946">
        <v>1.2510019999999999E-4</v>
      </c>
      <c r="AA946">
        <v>0.99753720000000001</v>
      </c>
      <c r="AB946">
        <v>29</v>
      </c>
      <c r="AC946">
        <v>72.431200000000004</v>
      </c>
      <c r="AD946">
        <v>-0.542137599999999</v>
      </c>
      <c r="AE946">
        <v>6.4374000000000198</v>
      </c>
      <c r="AF946">
        <v>-5.1114197562185701</v>
      </c>
      <c r="AG946">
        <v>-0.542137599999999</v>
      </c>
      <c r="AH946">
        <v>72.532781988064897</v>
      </c>
      <c r="AI946">
        <v>90.427183112083597</v>
      </c>
      <c r="AJ946">
        <v>94.030996973024401</v>
      </c>
      <c r="AK946">
        <v>72.714682066483206</v>
      </c>
      <c r="AL946">
        <v>89.439388004890503</v>
      </c>
      <c r="AM946">
        <v>93.199660101184506</v>
      </c>
      <c r="AN946">
        <v>0.99999999814214302</v>
      </c>
    </row>
    <row r="947" spans="1:40" x14ac:dyDescent="0.3">
      <c r="A947" t="str">
        <f>"20200111160421762"</f>
        <v>20200111160421762</v>
      </c>
      <c r="B947" t="str">
        <f>"1578729861751245"</f>
        <v>1578729861751245</v>
      </c>
      <c r="C947" t="s">
        <v>40</v>
      </c>
      <c r="D947">
        <v>5.5489259999999998</v>
      </c>
      <c r="E947">
        <v>0.49356</v>
      </c>
      <c r="F947" t="s">
        <v>43</v>
      </c>
      <c r="G947">
        <v>-158.19499999999999</v>
      </c>
      <c r="H947">
        <v>0.23541590000000001</v>
      </c>
      <c r="I947">
        <v>374.68680000000001</v>
      </c>
      <c r="J947">
        <v>-230.4665</v>
      </c>
      <c r="K947">
        <v>1.110986</v>
      </c>
      <c r="L947">
        <v>368.15710000000001</v>
      </c>
      <c r="M947">
        <v>0.99970749999999997</v>
      </c>
      <c r="N947">
        <v>0</v>
      </c>
      <c r="O947">
        <v>1.8456259999999999E-2</v>
      </c>
      <c r="P947">
        <v>0.99719860000000005</v>
      </c>
      <c r="Q947">
        <v>-5.8781110000000001E-3</v>
      </c>
      <c r="R947">
        <v>7.4569129999999997E-2</v>
      </c>
      <c r="S947">
        <v>2.9880680000000002</v>
      </c>
      <c r="T947">
        <v>-3.6118030000000002E-2</v>
      </c>
      <c r="U947">
        <v>0.26950069999999998</v>
      </c>
      <c r="V947">
        <v>-5.6154790000000003E-2</v>
      </c>
      <c r="W947">
        <v>9.6971100000000001E-3</v>
      </c>
      <c r="X947">
        <v>0.99837500000000001</v>
      </c>
      <c r="Y947">
        <v>-7.1424660000000001E-2</v>
      </c>
      <c r="Z947">
        <v>2.081799E-4</v>
      </c>
      <c r="AA947">
        <v>0.99744600000000005</v>
      </c>
      <c r="AB947">
        <v>29</v>
      </c>
      <c r="AC947">
        <v>72.271500000000003</v>
      </c>
      <c r="AD947">
        <v>-0.87557009999999902</v>
      </c>
      <c r="AE947">
        <v>6.5296999999999903</v>
      </c>
      <c r="AF947">
        <v>-5.1938068323054303</v>
      </c>
      <c r="AG947">
        <v>-0.87557009999999902</v>
      </c>
      <c r="AH947">
        <v>72.369179584201007</v>
      </c>
      <c r="AI947">
        <v>90.691390233429203</v>
      </c>
      <c r="AJ947">
        <v>94.1049776667694</v>
      </c>
      <c r="AK947">
        <v>72.560598165269099</v>
      </c>
      <c r="AL947">
        <v>89.444387825285403</v>
      </c>
      <c r="AM947">
        <v>93.219277291773906</v>
      </c>
      <c r="AN947">
        <v>1.0000000175036401</v>
      </c>
    </row>
    <row r="948" spans="1:40" x14ac:dyDescent="0.3">
      <c r="A948" t="str">
        <f>"20200111160421775"</f>
        <v>20200111160421775</v>
      </c>
      <c r="B948" t="str">
        <f>"1578729861771740"</f>
        <v>1578729861771740</v>
      </c>
      <c r="C948" t="s">
        <v>40</v>
      </c>
      <c r="D948">
        <v>5.5335919999999996</v>
      </c>
      <c r="E948">
        <v>0.49532490000000001</v>
      </c>
      <c r="F948" t="s">
        <v>43</v>
      </c>
      <c r="G948">
        <v>-158.19499999999999</v>
      </c>
      <c r="H948">
        <v>5.658531E-2</v>
      </c>
      <c r="I948">
        <v>374.83839999999998</v>
      </c>
      <c r="J948">
        <v>-230.31489999999999</v>
      </c>
      <c r="K948">
        <v>1.1109659999999999</v>
      </c>
      <c r="L948">
        <v>368.1601</v>
      </c>
      <c r="M948">
        <v>0.99970550000000002</v>
      </c>
      <c r="N948">
        <v>0</v>
      </c>
      <c r="O948">
        <v>1.8617700000000001E-2</v>
      </c>
      <c r="P948">
        <v>0.99718709999999999</v>
      </c>
      <c r="Q948">
        <v>-5.480431E-3</v>
      </c>
      <c r="R948">
        <v>7.4751070000000003E-2</v>
      </c>
      <c r="S948">
        <v>2.9875029999999998</v>
      </c>
      <c r="T948">
        <v>-4.3582320000000001E-2</v>
      </c>
      <c r="U948">
        <v>0.27618409999999999</v>
      </c>
      <c r="V948">
        <v>-5.6175549999999998E-2</v>
      </c>
      <c r="W948">
        <v>1.0029929999999999E-2</v>
      </c>
      <c r="X948">
        <v>0.99837050000000005</v>
      </c>
      <c r="Y948">
        <v>-7.3491290000000001E-2</v>
      </c>
      <c r="Z948">
        <v>2.6391469999999999E-4</v>
      </c>
      <c r="AA948">
        <v>0.99729579999999995</v>
      </c>
      <c r="AB948">
        <v>29</v>
      </c>
      <c r="AC948">
        <v>72.119900000000001</v>
      </c>
      <c r="AD948">
        <v>-1.0543806899999999</v>
      </c>
      <c r="AE948">
        <v>6.6782999999999699</v>
      </c>
      <c r="AF948">
        <v>-5.33314263849479</v>
      </c>
      <c r="AG948">
        <v>-1.0543806899999999</v>
      </c>
      <c r="AH948">
        <v>72.216442212370694</v>
      </c>
      <c r="AI948">
        <v>90.8342039688619</v>
      </c>
      <c r="AJ948">
        <v>94.223593308879799</v>
      </c>
      <c r="AK948">
        <v>72.420775022466103</v>
      </c>
      <c r="AL948">
        <v>89.425317691278707</v>
      </c>
      <c r="AM948">
        <v>93.220479414726995</v>
      </c>
      <c r="AN948">
        <v>0.99999997359192805</v>
      </c>
    </row>
    <row r="949" spans="1:40" x14ac:dyDescent="0.3">
      <c r="A949" t="str">
        <f>"20200111160421789"</f>
        <v>20200111160421789</v>
      </c>
      <c r="B949" t="str">
        <f>"1578729861781500"</f>
        <v>1578729861781500</v>
      </c>
      <c r="C949" t="s">
        <v>40</v>
      </c>
      <c r="D949">
        <v>5.5800390000000002</v>
      </c>
      <c r="E949">
        <v>0.49532490000000001</v>
      </c>
      <c r="F949" t="s">
        <v>47</v>
      </c>
      <c r="G949">
        <v>-185.69499999999999</v>
      </c>
      <c r="H949" s="1">
        <v>-8.4574089999999993E-6</v>
      </c>
      <c r="I949">
        <v>372.10579999999999</v>
      </c>
      <c r="J949">
        <v>-230.13890000000001</v>
      </c>
      <c r="K949">
        <v>1.110946</v>
      </c>
      <c r="L949">
        <v>368.1635</v>
      </c>
      <c r="M949">
        <v>0.99970329999999996</v>
      </c>
      <c r="N949">
        <v>0</v>
      </c>
      <c r="O949">
        <v>1.8803810000000001E-2</v>
      </c>
      <c r="P949">
        <v>0.99715880000000001</v>
      </c>
      <c r="Q949">
        <v>-5.0549039999999998E-3</v>
      </c>
      <c r="R949">
        <v>7.5161259999999994E-2</v>
      </c>
      <c r="S949">
        <v>2.988251</v>
      </c>
      <c r="T949">
        <v>-7.4403410000000003E-2</v>
      </c>
      <c r="U949">
        <v>0.26425169999999998</v>
      </c>
      <c r="V949">
        <v>-5.6401E-2</v>
      </c>
      <c r="W949">
        <v>1.037895E-2</v>
      </c>
      <c r="X949">
        <v>0.99835430000000003</v>
      </c>
      <c r="Y949">
        <v>-6.9322430000000004E-2</v>
      </c>
      <c r="Z949">
        <v>3.9406009999999998E-4</v>
      </c>
      <c r="AA949">
        <v>0.99759419999999999</v>
      </c>
      <c r="AB949">
        <v>29</v>
      </c>
      <c r="AC949">
        <v>44.443899999999999</v>
      </c>
      <c r="AD949">
        <v>-1.110954457409</v>
      </c>
      <c r="AE949">
        <v>3.9422999999999799</v>
      </c>
      <c r="AF949">
        <v>-3.1038636891150202</v>
      </c>
      <c r="AG949">
        <v>-1.110954457409</v>
      </c>
      <c r="AH949">
        <v>44.482601775248497</v>
      </c>
      <c r="AI949">
        <v>91.427197851087001</v>
      </c>
      <c r="AJ949">
        <v>93.991459605393501</v>
      </c>
      <c r="AK949">
        <v>44.604596739600503</v>
      </c>
      <c r="AL949">
        <v>89.405319322982805</v>
      </c>
      <c r="AM949">
        <v>93.233429189741301</v>
      </c>
      <c r="AN949">
        <v>1.0000000518662899</v>
      </c>
    </row>
    <row r="950" spans="1:40" x14ac:dyDescent="0.3">
      <c r="A950" t="str">
        <f>"20200111160421801"</f>
        <v>20200111160421801</v>
      </c>
      <c r="B950" t="str">
        <f>"1578729861791263"</f>
        <v>1578729861791263</v>
      </c>
      <c r="C950" t="s">
        <v>40</v>
      </c>
      <c r="D950">
        <v>5.5417300000000003</v>
      </c>
      <c r="E950">
        <v>0.4974981</v>
      </c>
      <c r="F950" t="s">
        <v>47</v>
      </c>
      <c r="G950">
        <v>-184.73859999999999</v>
      </c>
      <c r="H950" s="1">
        <v>-8.1077810000000002E-6</v>
      </c>
      <c r="I950">
        <v>372.19510000000002</v>
      </c>
      <c r="J950">
        <v>-229.9658</v>
      </c>
      <c r="K950">
        <v>1.110927</v>
      </c>
      <c r="L950">
        <v>368.16699999999997</v>
      </c>
      <c r="M950">
        <v>0.99970110000000001</v>
      </c>
      <c r="N950">
        <v>0</v>
      </c>
      <c r="O950">
        <v>1.8985040000000002E-2</v>
      </c>
      <c r="P950">
        <v>0.99714009999999997</v>
      </c>
      <c r="Q950">
        <v>-4.9851160000000004E-3</v>
      </c>
      <c r="R950">
        <v>7.5410920000000006E-2</v>
      </c>
      <c r="S950">
        <v>2.9881899999999999</v>
      </c>
      <c r="T950">
        <v>-7.312167E-2</v>
      </c>
      <c r="U950">
        <v>0.26535029999999998</v>
      </c>
      <c r="V950">
        <v>-5.6469560000000002E-2</v>
      </c>
      <c r="W950">
        <v>1.037133E-2</v>
      </c>
      <c r="X950">
        <v>0.99835039999999997</v>
      </c>
      <c r="Y950">
        <v>-6.9507819999999998E-2</v>
      </c>
      <c r="Z950">
        <v>3.851161E-4</v>
      </c>
      <c r="AA950">
        <v>0.9975813</v>
      </c>
      <c r="AB950">
        <v>29</v>
      </c>
      <c r="AC950">
        <v>45.227200000000003</v>
      </c>
      <c r="AD950">
        <v>-1.1109351077809999</v>
      </c>
      <c r="AE950">
        <v>4.02810000000005</v>
      </c>
      <c r="AF950">
        <v>-3.16673609548344</v>
      </c>
      <c r="AG950">
        <v>-1.1109351077809999</v>
      </c>
      <c r="AH950">
        <v>45.268431085488999</v>
      </c>
      <c r="AI950">
        <v>91.402390918483903</v>
      </c>
      <c r="AJ950">
        <v>94.001585781379404</v>
      </c>
      <c r="AK950">
        <v>45.392656314141803</v>
      </c>
      <c r="AL950">
        <v>89.405755878835393</v>
      </c>
      <c r="AM950">
        <v>93.237363950304797</v>
      </c>
      <c r="AN950">
        <v>0.99999994843635998</v>
      </c>
    </row>
    <row r="951" spans="1:40" x14ac:dyDescent="0.3">
      <c r="A951" t="str">
        <f>"20200111160421815"</f>
        <v>20200111160421815</v>
      </c>
      <c r="B951" t="str">
        <f>"1578729861811756"</f>
        <v>1578729861811756</v>
      </c>
      <c r="C951" t="s">
        <v>40</v>
      </c>
      <c r="D951">
        <v>5.5393400000000002</v>
      </c>
      <c r="E951">
        <v>0.49962050000000002</v>
      </c>
      <c r="F951" t="s">
        <v>41</v>
      </c>
      <c r="G951">
        <v>-220.66390000000001</v>
      </c>
      <c r="H951" s="1">
        <v>-4.0993639999999999E-6</v>
      </c>
      <c r="I951">
        <v>368.98570000000001</v>
      </c>
      <c r="J951">
        <v>-229.80449999999999</v>
      </c>
      <c r="K951">
        <v>1.110914</v>
      </c>
      <c r="L951">
        <v>368.17020000000002</v>
      </c>
      <c r="M951">
        <v>0.999699</v>
      </c>
      <c r="N951">
        <v>0</v>
      </c>
      <c r="O951">
        <v>1.9152539999999999E-2</v>
      </c>
      <c r="P951">
        <v>0.99711249999999996</v>
      </c>
      <c r="Q951">
        <v>-4.2385499999999998E-3</v>
      </c>
      <c r="R951">
        <v>7.5820890000000002E-2</v>
      </c>
      <c r="S951">
        <v>2.9869539999999999</v>
      </c>
      <c r="T951">
        <v>-0.35672890000000002</v>
      </c>
      <c r="U951">
        <v>0.2629089</v>
      </c>
      <c r="V951">
        <v>-5.6713350000000003E-2</v>
      </c>
      <c r="W951">
        <v>1.104553E-2</v>
      </c>
      <c r="X951">
        <v>0.99832940000000003</v>
      </c>
      <c r="Y951">
        <v>-6.8236989999999997E-2</v>
      </c>
      <c r="Z951">
        <v>1.7779549999999999E-3</v>
      </c>
      <c r="AA951">
        <v>0.99766759999999999</v>
      </c>
      <c r="AB951">
        <v>29</v>
      </c>
      <c r="AC951">
        <v>9.1405999999999707</v>
      </c>
      <c r="AD951">
        <v>-1.110918099364</v>
      </c>
      <c r="AE951">
        <v>0.81549999999998501</v>
      </c>
      <c r="AF951">
        <v>-0.63101684477243603</v>
      </c>
      <c r="AG951">
        <v>-1.110918099364</v>
      </c>
      <c r="AH951">
        <v>9.02232588479227</v>
      </c>
      <c r="AI951">
        <v>97.002556608944204</v>
      </c>
      <c r="AJ951">
        <v>94.000722698136599</v>
      </c>
      <c r="AK951">
        <v>9.1123370028370694</v>
      </c>
      <c r="AL951">
        <v>89.367124878805797</v>
      </c>
      <c r="AM951">
        <v>93.2513786008994</v>
      </c>
      <c r="AN951">
        <v>0.99999999935278105</v>
      </c>
    </row>
    <row r="952" spans="1:40" x14ac:dyDescent="0.3">
      <c r="A952" t="str">
        <f>"20200111160421828"</f>
        <v>20200111160421828</v>
      </c>
      <c r="B952" t="str">
        <f>"1578729861821516"</f>
        <v>1578729861821516</v>
      </c>
      <c r="C952" t="s">
        <v>40</v>
      </c>
      <c r="D952">
        <v>8.1839689999999994</v>
      </c>
      <c r="E952">
        <v>0.49962050000000002</v>
      </c>
      <c r="F952" t="s">
        <v>41</v>
      </c>
      <c r="G952">
        <v>-220.5172</v>
      </c>
      <c r="H952" s="1">
        <v>-4.1705479999999998E-6</v>
      </c>
      <c r="I952">
        <v>368.9391</v>
      </c>
      <c r="J952">
        <v>-229.62739999999999</v>
      </c>
      <c r="K952">
        <v>1.1108990000000001</v>
      </c>
      <c r="L952">
        <v>368.17380000000003</v>
      </c>
      <c r="M952">
        <v>0.99969660000000005</v>
      </c>
      <c r="N952">
        <v>0</v>
      </c>
      <c r="O952">
        <v>1.9336119999999998E-2</v>
      </c>
      <c r="P952">
        <v>0.99711470000000002</v>
      </c>
      <c r="Q952">
        <v>-3.850942E-3</v>
      </c>
      <c r="R952">
        <v>7.5812099999999993E-2</v>
      </c>
      <c r="S952">
        <v>2.9883730000000002</v>
      </c>
      <c r="T952">
        <v>-0.35745579999999999</v>
      </c>
      <c r="U952">
        <v>0.2474365</v>
      </c>
      <c r="V952">
        <v>-5.6521309999999998E-2</v>
      </c>
      <c r="W952">
        <v>1.13545E-2</v>
      </c>
      <c r="X952">
        <v>0.99833689999999997</v>
      </c>
      <c r="Y952">
        <v>-6.2921080000000004E-2</v>
      </c>
      <c r="Z952">
        <v>1.442973E-3</v>
      </c>
      <c r="AA952">
        <v>0.9980175</v>
      </c>
      <c r="AB952">
        <v>29</v>
      </c>
      <c r="AC952">
        <v>9.1101999999999901</v>
      </c>
      <c r="AD952">
        <v>-1.1109031705479999</v>
      </c>
      <c r="AE952">
        <v>0.76529999999996701</v>
      </c>
      <c r="AF952">
        <v>-0.58041051322185999</v>
      </c>
      <c r="AG952">
        <v>-1.1109031705479999</v>
      </c>
      <c r="AH952">
        <v>8.9905477717824205</v>
      </c>
      <c r="AI952">
        <v>97.029474195656604</v>
      </c>
      <c r="AJ952">
        <v>93.693767006700398</v>
      </c>
      <c r="AK952">
        <v>9.0774958801915098</v>
      </c>
      <c r="AL952">
        <v>89.349421140217899</v>
      </c>
      <c r="AM952">
        <v>93.240368149710804</v>
      </c>
      <c r="AN952">
        <v>1.00000007452798</v>
      </c>
    </row>
    <row r="953" spans="1:40" x14ac:dyDescent="0.3">
      <c r="A953" t="str">
        <f>"20200111160421841"</f>
        <v>20200111160421841</v>
      </c>
      <c r="B953" t="str">
        <f>"1578729861831276"</f>
        <v>1578729861831276</v>
      </c>
      <c r="C953" t="s">
        <v>40</v>
      </c>
      <c r="D953">
        <v>5.7724640000000003</v>
      </c>
      <c r="E953">
        <v>0.51170450000000001</v>
      </c>
      <c r="F953" t="s">
        <v>42</v>
      </c>
      <c r="G953">
        <v>-228.72030000000001</v>
      </c>
      <c r="H953">
        <v>1.002761</v>
      </c>
      <c r="I953">
        <v>368.24880000000002</v>
      </c>
      <c r="J953">
        <v>-229.46940000000001</v>
      </c>
      <c r="K953">
        <v>1.1108880000000001</v>
      </c>
      <c r="L953">
        <v>368.17700000000002</v>
      </c>
      <c r="M953">
        <v>0.99969459999999999</v>
      </c>
      <c r="N953">
        <v>0</v>
      </c>
      <c r="O953">
        <v>1.9499430000000002E-2</v>
      </c>
      <c r="P953">
        <v>0.99711930000000004</v>
      </c>
      <c r="Q953">
        <v>-3.4761480000000001E-3</v>
      </c>
      <c r="R953">
        <v>7.5771729999999995E-2</v>
      </c>
      <c r="S953">
        <v>2.988464</v>
      </c>
      <c r="T953">
        <v>-0.3563075</v>
      </c>
      <c r="U953">
        <v>0.2475281</v>
      </c>
      <c r="V953">
        <v>-5.6317840000000001E-2</v>
      </c>
      <c r="W953">
        <v>1.1659660000000001E-2</v>
      </c>
      <c r="X953">
        <v>0.99834480000000003</v>
      </c>
      <c r="Y953">
        <v>-6.2789970000000001E-2</v>
      </c>
      <c r="Z953">
        <v>1.4111919999999999E-3</v>
      </c>
      <c r="AA953">
        <v>0.99802579999999996</v>
      </c>
      <c r="AB953">
        <v>29</v>
      </c>
      <c r="AC953">
        <v>0.74909999999999799</v>
      </c>
      <c r="AD953">
        <v>-0.108126999999999</v>
      </c>
      <c r="AE953">
        <v>7.1800000000052905E-2</v>
      </c>
      <c r="AF953">
        <v>-5.60210777104128E-2</v>
      </c>
      <c r="AG953">
        <v>-0.108126999999999</v>
      </c>
      <c r="AH953">
        <v>0.73517989332023304</v>
      </c>
      <c r="AI953">
        <v>98.342980300647099</v>
      </c>
      <c r="AJ953">
        <v>94.357546187000693</v>
      </c>
      <c r="AK953">
        <v>0.74519748041655798</v>
      </c>
      <c r="AL953">
        <v>89.331935549368893</v>
      </c>
      <c r="AM953">
        <v>93.228702437957693</v>
      </c>
      <c r="AN953">
        <v>0.99999999323030997</v>
      </c>
    </row>
    <row r="954" spans="1:40" x14ac:dyDescent="0.3">
      <c r="A954" t="str">
        <f>"20200111160421852"</f>
        <v>20200111160421852</v>
      </c>
      <c r="B954" t="str">
        <f>"1578729861842013"</f>
        <v>1578729861842013</v>
      </c>
      <c r="C954" t="s">
        <v>40</v>
      </c>
      <c r="D954">
        <v>5.7619999999999996</v>
      </c>
      <c r="E954">
        <v>0.51835469999999995</v>
      </c>
      <c r="F954" t="s">
        <v>42</v>
      </c>
      <c r="G954">
        <v>-228.69720000000001</v>
      </c>
      <c r="H954">
        <v>1.029501</v>
      </c>
      <c r="I954">
        <v>368.21539999999999</v>
      </c>
      <c r="J954">
        <v>-229.321</v>
      </c>
      <c r="K954">
        <v>1.110878</v>
      </c>
      <c r="L954">
        <v>368.18009999999998</v>
      </c>
      <c r="M954">
        <v>0.99969240000000004</v>
      </c>
      <c r="N954">
        <v>0</v>
      </c>
      <c r="O954">
        <v>1.9653500000000001E-2</v>
      </c>
      <c r="P954">
        <v>0.99714100000000006</v>
      </c>
      <c r="Q954">
        <v>-3.2650470000000001E-3</v>
      </c>
      <c r="R954">
        <v>7.5494220000000001E-2</v>
      </c>
      <c r="S954">
        <v>2.996216</v>
      </c>
      <c r="T954">
        <v>-0.31590570000000001</v>
      </c>
      <c r="U954">
        <v>0.149231</v>
      </c>
      <c r="V954">
        <v>-5.5886440000000003E-2</v>
      </c>
      <c r="W954">
        <v>1.180747E-2</v>
      </c>
      <c r="X954">
        <v>0.99836729999999996</v>
      </c>
      <c r="Y954">
        <v>-3.0046349999999999E-2</v>
      </c>
      <c r="Z954">
        <v>-4.8643429999999999E-4</v>
      </c>
      <c r="AA954">
        <v>0.9995484</v>
      </c>
      <c r="AB954">
        <v>29</v>
      </c>
      <c r="AC954">
        <v>0.62379999999998803</v>
      </c>
      <c r="AD954">
        <v>-8.1377000000000005E-2</v>
      </c>
      <c r="AE954">
        <v>3.53000000000065E-2</v>
      </c>
      <c r="AF954">
        <v>-2.26477315097201E-2</v>
      </c>
      <c r="AG954">
        <v>-8.1377000000000005E-2</v>
      </c>
      <c r="AH954">
        <v>0.61395824634676999</v>
      </c>
      <c r="AI954">
        <v>97.545178257622496</v>
      </c>
      <c r="AJ954">
        <v>92.112572555598504</v>
      </c>
      <c r="AK954">
        <v>0.619741772134764</v>
      </c>
      <c r="AL954">
        <v>89.3234660736303</v>
      </c>
      <c r="AM954">
        <v>93.203949939282495</v>
      </c>
      <c r="AN954">
        <v>0.99999998811648205</v>
      </c>
    </row>
    <row r="955" spans="1:40" x14ac:dyDescent="0.3">
      <c r="A955" t="str">
        <f>"20200111160421868"</f>
        <v>20200111160421868</v>
      </c>
      <c r="B955" t="str">
        <f>"1578729861861532"</f>
        <v>1578729861861532</v>
      </c>
      <c r="C955" t="s">
        <v>40</v>
      </c>
      <c r="D955">
        <v>5.7160440000000001</v>
      </c>
      <c r="E955">
        <v>0.52596589999999999</v>
      </c>
      <c r="F955" t="s">
        <v>42</v>
      </c>
      <c r="G955">
        <v>-228.46029999999999</v>
      </c>
      <c r="H955">
        <v>1.0181629999999999</v>
      </c>
      <c r="I955">
        <v>368.20729999999998</v>
      </c>
      <c r="J955">
        <v>-229.11799999999999</v>
      </c>
      <c r="K955">
        <v>1.110857</v>
      </c>
      <c r="L955">
        <v>368.18419999999998</v>
      </c>
      <c r="M955">
        <v>0.99968970000000001</v>
      </c>
      <c r="N955">
        <v>0</v>
      </c>
      <c r="O955">
        <v>1.9864409999999999E-2</v>
      </c>
      <c r="P955">
        <v>0.9971795</v>
      </c>
      <c r="Q955">
        <v>-3.1105880000000001E-3</v>
      </c>
      <c r="R955">
        <v>7.4991139999999998E-2</v>
      </c>
      <c r="S955">
        <v>3.0002749999999998</v>
      </c>
      <c r="T955">
        <v>-0.32343329999999998</v>
      </c>
      <c r="U955">
        <v>9.5886230000000003E-2</v>
      </c>
      <c r="V955">
        <v>-5.5172289999999999E-2</v>
      </c>
      <c r="W955">
        <v>1.1878990000000001E-2</v>
      </c>
      <c r="X955">
        <v>0.99840620000000002</v>
      </c>
      <c r="Y955">
        <v>-1.212482E-2</v>
      </c>
      <c r="Z955">
        <v>-1.483166E-3</v>
      </c>
      <c r="AA955">
        <v>0.99992539999999996</v>
      </c>
      <c r="AB955">
        <v>29</v>
      </c>
      <c r="AC955">
        <v>0.65770000000000495</v>
      </c>
      <c r="AD955">
        <v>-9.2693999999999999E-2</v>
      </c>
      <c r="AE955">
        <v>2.3099999999999399E-2</v>
      </c>
      <c r="AF955">
        <v>-9.8340482541000203E-3</v>
      </c>
      <c r="AG955">
        <v>-9.2693999999999999E-2</v>
      </c>
      <c r="AH955">
        <v>0.64522864858120099</v>
      </c>
      <c r="AI955">
        <v>98.174280423829799</v>
      </c>
      <c r="AJ955">
        <v>90.873187883433999</v>
      </c>
      <c r="AK955">
        <v>0.651927062707928</v>
      </c>
      <c r="AL955">
        <v>89.319368011059595</v>
      </c>
      <c r="AM955">
        <v>93.162968653286399</v>
      </c>
      <c r="AN955">
        <v>1.0000000160928499</v>
      </c>
    </row>
    <row r="956" spans="1:40" x14ac:dyDescent="0.3">
      <c r="A956" t="str">
        <f>"20200111160421882"</f>
        <v>20200111160421882</v>
      </c>
      <c r="B956" t="str">
        <f>"1578729861871292"</f>
        <v>1578729861871292</v>
      </c>
      <c r="C956" t="s">
        <v>40</v>
      </c>
      <c r="D956">
        <v>5.7188990000000004</v>
      </c>
      <c r="E956">
        <v>0.52911490000000005</v>
      </c>
      <c r="F956" t="s">
        <v>42</v>
      </c>
      <c r="G956">
        <v>-228.2088</v>
      </c>
      <c r="H956">
        <v>1.009269</v>
      </c>
      <c r="I956">
        <v>368.19470000000001</v>
      </c>
      <c r="J956">
        <v>-228.94059999999999</v>
      </c>
      <c r="K956">
        <v>1.1108469999999999</v>
      </c>
      <c r="L956">
        <v>368.18790000000001</v>
      </c>
      <c r="M956">
        <v>0.99968690000000004</v>
      </c>
      <c r="N956">
        <v>0</v>
      </c>
      <c r="O956">
        <v>2.004951E-2</v>
      </c>
      <c r="P956">
        <v>0.99720679999999995</v>
      </c>
      <c r="Q956">
        <v>-3.6924029999999999E-3</v>
      </c>
      <c r="R956">
        <v>7.459934E-2</v>
      </c>
      <c r="S956">
        <v>3.004807</v>
      </c>
      <c r="T956">
        <v>-0.33580850000000001</v>
      </c>
      <c r="U956">
        <v>3.4790040000000001E-2</v>
      </c>
      <c r="V956">
        <v>-5.4594730000000001E-2</v>
      </c>
      <c r="W956">
        <v>1.1228149999999999E-2</v>
      </c>
      <c r="X956">
        <v>0.99844549999999999</v>
      </c>
      <c r="Y956">
        <v>8.298939E-3</v>
      </c>
      <c r="Z956">
        <v>-2.696E-3</v>
      </c>
      <c r="AA956">
        <v>0.99996189999999996</v>
      </c>
      <c r="AB956">
        <v>29</v>
      </c>
      <c r="AC956">
        <v>0.73179999999999201</v>
      </c>
      <c r="AD956">
        <v>-0.101577999999999</v>
      </c>
      <c r="AE956">
        <v>6.7999999999983603E-3</v>
      </c>
      <c r="AF956">
        <v>7.7263913738847799E-3</v>
      </c>
      <c r="AG956">
        <v>-0.101577999999999</v>
      </c>
      <c r="AH956">
        <v>0.71795751257108598</v>
      </c>
      <c r="AI956">
        <v>98.052408223533405</v>
      </c>
      <c r="AJ956">
        <v>89.383427960090003</v>
      </c>
      <c r="AK956">
        <v>0.72514879649967201</v>
      </c>
      <c r="AL956">
        <v>89.356660898284005</v>
      </c>
      <c r="AM956">
        <v>93.129800980707898</v>
      </c>
      <c r="AN956">
        <v>1.00000003618322</v>
      </c>
    </row>
    <row r="957" spans="1:40" x14ac:dyDescent="0.3">
      <c r="A957" t="str">
        <f>"20200111160421900"</f>
        <v>20200111160421900</v>
      </c>
      <c r="B957" t="str">
        <f>"1578729861891932"</f>
        <v>1578729861891932</v>
      </c>
      <c r="C957" t="s">
        <v>40</v>
      </c>
      <c r="D957">
        <v>5.7025230000000002</v>
      </c>
      <c r="E957">
        <v>0.53320880000000004</v>
      </c>
      <c r="F957" t="s">
        <v>42</v>
      </c>
      <c r="G957">
        <v>-228.2003</v>
      </c>
      <c r="H957">
        <v>1.0264359999999999</v>
      </c>
      <c r="I957">
        <v>368.19009999999997</v>
      </c>
      <c r="J957">
        <v>-228.7071</v>
      </c>
      <c r="K957">
        <v>1.110835</v>
      </c>
      <c r="L957">
        <v>368.19290000000001</v>
      </c>
      <c r="M957">
        <v>0.9996834</v>
      </c>
      <c r="N957">
        <v>0</v>
      </c>
      <c r="O957">
        <v>2.0293080000000002E-2</v>
      </c>
      <c r="P957">
        <v>0.99727679999999996</v>
      </c>
      <c r="Q957">
        <v>-4.9547200000000001E-3</v>
      </c>
      <c r="R957">
        <v>7.358547E-2</v>
      </c>
      <c r="S957">
        <v>3.0064700000000002</v>
      </c>
      <c r="T957">
        <v>-0.3428755</v>
      </c>
      <c r="U957">
        <v>8.9416500000000006E-3</v>
      </c>
      <c r="V957">
        <v>-5.33357E-2</v>
      </c>
      <c r="W957">
        <v>9.8821150000000003E-3</v>
      </c>
      <c r="X957">
        <v>0.99852779999999997</v>
      </c>
      <c r="Y957">
        <v>1.7079469999999999E-2</v>
      </c>
      <c r="Z957">
        <v>-3.277753E-3</v>
      </c>
      <c r="AA957">
        <v>0.99984879999999998</v>
      </c>
      <c r="AB957">
        <v>29</v>
      </c>
      <c r="AC957">
        <v>0.50679999999999803</v>
      </c>
      <c r="AD957">
        <v>-8.4398999999999794E-2</v>
      </c>
      <c r="AE957">
        <v>-2.8000000000361E-3</v>
      </c>
      <c r="AF957">
        <v>1.2732004749415901E-2</v>
      </c>
      <c r="AG957">
        <v>-8.4398999999999794E-2</v>
      </c>
      <c r="AH957">
        <v>0.492967591064781</v>
      </c>
      <c r="AI957">
        <v>99.712011757049893</v>
      </c>
      <c r="AJ957">
        <v>88.520535602274705</v>
      </c>
      <c r="AK957">
        <v>0.50030224963131298</v>
      </c>
      <c r="AL957">
        <v>89.4337873359909</v>
      </c>
      <c r="AM957">
        <v>93.057510475335107</v>
      </c>
      <c r="AN957">
        <v>1.00000006023209</v>
      </c>
    </row>
    <row r="958" spans="1:40" x14ac:dyDescent="0.3">
      <c r="A958" t="str">
        <f>"20200111160421915"</f>
        <v>20200111160421915</v>
      </c>
      <c r="B958" t="str">
        <f>"1578729861911452"</f>
        <v>1578729861911452</v>
      </c>
      <c r="C958" t="s">
        <v>40</v>
      </c>
      <c r="D958">
        <v>5.726146</v>
      </c>
      <c r="E958">
        <v>0.53640449999999995</v>
      </c>
      <c r="F958" t="s">
        <v>42</v>
      </c>
      <c r="G958">
        <v>-227.9469</v>
      </c>
      <c r="H958">
        <v>1.0216799999999999</v>
      </c>
      <c r="I958">
        <v>368.18619999999999</v>
      </c>
      <c r="J958">
        <v>-228.5241</v>
      </c>
      <c r="K958">
        <v>1.1108279999999999</v>
      </c>
      <c r="L958">
        <v>368.19670000000002</v>
      </c>
      <c r="M958">
        <v>0.99968029999999997</v>
      </c>
      <c r="N958">
        <v>0</v>
      </c>
      <c r="O958">
        <v>2.0484909999999999E-2</v>
      </c>
      <c r="P958">
        <v>0.99729140000000005</v>
      </c>
      <c r="Q958">
        <v>-5.9148450000000002E-3</v>
      </c>
      <c r="R958">
        <v>7.331522E-2</v>
      </c>
      <c r="S958">
        <v>3.0084080000000002</v>
      </c>
      <c r="T958">
        <v>-0.35293160000000001</v>
      </c>
      <c r="U958">
        <v>-2.624512E-2</v>
      </c>
      <c r="V958">
        <v>-5.2872910000000002E-2</v>
      </c>
      <c r="W958">
        <v>8.8607740000000001E-3</v>
      </c>
      <c r="X958">
        <v>0.9985619</v>
      </c>
      <c r="Y958">
        <v>2.886969E-2</v>
      </c>
      <c r="Z958">
        <v>-4.0827290000000002E-3</v>
      </c>
      <c r="AA958">
        <v>0.99957479999999999</v>
      </c>
      <c r="AB958">
        <v>29</v>
      </c>
      <c r="AC958">
        <v>0.57720000000000404</v>
      </c>
      <c r="AD958">
        <v>-8.9148000000000199E-2</v>
      </c>
      <c r="AE958">
        <v>-1.0500000000035901E-2</v>
      </c>
      <c r="AF958">
        <v>2.1803055904490599E-2</v>
      </c>
      <c r="AG958">
        <v>-8.9148000000000199E-2</v>
      </c>
      <c r="AH958">
        <v>0.56342788789230502</v>
      </c>
      <c r="AI958">
        <v>98.984435987761003</v>
      </c>
      <c r="AJ958">
        <v>87.783922108973499</v>
      </c>
      <c r="AK958">
        <v>0.57085350485528097</v>
      </c>
      <c r="AL958">
        <v>89.492308384237802</v>
      </c>
      <c r="AM958">
        <v>93.030927049783202</v>
      </c>
      <c r="AN958">
        <v>0.99999996302967697</v>
      </c>
    </row>
    <row r="959" spans="1:40" x14ac:dyDescent="0.3">
      <c r="A959" t="str">
        <f>"20200111160421929"</f>
        <v>20200111160421929</v>
      </c>
      <c r="B959" t="str">
        <f>"1578729861921212"</f>
        <v>1578729861921212</v>
      </c>
      <c r="C959" t="s">
        <v>40</v>
      </c>
      <c r="D959">
        <v>5.7063449999999998</v>
      </c>
      <c r="E959">
        <v>0.53776899999999905</v>
      </c>
      <c r="F959" t="s">
        <v>42</v>
      </c>
      <c r="G959">
        <v>-227.69640000000001</v>
      </c>
      <c r="H959">
        <v>1.011641</v>
      </c>
      <c r="I959">
        <v>368.18239999999997</v>
      </c>
      <c r="J959">
        <v>-228.3426</v>
      </c>
      <c r="K959">
        <v>1.1108199999999999</v>
      </c>
      <c r="L959">
        <v>368.20069999999998</v>
      </c>
      <c r="M959">
        <v>0.99967729999999999</v>
      </c>
      <c r="N959">
        <v>0</v>
      </c>
      <c r="O959">
        <v>2.0674990000000001E-2</v>
      </c>
      <c r="P959">
        <v>0.99731270000000005</v>
      </c>
      <c r="Q959">
        <v>-6.3351340000000001E-3</v>
      </c>
      <c r="R959">
        <v>7.2991449999999999E-2</v>
      </c>
      <c r="S959">
        <v>3.0098419999999999</v>
      </c>
      <c r="T959">
        <v>-0.36083510000000002</v>
      </c>
      <c r="U959">
        <v>-5.1757810000000001E-2</v>
      </c>
      <c r="V959">
        <v>-5.2358399999999999E-2</v>
      </c>
      <c r="W959">
        <v>8.3834779999999998E-3</v>
      </c>
      <c r="X959">
        <v>0.99859319999999896</v>
      </c>
      <c r="Y959">
        <v>3.7448040000000002E-2</v>
      </c>
      <c r="Z959">
        <v>-4.7064029999999996E-3</v>
      </c>
      <c r="AA959">
        <v>0.9992875</v>
      </c>
      <c r="AB959">
        <v>29</v>
      </c>
      <c r="AC959">
        <v>0.646199999999993</v>
      </c>
      <c r="AD959">
        <v>-9.91790000000001E-2</v>
      </c>
      <c r="AE959">
        <v>-1.8300000000010599E-2</v>
      </c>
      <c r="AF959">
        <v>3.0929718188260999E-2</v>
      </c>
      <c r="AG959">
        <v>-9.91790000000001E-2</v>
      </c>
      <c r="AH959">
        <v>0.63083526659410105</v>
      </c>
      <c r="AI959">
        <v>98.924274564461996</v>
      </c>
      <c r="AJ959">
        <v>87.193047975040699</v>
      </c>
      <c r="AK959">
        <v>0.63933266386682897</v>
      </c>
      <c r="AL959">
        <v>89.519656481539698</v>
      </c>
      <c r="AM959">
        <v>93.001393173607994</v>
      </c>
      <c r="AN959">
        <v>1.0000000319200799</v>
      </c>
    </row>
    <row r="960" spans="1:40" x14ac:dyDescent="0.3">
      <c r="A960" t="str">
        <f>"20200111160421945"</f>
        <v>20200111160421945</v>
      </c>
      <c r="B960" t="str">
        <f>"1578729861941707"</f>
        <v>1578729861941707</v>
      </c>
      <c r="C960" t="s">
        <v>40</v>
      </c>
      <c r="D960">
        <v>5.719195</v>
      </c>
      <c r="E960">
        <v>0.53970929999999995</v>
      </c>
      <c r="F960" t="s">
        <v>42</v>
      </c>
      <c r="G960">
        <v>-227.44589999999999</v>
      </c>
      <c r="H960">
        <v>1.0024649999999999</v>
      </c>
      <c r="I960">
        <v>368.18150000000003</v>
      </c>
      <c r="J960">
        <v>-228.13939999999999</v>
      </c>
      <c r="K960">
        <v>1.110814</v>
      </c>
      <c r="L960">
        <v>368.20510000000002</v>
      </c>
      <c r="M960">
        <v>0.9996737</v>
      </c>
      <c r="N960">
        <v>0</v>
      </c>
      <c r="O960">
        <v>2.0887320000000001E-2</v>
      </c>
      <c r="P960">
        <v>0.9973649</v>
      </c>
      <c r="Q960">
        <v>-6.7827869999999898E-3</v>
      </c>
      <c r="R960">
        <v>7.2232019999999994E-2</v>
      </c>
      <c r="S960">
        <v>3.0104060000000001</v>
      </c>
      <c r="T960">
        <v>-0.36393759999999997</v>
      </c>
      <c r="U960">
        <v>-6.3629149999999995E-2</v>
      </c>
      <c r="V960">
        <v>-5.1385790000000001E-2</v>
      </c>
      <c r="W960">
        <v>7.8766169999999903E-3</v>
      </c>
      <c r="X960">
        <v>0.99864779999999997</v>
      </c>
      <c r="Y960">
        <v>4.1557450000000003E-2</v>
      </c>
      <c r="Z960">
        <v>-5.0185869999999997E-3</v>
      </c>
      <c r="AA960">
        <v>0.99912350000000005</v>
      </c>
      <c r="AB960">
        <v>29</v>
      </c>
      <c r="AC960">
        <v>0.69350000000000001</v>
      </c>
      <c r="AD960">
        <v>-0.108349</v>
      </c>
      <c r="AE960">
        <v>-2.35999999999876E-2</v>
      </c>
      <c r="AF960">
        <v>3.7175393898980898E-2</v>
      </c>
      <c r="AG960">
        <v>-0.108349</v>
      </c>
      <c r="AH960">
        <v>0.67636511537404898</v>
      </c>
      <c r="AI960">
        <v>99.087575240314294</v>
      </c>
      <c r="AJ960">
        <v>86.853988903594896</v>
      </c>
      <c r="AK960">
        <v>0.68599656340793402</v>
      </c>
      <c r="AL960">
        <v>89.548698415430593</v>
      </c>
      <c r="AM960">
        <v>92.945577625309795</v>
      </c>
      <c r="AN960">
        <v>0.99999998447706395</v>
      </c>
    </row>
    <row r="961" spans="1:40" x14ac:dyDescent="0.3">
      <c r="A961" t="str">
        <f>"20200111160421957"</f>
        <v>20200111160421957</v>
      </c>
      <c r="B961" t="str">
        <f>"1578729861951467"</f>
        <v>1578729861951467</v>
      </c>
      <c r="C961" t="s">
        <v>40</v>
      </c>
      <c r="D961">
        <v>5.7156979999999997</v>
      </c>
      <c r="E961">
        <v>0.54064109999999999</v>
      </c>
      <c r="F961" t="s">
        <v>42</v>
      </c>
      <c r="G961">
        <v>-227.19450000000001</v>
      </c>
      <c r="H961">
        <v>0.99539330000000004</v>
      </c>
      <c r="I961">
        <v>368.17970000000003</v>
      </c>
      <c r="J961">
        <v>-227.98179999999999</v>
      </c>
      <c r="K961">
        <v>1.1108119999999999</v>
      </c>
      <c r="L961">
        <v>368.20859999999999</v>
      </c>
      <c r="M961">
        <v>0.99967090000000003</v>
      </c>
      <c r="N961">
        <v>0</v>
      </c>
      <c r="O961">
        <v>2.1052419999999999E-2</v>
      </c>
      <c r="P961">
        <v>0.99737260000000005</v>
      </c>
      <c r="Q961">
        <v>-6.3986310000000001E-3</v>
      </c>
      <c r="R961">
        <v>7.2162740000000003E-2</v>
      </c>
      <c r="S961">
        <v>3.0113219999999998</v>
      </c>
      <c r="T961">
        <v>-0.36781940000000002</v>
      </c>
      <c r="U961">
        <v>-8.1024170000000006E-2</v>
      </c>
      <c r="V961">
        <v>-5.1151839999999997E-2</v>
      </c>
      <c r="W961">
        <v>8.2184990000000006E-3</v>
      </c>
      <c r="X961">
        <v>0.99865700000000002</v>
      </c>
      <c r="Y961">
        <v>4.7429209999999999E-2</v>
      </c>
      <c r="Z961">
        <v>-5.4471859999999997E-3</v>
      </c>
      <c r="AA961">
        <v>0.99885979999999996</v>
      </c>
      <c r="AB961">
        <v>29</v>
      </c>
      <c r="AC961">
        <v>0.78729999999998701</v>
      </c>
      <c r="AD961">
        <v>-0.1154187</v>
      </c>
      <c r="AE961">
        <v>-2.88999999999646E-2</v>
      </c>
      <c r="AF961">
        <v>4.4514536906293201E-2</v>
      </c>
      <c r="AG961">
        <v>-0.1154187</v>
      </c>
      <c r="AH961">
        <v>0.76999081094271804</v>
      </c>
      <c r="AI961">
        <v>98.510947186156997</v>
      </c>
      <c r="AJ961">
        <v>86.691312003950202</v>
      </c>
      <c r="AK961">
        <v>0.77986464802675604</v>
      </c>
      <c r="AL961">
        <v>89.529109358906993</v>
      </c>
      <c r="AM961">
        <v>92.932163446094293</v>
      </c>
      <c r="AN961">
        <v>0.99999992905509605</v>
      </c>
    </row>
    <row r="962" spans="1:40" x14ac:dyDescent="0.3">
      <c r="A962" t="str">
        <f>"20200111160421969"</f>
        <v>20200111160421969</v>
      </c>
      <c r="B962" t="str">
        <f>"1578729861961227"</f>
        <v>1578729861961227</v>
      </c>
      <c r="C962" t="s">
        <v>40</v>
      </c>
      <c r="D962">
        <v>5.839531</v>
      </c>
      <c r="E962">
        <v>0.54128969999999998</v>
      </c>
      <c r="F962" t="s">
        <v>42</v>
      </c>
      <c r="G962">
        <v>-227.18559999999999</v>
      </c>
      <c r="H962">
        <v>1.0135350000000001</v>
      </c>
      <c r="I962">
        <v>368.18520000000001</v>
      </c>
      <c r="J962">
        <v>-227.83680000000001</v>
      </c>
      <c r="K962">
        <v>1.110811</v>
      </c>
      <c r="L962">
        <v>368.21179999999998</v>
      </c>
      <c r="M962">
        <v>0.99966820000000001</v>
      </c>
      <c r="N962">
        <v>0</v>
      </c>
      <c r="O962">
        <v>2.120443E-2</v>
      </c>
      <c r="P962">
        <v>0.99737350000000002</v>
      </c>
      <c r="Q962">
        <v>-6.0245539999999997E-3</v>
      </c>
      <c r="R962">
        <v>7.2180170000000002E-2</v>
      </c>
      <c r="S962">
        <v>3.0119630000000002</v>
      </c>
      <c r="T962">
        <v>-0.3679752</v>
      </c>
      <c r="U962">
        <v>-8.8592530000000003E-2</v>
      </c>
      <c r="V962">
        <v>-5.1017409999999999E-2</v>
      </c>
      <c r="W962">
        <v>8.5551340000000007E-3</v>
      </c>
      <c r="X962">
        <v>0.99866109999999997</v>
      </c>
      <c r="Y962">
        <v>5.0062250000000003E-2</v>
      </c>
      <c r="Z962">
        <v>-5.62686E-3</v>
      </c>
      <c r="AA962">
        <v>0.99873020000000001</v>
      </c>
      <c r="AB962">
        <v>29</v>
      </c>
      <c r="AC962">
        <v>0.65120000000001699</v>
      </c>
      <c r="AD962">
        <v>-9.7275999999999904E-2</v>
      </c>
      <c r="AE962">
        <v>-2.6599999999973499E-2</v>
      </c>
      <c r="AF962">
        <v>3.9523354001799502E-2</v>
      </c>
      <c r="AG962">
        <v>-9.7275999999999904E-2</v>
      </c>
      <c r="AH962">
        <v>0.63631422164901996</v>
      </c>
      <c r="AI962">
        <v>98.675287131134297</v>
      </c>
      <c r="AJ962">
        <v>86.445756147478406</v>
      </c>
      <c r="AK962">
        <v>0.64491899054094304</v>
      </c>
      <c r="AL962">
        <v>89.509820939087803</v>
      </c>
      <c r="AM962">
        <v>92.924458959519299</v>
      </c>
      <c r="AN962">
        <v>0.99999997954703701</v>
      </c>
    </row>
    <row r="963" spans="1:40" x14ac:dyDescent="0.3">
      <c r="A963" t="str">
        <f>"20200111160421980"</f>
        <v>20200111160421980</v>
      </c>
      <c r="B963" t="str">
        <f>"1578729861971963"</f>
        <v>1578729861971963</v>
      </c>
      <c r="C963" t="s">
        <v>40</v>
      </c>
      <c r="D963">
        <v>5.7107939999999999</v>
      </c>
      <c r="E963">
        <v>0.54204869999999905</v>
      </c>
      <c r="F963" t="s">
        <v>42</v>
      </c>
      <c r="G963">
        <v>-226.93719999999999</v>
      </c>
      <c r="H963">
        <v>1.0009729999999999</v>
      </c>
      <c r="I963">
        <v>368.18380000000002</v>
      </c>
      <c r="J963">
        <v>-227.67490000000001</v>
      </c>
      <c r="K963">
        <v>1.1108129999999901</v>
      </c>
      <c r="L963">
        <v>368.21539999999999</v>
      </c>
      <c r="M963">
        <v>0.99966529999999998</v>
      </c>
      <c r="N963">
        <v>0</v>
      </c>
      <c r="O963">
        <v>2.1373980000000001E-2</v>
      </c>
      <c r="P963">
        <v>0.99735929999999995</v>
      </c>
      <c r="Q963">
        <v>-5.7409440000000004E-3</v>
      </c>
      <c r="R963">
        <v>7.2398889999999994E-2</v>
      </c>
      <c r="S963">
        <v>3.012451</v>
      </c>
      <c r="T963">
        <v>-0.36786600000000003</v>
      </c>
      <c r="U963">
        <v>-9.3627929999999998E-2</v>
      </c>
      <c r="V963">
        <v>-5.1066830000000001E-2</v>
      </c>
      <c r="W963">
        <v>8.7997419999999993E-3</v>
      </c>
      <c r="X963">
        <v>0.99865649999999995</v>
      </c>
      <c r="Y963">
        <v>5.1880419999999997E-2</v>
      </c>
      <c r="Z963">
        <v>-5.7553680000000003E-3</v>
      </c>
      <c r="AA963">
        <v>0.99863670000000004</v>
      </c>
      <c r="AB963">
        <v>29</v>
      </c>
      <c r="AC963">
        <v>0.73770000000001701</v>
      </c>
      <c r="AD963">
        <v>-0.10983999999999899</v>
      </c>
      <c r="AE963">
        <v>-3.1599999999968903E-2</v>
      </c>
      <c r="AF963">
        <v>4.6336647597770703E-2</v>
      </c>
      <c r="AG963">
        <v>-0.10983999999999899</v>
      </c>
      <c r="AH963">
        <v>0.72090295613306699</v>
      </c>
      <c r="AI963">
        <v>98.645642312976506</v>
      </c>
      <c r="AJ963">
        <v>86.322324345957199</v>
      </c>
      <c r="AK963">
        <v>0.73069349434081798</v>
      </c>
      <c r="AL963">
        <v>89.495805430887302</v>
      </c>
      <c r="AM963">
        <v>92.927300385916894</v>
      </c>
      <c r="AN963">
        <v>1.0000000307888799</v>
      </c>
    </row>
    <row r="964" spans="1:40" x14ac:dyDescent="0.3">
      <c r="A964" t="str">
        <f>"20200111160421994"</f>
        <v>20200111160421994</v>
      </c>
      <c r="B964" t="str">
        <f>"1578729861991670"</f>
        <v>1578729861991670</v>
      </c>
      <c r="C964" t="s">
        <v>40</v>
      </c>
      <c r="D964">
        <v>5.6877360000000001</v>
      </c>
      <c r="E964">
        <v>0.54345379999999999</v>
      </c>
      <c r="F964" t="s">
        <v>42</v>
      </c>
      <c r="G964">
        <v>-226.9281</v>
      </c>
      <c r="H964">
        <v>1.019606</v>
      </c>
      <c r="I964">
        <v>368.1909</v>
      </c>
      <c r="J964">
        <v>-227.5104</v>
      </c>
      <c r="K964">
        <v>1.1108129999999901</v>
      </c>
      <c r="L964">
        <v>368.21910000000003</v>
      </c>
      <c r="M964">
        <v>0.99966219999999995</v>
      </c>
      <c r="N964">
        <v>0</v>
      </c>
      <c r="O964">
        <v>2.1546010000000001E-2</v>
      </c>
      <c r="P964">
        <v>0.99734290000000003</v>
      </c>
      <c r="Q964">
        <v>-5.4172459999999997E-3</v>
      </c>
      <c r="R964">
        <v>7.2651090000000002E-2</v>
      </c>
      <c r="S964">
        <v>3.012985</v>
      </c>
      <c r="T964">
        <v>-0.36806660000000002</v>
      </c>
      <c r="U964">
        <v>-9.8541260000000006E-2</v>
      </c>
      <c r="V964">
        <v>-5.1147640000000001E-2</v>
      </c>
      <c r="W964">
        <v>9.0867880000000002E-3</v>
      </c>
      <c r="X964">
        <v>0.99864980000000003</v>
      </c>
      <c r="Y964">
        <v>5.3658659999999997E-2</v>
      </c>
      <c r="Z964">
        <v>-5.886451E-3</v>
      </c>
      <c r="AA964">
        <v>0.99854200000000004</v>
      </c>
      <c r="AB964">
        <v>29</v>
      </c>
      <c r="AC964">
        <v>0.58230000000000304</v>
      </c>
      <c r="AD964">
        <v>-9.1206999999999802E-2</v>
      </c>
      <c r="AE964">
        <v>-2.82000000000266E-2</v>
      </c>
      <c r="AF964">
        <v>3.97676550622829E-2</v>
      </c>
      <c r="AG964">
        <v>-9.1206999999999802E-2</v>
      </c>
      <c r="AH964">
        <v>0.56766285902480296</v>
      </c>
      <c r="AI964">
        <v>99.105821050280696</v>
      </c>
      <c r="AJ964">
        <v>85.992687807301706</v>
      </c>
      <c r="AK964">
        <v>0.57631701758178699</v>
      </c>
      <c r="AL964">
        <v>89.479358252449401</v>
      </c>
      <c r="AM964">
        <v>92.931944212189194</v>
      </c>
      <c r="AN964">
        <v>1.00000003691688</v>
      </c>
    </row>
    <row r="965" spans="1:40" x14ac:dyDescent="0.3">
      <c r="A965" t="str">
        <f>"20200111160422007"</f>
        <v>20200111160422007</v>
      </c>
      <c r="B965" t="str">
        <f>"1578729862001430"</f>
        <v>1578729862001430</v>
      </c>
      <c r="C965" t="s">
        <v>40</v>
      </c>
      <c r="D965">
        <v>5.7332720000000004</v>
      </c>
      <c r="E965">
        <v>0.54398590000000002</v>
      </c>
      <c r="F965" t="s">
        <v>42</v>
      </c>
      <c r="G965">
        <v>-226.6788</v>
      </c>
      <c r="H965">
        <v>1.0093760000000001</v>
      </c>
      <c r="I965">
        <v>368.18900000000002</v>
      </c>
      <c r="J965">
        <v>-227.3449</v>
      </c>
      <c r="K965">
        <v>1.1108180000000001</v>
      </c>
      <c r="L965">
        <v>368.22280000000001</v>
      </c>
      <c r="M965">
        <v>0.99965879999999996</v>
      </c>
      <c r="N965">
        <v>0</v>
      </c>
      <c r="O965">
        <v>2.1719519999999999E-2</v>
      </c>
      <c r="P965">
        <v>0.99733760000000005</v>
      </c>
      <c r="Q965">
        <v>-4.8703610000000001E-3</v>
      </c>
      <c r="R965">
        <v>7.2760069999999996E-2</v>
      </c>
      <c r="S965">
        <v>3.0139309999999999</v>
      </c>
      <c r="T965">
        <v>-0.3676624</v>
      </c>
      <c r="U965">
        <v>-0.1090088</v>
      </c>
      <c r="V965">
        <v>-5.1084070000000002E-2</v>
      </c>
      <c r="W965">
        <v>9.5984109999999994E-3</v>
      </c>
      <c r="X965">
        <v>0.99864819999999999</v>
      </c>
      <c r="Y965">
        <v>5.7258950000000003E-2</v>
      </c>
      <c r="Z965">
        <v>-6.1176769999999898E-3</v>
      </c>
      <c r="AA965">
        <v>0.99834060000000002</v>
      </c>
      <c r="AB965">
        <v>28</v>
      </c>
      <c r="AC965">
        <v>0.66610000000000003</v>
      </c>
      <c r="AD965">
        <v>-0.101442</v>
      </c>
      <c r="AE965">
        <v>-3.3799999999985099E-2</v>
      </c>
      <c r="AF965">
        <v>4.71697233217932E-2</v>
      </c>
      <c r="AG965">
        <v>-0.101442</v>
      </c>
      <c r="AH965">
        <v>0.65016802620289404</v>
      </c>
      <c r="AI965">
        <v>98.8451555877148</v>
      </c>
      <c r="AJ965">
        <v>85.850458479943995</v>
      </c>
      <c r="AK965">
        <v>0.65972261175347202</v>
      </c>
      <c r="AL965">
        <v>89.450043098149607</v>
      </c>
      <c r="AM965">
        <v>92.928311208858901</v>
      </c>
      <c r="AN965">
        <v>0.99999996953236403</v>
      </c>
    </row>
    <row r="966" spans="1:40" x14ac:dyDescent="0.3">
      <c r="A966" t="str">
        <f>"20200111160422018"</f>
        <v>20200111160422018</v>
      </c>
      <c r="B966" t="str">
        <f>"1578729862011190"</f>
        <v>1578729862011190</v>
      </c>
      <c r="C966" t="s">
        <v>40</v>
      </c>
      <c r="D966">
        <v>5.6971939999999996</v>
      </c>
      <c r="E966">
        <v>0.54448839999999998</v>
      </c>
      <c r="F966" t="s">
        <v>42</v>
      </c>
      <c r="G966">
        <v>-226.4297</v>
      </c>
      <c r="H966">
        <v>0.99951840000000003</v>
      </c>
      <c r="I966">
        <v>368.18849999999998</v>
      </c>
      <c r="J966">
        <v>-227.19479999999999</v>
      </c>
      <c r="K966">
        <v>1.110819</v>
      </c>
      <c r="L966">
        <v>368.22629999999998</v>
      </c>
      <c r="M966">
        <v>0.99965579999999998</v>
      </c>
      <c r="N966">
        <v>0</v>
      </c>
      <c r="O966">
        <v>2.1876960000000001E-2</v>
      </c>
      <c r="P966">
        <v>0.99730750000000001</v>
      </c>
      <c r="Q966">
        <v>-5.0441770000000004E-3</v>
      </c>
      <c r="R966">
        <v>7.3159089999999996E-2</v>
      </c>
      <c r="S966">
        <v>3.0144199999999999</v>
      </c>
      <c r="T966">
        <v>-0.36666130000000002</v>
      </c>
      <c r="U966">
        <v>-0.11267089999999901</v>
      </c>
      <c r="V966">
        <v>-5.1326070000000001E-2</v>
      </c>
      <c r="W966">
        <v>9.3957629999999997E-3</v>
      </c>
      <c r="X966">
        <v>0.99863769999999996</v>
      </c>
      <c r="Y966">
        <v>5.8613730000000003E-2</v>
      </c>
      <c r="Z966">
        <v>-6.2011729999999999E-3</v>
      </c>
      <c r="AA966">
        <v>0.99826150000000002</v>
      </c>
      <c r="AB966">
        <v>28</v>
      </c>
      <c r="AC966">
        <v>0.76509999999998901</v>
      </c>
      <c r="AD966">
        <v>-0.111300599999999</v>
      </c>
      <c r="AE966">
        <v>-3.7800000000004198E-2</v>
      </c>
      <c r="AF966">
        <v>5.3403392902052801E-2</v>
      </c>
      <c r="AG966">
        <v>-0.111300599999999</v>
      </c>
      <c r="AH966">
        <v>0.74829292915533696</v>
      </c>
      <c r="AI966">
        <v>98.438958466362493</v>
      </c>
      <c r="AJ966">
        <v>85.917895287554202</v>
      </c>
      <c r="AK966">
        <v>0.75840757759774802</v>
      </c>
      <c r="AL966">
        <v>89.461654487243095</v>
      </c>
      <c r="AM966">
        <v>92.942190029657695</v>
      </c>
      <c r="AN966">
        <v>0.99999995084264204</v>
      </c>
    </row>
    <row r="967" spans="1:40" x14ac:dyDescent="0.3">
      <c r="A967" t="str">
        <f>"20200111160422030"</f>
        <v>20200111160422030</v>
      </c>
      <c r="B967" t="str">
        <f>"1578729862021927"</f>
        <v>1578729862021927</v>
      </c>
      <c r="C967" t="s">
        <v>40</v>
      </c>
      <c r="D967">
        <v>5.9395619999999996</v>
      </c>
      <c r="E967">
        <v>0.54469799999999902</v>
      </c>
      <c r="F967" t="s">
        <v>42</v>
      </c>
      <c r="G967">
        <v>-226.42150000000001</v>
      </c>
      <c r="H967">
        <v>1.0164390000000001</v>
      </c>
      <c r="I967">
        <v>368.19659999999999</v>
      </c>
      <c r="J967">
        <v>-227.04689999999999</v>
      </c>
      <c r="K967">
        <v>1.1108169999999999</v>
      </c>
      <c r="L967">
        <v>368.22969999999998</v>
      </c>
      <c r="M967">
        <v>0.99965269999999995</v>
      </c>
      <c r="N967">
        <v>0</v>
      </c>
      <c r="O967">
        <v>2.2031990000000001E-2</v>
      </c>
      <c r="P967">
        <v>0.99729020000000002</v>
      </c>
      <c r="Q967">
        <v>-5.3080509999999899E-3</v>
      </c>
      <c r="R967">
        <v>7.3378199999999894E-2</v>
      </c>
      <c r="S967">
        <v>3.0147089999999999</v>
      </c>
      <c r="T967">
        <v>-0.3680214</v>
      </c>
      <c r="U967">
        <v>-0.1155701</v>
      </c>
      <c r="V967">
        <v>-5.1390959999999999E-2</v>
      </c>
      <c r="W967">
        <v>9.1049040000000005E-3</v>
      </c>
      <c r="X967">
        <v>0.99863710000000006</v>
      </c>
      <c r="Y967">
        <v>5.9710010000000001E-2</v>
      </c>
      <c r="Z967">
        <v>-6.3088010000000002E-3</v>
      </c>
      <c r="AA967">
        <v>0.99819579999999997</v>
      </c>
      <c r="AB967">
        <v>28</v>
      </c>
      <c r="AC967">
        <v>0.62539999999998397</v>
      </c>
      <c r="AD967">
        <v>-9.4378000000000004E-2</v>
      </c>
      <c r="AE967">
        <v>-3.3099999999990297E-2</v>
      </c>
      <c r="AF967">
        <v>4.5831394818130797E-2</v>
      </c>
      <c r="AG967">
        <v>-9.4378000000000004E-2</v>
      </c>
      <c r="AH967">
        <v>0.61065113753537703</v>
      </c>
      <c r="AI967">
        <v>98.7614660550894</v>
      </c>
      <c r="AJ967">
        <v>85.707808799399004</v>
      </c>
      <c r="AK967">
        <v>0.61959868899814896</v>
      </c>
      <c r="AL967">
        <v>89.478320216696702</v>
      </c>
      <c r="AM967">
        <v>92.945904970493402</v>
      </c>
      <c r="AN967">
        <v>0.99999999377148996</v>
      </c>
    </row>
    <row r="968" spans="1:40" x14ac:dyDescent="0.3">
      <c r="A968" t="str">
        <f>"20200111160422046"</f>
        <v>20200111160422046</v>
      </c>
      <c r="B968" t="str">
        <f>"1578729862041445"</f>
        <v>1578729862041445</v>
      </c>
      <c r="C968" t="s">
        <v>40</v>
      </c>
      <c r="D968">
        <v>5.7175890000000003</v>
      </c>
      <c r="E968">
        <v>0.54537819999999904</v>
      </c>
      <c r="F968" t="s">
        <v>42</v>
      </c>
      <c r="G968">
        <v>-226.1738</v>
      </c>
      <c r="H968">
        <v>1.0041690000000001</v>
      </c>
      <c r="I968">
        <v>368.19600000000003</v>
      </c>
      <c r="J968">
        <v>-226.8571</v>
      </c>
      <c r="K968">
        <v>1.1108049999999901</v>
      </c>
      <c r="L968">
        <v>368.23410000000001</v>
      </c>
      <c r="M968">
        <v>0.9996488</v>
      </c>
      <c r="N968">
        <v>0</v>
      </c>
      <c r="O968">
        <v>2.2230920000000001E-2</v>
      </c>
      <c r="P968">
        <v>0.9972512</v>
      </c>
      <c r="Q968">
        <v>-6.4999480000000002E-3</v>
      </c>
      <c r="R968">
        <v>7.3809089999999994E-2</v>
      </c>
      <c r="S968">
        <v>3.0147400000000002</v>
      </c>
      <c r="T968">
        <v>-0.36834729999999999</v>
      </c>
      <c r="U968">
        <v>-0.11621090000000001</v>
      </c>
      <c r="V968">
        <v>-5.1622929999999997E-2</v>
      </c>
      <c r="W968">
        <v>7.8804319999999997E-3</v>
      </c>
      <c r="X968">
        <v>0.99863550000000001</v>
      </c>
      <c r="Y968">
        <v>6.0114599999999997E-2</v>
      </c>
      <c r="Z968">
        <v>-6.3630839999999998E-3</v>
      </c>
      <c r="AA968">
        <v>0.99817120000000004</v>
      </c>
      <c r="AB968">
        <v>28</v>
      </c>
      <c r="AC968">
        <v>0.68330000000000202</v>
      </c>
      <c r="AD968">
        <v>-0.106635999999999</v>
      </c>
      <c r="AE968">
        <v>-3.81000000000426E-2</v>
      </c>
      <c r="AF968">
        <v>5.2019550416386499E-2</v>
      </c>
      <c r="AG968">
        <v>-0.106635999999999</v>
      </c>
      <c r="AH968">
        <v>0.66611127400686898</v>
      </c>
      <c r="AI968">
        <v>99.068008818183202</v>
      </c>
      <c r="AJ968">
        <v>85.534584400533006</v>
      </c>
      <c r="AK968">
        <v>0.67659552132760803</v>
      </c>
      <c r="AL968">
        <v>89.548479807412406</v>
      </c>
      <c r="AM968">
        <v>92.959183433097493</v>
      </c>
      <c r="AN968">
        <v>0.99999994498526901</v>
      </c>
    </row>
    <row r="969" spans="1:40" x14ac:dyDescent="0.3">
      <c r="A969" t="str">
        <f>"20200111160422058"</f>
        <v>20200111160422058</v>
      </c>
      <c r="B969" t="str">
        <f>"1578729862051206"</f>
        <v>1578729862051206</v>
      </c>
      <c r="C969" t="s">
        <v>40</v>
      </c>
      <c r="D969">
        <v>5.6987459999999999</v>
      </c>
      <c r="E969">
        <v>0.54574309999999904</v>
      </c>
      <c r="F969" t="s">
        <v>42</v>
      </c>
      <c r="G969">
        <v>-225.9248</v>
      </c>
      <c r="H969">
        <v>0.99547419999999998</v>
      </c>
      <c r="I969">
        <v>368.1968</v>
      </c>
      <c r="J969">
        <v>-226.69909999999999</v>
      </c>
      <c r="K969">
        <v>1.110798</v>
      </c>
      <c r="L969">
        <v>368.23779999999999</v>
      </c>
      <c r="M969">
        <v>0.99964549999999996</v>
      </c>
      <c r="N969">
        <v>0</v>
      </c>
      <c r="O969">
        <v>2.239642E-2</v>
      </c>
      <c r="P969">
        <v>0.99724060000000003</v>
      </c>
      <c r="Q969">
        <v>-6.8563499999999998E-3</v>
      </c>
      <c r="R969">
        <v>7.3921749999999994E-2</v>
      </c>
      <c r="S969">
        <v>3.0147400000000002</v>
      </c>
      <c r="T969">
        <v>-0.3730366</v>
      </c>
      <c r="U969">
        <v>-0.1202698</v>
      </c>
      <c r="V969">
        <v>-5.1570230000000002E-2</v>
      </c>
      <c r="W969">
        <v>7.4999269999999896E-3</v>
      </c>
      <c r="X969">
        <v>0.99864120000000001</v>
      </c>
      <c r="Y969">
        <v>6.1593479999999999E-2</v>
      </c>
      <c r="Z969">
        <v>-6.5548319999999896E-3</v>
      </c>
      <c r="AA969">
        <v>0.99807979999999996</v>
      </c>
      <c r="AB969">
        <v>28</v>
      </c>
      <c r="AC969">
        <v>0.774299999999982</v>
      </c>
      <c r="AD969">
        <v>-0.115323799999999</v>
      </c>
      <c r="AE969">
        <v>-4.0999999999996803E-2</v>
      </c>
      <c r="AF969">
        <v>5.70706044241047E-2</v>
      </c>
      <c r="AG969">
        <v>-0.115323799999999</v>
      </c>
      <c r="AH969">
        <v>0.75645392784691401</v>
      </c>
      <c r="AI969">
        <v>98.643986323349694</v>
      </c>
      <c r="AJ969">
        <v>85.685498190348795</v>
      </c>
      <c r="AK969">
        <v>0.76731947563631997</v>
      </c>
      <c r="AL969">
        <v>89.570281804182997</v>
      </c>
      <c r="AM969">
        <v>92.956151026649096</v>
      </c>
      <c r="AN969">
        <v>0.99999999193234901</v>
      </c>
    </row>
    <row r="970" spans="1:40" x14ac:dyDescent="0.3">
      <c r="A970" t="str">
        <f>"20200111160422070"</f>
        <v>20200111160422070</v>
      </c>
      <c r="B970" t="str">
        <f>"1578729862061942"</f>
        <v>1578729862061942</v>
      </c>
      <c r="C970" t="s">
        <v>40</v>
      </c>
      <c r="D970">
        <v>5.8331</v>
      </c>
      <c r="E970">
        <v>0.54603100000000004</v>
      </c>
      <c r="F970" t="s">
        <v>42</v>
      </c>
      <c r="G970">
        <v>-225.916</v>
      </c>
      <c r="H970">
        <v>1.013479</v>
      </c>
      <c r="I970">
        <v>368.20580000000001</v>
      </c>
      <c r="J970">
        <v>-226.55070000000001</v>
      </c>
      <c r="K970">
        <v>1.110795</v>
      </c>
      <c r="L970">
        <v>368.24130000000002</v>
      </c>
      <c r="M970">
        <v>0.99964229999999998</v>
      </c>
      <c r="N970">
        <v>0</v>
      </c>
      <c r="O970">
        <v>2.255207E-2</v>
      </c>
      <c r="P970">
        <v>0.99722829999999996</v>
      </c>
      <c r="Q970">
        <v>-7.674396E-3</v>
      </c>
      <c r="R970">
        <v>7.4003650000000004E-2</v>
      </c>
      <c r="S970">
        <v>3.0148009999999998</v>
      </c>
      <c r="T970">
        <v>-0.37481920000000002</v>
      </c>
      <c r="U970">
        <v>-0.1226501</v>
      </c>
      <c r="V970">
        <v>-5.1496239999999999E-2</v>
      </c>
      <c r="W970">
        <v>6.6607150000000002E-3</v>
      </c>
      <c r="X970">
        <v>0.99865099999999996</v>
      </c>
      <c r="Y970">
        <v>6.2520439999999997E-2</v>
      </c>
      <c r="Z970">
        <v>-6.6623350000000001E-3</v>
      </c>
      <c r="AA970">
        <v>0.99802139999999995</v>
      </c>
      <c r="AB970">
        <v>28</v>
      </c>
      <c r="AC970">
        <v>0.63470000000000903</v>
      </c>
      <c r="AD970">
        <v>-9.7315999999999903E-2</v>
      </c>
      <c r="AE970">
        <v>-3.5500000000013097E-2</v>
      </c>
      <c r="AF970">
        <v>4.8665739686657897E-2</v>
      </c>
      <c r="AG970">
        <v>-9.7315999999999903E-2</v>
      </c>
      <c r="AH970">
        <v>0.61922596640598604</v>
      </c>
      <c r="AI970">
        <v>98.904393358385306</v>
      </c>
      <c r="AJ970">
        <v>85.506290085803002</v>
      </c>
      <c r="AK970">
        <v>0.628712617613705</v>
      </c>
      <c r="AL970">
        <v>89.618366329148401</v>
      </c>
      <c r="AM970">
        <v>92.951888301308003</v>
      </c>
      <c r="AN970">
        <v>1.00000002382972</v>
      </c>
    </row>
    <row r="971" spans="1:40" x14ac:dyDescent="0.3">
      <c r="A971" t="str">
        <f>"20200111160422082"</f>
        <v>20200111160422082</v>
      </c>
      <c r="B971" t="str">
        <f>"1578729862071702"</f>
        <v>1578729862071702</v>
      </c>
      <c r="C971" t="s">
        <v>40</v>
      </c>
      <c r="D971">
        <v>5.6594870000000004</v>
      </c>
      <c r="E971">
        <v>0.54640730000000004</v>
      </c>
      <c r="F971" t="s">
        <v>42</v>
      </c>
      <c r="G971">
        <v>-225.6694</v>
      </c>
      <c r="H971">
        <v>1.0002740000000001</v>
      </c>
      <c r="I971">
        <v>368.20479999999998</v>
      </c>
      <c r="J971">
        <v>-226.39349999999999</v>
      </c>
      <c r="K971">
        <v>1.1107880000000001</v>
      </c>
      <c r="L971">
        <v>368.245</v>
      </c>
      <c r="M971">
        <v>0.9996389</v>
      </c>
      <c r="N971">
        <v>0</v>
      </c>
      <c r="O971">
        <v>2.2716900000000002E-2</v>
      </c>
      <c r="P971">
        <v>0.99721740000000003</v>
      </c>
      <c r="Q971">
        <v>-8.3029660000000002E-3</v>
      </c>
      <c r="R971">
        <v>7.408816E-2</v>
      </c>
      <c r="S971">
        <v>3.0147249999999999</v>
      </c>
      <c r="T971">
        <v>-0.37807770000000002</v>
      </c>
      <c r="U971">
        <v>-0.1248474</v>
      </c>
      <c r="V971">
        <v>-5.1416450000000002E-2</v>
      </c>
      <c r="W971">
        <v>6.0103219999999898E-3</v>
      </c>
      <c r="X971">
        <v>0.99865919999999997</v>
      </c>
      <c r="Y971">
        <v>6.3392680000000007E-2</v>
      </c>
      <c r="Z971">
        <v>-6.7949239999999999E-3</v>
      </c>
      <c r="AA971">
        <v>0.99796549999999995</v>
      </c>
      <c r="AB971">
        <v>28</v>
      </c>
      <c r="AC971">
        <v>0.72409999999999197</v>
      </c>
      <c r="AD971">
        <v>-0.110514</v>
      </c>
      <c r="AE971">
        <v>-4.0200000000027103E-2</v>
      </c>
      <c r="AF971">
        <v>5.5355164008417203E-2</v>
      </c>
      <c r="AG971">
        <v>-0.110514</v>
      </c>
      <c r="AH971">
        <v>0.70659127084593198</v>
      </c>
      <c r="AI971">
        <v>98.862574199147204</v>
      </c>
      <c r="AJ971">
        <v>85.520532496528702</v>
      </c>
      <c r="AK971">
        <v>0.71732054370000298</v>
      </c>
      <c r="AL971">
        <v>89.655631837898795</v>
      </c>
      <c r="AM971">
        <v>92.947298459275203</v>
      </c>
      <c r="AN971">
        <v>0.99999998652289301</v>
      </c>
    </row>
    <row r="972" spans="1:40" x14ac:dyDescent="0.3">
      <c r="A972" t="str">
        <f>"20200111160422095"</f>
        <v>20200111160422095</v>
      </c>
      <c r="B972" t="str">
        <f>"1578729862091221"</f>
        <v>1578729862091221</v>
      </c>
      <c r="C972" t="s">
        <v>40</v>
      </c>
      <c r="D972">
        <v>5.6427350000000001</v>
      </c>
      <c r="E972">
        <v>0.54708690000000004</v>
      </c>
      <c r="F972" t="s">
        <v>42</v>
      </c>
      <c r="G972">
        <v>-225.66069999999999</v>
      </c>
      <c r="H972">
        <v>1.0183040000000001</v>
      </c>
      <c r="I972">
        <v>368.21409999999997</v>
      </c>
      <c r="J972">
        <v>-226.24250000000001</v>
      </c>
      <c r="K972">
        <v>1.1107819999999999</v>
      </c>
      <c r="L972">
        <v>368.24860000000001</v>
      </c>
      <c r="M972">
        <v>0.99963550000000001</v>
      </c>
      <c r="N972">
        <v>0</v>
      </c>
      <c r="O972">
        <v>2.287515E-2</v>
      </c>
      <c r="P972">
        <v>0.99720169999999997</v>
      </c>
      <c r="Q972">
        <v>-8.5484589999999996E-3</v>
      </c>
      <c r="R972">
        <v>7.4267920000000001E-2</v>
      </c>
      <c r="S972">
        <v>3.0146480000000002</v>
      </c>
      <c r="T972">
        <v>-0.38041399999999997</v>
      </c>
      <c r="U972">
        <v>-0.1273193</v>
      </c>
      <c r="V972">
        <v>-5.143797E-2</v>
      </c>
      <c r="W972">
        <v>5.7466359999999899E-3</v>
      </c>
      <c r="X972">
        <v>0.99865970000000004</v>
      </c>
      <c r="Y972">
        <v>6.4351359999999996E-2</v>
      </c>
      <c r="Z972">
        <v>-6.9167519999999904E-3</v>
      </c>
      <c r="AA972">
        <v>0.99790330000000005</v>
      </c>
      <c r="AB972">
        <v>28</v>
      </c>
      <c r="AC972">
        <v>0.58180000000001497</v>
      </c>
      <c r="AD972">
        <v>-9.2477999999999796E-2</v>
      </c>
      <c r="AE972">
        <v>-3.45000000000368E-2</v>
      </c>
      <c r="AF972">
        <v>4.6627166241689298E-2</v>
      </c>
      <c r="AG972">
        <v>-9.2477999999999796E-2</v>
      </c>
      <c r="AH972">
        <v>0.56659330269817698</v>
      </c>
      <c r="AI972">
        <v>99.239248144516296</v>
      </c>
      <c r="AJ972">
        <v>85.295508432320702</v>
      </c>
      <c r="AK972">
        <v>0.57598111408114605</v>
      </c>
      <c r="AL972">
        <v>89.670740212540295</v>
      </c>
      <c r="AM972">
        <v>92.948528380751796</v>
      </c>
      <c r="AN972">
        <v>1.00000004249356</v>
      </c>
    </row>
    <row r="973" spans="1:40" x14ac:dyDescent="0.3">
      <c r="A973" t="str">
        <f>"20200111160422106"</f>
        <v>20200111160422106</v>
      </c>
      <c r="B973" t="str">
        <f>"1578729862101958"</f>
        <v>1578729862101958</v>
      </c>
      <c r="C973" t="s">
        <v>40</v>
      </c>
      <c r="D973">
        <v>5.6233360000000001</v>
      </c>
      <c r="E973">
        <v>0.54737809999999998</v>
      </c>
      <c r="F973" t="s">
        <v>42</v>
      </c>
      <c r="G973">
        <v>-225.41399999999999</v>
      </c>
      <c r="H973">
        <v>1.005879</v>
      </c>
      <c r="I973">
        <v>368.21210000000002</v>
      </c>
      <c r="J973">
        <v>-226.08529999999999</v>
      </c>
      <c r="K973">
        <v>1.110778</v>
      </c>
      <c r="L973">
        <v>368.25240000000002</v>
      </c>
      <c r="M973">
        <v>0.99963190000000002</v>
      </c>
      <c r="N973">
        <v>0</v>
      </c>
      <c r="O973">
        <v>2.3040069999999999E-2</v>
      </c>
      <c r="P973">
        <v>0.99721340000000003</v>
      </c>
      <c r="Q973">
        <v>-9.0245399999999993E-3</v>
      </c>
      <c r="R973">
        <v>7.4053649999999999E-2</v>
      </c>
      <c r="S973">
        <v>3.014999</v>
      </c>
      <c r="T973">
        <v>-0.3820578</v>
      </c>
      <c r="U973">
        <v>-0.132019</v>
      </c>
      <c r="V973">
        <v>-5.1058569999999998E-2</v>
      </c>
      <c r="W973">
        <v>5.2521629999999998E-3</v>
      </c>
      <c r="X973">
        <v>0.99868179999999995</v>
      </c>
      <c r="Y973">
        <v>6.6043069999999995E-2</v>
      </c>
      <c r="Z973">
        <v>-7.0729010000000004E-3</v>
      </c>
      <c r="AA973">
        <v>0.99779169999999995</v>
      </c>
      <c r="AB973">
        <v>28</v>
      </c>
      <c r="AC973">
        <v>0.67129999999997303</v>
      </c>
      <c r="AD973">
        <v>-0.10489899999999901</v>
      </c>
      <c r="AE973">
        <v>-4.0300000000002001E-2</v>
      </c>
      <c r="AF973">
        <v>5.4433308683243503E-2</v>
      </c>
      <c r="AG973">
        <v>-0.10489899999999901</v>
      </c>
      <c r="AH973">
        <v>0.65427447267240302</v>
      </c>
      <c r="AI973">
        <v>99.077803460038794</v>
      </c>
      <c r="AJ973">
        <v>85.244147560946004</v>
      </c>
      <c r="AK973">
        <v>0.66486229467909796</v>
      </c>
      <c r="AL973">
        <v>89.699071828265701</v>
      </c>
      <c r="AM973">
        <v>92.926753704270197</v>
      </c>
      <c r="AN973">
        <v>0.99999995021892996</v>
      </c>
    </row>
    <row r="974" spans="1:40" x14ac:dyDescent="0.3">
      <c r="A974" t="str">
        <f>"20200111160422121"</f>
        <v>20200111160422121</v>
      </c>
      <c r="B974" t="str">
        <f>"1578729862111718"</f>
        <v>1578729862111718</v>
      </c>
      <c r="C974" t="s">
        <v>40</v>
      </c>
      <c r="D974">
        <v>5.6268630000000002</v>
      </c>
      <c r="E974">
        <v>0.54768260000000002</v>
      </c>
      <c r="F974" t="s">
        <v>42</v>
      </c>
      <c r="G974">
        <v>-225.16739999999999</v>
      </c>
      <c r="H974">
        <v>0.9938825</v>
      </c>
      <c r="I974">
        <v>368.21129999999999</v>
      </c>
      <c r="J974">
        <v>-225.90530000000001</v>
      </c>
      <c r="K974">
        <v>1.110778</v>
      </c>
      <c r="L974">
        <v>368.25670000000002</v>
      </c>
      <c r="M974">
        <v>0.99962790000000001</v>
      </c>
      <c r="N974">
        <v>0</v>
      </c>
      <c r="O974">
        <v>2.3228840000000001E-2</v>
      </c>
      <c r="P974">
        <v>0.99721029999999999</v>
      </c>
      <c r="Q974">
        <v>-9.6019120000000006E-3</v>
      </c>
      <c r="R974">
        <v>7.4023469999999994E-2</v>
      </c>
      <c r="S974">
        <v>3.0149379999999999</v>
      </c>
      <c r="T974">
        <v>-0.38392939999999998</v>
      </c>
      <c r="U974">
        <v>-0.1349487</v>
      </c>
      <c r="V974">
        <v>-5.0839660000000002E-2</v>
      </c>
      <c r="W974">
        <v>4.6551689999999998E-3</v>
      </c>
      <c r="X974">
        <v>0.99869600000000003</v>
      </c>
      <c r="Y974">
        <v>6.7182350000000002E-2</v>
      </c>
      <c r="Z974">
        <v>-7.2034179999999996E-3</v>
      </c>
      <c r="AA974">
        <v>0.99771469999999995</v>
      </c>
      <c r="AB974">
        <v>28</v>
      </c>
      <c r="AC974">
        <v>0.73790000000002398</v>
      </c>
      <c r="AD974">
        <v>-0.116895499999999</v>
      </c>
      <c r="AE974">
        <v>-4.5400000000029202E-2</v>
      </c>
      <c r="AF974">
        <v>6.1004870362655297E-2</v>
      </c>
      <c r="AG974">
        <v>-0.116895499999999</v>
      </c>
      <c r="AH974">
        <v>0.71867838444915</v>
      </c>
      <c r="AI974">
        <v>99.205913534425605</v>
      </c>
      <c r="AJ974">
        <v>85.148090316871603</v>
      </c>
      <c r="AK974">
        <v>0.73067419032196201</v>
      </c>
      <c r="AL974">
        <v>89.733277505641496</v>
      </c>
      <c r="AM974">
        <v>92.914185767617099</v>
      </c>
      <c r="AN974">
        <v>1.00000002102166</v>
      </c>
    </row>
    <row r="975" spans="1:40" x14ac:dyDescent="0.3">
      <c r="A975" t="str">
        <f>"20200111160422136"</f>
        <v>20200111160422136</v>
      </c>
      <c r="B975" t="str">
        <f>"1578729862131237"</f>
        <v>1578729862131237</v>
      </c>
      <c r="C975" t="s">
        <v>40</v>
      </c>
      <c r="D975">
        <v>5.6364869999999998</v>
      </c>
      <c r="E975">
        <v>0.54823840000000001</v>
      </c>
      <c r="F975" t="s">
        <v>42</v>
      </c>
      <c r="G975">
        <v>-225.15719999999999</v>
      </c>
      <c r="H975">
        <v>1.014931</v>
      </c>
      <c r="I975">
        <v>368.2226</v>
      </c>
      <c r="J975">
        <v>-225.72300000000001</v>
      </c>
      <c r="K975">
        <v>1.1107659999999999</v>
      </c>
      <c r="L975">
        <v>368.2611</v>
      </c>
      <c r="M975">
        <v>0.9996237</v>
      </c>
      <c r="N975">
        <v>0</v>
      </c>
      <c r="O975">
        <v>2.341969E-2</v>
      </c>
      <c r="P975">
        <v>0.99721590000000004</v>
      </c>
      <c r="Q975">
        <v>-9.4930180000000006E-3</v>
      </c>
      <c r="R975">
        <v>7.3962410000000006E-2</v>
      </c>
      <c r="S975">
        <v>3.0148929999999998</v>
      </c>
      <c r="T975">
        <v>-0.38621539999999999</v>
      </c>
      <c r="U975">
        <v>-0.1375122</v>
      </c>
      <c r="V975">
        <v>-5.0587720000000003E-2</v>
      </c>
      <c r="W975">
        <v>4.7467220000000001E-3</v>
      </c>
      <c r="X975">
        <v>0.99870840000000005</v>
      </c>
      <c r="Y975">
        <v>6.8201510000000007E-2</v>
      </c>
      <c r="Z975">
        <v>-7.335261E-3</v>
      </c>
      <c r="AA975">
        <v>0.99764459999999999</v>
      </c>
      <c r="AB975">
        <v>28</v>
      </c>
      <c r="AC975">
        <v>0.56579999999999497</v>
      </c>
      <c r="AD975">
        <v>-9.5834999999999795E-2</v>
      </c>
      <c r="AE975">
        <v>-3.8499999999999E-2</v>
      </c>
      <c r="AF975">
        <v>5.0305076334095297E-2</v>
      </c>
      <c r="AG975">
        <v>-9.5834999999999795E-2</v>
      </c>
      <c r="AH975">
        <v>0.54906330025349903</v>
      </c>
      <c r="AI975">
        <v>99.860338953764398</v>
      </c>
      <c r="AJ975">
        <v>84.765186150422295</v>
      </c>
      <c r="AK975">
        <v>0.55962974868679305</v>
      </c>
      <c r="AL975">
        <v>89.728031857481298</v>
      </c>
      <c r="AM975">
        <v>92.899733053937695</v>
      </c>
      <c r="AN975">
        <v>1.0000000585075499</v>
      </c>
    </row>
    <row r="976" spans="1:40" x14ac:dyDescent="0.3">
      <c r="A976" t="str">
        <f>"20200111160422149"</f>
        <v>20200111160422149</v>
      </c>
      <c r="B976" t="str">
        <f>"1578729862141975"</f>
        <v>1578729862141975</v>
      </c>
      <c r="C976" t="s">
        <v>40</v>
      </c>
      <c r="D976">
        <v>5.5963339999999997</v>
      </c>
      <c r="E976">
        <v>0.54852250000000002</v>
      </c>
      <c r="F976" t="s">
        <v>42</v>
      </c>
      <c r="G976">
        <v>-224.9092</v>
      </c>
      <c r="H976">
        <v>1.0065269999999999</v>
      </c>
      <c r="I976">
        <v>368.2226</v>
      </c>
      <c r="J976">
        <v>-225.5531</v>
      </c>
      <c r="K976">
        <v>1.110762</v>
      </c>
      <c r="L976">
        <v>368.26530000000002</v>
      </c>
      <c r="M976">
        <v>0.99961979999999995</v>
      </c>
      <c r="N976">
        <v>0</v>
      </c>
      <c r="O976">
        <v>2.3597409999999999E-2</v>
      </c>
      <c r="P976">
        <v>0.99721369999999998</v>
      </c>
      <c r="Q976">
        <v>-9.2240870000000006E-3</v>
      </c>
      <c r="R976">
        <v>7.4028099999999999E-2</v>
      </c>
      <c r="S976">
        <v>3.0152589999999999</v>
      </c>
      <c r="T976">
        <v>-0.38643559999999999</v>
      </c>
      <c r="U976">
        <v>-0.1421509</v>
      </c>
      <c r="V976">
        <v>-5.0476220000000002E-2</v>
      </c>
      <c r="W976">
        <v>5.0003950000000004E-3</v>
      </c>
      <c r="X976">
        <v>0.99871270000000001</v>
      </c>
      <c r="Y976">
        <v>6.9888899999999907E-2</v>
      </c>
      <c r="Z976">
        <v>-7.468583E-3</v>
      </c>
      <c r="AA976">
        <v>0.99752680000000005</v>
      </c>
      <c r="AB976">
        <v>28</v>
      </c>
      <c r="AC976">
        <v>0.64390000000000203</v>
      </c>
      <c r="AD976">
        <v>-0.10423499999999999</v>
      </c>
      <c r="AE976">
        <v>-4.2700000000024801E-2</v>
      </c>
      <c r="AF976">
        <v>5.6412195502538197E-2</v>
      </c>
      <c r="AG976">
        <v>-0.10423499999999999</v>
      </c>
      <c r="AH976">
        <v>0.62637054880002896</v>
      </c>
      <c r="AI976">
        <v>99.410670112328901</v>
      </c>
      <c r="AJ976">
        <v>84.853710655549307</v>
      </c>
      <c r="AK976">
        <v>0.63748516487089002</v>
      </c>
      <c r="AL976">
        <v>89.713497263732805</v>
      </c>
      <c r="AM976">
        <v>92.893340210621503</v>
      </c>
      <c r="AN976">
        <v>0.99999995493846605</v>
      </c>
    </row>
    <row r="977" spans="1:40" x14ac:dyDescent="0.3">
      <c r="A977" t="str">
        <f>"20200111160422162"</f>
        <v>20200111160422162</v>
      </c>
      <c r="B977" t="str">
        <f>"1578729862151734"</f>
        <v>1578729862151734</v>
      </c>
      <c r="C977" t="s">
        <v>40</v>
      </c>
      <c r="D977">
        <v>5.6085000000000003</v>
      </c>
      <c r="E977">
        <v>0.54881429999999998</v>
      </c>
      <c r="F977" t="s">
        <v>42</v>
      </c>
      <c r="G977">
        <v>-224.66210000000001</v>
      </c>
      <c r="H977">
        <v>0.9967762</v>
      </c>
      <c r="I977">
        <v>368.2226</v>
      </c>
      <c r="J977">
        <v>-225.3862</v>
      </c>
      <c r="K977">
        <v>1.110757</v>
      </c>
      <c r="L977">
        <v>368.26940000000002</v>
      </c>
      <c r="M977">
        <v>0.9996159</v>
      </c>
      <c r="N977">
        <v>0</v>
      </c>
      <c r="O977">
        <v>2.377203E-2</v>
      </c>
      <c r="P977">
        <v>0.99717160000000005</v>
      </c>
      <c r="Q977">
        <v>-8.9789889999999997E-3</v>
      </c>
      <c r="R977">
        <v>7.462249E-2</v>
      </c>
      <c r="S977">
        <v>3.0155029999999998</v>
      </c>
      <c r="T977">
        <v>-0.38583519999999999</v>
      </c>
      <c r="U977">
        <v>-0.14416499999999999</v>
      </c>
      <c r="V977">
        <v>-5.089714E-2</v>
      </c>
      <c r="W977">
        <v>5.2307050000000004E-3</v>
      </c>
      <c r="X977">
        <v>0.99869019999999997</v>
      </c>
      <c r="Y977">
        <v>7.0718459999999997E-2</v>
      </c>
      <c r="Z977">
        <v>-7.5314329999999997E-3</v>
      </c>
      <c r="AA977">
        <v>0.99746789999999996</v>
      </c>
      <c r="AB977">
        <v>28</v>
      </c>
      <c r="AC977">
        <v>0.72409999999999197</v>
      </c>
      <c r="AD977">
        <v>-0.11398079999999999</v>
      </c>
      <c r="AE977">
        <v>-4.6800000000018799E-2</v>
      </c>
      <c r="AF977">
        <v>6.2460634028634998E-2</v>
      </c>
      <c r="AG977">
        <v>-0.11398079999999999</v>
      </c>
      <c r="AH977">
        <v>0.70537754689415499</v>
      </c>
      <c r="AI977">
        <v>99.143819198963698</v>
      </c>
      <c r="AJ977">
        <v>84.939701549188698</v>
      </c>
      <c r="AK977">
        <v>0.71725200399463196</v>
      </c>
      <c r="AL977">
        <v>89.700301312179107</v>
      </c>
      <c r="AM977">
        <v>92.917491810278506</v>
      </c>
      <c r="AN977">
        <v>0.99999999735550804</v>
      </c>
    </row>
    <row r="978" spans="1:40" x14ac:dyDescent="0.3">
      <c r="A978" t="str">
        <f>"20200111160422175"</f>
        <v>20200111160422175</v>
      </c>
      <c r="B978" t="str">
        <f>"1578729862171254"</f>
        <v>1578729862171254</v>
      </c>
      <c r="C978" t="s">
        <v>40</v>
      </c>
      <c r="D978">
        <v>5.5738139999999996</v>
      </c>
      <c r="E978">
        <v>0.54930749999999995</v>
      </c>
      <c r="F978" t="s">
        <v>42</v>
      </c>
      <c r="G978">
        <v>-224.6523</v>
      </c>
      <c r="H978">
        <v>1.017012</v>
      </c>
      <c r="I978">
        <v>368.23419999999999</v>
      </c>
      <c r="J978">
        <v>-225.23179999999999</v>
      </c>
      <c r="K978">
        <v>1.110757</v>
      </c>
      <c r="L978">
        <v>368.27319999999997</v>
      </c>
      <c r="M978">
        <v>0.99961219999999995</v>
      </c>
      <c r="N978">
        <v>0</v>
      </c>
      <c r="O978">
        <v>2.3933869999999999E-2</v>
      </c>
      <c r="P978">
        <v>0.99713940000000001</v>
      </c>
      <c r="Q978">
        <v>-9.0899669999999991E-3</v>
      </c>
      <c r="R978">
        <v>7.5037880000000001E-2</v>
      </c>
      <c r="S978">
        <v>3.015854</v>
      </c>
      <c r="T978">
        <v>-0.3853375</v>
      </c>
      <c r="U978">
        <v>-0.14459229999999901</v>
      </c>
      <c r="V978">
        <v>-5.1151469999999997E-2</v>
      </c>
      <c r="W978">
        <v>5.106729E-3</v>
      </c>
      <c r="X978">
        <v>0.99867779999999995</v>
      </c>
      <c r="Y978">
        <v>7.101383E-2</v>
      </c>
      <c r="Z978">
        <v>-7.5602730000000002E-3</v>
      </c>
      <c r="AA978">
        <v>0.99744670000000002</v>
      </c>
      <c r="AB978">
        <v>28</v>
      </c>
      <c r="AC978">
        <v>0.57949999999999502</v>
      </c>
      <c r="AD978">
        <v>-9.3744999999999898E-2</v>
      </c>
      <c r="AE978">
        <v>-3.8999999999987198E-2</v>
      </c>
      <c r="AF978">
        <v>5.1517811113599599E-2</v>
      </c>
      <c r="AG978">
        <v>-9.3744999999999898E-2</v>
      </c>
      <c r="AH978">
        <v>0.56371502890594805</v>
      </c>
      <c r="AI978">
        <v>99.403317407128696</v>
      </c>
      <c r="AJ978">
        <v>84.778254692853395</v>
      </c>
      <c r="AK978">
        <v>0.57377420968650295</v>
      </c>
      <c r="AL978">
        <v>89.707404694761095</v>
      </c>
      <c r="AM978">
        <v>92.932081310953293</v>
      </c>
      <c r="AN978">
        <v>0.99999994988853802</v>
      </c>
    </row>
    <row r="979" spans="1:40" x14ac:dyDescent="0.3">
      <c r="A979" t="str">
        <f>"20200111160422201"</f>
        <v>20200111160422201</v>
      </c>
      <c r="B979" t="str">
        <f>"1578729862191750"</f>
        <v>1578729862191750</v>
      </c>
      <c r="C979" t="s">
        <v>40</v>
      </c>
      <c r="D979">
        <v>5.5115819999999998</v>
      </c>
      <c r="E979">
        <v>0.54930749999999995</v>
      </c>
      <c r="F979" t="s">
        <v>42</v>
      </c>
      <c r="G979">
        <v>-224.4066</v>
      </c>
      <c r="H979">
        <v>1.0052080000000001</v>
      </c>
      <c r="I979">
        <v>368.2328</v>
      </c>
      <c r="J979">
        <v>-224.89340000000001</v>
      </c>
      <c r="K979">
        <v>1.1107469999999999</v>
      </c>
      <c r="L979">
        <v>368.2817</v>
      </c>
      <c r="M979">
        <v>0.99960400000000005</v>
      </c>
      <c r="N979">
        <v>0</v>
      </c>
      <c r="O979">
        <v>2.4288239999999999E-2</v>
      </c>
      <c r="P979">
        <v>0.99698039999999999</v>
      </c>
      <c r="Q979">
        <v>-9.6416490000000004E-3</v>
      </c>
      <c r="R979">
        <v>7.7054049999999999E-2</v>
      </c>
      <c r="S979">
        <v>3.0161899999999999</v>
      </c>
      <c r="T979">
        <v>-0.38589689999999999</v>
      </c>
      <c r="U979">
        <v>-0.147308299999999</v>
      </c>
      <c r="V979">
        <v>-5.2816370000000001E-2</v>
      </c>
      <c r="W979">
        <v>4.528809E-3</v>
      </c>
      <c r="X979">
        <v>0.99859399999999998</v>
      </c>
      <c r="Y979">
        <v>7.224324E-2</v>
      </c>
      <c r="Z979">
        <v>-7.6935859999999997E-3</v>
      </c>
      <c r="AA979">
        <v>0.99735739999999995</v>
      </c>
      <c r="AB979">
        <v>28</v>
      </c>
      <c r="AC979">
        <v>0.486800000000016</v>
      </c>
      <c r="AD979">
        <v>-0.10553899999999899</v>
      </c>
      <c r="AE979">
        <v>-4.8900000000003198E-2</v>
      </c>
      <c r="AF979">
        <v>5.8010840799738603E-2</v>
      </c>
      <c r="AG979">
        <v>-0.10553899999999899</v>
      </c>
      <c r="AH979">
        <v>0.46388253227002602</v>
      </c>
      <c r="AI979">
        <v>102.72149247030499</v>
      </c>
      <c r="AJ979">
        <v>82.871879580781993</v>
      </c>
      <c r="AK979">
        <v>0.47926062003522102</v>
      </c>
      <c r="AL979">
        <v>89.740517478322204</v>
      </c>
      <c r="AM979">
        <v>93.027594796553998</v>
      </c>
      <c r="AN979">
        <v>1.00000002794346</v>
      </c>
    </row>
    <row r="980" spans="1:40" x14ac:dyDescent="0.3">
      <c r="A980" t="str">
        <f>"20200111160422215"</f>
        <v>20200111160422215</v>
      </c>
      <c r="B980" t="str">
        <f>"1578729862211270"</f>
        <v>1578729862211270</v>
      </c>
      <c r="C980" t="s">
        <v>40</v>
      </c>
      <c r="D980">
        <v>5.5057450000000001</v>
      </c>
      <c r="E980">
        <v>0.50967569999999995</v>
      </c>
      <c r="F980" t="s">
        <v>42</v>
      </c>
      <c r="G980">
        <v>-224.1506</v>
      </c>
      <c r="H980">
        <v>1.015217</v>
      </c>
      <c r="I980">
        <v>368.24709999999999</v>
      </c>
      <c r="J980">
        <v>-224.7364</v>
      </c>
      <c r="K980">
        <v>1.1107469999999999</v>
      </c>
      <c r="L980">
        <v>368.28570000000002</v>
      </c>
      <c r="M980">
        <v>0.99960009999999999</v>
      </c>
      <c r="N980">
        <v>0</v>
      </c>
      <c r="O980">
        <v>2.4452330000000001E-2</v>
      </c>
      <c r="P980">
        <v>0.99691839999999998</v>
      </c>
      <c r="Q980">
        <v>-1.0352739999999999E-2</v>
      </c>
      <c r="R980">
        <v>7.7758980000000005E-2</v>
      </c>
      <c r="S980">
        <v>3.0162049999999998</v>
      </c>
      <c r="T980">
        <v>-0.38786379999999998</v>
      </c>
      <c r="U980">
        <v>-0.14083860000000001</v>
      </c>
      <c r="V980">
        <v>-5.3358389999999999E-2</v>
      </c>
      <c r="W980">
        <v>3.807838E-3</v>
      </c>
      <c r="X980">
        <v>0.99856820000000002</v>
      </c>
      <c r="Y980">
        <v>7.0278850000000004E-2</v>
      </c>
      <c r="Z980">
        <v>-7.6281019999999899E-3</v>
      </c>
      <c r="AA980">
        <v>0.9974982</v>
      </c>
      <c r="AB980">
        <v>28</v>
      </c>
      <c r="AC980">
        <v>0.58580000000000598</v>
      </c>
      <c r="AD980">
        <v>-9.5529999999999796E-2</v>
      </c>
      <c r="AE980">
        <v>-3.8600000000030797E-2</v>
      </c>
      <c r="AF980">
        <v>5.1549114355546398E-2</v>
      </c>
      <c r="AG980">
        <v>-9.5529999999999796E-2</v>
      </c>
      <c r="AH980">
        <v>0.56959853466896504</v>
      </c>
      <c r="AI980">
        <v>99.482686382520797</v>
      </c>
      <c r="AJ980">
        <v>84.828774411420099</v>
      </c>
      <c r="AK980">
        <v>0.57984979329812003</v>
      </c>
      <c r="AL980">
        <v>89.781826433648504</v>
      </c>
      <c r="AM980">
        <v>93.058685209634405</v>
      </c>
      <c r="AN980">
        <v>1.00000003373243</v>
      </c>
    </row>
    <row r="981" spans="1:40" x14ac:dyDescent="0.3">
      <c r="A981" t="str">
        <f>"20200111160422227"</f>
        <v>20200111160422227</v>
      </c>
      <c r="B981" t="str">
        <f>"1578729862222007"</f>
        <v>1578729862222007</v>
      </c>
      <c r="C981" t="s">
        <v>40</v>
      </c>
      <c r="D981">
        <v>5.493779</v>
      </c>
      <c r="E981">
        <v>0.50852710000000001</v>
      </c>
      <c r="F981" t="s">
        <v>47</v>
      </c>
      <c r="G981">
        <v>-204.92840000000001</v>
      </c>
      <c r="H981" s="1">
        <v>-2.9731930000000002E-6</v>
      </c>
      <c r="I981">
        <v>369.37130000000002</v>
      </c>
      <c r="J981">
        <v>-224.57259999999999</v>
      </c>
      <c r="K981">
        <v>1.110746</v>
      </c>
      <c r="L981">
        <v>368.28989999999999</v>
      </c>
      <c r="M981">
        <v>0.99959600000000004</v>
      </c>
      <c r="N981">
        <v>0</v>
      </c>
      <c r="O981">
        <v>2.4623869999999999E-2</v>
      </c>
      <c r="P981">
        <v>0.9968648</v>
      </c>
      <c r="Q981">
        <v>-1.1254149999999999E-2</v>
      </c>
      <c r="R981">
        <v>7.8320260000000003E-2</v>
      </c>
      <c r="S981">
        <v>2.9947360000000001</v>
      </c>
      <c r="T981">
        <v>-0.16793169999999999</v>
      </c>
      <c r="U981">
        <v>0.16412349999999901</v>
      </c>
      <c r="V981">
        <v>-5.3748999999999998E-2</v>
      </c>
      <c r="W981">
        <v>2.8961299999999998E-3</v>
      </c>
      <c r="X981">
        <v>0.9985503</v>
      </c>
      <c r="Y981">
        <v>-3.010726E-2</v>
      </c>
      <c r="Z981">
        <v>-5.3563699999999896E-4</v>
      </c>
      <c r="AA981">
        <v>0.9995465</v>
      </c>
      <c r="AB981">
        <v>28</v>
      </c>
      <c r="AC981">
        <v>19.644199999999898</v>
      </c>
      <c r="AD981">
        <v>-1.110748973193</v>
      </c>
      <c r="AE981">
        <v>1.0814000000000299</v>
      </c>
      <c r="AF981">
        <v>-0.59540920780301798</v>
      </c>
      <c r="AG981">
        <v>-1.110748973193</v>
      </c>
      <c r="AH981">
        <v>19.602390895009201</v>
      </c>
      <c r="AI981">
        <v>93.241645513568599</v>
      </c>
      <c r="AJ981">
        <v>91.739785180376401</v>
      </c>
      <c r="AK981">
        <v>19.642861405786199</v>
      </c>
      <c r="AL981">
        <v>89.834063745778394</v>
      </c>
      <c r="AM981">
        <v>93.081088449712794</v>
      </c>
      <c r="AN981">
        <v>1.00000002210003</v>
      </c>
    </row>
    <row r="982" spans="1:40" x14ac:dyDescent="0.3">
      <c r="A982" t="str">
        <f>"20200111160422239"</f>
        <v>20200111160422239</v>
      </c>
      <c r="B982" t="str">
        <f>"1578729862231766"</f>
        <v>1578729862231766</v>
      </c>
      <c r="C982" t="s">
        <v>40</v>
      </c>
      <c r="D982">
        <v>5.455603</v>
      </c>
      <c r="E982">
        <v>0.50760530000000004</v>
      </c>
      <c r="F982" t="s">
        <v>47</v>
      </c>
      <c r="G982">
        <v>-208.9983</v>
      </c>
      <c r="H982" s="1">
        <v>-4.9069270000000001E-6</v>
      </c>
      <c r="I982">
        <v>369.21249999999998</v>
      </c>
      <c r="J982">
        <v>-224.41030000000001</v>
      </c>
      <c r="K982">
        <v>1.1107419999999999</v>
      </c>
      <c r="L982">
        <v>368.29410000000001</v>
      </c>
      <c r="M982">
        <v>0.99959200000000004</v>
      </c>
      <c r="N982">
        <v>0</v>
      </c>
      <c r="O982">
        <v>2.4794210000000001E-2</v>
      </c>
      <c r="P982">
        <v>0.99678739999999999</v>
      </c>
      <c r="Q982">
        <v>-1.195863E-2</v>
      </c>
      <c r="R982">
        <v>7.9197619999999996E-2</v>
      </c>
      <c r="S982">
        <v>2.9930880000000002</v>
      </c>
      <c r="T982">
        <v>-0.2134645</v>
      </c>
      <c r="U982">
        <v>0.1773071</v>
      </c>
      <c r="V982">
        <v>-5.445759E-2</v>
      </c>
      <c r="W982">
        <v>2.1818300000000001E-3</v>
      </c>
      <c r="X982">
        <v>0.99851369999999895</v>
      </c>
      <c r="Y982">
        <v>-3.4339550000000003E-2</v>
      </c>
      <c r="Z982">
        <v>-5.4232309999999997E-4</v>
      </c>
      <c r="AA982">
        <v>0.99941009999999997</v>
      </c>
      <c r="AB982">
        <v>28</v>
      </c>
      <c r="AC982">
        <v>15.412000000000001</v>
      </c>
      <c r="AD982">
        <v>-1.110746906927</v>
      </c>
      <c r="AE982">
        <v>0.91839999999996202</v>
      </c>
      <c r="AF982">
        <v>-0.53319115470714795</v>
      </c>
      <c r="AG982">
        <v>-1.110746906927</v>
      </c>
      <c r="AH982">
        <v>15.350583633088901</v>
      </c>
      <c r="AI982">
        <v>94.136144450706496</v>
      </c>
      <c r="AJ982">
        <v>91.989326708355307</v>
      </c>
      <c r="AK982">
        <v>15.3999503043082</v>
      </c>
      <c r="AL982">
        <v>89.874990250113598</v>
      </c>
      <c r="AM982">
        <v>93.121741792254895</v>
      </c>
      <c r="AN982">
        <v>0.99999999928922301</v>
      </c>
    </row>
    <row r="983" spans="1:40" x14ac:dyDescent="0.3">
      <c r="A983" t="str">
        <f>"20200111160422253"</f>
        <v>20200111160422253</v>
      </c>
      <c r="B983" t="str">
        <f>"1578729862241526"</f>
        <v>1578729862241526</v>
      </c>
      <c r="C983" t="s">
        <v>40</v>
      </c>
      <c r="D983">
        <v>5.4751589999999997</v>
      </c>
      <c r="E983">
        <v>0.50786480000000001</v>
      </c>
      <c r="F983" t="s">
        <v>41</v>
      </c>
      <c r="G983">
        <v>-210.62389999999999</v>
      </c>
      <c r="H983" s="1">
        <v>-4.0846120000000002E-6</v>
      </c>
      <c r="I983">
        <v>369.16570000000002</v>
      </c>
      <c r="J983">
        <v>-224.2595</v>
      </c>
      <c r="K983">
        <v>1.110744</v>
      </c>
      <c r="L983">
        <v>368.298</v>
      </c>
      <c r="M983">
        <v>0.99958809999999998</v>
      </c>
      <c r="N983">
        <v>0</v>
      </c>
      <c r="O983">
        <v>2.4953400000000001E-2</v>
      </c>
      <c r="P983">
        <v>0.99675670000000005</v>
      </c>
      <c r="Q983">
        <v>-1.2013029999999999E-2</v>
      </c>
      <c r="R983">
        <v>7.9574759999999994E-2</v>
      </c>
      <c r="S983">
        <v>2.9917760000000002</v>
      </c>
      <c r="T983">
        <v>-0.2410398</v>
      </c>
      <c r="U983">
        <v>0.18914790000000001</v>
      </c>
      <c r="V983">
        <v>-5.4676139999999998E-2</v>
      </c>
      <c r="W983">
        <v>2.1193649999999998E-3</v>
      </c>
      <c r="X983">
        <v>0.99850190000000005</v>
      </c>
      <c r="Y983">
        <v>-3.812832E-2</v>
      </c>
      <c r="Z983">
        <v>-4.7289419999999998E-4</v>
      </c>
      <c r="AA983">
        <v>0.99927279999999996</v>
      </c>
      <c r="AB983">
        <v>28</v>
      </c>
      <c r="AC983">
        <v>13.6356</v>
      </c>
      <c r="AD983">
        <v>-1.1107480846119999</v>
      </c>
      <c r="AE983">
        <v>0.86770000000001302</v>
      </c>
      <c r="AF983">
        <v>-0.52368004649266997</v>
      </c>
      <c r="AG983">
        <v>-1.1107480846119999</v>
      </c>
      <c r="AH983">
        <v>13.563368858271</v>
      </c>
      <c r="AI983">
        <v>94.678219003133904</v>
      </c>
      <c r="AJ983">
        <v>92.211084913469193</v>
      </c>
      <c r="AK983">
        <v>13.6188463859491</v>
      </c>
      <c r="AL983">
        <v>89.878569240336304</v>
      </c>
      <c r="AM983">
        <v>93.134282049691294</v>
      </c>
      <c r="AN983">
        <v>1.0000000081484499</v>
      </c>
    </row>
    <row r="984" spans="1:40" x14ac:dyDescent="0.3">
      <c r="A984" t="str">
        <f>"20200111160422265"</f>
        <v>20200111160422265</v>
      </c>
      <c r="B984" t="str">
        <f>"1578729862262022"</f>
        <v>1578729862262022</v>
      </c>
      <c r="C984" t="s">
        <v>40</v>
      </c>
      <c r="D984">
        <v>5.5607899999999999</v>
      </c>
      <c r="E984">
        <v>0.50506930000000005</v>
      </c>
      <c r="F984" t="s">
        <v>41</v>
      </c>
      <c r="G984">
        <v>-211.34889999999999</v>
      </c>
      <c r="H984" s="1">
        <v>-3.7827370000000002E-6</v>
      </c>
      <c r="I984">
        <v>369.11399999999998</v>
      </c>
      <c r="J984">
        <v>-224.0985</v>
      </c>
      <c r="K984">
        <v>1.110746</v>
      </c>
      <c r="L984">
        <v>368.30220000000003</v>
      </c>
      <c r="M984">
        <v>0.99958400000000003</v>
      </c>
      <c r="N984">
        <v>0</v>
      </c>
      <c r="O984">
        <v>2.5123739999999999E-2</v>
      </c>
      <c r="P984">
        <v>0.99672749999999999</v>
      </c>
      <c r="Q984">
        <v>-1.172204E-2</v>
      </c>
      <c r="R984">
        <v>7.9982150000000002E-2</v>
      </c>
      <c r="S984">
        <v>2.9915470000000002</v>
      </c>
      <c r="T984">
        <v>-0.2573724</v>
      </c>
      <c r="U984">
        <v>0.1890869</v>
      </c>
      <c r="V984">
        <v>-5.4914159999999997E-2</v>
      </c>
      <c r="W984">
        <v>2.4021289999999998E-3</v>
      </c>
      <c r="X984">
        <v>0.99848820000000005</v>
      </c>
      <c r="Y984">
        <v>-3.793792E-2</v>
      </c>
      <c r="Z984">
        <v>-5.2763500000000004E-4</v>
      </c>
      <c r="AA984">
        <v>0.99927999999999995</v>
      </c>
      <c r="AB984">
        <v>28</v>
      </c>
      <c r="AC984">
        <v>12.749599999999999</v>
      </c>
      <c r="AD984">
        <v>-1.1107497827370001</v>
      </c>
      <c r="AE984">
        <v>0.81180000000000496</v>
      </c>
      <c r="AF984">
        <v>-0.48750870120697298</v>
      </c>
      <c r="AG984">
        <v>-1.1107497827370001</v>
      </c>
      <c r="AH984">
        <v>12.6701943309137</v>
      </c>
      <c r="AI984">
        <v>95.006417913068802</v>
      </c>
      <c r="AJ984">
        <v>92.203472049860693</v>
      </c>
      <c r="AK984">
        <v>12.728128464024801</v>
      </c>
      <c r="AL984">
        <v>89.862368015519195</v>
      </c>
      <c r="AM984">
        <v>93.147942148851399</v>
      </c>
      <c r="AN984">
        <v>1.0000000103657301</v>
      </c>
    </row>
    <row r="985" spans="1:40" x14ac:dyDescent="0.3">
      <c r="A985" t="str">
        <f>"20200111160422277"</f>
        <v>20200111160422277</v>
      </c>
      <c r="B985" t="str">
        <f>"1578729862271782"</f>
        <v>1578729862271782</v>
      </c>
      <c r="C985" t="s">
        <v>40</v>
      </c>
      <c r="D985">
        <v>6.3211719999999998</v>
      </c>
      <c r="E985">
        <v>0.50427359999999999</v>
      </c>
      <c r="F985" t="s">
        <v>47</v>
      </c>
      <c r="G985">
        <v>-209.21289999999999</v>
      </c>
      <c r="H985" s="1">
        <v>-4.9761389999999997E-6</v>
      </c>
      <c r="I985">
        <v>369.35120000000001</v>
      </c>
      <c r="J985">
        <v>-223.9392</v>
      </c>
      <c r="K985">
        <v>1.110749</v>
      </c>
      <c r="L985">
        <v>368.3064</v>
      </c>
      <c r="M985">
        <v>0.99957969999999896</v>
      </c>
      <c r="N985">
        <v>0</v>
      </c>
      <c r="O985">
        <v>2.5293260000000001E-2</v>
      </c>
      <c r="P985">
        <v>0.99672689999999997</v>
      </c>
      <c r="Q985">
        <v>-1.1328670000000001E-2</v>
      </c>
      <c r="R985">
        <v>8.004414E-2</v>
      </c>
      <c r="S985">
        <v>2.9902950000000001</v>
      </c>
      <c r="T985">
        <v>-0.22313330000000001</v>
      </c>
      <c r="U985">
        <v>0.21072389999999999</v>
      </c>
      <c r="V985">
        <v>-5.4806979999999998E-2</v>
      </c>
      <c r="W985">
        <v>2.7883650000000001E-3</v>
      </c>
      <c r="X985">
        <v>0.99849310000000002</v>
      </c>
      <c r="Y985">
        <v>-4.4984749999999997E-2</v>
      </c>
      <c r="Z985">
        <v>-2.0807169999999999E-4</v>
      </c>
      <c r="AA985">
        <v>0.99898770000000003</v>
      </c>
      <c r="AB985">
        <v>28</v>
      </c>
      <c r="AC985">
        <v>14.7263</v>
      </c>
      <c r="AD985">
        <v>-1.110753976139</v>
      </c>
      <c r="AE985">
        <v>1.0448</v>
      </c>
      <c r="AF985">
        <v>-0.66816987144262796</v>
      </c>
      <c r="AG985">
        <v>-1.110753976139</v>
      </c>
      <c r="AH985">
        <v>14.6650030313094</v>
      </c>
      <c r="AI985">
        <v>94.326944444345202</v>
      </c>
      <c r="AJ985">
        <v>92.608717879886299</v>
      </c>
      <c r="AK985">
        <v>14.7221784828512</v>
      </c>
      <c r="AL985">
        <v>89.840238250790094</v>
      </c>
      <c r="AM985">
        <v>93.141795012571905</v>
      </c>
      <c r="AN985">
        <v>1.00000002539185</v>
      </c>
    </row>
    <row r="986" spans="1:40" x14ac:dyDescent="0.3">
      <c r="A986" t="str">
        <f>"20200111160422291"</f>
        <v>20200111160422291</v>
      </c>
      <c r="B986" t="str">
        <f>"1578729862281541"</f>
        <v>1578729862281541</v>
      </c>
      <c r="C986" t="s">
        <v>40</v>
      </c>
      <c r="D986">
        <v>5.5118989999999997</v>
      </c>
      <c r="E986">
        <v>0.50425529999999996</v>
      </c>
      <c r="F986" t="s">
        <v>47</v>
      </c>
      <c r="G986">
        <v>-207.97020000000001</v>
      </c>
      <c r="H986" s="1">
        <v>-4.3724870000000003E-6</v>
      </c>
      <c r="I986">
        <v>369.46289999999999</v>
      </c>
      <c r="J986">
        <v>-223.77160000000001</v>
      </c>
      <c r="K986">
        <v>1.1107610000000001</v>
      </c>
      <c r="L986">
        <v>368.31079999999997</v>
      </c>
      <c r="M986">
        <v>0.9995754</v>
      </c>
      <c r="N986">
        <v>0</v>
      </c>
      <c r="O986">
        <v>2.5472069999999999E-2</v>
      </c>
      <c r="P986">
        <v>0.99677680000000002</v>
      </c>
      <c r="Q986">
        <v>-1.0458230000000001E-2</v>
      </c>
      <c r="R986">
        <v>7.9540979999999997E-2</v>
      </c>
      <c r="S986">
        <v>2.9901119999999999</v>
      </c>
      <c r="T986">
        <v>-0.20798230000000001</v>
      </c>
      <c r="U986">
        <v>0.21655269999999999</v>
      </c>
      <c r="V986">
        <v>-5.4124539999999999E-2</v>
      </c>
      <c r="W986">
        <v>3.6523900000000002E-3</v>
      </c>
      <c r="X986">
        <v>0.99852750000000001</v>
      </c>
      <c r="Y986">
        <v>-4.675112E-2</v>
      </c>
      <c r="Z986">
        <v>-1.4508770000000001E-4</v>
      </c>
      <c r="AA986">
        <v>0.99890659999999998</v>
      </c>
      <c r="AB986">
        <v>28</v>
      </c>
      <c r="AC986">
        <v>15.801399999999999</v>
      </c>
      <c r="AD986">
        <v>-1.1107653724869999</v>
      </c>
      <c r="AE986">
        <v>1.1521000000000099</v>
      </c>
      <c r="AF986">
        <v>-0.74552695069410002</v>
      </c>
      <c r="AG986">
        <v>-1.1107653724869999</v>
      </c>
      <c r="AH986">
        <v>15.7482139154612</v>
      </c>
      <c r="AI986">
        <v>94.0300507637306</v>
      </c>
      <c r="AJ986">
        <v>92.710382314450499</v>
      </c>
      <c r="AK986">
        <v>15.8049312454706</v>
      </c>
      <c r="AL986">
        <v>89.790732999877406</v>
      </c>
      <c r="AM986">
        <v>93.102644562927395</v>
      </c>
      <c r="AN986">
        <v>0.99999998701958603</v>
      </c>
    </row>
    <row r="987" spans="1:40" x14ac:dyDescent="0.3">
      <c r="A987" t="str">
        <f>"20200111160422305"</f>
        <v>20200111160422305</v>
      </c>
      <c r="B987" t="str">
        <f>"1578729862301664"</f>
        <v>1578729862301664</v>
      </c>
      <c r="C987" t="s">
        <v>40</v>
      </c>
      <c r="D987">
        <v>8.7869759999999992</v>
      </c>
      <c r="E987">
        <v>0.50354750000000004</v>
      </c>
      <c r="F987" t="s">
        <v>47</v>
      </c>
      <c r="G987">
        <v>-206.60059999999999</v>
      </c>
      <c r="H987" s="1">
        <v>-3.7175169999999998E-6</v>
      </c>
      <c r="I987">
        <v>369.53960000000001</v>
      </c>
      <c r="J987">
        <v>-223.60409999999999</v>
      </c>
      <c r="K987">
        <v>1.110765</v>
      </c>
      <c r="L987">
        <v>368.3152</v>
      </c>
      <c r="M987">
        <v>0.99957079999999998</v>
      </c>
      <c r="N987">
        <v>0</v>
      </c>
      <c r="O987">
        <v>2.5651650000000002E-2</v>
      </c>
      <c r="P987">
        <v>0.9967973</v>
      </c>
      <c r="Q987">
        <v>-1.0037600000000001E-2</v>
      </c>
      <c r="R987">
        <v>7.9336879999999999E-2</v>
      </c>
      <c r="S987">
        <v>2.9905849999999998</v>
      </c>
      <c r="T987">
        <v>-0.19345709999999999</v>
      </c>
      <c r="U987">
        <v>0.21401980000000001</v>
      </c>
      <c r="V987">
        <v>-5.3740690000000001E-2</v>
      </c>
      <c r="W987">
        <v>4.0667589999999997E-3</v>
      </c>
      <c r="X987">
        <v>0.99854670000000001</v>
      </c>
      <c r="Y987">
        <v>-4.5727950000000003E-2</v>
      </c>
      <c r="Z987">
        <v>-1.7956379999999999E-4</v>
      </c>
      <c r="AA987">
        <v>0.99895389999999995</v>
      </c>
      <c r="AB987">
        <v>28</v>
      </c>
      <c r="AC987">
        <v>17.003499999999999</v>
      </c>
      <c r="AD987">
        <v>-1.110768717517</v>
      </c>
      <c r="AE987">
        <v>1.2243999999999999</v>
      </c>
      <c r="AF987">
        <v>-0.78445515025118795</v>
      </c>
      <c r="AG987">
        <v>-1.110768717517</v>
      </c>
      <c r="AH987">
        <v>16.957323172757899</v>
      </c>
      <c r="AI987">
        <v>93.743743564124202</v>
      </c>
      <c r="AJ987">
        <v>92.648646129791999</v>
      </c>
      <c r="AK987">
        <v>17.011760232613199</v>
      </c>
      <c r="AL987">
        <v>89.766991243821593</v>
      </c>
      <c r="AM987">
        <v>93.080624092803902</v>
      </c>
      <c r="AN987">
        <v>1.0000000561856599</v>
      </c>
    </row>
    <row r="988" spans="1:40" x14ac:dyDescent="0.3">
      <c r="A988" t="str">
        <f>"20200111160422318"</f>
        <v>20200111160422318</v>
      </c>
      <c r="B988" t="str">
        <f>"1578729862311426"</f>
        <v>1578729862311426</v>
      </c>
      <c r="C988" t="s">
        <v>40</v>
      </c>
      <c r="D988">
        <v>6.2360049999999996</v>
      </c>
      <c r="E988">
        <v>0.50300469999999997</v>
      </c>
      <c r="F988" t="s">
        <v>47</v>
      </c>
      <c r="G988">
        <v>-205.26990000000001</v>
      </c>
      <c r="H988" s="1">
        <v>-5.2574590000000004E-6</v>
      </c>
      <c r="I988">
        <v>369.65570000000002</v>
      </c>
      <c r="J988">
        <v>-223.4383</v>
      </c>
      <c r="K988">
        <v>1.11077</v>
      </c>
      <c r="L988">
        <v>368.31970000000001</v>
      </c>
      <c r="M988">
        <v>0.99956630000000002</v>
      </c>
      <c r="N988">
        <v>0</v>
      </c>
      <c r="O988">
        <v>2.5830450000000001E-2</v>
      </c>
      <c r="P988">
        <v>0.99683639999999996</v>
      </c>
      <c r="Q988">
        <v>-9.9644620000000003E-3</v>
      </c>
      <c r="R988">
        <v>7.8856200000000001E-2</v>
      </c>
      <c r="S988">
        <v>2.990402</v>
      </c>
      <c r="T988">
        <v>-0.181172</v>
      </c>
      <c r="U988">
        <v>0.21862789999999999</v>
      </c>
      <c r="V988">
        <v>-5.3080719999999998E-2</v>
      </c>
      <c r="W988">
        <v>4.1344679999999997E-3</v>
      </c>
      <c r="X988">
        <v>0.99858159999999896</v>
      </c>
      <c r="Y988">
        <v>-4.7087909999999997E-2</v>
      </c>
      <c r="Z988">
        <v>-1.3787369999999999E-4</v>
      </c>
      <c r="AA988">
        <v>0.99889079999999997</v>
      </c>
      <c r="AB988">
        <v>28</v>
      </c>
      <c r="AC988">
        <v>18.168399999999899</v>
      </c>
      <c r="AD988">
        <v>-1.110775257459</v>
      </c>
      <c r="AE988">
        <v>1.3360000000000101</v>
      </c>
      <c r="AF988">
        <v>-0.86300085625136402</v>
      </c>
      <c r="AG988">
        <v>-1.110775257459</v>
      </c>
      <c r="AH988">
        <v>18.129449353479298</v>
      </c>
      <c r="AI988">
        <v>93.502123024276003</v>
      </c>
      <c r="AJ988">
        <v>92.725345301009398</v>
      </c>
      <c r="AK988">
        <v>18.1839359328734</v>
      </c>
      <c r="AL988">
        <v>89.763111742603897</v>
      </c>
      <c r="AM988">
        <v>93.042757450557303</v>
      </c>
      <c r="AN988">
        <v>0.99999993425995803</v>
      </c>
    </row>
    <row r="989" spans="1:40" x14ac:dyDescent="0.3">
      <c r="A989" t="str">
        <f>"20200111160422329"</f>
        <v>20200111160422329</v>
      </c>
      <c r="B989" t="str">
        <f>"1578729862321184"</f>
        <v>1578729862321184</v>
      </c>
      <c r="C989" t="s">
        <v>40</v>
      </c>
      <c r="D989">
        <v>6.308338</v>
      </c>
      <c r="E989">
        <v>0.50254979999999905</v>
      </c>
      <c r="F989" t="s">
        <v>47</v>
      </c>
      <c r="G989">
        <v>-204.0164</v>
      </c>
      <c r="H989" s="1">
        <v>-4.646817E-6</v>
      </c>
      <c r="I989">
        <v>369.75360000000001</v>
      </c>
      <c r="J989">
        <v>-223.28630000000001</v>
      </c>
      <c r="K989">
        <v>1.1107720000000001</v>
      </c>
      <c r="L989">
        <v>368.32380000000001</v>
      </c>
      <c r="M989">
        <v>0.99956219999999996</v>
      </c>
      <c r="N989">
        <v>0</v>
      </c>
      <c r="O989">
        <v>2.5994529999999998E-2</v>
      </c>
      <c r="P989">
        <v>0.99688480000000002</v>
      </c>
      <c r="Q989">
        <v>-9.5187759999999996E-3</v>
      </c>
      <c r="R989">
        <v>7.8295660000000003E-2</v>
      </c>
      <c r="S989">
        <v>2.9903409999999999</v>
      </c>
      <c r="T989">
        <v>-0.17102349999999999</v>
      </c>
      <c r="U989">
        <v>0.22076419999999999</v>
      </c>
      <c r="V989">
        <v>-5.2355890000000002E-2</v>
      </c>
      <c r="W989">
        <v>4.575539E-3</v>
      </c>
      <c r="X989">
        <v>0.99861800000000001</v>
      </c>
      <c r="Y989">
        <v>-4.7638760000000002E-2</v>
      </c>
      <c r="Z989">
        <v>-1.237985E-4</v>
      </c>
      <c r="AA989">
        <v>0.99886470000000005</v>
      </c>
      <c r="AB989">
        <v>28</v>
      </c>
      <c r="AC989">
        <v>19.2699</v>
      </c>
      <c r="AD989">
        <v>-1.1107766468169999</v>
      </c>
      <c r="AE989">
        <v>1.4298</v>
      </c>
      <c r="AF989">
        <v>-0.92529706240920095</v>
      </c>
      <c r="AG989">
        <v>-1.1107766468169999</v>
      </c>
      <c r="AH989">
        <v>19.236988533857101</v>
      </c>
      <c r="AI989">
        <v>93.300879123024004</v>
      </c>
      <c r="AJ989">
        <v>92.753798361164698</v>
      </c>
      <c r="AK989">
        <v>19.291234467098501</v>
      </c>
      <c r="AL989">
        <v>89.737840009547099</v>
      </c>
      <c r="AM989">
        <v>93.001175155677899</v>
      </c>
      <c r="AN989">
        <v>0.99999999234941594</v>
      </c>
    </row>
    <row r="990" spans="1:40" x14ac:dyDescent="0.3">
      <c r="A990" t="str">
        <f>"20200111160422348"</f>
        <v>20200111160422348</v>
      </c>
      <c r="B990" t="str">
        <f>"1578729862341680"</f>
        <v>1578729862341680</v>
      </c>
      <c r="C990" t="s">
        <v>40</v>
      </c>
      <c r="D990">
        <v>5.4955299999999996</v>
      </c>
      <c r="E990">
        <v>0.50323030000000002</v>
      </c>
      <c r="F990" t="s">
        <v>47</v>
      </c>
      <c r="G990">
        <v>-201.86320000000001</v>
      </c>
      <c r="H990" s="1">
        <v>-3.5271640000000002E-6</v>
      </c>
      <c r="I990">
        <v>369.91629999999998</v>
      </c>
      <c r="J990">
        <v>-223.06809999999999</v>
      </c>
      <c r="K990">
        <v>1.1107750000000001</v>
      </c>
      <c r="L990">
        <v>368.3297</v>
      </c>
      <c r="M990">
        <v>0.99955590000000005</v>
      </c>
      <c r="N990">
        <v>0</v>
      </c>
      <c r="O990">
        <v>2.6231150000000002E-2</v>
      </c>
      <c r="P990">
        <v>0.99701629999999997</v>
      </c>
      <c r="Q990">
        <v>-8.4572080000000008E-3</v>
      </c>
      <c r="R990">
        <v>7.6727610000000002E-2</v>
      </c>
      <c r="S990">
        <v>2.9904169999999999</v>
      </c>
      <c r="T990">
        <v>-0.15505089999999999</v>
      </c>
      <c r="U990">
        <v>0.22228999999999999</v>
      </c>
      <c r="V990">
        <v>-5.0548450000000002E-2</v>
      </c>
      <c r="W990">
        <v>5.6321969999999898E-3</v>
      </c>
      <c r="X990">
        <v>0.99870570000000003</v>
      </c>
      <c r="Y990">
        <v>-4.7913539999999998E-2</v>
      </c>
      <c r="Z990">
        <v>-1.1737249999999999E-4</v>
      </c>
      <c r="AA990">
        <v>0.9988515</v>
      </c>
      <c r="AB990">
        <v>28</v>
      </c>
      <c r="AC990">
        <v>21.204899999999899</v>
      </c>
      <c r="AD990">
        <v>-1.1107785271640001</v>
      </c>
      <c r="AE990">
        <v>1.58659999999997</v>
      </c>
      <c r="AF990">
        <v>-1.0269671251296699</v>
      </c>
      <c r="AG990">
        <v>-1.1107785271640001</v>
      </c>
      <c r="AH990">
        <v>21.181426483951299</v>
      </c>
      <c r="AI990">
        <v>92.998391505626699</v>
      </c>
      <c r="AJ990">
        <v>92.775773416405997</v>
      </c>
      <c r="AK990">
        <v>21.2353789301613</v>
      </c>
      <c r="AL990">
        <v>89.677297167134597</v>
      </c>
      <c r="AM990">
        <v>92.897493719953601</v>
      </c>
      <c r="AN990">
        <v>0.99999997132646901</v>
      </c>
    </row>
    <row r="991" spans="1:40" x14ac:dyDescent="0.3">
      <c r="A991" t="str">
        <f>"20200111160422361"</f>
        <v>20200111160422361</v>
      </c>
      <c r="B991" t="str">
        <f>"1578729862351440"</f>
        <v>1578729862351440</v>
      </c>
      <c r="C991" t="s">
        <v>40</v>
      </c>
      <c r="D991">
        <v>5.5943610000000001</v>
      </c>
      <c r="E991">
        <v>0.5034575</v>
      </c>
      <c r="F991" t="s">
        <v>47</v>
      </c>
      <c r="G991">
        <v>-201.4435</v>
      </c>
      <c r="H991" s="1">
        <v>-3.328247E-6</v>
      </c>
      <c r="I991">
        <v>369.86099999999999</v>
      </c>
      <c r="J991">
        <v>-222.9008</v>
      </c>
      <c r="K991">
        <v>1.110773</v>
      </c>
      <c r="L991">
        <v>368.33429999999998</v>
      </c>
      <c r="M991">
        <v>0.99955139999999998</v>
      </c>
      <c r="N991">
        <v>0</v>
      </c>
      <c r="O991">
        <v>2.6413030000000001E-2</v>
      </c>
      <c r="P991">
        <v>0.9971006</v>
      </c>
      <c r="Q991">
        <v>-7.8164359999999995E-3</v>
      </c>
      <c r="R991">
        <v>7.5693040000000003E-2</v>
      </c>
      <c r="S991">
        <v>2.9913789999999998</v>
      </c>
      <c r="T991">
        <v>-0.15365699999999999</v>
      </c>
      <c r="U991">
        <v>0.2118225</v>
      </c>
      <c r="V991">
        <v>-4.9330510000000001E-2</v>
      </c>
      <c r="W991">
        <v>6.2692379999999999E-3</v>
      </c>
      <c r="X991">
        <v>0.99876279999999995</v>
      </c>
      <c r="Y991">
        <v>-4.4236419999999999E-2</v>
      </c>
      <c r="Z991">
        <v>-2.1989110000000001E-4</v>
      </c>
      <c r="AA991">
        <v>0.9990211</v>
      </c>
      <c r="AB991">
        <v>28</v>
      </c>
      <c r="AC991">
        <v>21.4573</v>
      </c>
      <c r="AD991">
        <v>-1.110776328247</v>
      </c>
      <c r="AE991">
        <v>1.5266999999999999</v>
      </c>
      <c r="AF991">
        <v>-0.95680730143760095</v>
      </c>
      <c r="AG991">
        <v>-1.110776328247</v>
      </c>
      <c r="AH991">
        <v>21.432994241464002</v>
      </c>
      <c r="AI991">
        <v>92.963783546776696</v>
      </c>
      <c r="AJ991">
        <v>92.556089253338001</v>
      </c>
      <c r="AK991">
        <v>21.483075813721602</v>
      </c>
      <c r="AL991">
        <v>89.640796756836394</v>
      </c>
      <c r="AM991">
        <v>92.827633341844404</v>
      </c>
      <c r="AN991">
        <v>0.99999996661289903</v>
      </c>
    </row>
    <row r="992" spans="1:40" x14ac:dyDescent="0.3">
      <c r="A992" t="str">
        <f>"20200111160422373"</f>
        <v>20200111160422373</v>
      </c>
      <c r="B992" t="str">
        <f>"1578729862371936"</f>
        <v>1578729862371936</v>
      </c>
      <c r="C992" t="s">
        <v>40</v>
      </c>
      <c r="D992">
        <v>5.5919650000000001</v>
      </c>
      <c r="E992">
        <v>0.50317579999999995</v>
      </c>
      <c r="F992" t="s">
        <v>47</v>
      </c>
      <c r="G992">
        <v>-200.8279</v>
      </c>
      <c r="H992" s="1">
        <v>-3.0176589999999999E-6</v>
      </c>
      <c r="I992">
        <v>369.86439999999999</v>
      </c>
      <c r="J992">
        <v>-222.74680000000001</v>
      </c>
      <c r="K992">
        <v>1.1107769999999999</v>
      </c>
      <c r="L992">
        <v>368.33850000000001</v>
      </c>
      <c r="M992">
        <v>0.99954690000000002</v>
      </c>
      <c r="N992">
        <v>0</v>
      </c>
      <c r="O992">
        <v>2.6580840000000001E-2</v>
      </c>
      <c r="P992">
        <v>0.99718030000000002</v>
      </c>
      <c r="Q992">
        <v>-7.3789149999999998E-3</v>
      </c>
      <c r="R992">
        <v>7.4678899999999895E-2</v>
      </c>
      <c r="S992">
        <v>2.991806</v>
      </c>
      <c r="T992">
        <v>-0.15055669999999999</v>
      </c>
      <c r="U992">
        <v>0.20739750000000001</v>
      </c>
      <c r="V992">
        <v>-4.8147349999999998E-2</v>
      </c>
      <c r="W992">
        <v>6.703629E-3</v>
      </c>
      <c r="X992">
        <v>0.99881770000000003</v>
      </c>
      <c r="Y992">
        <v>-4.2591419999999998E-2</v>
      </c>
      <c r="Z992">
        <v>-2.6518610000000003E-4</v>
      </c>
      <c r="AA992">
        <v>0.99909250000000005</v>
      </c>
      <c r="AB992">
        <v>28</v>
      </c>
      <c r="AC992">
        <v>21.918900000000001</v>
      </c>
      <c r="AD992">
        <v>-1.1107800176589999</v>
      </c>
      <c r="AE992">
        <v>1.5258999999999701</v>
      </c>
      <c r="AF992">
        <v>-0.94027674051025001</v>
      </c>
      <c r="AG992">
        <v>-1.1107800176589999</v>
      </c>
      <c r="AH992">
        <v>21.8957573779626</v>
      </c>
      <c r="AI992">
        <v>92.9014772946812</v>
      </c>
      <c r="AJ992">
        <v>92.458960777639007</v>
      </c>
      <c r="AK992">
        <v>21.944068532315999</v>
      </c>
      <c r="AL992">
        <v>89.615907455598105</v>
      </c>
      <c r="AM992">
        <v>92.759769086319395</v>
      </c>
      <c r="AN992">
        <v>0.99999995189353996</v>
      </c>
    </row>
    <row r="993" spans="1:40" x14ac:dyDescent="0.3">
      <c r="A993" t="str">
        <f>"20200111160422405"</f>
        <v>20200111160422405</v>
      </c>
      <c r="B993" t="str">
        <f>"1578729862401895"</f>
        <v>1578729862401895</v>
      </c>
      <c r="C993" t="s">
        <v>40</v>
      </c>
      <c r="D993">
        <v>6.4382809999999999</v>
      </c>
      <c r="E993">
        <v>0.50269790000000003</v>
      </c>
      <c r="F993" t="s">
        <v>47</v>
      </c>
      <c r="G993">
        <v>-200.3177</v>
      </c>
      <c r="H993" s="1">
        <v>-2.7563810000000001E-6</v>
      </c>
      <c r="I993">
        <v>369.88499999999999</v>
      </c>
      <c r="J993">
        <v>-222.35659999999999</v>
      </c>
      <c r="K993">
        <v>1.1107720000000001</v>
      </c>
      <c r="L993">
        <v>368.3494</v>
      </c>
      <c r="M993">
        <v>0.99953570000000003</v>
      </c>
      <c r="N993">
        <v>0</v>
      </c>
      <c r="O993">
        <v>2.7006349999999998E-2</v>
      </c>
      <c r="P993">
        <v>0.99740320000000005</v>
      </c>
      <c r="Q993">
        <v>-8.256055E-3</v>
      </c>
      <c r="R993">
        <v>7.154576E-2</v>
      </c>
      <c r="S993">
        <v>2.991943</v>
      </c>
      <c r="T993">
        <v>-0.1481732</v>
      </c>
      <c r="U993">
        <v>0.2062988</v>
      </c>
      <c r="V993">
        <v>-4.4583820000000003E-2</v>
      </c>
      <c r="W993">
        <v>5.8200669999999999E-3</v>
      </c>
      <c r="X993">
        <v>0.99898869999999895</v>
      </c>
      <c r="Y993">
        <v>-4.1799929999999999E-2</v>
      </c>
      <c r="Z993">
        <v>-3.015707E-4</v>
      </c>
      <c r="AA993">
        <v>0.99912599999999996</v>
      </c>
      <c r="AB993">
        <v>28</v>
      </c>
      <c r="AC993">
        <v>22.038899999999899</v>
      </c>
      <c r="AD993">
        <v>-1.11077475638099</v>
      </c>
      <c r="AE993">
        <v>1.5355999999999801</v>
      </c>
      <c r="AF993">
        <v>-0.93742055294572602</v>
      </c>
      <c r="AG993">
        <v>-1.11077475638099</v>
      </c>
      <c r="AH993">
        <v>22.016677947321899</v>
      </c>
      <c r="AI993">
        <v>92.885600038184194</v>
      </c>
      <c r="AJ993">
        <v>92.438052654186706</v>
      </c>
      <c r="AK993">
        <v>22.064602549980101</v>
      </c>
      <c r="AL993">
        <v>89.666532843952794</v>
      </c>
      <c r="AM993">
        <v>92.555355028825005</v>
      </c>
      <c r="AN993">
        <v>1.0000000064566801</v>
      </c>
    </row>
    <row r="994" spans="1:40" x14ac:dyDescent="0.3">
      <c r="A994" t="str">
        <f>"20200111160422418"</f>
        <v>20200111160422418</v>
      </c>
      <c r="B994" t="str">
        <f>"1578729862411655"</f>
        <v>1578729862411655</v>
      </c>
      <c r="C994" t="s">
        <v>40</v>
      </c>
      <c r="D994">
        <v>5.5348009999999999</v>
      </c>
      <c r="E994">
        <v>0.50301279999999904</v>
      </c>
      <c r="F994" t="s">
        <v>47</v>
      </c>
      <c r="G994">
        <v>-201.3622</v>
      </c>
      <c r="H994" s="1">
        <v>-3.309329E-6</v>
      </c>
      <c r="I994">
        <v>369.76179999999999</v>
      </c>
      <c r="J994">
        <v>-222.1986</v>
      </c>
      <c r="K994">
        <v>1.110771</v>
      </c>
      <c r="L994">
        <v>368.35390000000001</v>
      </c>
      <c r="M994">
        <v>0.99953099999999995</v>
      </c>
      <c r="N994">
        <v>0</v>
      </c>
      <c r="O994">
        <v>2.717897E-2</v>
      </c>
      <c r="P994">
        <v>0.99746939999999995</v>
      </c>
      <c r="Q994">
        <v>-8.5809900000000001E-3</v>
      </c>
      <c r="R994">
        <v>7.0576730000000004E-2</v>
      </c>
      <c r="S994">
        <v>2.9920650000000002</v>
      </c>
      <c r="T994">
        <v>-0.15830469999999999</v>
      </c>
      <c r="U994">
        <v>0.2012939</v>
      </c>
      <c r="V994">
        <v>-4.3440619999999999E-2</v>
      </c>
      <c r="W994">
        <v>5.4924860000000004E-3</v>
      </c>
      <c r="X994">
        <v>0.99904090000000001</v>
      </c>
      <c r="Y994">
        <v>-3.9961219999999999E-2</v>
      </c>
      <c r="Z994">
        <v>-3.7984029999999999E-4</v>
      </c>
      <c r="AA994">
        <v>0.99920120000000001</v>
      </c>
      <c r="AB994">
        <v>28</v>
      </c>
      <c r="AC994">
        <v>20.836400000000001</v>
      </c>
      <c r="AD994">
        <v>-1.1107743093289999</v>
      </c>
      <c r="AE994">
        <v>1.4078999999999799</v>
      </c>
      <c r="AF994">
        <v>-0.83863904167617498</v>
      </c>
      <c r="AG994">
        <v>-1.1107743093289999</v>
      </c>
      <c r="AH994">
        <v>20.808104785009601</v>
      </c>
      <c r="AI994">
        <v>93.053178129719399</v>
      </c>
      <c r="AJ994">
        <v>92.307970196559594</v>
      </c>
      <c r="AK994">
        <v>20.8546004457632</v>
      </c>
      <c r="AL994">
        <v>89.685302146907802</v>
      </c>
      <c r="AM994">
        <v>92.489785277039005</v>
      </c>
      <c r="AN994">
        <v>0.99999998737062701</v>
      </c>
    </row>
    <row r="995" spans="1:40" x14ac:dyDescent="0.3">
      <c r="A995" t="str">
        <f>"20200111160422430"</f>
        <v>20200111160422430</v>
      </c>
      <c r="B995" t="str">
        <f>"1578729862421415"</f>
        <v>1578729862421415</v>
      </c>
      <c r="C995" t="s">
        <v>40</v>
      </c>
      <c r="D995">
        <v>5.4906959999999998</v>
      </c>
      <c r="E995">
        <v>0.50305</v>
      </c>
      <c r="F995" t="s">
        <v>47</v>
      </c>
      <c r="G995">
        <v>-201.5412</v>
      </c>
      <c r="H995" s="1">
        <v>-3.4118429999999998E-6</v>
      </c>
      <c r="I995">
        <v>369.70549999999997</v>
      </c>
      <c r="J995">
        <v>-222.0395</v>
      </c>
      <c r="K995">
        <v>1.110771</v>
      </c>
      <c r="L995">
        <v>368.35829999999999</v>
      </c>
      <c r="M995">
        <v>0.99952640000000004</v>
      </c>
      <c r="N995">
        <v>0</v>
      </c>
      <c r="O995">
        <v>2.7352729999999999E-2</v>
      </c>
      <c r="P995">
        <v>0.99752680000000005</v>
      </c>
      <c r="Q995">
        <v>-8.4801069999999902E-3</v>
      </c>
      <c r="R995">
        <v>6.9773970000000005E-2</v>
      </c>
      <c r="S995">
        <v>2.9923860000000002</v>
      </c>
      <c r="T995">
        <v>-0.16090370000000001</v>
      </c>
      <c r="U995">
        <v>0.1958008</v>
      </c>
      <c r="V995">
        <v>-4.2463040000000001E-2</v>
      </c>
      <c r="W995">
        <v>5.5911889999999999E-3</v>
      </c>
      <c r="X995">
        <v>0.99908240000000004</v>
      </c>
      <c r="Y995">
        <v>-3.7956610000000002E-2</v>
      </c>
      <c r="Z995">
        <v>-4.4917779999999999E-4</v>
      </c>
      <c r="AA995">
        <v>0.99927929999999998</v>
      </c>
      <c r="AB995">
        <v>28</v>
      </c>
      <c r="AC995">
        <v>20.4983</v>
      </c>
      <c r="AD995">
        <v>-1.1107744118430001</v>
      </c>
      <c r="AE995">
        <v>1.34719999999998</v>
      </c>
      <c r="AF995">
        <v>-0.78366437064775396</v>
      </c>
      <c r="AG995">
        <v>-1.1107744118430001</v>
      </c>
      <c r="AH995">
        <v>20.4676393729385</v>
      </c>
      <c r="AI995">
        <v>93.104112464168395</v>
      </c>
      <c r="AJ995">
        <v>92.192668068178804</v>
      </c>
      <c r="AK995">
        <v>20.512732902772601</v>
      </c>
      <c r="AL995">
        <v>89.679646800816997</v>
      </c>
      <c r="AM995">
        <v>92.433722766027401</v>
      </c>
      <c r="AN995">
        <v>1.00000000657511</v>
      </c>
    </row>
    <row r="996" spans="1:40" x14ac:dyDescent="0.3">
      <c r="A996" t="str">
        <f>"20200111160422443"</f>
        <v>20200111160422443</v>
      </c>
      <c r="B996" t="str">
        <f>"1578729862441911"</f>
        <v>1578729862441911</v>
      </c>
      <c r="C996" t="s">
        <v>40</v>
      </c>
      <c r="D996">
        <v>5.5149439999999998</v>
      </c>
      <c r="E996">
        <v>0.50318320000000005</v>
      </c>
      <c r="F996" t="s">
        <v>47</v>
      </c>
      <c r="G996">
        <v>-202.4178</v>
      </c>
      <c r="H996" s="1">
        <v>-3.870261E-6</v>
      </c>
      <c r="I996">
        <v>369.62759999999997</v>
      </c>
      <c r="J996">
        <v>-221.87639999999999</v>
      </c>
      <c r="K996">
        <v>1.1107689999999999</v>
      </c>
      <c r="L996">
        <v>368.363</v>
      </c>
      <c r="M996">
        <v>0.99952160000000001</v>
      </c>
      <c r="N996">
        <v>0</v>
      </c>
      <c r="O996">
        <v>2.753096E-2</v>
      </c>
      <c r="P996">
        <v>0.99758559999999996</v>
      </c>
      <c r="Q996">
        <v>-7.8110100000000002E-3</v>
      </c>
      <c r="R996">
        <v>6.9007550000000001E-2</v>
      </c>
      <c r="S996">
        <v>2.9924469999999999</v>
      </c>
      <c r="T996">
        <v>-0.1694012</v>
      </c>
      <c r="U996">
        <v>0.193573</v>
      </c>
      <c r="V996">
        <v>-4.1517209999999999E-2</v>
      </c>
      <c r="W996">
        <v>6.2573180000000004E-3</v>
      </c>
      <c r="X996">
        <v>0.99911819999999896</v>
      </c>
      <c r="Y996">
        <v>-3.7036380000000001E-2</v>
      </c>
      <c r="Z996">
        <v>-5.0893149999999996E-4</v>
      </c>
      <c r="AA996">
        <v>0.99931380000000003</v>
      </c>
      <c r="AB996">
        <v>28</v>
      </c>
      <c r="AC996">
        <v>19.458599999999901</v>
      </c>
      <c r="AD996">
        <v>-1.110772870261</v>
      </c>
      <c r="AE996">
        <v>1.26459999999991</v>
      </c>
      <c r="AF996">
        <v>-0.72599764659863997</v>
      </c>
      <c r="AG996">
        <v>-1.110772870261</v>
      </c>
      <c r="AH996">
        <v>19.423016777908</v>
      </c>
      <c r="AI996">
        <v>93.270814477242297</v>
      </c>
      <c r="AJ996">
        <v>92.140617280065001</v>
      </c>
      <c r="AK996">
        <v>19.468293959848399</v>
      </c>
      <c r="AL996">
        <v>89.641479749768493</v>
      </c>
      <c r="AM996">
        <v>92.379491408991598</v>
      </c>
      <c r="AN996">
        <v>1.00000000516298</v>
      </c>
    </row>
    <row r="997" spans="1:40" x14ac:dyDescent="0.3">
      <c r="A997" t="str">
        <f>"20200111160422457"</f>
        <v>20200111160422457</v>
      </c>
      <c r="B997" t="str">
        <f>"1578729862451671"</f>
        <v>1578729862451671</v>
      </c>
      <c r="C997" t="s">
        <v>40</v>
      </c>
      <c r="D997">
        <v>6.4396129999999996</v>
      </c>
      <c r="E997">
        <v>0.50306669999999998</v>
      </c>
      <c r="F997" t="s">
        <v>47</v>
      </c>
      <c r="G997">
        <v>-203.68129999999999</v>
      </c>
      <c r="H997" s="1">
        <v>-2.1982259999999998E-6</v>
      </c>
      <c r="I997">
        <v>369.52379999999999</v>
      </c>
      <c r="J997">
        <v>-221.69909999999999</v>
      </c>
      <c r="K997">
        <v>1.110773</v>
      </c>
      <c r="L997">
        <v>368.36810000000003</v>
      </c>
      <c r="M997">
        <v>0.99951610000000002</v>
      </c>
      <c r="N997">
        <v>0</v>
      </c>
      <c r="O997">
        <v>2.7724800000000001E-2</v>
      </c>
      <c r="P997">
        <v>0.9976526</v>
      </c>
      <c r="Q997">
        <v>-7.7694230000000001E-3</v>
      </c>
      <c r="R997">
        <v>6.8034979999999995E-2</v>
      </c>
      <c r="S997">
        <v>2.9926149999999998</v>
      </c>
      <c r="T997">
        <v>-0.1826923</v>
      </c>
      <c r="U997">
        <v>0.190918</v>
      </c>
      <c r="V997">
        <v>-4.0349469999999998E-2</v>
      </c>
      <c r="W997">
        <v>6.2968950000000003E-3</v>
      </c>
      <c r="X997">
        <v>0.99916579999999999</v>
      </c>
      <c r="Y997">
        <v>-3.5955899999999999E-2</v>
      </c>
      <c r="Z997">
        <v>-5.9350059999999896E-4</v>
      </c>
      <c r="AA997">
        <v>0.99935320000000005</v>
      </c>
      <c r="AB997">
        <v>28</v>
      </c>
      <c r="AC997">
        <v>18.017799999999902</v>
      </c>
      <c r="AD997">
        <v>-1.1107751982259999</v>
      </c>
      <c r="AE997">
        <v>1.15569999999996</v>
      </c>
      <c r="AF997">
        <v>-0.65319372771952899</v>
      </c>
      <c r="AG997">
        <v>-1.1107751982259999</v>
      </c>
      <c r="AH997">
        <v>17.974882304736202</v>
      </c>
      <c r="AI997">
        <v>93.533824751847703</v>
      </c>
      <c r="AJ997">
        <v>92.081169843127199</v>
      </c>
      <c r="AK997">
        <v>18.021012109647</v>
      </c>
      <c r="AL997">
        <v>89.639212112957694</v>
      </c>
      <c r="AM997">
        <v>92.312527952084594</v>
      </c>
      <c r="AN997">
        <v>1.00000001325278</v>
      </c>
    </row>
    <row r="998" spans="1:40" x14ac:dyDescent="0.3">
      <c r="A998" t="str">
        <f>"20200111160422470"</f>
        <v>20200111160422470</v>
      </c>
      <c r="B998" t="str">
        <f>"1578729862461431"</f>
        <v>1578729862461431</v>
      </c>
      <c r="C998" t="s">
        <v>40</v>
      </c>
      <c r="D998">
        <v>5.8209569999999999</v>
      </c>
      <c r="E998">
        <v>0.50325450000000005</v>
      </c>
      <c r="F998" t="s">
        <v>47</v>
      </c>
      <c r="G998">
        <v>-202.72790000000001</v>
      </c>
      <c r="H998" s="1">
        <v>-1.623416E-6</v>
      </c>
      <c r="I998">
        <v>369.56319999999999</v>
      </c>
      <c r="J998">
        <v>-221.55359999999999</v>
      </c>
      <c r="K998">
        <v>1.110779</v>
      </c>
      <c r="L998">
        <v>368.3723</v>
      </c>
      <c r="M998">
        <v>0.99951199999999996</v>
      </c>
      <c r="N998">
        <v>0</v>
      </c>
      <c r="O998">
        <v>2.7883350000000001E-2</v>
      </c>
      <c r="P998">
        <v>0.99781249999999999</v>
      </c>
      <c r="Q998">
        <v>-8.4797329999999997E-3</v>
      </c>
      <c r="R998">
        <v>6.5564070000000002E-2</v>
      </c>
      <c r="S998">
        <v>2.9928439999999998</v>
      </c>
      <c r="T998">
        <v>-0.1752329</v>
      </c>
      <c r="U998">
        <v>0.1885376</v>
      </c>
      <c r="V998">
        <v>-3.7716220000000002E-2</v>
      </c>
      <c r="W998">
        <v>5.5864209999999899E-3</v>
      </c>
      <c r="X998">
        <v>0.99927290000000002</v>
      </c>
      <c r="Y998">
        <v>-3.5003960000000001E-2</v>
      </c>
      <c r="Z998">
        <v>-6.0636209999999997E-4</v>
      </c>
      <c r="AA998">
        <v>0.99938700000000003</v>
      </c>
      <c r="AB998">
        <v>28</v>
      </c>
      <c r="AC998">
        <v>18.825699999999902</v>
      </c>
      <c r="AD998">
        <v>-1.110780623416</v>
      </c>
      <c r="AE998">
        <v>1.1908999999999901</v>
      </c>
      <c r="AF998">
        <v>-0.66316170485626302</v>
      </c>
      <c r="AG998">
        <v>-1.110780623416</v>
      </c>
      <c r="AH998">
        <v>18.7864458755665</v>
      </c>
      <c r="AI998">
        <v>93.381669692774693</v>
      </c>
      <c r="AJ998">
        <v>92.021702058936299</v>
      </c>
      <c r="AK998">
        <v>18.8309363993333</v>
      </c>
      <c r="AL998">
        <v>89.679919997259901</v>
      </c>
      <c r="AM998">
        <v>92.1615265813452</v>
      </c>
      <c r="AN998">
        <v>1.00000002501254</v>
      </c>
    </row>
    <row r="999" spans="1:40" x14ac:dyDescent="0.3">
      <c r="A999" t="str">
        <f>"20200111160422481"</f>
        <v>20200111160422481</v>
      </c>
      <c r="B999" t="str">
        <f>"1578729862471191"</f>
        <v>1578729862471191</v>
      </c>
      <c r="C999" t="s">
        <v>40</v>
      </c>
      <c r="D999">
        <v>5.5516019999999999</v>
      </c>
      <c r="E999">
        <v>0.50339970000000001</v>
      </c>
      <c r="F999" t="s">
        <v>47</v>
      </c>
      <c r="G999">
        <v>-202.27959999999999</v>
      </c>
      <c r="H999" s="1">
        <v>-1.36841E-6</v>
      </c>
      <c r="I999">
        <v>369.52440000000001</v>
      </c>
      <c r="J999">
        <v>-221.39930000000001</v>
      </c>
      <c r="K999">
        <v>1.1107819999999999</v>
      </c>
      <c r="L999">
        <v>368.3768</v>
      </c>
      <c r="M999">
        <v>0.99950729999999999</v>
      </c>
      <c r="N999">
        <v>0</v>
      </c>
      <c r="O999">
        <v>2.8051570000000001E-2</v>
      </c>
      <c r="P999">
        <v>0.99792460000000005</v>
      </c>
      <c r="Q999">
        <v>-1.044522E-2</v>
      </c>
      <c r="R999">
        <v>6.3545439999999995E-2</v>
      </c>
      <c r="S999">
        <v>2.9933779999999999</v>
      </c>
      <c r="T999">
        <v>-0.17251140000000001</v>
      </c>
      <c r="U999">
        <v>0.17892459999999999</v>
      </c>
      <c r="V999">
        <v>-3.5526500000000003E-2</v>
      </c>
      <c r="W999">
        <v>3.6199650000000002E-3</v>
      </c>
      <c r="X999">
        <v>0.99936219999999998</v>
      </c>
      <c r="Y999">
        <v>-3.1633189999999999E-2</v>
      </c>
      <c r="Z999">
        <v>-7.0356599999999998E-4</v>
      </c>
      <c r="AA999">
        <v>0.99949929999999998</v>
      </c>
      <c r="AB999">
        <v>28</v>
      </c>
      <c r="AC999">
        <v>19.119700000000002</v>
      </c>
      <c r="AD999">
        <v>-1.1107833684099999</v>
      </c>
      <c r="AE999">
        <v>1.1476000000000099</v>
      </c>
      <c r="AF999">
        <v>-0.60871039352891498</v>
      </c>
      <c r="AG999">
        <v>-1.1107833684099999</v>
      </c>
      <c r="AH999">
        <v>19.0802017540097</v>
      </c>
      <c r="AI999">
        <v>93.330111126240098</v>
      </c>
      <c r="AJ999">
        <v>91.827271635149799</v>
      </c>
      <c r="AK999">
        <v>19.122198278661401</v>
      </c>
      <c r="AL999">
        <v>89.792590835000098</v>
      </c>
      <c r="AM999">
        <v>92.035960237977704</v>
      </c>
      <c r="AN999">
        <v>1.00000002156884</v>
      </c>
    </row>
    <row r="1000" spans="1:40" x14ac:dyDescent="0.3">
      <c r="A1000" t="str">
        <f>"20200111160422496"</f>
        <v>20200111160422496</v>
      </c>
      <c r="B1000" t="str">
        <f>"1578729862491464"</f>
        <v>1578729862491464</v>
      </c>
      <c r="C1000" t="s">
        <v>40</v>
      </c>
      <c r="D1000">
        <v>6.0113510000000003</v>
      </c>
      <c r="E1000">
        <v>0.503204599999999</v>
      </c>
      <c r="F1000" t="s">
        <v>47</v>
      </c>
      <c r="G1000">
        <v>-202.25380000000001</v>
      </c>
      <c r="H1000" s="1">
        <v>-1.367169E-6</v>
      </c>
      <c r="I1000">
        <v>369.4717</v>
      </c>
      <c r="J1000">
        <v>-221.239</v>
      </c>
      <c r="K1000">
        <v>1.110779</v>
      </c>
      <c r="L1000">
        <v>368.38139999999999</v>
      </c>
      <c r="M1000">
        <v>0.99950229999999995</v>
      </c>
      <c r="N1000">
        <v>0</v>
      </c>
      <c r="O1000">
        <v>2.822525E-2</v>
      </c>
      <c r="P1000">
        <v>0.9980677</v>
      </c>
      <c r="Q1000">
        <v>-1.290841E-2</v>
      </c>
      <c r="R1000">
        <v>6.0781099999999998E-2</v>
      </c>
      <c r="S1000">
        <v>2.9935299999999998</v>
      </c>
      <c r="T1000">
        <v>-0.173678799999999</v>
      </c>
      <c r="U1000">
        <v>0.17120360000000001</v>
      </c>
      <c r="V1000">
        <v>-3.258395E-2</v>
      </c>
      <c r="W1000">
        <v>1.1571089999999999E-3</v>
      </c>
      <c r="X1000">
        <v>0.99946829999999998</v>
      </c>
      <c r="Y1000">
        <v>-2.8892040000000001E-2</v>
      </c>
      <c r="Z1000">
        <v>-7.9779199999999997E-4</v>
      </c>
      <c r="AA1000">
        <v>0.99958219999999998</v>
      </c>
      <c r="AB1000">
        <v>28</v>
      </c>
      <c r="AC1000">
        <v>18.985199999999899</v>
      </c>
      <c r="AD1000">
        <v>-1.110780367169</v>
      </c>
      <c r="AE1000">
        <v>1.09030000000001</v>
      </c>
      <c r="AF1000">
        <v>-0.55206672482208996</v>
      </c>
      <c r="AG1000">
        <v>-1.110780367169</v>
      </c>
      <c r="AH1000">
        <v>18.9437773778745</v>
      </c>
      <c r="AI1000">
        <v>93.354311148802495</v>
      </c>
      <c r="AJ1000">
        <v>91.669262826445106</v>
      </c>
      <c r="AK1000">
        <v>18.984343866334001</v>
      </c>
      <c r="AL1000">
        <v>89.933702520927795</v>
      </c>
      <c r="AM1000">
        <v>91.867254639893204</v>
      </c>
      <c r="AN1000">
        <v>0.99999996770186395</v>
      </c>
    </row>
    <row r="1001" spans="1:40" x14ac:dyDescent="0.3">
      <c r="A1001" t="str">
        <f>"20200111160422510"</f>
        <v>20200111160422510</v>
      </c>
      <c r="B1001" t="str">
        <f>"1578729862501225"</f>
        <v>1578729862501225</v>
      </c>
      <c r="C1001" t="s">
        <v>40</v>
      </c>
      <c r="D1001">
        <v>5.5766289999999996</v>
      </c>
      <c r="E1001">
        <v>0.50295529999999999</v>
      </c>
      <c r="F1001" t="s">
        <v>47</v>
      </c>
      <c r="G1001">
        <v>-203.0659</v>
      </c>
      <c r="H1001" s="1">
        <v>-1.8725770000000001E-6</v>
      </c>
      <c r="I1001">
        <v>369.37880000000001</v>
      </c>
      <c r="J1001">
        <v>-221.06479999999999</v>
      </c>
      <c r="K1001">
        <v>1.110771</v>
      </c>
      <c r="L1001">
        <v>368.38650000000001</v>
      </c>
      <c r="M1001">
        <v>0.99949719999999997</v>
      </c>
      <c r="N1001">
        <v>0</v>
      </c>
      <c r="O1001">
        <v>2.8408969999999999E-2</v>
      </c>
      <c r="P1001">
        <v>0.99822920000000004</v>
      </c>
      <c r="Q1001">
        <v>-1.615484E-2</v>
      </c>
      <c r="R1001">
        <v>5.7250559999999999E-2</v>
      </c>
      <c r="S1001">
        <v>2.993439</v>
      </c>
      <c r="T1001">
        <v>-0.18296560000000001</v>
      </c>
      <c r="U1001">
        <v>0.16427610000000001</v>
      </c>
      <c r="V1001">
        <v>-2.886538E-2</v>
      </c>
      <c r="W1001">
        <v>-2.0892889999999998E-3</v>
      </c>
      <c r="X1001">
        <v>0.9995811</v>
      </c>
      <c r="Y1001">
        <v>-2.6408770000000002E-2</v>
      </c>
      <c r="Z1001">
        <v>-9.2743510000000003E-4</v>
      </c>
      <c r="AA1001">
        <v>0.99965079999999995</v>
      </c>
      <c r="AB1001">
        <v>28</v>
      </c>
      <c r="AC1001">
        <v>17.9988999999999</v>
      </c>
      <c r="AD1001">
        <v>-1.1107728725770001</v>
      </c>
      <c r="AE1001">
        <v>0.99229999999999996</v>
      </c>
      <c r="AF1001">
        <v>-0.47870087462893202</v>
      </c>
      <c r="AG1001">
        <v>-1.1107728725770001</v>
      </c>
      <c r="AH1001">
        <v>17.9516644579058</v>
      </c>
      <c r="AI1001">
        <v>93.539450823390794</v>
      </c>
      <c r="AJ1001">
        <v>91.5274929818179</v>
      </c>
      <c r="AK1001">
        <v>17.992365817508801</v>
      </c>
      <c r="AL1001">
        <v>90.119707531919701</v>
      </c>
      <c r="AM1001">
        <v>91.654097855552095</v>
      </c>
      <c r="AN1001">
        <v>0.99999997538413898</v>
      </c>
    </row>
    <row r="1002" spans="1:40" x14ac:dyDescent="0.3">
      <c r="A1002" t="str">
        <f>"20200111160422521"</f>
        <v>20200111160422521</v>
      </c>
      <c r="B1002" t="str">
        <f>"1578729862511960"</f>
        <v>1578729862511960</v>
      </c>
      <c r="C1002" t="s">
        <v>40</v>
      </c>
      <c r="D1002">
        <v>5.6184839999999996</v>
      </c>
      <c r="E1002">
        <v>0.50295270000000003</v>
      </c>
      <c r="F1002" t="s">
        <v>47</v>
      </c>
      <c r="G1002">
        <v>-203.48580000000001</v>
      </c>
      <c r="H1002" s="1">
        <v>-2.1426699999999998E-6</v>
      </c>
      <c r="I1002">
        <v>369.2978</v>
      </c>
      <c r="J1002">
        <v>-220.90770000000001</v>
      </c>
      <c r="K1002">
        <v>1.1107590000000001</v>
      </c>
      <c r="L1002">
        <v>368.39120000000003</v>
      </c>
      <c r="M1002">
        <v>0.99949279999999996</v>
      </c>
      <c r="N1002">
        <v>0</v>
      </c>
      <c r="O1002">
        <v>2.8568940000000001E-2</v>
      </c>
      <c r="P1002">
        <v>0.99838159999999998</v>
      </c>
      <c r="Q1002">
        <v>-1.8779859999999999E-2</v>
      </c>
      <c r="R1002">
        <v>5.3684040000000002E-2</v>
      </c>
      <c r="S1002">
        <v>2.9933619999999999</v>
      </c>
      <c r="T1002">
        <v>-0.1891439</v>
      </c>
      <c r="U1002">
        <v>0.15518189999999901</v>
      </c>
      <c r="V1002">
        <v>-2.513433E-2</v>
      </c>
      <c r="W1002">
        <v>-4.7138359999999999E-3</v>
      </c>
      <c r="X1002">
        <v>0.99967289999999998</v>
      </c>
      <c r="Y1002">
        <v>-2.3228490000000001E-2</v>
      </c>
      <c r="Z1002">
        <v>-1.0692080000000001E-3</v>
      </c>
      <c r="AA1002">
        <v>0.9997296</v>
      </c>
      <c r="AB1002">
        <v>28</v>
      </c>
      <c r="AC1002">
        <v>17.421899999999901</v>
      </c>
      <c r="AD1002">
        <v>-1.1107611426699999</v>
      </c>
      <c r="AE1002">
        <v>0.90659999999996899</v>
      </c>
      <c r="AF1002">
        <v>-0.40680622476606898</v>
      </c>
      <c r="AG1002">
        <v>-1.1107611426699999</v>
      </c>
      <c r="AH1002">
        <v>17.370272756119299</v>
      </c>
      <c r="AI1002">
        <v>93.657859464038395</v>
      </c>
      <c r="AJ1002">
        <v>91.341603560393196</v>
      </c>
      <c r="AK1002">
        <v>17.410504221376101</v>
      </c>
      <c r="AL1002">
        <v>90.270083927009495</v>
      </c>
      <c r="AM1002">
        <v>91.440258803351995</v>
      </c>
      <c r="AN1002">
        <v>0.99999993089439398</v>
      </c>
    </row>
    <row r="1003" spans="1:40" x14ac:dyDescent="0.3">
      <c r="A1003" t="str">
        <f>"20200111160422535"</f>
        <v>20200111160422535</v>
      </c>
      <c r="B1003" t="str">
        <f>"1578729862531480"</f>
        <v>1578729862531480</v>
      </c>
      <c r="C1003" t="s">
        <v>40</v>
      </c>
      <c r="D1003">
        <v>5.6091490000000004</v>
      </c>
      <c r="E1003">
        <v>0.50294090000000002</v>
      </c>
      <c r="F1003" t="s">
        <v>47</v>
      </c>
      <c r="G1003">
        <v>-204.1301</v>
      </c>
      <c r="H1003" s="1">
        <v>-2.550111E-6</v>
      </c>
      <c r="I1003">
        <v>369.19970000000001</v>
      </c>
      <c r="J1003">
        <v>-220.75309999999999</v>
      </c>
      <c r="K1003">
        <v>1.110738</v>
      </c>
      <c r="L1003">
        <v>368.39580000000001</v>
      </c>
      <c r="M1003">
        <v>0.99948870000000001</v>
      </c>
      <c r="N1003">
        <v>0</v>
      </c>
      <c r="O1003">
        <v>2.871015E-2</v>
      </c>
      <c r="P1003">
        <v>0.99858469999999999</v>
      </c>
      <c r="Q1003">
        <v>-2.0595459999999999E-2</v>
      </c>
      <c r="R1003">
        <v>4.9036000000000003E-2</v>
      </c>
      <c r="S1003">
        <v>2.9933619999999999</v>
      </c>
      <c r="T1003">
        <v>-0.1981754</v>
      </c>
      <c r="U1003">
        <v>0.14425660000000001</v>
      </c>
      <c r="V1003">
        <v>-2.0340339999999998E-2</v>
      </c>
      <c r="W1003">
        <v>-6.5279539999999999E-3</v>
      </c>
      <c r="X1003">
        <v>0.99977179999999999</v>
      </c>
      <c r="Y1003">
        <v>-1.9456930000000001E-2</v>
      </c>
      <c r="Z1003">
        <v>-1.2542460000000001E-3</v>
      </c>
      <c r="AA1003">
        <v>0.99980990000000003</v>
      </c>
      <c r="AB1003">
        <v>28</v>
      </c>
      <c r="AC1003">
        <v>16.622999999999902</v>
      </c>
      <c r="AD1003">
        <v>-1.1107405501109999</v>
      </c>
      <c r="AE1003">
        <v>0.80389999999999795</v>
      </c>
      <c r="AF1003">
        <v>-0.32482554387567802</v>
      </c>
      <c r="AG1003">
        <v>-1.1107405501109999</v>
      </c>
      <c r="AH1003">
        <v>16.565439110924999</v>
      </c>
      <c r="AI1003">
        <v>93.835301336127699</v>
      </c>
      <c r="AJ1003">
        <v>91.123347703084804</v>
      </c>
      <c r="AK1003">
        <v>16.605813112924601</v>
      </c>
      <c r="AL1003">
        <v>90.374026870368596</v>
      </c>
      <c r="AM1003">
        <v>91.165520852013302</v>
      </c>
      <c r="AN1003">
        <v>0.99999999784499005</v>
      </c>
    </row>
    <row r="1004" spans="1:40" x14ac:dyDescent="0.3">
      <c r="A1004" t="str">
        <f>"20200111160422550"</f>
        <v>20200111160422550</v>
      </c>
      <c r="B1004" t="str">
        <f>"1578729862541241"</f>
        <v>1578729862541241</v>
      </c>
      <c r="C1004" t="s">
        <v>40</v>
      </c>
      <c r="D1004">
        <v>5.6149950000000004</v>
      </c>
      <c r="E1004">
        <v>0.50271080000000001</v>
      </c>
      <c r="F1004" t="s">
        <v>47</v>
      </c>
      <c r="G1004">
        <v>-204.5514</v>
      </c>
      <c r="H1004" s="1">
        <v>-2.8257880000000002E-6</v>
      </c>
      <c r="I1004">
        <v>369.101</v>
      </c>
      <c r="J1004">
        <v>-220.57759999999999</v>
      </c>
      <c r="K1004">
        <v>1.1107229999999999</v>
      </c>
      <c r="L1004">
        <v>368.40089999999998</v>
      </c>
      <c r="M1004">
        <v>0.9994847</v>
      </c>
      <c r="N1004">
        <v>0</v>
      </c>
      <c r="O1004">
        <v>2.8852900000000001E-2</v>
      </c>
      <c r="P1004">
        <v>0.99901099999999998</v>
      </c>
      <c r="Q1004">
        <v>-1.9879850000000001E-2</v>
      </c>
      <c r="R1004">
        <v>3.977663E-2</v>
      </c>
      <c r="S1004">
        <v>2.9936219999999998</v>
      </c>
      <c r="T1004">
        <v>-0.20523379999999999</v>
      </c>
      <c r="U1004">
        <v>0.13031010000000001</v>
      </c>
      <c r="V1004">
        <v>-1.093044E-2</v>
      </c>
      <c r="W1004">
        <v>-5.8082740000000004E-3</v>
      </c>
      <c r="X1004">
        <v>0.99992340000000002</v>
      </c>
      <c r="Y1004">
        <v>-1.4674680000000001E-2</v>
      </c>
      <c r="Z1004">
        <v>-1.472299E-3</v>
      </c>
      <c r="AA1004">
        <v>0.99989119999999998</v>
      </c>
      <c r="AB1004">
        <v>28</v>
      </c>
      <c r="AC1004">
        <v>16.0261999999999</v>
      </c>
      <c r="AD1004">
        <v>-1.1107258257879999</v>
      </c>
      <c r="AE1004">
        <v>0.70010000000002004</v>
      </c>
      <c r="AF1004">
        <v>-0.236227828326497</v>
      </c>
      <c r="AG1004">
        <v>-1.1107258257879999</v>
      </c>
      <c r="AH1004">
        <v>15.963196131123601</v>
      </c>
      <c r="AI1004">
        <v>93.979814724327895</v>
      </c>
      <c r="AJ1004">
        <v>90.847817040524902</v>
      </c>
      <c r="AK1004">
        <v>16.003535427138299</v>
      </c>
      <c r="AL1004">
        <v>90.332791454917</v>
      </c>
      <c r="AM1004">
        <v>90.626291111061093</v>
      </c>
      <c r="AN1004">
        <v>1.0000000082164999</v>
      </c>
    </row>
    <row r="1005" spans="1:40" x14ac:dyDescent="0.3">
      <c r="A1005" t="str">
        <f>"20200111160422564"</f>
        <v>20200111160422564</v>
      </c>
      <c r="B1005" t="str">
        <f>"1578729862561736"</f>
        <v>1578729862561736</v>
      </c>
      <c r="C1005" t="s">
        <v>40</v>
      </c>
      <c r="D1005">
        <v>5.7910789999999999</v>
      </c>
      <c r="E1005">
        <v>0.50277340000000004</v>
      </c>
      <c r="F1005" t="s">
        <v>47</v>
      </c>
      <c r="G1005">
        <v>-204.6397</v>
      </c>
      <c r="H1005" s="1">
        <v>-2.9157989999999999E-6</v>
      </c>
      <c r="I1005">
        <v>368.95909999999998</v>
      </c>
      <c r="J1005">
        <v>-220.38730000000001</v>
      </c>
      <c r="K1005">
        <v>1.1107</v>
      </c>
      <c r="L1005">
        <v>368.40660000000003</v>
      </c>
      <c r="M1005">
        <v>0.99948110000000001</v>
      </c>
      <c r="N1005">
        <v>0</v>
      </c>
      <c r="O1005">
        <v>2.8976869999999998E-2</v>
      </c>
      <c r="P1005">
        <v>0.99921720000000003</v>
      </c>
      <c r="Q1005">
        <v>-1.733378E-2</v>
      </c>
      <c r="R1005">
        <v>3.5568839999999997E-2</v>
      </c>
      <c r="S1005">
        <v>2.9946290000000002</v>
      </c>
      <c r="T1005">
        <v>-0.2086983</v>
      </c>
      <c r="U1005">
        <v>0.10488889999999999</v>
      </c>
      <c r="V1005">
        <v>-6.5963069999999896E-3</v>
      </c>
      <c r="W1005">
        <v>-3.2622380000000002E-3</v>
      </c>
      <c r="X1005">
        <v>0.99997290000000005</v>
      </c>
      <c r="Y1005">
        <v>-6.0829810000000003E-3</v>
      </c>
      <c r="Z1005">
        <v>-1.80445E-3</v>
      </c>
      <c r="AA1005">
        <v>0.99997990000000003</v>
      </c>
      <c r="AB1005">
        <v>28</v>
      </c>
      <c r="AC1005">
        <v>15.7476</v>
      </c>
      <c r="AD1005">
        <v>-1.110702915799</v>
      </c>
      <c r="AE1005">
        <v>0.55249999999995203</v>
      </c>
      <c r="AF1005">
        <v>-9.5432474355748795E-2</v>
      </c>
      <c r="AG1005">
        <v>-1.110702915799</v>
      </c>
      <c r="AH1005">
        <v>15.6790943712243</v>
      </c>
      <c r="AI1005">
        <v>94.051974082163795</v>
      </c>
      <c r="AJ1005">
        <v>90.348732545305197</v>
      </c>
      <c r="AK1005">
        <v>15.718675791111799</v>
      </c>
      <c r="AL1005">
        <v>90.186912804975904</v>
      </c>
      <c r="AM1005">
        <v>90.377945312079206</v>
      </c>
      <c r="AN1005">
        <v>0.99999997709860799</v>
      </c>
    </row>
    <row r="1006" spans="1:40" x14ac:dyDescent="0.3">
      <c r="A1006" t="str">
        <f>"20200111160422578"</f>
        <v>20200111160422578</v>
      </c>
      <c r="B1006" t="str">
        <f>"1578729862571497"</f>
        <v>1578729862571497</v>
      </c>
      <c r="C1006" t="s">
        <v>40</v>
      </c>
      <c r="D1006">
        <v>5.8009079999999997</v>
      </c>
      <c r="E1006">
        <v>0.55653859999999999</v>
      </c>
      <c r="F1006" t="s">
        <v>47</v>
      </c>
      <c r="G1006">
        <v>-203.57220000000001</v>
      </c>
      <c r="H1006" s="1">
        <v>-2.2939160000000002E-6</v>
      </c>
      <c r="I1006">
        <v>368.92149999999998</v>
      </c>
      <c r="J1006">
        <v>-220.21549999999999</v>
      </c>
      <c r="K1006">
        <v>1.110671</v>
      </c>
      <c r="L1006">
        <v>368.41160000000002</v>
      </c>
      <c r="M1006">
        <v>0.99947929999999996</v>
      </c>
      <c r="N1006">
        <v>0</v>
      </c>
      <c r="O1006">
        <v>2.9036969999999999E-2</v>
      </c>
      <c r="P1006">
        <v>0.99941069999999999</v>
      </c>
      <c r="Q1006">
        <v>-1.368021E-2</v>
      </c>
      <c r="R1006">
        <v>3.1483099999999903E-2</v>
      </c>
      <c r="S1006">
        <v>2.9956510000000001</v>
      </c>
      <c r="T1006">
        <v>-0.19787379999999999</v>
      </c>
      <c r="U1006">
        <v>9.1735839999999999E-2</v>
      </c>
      <c r="V1006">
        <v>-2.4474280000000002E-3</v>
      </c>
      <c r="W1006">
        <v>3.908316E-4</v>
      </c>
      <c r="X1006">
        <v>0.99999689999999997</v>
      </c>
      <c r="Y1006">
        <v>-1.6291599999999999E-3</v>
      </c>
      <c r="Z1006">
        <v>-1.861503E-3</v>
      </c>
      <c r="AA1006">
        <v>0.99999700000000002</v>
      </c>
      <c r="AB1006">
        <v>28</v>
      </c>
      <c r="AC1006">
        <v>16.643299999999901</v>
      </c>
      <c r="AD1006">
        <v>-1.110673293916</v>
      </c>
      <c r="AE1006">
        <v>0.50989999999995905</v>
      </c>
      <c r="AF1006">
        <v>-2.6249312795781202E-2</v>
      </c>
      <c r="AG1006">
        <v>-1.110673293916</v>
      </c>
      <c r="AH1006">
        <v>16.577331573689001</v>
      </c>
      <c r="AI1006">
        <v>93.833056451486698</v>
      </c>
      <c r="AJ1006">
        <v>90.090724708899003</v>
      </c>
      <c r="AK1006">
        <v>16.614517937522798</v>
      </c>
      <c r="AL1006">
        <v>89.977606997607595</v>
      </c>
      <c r="AM1006">
        <v>90.140227449783794</v>
      </c>
      <c r="AN1006">
        <v>0.99999997133138097</v>
      </c>
    </row>
    <row r="1007" spans="1:40" x14ac:dyDescent="0.3">
      <c r="A1007" t="str">
        <f>"20200111160422591"</f>
        <v>20200111160422591</v>
      </c>
      <c r="B1007" t="str">
        <f>"1578729862581256"</f>
        <v>1578729862581256</v>
      </c>
      <c r="C1007" t="s">
        <v>40</v>
      </c>
      <c r="D1007">
        <v>5.6974130000000001</v>
      </c>
      <c r="E1007">
        <v>0.56338299999999997</v>
      </c>
      <c r="F1007" t="s">
        <v>47</v>
      </c>
      <c r="G1007">
        <v>-202.83590000000001</v>
      </c>
      <c r="H1007" s="1">
        <v>-2.5305149999999999E-6</v>
      </c>
      <c r="I1007">
        <v>366.39429999999999</v>
      </c>
      <c r="J1007">
        <v>-220.0615</v>
      </c>
      <c r="K1007">
        <v>1.1106309999999999</v>
      </c>
      <c r="L1007">
        <v>368.41609999999997</v>
      </c>
      <c r="M1007">
        <v>0.99947920000000001</v>
      </c>
      <c r="N1007">
        <v>0</v>
      </c>
      <c r="O1007">
        <v>2.9045939999999999E-2</v>
      </c>
      <c r="P1007">
        <v>0.99954929999999997</v>
      </c>
      <c r="Q1007">
        <v>-1.054837E-2</v>
      </c>
      <c r="R1007">
        <v>2.8111919999999999E-2</v>
      </c>
      <c r="S1007">
        <v>3.0101619999999998</v>
      </c>
      <c r="T1007">
        <v>-0.1923695</v>
      </c>
      <c r="U1007">
        <v>-0.34939579999999998</v>
      </c>
      <c r="V1007">
        <v>9.3515809999999999E-4</v>
      </c>
      <c r="W1007">
        <v>3.5212609999999999E-3</v>
      </c>
      <c r="X1007">
        <v>0.99999340000000003</v>
      </c>
      <c r="Y1007">
        <v>0.143756299999999</v>
      </c>
      <c r="Z1007">
        <v>-6.4224260000000002E-3</v>
      </c>
      <c r="AA1007">
        <v>0.98959229999999998</v>
      </c>
      <c r="AB1007">
        <v>28</v>
      </c>
      <c r="AC1007">
        <v>17.225599999999901</v>
      </c>
      <c r="AD1007">
        <v>-1.1106335305149999</v>
      </c>
      <c r="AE1007">
        <v>-2.0217999999999798</v>
      </c>
      <c r="AF1007">
        <v>2.51103316615227</v>
      </c>
      <c r="AG1007">
        <v>-1.1106335305149999</v>
      </c>
      <c r="AH1007">
        <v>17.089521973686399</v>
      </c>
      <c r="AI1007">
        <v>93.678983378549702</v>
      </c>
      <c r="AJ1007">
        <v>81.641110056623802</v>
      </c>
      <c r="AK1007">
        <v>17.308684400893402</v>
      </c>
      <c r="AL1007">
        <v>89.798246196649998</v>
      </c>
      <c r="AM1007">
        <v>89.946419049677502</v>
      </c>
      <c r="AN1007">
        <v>1.00000003692163</v>
      </c>
    </row>
    <row r="1008" spans="1:40" x14ac:dyDescent="0.3">
      <c r="A1008" t="str">
        <f>"20200111160422604"</f>
        <v>20200111160422604</v>
      </c>
      <c r="B1008" t="str">
        <f>"1578729862601752"</f>
        <v>1578729862601752</v>
      </c>
      <c r="C1008" t="s">
        <v>40</v>
      </c>
      <c r="D1008">
        <v>5.7003380000000003</v>
      </c>
      <c r="E1008">
        <v>0.56996969999999902</v>
      </c>
      <c r="F1008" t="s">
        <v>47</v>
      </c>
      <c r="G1008">
        <v>-205.3047</v>
      </c>
      <c r="H1008" s="1">
        <v>-3.8106640000000001E-6</v>
      </c>
      <c r="I1008">
        <v>366.39699999999999</v>
      </c>
      <c r="J1008">
        <v>-219.90469999999999</v>
      </c>
      <c r="K1008">
        <v>1.1105700000000001</v>
      </c>
      <c r="L1008">
        <v>368.42070000000001</v>
      </c>
      <c r="M1008">
        <v>0.99947989999999998</v>
      </c>
      <c r="N1008">
        <v>0</v>
      </c>
      <c r="O1008">
        <v>2.902192E-2</v>
      </c>
      <c r="P1008">
        <v>0.99972209999999995</v>
      </c>
      <c r="Q1008">
        <v>-8.1323160000000005E-3</v>
      </c>
      <c r="R1008">
        <v>2.214056E-2</v>
      </c>
      <c r="S1008">
        <v>3.0105590000000002</v>
      </c>
      <c r="T1008">
        <v>-0.2265827</v>
      </c>
      <c r="U1008">
        <v>-0.41192630000000002</v>
      </c>
      <c r="V1008">
        <v>6.8853969999999997E-3</v>
      </c>
      <c r="W1008">
        <v>5.934506E-3</v>
      </c>
      <c r="X1008">
        <v>0.99995869999999998</v>
      </c>
      <c r="Y1008">
        <v>0.16372809999999999</v>
      </c>
      <c r="Z1008">
        <v>-8.2963669999999903E-3</v>
      </c>
      <c r="AA1008">
        <v>0.98647059999999998</v>
      </c>
      <c r="AB1008">
        <v>27</v>
      </c>
      <c r="AC1008">
        <v>14.5999999999999</v>
      </c>
      <c r="AD1008">
        <v>-1.110573810664</v>
      </c>
      <c r="AE1008">
        <v>-2.0237000000000198</v>
      </c>
      <c r="AF1008">
        <v>2.4327981444696398</v>
      </c>
      <c r="AG1008">
        <v>-1.110573810664</v>
      </c>
      <c r="AH1008">
        <v>14.453060384518899</v>
      </c>
      <c r="AI1008">
        <v>94.333254732901594</v>
      </c>
      <c r="AJ1008">
        <v>80.4453062708955</v>
      </c>
      <c r="AK1008">
        <v>14.698395677053201</v>
      </c>
      <c r="AL1008">
        <v>89.659975861725499</v>
      </c>
      <c r="AM1008">
        <v>89.605485752836302</v>
      </c>
      <c r="AN1008">
        <v>1.0000000143795</v>
      </c>
    </row>
    <row r="1009" spans="1:40" x14ac:dyDescent="0.3">
      <c r="A1009" t="str">
        <f>"20200111160422618"</f>
        <v>20200111160422618</v>
      </c>
      <c r="B1009" t="str">
        <f>"1578729862611512"</f>
        <v>1578729862611512</v>
      </c>
      <c r="C1009" t="s">
        <v>40</v>
      </c>
      <c r="D1009">
        <v>5.6873610000000001</v>
      </c>
      <c r="E1009">
        <v>0.57115360000000004</v>
      </c>
      <c r="F1009" t="s">
        <v>47</v>
      </c>
      <c r="G1009">
        <v>-206.84549999999999</v>
      </c>
      <c r="H1009" s="1">
        <v>-4.5422380000000001E-6</v>
      </c>
      <c r="I1009">
        <v>366.33449999999999</v>
      </c>
      <c r="J1009">
        <v>-219.7338</v>
      </c>
      <c r="K1009">
        <v>1.1104670000000001</v>
      </c>
      <c r="L1009">
        <v>368.4255</v>
      </c>
      <c r="M1009">
        <v>0.9994847</v>
      </c>
      <c r="N1009">
        <v>0</v>
      </c>
      <c r="O1009">
        <v>2.8857319999999999E-2</v>
      </c>
      <c r="P1009">
        <v>0.99976129999999996</v>
      </c>
      <c r="Q1009">
        <v>-9.035721E-3</v>
      </c>
      <c r="R1009">
        <v>1.9891789999999999E-2</v>
      </c>
      <c r="S1009">
        <v>3.0094150000000002</v>
      </c>
      <c r="T1009">
        <v>-0.25592429999999999</v>
      </c>
      <c r="U1009">
        <v>-0.48074339999999999</v>
      </c>
      <c r="V1009">
        <v>8.9709809999999994E-3</v>
      </c>
      <c r="W1009">
        <v>5.0266209999999898E-3</v>
      </c>
      <c r="X1009">
        <v>0.99994709999999998</v>
      </c>
      <c r="Y1009">
        <v>0.18542449999999999</v>
      </c>
      <c r="Z1009">
        <v>-1.025651E-2</v>
      </c>
      <c r="AA1009">
        <v>0.98260499999999995</v>
      </c>
      <c r="AB1009">
        <v>27</v>
      </c>
      <c r="AC1009">
        <v>12.888299999999999</v>
      </c>
      <c r="AD1009">
        <v>-1.110471542238</v>
      </c>
      <c r="AE1009">
        <v>-2.0910000000000002</v>
      </c>
      <c r="AF1009">
        <v>2.4444062906680801</v>
      </c>
      <c r="AG1009">
        <v>-1.110471542238</v>
      </c>
      <c r="AH1009">
        <v>12.7305005911847</v>
      </c>
      <c r="AI1009">
        <v>94.896251994994302</v>
      </c>
      <c r="AJ1009">
        <v>79.130822793883098</v>
      </c>
      <c r="AK1009">
        <v>13.010530906236401</v>
      </c>
      <c r="AL1009">
        <v>89.711994611187805</v>
      </c>
      <c r="AM1009">
        <v>89.485987248758605</v>
      </c>
      <c r="AN1009">
        <v>0.99999997410859398</v>
      </c>
    </row>
    <row r="1010" spans="1:40" x14ac:dyDescent="0.3">
      <c r="A1010" t="str">
        <f>"20200111160422631"</f>
        <v>20200111160422631</v>
      </c>
      <c r="B1010" t="str">
        <f>"1578729862621272"</f>
        <v>1578729862621272</v>
      </c>
      <c r="C1010" t="s">
        <v>40</v>
      </c>
      <c r="D1010">
        <v>5.8368019999999996</v>
      </c>
      <c r="E1010">
        <v>0.57286919999999897</v>
      </c>
      <c r="F1010" t="s">
        <v>47</v>
      </c>
      <c r="G1010">
        <v>-207.21729999999999</v>
      </c>
      <c r="H1010" s="1">
        <v>-4.709647E-6</v>
      </c>
      <c r="I1010">
        <v>366.36059999999998</v>
      </c>
      <c r="J1010">
        <v>-219.57230000000001</v>
      </c>
      <c r="K1010">
        <v>1.1103499999999999</v>
      </c>
      <c r="L1010">
        <v>368.43</v>
      </c>
      <c r="M1010">
        <v>0.99949180000000004</v>
      </c>
      <c r="N1010">
        <v>0</v>
      </c>
      <c r="O1010">
        <v>2.86112E-2</v>
      </c>
      <c r="P1010">
        <v>0.99979359999999995</v>
      </c>
      <c r="Q1010">
        <v>-9.7316629999999998E-3</v>
      </c>
      <c r="R1010">
        <v>1.7838429999999999E-2</v>
      </c>
      <c r="S1010">
        <v>3.0082089999999999</v>
      </c>
      <c r="T1010">
        <v>-0.26689049999999997</v>
      </c>
      <c r="U1010">
        <v>-0.49627690000000002</v>
      </c>
      <c r="V1010">
        <v>1.077932E-2</v>
      </c>
      <c r="W1010">
        <v>4.3256780000000003E-3</v>
      </c>
      <c r="X1010">
        <v>0.9999325</v>
      </c>
      <c r="Y1010">
        <v>0.1901024</v>
      </c>
      <c r="Z1010">
        <v>-1.0878290000000001E-2</v>
      </c>
      <c r="AA1010">
        <v>0.98170400000000002</v>
      </c>
      <c r="AB1010">
        <v>27</v>
      </c>
      <c r="AC1010">
        <v>12.355</v>
      </c>
      <c r="AD1010">
        <v>-1.1103547096469999</v>
      </c>
      <c r="AE1010">
        <v>-2.0694000000000301</v>
      </c>
      <c r="AF1010">
        <v>2.40319853662159</v>
      </c>
      <c r="AG1010">
        <v>-1.1103547096469999</v>
      </c>
      <c r="AH1010">
        <v>12.1949194183579</v>
      </c>
      <c r="AI1010">
        <v>95.104825418618205</v>
      </c>
      <c r="AJ1010">
        <v>78.851823223440704</v>
      </c>
      <c r="AK1010">
        <v>12.47895470013</v>
      </c>
      <c r="AL1010">
        <v>89.752156122962404</v>
      </c>
      <c r="AM1010">
        <v>89.382372690484701</v>
      </c>
      <c r="AN1010">
        <v>0.99999995489303495</v>
      </c>
    </row>
    <row r="1011" spans="1:40" x14ac:dyDescent="0.3">
      <c r="A1011" t="str">
        <f>"20200111160422646"</f>
        <v>20200111160422646</v>
      </c>
      <c r="B1011" t="str">
        <f>"1578729862641768"</f>
        <v>1578729862641768</v>
      </c>
      <c r="C1011" t="s">
        <v>40</v>
      </c>
      <c r="D1011">
        <v>5.7095599999999997</v>
      </c>
      <c r="E1011">
        <v>0.57359669999999996</v>
      </c>
      <c r="F1011" t="s">
        <v>47</v>
      </c>
      <c r="G1011">
        <v>-205.78960000000001</v>
      </c>
      <c r="H1011" s="1">
        <v>-4.1118299999999997E-6</v>
      </c>
      <c r="I1011">
        <v>366.0575</v>
      </c>
      <c r="J1011">
        <v>-219.39660000000001</v>
      </c>
      <c r="K1011">
        <v>1.1102069999999999</v>
      </c>
      <c r="L1011">
        <v>368.43470000000002</v>
      </c>
      <c r="M1011">
        <v>0.99950240000000001</v>
      </c>
      <c r="N1011">
        <v>0</v>
      </c>
      <c r="O1011">
        <v>2.8240910000000001E-2</v>
      </c>
      <c r="P1011">
        <v>0.99982510000000002</v>
      </c>
      <c r="Q1011">
        <v>-1.0547020000000001E-2</v>
      </c>
      <c r="R1011">
        <v>1.5449549999999999E-2</v>
      </c>
      <c r="S1011">
        <v>3.0074920000000001</v>
      </c>
      <c r="T1011">
        <v>-0.24228830000000001</v>
      </c>
      <c r="U1011">
        <v>-0.51770020000000005</v>
      </c>
      <c r="V1011">
        <v>1.279836E-2</v>
      </c>
      <c r="W1011">
        <v>3.503141E-3</v>
      </c>
      <c r="X1011">
        <v>0.99991200000000002</v>
      </c>
      <c r="Y1011">
        <v>0.19669980000000001</v>
      </c>
      <c r="Z1011">
        <v>-1.010924E-2</v>
      </c>
      <c r="AA1011">
        <v>0.98041160000000005</v>
      </c>
      <c r="AB1011">
        <v>27</v>
      </c>
      <c r="AC1011">
        <v>13.606999999999999</v>
      </c>
      <c r="AD1011">
        <v>-1.11021111183</v>
      </c>
      <c r="AE1011">
        <v>-2.37720000000001</v>
      </c>
      <c r="AF1011">
        <v>2.7428450064060401</v>
      </c>
      <c r="AG1011">
        <v>-1.11021111183</v>
      </c>
      <c r="AH1011">
        <v>13.447560209667699</v>
      </c>
      <c r="AI1011">
        <v>94.624759528130198</v>
      </c>
      <c r="AJ1011">
        <v>78.4717400915073</v>
      </c>
      <c r="AK1011">
        <v>13.7692644333179</v>
      </c>
      <c r="AL1011">
        <v>89.799284402932898</v>
      </c>
      <c r="AM1011">
        <v>89.266683495829895</v>
      </c>
      <c r="AN1011">
        <v>1.0000000388797701</v>
      </c>
    </row>
    <row r="1012" spans="1:40" x14ac:dyDescent="0.3">
      <c r="A1012" t="str">
        <f>"20200111160422659"</f>
        <v>20200111160422659</v>
      </c>
      <c r="B1012" t="str">
        <f>"1578729862651528"</f>
        <v>1578729862651528</v>
      </c>
      <c r="C1012" t="s">
        <v>40</v>
      </c>
      <c r="D1012">
        <v>5.7318480000000003</v>
      </c>
      <c r="E1012">
        <v>0.57362939999999996</v>
      </c>
      <c r="F1012" t="s">
        <v>47</v>
      </c>
      <c r="G1012">
        <v>-205.0027</v>
      </c>
      <c r="H1012" s="1">
        <v>-3.7821289999999999E-6</v>
      </c>
      <c r="I1012">
        <v>365.8913</v>
      </c>
      <c r="J1012">
        <v>-219.22540000000001</v>
      </c>
      <c r="K1012">
        <v>1.1100380000000001</v>
      </c>
      <c r="L1012">
        <v>368.4391</v>
      </c>
      <c r="M1012">
        <v>0.99951749999999995</v>
      </c>
      <c r="N1012">
        <v>0</v>
      </c>
      <c r="O1012">
        <v>2.76981E-2</v>
      </c>
      <c r="P1012">
        <v>0.99984139999999999</v>
      </c>
      <c r="Q1012">
        <v>-1.15537E-2</v>
      </c>
      <c r="R1012">
        <v>1.355516E-2</v>
      </c>
      <c r="S1012">
        <v>3.0062869999999999</v>
      </c>
      <c r="T1012">
        <v>-0.23187730000000001</v>
      </c>
      <c r="U1012">
        <v>-0.53121949999999996</v>
      </c>
      <c r="V1012">
        <v>1.414965E-2</v>
      </c>
      <c r="W1012">
        <v>2.4889130000000001E-3</v>
      </c>
      <c r="X1012">
        <v>0.99989680000000003</v>
      </c>
      <c r="Y1012">
        <v>0.2005604</v>
      </c>
      <c r="Z1012">
        <v>-9.7822900000000008E-3</v>
      </c>
      <c r="AA1012">
        <v>0.97963250000000002</v>
      </c>
      <c r="AB1012">
        <v>27</v>
      </c>
      <c r="AC1012">
        <v>14.2227</v>
      </c>
      <c r="AD1012">
        <v>-1.1100417821289901</v>
      </c>
      <c r="AE1012">
        <v>-2.5477999999999899</v>
      </c>
      <c r="AF1012">
        <v>2.9235482956184802</v>
      </c>
      <c r="AG1012">
        <v>-1.1100417821289901</v>
      </c>
      <c r="AH1012">
        <v>14.0636626327498</v>
      </c>
      <c r="AI1012">
        <v>94.418903810926693</v>
      </c>
      <c r="AJ1012">
        <v>78.256629965439004</v>
      </c>
      <c r="AK1012">
        <v>14.407148713145499</v>
      </c>
      <c r="AL1012">
        <v>89.857395643571607</v>
      </c>
      <c r="AM1012">
        <v>89.189255214351704</v>
      </c>
      <c r="AN1012">
        <v>1.0000000089666401</v>
      </c>
    </row>
    <row r="1013" spans="1:40" x14ac:dyDescent="0.3">
      <c r="A1013" t="str">
        <f>"20200111160422673"</f>
        <v>20200111160422673</v>
      </c>
      <c r="B1013" t="str">
        <f>"1578729862661288"</f>
        <v>1578729862661288</v>
      </c>
      <c r="C1013" t="s">
        <v>40</v>
      </c>
      <c r="D1013">
        <v>5.7339079999999996</v>
      </c>
      <c r="E1013">
        <v>0.57364839999999995</v>
      </c>
      <c r="F1013" t="s">
        <v>47</v>
      </c>
      <c r="G1013">
        <v>-203.97749999999999</v>
      </c>
      <c r="H1013" s="1">
        <v>-3.3066490000000001E-6</v>
      </c>
      <c r="I1013">
        <v>365.70929999999998</v>
      </c>
      <c r="J1013">
        <v>-219.06819999999999</v>
      </c>
      <c r="K1013">
        <v>1.109866</v>
      </c>
      <c r="L1013">
        <v>368.44290000000001</v>
      </c>
      <c r="M1013">
        <v>0.9995347</v>
      </c>
      <c r="N1013">
        <v>0</v>
      </c>
      <c r="O1013">
        <v>2.706658E-2</v>
      </c>
      <c r="P1013">
        <v>0.99983390000000005</v>
      </c>
      <c r="Q1013">
        <v>-1.402931E-2</v>
      </c>
      <c r="R1013">
        <v>1.1642980000000001E-2</v>
      </c>
      <c r="S1013">
        <v>3.0052639999999999</v>
      </c>
      <c r="T1013">
        <v>-0.21878139999999999</v>
      </c>
      <c r="U1013">
        <v>-0.53802490000000003</v>
      </c>
      <c r="V1013">
        <v>1.5425990000000001E-2</v>
      </c>
      <c r="W1013" s="1">
        <v>5.8349690000000002E-6</v>
      </c>
      <c r="X1013">
        <v>0.99988100000000002</v>
      </c>
      <c r="Y1013">
        <v>0.20221810000000001</v>
      </c>
      <c r="Z1013">
        <v>-9.2467490000000003E-3</v>
      </c>
      <c r="AA1013">
        <v>0.97929690000000003</v>
      </c>
      <c r="AB1013">
        <v>27</v>
      </c>
      <c r="AC1013">
        <v>15.090699999999901</v>
      </c>
      <c r="AD1013">
        <v>-1.109869306649</v>
      </c>
      <c r="AE1013">
        <v>-2.73360000000002</v>
      </c>
      <c r="AF1013">
        <v>3.1247273698061599</v>
      </c>
      <c r="AG1013">
        <v>-1.109869306649</v>
      </c>
      <c r="AH1013">
        <v>14.9329660204305</v>
      </c>
      <c r="AI1013">
        <v>94.160814452126303</v>
      </c>
      <c r="AJ1013">
        <v>78.181368351008302</v>
      </c>
      <c r="AK1013">
        <v>15.2967056970051</v>
      </c>
      <c r="AL1013">
        <v>89.999665680898502</v>
      </c>
      <c r="AM1013">
        <v>89.116120810100796</v>
      </c>
      <c r="AN1013">
        <v>0.99999998768126297</v>
      </c>
    </row>
    <row r="1014" spans="1:40" x14ac:dyDescent="0.3">
      <c r="A1014" t="str">
        <f>"20200111160422688"</f>
        <v>20200111160422688</v>
      </c>
      <c r="B1014" t="str">
        <f>"1578729862681784"</f>
        <v>1578729862681784</v>
      </c>
      <c r="C1014" t="s">
        <v>40</v>
      </c>
      <c r="D1014">
        <v>5.6881180000000002</v>
      </c>
      <c r="E1014">
        <v>0.57283169999999894</v>
      </c>
      <c r="F1014" t="s">
        <v>47</v>
      </c>
      <c r="G1014">
        <v>-203.57140000000001</v>
      </c>
      <c r="H1014" s="1">
        <v>-3.1185899999999998E-6</v>
      </c>
      <c r="I1014">
        <v>365.63569999999999</v>
      </c>
      <c r="J1014">
        <v>-218.88200000000001</v>
      </c>
      <c r="K1014">
        <v>1.1096649999999999</v>
      </c>
      <c r="L1014">
        <v>368.44709999999998</v>
      </c>
      <c r="M1014">
        <v>0.99955839999999996</v>
      </c>
      <c r="N1014">
        <v>0</v>
      </c>
      <c r="O1014">
        <v>2.617738E-2</v>
      </c>
      <c r="P1014">
        <v>0.99982629999999995</v>
      </c>
      <c r="Q1014">
        <v>-1.5376300000000001E-2</v>
      </c>
      <c r="R1014">
        <v>1.0532659999999999E-2</v>
      </c>
      <c r="S1014">
        <v>3.0037989999999999</v>
      </c>
      <c r="T1014">
        <v>-0.2151294</v>
      </c>
      <c r="U1014">
        <v>-0.54412839999999996</v>
      </c>
      <c r="V1014">
        <v>1.5643460000000001E-2</v>
      </c>
      <c r="W1014">
        <v>-1.347722E-3</v>
      </c>
      <c r="X1014">
        <v>0.99987669999999995</v>
      </c>
      <c r="Y1014">
        <v>0.20337549999999999</v>
      </c>
      <c r="Z1014">
        <v>-9.073444E-3</v>
      </c>
      <c r="AA1014">
        <v>0.97905880000000001</v>
      </c>
      <c r="AB1014">
        <v>27</v>
      </c>
      <c r="AC1014">
        <v>15.3105999999999</v>
      </c>
      <c r="AD1014">
        <v>-1.1096681185899999</v>
      </c>
      <c r="AE1014">
        <v>-2.8113999999999901</v>
      </c>
      <c r="AF1014">
        <v>3.1950315641813098</v>
      </c>
      <c r="AG1014">
        <v>-1.1096681185899999</v>
      </c>
      <c r="AH1014">
        <v>15.1547396687793</v>
      </c>
      <c r="AI1014">
        <v>94.098098024819606</v>
      </c>
      <c r="AJ1014">
        <v>78.094834368377903</v>
      </c>
      <c r="AK1014">
        <v>15.527579478399099</v>
      </c>
      <c r="AL1014">
        <v>90.077218807886695</v>
      </c>
      <c r="AM1014">
        <v>89.103658367268395</v>
      </c>
      <c r="AN1014">
        <v>0.99999997469912505</v>
      </c>
    </row>
    <row r="1015" spans="1:40" x14ac:dyDescent="0.3">
      <c r="A1015" t="str">
        <f>"20200111160422701"</f>
        <v>20200111160422701</v>
      </c>
      <c r="B1015" t="str">
        <f>"1578729862691544"</f>
        <v>1578729862691544</v>
      </c>
      <c r="C1015" t="s">
        <v>40</v>
      </c>
      <c r="D1015">
        <v>5.9610200000000004</v>
      </c>
      <c r="E1015">
        <v>0.57207699999999995</v>
      </c>
      <c r="F1015" t="s">
        <v>47</v>
      </c>
      <c r="G1015">
        <v>-205.27449999999999</v>
      </c>
      <c r="H1015" s="1">
        <v>-3.8842949999999999E-6</v>
      </c>
      <c r="I1015">
        <v>366.00139999999999</v>
      </c>
      <c r="J1015">
        <v>-218.70330000000001</v>
      </c>
      <c r="K1015">
        <v>1.109464</v>
      </c>
      <c r="L1015">
        <v>368.45080000000002</v>
      </c>
      <c r="M1015">
        <v>0.9995849</v>
      </c>
      <c r="N1015">
        <v>0</v>
      </c>
      <c r="O1015">
        <v>2.5141320000000002E-2</v>
      </c>
      <c r="P1015">
        <v>0.99981439999999999</v>
      </c>
      <c r="Q1015">
        <v>-1.6324959999999999E-2</v>
      </c>
      <c r="R1015">
        <v>1.023013E-2</v>
      </c>
      <c r="S1015">
        <v>3.0024410000000001</v>
      </c>
      <c r="T1015">
        <v>-0.24484339999999999</v>
      </c>
      <c r="U1015">
        <v>-0.53964230000000002</v>
      </c>
      <c r="V1015">
        <v>1.4906269999999999E-2</v>
      </c>
      <c r="W1015">
        <v>-2.299541E-3</v>
      </c>
      <c r="X1015">
        <v>0.99988630000000001</v>
      </c>
      <c r="Y1015">
        <v>0.2008636</v>
      </c>
      <c r="Z1015">
        <v>-1.0143599999999999E-2</v>
      </c>
      <c r="AA1015">
        <v>0.97956670000000001</v>
      </c>
      <c r="AB1015">
        <v>27</v>
      </c>
      <c r="AC1015">
        <v>13.428800000000001</v>
      </c>
      <c r="AD1015">
        <v>-1.1094678842950001</v>
      </c>
      <c r="AE1015">
        <v>-2.4494000000000198</v>
      </c>
      <c r="AF1015">
        <v>2.7679913123800501</v>
      </c>
      <c r="AG1015">
        <v>-1.1094678842950001</v>
      </c>
      <c r="AH1015">
        <v>13.2752701415262</v>
      </c>
      <c r="AI1015">
        <v>94.677208287560504</v>
      </c>
      <c r="AJ1015">
        <v>78.2221560755372</v>
      </c>
      <c r="AK1015">
        <v>13.6060829125135</v>
      </c>
      <c r="AL1015">
        <v>90.131754103797903</v>
      </c>
      <c r="AM1015">
        <v>89.145899792436794</v>
      </c>
      <c r="AN1015">
        <v>1.0000000488509</v>
      </c>
    </row>
    <row r="1016" spans="1:40" x14ac:dyDescent="0.3">
      <c r="A1016" t="str">
        <f>"20200111160422715"</f>
        <v>20200111160422715</v>
      </c>
      <c r="B1016" t="str">
        <f>"1578729862712040"</f>
        <v>1578729862712040</v>
      </c>
      <c r="C1016" t="s">
        <v>40</v>
      </c>
      <c r="D1016">
        <v>5.5568519999999904</v>
      </c>
      <c r="E1016">
        <v>0.57294979999999995</v>
      </c>
      <c r="F1016" t="s">
        <v>47</v>
      </c>
      <c r="G1016">
        <v>-205.74119999999999</v>
      </c>
      <c r="H1016" s="1">
        <v>-4.0697150000000004E-6</v>
      </c>
      <c r="I1016">
        <v>366.14569999999998</v>
      </c>
      <c r="J1016">
        <v>-218.53649999999999</v>
      </c>
      <c r="K1016">
        <v>1.109289</v>
      </c>
      <c r="L1016">
        <v>368.45389999999998</v>
      </c>
      <c r="M1016">
        <v>0.99961330000000004</v>
      </c>
      <c r="N1016">
        <v>0</v>
      </c>
      <c r="O1016">
        <v>2.398366E-2</v>
      </c>
      <c r="P1016">
        <v>0.99978440000000002</v>
      </c>
      <c r="Q1016">
        <v>-1.7514749999999999E-2</v>
      </c>
      <c r="R1016">
        <v>1.11649E-2</v>
      </c>
      <c r="S1016">
        <v>3.0018310000000001</v>
      </c>
      <c r="T1016">
        <v>-0.25693700000000003</v>
      </c>
      <c r="U1016">
        <v>-0.53384399999999999</v>
      </c>
      <c r="V1016">
        <v>1.280853E-2</v>
      </c>
      <c r="W1016">
        <v>-3.485882E-3</v>
      </c>
      <c r="X1016">
        <v>0.99991189999999996</v>
      </c>
      <c r="Y1016">
        <v>0.19787009999999999</v>
      </c>
      <c r="Z1016">
        <v>-1.0421649999999999E-2</v>
      </c>
      <c r="AA1016">
        <v>0.98017290000000001</v>
      </c>
      <c r="AB1016">
        <v>27</v>
      </c>
      <c r="AC1016">
        <v>12.7952999999999</v>
      </c>
      <c r="AD1016">
        <v>-1.1092930697149901</v>
      </c>
      <c r="AE1016">
        <v>-2.3081999999999998</v>
      </c>
      <c r="AF1016">
        <v>2.5955508880943099</v>
      </c>
      <c r="AG1016">
        <v>-1.1092930697149901</v>
      </c>
      <c r="AH1016">
        <v>12.6442143327761</v>
      </c>
      <c r="AI1016">
        <v>94.911890469057994</v>
      </c>
      <c r="AJ1016">
        <v>78.399711136755002</v>
      </c>
      <c r="AK1016">
        <v>12.9554456357312</v>
      </c>
      <c r="AL1016">
        <v>90.199726729219194</v>
      </c>
      <c r="AM1016">
        <v>89.266100768612205</v>
      </c>
      <c r="AN1016">
        <v>1.00000000878784</v>
      </c>
    </row>
    <row r="1017" spans="1:40" x14ac:dyDescent="0.3">
      <c r="A1017" t="str">
        <f>"20200111160422729"</f>
        <v>20200111160422729</v>
      </c>
      <c r="B1017" t="str">
        <f>"1578729862721801"</f>
        <v>1578729862721801</v>
      </c>
      <c r="C1017" t="s">
        <v>40</v>
      </c>
      <c r="D1017">
        <v>5.524826</v>
      </c>
      <c r="E1017">
        <v>0.57341609999999998</v>
      </c>
      <c r="F1017" t="s">
        <v>47</v>
      </c>
      <c r="G1017">
        <v>-206.2645</v>
      </c>
      <c r="H1017" s="1">
        <v>-4.2885429999999998E-6</v>
      </c>
      <c r="I1017">
        <v>366.25810000000001</v>
      </c>
      <c r="J1017">
        <v>-218.36789999999999</v>
      </c>
      <c r="K1017">
        <v>1.109121</v>
      </c>
      <c r="L1017">
        <v>368.45659999999998</v>
      </c>
      <c r="M1017">
        <v>0.99964330000000001</v>
      </c>
      <c r="N1017">
        <v>0</v>
      </c>
      <c r="O1017">
        <v>2.2703750000000002E-2</v>
      </c>
      <c r="P1017">
        <v>0.99977649999999996</v>
      </c>
      <c r="Q1017">
        <v>-1.7635129999999999E-2</v>
      </c>
      <c r="R1017">
        <v>1.1663939999999999E-2</v>
      </c>
      <c r="S1017">
        <v>3.0019070000000001</v>
      </c>
      <c r="T1017">
        <v>-0.2713489</v>
      </c>
      <c r="U1017">
        <v>-0.53710939999999996</v>
      </c>
      <c r="V1017">
        <v>1.1027540000000001E-2</v>
      </c>
      <c r="W1017">
        <v>-3.601833E-3</v>
      </c>
      <c r="X1017">
        <v>0.99993270000000001</v>
      </c>
      <c r="Y1017">
        <v>0.19756029999999999</v>
      </c>
      <c r="Z1017">
        <v>-1.0874129999999999E-2</v>
      </c>
      <c r="AA1017">
        <v>0.9802305</v>
      </c>
      <c r="AB1017">
        <v>27</v>
      </c>
      <c r="AC1017">
        <v>12.103399999999899</v>
      </c>
      <c r="AD1017">
        <v>-1.1091252885430001</v>
      </c>
      <c r="AE1017">
        <v>-2.1984999999999602</v>
      </c>
      <c r="AF1017">
        <v>2.4528135004677698</v>
      </c>
      <c r="AG1017">
        <v>-1.1091252885430001</v>
      </c>
      <c r="AH1017">
        <v>11.953190398424701</v>
      </c>
      <c r="AI1017">
        <v>95.193633843293895</v>
      </c>
      <c r="AJ1017">
        <v>78.403790586272194</v>
      </c>
      <c r="AK1017">
        <v>12.2525594744427</v>
      </c>
      <c r="AL1017">
        <v>90.206370277239301</v>
      </c>
      <c r="AM1017">
        <v>89.368151589403794</v>
      </c>
      <c r="AN1017">
        <v>0.99999999218434998</v>
      </c>
    </row>
    <row r="1018" spans="1:40" x14ac:dyDescent="0.3">
      <c r="A1018" t="str">
        <f>"20200111160422744"</f>
        <v>20200111160422744</v>
      </c>
      <c r="B1018" t="str">
        <f>"1578729862741321"</f>
        <v>1578729862741321</v>
      </c>
      <c r="C1018" t="s">
        <v>40</v>
      </c>
      <c r="D1018">
        <v>5.5014900000000004</v>
      </c>
      <c r="E1018">
        <v>0.57416519999999904</v>
      </c>
      <c r="F1018" t="s">
        <v>47</v>
      </c>
      <c r="G1018">
        <v>-206.30340000000001</v>
      </c>
      <c r="H1018" s="1">
        <v>-4.2994209999999998E-6</v>
      </c>
      <c r="I1018">
        <v>366.29079999999999</v>
      </c>
      <c r="J1018">
        <v>-218.19589999999999</v>
      </c>
      <c r="K1018">
        <v>1.1089560000000001</v>
      </c>
      <c r="L1018">
        <v>368.45920000000001</v>
      </c>
      <c r="M1018">
        <v>0.99967439999999996</v>
      </c>
      <c r="N1018">
        <v>0</v>
      </c>
      <c r="O1018">
        <v>2.1281959999999999E-2</v>
      </c>
      <c r="P1018">
        <v>0.99977000000000005</v>
      </c>
      <c r="Q1018">
        <v>-1.7760640000000001E-2</v>
      </c>
      <c r="R1018">
        <v>1.202025E-2</v>
      </c>
      <c r="S1018">
        <v>3.0021059999999999</v>
      </c>
      <c r="T1018">
        <v>-0.27599279999999998</v>
      </c>
      <c r="U1018">
        <v>-0.53894039999999999</v>
      </c>
      <c r="V1018">
        <v>9.2473099999999999E-3</v>
      </c>
      <c r="W1018">
        <v>-3.7213329999999998E-3</v>
      </c>
      <c r="X1018">
        <v>0.99995029999999996</v>
      </c>
      <c r="Y1018">
        <v>0.19671379999999999</v>
      </c>
      <c r="Z1018">
        <v>-1.089013E-2</v>
      </c>
      <c r="AA1018">
        <v>0.98040039999999995</v>
      </c>
      <c r="AB1018">
        <v>27</v>
      </c>
      <c r="AC1018">
        <v>11.892499999999901</v>
      </c>
      <c r="AD1018">
        <v>-1.1089602994209999</v>
      </c>
      <c r="AE1018">
        <v>-2.1684000000000201</v>
      </c>
      <c r="AF1018">
        <v>2.4008253305575802</v>
      </c>
      <c r="AG1018">
        <v>-1.1089602994209999</v>
      </c>
      <c r="AH1018">
        <v>11.744814601532701</v>
      </c>
      <c r="AI1018">
        <v>95.285291581249794</v>
      </c>
      <c r="AJ1018">
        <v>78.447001322406607</v>
      </c>
      <c r="AK1018">
        <v>12.0388714270862</v>
      </c>
      <c r="AL1018">
        <v>90.213217171069104</v>
      </c>
      <c r="AM1018">
        <v>89.470156935134597</v>
      </c>
      <c r="AN1018">
        <v>0.99999998176581095</v>
      </c>
    </row>
    <row r="1019" spans="1:40" x14ac:dyDescent="0.3">
      <c r="A1019" t="str">
        <f>"20200111160422758"</f>
        <v>20200111160422758</v>
      </c>
      <c r="B1019" t="str">
        <f>"1578729862752057"</f>
        <v>1578729862752057</v>
      </c>
      <c r="C1019" t="s">
        <v>40</v>
      </c>
      <c r="D1019">
        <v>5.4491440000000004</v>
      </c>
      <c r="E1019">
        <v>0.57466600000000001</v>
      </c>
      <c r="F1019" t="s">
        <v>47</v>
      </c>
      <c r="G1019">
        <v>-206.4659</v>
      </c>
      <c r="H1019" s="1">
        <v>-4.364771E-6</v>
      </c>
      <c r="I1019">
        <v>366.33749999999998</v>
      </c>
      <c r="J1019">
        <v>-218.01060000000001</v>
      </c>
      <c r="K1019">
        <v>1.1088100000000001</v>
      </c>
      <c r="L1019">
        <v>368.46140000000003</v>
      </c>
      <c r="M1019">
        <v>0.99970939999999997</v>
      </c>
      <c r="N1019">
        <v>0</v>
      </c>
      <c r="O1019">
        <v>1.957532E-2</v>
      </c>
      <c r="P1019">
        <v>0.9997762</v>
      </c>
      <c r="Q1019">
        <v>-1.7312149999999998E-2</v>
      </c>
      <c r="R1019">
        <v>1.2174590000000001E-2</v>
      </c>
      <c r="S1019">
        <v>3.0021819999999999</v>
      </c>
      <c r="T1019">
        <v>-0.28382869999999999</v>
      </c>
      <c r="U1019">
        <v>-0.54302980000000001</v>
      </c>
      <c r="V1019">
        <v>7.3867480000000003E-3</v>
      </c>
      <c r="W1019">
        <v>-3.2649100000000002E-3</v>
      </c>
      <c r="X1019">
        <v>0.99996739999999995</v>
      </c>
      <c r="Y1019">
        <v>0.19628780000000001</v>
      </c>
      <c r="Z1019">
        <v>-1.101662E-2</v>
      </c>
      <c r="AA1019">
        <v>0.98048440000000003</v>
      </c>
      <c r="AB1019">
        <v>27</v>
      </c>
      <c r="AC1019">
        <v>11.544700000000001</v>
      </c>
      <c r="AD1019">
        <v>-1.108814364771</v>
      </c>
      <c r="AE1019">
        <v>-2.1239000000000399</v>
      </c>
      <c r="AF1019">
        <v>2.32872795345251</v>
      </c>
      <c r="AG1019">
        <v>-1.108814364771</v>
      </c>
      <c r="AH1019">
        <v>11.3991955944058</v>
      </c>
      <c r="AI1019">
        <v>95.444013176141496</v>
      </c>
      <c r="AJ1019">
        <v>78.453984768369693</v>
      </c>
      <c r="AK1019">
        <v>11.687348004412099</v>
      </c>
      <c r="AL1019">
        <v>90.187065893518906</v>
      </c>
      <c r="AM1019">
        <v>89.576764415747405</v>
      </c>
      <c r="AN1019">
        <v>1.0000000123730399</v>
      </c>
    </row>
    <row r="1020" spans="1:40" x14ac:dyDescent="0.3">
      <c r="A1020" t="str">
        <f>"20200111160422772"</f>
        <v>20200111160422772</v>
      </c>
      <c r="B1020" t="str">
        <f>"1578729862761816"</f>
        <v>1578729862761816</v>
      </c>
      <c r="C1020" t="s">
        <v>40</v>
      </c>
      <c r="D1020">
        <v>5.5058610000000003</v>
      </c>
      <c r="E1020">
        <v>0.57503059999999995</v>
      </c>
      <c r="F1020" t="s">
        <v>47</v>
      </c>
      <c r="G1020">
        <v>-206.34970000000001</v>
      </c>
      <c r="H1020" s="1">
        <v>-4.3103239999999999E-6</v>
      </c>
      <c r="I1020">
        <v>366.33890000000002</v>
      </c>
      <c r="J1020">
        <v>-217.85310000000001</v>
      </c>
      <c r="K1020">
        <v>1.108708</v>
      </c>
      <c r="L1020">
        <v>368.46289999999999</v>
      </c>
      <c r="M1020">
        <v>0.99973780000000001</v>
      </c>
      <c r="N1020">
        <v>0</v>
      </c>
      <c r="O1020">
        <v>1.8056119999999998E-2</v>
      </c>
      <c r="P1020">
        <v>0.99979280000000004</v>
      </c>
      <c r="Q1020">
        <v>-1.5491E-2</v>
      </c>
      <c r="R1020">
        <v>1.3213290000000001E-2</v>
      </c>
      <c r="S1020">
        <v>3.0023960000000001</v>
      </c>
      <c r="T1020">
        <v>-0.28549360000000001</v>
      </c>
      <c r="U1020">
        <v>-0.54647829999999997</v>
      </c>
      <c r="V1020">
        <v>4.836473E-3</v>
      </c>
      <c r="W1020">
        <v>-1.4316729999999901E-3</v>
      </c>
      <c r="X1020">
        <v>0.99998730000000002</v>
      </c>
      <c r="Y1020">
        <v>0.19587389999999999</v>
      </c>
      <c r="Z1020">
        <v>-1.0916520000000001E-2</v>
      </c>
      <c r="AA1020">
        <v>0.98056829999999995</v>
      </c>
      <c r="AB1020">
        <v>27</v>
      </c>
      <c r="AC1020">
        <v>11.503399999999999</v>
      </c>
      <c r="AD1020">
        <v>-1.108712310324</v>
      </c>
      <c r="AE1020">
        <v>-2.1239999999999601</v>
      </c>
      <c r="AF1020">
        <v>2.3106244762592398</v>
      </c>
      <c r="AG1020">
        <v>-1.108712310324</v>
      </c>
      <c r="AH1020">
        <v>11.36111134363</v>
      </c>
      <c r="AI1020">
        <v>95.462617930860404</v>
      </c>
      <c r="AJ1020">
        <v>78.503969859165394</v>
      </c>
      <c r="AK1020">
        <v>11.646590892604999</v>
      </c>
      <c r="AL1020">
        <v>90.082028846870401</v>
      </c>
      <c r="AM1020">
        <v>89.722889150754</v>
      </c>
      <c r="AN1020">
        <v>1.00000002065997</v>
      </c>
    </row>
    <row r="1021" spans="1:40" x14ac:dyDescent="0.3">
      <c r="A1021" t="str">
        <f>"20200111160422787"</f>
        <v>20200111160422787</v>
      </c>
      <c r="B1021" t="str">
        <f>"1578729862781336"</f>
        <v>1578729862781336</v>
      </c>
      <c r="C1021" t="s">
        <v>40</v>
      </c>
      <c r="D1021">
        <v>5.5131230000000002</v>
      </c>
      <c r="E1021">
        <v>0.57560840000000002</v>
      </c>
      <c r="F1021" t="s">
        <v>47</v>
      </c>
      <c r="G1021">
        <v>-206.16849999999999</v>
      </c>
      <c r="H1021" s="1">
        <v>-4.2249129999999997E-6</v>
      </c>
      <c r="I1021">
        <v>366.34339999999997</v>
      </c>
      <c r="J1021">
        <v>-217.6703</v>
      </c>
      <c r="K1021">
        <v>1.1086129999999901</v>
      </c>
      <c r="L1021">
        <v>368.46440000000001</v>
      </c>
      <c r="M1021">
        <v>0.99976920000000002</v>
      </c>
      <c r="N1021">
        <v>0</v>
      </c>
      <c r="O1021">
        <v>1.6229090000000002E-2</v>
      </c>
      <c r="P1021">
        <v>0.99982479999999996</v>
      </c>
      <c r="Q1021">
        <v>-1.47011E-2</v>
      </c>
      <c r="R1021">
        <v>1.159665E-2</v>
      </c>
      <c r="S1021">
        <v>3.0034179999999999</v>
      </c>
      <c r="T1021">
        <v>-0.28498440000000003</v>
      </c>
      <c r="U1021">
        <v>-0.54479979999999995</v>
      </c>
      <c r="V1021">
        <v>4.629757E-3</v>
      </c>
      <c r="W1021">
        <v>-6.4015920000000002E-4</v>
      </c>
      <c r="X1021">
        <v>0.99998909999999996</v>
      </c>
      <c r="Y1021">
        <v>0.19351450000000001</v>
      </c>
      <c r="Z1021">
        <v>-1.0611529999999999E-2</v>
      </c>
      <c r="AA1021">
        <v>0.98104000000000002</v>
      </c>
      <c r="AB1021">
        <v>27</v>
      </c>
      <c r="AC1021">
        <v>11.501799999999999</v>
      </c>
      <c r="AD1021">
        <v>-1.10861722491299</v>
      </c>
      <c r="AE1021">
        <v>-2.1210000000000302</v>
      </c>
      <c r="AF1021">
        <v>2.28685589433073</v>
      </c>
      <c r="AG1021">
        <v>-1.10861722491299</v>
      </c>
      <c r="AH1021">
        <v>11.3637584210709</v>
      </c>
      <c r="AI1021">
        <v>95.463144576222703</v>
      </c>
      <c r="AJ1021">
        <v>78.621705926291298</v>
      </c>
      <c r="AK1021">
        <v>11.6444728298566</v>
      </c>
      <c r="AL1021">
        <v>90.036678422064199</v>
      </c>
      <c r="AM1021">
        <v>89.734733467631898</v>
      </c>
      <c r="AN1021">
        <v>1.00000002228624</v>
      </c>
    </row>
    <row r="1022" spans="1:40" x14ac:dyDescent="0.3">
      <c r="A1022" t="str">
        <f>"20200111160422800"</f>
        <v>20200111160422800</v>
      </c>
      <c r="B1022" t="str">
        <f>"1578729862792072"</f>
        <v>1578729862792072</v>
      </c>
      <c r="C1022" t="s">
        <v>40</v>
      </c>
      <c r="D1022">
        <v>5.4663760000000003</v>
      </c>
      <c r="E1022">
        <v>0.57599069999999997</v>
      </c>
      <c r="F1022" t="s">
        <v>47</v>
      </c>
      <c r="G1022">
        <v>-206.06720000000001</v>
      </c>
      <c r="H1022" s="1">
        <v>-4.1821439999999997E-6</v>
      </c>
      <c r="I1022">
        <v>366.32350000000002</v>
      </c>
      <c r="J1022">
        <v>-217.5009</v>
      </c>
      <c r="K1022">
        <v>1.1085469999999999</v>
      </c>
      <c r="L1022">
        <v>368.46539999999999</v>
      </c>
      <c r="M1022">
        <v>0.99979600000000002</v>
      </c>
      <c r="N1022">
        <v>0</v>
      </c>
      <c r="O1022">
        <v>1.4478390000000001E-2</v>
      </c>
      <c r="P1022">
        <v>0.99985840000000004</v>
      </c>
      <c r="Q1022">
        <v>-1.385697E-2</v>
      </c>
      <c r="R1022">
        <v>9.5264740000000001E-3</v>
      </c>
      <c r="S1022">
        <v>3.0027469999999998</v>
      </c>
      <c r="T1022">
        <v>-0.28689829999999999</v>
      </c>
      <c r="U1022">
        <v>-0.55404659999999994</v>
      </c>
      <c r="V1022">
        <v>4.9534280000000002E-3</v>
      </c>
      <c r="W1022">
        <v>2.0248090000000001E-4</v>
      </c>
      <c r="X1022">
        <v>0.99998770000000003</v>
      </c>
      <c r="Y1022">
        <v>0.1947487</v>
      </c>
      <c r="Z1022">
        <v>-1.057463E-2</v>
      </c>
      <c r="AA1022">
        <v>0.98079620000000001</v>
      </c>
      <c r="AB1022">
        <v>27</v>
      </c>
      <c r="AC1022">
        <v>11.4336999999999</v>
      </c>
      <c r="AD1022">
        <v>-1.1085511821439999</v>
      </c>
      <c r="AE1022">
        <v>-2.1418999999999602</v>
      </c>
      <c r="AF1022">
        <v>2.28646882829283</v>
      </c>
      <c r="AG1022">
        <v>-1.1085511821439999</v>
      </c>
      <c r="AH1022">
        <v>11.298876038705499</v>
      </c>
      <c r="AI1022">
        <v>95.4928121195599</v>
      </c>
      <c r="AJ1022">
        <v>78.559971653378994</v>
      </c>
      <c r="AK1022">
        <v>11.581080483453199</v>
      </c>
      <c r="AL1022">
        <v>89.9883986987887</v>
      </c>
      <c r="AM1022">
        <v>89.716188311851297</v>
      </c>
      <c r="AN1022">
        <v>0.99999998879937702</v>
      </c>
    </row>
    <row r="1023" spans="1:40" x14ac:dyDescent="0.3">
      <c r="A1023" t="str">
        <f>"20200111160422814"</f>
        <v>20200111160422814</v>
      </c>
      <c r="B1023" t="str">
        <f>"1578729862811593"</f>
        <v>1578729862811593</v>
      </c>
      <c r="C1023" t="s">
        <v>40</v>
      </c>
      <c r="D1023">
        <v>5.4122729999999999</v>
      </c>
      <c r="E1023">
        <v>0.57673540000000001</v>
      </c>
      <c r="F1023" t="s">
        <v>47</v>
      </c>
      <c r="G1023">
        <v>-205.84559999999999</v>
      </c>
      <c r="H1023" s="1">
        <v>-4.0883670000000003E-6</v>
      </c>
      <c r="I1023">
        <v>366.2808</v>
      </c>
      <c r="J1023">
        <v>-217.33949999999999</v>
      </c>
      <c r="K1023">
        <v>1.108509</v>
      </c>
      <c r="L1023">
        <v>368.46589999999998</v>
      </c>
      <c r="M1023">
        <v>0.99981920000000002</v>
      </c>
      <c r="N1023">
        <v>0</v>
      </c>
      <c r="O1023">
        <v>1.277914E-2</v>
      </c>
      <c r="P1023">
        <v>0.99988460000000001</v>
      </c>
      <c r="Q1023">
        <v>-1.3601800000000001E-2</v>
      </c>
      <c r="R1023">
        <v>6.7594689999999997E-3</v>
      </c>
      <c r="S1023">
        <v>3.001846</v>
      </c>
      <c r="T1023">
        <v>-0.28550710000000001</v>
      </c>
      <c r="U1023">
        <v>-0.56265259999999995</v>
      </c>
      <c r="V1023">
        <v>6.0223899999999999E-3</v>
      </c>
      <c r="W1023">
        <v>4.5186679999999999E-4</v>
      </c>
      <c r="X1023">
        <v>0.99998180000000003</v>
      </c>
      <c r="Y1023">
        <v>0.1958637</v>
      </c>
      <c r="Z1023">
        <v>-1.0416430000000001E-2</v>
      </c>
      <c r="AA1023">
        <v>0.9805758</v>
      </c>
      <c r="AB1023">
        <v>27</v>
      </c>
      <c r="AC1023">
        <v>11.493899999999901</v>
      </c>
      <c r="AD1023">
        <v>-1.108513088367</v>
      </c>
      <c r="AE1023">
        <v>-2.1850999999999701</v>
      </c>
      <c r="AF1023">
        <v>2.3110719326448201</v>
      </c>
      <c r="AG1023">
        <v>-1.108513088367</v>
      </c>
      <c r="AH1023">
        <v>11.3630297056008</v>
      </c>
      <c r="AI1023">
        <v>95.460720468988995</v>
      </c>
      <c r="AJ1023">
        <v>78.503692413668205</v>
      </c>
      <c r="AK1023">
        <v>11.6485320463698</v>
      </c>
      <c r="AL1023">
        <v>89.974109939530805</v>
      </c>
      <c r="AM1023">
        <v>89.654940362045195</v>
      </c>
      <c r="AN1023">
        <v>1.0000000368480699</v>
      </c>
    </row>
    <row r="1024" spans="1:40" x14ac:dyDescent="0.3">
      <c r="A1024" t="str">
        <f>"20200111160422828"</f>
        <v>20200111160422828</v>
      </c>
      <c r="B1024" t="str">
        <f>"1578729862821352"</f>
        <v>1578729862821352</v>
      </c>
      <c r="C1024" t="s">
        <v>40</v>
      </c>
      <c r="D1024">
        <v>5.4085939999999999</v>
      </c>
      <c r="E1024">
        <v>0.57712629999999998</v>
      </c>
      <c r="F1024" t="s">
        <v>47</v>
      </c>
      <c r="G1024">
        <v>-205.78790000000001</v>
      </c>
      <c r="H1024" s="1">
        <v>-4.0690109999999996E-6</v>
      </c>
      <c r="I1024">
        <v>366.24689999999998</v>
      </c>
      <c r="J1024">
        <v>-217.1671</v>
      </c>
      <c r="K1024">
        <v>1.1084780000000001</v>
      </c>
      <c r="L1024">
        <v>368.46629999999999</v>
      </c>
      <c r="M1024">
        <v>0.99984090000000003</v>
      </c>
      <c r="N1024">
        <v>0</v>
      </c>
      <c r="O1024">
        <v>1.0952109999999999E-2</v>
      </c>
      <c r="P1024">
        <v>0.99989349999999999</v>
      </c>
      <c r="Q1024">
        <v>-1.4545829999999999E-2</v>
      </c>
      <c r="R1024">
        <v>1.243215E-3</v>
      </c>
      <c r="S1024">
        <v>3.0003359999999999</v>
      </c>
      <c r="T1024">
        <v>-0.28791719999999998</v>
      </c>
      <c r="U1024">
        <v>-0.57635499999999995</v>
      </c>
      <c r="V1024">
        <v>9.7063510000000002E-3</v>
      </c>
      <c r="W1024">
        <v>-5.1198400000000005E-4</v>
      </c>
      <c r="X1024">
        <v>0.99995270000000003</v>
      </c>
      <c r="Y1024">
        <v>0.19846459999999999</v>
      </c>
      <c r="Z1024">
        <v>-1.0454679999999999E-2</v>
      </c>
      <c r="AA1024">
        <v>0.98005229999999999</v>
      </c>
      <c r="AB1024">
        <v>27</v>
      </c>
      <c r="AC1024">
        <v>11.3791999999999</v>
      </c>
      <c r="AD1024">
        <v>-1.108482069011</v>
      </c>
      <c r="AE1024">
        <v>-2.2193999999999998</v>
      </c>
      <c r="AF1024">
        <v>2.3226726534347799</v>
      </c>
      <c r="AG1024">
        <v>-1.108482069011</v>
      </c>
      <c r="AH1024">
        <v>11.2513531274054</v>
      </c>
      <c r="AI1024">
        <v>95.511149711780007</v>
      </c>
      <c r="AJ1024">
        <v>78.335994668353806</v>
      </c>
      <c r="AK1024">
        <v>11.5419447213157</v>
      </c>
      <c r="AL1024">
        <v>90.0293345254548</v>
      </c>
      <c r="AM1024">
        <v>89.443858213416505</v>
      </c>
      <c r="AN1024">
        <v>0.99999993880731897</v>
      </c>
    </row>
    <row r="1025" spans="1:40" x14ac:dyDescent="0.3">
      <c r="A1025" t="str">
        <f>"20200111160422840"</f>
        <v>20200111160422840</v>
      </c>
      <c r="B1025" t="str">
        <f>"1578729862832088"</f>
        <v>1578729862832088</v>
      </c>
      <c r="C1025" t="s">
        <v>40</v>
      </c>
      <c r="D1025">
        <v>5.4430209999999999</v>
      </c>
      <c r="E1025">
        <v>0.57738290000000003</v>
      </c>
      <c r="F1025" t="s">
        <v>47</v>
      </c>
      <c r="G1025">
        <v>-205.79069999999999</v>
      </c>
      <c r="H1025" s="1">
        <v>-4.0800300000000003E-6</v>
      </c>
      <c r="I1025">
        <v>366.20319999999998</v>
      </c>
      <c r="J1025">
        <v>-217.01589999999999</v>
      </c>
      <c r="K1025">
        <v>1.1084670000000001</v>
      </c>
      <c r="L1025">
        <v>368.46629999999999</v>
      </c>
      <c r="M1025">
        <v>0.9998572</v>
      </c>
      <c r="N1025">
        <v>0</v>
      </c>
      <c r="O1025">
        <v>9.3418849999999994E-3</v>
      </c>
      <c r="P1025">
        <v>0.99988350000000004</v>
      </c>
      <c r="Q1025">
        <v>-1.5092360000000001E-2</v>
      </c>
      <c r="R1025">
        <v>-2.2952210000000001E-3</v>
      </c>
      <c r="S1025">
        <v>2.996826</v>
      </c>
      <c r="T1025">
        <v>-0.29200159999999997</v>
      </c>
      <c r="U1025">
        <v>-0.59616089999999999</v>
      </c>
      <c r="V1025">
        <v>1.1631539999999999E-2</v>
      </c>
      <c r="W1025">
        <v>-1.0695679999999999E-3</v>
      </c>
      <c r="X1025">
        <v>0.99993180000000004</v>
      </c>
      <c r="Y1025">
        <v>0.20329320000000001</v>
      </c>
      <c r="Z1025">
        <v>-1.0685170000000001E-2</v>
      </c>
      <c r="AA1025">
        <v>0.97905960000000003</v>
      </c>
      <c r="AB1025">
        <v>27</v>
      </c>
      <c r="AC1025">
        <v>11.225199999999999</v>
      </c>
      <c r="AD1025">
        <v>-1.1084710800299999</v>
      </c>
      <c r="AE1025">
        <v>-2.2631000000000001</v>
      </c>
      <c r="AF1025">
        <v>2.3458942194792498</v>
      </c>
      <c r="AG1025">
        <v>-1.1084710800299999</v>
      </c>
      <c r="AH1025">
        <v>11.099559205426701</v>
      </c>
      <c r="AI1025">
        <v>95.580531609507204</v>
      </c>
      <c r="AJ1025">
        <v>78.066146988835101</v>
      </c>
      <c r="AK1025">
        <v>11.398778109035201</v>
      </c>
      <c r="AL1025">
        <v>90.061281742719302</v>
      </c>
      <c r="AM1025">
        <v>89.333546453034202</v>
      </c>
      <c r="AN1025">
        <v>1.0000000206748501</v>
      </c>
    </row>
    <row r="1026" spans="1:40" x14ac:dyDescent="0.3">
      <c r="A1026" t="str">
        <f>"20200111160422853"</f>
        <v>20200111160422853</v>
      </c>
      <c r="B1026" t="str">
        <f>"1578729862841848"</f>
        <v>1578729862841848</v>
      </c>
      <c r="C1026" t="s">
        <v>40</v>
      </c>
      <c r="D1026">
        <v>5.4318910000000002</v>
      </c>
      <c r="E1026">
        <v>0.57769979999999999</v>
      </c>
      <c r="F1026" t="s">
        <v>47</v>
      </c>
      <c r="G1026">
        <v>-205.74340000000001</v>
      </c>
      <c r="H1026" s="1">
        <v>-4.0642570000000001E-6</v>
      </c>
      <c r="I1026">
        <v>366.17489999999998</v>
      </c>
      <c r="J1026">
        <v>-216.86799999999999</v>
      </c>
      <c r="K1026">
        <v>1.108463</v>
      </c>
      <c r="L1026">
        <v>368.46609999999998</v>
      </c>
      <c r="M1026">
        <v>0.9998707</v>
      </c>
      <c r="N1026">
        <v>0</v>
      </c>
      <c r="O1026">
        <v>7.7697089999999996E-3</v>
      </c>
      <c r="P1026">
        <v>0.99986030000000004</v>
      </c>
      <c r="Q1026">
        <v>-1.54571E-2</v>
      </c>
      <c r="R1026">
        <v>-6.3815620000000003E-3</v>
      </c>
      <c r="S1026">
        <v>2.9944920000000002</v>
      </c>
      <c r="T1026">
        <v>-0.29445959999999899</v>
      </c>
      <c r="U1026">
        <v>-0.60870360000000001</v>
      </c>
      <c r="V1026">
        <v>1.4143569999999999E-2</v>
      </c>
      <c r="W1026">
        <v>-1.4485349999999999E-3</v>
      </c>
      <c r="X1026">
        <v>0.99989890000000003</v>
      </c>
      <c r="Y1026">
        <v>0.20581949999999999</v>
      </c>
      <c r="Z1026">
        <v>-1.074844E-2</v>
      </c>
      <c r="AA1026">
        <v>0.97853089999999998</v>
      </c>
      <c r="AB1026">
        <v>27</v>
      </c>
      <c r="AC1026">
        <v>11.1245999999999</v>
      </c>
      <c r="AD1026">
        <v>-1.108467064257</v>
      </c>
      <c r="AE1026">
        <v>-2.2911999999999999</v>
      </c>
      <c r="AF1026">
        <v>2.3551431311056099</v>
      </c>
      <c r="AG1026">
        <v>-1.108467064257</v>
      </c>
      <c r="AH1026">
        <v>11.0016767814154</v>
      </c>
      <c r="AI1026">
        <v>95.626747382697801</v>
      </c>
      <c r="AJ1026">
        <v>77.916989725449298</v>
      </c>
      <c r="AK1026">
        <v>11.3054097848451</v>
      </c>
      <c r="AL1026">
        <v>90.082994973115504</v>
      </c>
      <c r="AM1026">
        <v>89.189605240699706</v>
      </c>
      <c r="AN1026">
        <v>0.99999997452360001</v>
      </c>
    </row>
    <row r="1027" spans="1:40" x14ac:dyDescent="0.3">
      <c r="A1027" t="str">
        <f>"20200111160422868"</f>
        <v>20200111160422868</v>
      </c>
      <c r="B1027" t="str">
        <f>"1578729862861368"</f>
        <v>1578729862861368</v>
      </c>
      <c r="C1027" t="s">
        <v>40</v>
      </c>
      <c r="D1027">
        <v>5.3519819999999996</v>
      </c>
      <c r="E1027">
        <v>0.57832459999999997</v>
      </c>
      <c r="F1027" t="s">
        <v>47</v>
      </c>
      <c r="G1027">
        <v>-205.6559</v>
      </c>
      <c r="H1027" s="1">
        <v>-4.0335910000000002E-6</v>
      </c>
      <c r="I1027">
        <v>366.12939999999998</v>
      </c>
      <c r="J1027">
        <v>-216.68520000000001</v>
      </c>
      <c r="K1027">
        <v>1.108463</v>
      </c>
      <c r="L1027">
        <v>368.46550000000002</v>
      </c>
      <c r="M1027">
        <v>0.99988390000000005</v>
      </c>
      <c r="N1027">
        <v>0</v>
      </c>
      <c r="O1027">
        <v>5.8322010000000004E-3</v>
      </c>
      <c r="P1027">
        <v>0.9998129</v>
      </c>
      <c r="Q1027">
        <v>-1.592033E-2</v>
      </c>
      <c r="R1027">
        <v>-1.10042E-2</v>
      </c>
      <c r="S1027">
        <v>2.9918670000000001</v>
      </c>
      <c r="T1027">
        <v>-0.29578700000000002</v>
      </c>
      <c r="U1027">
        <v>-0.62353519999999996</v>
      </c>
      <c r="V1027">
        <v>1.6825969999999999E-2</v>
      </c>
      <c r="W1027">
        <v>-1.9272040000000001E-3</v>
      </c>
      <c r="X1027">
        <v>0.99985659999999998</v>
      </c>
      <c r="Y1027">
        <v>0.20873</v>
      </c>
      <c r="Z1027">
        <v>-1.0753449999999999E-2</v>
      </c>
      <c r="AA1027">
        <v>0.97791419999999996</v>
      </c>
      <c r="AB1027">
        <v>27</v>
      </c>
      <c r="AC1027">
        <v>11.029299999999999</v>
      </c>
      <c r="AD1027">
        <v>-1.1084670335910001</v>
      </c>
      <c r="AE1027">
        <v>-2.33610000000004</v>
      </c>
      <c r="AF1027">
        <v>2.3774093850140998</v>
      </c>
      <c r="AG1027">
        <v>-1.1084670335910001</v>
      </c>
      <c r="AH1027">
        <v>10.910019595666</v>
      </c>
      <c r="AI1027">
        <v>95.669247249342305</v>
      </c>
      <c r="AJ1027">
        <v>77.706816201231703</v>
      </c>
      <c r="AK1027">
        <v>11.220931428643899</v>
      </c>
      <c r="AL1027">
        <v>90.110420721166193</v>
      </c>
      <c r="AM1027">
        <v>89.0358956699787</v>
      </c>
      <c r="AN1027">
        <v>1.0000000239726199</v>
      </c>
    </row>
    <row r="1028" spans="1:40" x14ac:dyDescent="0.3">
      <c r="A1028" t="str">
        <f>"20200111160422883"</f>
        <v>20200111160422883</v>
      </c>
      <c r="B1028" t="str">
        <f>"1578729862872104"</f>
        <v>1578729862872104</v>
      </c>
      <c r="C1028" t="s">
        <v>40</v>
      </c>
      <c r="D1028">
        <v>5.4165150000000004</v>
      </c>
      <c r="E1028">
        <v>0.5785074</v>
      </c>
      <c r="F1028" t="s">
        <v>47</v>
      </c>
      <c r="G1028">
        <v>-205.55799999999999</v>
      </c>
      <c r="H1028" s="1">
        <v>-4.0005180000000001E-6</v>
      </c>
      <c r="I1028">
        <v>366.07279999999997</v>
      </c>
      <c r="J1028">
        <v>-216.4948</v>
      </c>
      <c r="K1028">
        <v>1.1084700000000001</v>
      </c>
      <c r="L1028">
        <v>368.46449999999999</v>
      </c>
      <c r="M1028">
        <v>0.9998937</v>
      </c>
      <c r="N1028">
        <v>0</v>
      </c>
      <c r="O1028">
        <v>3.8228530000000002E-3</v>
      </c>
      <c r="P1028">
        <v>0.99970599999999998</v>
      </c>
      <c r="Q1028">
        <v>-1.640923E-2</v>
      </c>
      <c r="R1028">
        <v>-1.7853879999999999E-2</v>
      </c>
      <c r="S1028">
        <v>2.9887700000000001</v>
      </c>
      <c r="T1028">
        <v>-0.29773450000000001</v>
      </c>
      <c r="U1028">
        <v>-0.64266969999999901</v>
      </c>
      <c r="V1028">
        <v>2.166363E-2</v>
      </c>
      <c r="W1028">
        <v>-2.4432049999999999E-3</v>
      </c>
      <c r="X1028">
        <v>0.99976240000000005</v>
      </c>
      <c r="Y1028">
        <v>0.2129336</v>
      </c>
      <c r="Z1028">
        <v>-1.0836810000000001E-2</v>
      </c>
      <c r="AA1028">
        <v>0.97700659999999895</v>
      </c>
      <c r="AB1028">
        <v>27</v>
      </c>
      <c r="AC1028">
        <v>10.9368</v>
      </c>
      <c r="AD1028">
        <v>-1.108474000518</v>
      </c>
      <c r="AE1028">
        <v>-2.3917000000000099</v>
      </c>
      <c r="AF1028">
        <v>2.4098711798673702</v>
      </c>
      <c r="AG1028">
        <v>-1.108474000518</v>
      </c>
      <c r="AH1028">
        <v>10.821487208650399</v>
      </c>
      <c r="AI1028">
        <v>95.709656056563205</v>
      </c>
      <c r="AJ1028">
        <v>77.445481898619903</v>
      </c>
      <c r="AK1028">
        <v>11.1418481016554</v>
      </c>
      <c r="AL1028">
        <v>90.139985464554698</v>
      </c>
      <c r="AM1028">
        <v>88.7586647041784</v>
      </c>
      <c r="AN1028">
        <v>1.0000000692846001</v>
      </c>
    </row>
    <row r="1029" spans="1:40" x14ac:dyDescent="0.3">
      <c r="A1029" t="str">
        <f>"20200111160422897"</f>
        <v>20200111160422897</v>
      </c>
      <c r="B1029" t="str">
        <f>"1578729862891625"</f>
        <v>1578729862891625</v>
      </c>
      <c r="C1029" t="s">
        <v>40</v>
      </c>
      <c r="D1029">
        <v>5.4840450000000001</v>
      </c>
      <c r="E1029">
        <v>0.57880010000000004</v>
      </c>
      <c r="F1029" t="s">
        <v>47</v>
      </c>
      <c r="G1029">
        <v>-205.4391</v>
      </c>
      <c r="H1029" s="1">
        <v>-3.9610230000000003E-6</v>
      </c>
      <c r="I1029">
        <v>366.00119999999998</v>
      </c>
      <c r="J1029">
        <v>-216.3245</v>
      </c>
      <c r="K1029">
        <v>1.108473</v>
      </c>
      <c r="L1029">
        <v>368.46319999999997</v>
      </c>
      <c r="M1029">
        <v>0.99989890000000003</v>
      </c>
      <c r="N1029">
        <v>0</v>
      </c>
      <c r="O1029">
        <v>2.035795E-3</v>
      </c>
      <c r="P1029">
        <v>0.99964090000000005</v>
      </c>
      <c r="Q1029">
        <v>-1.626029E-2</v>
      </c>
      <c r="R1029">
        <v>-2.1310900000000001E-2</v>
      </c>
      <c r="S1029">
        <v>2.9841000000000002</v>
      </c>
      <c r="T1029">
        <v>-0.29919390000000001</v>
      </c>
      <c r="U1029">
        <v>-0.66488649999999905</v>
      </c>
      <c r="V1029">
        <v>2.3334500000000001E-2</v>
      </c>
      <c r="W1029">
        <v>-2.3042119999999999E-3</v>
      </c>
      <c r="X1029">
        <v>0.99972499999999997</v>
      </c>
      <c r="Y1029">
        <v>0.2184104</v>
      </c>
      <c r="Z1029">
        <v>-1.099169E-2</v>
      </c>
      <c r="AA1029">
        <v>0.97579510000000003</v>
      </c>
      <c r="AB1029">
        <v>27</v>
      </c>
      <c r="AC1029">
        <v>10.885400000000001</v>
      </c>
      <c r="AD1029">
        <v>-1.1084769610230001</v>
      </c>
      <c r="AE1029">
        <v>-2.4619999999999802</v>
      </c>
      <c r="AF1029">
        <v>2.4598906716601099</v>
      </c>
      <c r="AG1029">
        <v>-1.1084769610230001</v>
      </c>
      <c r="AH1029">
        <v>10.7740783495559</v>
      </c>
      <c r="AI1029">
        <v>95.727759377755305</v>
      </c>
      <c r="AJ1029">
        <v>77.138926762137501</v>
      </c>
      <c r="AK1029">
        <v>11.1067793519098</v>
      </c>
      <c r="AL1029">
        <v>90.132021747192795</v>
      </c>
      <c r="AM1029">
        <v>88.662906645728199</v>
      </c>
      <c r="AN1029">
        <v>0.99999994195409303</v>
      </c>
    </row>
    <row r="1030" spans="1:40" x14ac:dyDescent="0.3">
      <c r="A1030" t="str">
        <f>"20200111160422912"</f>
        <v>20200111160422912</v>
      </c>
      <c r="B1030" t="str">
        <f>"1578729862901385"</f>
        <v>1578729862901385</v>
      </c>
      <c r="C1030" t="s">
        <v>40</v>
      </c>
      <c r="D1030">
        <v>5.466183</v>
      </c>
      <c r="E1030">
        <v>0.57879130000000001</v>
      </c>
      <c r="F1030" t="s">
        <v>47</v>
      </c>
      <c r="G1030">
        <v>-205.28360000000001</v>
      </c>
      <c r="H1030" s="1">
        <v>-3.898999E-6</v>
      </c>
      <c r="I1030">
        <v>365.95420000000001</v>
      </c>
      <c r="J1030">
        <v>-216.15969999999999</v>
      </c>
      <c r="K1030">
        <v>1.108473</v>
      </c>
      <c r="L1030">
        <v>368.46170000000001</v>
      </c>
      <c r="M1030">
        <v>0.99990080000000003</v>
      </c>
      <c r="N1030">
        <v>0</v>
      </c>
      <c r="O1030">
        <v>3.079267E-4</v>
      </c>
      <c r="P1030">
        <v>0.99958919999999996</v>
      </c>
      <c r="Q1030">
        <v>-1.5808490000000001E-2</v>
      </c>
      <c r="R1030">
        <v>-2.3905820000000001E-2</v>
      </c>
      <c r="S1030">
        <v>2.9817659999999999</v>
      </c>
      <c r="T1030">
        <v>-0.29936030000000002</v>
      </c>
      <c r="U1030">
        <v>-0.67761229999999995</v>
      </c>
      <c r="V1030">
        <v>2.4204549999999998E-2</v>
      </c>
      <c r="W1030">
        <v>-1.858047E-3</v>
      </c>
      <c r="X1030">
        <v>0.99970530000000002</v>
      </c>
      <c r="Y1030">
        <v>0.22084480000000001</v>
      </c>
      <c r="Z1030">
        <v>-1.095055E-2</v>
      </c>
      <c r="AA1030">
        <v>0.97524739999999999</v>
      </c>
      <c r="AB1030">
        <v>27</v>
      </c>
      <c r="AC1030">
        <v>10.8760999999999</v>
      </c>
      <c r="AD1030">
        <v>-1.1084768989989999</v>
      </c>
      <c r="AE1030">
        <v>-2.5074999999999901</v>
      </c>
      <c r="AF1030">
        <v>2.4863262789074101</v>
      </c>
      <c r="AG1030">
        <v>-1.1084768989989999</v>
      </c>
      <c r="AH1030">
        <v>10.769110077102299</v>
      </c>
      <c r="AI1030">
        <v>95.727206536436697</v>
      </c>
      <c r="AJ1030">
        <v>76.999589264131004</v>
      </c>
      <c r="AK1030">
        <v>11.107847282599201</v>
      </c>
      <c r="AL1030">
        <v>90.106458312522506</v>
      </c>
      <c r="AM1030">
        <v>88.613043595642907</v>
      </c>
      <c r="AN1030">
        <v>0.999999999713723</v>
      </c>
    </row>
    <row r="1031" spans="1:40" x14ac:dyDescent="0.3">
      <c r="A1031" t="str">
        <f>"20200111160422926"</f>
        <v>20200111160422926</v>
      </c>
      <c r="B1031" t="str">
        <f>"1578729862921880"</f>
        <v>1578729862921880</v>
      </c>
      <c r="C1031" t="s">
        <v>40</v>
      </c>
      <c r="D1031">
        <v>6.1530959999999997</v>
      </c>
      <c r="E1031">
        <v>0.578816</v>
      </c>
      <c r="F1031" t="s">
        <v>47</v>
      </c>
      <c r="G1031">
        <v>-205.10679999999999</v>
      </c>
      <c r="H1031" s="1">
        <v>-3.8240089999999998E-6</v>
      </c>
      <c r="I1031">
        <v>365.92099999999999</v>
      </c>
      <c r="J1031">
        <v>-215.98220000000001</v>
      </c>
      <c r="K1031">
        <v>1.1084700000000001</v>
      </c>
      <c r="L1031">
        <v>368.45979999999997</v>
      </c>
      <c r="M1031">
        <v>0.99989980000000001</v>
      </c>
      <c r="N1031">
        <v>0</v>
      </c>
      <c r="O1031">
        <v>-1.555861E-3</v>
      </c>
      <c r="P1031">
        <v>0.99950939999999999</v>
      </c>
      <c r="Q1031">
        <v>-1.5884059999999998E-2</v>
      </c>
      <c r="R1031">
        <v>-2.699727E-2</v>
      </c>
      <c r="S1031">
        <v>2.9801030000000002</v>
      </c>
      <c r="T1031">
        <v>-0.29886940000000001</v>
      </c>
      <c r="U1031">
        <v>-0.68502810000000003</v>
      </c>
      <c r="V1031">
        <v>2.5432650000000001E-2</v>
      </c>
      <c r="W1031">
        <v>-1.941508E-3</v>
      </c>
      <c r="X1031">
        <v>0.99967470000000003</v>
      </c>
      <c r="Y1031">
        <v>0.2214603</v>
      </c>
      <c r="Z1031">
        <v>-1.078194E-2</v>
      </c>
      <c r="AA1031">
        <v>0.97510980000000003</v>
      </c>
      <c r="AB1031">
        <v>27</v>
      </c>
      <c r="AC1031">
        <v>10.875400000000001</v>
      </c>
      <c r="AD1031">
        <v>-1.108473824009</v>
      </c>
      <c r="AE1031">
        <v>-2.5387999999999802</v>
      </c>
      <c r="AF1031">
        <v>2.4972720283175098</v>
      </c>
      <c r="AG1031">
        <v>-1.108473824009</v>
      </c>
      <c r="AH1031">
        <v>10.7732018676921</v>
      </c>
      <c r="AI1031">
        <v>95.723870775890205</v>
      </c>
      <c r="AJ1031">
        <v>76.949102031043793</v>
      </c>
      <c r="AK1031">
        <v>11.114268319775899</v>
      </c>
      <c r="AL1031">
        <v>90.111240278895096</v>
      </c>
      <c r="AM1031">
        <v>88.542656680182603</v>
      </c>
      <c r="AN1031">
        <v>1.0000000474797099</v>
      </c>
    </row>
    <row r="1032" spans="1:40" x14ac:dyDescent="0.3">
      <c r="A1032" t="str">
        <f>"20200111160422938"</f>
        <v>20200111160422938</v>
      </c>
      <c r="B1032" t="str">
        <f>"1578729862931640"</f>
        <v>1578729862931640</v>
      </c>
      <c r="C1032" t="s">
        <v>40</v>
      </c>
      <c r="D1032">
        <v>5.5265019999999998</v>
      </c>
      <c r="E1032">
        <v>0.58233330000000005</v>
      </c>
      <c r="F1032" t="s">
        <v>47</v>
      </c>
      <c r="G1032">
        <v>-204.95050000000001</v>
      </c>
      <c r="H1032" s="1">
        <v>-3.7570190000000001E-6</v>
      </c>
      <c r="I1032">
        <v>365.88650000000001</v>
      </c>
      <c r="J1032">
        <v>-215.82239999999999</v>
      </c>
      <c r="K1032">
        <v>1.108457</v>
      </c>
      <c r="L1032">
        <v>368.45769999999999</v>
      </c>
      <c r="M1032">
        <v>0.99989570000000005</v>
      </c>
      <c r="N1032">
        <v>0</v>
      </c>
      <c r="O1032">
        <v>-3.2479900000000001E-3</v>
      </c>
      <c r="P1032">
        <v>0.99943269999999995</v>
      </c>
      <c r="Q1032">
        <v>-1.6058799999999901E-2</v>
      </c>
      <c r="R1032">
        <v>-2.9610379999999999E-2</v>
      </c>
      <c r="S1032">
        <v>2.9779360000000001</v>
      </c>
      <c r="T1032">
        <v>-0.29922720000000003</v>
      </c>
      <c r="U1032">
        <v>-0.69464110000000001</v>
      </c>
      <c r="V1032">
        <v>2.6353020000000001E-2</v>
      </c>
      <c r="W1032">
        <v>-2.1226859999999999E-3</v>
      </c>
      <c r="X1032">
        <v>0.99965040000000005</v>
      </c>
      <c r="Y1032">
        <v>0.2229505</v>
      </c>
      <c r="Z1032">
        <v>-1.070489E-2</v>
      </c>
      <c r="AA1032">
        <v>0.97477100000000005</v>
      </c>
      <c r="AB1032">
        <v>27</v>
      </c>
      <c r="AC1032">
        <v>10.871899999999901</v>
      </c>
      <c r="AD1032">
        <v>-1.1084607570189999</v>
      </c>
      <c r="AE1032">
        <v>-2.57119999999997</v>
      </c>
      <c r="AF1032">
        <v>2.5111500921838399</v>
      </c>
      <c r="AG1032">
        <v>-1.1084607570189999</v>
      </c>
      <c r="AH1032">
        <v>10.7741287645017</v>
      </c>
      <c r="AI1032">
        <v>95.721724879159495</v>
      </c>
      <c r="AJ1032">
        <v>76.880166823661099</v>
      </c>
      <c r="AK1032">
        <v>11.1182917154295</v>
      </c>
      <c r="AL1032">
        <v>90.121621045857296</v>
      </c>
      <c r="AM1032">
        <v>88.489904882583303</v>
      </c>
      <c r="AN1032">
        <v>0.99999995483956605</v>
      </c>
    </row>
    <row r="1033" spans="1:40" x14ac:dyDescent="0.3">
      <c r="A1033" t="str">
        <f>"20200111160422953"</f>
        <v>20200111160422953</v>
      </c>
      <c r="B1033" t="str">
        <f>"1578729862941400"</f>
        <v>1578729862941400</v>
      </c>
      <c r="C1033" t="s">
        <v>40</v>
      </c>
      <c r="D1033">
        <v>5.5250519999999996</v>
      </c>
      <c r="E1033">
        <v>0.58360659999999998</v>
      </c>
      <c r="F1033" t="s">
        <v>43</v>
      </c>
      <c r="G1033">
        <v>-168.83449999999999</v>
      </c>
      <c r="H1033">
        <v>1.5269710000000001</v>
      </c>
      <c r="I1033">
        <v>356.61509999999998</v>
      </c>
      <c r="J1033">
        <v>-215.65889999999999</v>
      </c>
      <c r="K1033">
        <v>1.108439</v>
      </c>
      <c r="L1033">
        <v>368.45530000000002</v>
      </c>
      <c r="M1033">
        <v>0.99988849999999996</v>
      </c>
      <c r="N1033">
        <v>0</v>
      </c>
      <c r="O1033">
        <v>-4.9998859999999899E-3</v>
      </c>
      <c r="P1033">
        <v>0.99935969999999996</v>
      </c>
      <c r="Q1033">
        <v>-1.650619E-2</v>
      </c>
      <c r="R1033">
        <v>-3.1748819999999997E-2</v>
      </c>
      <c r="S1033">
        <v>2.9798740000000001</v>
      </c>
      <c r="T1033">
        <v>2.6546839999999999E-2</v>
      </c>
      <c r="U1033">
        <v>-0.75103759999999997</v>
      </c>
      <c r="V1033">
        <v>2.6738330000000001E-2</v>
      </c>
      <c r="W1033">
        <v>-2.573821E-3</v>
      </c>
      <c r="X1033">
        <v>0.99963919999999995</v>
      </c>
      <c r="Y1033">
        <v>0.23953340000000001</v>
      </c>
      <c r="Z1033">
        <v>1.0066680000000001E-3</v>
      </c>
      <c r="AA1033">
        <v>0.97088759999999996</v>
      </c>
      <c r="AB1033">
        <v>27</v>
      </c>
      <c r="AC1033">
        <v>46.824399999999997</v>
      </c>
      <c r="AD1033">
        <v>0.41853199999999902</v>
      </c>
      <c r="AE1033">
        <v>-11.840199999999999</v>
      </c>
      <c r="AF1033">
        <v>11.605040682546599</v>
      </c>
      <c r="AG1033">
        <v>0.41853199999999902</v>
      </c>
      <c r="AH1033">
        <v>46.879499821819799</v>
      </c>
      <c r="AI1033">
        <v>89.503473742003095</v>
      </c>
      <c r="AJ1033">
        <v>76.095926219951707</v>
      </c>
      <c r="AK1033">
        <v>48.296372967569603</v>
      </c>
      <c r="AL1033">
        <v>90.147469236483104</v>
      </c>
      <c r="AM1033">
        <v>88.467818929273605</v>
      </c>
      <c r="AN1033">
        <v>1.00000004651118</v>
      </c>
    </row>
    <row r="1034" spans="1:40" x14ac:dyDescent="0.3">
      <c r="A1034" t="str">
        <f>"20200111160422967"</f>
        <v>20200111160422967</v>
      </c>
      <c r="B1034" t="str">
        <f>"1578729862961896"</f>
        <v>1578729862961896</v>
      </c>
      <c r="C1034" t="s">
        <v>40</v>
      </c>
      <c r="D1034">
        <v>5.646433</v>
      </c>
      <c r="E1034">
        <v>0.59502429999999995</v>
      </c>
      <c r="F1034" t="s">
        <v>43</v>
      </c>
      <c r="G1034">
        <v>-169.2955</v>
      </c>
      <c r="H1034">
        <v>1.552729</v>
      </c>
      <c r="I1034">
        <v>356.50040000000001</v>
      </c>
      <c r="J1034">
        <v>-215.49430000000001</v>
      </c>
      <c r="K1034">
        <v>1.108414</v>
      </c>
      <c r="L1034">
        <v>368.45260000000002</v>
      </c>
      <c r="M1034">
        <v>0.99987800000000004</v>
      </c>
      <c r="N1034">
        <v>0</v>
      </c>
      <c r="O1034">
        <v>-6.7847009999999998E-3</v>
      </c>
      <c r="P1034">
        <v>0.99929140000000005</v>
      </c>
      <c r="Q1034">
        <v>-1.670481E-2</v>
      </c>
      <c r="R1034">
        <v>-3.3736429999999998E-2</v>
      </c>
      <c r="S1034">
        <v>2.9779969999999998</v>
      </c>
      <c r="T1034">
        <v>2.8542999999999999E-2</v>
      </c>
      <c r="U1034">
        <v>-0.76788330000000005</v>
      </c>
      <c r="V1034">
        <v>2.694061E-2</v>
      </c>
      <c r="W1034">
        <v>-2.775306E-3</v>
      </c>
      <c r="X1034">
        <v>0.9996332</v>
      </c>
      <c r="Y1034">
        <v>0.24309900000000001</v>
      </c>
      <c r="Z1034">
        <v>1.0822620000000001E-3</v>
      </c>
      <c r="AA1034">
        <v>0.97000090000000005</v>
      </c>
      <c r="AB1034">
        <v>27</v>
      </c>
      <c r="AC1034">
        <v>46.198799999999999</v>
      </c>
      <c r="AD1034">
        <v>0.44431499999999902</v>
      </c>
      <c r="AE1034">
        <v>-11.952199999999999</v>
      </c>
      <c r="AF1034">
        <v>11.6374398926702</v>
      </c>
      <c r="AG1034">
        <v>0.44431499999999902</v>
      </c>
      <c r="AH1034">
        <v>46.274824891335697</v>
      </c>
      <c r="AI1034">
        <v>89.466493613151002</v>
      </c>
      <c r="AJ1034">
        <v>75.883687163448897</v>
      </c>
      <c r="AK1034">
        <v>47.717783286721499</v>
      </c>
      <c r="AL1034">
        <v>90.159013522136505</v>
      </c>
      <c r="AM1034">
        <v>88.456224046223397</v>
      </c>
      <c r="AN1034">
        <v>1.0000000166664</v>
      </c>
    </row>
    <row r="1035" spans="1:40" x14ac:dyDescent="0.3">
      <c r="A1035" t="str">
        <f>"20200111160422979"</f>
        <v>20200111160422979</v>
      </c>
      <c r="B1035" t="str">
        <f>"1578729862971657"</f>
        <v>1578729862971657</v>
      </c>
      <c r="C1035" t="s">
        <v>40</v>
      </c>
      <c r="D1035">
        <v>5.4180109999999999</v>
      </c>
      <c r="E1035">
        <v>0.60520390000000002</v>
      </c>
      <c r="F1035" t="s">
        <v>47</v>
      </c>
      <c r="G1035">
        <v>-205.929</v>
      </c>
      <c r="H1035" s="1">
        <v>-4.247155E-6</v>
      </c>
      <c r="I1035">
        <v>365.73989999999998</v>
      </c>
      <c r="J1035">
        <v>-215.3297</v>
      </c>
      <c r="K1035">
        <v>1.108379</v>
      </c>
      <c r="L1035">
        <v>368.44959999999998</v>
      </c>
      <c r="M1035">
        <v>0.99986390000000003</v>
      </c>
      <c r="N1035">
        <v>0</v>
      </c>
      <c r="O1035">
        <v>-8.609673E-3</v>
      </c>
      <c r="P1035">
        <v>0.99921210000000005</v>
      </c>
      <c r="Q1035">
        <v>-1.697299E-2</v>
      </c>
      <c r="R1035">
        <v>-3.5879019999999998E-2</v>
      </c>
      <c r="S1035">
        <v>2.9679570000000002</v>
      </c>
      <c r="T1035">
        <v>-0.34392230000000001</v>
      </c>
      <c r="U1035">
        <v>-0.84170529999999999</v>
      </c>
      <c r="V1035">
        <v>2.7258029999999999E-2</v>
      </c>
      <c r="W1035">
        <v>-3.047255E-3</v>
      </c>
      <c r="X1035">
        <v>0.99962379999999995</v>
      </c>
      <c r="Y1035">
        <v>0.26296920000000001</v>
      </c>
      <c r="Z1035">
        <v>-1.391948E-2</v>
      </c>
      <c r="AA1035">
        <v>0.9647038</v>
      </c>
      <c r="AB1035">
        <v>27</v>
      </c>
      <c r="AC1035">
        <v>9.4007000000000005</v>
      </c>
      <c r="AD1035">
        <v>-1.1083832471549999</v>
      </c>
      <c r="AE1035">
        <v>-2.70969999999999</v>
      </c>
      <c r="AF1035">
        <v>2.5953432599109201</v>
      </c>
      <c r="AG1035">
        <v>-1.1083832471549999</v>
      </c>
      <c r="AH1035">
        <v>9.3042629150130605</v>
      </c>
      <c r="AI1035">
        <v>96.545827903396898</v>
      </c>
      <c r="AJ1035">
        <v>74.414017720453202</v>
      </c>
      <c r="AK1035">
        <v>9.7228405546438008</v>
      </c>
      <c r="AL1035">
        <v>90.174595118409201</v>
      </c>
      <c r="AM1035">
        <v>88.438029226835596</v>
      </c>
      <c r="AN1035">
        <v>1.00000001374447</v>
      </c>
    </row>
    <row r="1036" spans="1:40" x14ac:dyDescent="0.3">
      <c r="A1036" t="str">
        <f>"20200111160422992"</f>
        <v>20200111160422992</v>
      </c>
      <c r="B1036" t="str">
        <f>"1578729862981417"</f>
        <v>1578729862981417</v>
      </c>
      <c r="C1036" t="s">
        <v>40</v>
      </c>
      <c r="D1036">
        <v>5.8737539999999999</v>
      </c>
      <c r="E1036">
        <v>0.60822449999999995</v>
      </c>
      <c r="F1036" t="s">
        <v>47</v>
      </c>
      <c r="G1036">
        <v>-205.75020000000001</v>
      </c>
      <c r="H1036" s="1">
        <v>-4.2291120000000002E-6</v>
      </c>
      <c r="I1036">
        <v>365.44560000000001</v>
      </c>
      <c r="J1036">
        <v>-215.1823</v>
      </c>
      <c r="K1036">
        <v>1.1083430000000001</v>
      </c>
      <c r="L1036">
        <v>368.44650000000001</v>
      </c>
      <c r="M1036">
        <v>0.99984810000000002</v>
      </c>
      <c r="N1036">
        <v>0</v>
      </c>
      <c r="O1036">
        <v>-1.028019E-2</v>
      </c>
      <c r="P1036">
        <v>0.99913359999999996</v>
      </c>
      <c r="Q1036">
        <v>-1.747019E-2</v>
      </c>
      <c r="R1036">
        <v>-3.777635E-2</v>
      </c>
      <c r="S1036">
        <v>2.9631810000000001</v>
      </c>
      <c r="T1036">
        <v>-0.3428503</v>
      </c>
      <c r="U1036">
        <v>-0.9291992</v>
      </c>
      <c r="V1036">
        <v>2.7483210000000001E-2</v>
      </c>
      <c r="W1036">
        <v>-3.547513E-3</v>
      </c>
      <c r="X1036">
        <v>0.99961599999999995</v>
      </c>
      <c r="Y1036">
        <v>0.28770489999999999</v>
      </c>
      <c r="Z1036">
        <v>-1.504603E-2</v>
      </c>
      <c r="AA1036">
        <v>0.95760089999999998</v>
      </c>
      <c r="AB1036">
        <v>27</v>
      </c>
      <c r="AC1036">
        <v>9.4320999999999895</v>
      </c>
      <c r="AD1036">
        <v>-1.108347229112</v>
      </c>
      <c r="AE1036">
        <v>-3.0009000000000001</v>
      </c>
      <c r="AF1036">
        <v>2.86780887831241</v>
      </c>
      <c r="AG1036">
        <v>-1.108347229112</v>
      </c>
      <c r="AH1036">
        <v>9.3452750220525491</v>
      </c>
      <c r="AI1036">
        <v>96.4686419989538</v>
      </c>
      <c r="AJ1036">
        <v>72.940184601615798</v>
      </c>
      <c r="AK1036">
        <v>9.8380346909637897</v>
      </c>
      <c r="AL1036">
        <v>90.203257942987705</v>
      </c>
      <c r="AM1036">
        <v>88.425119894361799</v>
      </c>
      <c r="AN1036">
        <v>1.0000000295681899</v>
      </c>
    </row>
    <row r="1037" spans="1:40" x14ac:dyDescent="0.3">
      <c r="A1037" t="str">
        <f>"20200111160423006"</f>
        <v>20200111160423006</v>
      </c>
      <c r="B1037" t="str">
        <f>"1578729863001912"</f>
        <v>1578729863001912</v>
      </c>
      <c r="C1037" t="s">
        <v>40</v>
      </c>
      <c r="D1037">
        <v>5.8056599999999996</v>
      </c>
      <c r="E1037">
        <v>0.61493929999999997</v>
      </c>
      <c r="F1037" t="s">
        <v>47</v>
      </c>
      <c r="G1037">
        <v>-206.31030000000001</v>
      </c>
      <c r="H1037" s="1">
        <v>-4.4609069999999999E-6</v>
      </c>
      <c r="I1037">
        <v>365.577</v>
      </c>
      <c r="J1037">
        <v>-215.0103</v>
      </c>
      <c r="K1037">
        <v>1.1082959999999999</v>
      </c>
      <c r="L1037">
        <v>368.44260000000003</v>
      </c>
      <c r="M1037">
        <v>0.99982579999999999</v>
      </c>
      <c r="N1037">
        <v>0</v>
      </c>
      <c r="O1037">
        <v>-1.226205E-2</v>
      </c>
      <c r="P1037">
        <v>0.99902449999999998</v>
      </c>
      <c r="Q1037">
        <v>-1.8069829999999999E-2</v>
      </c>
      <c r="R1037">
        <v>-4.0298580000000001E-2</v>
      </c>
      <c r="S1037">
        <v>2.959946</v>
      </c>
      <c r="T1037">
        <v>-0.36977650000000001</v>
      </c>
      <c r="U1037">
        <v>-0.95733639999999998</v>
      </c>
      <c r="V1037">
        <v>2.8021609999999999E-2</v>
      </c>
      <c r="W1037">
        <v>-4.1524889999999997E-3</v>
      </c>
      <c r="X1037">
        <v>0.99959869999999995</v>
      </c>
      <c r="Y1037">
        <v>0.29406189999999999</v>
      </c>
      <c r="Z1037">
        <v>-1.6359160000000001E-2</v>
      </c>
      <c r="AA1037">
        <v>0.95564629999999995</v>
      </c>
      <c r="AB1037">
        <v>27</v>
      </c>
      <c r="AC1037">
        <v>8.6999999999999797</v>
      </c>
      <c r="AD1037">
        <v>-1.108300460907</v>
      </c>
      <c r="AE1037">
        <v>-2.8656000000000201</v>
      </c>
      <c r="AF1037">
        <v>2.7188892692719402</v>
      </c>
      <c r="AG1037">
        <v>-1.108300460907</v>
      </c>
      <c r="AH1037">
        <v>8.6084585844544197</v>
      </c>
      <c r="AI1037">
        <v>96.999050474066294</v>
      </c>
      <c r="AJ1037">
        <v>72.471837301249494</v>
      </c>
      <c r="AK1037">
        <v>9.0953970760201504</v>
      </c>
      <c r="AL1037">
        <v>90.237920776164401</v>
      </c>
      <c r="AM1037">
        <v>88.394255989841994</v>
      </c>
      <c r="AN1037">
        <v>1.0000000074167801</v>
      </c>
    </row>
    <row r="1038" spans="1:40" x14ac:dyDescent="0.3">
      <c r="A1038" t="str">
        <f>"20200111160423019"</f>
        <v>20200111160423019</v>
      </c>
      <c r="B1038" t="str">
        <f>"1578729863011673"</f>
        <v>1578729863011673</v>
      </c>
      <c r="C1038" t="s">
        <v>40</v>
      </c>
      <c r="D1038">
        <v>5.7531040000000004</v>
      </c>
      <c r="E1038">
        <v>0.61716099999999996</v>
      </c>
      <c r="F1038" t="s">
        <v>47</v>
      </c>
      <c r="G1038">
        <v>-206.6884</v>
      </c>
      <c r="H1038" s="1">
        <v>-4.6367349999999999E-6</v>
      </c>
      <c r="I1038">
        <v>365.57819999999998</v>
      </c>
      <c r="J1038">
        <v>-214.8621</v>
      </c>
      <c r="K1038">
        <v>1.108252</v>
      </c>
      <c r="L1038">
        <v>368.43889999999999</v>
      </c>
      <c r="M1038">
        <v>0.99980259999999999</v>
      </c>
      <c r="N1038">
        <v>0</v>
      </c>
      <c r="O1038">
        <v>-1.4018360000000001E-2</v>
      </c>
      <c r="P1038">
        <v>0.99891980000000002</v>
      </c>
      <c r="Q1038">
        <v>-1.8297130000000002E-2</v>
      </c>
      <c r="R1038">
        <v>-4.2715089999999997E-2</v>
      </c>
      <c r="S1038">
        <v>2.9547880000000002</v>
      </c>
      <c r="T1038">
        <v>-0.39351370000000002</v>
      </c>
      <c r="U1038">
        <v>-1.017029</v>
      </c>
      <c r="V1038">
        <v>2.8682099999999999E-2</v>
      </c>
      <c r="W1038">
        <v>-4.3857080000000003E-3</v>
      </c>
      <c r="X1038">
        <v>0.999579</v>
      </c>
      <c r="Y1038">
        <v>0.30983579999999999</v>
      </c>
      <c r="Z1038">
        <v>-1.816684E-2</v>
      </c>
      <c r="AA1038">
        <v>0.95061649999999998</v>
      </c>
      <c r="AB1038">
        <v>27</v>
      </c>
      <c r="AC1038">
        <v>8.1736999999999895</v>
      </c>
      <c r="AD1038">
        <v>-1.108256636735</v>
      </c>
      <c r="AE1038">
        <v>-2.8607</v>
      </c>
      <c r="AF1038">
        <v>2.7015792317693301</v>
      </c>
      <c r="AG1038">
        <v>-1.108256636735</v>
      </c>
      <c r="AH1038">
        <v>8.0806581906871493</v>
      </c>
      <c r="AI1038">
        <v>97.4109936588018</v>
      </c>
      <c r="AJ1038">
        <v>71.513845844987202</v>
      </c>
      <c r="AK1038">
        <v>8.5920777413332292</v>
      </c>
      <c r="AL1038">
        <v>90.251283354765107</v>
      </c>
      <c r="AM1038">
        <v>88.356395566607603</v>
      </c>
      <c r="AN1038">
        <v>1.00000003726803</v>
      </c>
    </row>
    <row r="1039" spans="1:40" x14ac:dyDescent="0.3">
      <c r="A1039" t="str">
        <f>"20200111160423032"</f>
        <v>20200111160423032</v>
      </c>
      <c r="B1039" t="str">
        <f>"1578729863021433"</f>
        <v>1578729863021433</v>
      </c>
      <c r="C1039" t="s">
        <v>40</v>
      </c>
      <c r="D1039">
        <v>5.7688739999999896</v>
      </c>
      <c r="E1039">
        <v>0.61868559999999995</v>
      </c>
      <c r="F1039" t="s">
        <v>47</v>
      </c>
      <c r="G1039">
        <v>-206.69909999999999</v>
      </c>
      <c r="H1039" s="1">
        <v>-4.6459650000000002E-6</v>
      </c>
      <c r="I1039">
        <v>365.55930000000001</v>
      </c>
      <c r="J1039">
        <v>-214.71360000000001</v>
      </c>
      <c r="K1039">
        <v>1.108203</v>
      </c>
      <c r="L1039">
        <v>368.43490000000003</v>
      </c>
      <c r="M1039">
        <v>0.99977559999999999</v>
      </c>
      <c r="N1039">
        <v>0</v>
      </c>
      <c r="O1039">
        <v>-1.582012E-2</v>
      </c>
      <c r="P1039">
        <v>0.99879960000000001</v>
      </c>
      <c r="Q1039">
        <v>-1.8923559999999999E-2</v>
      </c>
      <c r="R1039">
        <v>-4.5180060000000001E-2</v>
      </c>
      <c r="S1039">
        <v>2.9514010000000002</v>
      </c>
      <c r="T1039">
        <v>-0.40069929999999998</v>
      </c>
      <c r="U1039">
        <v>-1.0411680000000001</v>
      </c>
      <c r="V1039">
        <v>2.9343560000000001E-2</v>
      </c>
      <c r="W1039">
        <v>-5.0181469999999997E-3</v>
      </c>
      <c r="X1039">
        <v>0.99955680000000002</v>
      </c>
      <c r="Y1039">
        <v>0.3152742</v>
      </c>
      <c r="Z1039">
        <v>-1.861254E-2</v>
      </c>
      <c r="AA1039">
        <v>0.9488181</v>
      </c>
      <c r="AB1039">
        <v>27</v>
      </c>
      <c r="AC1039">
        <v>8.0145000000000195</v>
      </c>
      <c r="AD1039">
        <v>-1.1082076459649901</v>
      </c>
      <c r="AE1039">
        <v>-2.8756000000000199</v>
      </c>
      <c r="AF1039">
        <v>2.7026559060922999</v>
      </c>
      <c r="AG1039">
        <v>-1.1082076459649901</v>
      </c>
      <c r="AH1039">
        <v>7.92475354799166</v>
      </c>
      <c r="AI1039">
        <v>97.539612308440496</v>
      </c>
      <c r="AJ1039">
        <v>71.168583894357795</v>
      </c>
      <c r="AK1039">
        <v>8.4459571352048304</v>
      </c>
      <c r="AL1039">
        <v>90.287519847526994</v>
      </c>
      <c r="AM1039">
        <v>88.318475329987606</v>
      </c>
      <c r="AN1039">
        <v>1.00000001136951</v>
      </c>
    </row>
    <row r="1040" spans="1:40" x14ac:dyDescent="0.3">
      <c r="A1040" t="str">
        <f>"20200111160423044"</f>
        <v>20200111160423044</v>
      </c>
      <c r="B1040" t="str">
        <f>"1578729863041929"</f>
        <v>1578729863041929</v>
      </c>
      <c r="C1040" t="s">
        <v>40</v>
      </c>
      <c r="D1040">
        <v>5.7927780000000002</v>
      </c>
      <c r="E1040">
        <v>0.62033340000000003</v>
      </c>
      <c r="F1040" t="s">
        <v>47</v>
      </c>
      <c r="G1040">
        <v>-206.71619999999999</v>
      </c>
      <c r="H1040" s="1">
        <v>-4.653838E-6</v>
      </c>
      <c r="I1040">
        <v>365.55959999999999</v>
      </c>
      <c r="J1040">
        <v>-214.5538</v>
      </c>
      <c r="K1040">
        <v>1.108155</v>
      </c>
      <c r="L1040">
        <v>368.43040000000002</v>
      </c>
      <c r="M1040">
        <v>0.99974249999999998</v>
      </c>
      <c r="N1040">
        <v>0</v>
      </c>
      <c r="O1040">
        <v>-1.7790549999999999E-2</v>
      </c>
      <c r="P1040">
        <v>0.99864540000000002</v>
      </c>
      <c r="Q1040">
        <v>-1.9869390000000001E-2</v>
      </c>
      <c r="R1040">
        <v>-4.808577E-2</v>
      </c>
      <c r="S1040">
        <v>2.9479060000000001</v>
      </c>
      <c r="T1040">
        <v>-0.40849439999999998</v>
      </c>
      <c r="U1040">
        <v>-1.0598749999999999</v>
      </c>
      <c r="V1040">
        <v>3.027583E-2</v>
      </c>
      <c r="W1040">
        <v>-5.9720579999999997E-3</v>
      </c>
      <c r="X1040">
        <v>0.99952379999999996</v>
      </c>
      <c r="Y1040">
        <v>0.31898959999999998</v>
      </c>
      <c r="Z1040">
        <v>-1.895852E-2</v>
      </c>
      <c r="AA1040">
        <v>0.94756859999999998</v>
      </c>
      <c r="AB1040">
        <v>27</v>
      </c>
      <c r="AC1040">
        <v>7.8376000000000001</v>
      </c>
      <c r="AD1040">
        <v>-1.1081596538380001</v>
      </c>
      <c r="AE1040">
        <v>-2.8708000000000302</v>
      </c>
      <c r="AF1040">
        <v>2.6835945591038302</v>
      </c>
      <c r="AG1040">
        <v>-1.1081596538380001</v>
      </c>
      <c r="AH1040">
        <v>7.75081893720251</v>
      </c>
      <c r="AI1040">
        <v>97.694321240695203</v>
      </c>
      <c r="AJ1040">
        <v>70.902423427109397</v>
      </c>
      <c r="AK1040">
        <v>8.2767681961828004</v>
      </c>
      <c r="AL1040">
        <v>90.342175732194704</v>
      </c>
      <c r="AM1040">
        <v>88.265026755470601</v>
      </c>
      <c r="AN1040">
        <v>1.0000000590626901</v>
      </c>
    </row>
    <row r="1041" spans="1:40" x14ac:dyDescent="0.3">
      <c r="A1041" t="str">
        <f>"20200111160423057"</f>
        <v>20200111160423057</v>
      </c>
      <c r="B1041" t="str">
        <f>"1578729863051688"</f>
        <v>1578729863051688</v>
      </c>
      <c r="C1041" t="s">
        <v>40</v>
      </c>
      <c r="D1041">
        <v>5.7845789999999999</v>
      </c>
      <c r="E1041">
        <v>0.62086209999999997</v>
      </c>
      <c r="F1041" t="s">
        <v>47</v>
      </c>
      <c r="G1041">
        <v>-206.77010000000001</v>
      </c>
      <c r="H1041" s="1">
        <v>-4.6760620000000002E-6</v>
      </c>
      <c r="I1041">
        <v>365.5727</v>
      </c>
      <c r="J1041">
        <v>-214.4024</v>
      </c>
      <c r="K1041">
        <v>1.1081110000000001</v>
      </c>
      <c r="L1041">
        <v>368.42559999999997</v>
      </c>
      <c r="M1041">
        <v>0.99970650000000005</v>
      </c>
      <c r="N1041">
        <v>0</v>
      </c>
      <c r="O1041">
        <v>-1.9720560000000002E-2</v>
      </c>
      <c r="P1041">
        <v>0.99843029999999999</v>
      </c>
      <c r="Q1041">
        <v>-2.1573910000000002E-2</v>
      </c>
      <c r="R1041">
        <v>-5.1688890000000001E-2</v>
      </c>
      <c r="S1041">
        <v>2.9437099999999998</v>
      </c>
      <c r="T1041">
        <v>-0.41909819999999998</v>
      </c>
      <c r="U1041">
        <v>-1.0807500000000001</v>
      </c>
      <c r="V1041">
        <v>3.1941900000000002E-2</v>
      </c>
      <c r="W1041">
        <v>-7.6895419999999997E-3</v>
      </c>
      <c r="X1041">
        <v>0.99946020000000002</v>
      </c>
      <c r="Y1041">
        <v>0.32336900000000002</v>
      </c>
      <c r="Z1041">
        <v>-1.9485659999999998E-2</v>
      </c>
      <c r="AA1041">
        <v>0.94607229999999998</v>
      </c>
      <c r="AB1041">
        <v>27</v>
      </c>
      <c r="AC1041">
        <v>7.6322999999999803</v>
      </c>
      <c r="AD1041">
        <v>-1.1081156760619999</v>
      </c>
      <c r="AE1041">
        <v>-2.8528999999999698</v>
      </c>
      <c r="AF1041">
        <v>2.6527535572779</v>
      </c>
      <c r="AG1041">
        <v>-1.1081156760619999</v>
      </c>
      <c r="AH1041">
        <v>7.5474889571877499</v>
      </c>
      <c r="AI1041">
        <v>97.886011540421194</v>
      </c>
      <c r="AJ1041">
        <v>70.634700830845603</v>
      </c>
      <c r="AK1041">
        <v>8.0764850861037303</v>
      </c>
      <c r="AL1041">
        <v>90.4405826217113</v>
      </c>
      <c r="AM1041">
        <v>88.169498546731106</v>
      </c>
      <c r="AN1041">
        <v>1.0000000527079</v>
      </c>
    </row>
    <row r="1042" spans="1:40" x14ac:dyDescent="0.3">
      <c r="A1042" t="str">
        <f>"20200111160423069"</f>
        <v>20200111160423069</v>
      </c>
      <c r="B1042" t="str">
        <f>"1578729863061448"</f>
        <v>1578729863061448</v>
      </c>
      <c r="C1042" t="s">
        <v>40</v>
      </c>
      <c r="D1042">
        <v>5.7782780000000002</v>
      </c>
      <c r="E1042">
        <v>0.62130059999999998</v>
      </c>
      <c r="F1042" t="s">
        <v>47</v>
      </c>
      <c r="G1042">
        <v>-206.78639999999999</v>
      </c>
      <c r="H1042" s="1">
        <v>-4.6803790000000002E-6</v>
      </c>
      <c r="I1042">
        <v>365.5874</v>
      </c>
      <c r="J1042">
        <v>-214.25729999999999</v>
      </c>
      <c r="K1042">
        <v>1.1080719999999999</v>
      </c>
      <c r="L1042">
        <v>368.42079999999999</v>
      </c>
      <c r="M1042">
        <v>0.99966750000000004</v>
      </c>
      <c r="N1042">
        <v>0</v>
      </c>
      <c r="O1042">
        <v>-2.1600919999999999E-2</v>
      </c>
      <c r="P1042">
        <v>0.99817540000000005</v>
      </c>
      <c r="Q1042">
        <v>-2.3085999999999999E-2</v>
      </c>
      <c r="R1042">
        <v>-5.5798010000000002E-2</v>
      </c>
      <c r="S1042">
        <v>2.9387970000000001</v>
      </c>
      <c r="T1042">
        <v>-0.42759170000000002</v>
      </c>
      <c r="U1042">
        <v>-1.0951839999999999</v>
      </c>
      <c r="V1042">
        <v>3.4165849999999998E-2</v>
      </c>
      <c r="W1042">
        <v>-9.2185019999999999E-3</v>
      </c>
      <c r="X1042">
        <v>0.99937370000000003</v>
      </c>
      <c r="Y1042">
        <v>0.32606810000000003</v>
      </c>
      <c r="Z1042">
        <v>-1.9817749999999999E-2</v>
      </c>
      <c r="AA1042">
        <v>0.94513849999999999</v>
      </c>
      <c r="AB1042">
        <v>27</v>
      </c>
      <c r="AC1042">
        <v>7.4709000000000003</v>
      </c>
      <c r="AD1042">
        <v>-1.1080766803790001</v>
      </c>
      <c r="AE1042">
        <v>-2.8333999999999802</v>
      </c>
      <c r="AF1042">
        <v>2.6209379530536601</v>
      </c>
      <c r="AG1042">
        <v>-1.1080766803790001</v>
      </c>
      <c r="AH1042">
        <v>7.3882736015453103</v>
      </c>
      <c r="AI1042">
        <v>98.045316116568699</v>
      </c>
      <c r="AJ1042">
        <v>70.468218401431898</v>
      </c>
      <c r="AK1042">
        <v>7.9173061387474597</v>
      </c>
      <c r="AL1042">
        <v>90.528188718505803</v>
      </c>
      <c r="AM1042">
        <v>88.041976791882703</v>
      </c>
      <c r="AN1042">
        <v>1.00000003916851</v>
      </c>
    </row>
    <row r="1043" spans="1:40" x14ac:dyDescent="0.3">
      <c r="A1043" t="str">
        <f>"20200111160423080"</f>
        <v>20200111160423080</v>
      </c>
      <c r="B1043" t="str">
        <f>"1578729863072185"</f>
        <v>1578729863072185</v>
      </c>
      <c r="C1043" t="s">
        <v>40</v>
      </c>
      <c r="D1043">
        <v>5.7751970000000004</v>
      </c>
      <c r="E1043">
        <v>0.62167380000000005</v>
      </c>
      <c r="F1043" t="s">
        <v>47</v>
      </c>
      <c r="G1043">
        <v>-206.8023</v>
      </c>
      <c r="H1043" s="1">
        <v>-4.6850559999999999E-6</v>
      </c>
      <c r="I1043">
        <v>365.59969999999998</v>
      </c>
      <c r="J1043">
        <v>-214.11179999999999</v>
      </c>
      <c r="K1043">
        <v>1.108034</v>
      </c>
      <c r="L1043">
        <v>368.41570000000002</v>
      </c>
      <c r="M1043">
        <v>0.99962410000000002</v>
      </c>
      <c r="N1043">
        <v>0</v>
      </c>
      <c r="O1043">
        <v>-2.3518359999999999E-2</v>
      </c>
      <c r="P1043">
        <v>0.99784300000000004</v>
      </c>
      <c r="Q1043">
        <v>-2.478793E-2</v>
      </c>
      <c r="R1043">
        <v>-6.078422E-2</v>
      </c>
      <c r="S1043">
        <v>2.933319</v>
      </c>
      <c r="T1043">
        <v>-0.43599490000000002</v>
      </c>
      <c r="U1043">
        <v>-1.1100159999999999</v>
      </c>
      <c r="V1043">
        <v>3.7230779999999998E-2</v>
      </c>
      <c r="W1043">
        <v>-1.094349E-2</v>
      </c>
      <c r="X1043">
        <v>0.99924679999999999</v>
      </c>
      <c r="Y1043">
        <v>0.32889679999999999</v>
      </c>
      <c r="Z1043">
        <v>-2.014999E-2</v>
      </c>
      <c r="AA1043">
        <v>0.94415090000000002</v>
      </c>
      <c r="AB1043">
        <v>27</v>
      </c>
      <c r="AC1043">
        <v>7.3094999999999803</v>
      </c>
      <c r="AD1043">
        <v>-1.108038685056</v>
      </c>
      <c r="AE1043">
        <v>-2.81600000000003</v>
      </c>
      <c r="AF1043">
        <v>2.5914432083798098</v>
      </c>
      <c r="AG1043">
        <v>-1.108038685056</v>
      </c>
      <c r="AH1043">
        <v>7.2290628908169197</v>
      </c>
      <c r="AI1043">
        <v>98.210260804958807</v>
      </c>
      <c r="AJ1043">
        <v>70.2784782079016</v>
      </c>
      <c r="AK1043">
        <v>7.7590384655074898</v>
      </c>
      <c r="AL1043">
        <v>90.627028287783503</v>
      </c>
      <c r="AM1043">
        <v>87.866212550433602</v>
      </c>
      <c r="AN1043">
        <v>1.0000000291315101</v>
      </c>
    </row>
    <row r="1044" spans="1:40" x14ac:dyDescent="0.3">
      <c r="A1044" t="str">
        <f>"20200111160423096"</f>
        <v>20200111160423096</v>
      </c>
      <c r="B1044" t="str">
        <f>"1578729863091704"</f>
        <v>1578729863091704</v>
      </c>
      <c r="C1044" t="s">
        <v>40</v>
      </c>
      <c r="D1044">
        <v>5.7946549999999997</v>
      </c>
      <c r="E1044">
        <v>0.62225109999999995</v>
      </c>
      <c r="F1044" t="s">
        <v>47</v>
      </c>
      <c r="G1044">
        <v>-206.81059999999999</v>
      </c>
      <c r="H1044" s="1">
        <v>-4.688043E-6</v>
      </c>
      <c r="I1044">
        <v>365.6037</v>
      </c>
      <c r="J1044">
        <v>-213.9442</v>
      </c>
      <c r="K1044">
        <v>1.1079939999999999</v>
      </c>
      <c r="L1044">
        <v>368.4092</v>
      </c>
      <c r="M1044">
        <v>0.99956820000000002</v>
      </c>
      <c r="N1044">
        <v>0</v>
      </c>
      <c r="O1044">
        <v>-2.579145E-2</v>
      </c>
      <c r="P1044">
        <v>0.9970966</v>
      </c>
      <c r="Q1044">
        <v>-2.7261440000000001E-2</v>
      </c>
      <c r="R1044">
        <v>-7.1100369999999996E-2</v>
      </c>
      <c r="S1044">
        <v>2.9267880000000002</v>
      </c>
      <c r="T1044">
        <v>-0.44417210000000001</v>
      </c>
      <c r="U1044">
        <v>-1.1272279999999999</v>
      </c>
      <c r="V1044">
        <v>4.5273670000000002E-2</v>
      </c>
      <c r="W1044">
        <v>-1.347573E-2</v>
      </c>
      <c r="X1044">
        <v>0.99888370000000004</v>
      </c>
      <c r="Y1044">
        <v>0.33216709999999999</v>
      </c>
      <c r="Z1044">
        <v>-2.0453829999999999E-2</v>
      </c>
      <c r="AA1044">
        <v>0.94299880000000003</v>
      </c>
      <c r="AB1044">
        <v>27</v>
      </c>
      <c r="AC1044">
        <v>7.1336000000000004</v>
      </c>
      <c r="AD1044">
        <v>-1.1079986880429999</v>
      </c>
      <c r="AE1044">
        <v>-2.8054999999999901</v>
      </c>
      <c r="AF1044">
        <v>2.5669311994122199</v>
      </c>
      <c r="AG1044">
        <v>-1.1079986880429999</v>
      </c>
      <c r="AH1044">
        <v>7.0561661896358698</v>
      </c>
      <c r="AI1044">
        <v>98.394246651831097</v>
      </c>
      <c r="AJ1044">
        <v>70.009345076426001</v>
      </c>
      <c r="AK1044">
        <v>7.5898799839642503</v>
      </c>
      <c r="AL1044">
        <v>90.772125845739595</v>
      </c>
      <c r="AM1044">
        <v>87.404886943609597</v>
      </c>
      <c r="AN1044">
        <v>0.99999997330999502</v>
      </c>
    </row>
    <row r="1045" spans="1:40" x14ac:dyDescent="0.3">
      <c r="A1045" t="str">
        <f>"20200111160423108"</f>
        <v>20200111160423108</v>
      </c>
      <c r="B1045" t="str">
        <f>"1578729863101465"</f>
        <v>1578729863101465</v>
      </c>
      <c r="C1045" t="s">
        <v>40</v>
      </c>
      <c r="D1045">
        <v>5.8088110000000004</v>
      </c>
      <c r="E1045">
        <v>0.62235850000000004</v>
      </c>
      <c r="F1045" t="s">
        <v>47</v>
      </c>
      <c r="G1045">
        <v>-206.89670000000001</v>
      </c>
      <c r="H1045" s="1">
        <v>-4.728664E-6</v>
      </c>
      <c r="I1045">
        <v>365.60129999999998</v>
      </c>
      <c r="J1045">
        <v>-213.7944</v>
      </c>
      <c r="K1045">
        <v>1.107952</v>
      </c>
      <c r="L1045">
        <v>368.4033</v>
      </c>
      <c r="M1045">
        <v>0.99951259999999997</v>
      </c>
      <c r="N1045">
        <v>0</v>
      </c>
      <c r="O1045">
        <v>-2.7857489999999999E-2</v>
      </c>
      <c r="P1045">
        <v>0.99656020000000001</v>
      </c>
      <c r="Q1045">
        <v>-2.8266739999999999E-2</v>
      </c>
      <c r="R1045">
        <v>-7.7903760000000002E-2</v>
      </c>
      <c r="S1045">
        <v>2.9134669999999998</v>
      </c>
      <c r="T1045">
        <v>-0.45805000000000001</v>
      </c>
      <c r="U1045">
        <v>-1.160828</v>
      </c>
      <c r="V1045">
        <v>5.0017150000000003E-2</v>
      </c>
      <c r="W1045">
        <v>-1.4518319999999999E-2</v>
      </c>
      <c r="X1045">
        <v>0.99864280000000005</v>
      </c>
      <c r="Y1045">
        <v>0.34080090000000002</v>
      </c>
      <c r="Z1045">
        <v>-2.1472709999999999E-2</v>
      </c>
      <c r="AA1045">
        <v>0.93989020000000001</v>
      </c>
      <c r="AB1045">
        <v>27</v>
      </c>
      <c r="AC1045">
        <v>6.89769999999998</v>
      </c>
      <c r="AD1045">
        <v>-1.107956728664</v>
      </c>
      <c r="AE1045">
        <v>-2.80200000000002</v>
      </c>
      <c r="AF1045">
        <v>2.5522179896451802</v>
      </c>
      <c r="AG1045">
        <v>-1.107956728664</v>
      </c>
      <c r="AH1045">
        <v>6.8220035168841902</v>
      </c>
      <c r="AI1045">
        <v>98.649115949576</v>
      </c>
      <c r="AJ1045">
        <v>69.488392425434199</v>
      </c>
      <c r="AK1045">
        <v>7.3675719720706203</v>
      </c>
      <c r="AL1045">
        <v>90.831867712516299</v>
      </c>
      <c r="AM1045">
        <v>87.132729623749</v>
      </c>
      <c r="AN1045">
        <v>0.99999996945079195</v>
      </c>
    </row>
    <row r="1046" spans="1:40" x14ac:dyDescent="0.3">
      <c r="A1046" t="str">
        <f>"20200111160423121"</f>
        <v>20200111160423121</v>
      </c>
      <c r="B1046" t="str">
        <f>"1578729863112202"</f>
        <v>1578729863112202</v>
      </c>
      <c r="C1046" t="s">
        <v>40</v>
      </c>
      <c r="D1046">
        <v>5.8067380000000002</v>
      </c>
      <c r="E1046">
        <v>0.62241550000000001</v>
      </c>
      <c r="F1046" t="s">
        <v>47</v>
      </c>
      <c r="G1046">
        <v>-206.858</v>
      </c>
      <c r="H1046" s="1">
        <v>-4.7146419999999996E-6</v>
      </c>
      <c r="I1046">
        <v>365.58330000000001</v>
      </c>
      <c r="J1046">
        <v>-213.63069999999999</v>
      </c>
      <c r="K1046">
        <v>1.107901</v>
      </c>
      <c r="L1046">
        <v>368.3963</v>
      </c>
      <c r="M1046">
        <v>0.99944580000000005</v>
      </c>
      <c r="N1046">
        <v>0</v>
      </c>
      <c r="O1046">
        <v>-3.0162339999999999E-2</v>
      </c>
      <c r="P1046">
        <v>0.99594749999999999</v>
      </c>
      <c r="Q1046">
        <v>-2.9662669999999999E-2</v>
      </c>
      <c r="R1046">
        <v>-8.4907579999999996E-2</v>
      </c>
      <c r="S1046">
        <v>2.9048769999999999</v>
      </c>
      <c r="T1046">
        <v>-0.46399800000000002</v>
      </c>
      <c r="U1046">
        <v>-1.1809689999999999</v>
      </c>
      <c r="V1046">
        <v>5.4722569999999998E-2</v>
      </c>
      <c r="W1046">
        <v>-1.5953330000000002E-2</v>
      </c>
      <c r="X1046">
        <v>0.99837419999999999</v>
      </c>
      <c r="Y1046">
        <v>0.34507910000000003</v>
      </c>
      <c r="Z1046">
        <v>-2.1756640000000001E-2</v>
      </c>
      <c r="AA1046">
        <v>0.93832139999999997</v>
      </c>
      <c r="AB1046">
        <v>27</v>
      </c>
      <c r="AC1046">
        <v>6.77269999999998</v>
      </c>
      <c r="AD1046">
        <v>-1.1079057146419999</v>
      </c>
      <c r="AE1046">
        <v>-2.8129999999999802</v>
      </c>
      <c r="AF1046">
        <v>2.5492388646766</v>
      </c>
      <c r="AG1046">
        <v>-1.1079057146419999</v>
      </c>
      <c r="AH1046">
        <v>6.7015267020200797</v>
      </c>
      <c r="AI1046">
        <v>98.783838289645999</v>
      </c>
      <c r="AJ1046">
        <v>69.1733486753254</v>
      </c>
      <c r="AK1046">
        <v>7.2551039964705</v>
      </c>
      <c r="AL1046">
        <v>90.914097204240505</v>
      </c>
      <c r="AM1046">
        <v>86.862661249572398</v>
      </c>
      <c r="AN1046">
        <v>1.00000005581556</v>
      </c>
    </row>
    <row r="1047" spans="1:40" x14ac:dyDescent="0.3">
      <c r="A1047" t="str">
        <f>"20200111160423136"</f>
        <v>20200111160423136</v>
      </c>
      <c r="B1047" t="str">
        <f>"1578729863131720"</f>
        <v>1578729863131720</v>
      </c>
      <c r="C1047" t="s">
        <v>40</v>
      </c>
      <c r="D1047">
        <v>5.7257150000000001</v>
      </c>
      <c r="E1047">
        <v>0.62246729999999995</v>
      </c>
      <c r="F1047" t="s">
        <v>47</v>
      </c>
      <c r="G1047">
        <v>-206.79949999999999</v>
      </c>
      <c r="H1047" s="1">
        <v>-4.6919519999999997E-6</v>
      </c>
      <c r="I1047">
        <v>365.56259999999997</v>
      </c>
      <c r="J1047">
        <v>-213.4674</v>
      </c>
      <c r="K1047">
        <v>1.107845</v>
      </c>
      <c r="L1047">
        <v>368.3888</v>
      </c>
      <c r="M1047">
        <v>0.99937149999999997</v>
      </c>
      <c r="N1047">
        <v>0</v>
      </c>
      <c r="O1047">
        <v>-3.2527819999999999E-2</v>
      </c>
      <c r="P1047">
        <v>0.99523200000000001</v>
      </c>
      <c r="Q1047">
        <v>-3.102363E-2</v>
      </c>
      <c r="R1047">
        <v>-9.2472250000000006E-2</v>
      </c>
      <c r="S1047">
        <v>2.895813</v>
      </c>
      <c r="T1047">
        <v>-0.46964600000000001</v>
      </c>
      <c r="U1047">
        <v>-1.2012020000000001</v>
      </c>
      <c r="V1047">
        <v>5.9932970000000002E-2</v>
      </c>
      <c r="W1047">
        <v>-1.7358539999999999E-2</v>
      </c>
      <c r="X1047">
        <v>0.99805149999999998</v>
      </c>
      <c r="Y1047">
        <v>0.34937600000000002</v>
      </c>
      <c r="Z1047">
        <v>-2.2021619999999999E-2</v>
      </c>
      <c r="AA1047">
        <v>0.9367238</v>
      </c>
      <c r="AB1047">
        <v>27</v>
      </c>
      <c r="AC1047">
        <v>6.6679000000000004</v>
      </c>
      <c r="AD1047">
        <v>-1.107849691952</v>
      </c>
      <c r="AE1047">
        <v>-2.82620000000002</v>
      </c>
      <c r="AF1047">
        <v>2.5481614190982902</v>
      </c>
      <c r="AG1047">
        <v>-1.107849691952</v>
      </c>
      <c r="AH1047">
        <v>6.60182232469342</v>
      </c>
      <c r="AI1047">
        <v>98.897595058291301</v>
      </c>
      <c r="AJ1047">
        <v>68.894484283688001</v>
      </c>
      <c r="AK1047">
        <v>7.1627170518288397</v>
      </c>
      <c r="AL1047">
        <v>90.9946209964356</v>
      </c>
      <c r="AM1047">
        <v>86.563516424675697</v>
      </c>
      <c r="AN1047">
        <v>1.0000000382281</v>
      </c>
    </row>
    <row r="1048" spans="1:40" x14ac:dyDescent="0.3">
      <c r="A1048" t="str">
        <f>"20200111160423150"</f>
        <v>20200111160423150</v>
      </c>
      <c r="B1048" t="str">
        <f>"1578729863141480"</f>
        <v>1578729863141480</v>
      </c>
      <c r="C1048" t="s">
        <v>40</v>
      </c>
      <c r="D1048">
        <v>5.8842970000000001</v>
      </c>
      <c r="E1048">
        <v>0.62233809999999901</v>
      </c>
      <c r="F1048" t="s">
        <v>47</v>
      </c>
      <c r="G1048">
        <v>-206.7114</v>
      </c>
      <c r="H1048" s="1">
        <v>-4.659245E-6</v>
      </c>
      <c r="I1048">
        <v>365.52510000000001</v>
      </c>
      <c r="J1048">
        <v>-213.3075</v>
      </c>
      <c r="K1048">
        <v>1.1077870000000001</v>
      </c>
      <c r="L1048">
        <v>368.3811</v>
      </c>
      <c r="M1048">
        <v>0.99929210000000002</v>
      </c>
      <c r="N1048">
        <v>0</v>
      </c>
      <c r="O1048">
        <v>-3.4883789999999998E-2</v>
      </c>
      <c r="P1048">
        <v>0.99443839999999994</v>
      </c>
      <c r="Q1048">
        <v>-3.2710509999999998E-2</v>
      </c>
      <c r="R1048">
        <v>-0.1001123</v>
      </c>
      <c r="S1048">
        <v>2.8859560000000002</v>
      </c>
      <c r="T1048">
        <v>-0.47323969999999999</v>
      </c>
      <c r="U1048">
        <v>-1.2232970000000001</v>
      </c>
      <c r="V1048">
        <v>6.5229739999999994E-2</v>
      </c>
      <c r="W1048">
        <v>-1.9092399999999999E-2</v>
      </c>
      <c r="X1048">
        <v>0.99768760000000001</v>
      </c>
      <c r="Y1048">
        <v>0.354301599999999</v>
      </c>
      <c r="Z1048">
        <v>-2.2244489999999999E-2</v>
      </c>
      <c r="AA1048">
        <v>0.93486659999999999</v>
      </c>
      <c r="AB1048">
        <v>27</v>
      </c>
      <c r="AC1048">
        <v>6.5960999999999999</v>
      </c>
      <c r="AD1048">
        <v>-1.1077916592449999</v>
      </c>
      <c r="AE1048">
        <v>-2.8559999999999901</v>
      </c>
      <c r="AF1048">
        <v>2.5632567276734699</v>
      </c>
      <c r="AG1048">
        <v>-1.1077916592449999</v>
      </c>
      <c r="AH1048">
        <v>6.5364624100359503</v>
      </c>
      <c r="AI1048">
        <v>98.966252008641206</v>
      </c>
      <c r="AJ1048">
        <v>68.587500524316397</v>
      </c>
      <c r="AK1048">
        <v>7.1079412103695097</v>
      </c>
      <c r="AL1048">
        <v>91.093980418256805</v>
      </c>
      <c r="AM1048">
        <v>86.259272887411001</v>
      </c>
      <c r="AN1048">
        <v>0.99999999295599296</v>
      </c>
    </row>
    <row r="1049" spans="1:40" x14ac:dyDescent="0.3">
      <c r="A1049" t="str">
        <f>"20200111160423162"</f>
        <v>20200111160423162</v>
      </c>
      <c r="B1049" t="str">
        <f>"1578729863152216"</f>
        <v>1578729863152216</v>
      </c>
      <c r="C1049" t="s">
        <v>40</v>
      </c>
      <c r="D1049">
        <v>5.6992029999999998</v>
      </c>
      <c r="E1049">
        <v>0.62253040000000004</v>
      </c>
      <c r="F1049" t="s">
        <v>47</v>
      </c>
      <c r="G1049">
        <v>-206.6429</v>
      </c>
      <c r="H1049" s="1">
        <v>-4.6331819999999999E-6</v>
      </c>
      <c r="I1049">
        <v>365.49889999999999</v>
      </c>
      <c r="J1049">
        <v>-213.1439</v>
      </c>
      <c r="K1049">
        <v>1.1077129999999999</v>
      </c>
      <c r="L1049">
        <v>368.37290000000002</v>
      </c>
      <c r="M1049">
        <v>0.99920319999999996</v>
      </c>
      <c r="N1049">
        <v>0</v>
      </c>
      <c r="O1049">
        <v>-3.7340850000000002E-2</v>
      </c>
      <c r="P1049">
        <v>0.99296030000000002</v>
      </c>
      <c r="Q1049">
        <v>-3.6358559999999998E-2</v>
      </c>
      <c r="R1049">
        <v>-0.112731</v>
      </c>
      <c r="S1049">
        <v>2.875839</v>
      </c>
      <c r="T1049">
        <v>-0.47802820000000001</v>
      </c>
      <c r="U1049">
        <v>-1.243744</v>
      </c>
      <c r="V1049">
        <v>7.5413869999999994E-2</v>
      </c>
      <c r="W1049">
        <v>-2.282969E-2</v>
      </c>
      <c r="X1049">
        <v>0.99689099999999997</v>
      </c>
      <c r="Y1049">
        <v>0.35869139999999999</v>
      </c>
      <c r="Z1049">
        <v>-2.2469409999999999E-2</v>
      </c>
      <c r="AA1049">
        <v>0.93318579999999995</v>
      </c>
      <c r="AB1049">
        <v>27</v>
      </c>
      <c r="AC1049">
        <v>6.5010000000000003</v>
      </c>
      <c r="AD1049">
        <v>-1.107717633182</v>
      </c>
      <c r="AE1049">
        <v>-2.8740000000000201</v>
      </c>
      <c r="AF1049">
        <v>2.5668770629005002</v>
      </c>
      <c r="AG1049">
        <v>-1.107717633182</v>
      </c>
      <c r="AH1049">
        <v>6.4472114302407304</v>
      </c>
      <c r="AI1049">
        <v>99.069442993101603</v>
      </c>
      <c r="AJ1049">
        <v>68.290640618259403</v>
      </c>
      <c r="AK1049">
        <v>7.0272634387173598</v>
      </c>
      <c r="AL1049">
        <v>91.308158462061897</v>
      </c>
      <c r="AM1049">
        <v>85.673867915053606</v>
      </c>
      <c r="AN1049">
        <v>1.00000005620743</v>
      </c>
    </row>
    <row r="1050" spans="1:40" x14ac:dyDescent="0.3">
      <c r="A1050" t="str">
        <f>"20200111160423176"</f>
        <v>20200111160423176</v>
      </c>
      <c r="B1050" t="str">
        <f>"1578729863171736"</f>
        <v>1578729863171736</v>
      </c>
      <c r="C1050" t="s">
        <v>40</v>
      </c>
      <c r="D1050">
        <v>5.7848389999999998</v>
      </c>
      <c r="E1050">
        <v>0.62226530000000002</v>
      </c>
      <c r="F1050" t="s">
        <v>47</v>
      </c>
      <c r="G1050">
        <v>-206.66550000000001</v>
      </c>
      <c r="H1050" s="1">
        <v>-4.6501669999999997E-6</v>
      </c>
      <c r="I1050">
        <v>365.46960000000001</v>
      </c>
      <c r="J1050">
        <v>-212.9872</v>
      </c>
      <c r="K1050">
        <v>1.1076440000000001</v>
      </c>
      <c r="L1050">
        <v>368.36439999999999</v>
      </c>
      <c r="M1050">
        <v>0.99910940000000004</v>
      </c>
      <c r="N1050">
        <v>0</v>
      </c>
      <c r="O1050">
        <v>-3.9768369999999997E-2</v>
      </c>
      <c r="P1050">
        <v>0.99198589999999998</v>
      </c>
      <c r="Q1050">
        <v>-3.8667390000000003E-2</v>
      </c>
      <c r="R1050">
        <v>-0.12028700000000001</v>
      </c>
      <c r="S1050">
        <v>2.8579560000000002</v>
      </c>
      <c r="T1050">
        <v>-0.48866890000000002</v>
      </c>
      <c r="U1050">
        <v>-1.280762</v>
      </c>
      <c r="V1050">
        <v>8.0561629999999995E-2</v>
      </c>
      <c r="W1050">
        <v>-2.5189679999999999E-2</v>
      </c>
      <c r="X1050">
        <v>0.99643130000000002</v>
      </c>
      <c r="Y1050">
        <v>0.36837520000000001</v>
      </c>
      <c r="Z1050">
        <v>-2.3430630000000001E-2</v>
      </c>
      <c r="AA1050">
        <v>0.92938189999999998</v>
      </c>
      <c r="AB1050">
        <v>27</v>
      </c>
      <c r="AC1050">
        <v>6.3216999999999901</v>
      </c>
      <c r="AD1050">
        <v>-1.107648650167</v>
      </c>
      <c r="AE1050">
        <v>-2.8947999999999698</v>
      </c>
      <c r="AF1050">
        <v>2.5757134377044002</v>
      </c>
      <c r="AG1050">
        <v>-1.107648650167</v>
      </c>
      <c r="AH1050">
        <v>6.2726416080611198</v>
      </c>
      <c r="AI1050">
        <v>99.277261790403799</v>
      </c>
      <c r="AJ1050">
        <v>67.675643076771394</v>
      </c>
      <c r="AK1050">
        <v>6.8707509042729402</v>
      </c>
      <c r="AL1050">
        <v>91.443415001707606</v>
      </c>
      <c r="AM1050">
        <v>85.377681209575698</v>
      </c>
      <c r="AN1050">
        <v>1.0000000159132201</v>
      </c>
    </row>
    <row r="1051" spans="1:40" x14ac:dyDescent="0.3">
      <c r="A1051" t="str">
        <f>"20200111160423189"</f>
        <v>20200111160423189</v>
      </c>
      <c r="B1051" t="str">
        <f>"1578729863181497"</f>
        <v>1578729863181497</v>
      </c>
      <c r="C1051" t="s">
        <v>40</v>
      </c>
      <c r="D1051">
        <v>5.8134139999999999</v>
      </c>
      <c r="E1051">
        <v>0.62189050000000001</v>
      </c>
      <c r="F1051" t="s">
        <v>47</v>
      </c>
      <c r="G1051">
        <v>-206.6054</v>
      </c>
      <c r="H1051" s="1">
        <v>-4.6264789999999997E-6</v>
      </c>
      <c r="I1051">
        <v>365.45030000000003</v>
      </c>
      <c r="J1051">
        <v>-212.83459999999999</v>
      </c>
      <c r="K1051">
        <v>1.1075729999999999</v>
      </c>
      <c r="L1051">
        <v>368.35579999999999</v>
      </c>
      <c r="M1051">
        <v>0.99901099999999998</v>
      </c>
      <c r="N1051">
        <v>0</v>
      </c>
      <c r="O1051">
        <v>-4.2168959999999998E-2</v>
      </c>
      <c r="P1051">
        <v>0.99094289999999996</v>
      </c>
      <c r="Q1051">
        <v>-4.1023230000000001E-2</v>
      </c>
      <c r="R1051">
        <v>-0.127864899999999</v>
      </c>
      <c r="S1051">
        <v>2.847305</v>
      </c>
      <c r="T1051">
        <v>-0.49419180000000001</v>
      </c>
      <c r="U1051">
        <v>-1.300171</v>
      </c>
      <c r="V1051">
        <v>8.5762580000000005E-2</v>
      </c>
      <c r="W1051">
        <v>-2.7599129999999999E-2</v>
      </c>
      <c r="X1051">
        <v>0.99593330000000002</v>
      </c>
      <c r="Y1051">
        <v>0.37256980000000001</v>
      </c>
      <c r="Z1051">
        <v>-2.3692999999999999E-2</v>
      </c>
      <c r="AA1051">
        <v>0.92770169999999996</v>
      </c>
      <c r="AB1051">
        <v>27</v>
      </c>
      <c r="AC1051">
        <v>6.2291999999999899</v>
      </c>
      <c r="AD1051">
        <v>-1.1075776264789901</v>
      </c>
      <c r="AE1051">
        <v>-2.90549999999996</v>
      </c>
      <c r="AF1051">
        <v>2.57339109081212</v>
      </c>
      <c r="AG1051">
        <v>-1.1075776264789901</v>
      </c>
      <c r="AH1051">
        <v>6.1855814495976604</v>
      </c>
      <c r="AI1051">
        <v>99.387321298270393</v>
      </c>
      <c r="AJ1051">
        <v>67.411195444424095</v>
      </c>
      <c r="AK1051">
        <v>6.7904703647504903</v>
      </c>
      <c r="AL1051">
        <v>91.581514431513298</v>
      </c>
      <c r="AM1051">
        <v>85.078243091875606</v>
      </c>
      <c r="AN1051">
        <v>1.00000003507695</v>
      </c>
    </row>
    <row r="1052" spans="1:40" x14ac:dyDescent="0.3">
      <c r="A1052" t="str">
        <f>"20200111160423201"</f>
        <v>20200111160423201</v>
      </c>
      <c r="B1052" t="str">
        <f>"1578729863191256"</f>
        <v>1578729863191256</v>
      </c>
      <c r="C1052" t="s">
        <v>40</v>
      </c>
      <c r="D1052">
        <v>5.8027819999999997</v>
      </c>
      <c r="E1052">
        <v>0.62148340000000002</v>
      </c>
      <c r="F1052" t="s">
        <v>47</v>
      </c>
      <c r="G1052">
        <v>-206.56229999999999</v>
      </c>
      <c r="H1052" s="1">
        <v>-4.6086759999999998E-6</v>
      </c>
      <c r="I1052">
        <v>365.44</v>
      </c>
      <c r="J1052">
        <v>-212.69040000000001</v>
      </c>
      <c r="K1052">
        <v>1.107505</v>
      </c>
      <c r="L1052">
        <v>368.34730000000002</v>
      </c>
      <c r="M1052">
        <v>0.99891050000000003</v>
      </c>
      <c r="N1052">
        <v>0</v>
      </c>
      <c r="O1052">
        <v>-4.448336E-2</v>
      </c>
      <c r="P1052">
        <v>0.98982490000000001</v>
      </c>
      <c r="Q1052">
        <v>-4.3061820000000001E-2</v>
      </c>
      <c r="R1052">
        <v>-0.13561960000000001</v>
      </c>
      <c r="S1052">
        <v>2.8365170000000002</v>
      </c>
      <c r="T1052">
        <v>-0.5008821</v>
      </c>
      <c r="U1052">
        <v>-1.3186040000000001</v>
      </c>
      <c r="V1052">
        <v>9.1233629999999996E-2</v>
      </c>
      <c r="W1052">
        <v>-2.9695200000000001E-2</v>
      </c>
      <c r="X1052">
        <v>0.99538669999999996</v>
      </c>
      <c r="Y1052">
        <v>0.37657669999999999</v>
      </c>
      <c r="Z1052">
        <v>-2.4011370000000001E-2</v>
      </c>
      <c r="AA1052">
        <v>0.92607419999999996</v>
      </c>
      <c r="AB1052">
        <v>26</v>
      </c>
      <c r="AC1052">
        <v>6.1281000000000097</v>
      </c>
      <c r="AD1052">
        <v>-1.1075096086759999</v>
      </c>
      <c r="AE1052">
        <v>-2.9073000000000202</v>
      </c>
      <c r="AF1052">
        <v>2.5634511413343701</v>
      </c>
      <c r="AG1052">
        <v>-1.1075096086759999</v>
      </c>
      <c r="AH1052">
        <v>6.0890309126726399</v>
      </c>
      <c r="AI1052">
        <v>99.516354210934296</v>
      </c>
      <c r="AJ1052">
        <v>67.169154095799598</v>
      </c>
      <c r="AK1052">
        <v>6.6988175630331304</v>
      </c>
      <c r="AL1052">
        <v>91.701659729617006</v>
      </c>
      <c r="AM1052">
        <v>84.763103360369897</v>
      </c>
      <c r="AN1052">
        <v>1.0000000313414501</v>
      </c>
    </row>
    <row r="1053" spans="1:40" x14ac:dyDescent="0.3">
      <c r="A1053" t="str">
        <f>"20200111160423213"</f>
        <v>20200111160423213</v>
      </c>
      <c r="B1053" t="str">
        <f>"1578729863201992"</f>
        <v>1578729863201992</v>
      </c>
      <c r="C1053" t="s">
        <v>40</v>
      </c>
      <c r="D1053">
        <v>5.7609389999999996</v>
      </c>
      <c r="E1053">
        <v>0.62111590000000005</v>
      </c>
      <c r="F1053" t="s">
        <v>47</v>
      </c>
      <c r="G1053">
        <v>-206.51050000000001</v>
      </c>
      <c r="H1053" s="1">
        <v>-4.5885329999999996E-6</v>
      </c>
      <c r="I1053">
        <v>365.42200000000003</v>
      </c>
      <c r="J1053">
        <v>-212.5455</v>
      </c>
      <c r="K1053">
        <v>1.107437</v>
      </c>
      <c r="L1053">
        <v>368.3383</v>
      </c>
      <c r="M1053">
        <v>0.99880139999999995</v>
      </c>
      <c r="N1053">
        <v>0</v>
      </c>
      <c r="O1053">
        <v>-4.6867510000000001E-2</v>
      </c>
      <c r="P1053">
        <v>0.98864079999999999</v>
      </c>
      <c r="Q1053">
        <v>-4.5148639999999997E-2</v>
      </c>
      <c r="R1053">
        <v>-0.14335719999999999</v>
      </c>
      <c r="S1053">
        <v>2.8255620000000001</v>
      </c>
      <c r="T1053">
        <v>-0.50637759999999998</v>
      </c>
      <c r="U1053">
        <v>-1.337494</v>
      </c>
      <c r="V1053">
        <v>9.6622760000000002E-2</v>
      </c>
      <c r="W1053">
        <v>-3.184062E-2</v>
      </c>
      <c r="X1053">
        <v>0.99481169999999997</v>
      </c>
      <c r="Y1053">
        <v>0.38068039999999997</v>
      </c>
      <c r="Z1053">
        <v>-2.426969E-2</v>
      </c>
      <c r="AA1053">
        <v>0.92438819999999999</v>
      </c>
      <c r="AB1053">
        <v>26</v>
      </c>
      <c r="AC1053">
        <v>6.0349999999999904</v>
      </c>
      <c r="AD1053">
        <v>-1.107441588533</v>
      </c>
      <c r="AE1053">
        <v>-2.9163000000000299</v>
      </c>
      <c r="AF1053">
        <v>2.5603272140218301</v>
      </c>
      <c r="AG1053">
        <v>-1.107441588533</v>
      </c>
      <c r="AH1053">
        <v>6.0012337395437996</v>
      </c>
      <c r="AI1053">
        <v>99.633226418384893</v>
      </c>
      <c r="AJ1053">
        <v>66.895281943449604</v>
      </c>
      <c r="AK1053">
        <v>6.6178930719309896</v>
      </c>
      <c r="AL1053">
        <v>91.824641450476307</v>
      </c>
      <c r="AM1053">
        <v>84.452451790449203</v>
      </c>
      <c r="AN1053">
        <v>1.00000005064444</v>
      </c>
    </row>
    <row r="1054" spans="1:40" x14ac:dyDescent="0.3">
      <c r="A1054" t="str">
        <f>"20200111160423226"</f>
        <v>20200111160423226</v>
      </c>
      <c r="B1054" t="str">
        <f>"1578729863221512"</f>
        <v>1578729863221512</v>
      </c>
      <c r="C1054" t="s">
        <v>40</v>
      </c>
      <c r="D1054">
        <v>5.8424509999999996</v>
      </c>
      <c r="E1054">
        <v>0.62009360000000002</v>
      </c>
      <c r="F1054" t="s">
        <v>47</v>
      </c>
      <c r="G1054">
        <v>-206.46109999999999</v>
      </c>
      <c r="H1054" s="1">
        <v>-4.5691279999999999E-6</v>
      </c>
      <c r="I1054">
        <v>365.40559999999999</v>
      </c>
      <c r="J1054">
        <v>-212.38900000000001</v>
      </c>
      <c r="K1054">
        <v>1.1073649999999999</v>
      </c>
      <c r="L1054">
        <v>368.32830000000001</v>
      </c>
      <c r="M1054">
        <v>0.99867550000000005</v>
      </c>
      <c r="N1054">
        <v>0</v>
      </c>
      <c r="O1054">
        <v>-4.9479130000000003E-2</v>
      </c>
      <c r="P1054">
        <v>0.98737439999999999</v>
      </c>
      <c r="Q1054">
        <v>-4.6680810000000003E-2</v>
      </c>
      <c r="R1054">
        <v>-0.15136949999999999</v>
      </c>
      <c r="S1054">
        <v>2.8143919999999998</v>
      </c>
      <c r="T1054">
        <v>-0.51225039999999999</v>
      </c>
      <c r="U1054">
        <v>-1.356506</v>
      </c>
      <c r="V1054">
        <v>0.1020711</v>
      </c>
      <c r="W1054">
        <v>-3.3434539999999999E-2</v>
      </c>
      <c r="X1054">
        <v>0.99421510000000002</v>
      </c>
      <c r="Y1054">
        <v>0.38462970000000002</v>
      </c>
      <c r="Z1054">
        <v>-2.4494769999999999E-2</v>
      </c>
      <c r="AA1054">
        <v>0.92274590000000001</v>
      </c>
      <c r="AB1054">
        <v>26</v>
      </c>
      <c r="AC1054">
        <v>5.9279000000000197</v>
      </c>
      <c r="AD1054">
        <v>-1.1073695691280001</v>
      </c>
      <c r="AE1054">
        <v>-2.9227000000000198</v>
      </c>
      <c r="AF1054">
        <v>2.5540834279154101</v>
      </c>
      <c r="AG1054">
        <v>-1.1073695691280001</v>
      </c>
      <c r="AH1054">
        <v>5.8996470790908999</v>
      </c>
      <c r="AI1054">
        <v>99.773402765755904</v>
      </c>
      <c r="AJ1054">
        <v>66.591181300983905</v>
      </c>
      <c r="AK1054">
        <v>6.5234534701497404</v>
      </c>
      <c r="AL1054">
        <v>91.916015079372798</v>
      </c>
      <c r="AM1054">
        <v>84.138265270051704</v>
      </c>
      <c r="AN1054">
        <v>1.00000002149411</v>
      </c>
    </row>
    <row r="1055" spans="1:40" x14ac:dyDescent="0.3">
      <c r="A1055" t="str">
        <f>"20200111160423240"</f>
        <v>20200111160423240</v>
      </c>
      <c r="B1055" t="str">
        <f>"1578729863231272"</f>
        <v>1578729863231272</v>
      </c>
      <c r="C1055" t="s">
        <v>40</v>
      </c>
      <c r="D1055">
        <v>6.0559760000000002</v>
      </c>
      <c r="E1055">
        <v>0.62009360000000002</v>
      </c>
      <c r="F1055" t="s">
        <v>47</v>
      </c>
      <c r="G1055">
        <v>-206.36959999999999</v>
      </c>
      <c r="H1055" s="1">
        <v>-4.5309229999999997E-6</v>
      </c>
      <c r="I1055">
        <v>365.38569999999999</v>
      </c>
      <c r="J1055">
        <v>-212.21950000000001</v>
      </c>
      <c r="K1055">
        <v>1.107283</v>
      </c>
      <c r="L1055">
        <v>368.31670000000003</v>
      </c>
      <c r="M1055">
        <v>0.99852759999999996</v>
      </c>
      <c r="N1055">
        <v>0</v>
      </c>
      <c r="O1055">
        <v>-5.2378180000000003E-2</v>
      </c>
      <c r="P1055">
        <v>0.98500699999999997</v>
      </c>
      <c r="Q1055">
        <v>-4.9377150000000002E-2</v>
      </c>
      <c r="R1055">
        <v>-0.16529779999999999</v>
      </c>
      <c r="S1055">
        <v>2.8038479999999999</v>
      </c>
      <c r="T1055">
        <v>-0.51581140000000003</v>
      </c>
      <c r="U1055">
        <v>-1.370636</v>
      </c>
      <c r="V1055">
        <v>0.113192</v>
      </c>
      <c r="W1055">
        <v>-3.6249730000000001E-2</v>
      </c>
      <c r="X1055">
        <v>0.99291160000000001</v>
      </c>
      <c r="Y1055">
        <v>0.38700010000000001</v>
      </c>
      <c r="Z1055">
        <v>-2.4427109999999998E-2</v>
      </c>
      <c r="AA1055">
        <v>0.92175609999999997</v>
      </c>
      <c r="AB1055">
        <v>26</v>
      </c>
      <c r="AC1055">
        <v>5.8499000000000096</v>
      </c>
      <c r="AD1055">
        <v>-1.1072875309229999</v>
      </c>
      <c r="AE1055">
        <v>-2.93100000000004</v>
      </c>
      <c r="AF1055">
        <v>2.5475787204631501</v>
      </c>
      <c r="AG1055">
        <v>-1.1072875309229999</v>
      </c>
      <c r="AH1055">
        <v>5.8284834949262301</v>
      </c>
      <c r="AI1055">
        <v>99.874895617558806</v>
      </c>
      <c r="AJ1055">
        <v>66.3902858012123</v>
      </c>
      <c r="AK1055">
        <v>6.4565829092269702</v>
      </c>
      <c r="AL1055">
        <v>92.077411761051096</v>
      </c>
      <c r="AM1055">
        <v>83.496353512575396</v>
      </c>
      <c r="AN1055">
        <v>0.99999995860181501</v>
      </c>
    </row>
    <row r="1056" spans="1:40" x14ac:dyDescent="0.3">
      <c r="A1056" t="str">
        <f>"20200111160423253"</f>
        <v>20200111160423253</v>
      </c>
      <c r="B1056" t="str">
        <f>"1578729863242008"</f>
        <v>1578729863242008</v>
      </c>
      <c r="C1056" t="s">
        <v>40</v>
      </c>
      <c r="D1056">
        <v>5.8539560000000002</v>
      </c>
      <c r="E1056">
        <v>0.59996070000000001</v>
      </c>
      <c r="F1056" t="s">
        <v>47</v>
      </c>
      <c r="G1056">
        <v>-206.3672</v>
      </c>
      <c r="H1056" s="1">
        <v>-4.5368630000000002E-6</v>
      </c>
      <c r="I1056">
        <v>365.35390000000001</v>
      </c>
      <c r="J1056">
        <v>-212.07550000000001</v>
      </c>
      <c r="K1056">
        <v>1.1072200000000001</v>
      </c>
      <c r="L1056">
        <v>368.30650000000003</v>
      </c>
      <c r="M1056">
        <v>0.99839219999999895</v>
      </c>
      <c r="N1056">
        <v>0</v>
      </c>
      <c r="O1056">
        <v>-5.4895659999999999E-2</v>
      </c>
      <c r="P1056">
        <v>0.98350579999999999</v>
      </c>
      <c r="Q1056">
        <v>-5.0321030000000003E-2</v>
      </c>
      <c r="R1056">
        <v>-0.17373569999999999</v>
      </c>
      <c r="S1056">
        <v>2.7828369999999998</v>
      </c>
      <c r="T1056">
        <v>-0.52652379999999999</v>
      </c>
      <c r="U1056">
        <v>-1.408844</v>
      </c>
      <c r="V1056">
        <v>0.1191846</v>
      </c>
      <c r="W1056">
        <v>-3.7263409999999997E-2</v>
      </c>
      <c r="X1056">
        <v>0.99217259999999996</v>
      </c>
      <c r="Y1056">
        <v>0.39720440000000001</v>
      </c>
      <c r="Z1056">
        <v>-2.5484400000000001E-2</v>
      </c>
      <c r="AA1056">
        <v>0.91737630000000003</v>
      </c>
      <c r="AB1056">
        <v>26</v>
      </c>
      <c r="AC1056">
        <v>5.7083000000000004</v>
      </c>
      <c r="AD1056">
        <v>-1.107224536863</v>
      </c>
      <c r="AE1056">
        <v>-2.9526000000000101</v>
      </c>
      <c r="AF1056">
        <v>2.5588040308741999</v>
      </c>
      <c r="AG1056">
        <v>-1.107224536863</v>
      </c>
      <c r="AH1056">
        <v>5.6928170205082802</v>
      </c>
      <c r="AI1056">
        <v>100.059544196907</v>
      </c>
      <c r="AJ1056">
        <v>65.797064218631803</v>
      </c>
      <c r="AK1056">
        <v>6.33889500405538</v>
      </c>
      <c r="AL1056">
        <v>92.135530538460401</v>
      </c>
      <c r="AM1056">
        <v>83.150173991680603</v>
      </c>
      <c r="AN1056">
        <v>0.99999999939637396</v>
      </c>
    </row>
    <row r="1057" spans="1:40" x14ac:dyDescent="0.3">
      <c r="A1057" t="str">
        <f>"20200111160423267"</f>
        <v>20200111160423267</v>
      </c>
      <c r="B1057" t="str">
        <f>"1578729863261528"</f>
        <v>1578729863261528</v>
      </c>
      <c r="C1057" t="s">
        <v>40</v>
      </c>
      <c r="D1057">
        <v>6.2458660000000004</v>
      </c>
      <c r="E1057">
        <v>0.5997673</v>
      </c>
      <c r="F1057" t="s">
        <v>47</v>
      </c>
      <c r="G1057">
        <v>-206.02719999999999</v>
      </c>
      <c r="H1057" s="1">
        <v>-4.3347409999999998E-6</v>
      </c>
      <c r="I1057">
        <v>365.55119999999999</v>
      </c>
      <c r="J1057">
        <v>-211.91749999999999</v>
      </c>
      <c r="K1057">
        <v>1.1071500000000001</v>
      </c>
      <c r="L1057">
        <v>368.29489999999998</v>
      </c>
      <c r="M1057">
        <v>0.99823470000000003</v>
      </c>
      <c r="N1057">
        <v>0</v>
      </c>
      <c r="O1057">
        <v>-5.7689669999999998E-2</v>
      </c>
      <c r="P1057">
        <v>0.98193929999999996</v>
      </c>
      <c r="Q1057">
        <v>-5.1446770000000003E-2</v>
      </c>
      <c r="R1057">
        <v>-0.18206820000000001</v>
      </c>
      <c r="S1057">
        <v>2.7988740000000001</v>
      </c>
      <c r="T1057">
        <v>-0.51237449999999995</v>
      </c>
      <c r="U1057">
        <v>-1.274994</v>
      </c>
      <c r="V1057">
        <v>0.12480330000000001</v>
      </c>
      <c r="W1057">
        <v>-3.8458199999999998E-2</v>
      </c>
      <c r="X1057">
        <v>0.99143590000000004</v>
      </c>
      <c r="Y1057">
        <v>0.35725440000000003</v>
      </c>
      <c r="Z1057">
        <v>-2.097941E-2</v>
      </c>
      <c r="AA1057">
        <v>0.93377140000000003</v>
      </c>
      <c r="AB1057">
        <v>26</v>
      </c>
      <c r="AC1057">
        <v>5.8902999999999901</v>
      </c>
      <c r="AD1057">
        <v>-1.107154334741</v>
      </c>
      <c r="AE1057">
        <v>-2.7436999999999898</v>
      </c>
      <c r="AF1057">
        <v>2.3315976960497</v>
      </c>
      <c r="AG1057">
        <v>-1.107154334741</v>
      </c>
      <c r="AH1057">
        <v>5.8684209806810097</v>
      </c>
      <c r="AI1057">
        <v>99.944660910851994</v>
      </c>
      <c r="AJ1057">
        <v>68.331451083342102</v>
      </c>
      <c r="AK1057">
        <v>6.4109674265010197</v>
      </c>
      <c r="AL1057">
        <v>92.204036037776007</v>
      </c>
      <c r="AM1057">
        <v>82.825267712209694</v>
      </c>
      <c r="AN1057">
        <v>1.00000002032346</v>
      </c>
    </row>
    <row r="1058" spans="1:40" x14ac:dyDescent="0.3">
      <c r="A1058" t="str">
        <f>"20200111160423279"</f>
        <v>20200111160423279</v>
      </c>
      <c r="B1058" t="str">
        <f>"1578729863272264"</f>
        <v>1578729863272264</v>
      </c>
      <c r="C1058" t="s">
        <v>40</v>
      </c>
      <c r="D1058">
        <v>5.9019490000000001</v>
      </c>
      <c r="E1058">
        <v>0.59829960000000004</v>
      </c>
      <c r="F1058" t="s">
        <v>47</v>
      </c>
      <c r="G1058">
        <v>-205.9196</v>
      </c>
      <c r="H1058" s="1">
        <v>-4.2949080000000004E-6</v>
      </c>
      <c r="I1058">
        <v>365.50490000000002</v>
      </c>
      <c r="J1058">
        <v>-211.7628</v>
      </c>
      <c r="K1058">
        <v>1.1070879999999901</v>
      </c>
      <c r="L1058">
        <v>368.28300000000002</v>
      </c>
      <c r="M1058">
        <v>0.99806930000000005</v>
      </c>
      <c r="N1058">
        <v>0</v>
      </c>
      <c r="O1058">
        <v>-6.0481630000000002E-2</v>
      </c>
      <c r="P1058">
        <v>0.98017569999999998</v>
      </c>
      <c r="Q1058">
        <v>-5.2791079999999997E-2</v>
      </c>
      <c r="R1058">
        <v>-0.19096920000000001</v>
      </c>
      <c r="S1058">
        <v>2.7877960000000002</v>
      </c>
      <c r="T1058">
        <v>-0.51460620000000001</v>
      </c>
      <c r="U1058">
        <v>-1.296783</v>
      </c>
      <c r="V1058">
        <v>0.1310064</v>
      </c>
      <c r="W1058">
        <v>-3.987802E-2</v>
      </c>
      <c r="X1058">
        <v>0.99057910000000005</v>
      </c>
      <c r="Y1058">
        <v>0.36198469999999999</v>
      </c>
      <c r="Z1058">
        <v>-2.1042269999999998E-2</v>
      </c>
      <c r="AA1058">
        <v>0.93194650000000001</v>
      </c>
      <c r="AB1058">
        <v>26</v>
      </c>
      <c r="AC1058">
        <v>5.8431999999999897</v>
      </c>
      <c r="AD1058">
        <v>-1.10709229490799</v>
      </c>
      <c r="AE1058">
        <v>-2.77809999999999</v>
      </c>
      <c r="AF1058">
        <v>2.3507436049970698</v>
      </c>
      <c r="AG1058">
        <v>-1.10709229490799</v>
      </c>
      <c r="AH1058">
        <v>5.8298480236103503</v>
      </c>
      <c r="AI1058">
        <v>99.9885988191743</v>
      </c>
      <c r="AJ1058">
        <v>68.039449216566496</v>
      </c>
      <c r="AK1058">
        <v>6.3826935398993401</v>
      </c>
      <c r="AL1058">
        <v>92.285448385540704</v>
      </c>
      <c r="AM1058">
        <v>82.466219948989206</v>
      </c>
      <c r="AN1058">
        <v>0.999999943338443</v>
      </c>
    </row>
    <row r="1059" spans="1:40" x14ac:dyDescent="0.3">
      <c r="A1059" t="str">
        <f>"20200111160423290"</f>
        <v>20200111160423290</v>
      </c>
      <c r="B1059" t="str">
        <f>"1578729863282025"</f>
        <v>1578729863282025</v>
      </c>
      <c r="C1059" t="s">
        <v>40</v>
      </c>
      <c r="D1059">
        <v>5.8483879999999999</v>
      </c>
      <c r="E1059">
        <v>0.59710459999999999</v>
      </c>
      <c r="F1059" t="s">
        <v>47</v>
      </c>
      <c r="G1059">
        <v>-205.81639999999999</v>
      </c>
      <c r="H1059" s="1">
        <v>-4.25279999999999E-6</v>
      </c>
      <c r="I1059">
        <v>365.47789999999998</v>
      </c>
      <c r="J1059">
        <v>-211.6241</v>
      </c>
      <c r="K1059">
        <v>1.1070340000000001</v>
      </c>
      <c r="L1059">
        <v>368.27190000000002</v>
      </c>
      <c r="M1059">
        <v>0.99791200000000002</v>
      </c>
      <c r="N1059">
        <v>0</v>
      </c>
      <c r="O1059">
        <v>-6.3021460000000001E-2</v>
      </c>
      <c r="P1059">
        <v>0.97844399999999998</v>
      </c>
      <c r="Q1059">
        <v>-5.3879629999999998E-2</v>
      </c>
      <c r="R1059">
        <v>-0.19936019999999999</v>
      </c>
      <c r="S1059">
        <v>2.777542</v>
      </c>
      <c r="T1059">
        <v>-0.5171173</v>
      </c>
      <c r="U1059">
        <v>-1.3102419999999999</v>
      </c>
      <c r="V1059">
        <v>0.13695660000000001</v>
      </c>
      <c r="W1059">
        <v>-4.1039050000000001E-2</v>
      </c>
      <c r="X1059">
        <v>0.98972660000000001</v>
      </c>
      <c r="Y1059">
        <v>0.3645736</v>
      </c>
      <c r="Z1059">
        <v>-2.097837E-2</v>
      </c>
      <c r="AA1059">
        <v>0.93093820000000005</v>
      </c>
      <c r="AB1059">
        <v>26</v>
      </c>
      <c r="AC1059">
        <v>5.8077000000000103</v>
      </c>
      <c r="AD1059">
        <v>-1.1070382528</v>
      </c>
      <c r="AE1059">
        <v>-2.79400000000004</v>
      </c>
      <c r="AF1059">
        <v>2.35297299812835</v>
      </c>
      <c r="AG1059">
        <v>-1.1070382528</v>
      </c>
      <c r="AH1059">
        <v>5.80108870460767</v>
      </c>
      <c r="AI1059">
        <v>100.02849165069701</v>
      </c>
      <c r="AJ1059">
        <v>67.922089320231606</v>
      </c>
      <c r="AK1059">
        <v>6.3572514329551497</v>
      </c>
      <c r="AL1059">
        <v>92.352024823690002</v>
      </c>
      <c r="AM1059">
        <v>82.121545027856598</v>
      </c>
      <c r="AN1059">
        <v>1.0000000283280099</v>
      </c>
    </row>
    <row r="1060" spans="1:40" x14ac:dyDescent="0.3">
      <c r="A1060" t="str">
        <f>"20200111160423303"</f>
        <v>20200111160423303</v>
      </c>
      <c r="B1060" t="str">
        <f>"1578729863291785"</f>
        <v>1578729863291785</v>
      </c>
      <c r="C1060" t="s">
        <v>40</v>
      </c>
      <c r="D1060">
        <v>5.8616440000000001</v>
      </c>
      <c r="E1060">
        <v>0.59672000000000003</v>
      </c>
      <c r="F1060" t="s">
        <v>47</v>
      </c>
      <c r="G1060">
        <v>-205.67740000000001</v>
      </c>
      <c r="H1060" s="1">
        <v>-4.1994440000000003E-6</v>
      </c>
      <c r="I1060">
        <v>365.42649999999998</v>
      </c>
      <c r="J1060">
        <v>-211.48320000000001</v>
      </c>
      <c r="K1060">
        <v>1.106981</v>
      </c>
      <c r="L1060">
        <v>368.26029999999997</v>
      </c>
      <c r="M1060">
        <v>0.99774439999999998</v>
      </c>
      <c r="N1060">
        <v>0</v>
      </c>
      <c r="O1060">
        <v>-6.5623600000000004E-2</v>
      </c>
      <c r="P1060">
        <v>0.97654269999999999</v>
      </c>
      <c r="Q1060">
        <v>-5.5122089999999999E-2</v>
      </c>
      <c r="R1060">
        <v>-0.20814969999999999</v>
      </c>
      <c r="S1060">
        <v>2.7678829999999999</v>
      </c>
      <c r="T1060">
        <v>-0.51526079999999996</v>
      </c>
      <c r="U1060">
        <v>-1.324371</v>
      </c>
      <c r="V1060">
        <v>0.1432571</v>
      </c>
      <c r="W1060">
        <v>-4.2359229999999998E-2</v>
      </c>
      <c r="X1060">
        <v>0.98877859999999995</v>
      </c>
      <c r="Y1060">
        <v>0.36729030000000001</v>
      </c>
      <c r="Z1060">
        <v>-2.0734249999999999E-2</v>
      </c>
      <c r="AA1060">
        <v>0.92987520000000001</v>
      </c>
      <c r="AB1060">
        <v>26</v>
      </c>
      <c r="AC1060">
        <v>5.8057999999999996</v>
      </c>
      <c r="AD1060">
        <v>-1.1069851994439901</v>
      </c>
      <c r="AE1060">
        <v>-2.8337999999999899</v>
      </c>
      <c r="AF1060">
        <v>2.3768701432219301</v>
      </c>
      <c r="AG1060">
        <v>-1.1069851994439901</v>
      </c>
      <c r="AH1060">
        <v>5.8087219594366104</v>
      </c>
      <c r="AI1060">
        <v>100.00283968962999</v>
      </c>
      <c r="AJ1060">
        <v>67.746119682024897</v>
      </c>
      <c r="AK1060">
        <v>6.3730823556242404</v>
      </c>
      <c r="AL1060">
        <v>92.4277314613622</v>
      </c>
      <c r="AM1060">
        <v>81.756184682907801</v>
      </c>
      <c r="AN1060">
        <v>1.0000000104422799</v>
      </c>
    </row>
    <row r="1061" spans="1:40" x14ac:dyDescent="0.3">
      <c r="A1061" t="str">
        <f>"20200111160423316"</f>
        <v>20200111160423316</v>
      </c>
      <c r="B1061" t="str">
        <f>"1578729863311304"</f>
        <v>1578729863311304</v>
      </c>
      <c r="C1061" t="s">
        <v>40</v>
      </c>
      <c r="D1061">
        <v>5.8150130000000004</v>
      </c>
      <c r="E1061">
        <v>0.59590359999999998</v>
      </c>
      <c r="F1061" t="s">
        <v>47</v>
      </c>
      <c r="G1061">
        <v>-205.57990000000001</v>
      </c>
      <c r="H1061" s="1">
        <v>-4.1650189999999901E-6</v>
      </c>
      <c r="I1061">
        <v>365.37700000000001</v>
      </c>
      <c r="J1061">
        <v>-211.3381</v>
      </c>
      <c r="K1061">
        <v>1.1069329999999999</v>
      </c>
      <c r="L1061">
        <v>368.24779999999998</v>
      </c>
      <c r="M1061">
        <v>0.99756029999999996</v>
      </c>
      <c r="N1061">
        <v>0</v>
      </c>
      <c r="O1061">
        <v>-6.8362820000000005E-2</v>
      </c>
      <c r="P1061">
        <v>0.97457689999999997</v>
      </c>
      <c r="Q1061">
        <v>-5.638953E-2</v>
      </c>
      <c r="R1061">
        <v>-0.2168418</v>
      </c>
      <c r="S1061">
        <v>2.7559659999999999</v>
      </c>
      <c r="T1061">
        <v>-0.51679710000000001</v>
      </c>
      <c r="U1061">
        <v>-1.346069</v>
      </c>
      <c r="V1061">
        <v>0.14933440000000001</v>
      </c>
      <c r="W1061">
        <v>-4.3703440000000003E-2</v>
      </c>
      <c r="X1061">
        <v>0.98782040000000004</v>
      </c>
      <c r="Y1061">
        <v>0.37216159999999998</v>
      </c>
      <c r="Z1061">
        <v>-2.0793639999999999E-2</v>
      </c>
      <c r="AA1061">
        <v>0.92793499999999995</v>
      </c>
      <c r="AB1061">
        <v>26</v>
      </c>
      <c r="AC1061">
        <v>5.75819999999998</v>
      </c>
      <c r="AD1061">
        <v>-1.1069371650190001</v>
      </c>
      <c r="AE1061">
        <v>-2.8708000000000302</v>
      </c>
      <c r="AF1061">
        <v>2.3993794335320402</v>
      </c>
      <c r="AG1061">
        <v>-1.1069371650190001</v>
      </c>
      <c r="AH1061">
        <v>5.7702147636777203</v>
      </c>
      <c r="AI1061">
        <v>100.04477430307099</v>
      </c>
      <c r="AJ1061">
        <v>67.421407890800097</v>
      </c>
      <c r="AK1061">
        <v>6.3464722462420999</v>
      </c>
      <c r="AL1061">
        <v>92.504820587980305</v>
      </c>
      <c r="AM1061">
        <v>81.403367732905593</v>
      </c>
      <c r="AN1061">
        <v>0.99999994817367499</v>
      </c>
    </row>
    <row r="1062" spans="1:40" x14ac:dyDescent="0.3">
      <c r="A1062" t="str">
        <f>"20200111160423327"</f>
        <v>20200111160423327</v>
      </c>
      <c r="B1062" t="str">
        <f>"1578729863322040"</f>
        <v>1578729863322040</v>
      </c>
      <c r="C1062" t="s">
        <v>40</v>
      </c>
      <c r="D1062">
        <v>5.8119880000000004</v>
      </c>
      <c r="E1062">
        <v>0.59550389999999997</v>
      </c>
      <c r="F1062" t="s">
        <v>47</v>
      </c>
      <c r="G1062">
        <v>-205.3683</v>
      </c>
      <c r="H1062" s="1">
        <v>-4.0881709999999999E-6</v>
      </c>
      <c r="I1062">
        <v>365.279</v>
      </c>
      <c r="J1062">
        <v>-211.18729999999999</v>
      </c>
      <c r="K1062">
        <v>1.1068849999999999</v>
      </c>
      <c r="L1062">
        <v>368.23439999999999</v>
      </c>
      <c r="M1062">
        <v>0.99735949999999995</v>
      </c>
      <c r="N1062">
        <v>0</v>
      </c>
      <c r="O1062">
        <v>-7.1233829999999998E-2</v>
      </c>
      <c r="P1062">
        <v>0.97245510000000002</v>
      </c>
      <c r="Q1062">
        <v>-5.774427E-2</v>
      </c>
      <c r="R1062">
        <v>-0.225825</v>
      </c>
      <c r="S1062">
        <v>2.7450869999999998</v>
      </c>
      <c r="T1062">
        <v>-0.50900199999999995</v>
      </c>
      <c r="U1062">
        <v>-1.3651120000000001</v>
      </c>
      <c r="V1062">
        <v>0.15558759999999999</v>
      </c>
      <c r="W1062">
        <v>-4.5139430000000001E-2</v>
      </c>
      <c r="X1062">
        <v>0.98679019999999995</v>
      </c>
      <c r="Y1062">
        <v>0.37621389999999999</v>
      </c>
      <c r="Z1062">
        <v>-2.0385879999999999E-2</v>
      </c>
      <c r="AA1062">
        <v>0.92630860000000004</v>
      </c>
      <c r="AB1062">
        <v>26</v>
      </c>
      <c r="AC1062">
        <v>5.8189999999999804</v>
      </c>
      <c r="AD1062">
        <v>-1.1068890881710001</v>
      </c>
      <c r="AE1062">
        <v>-2.9553999999999898</v>
      </c>
      <c r="AF1062">
        <v>2.46250827499723</v>
      </c>
      <c r="AG1062">
        <v>-1.1068890881710001</v>
      </c>
      <c r="AH1062">
        <v>5.8465893797121797</v>
      </c>
      <c r="AI1062">
        <v>99.897202697877205</v>
      </c>
      <c r="AJ1062">
        <v>67.1597997920979</v>
      </c>
      <c r="AK1062">
        <v>6.4398569730161803</v>
      </c>
      <c r="AL1062">
        <v>92.587177969390297</v>
      </c>
      <c r="AM1062">
        <v>81.039915032987807</v>
      </c>
      <c r="AN1062">
        <v>0.99999998411526203</v>
      </c>
    </row>
    <row r="1063" spans="1:40" x14ac:dyDescent="0.3">
      <c r="A1063" t="str">
        <f>"20200111160423340"</f>
        <v>20200111160423340</v>
      </c>
      <c r="B1063" t="str">
        <f>"1578729863331800"</f>
        <v>1578729863331800</v>
      </c>
      <c r="C1063" t="s">
        <v>40</v>
      </c>
      <c r="D1063">
        <v>5.8010979999999996</v>
      </c>
      <c r="E1063">
        <v>0.59550389999999997</v>
      </c>
      <c r="F1063" t="s">
        <v>47</v>
      </c>
      <c r="G1063">
        <v>-205.19970000000001</v>
      </c>
      <c r="H1063" s="1">
        <v>-4.0286340000000004E-6</v>
      </c>
      <c r="I1063">
        <v>365.1934</v>
      </c>
      <c r="J1063">
        <v>-211.03649999999999</v>
      </c>
      <c r="K1063">
        <v>1.1068340000000001</v>
      </c>
      <c r="L1063">
        <v>368.22050000000002</v>
      </c>
      <c r="M1063">
        <v>0.9971468</v>
      </c>
      <c r="N1063">
        <v>0</v>
      </c>
      <c r="O1063">
        <v>-7.4149939999999998E-2</v>
      </c>
      <c r="P1063">
        <v>0.96865659999999998</v>
      </c>
      <c r="Q1063">
        <v>-6.0490910000000002E-2</v>
      </c>
      <c r="R1063">
        <v>-0.2409269</v>
      </c>
      <c r="S1063">
        <v>2.7326969999999999</v>
      </c>
      <c r="T1063">
        <v>-0.50517279999999998</v>
      </c>
      <c r="U1063">
        <v>-1.3879090000000001</v>
      </c>
      <c r="V1063">
        <v>0.16801579999999999</v>
      </c>
      <c r="W1063">
        <v>-4.8039499999999999E-2</v>
      </c>
      <c r="X1063">
        <v>0.98461310000000002</v>
      </c>
      <c r="Y1063">
        <v>0.38135940000000002</v>
      </c>
      <c r="Z1063">
        <v>-2.0227289999999998E-2</v>
      </c>
      <c r="AA1063">
        <v>0.92420550000000001</v>
      </c>
      <c r="AB1063">
        <v>26</v>
      </c>
      <c r="AC1063">
        <v>5.8367999999999798</v>
      </c>
      <c r="AD1063">
        <v>-1.106838028634</v>
      </c>
      <c r="AE1063">
        <v>-3.0271000000000101</v>
      </c>
      <c r="AF1063">
        <v>2.51466318316852</v>
      </c>
      <c r="AG1063">
        <v>-1.106838028634</v>
      </c>
      <c r="AH1063">
        <v>5.8786227870432199</v>
      </c>
      <c r="AI1063">
        <v>99.821079630185693</v>
      </c>
      <c r="AJ1063">
        <v>66.840504655194806</v>
      </c>
      <c r="AK1063">
        <v>6.4889773630948504</v>
      </c>
      <c r="AL1063">
        <v>92.753520304317803</v>
      </c>
      <c r="AM1063">
        <v>80.316238805998495</v>
      </c>
      <c r="AN1063">
        <v>1.0000000296507401</v>
      </c>
    </row>
    <row r="1064" spans="1:40" x14ac:dyDescent="0.3">
      <c r="A1064" t="str">
        <f>"20200111160423353"</f>
        <v>20200111160423353</v>
      </c>
      <c r="B1064" t="str">
        <f>"1578729863341562"</f>
        <v>1578729863341562</v>
      </c>
      <c r="C1064" t="s">
        <v>40</v>
      </c>
      <c r="D1064">
        <v>6.8338530000000004</v>
      </c>
      <c r="E1064">
        <v>0.59399859999999904</v>
      </c>
      <c r="F1064" t="s">
        <v>47</v>
      </c>
      <c r="G1064">
        <v>-205.1942</v>
      </c>
      <c r="H1064" s="1">
        <v>-4.0385429999999997E-6</v>
      </c>
      <c r="I1064">
        <v>365.137</v>
      </c>
      <c r="J1064">
        <v>-210.89840000000001</v>
      </c>
      <c r="K1064">
        <v>1.106786</v>
      </c>
      <c r="L1064">
        <v>368.20729999999998</v>
      </c>
      <c r="M1064">
        <v>0.99694139999999998</v>
      </c>
      <c r="N1064">
        <v>0</v>
      </c>
      <c r="O1064">
        <v>-7.6861639999999995E-2</v>
      </c>
      <c r="P1064">
        <v>0.96639219999999904</v>
      </c>
      <c r="Q1064">
        <v>-6.1909459999999999E-2</v>
      </c>
      <c r="R1064">
        <v>-0.2495066</v>
      </c>
      <c r="S1064">
        <v>2.7093349999999998</v>
      </c>
      <c r="T1064">
        <v>-0.51328969999999996</v>
      </c>
      <c r="U1064">
        <v>-1.429962</v>
      </c>
      <c r="V1064">
        <v>0.17404979999999901</v>
      </c>
      <c r="W1064">
        <v>-4.9541000000000002E-2</v>
      </c>
      <c r="X1064">
        <v>0.98348990000000003</v>
      </c>
      <c r="Y1064">
        <v>0.3930401</v>
      </c>
      <c r="Z1064">
        <v>-2.1194660000000001E-2</v>
      </c>
      <c r="AA1064">
        <v>0.91927709999999996</v>
      </c>
      <c r="AB1064">
        <v>26</v>
      </c>
      <c r="AC1064">
        <v>5.7042000000000099</v>
      </c>
      <c r="AD1064">
        <v>-1.1067900385430001</v>
      </c>
      <c r="AE1064">
        <v>-3.0703000000000298</v>
      </c>
      <c r="AF1064">
        <v>2.5483489612496202</v>
      </c>
      <c r="AG1064">
        <v>-1.1067900385430001</v>
      </c>
      <c r="AH1064">
        <v>5.75533108449177</v>
      </c>
      <c r="AI1064">
        <v>99.972976320648897</v>
      </c>
      <c r="AJ1064">
        <v>66.117166594964701</v>
      </c>
      <c r="AK1064">
        <v>6.3908452109120297</v>
      </c>
      <c r="AL1064">
        <v>92.839652548247898</v>
      </c>
      <c r="AM1064">
        <v>79.964182620713601</v>
      </c>
      <c r="AN1064">
        <v>1.0000000134815199</v>
      </c>
    </row>
    <row r="1065" spans="1:40" x14ac:dyDescent="0.3">
      <c r="A1065" t="str">
        <f>"20200111160423367"</f>
        <v>20200111160423367</v>
      </c>
      <c r="B1065" t="str">
        <f>"1578729863362056"</f>
        <v>1578729863362056</v>
      </c>
      <c r="C1065" t="s">
        <v>40</v>
      </c>
      <c r="D1065">
        <v>5.6311600000000004</v>
      </c>
      <c r="E1065">
        <v>0.59401090000000001</v>
      </c>
      <c r="F1065" t="s">
        <v>47</v>
      </c>
      <c r="G1065">
        <v>-204.49109999999999</v>
      </c>
      <c r="H1065" s="1">
        <v>-3.7728149999999999E-6</v>
      </c>
      <c r="I1065">
        <v>364.77260000000001</v>
      </c>
      <c r="J1065">
        <v>-210.73740000000001</v>
      </c>
      <c r="K1065">
        <v>1.10673</v>
      </c>
      <c r="L1065">
        <v>368.19159999999999</v>
      </c>
      <c r="M1065">
        <v>0.99668990000000002</v>
      </c>
      <c r="N1065">
        <v>0</v>
      </c>
      <c r="O1065">
        <v>-8.0055189999999998E-2</v>
      </c>
      <c r="P1065">
        <v>0.96391539999999998</v>
      </c>
      <c r="Q1065">
        <v>-6.3610470000000002E-2</v>
      </c>
      <c r="R1065">
        <v>-0.25849739999999999</v>
      </c>
      <c r="S1065">
        <v>2.7006990000000002</v>
      </c>
      <c r="T1065">
        <v>-0.46651559999999997</v>
      </c>
      <c r="U1065">
        <v>-1.4477230000000001</v>
      </c>
      <c r="V1065">
        <v>0.18003930000000001</v>
      </c>
      <c r="W1065">
        <v>-5.1329420000000001E-2</v>
      </c>
      <c r="X1065">
        <v>0.98231930000000001</v>
      </c>
      <c r="Y1065">
        <v>0.39676169999999999</v>
      </c>
      <c r="Z1065">
        <v>-1.9106709999999999E-2</v>
      </c>
      <c r="AA1065">
        <v>0.91772279999999995</v>
      </c>
      <c r="AB1065">
        <v>26</v>
      </c>
      <c r="AC1065">
        <v>6.2463000000000104</v>
      </c>
      <c r="AD1065">
        <v>-1.106733772815</v>
      </c>
      <c r="AE1065">
        <v>-3.4189999999999801</v>
      </c>
      <c r="AF1065">
        <v>2.8393378471796198</v>
      </c>
      <c r="AG1065">
        <v>-1.106733772815</v>
      </c>
      <c r="AH1065">
        <v>6.3466727338395401</v>
      </c>
      <c r="AI1065">
        <v>99.044296028275994</v>
      </c>
      <c r="AJ1065">
        <v>65.897488025581197</v>
      </c>
      <c r="AK1065">
        <v>7.0403802343892101</v>
      </c>
      <c r="AL1065">
        <v>92.942251995899696</v>
      </c>
      <c r="AM1065">
        <v>79.614108850528396</v>
      </c>
      <c r="AN1065">
        <v>1.00000003302725</v>
      </c>
    </row>
    <row r="1066" spans="1:40" x14ac:dyDescent="0.3">
      <c r="A1066" t="str">
        <f>"20200111160423379"</f>
        <v>20200111160423379</v>
      </c>
      <c r="B1066" t="str">
        <f>"1578729863371817"</f>
        <v>1578729863371817</v>
      </c>
      <c r="C1066" t="s">
        <v>40</v>
      </c>
      <c r="D1066">
        <v>5.6473589999999998</v>
      </c>
      <c r="E1066">
        <v>0.59366980000000003</v>
      </c>
      <c r="F1066" t="s">
        <v>47</v>
      </c>
      <c r="G1066">
        <v>-204.21369999999999</v>
      </c>
      <c r="H1066" s="1">
        <v>-3.6689090000000002E-6</v>
      </c>
      <c r="I1066">
        <v>364.61160000000001</v>
      </c>
      <c r="J1066">
        <v>-210.58240000000001</v>
      </c>
      <c r="K1066">
        <v>1.1066739999999999</v>
      </c>
      <c r="L1066">
        <v>368.17579999999998</v>
      </c>
      <c r="M1066">
        <v>0.99643369999999998</v>
      </c>
      <c r="N1066">
        <v>0</v>
      </c>
      <c r="O1066">
        <v>-8.3184300000000003E-2</v>
      </c>
      <c r="P1066">
        <v>0.96136940000000004</v>
      </c>
      <c r="Q1066">
        <v>-6.4922060000000004E-2</v>
      </c>
      <c r="R1066">
        <v>-0.26749610000000001</v>
      </c>
      <c r="S1066">
        <v>2.6868289999999999</v>
      </c>
      <c r="T1066">
        <v>-0.45581729999999998</v>
      </c>
      <c r="U1066">
        <v>-1.474426</v>
      </c>
      <c r="V1066">
        <v>0.18611720000000001</v>
      </c>
      <c r="W1066">
        <v>-5.2731609999999998E-2</v>
      </c>
      <c r="X1066">
        <v>0.98111150000000003</v>
      </c>
      <c r="Y1066">
        <v>0.40300399999999997</v>
      </c>
      <c r="Z1066">
        <v>-1.8723009999999998E-2</v>
      </c>
      <c r="AA1066">
        <v>0.91500669999999995</v>
      </c>
      <c r="AB1066">
        <v>26</v>
      </c>
      <c r="AC1066">
        <v>6.3687000000000102</v>
      </c>
      <c r="AD1066">
        <v>-1.1066776689090001</v>
      </c>
      <c r="AE1066">
        <v>-3.5641999999999698</v>
      </c>
      <c r="AF1066">
        <v>2.9540901565954898</v>
      </c>
      <c r="AG1066">
        <v>-1.1066776689090001</v>
      </c>
      <c r="AH1066">
        <v>6.4938207411829501</v>
      </c>
      <c r="AI1066">
        <v>98.817646966055307</v>
      </c>
      <c r="AJ1066">
        <v>65.538838358865405</v>
      </c>
      <c r="AK1066">
        <v>7.2194938835609603</v>
      </c>
      <c r="AL1066">
        <v>93.022700621287001</v>
      </c>
      <c r="AM1066">
        <v>79.258604022248306</v>
      </c>
      <c r="AN1066">
        <v>1.0000000051306399</v>
      </c>
    </row>
    <row r="1067" spans="1:40" x14ac:dyDescent="0.3">
      <c r="A1067" t="str">
        <f>"20200111160423392"</f>
        <v>20200111160423392</v>
      </c>
      <c r="B1067" t="str">
        <f>"1578729863381576"</f>
        <v>1578729863381576</v>
      </c>
      <c r="C1067" t="s">
        <v>40</v>
      </c>
      <c r="D1067">
        <v>5.6124729999999996</v>
      </c>
      <c r="E1067">
        <v>0.59295109999999995</v>
      </c>
      <c r="F1067" t="s">
        <v>47</v>
      </c>
      <c r="G1067">
        <v>-204.04249999999999</v>
      </c>
      <c r="H1067" s="1">
        <v>-3.6047060000000001E-6</v>
      </c>
      <c r="I1067">
        <v>364.5127</v>
      </c>
      <c r="J1067">
        <v>-210.4443</v>
      </c>
      <c r="K1067">
        <v>1.106625</v>
      </c>
      <c r="L1067">
        <v>368.16120000000001</v>
      </c>
      <c r="M1067">
        <v>0.99619349999999995</v>
      </c>
      <c r="N1067">
        <v>0</v>
      </c>
      <c r="O1067">
        <v>-8.6011340000000006E-2</v>
      </c>
      <c r="P1067">
        <v>0.95879689999999995</v>
      </c>
      <c r="Q1067">
        <v>-6.5934370000000006E-2</v>
      </c>
      <c r="R1067">
        <v>-0.27633580000000002</v>
      </c>
      <c r="S1067">
        <v>2.67334</v>
      </c>
      <c r="T1067">
        <v>-0.45238590000000001</v>
      </c>
      <c r="U1067">
        <v>-1.4973749999999999</v>
      </c>
      <c r="V1067">
        <v>0.1923474</v>
      </c>
      <c r="W1067">
        <v>-5.3836299999999997E-2</v>
      </c>
      <c r="X1067">
        <v>0.97984899999999997</v>
      </c>
      <c r="Y1067">
        <v>0.4083639</v>
      </c>
      <c r="Z1067">
        <v>-1.8613359999999999E-2</v>
      </c>
      <c r="AA1067">
        <v>0.91262940000000004</v>
      </c>
      <c r="AB1067">
        <v>26</v>
      </c>
      <c r="AC1067">
        <v>6.4017999999999997</v>
      </c>
      <c r="AD1067">
        <v>-1.1066286047060001</v>
      </c>
      <c r="AE1067">
        <v>-3.6485000000000101</v>
      </c>
      <c r="AF1067">
        <v>3.0162614385126498</v>
      </c>
      <c r="AG1067">
        <v>-1.1066286047060001</v>
      </c>
      <c r="AH1067">
        <v>6.5443067046460399</v>
      </c>
      <c r="AI1067">
        <v>98.730783772643207</v>
      </c>
      <c r="AJ1067">
        <v>65.255092657366802</v>
      </c>
      <c r="AK1067">
        <v>7.2904327840456196</v>
      </c>
      <c r="AL1067">
        <v>93.086084862740904</v>
      </c>
      <c r="AM1067">
        <v>78.893881323290898</v>
      </c>
      <c r="AN1067">
        <v>0.99999996614272402</v>
      </c>
    </row>
    <row r="1068" spans="1:40" x14ac:dyDescent="0.3">
      <c r="A1068" t="str">
        <f>"20200111160423405"</f>
        <v>20200111160423405</v>
      </c>
      <c r="B1068" t="str">
        <f>"1578729863402072"</f>
        <v>1578729863402072</v>
      </c>
      <c r="C1068" t="s">
        <v>40</v>
      </c>
      <c r="D1068">
        <v>5.6125590000000001</v>
      </c>
      <c r="E1068">
        <v>0.53336879999999998</v>
      </c>
      <c r="F1068" t="s">
        <v>47</v>
      </c>
      <c r="G1068">
        <v>-203.86449999999999</v>
      </c>
      <c r="H1068" s="1">
        <v>-3.5378440000000002E-6</v>
      </c>
      <c r="I1068">
        <v>364.4101</v>
      </c>
      <c r="J1068">
        <v>-210.29130000000001</v>
      </c>
      <c r="K1068">
        <v>1.1065670000000001</v>
      </c>
      <c r="L1068">
        <v>368.1447</v>
      </c>
      <c r="M1068">
        <v>0.99591529999999995</v>
      </c>
      <c r="N1068">
        <v>0</v>
      </c>
      <c r="O1068">
        <v>-8.9174110000000001E-2</v>
      </c>
      <c r="P1068">
        <v>0.95614370000000004</v>
      </c>
      <c r="Q1068">
        <v>-6.7072389999999996E-2</v>
      </c>
      <c r="R1068">
        <v>-0.28511579999999997</v>
      </c>
      <c r="S1068">
        <v>2.6609500000000001</v>
      </c>
      <c r="T1068">
        <v>-0.44752910000000001</v>
      </c>
      <c r="U1068">
        <v>-1.5169680000000001</v>
      </c>
      <c r="V1068">
        <v>0.1982015</v>
      </c>
      <c r="W1068">
        <v>-5.5066669999999998E-2</v>
      </c>
      <c r="X1068">
        <v>0.97861319999999996</v>
      </c>
      <c r="Y1068">
        <v>0.41241679999999997</v>
      </c>
      <c r="Z1068">
        <v>-1.829047E-2</v>
      </c>
      <c r="AA1068">
        <v>0.9108117</v>
      </c>
      <c r="AB1068">
        <v>26</v>
      </c>
      <c r="AC1068">
        <v>6.4268000000000098</v>
      </c>
      <c r="AD1068">
        <v>-1.1065705378440001</v>
      </c>
      <c r="AE1068">
        <v>-3.7345999999999999</v>
      </c>
      <c r="AF1068">
        <v>3.0783334093590899</v>
      </c>
      <c r="AG1068">
        <v>-1.1065705378440001</v>
      </c>
      <c r="AH1068">
        <v>6.5882421761018399</v>
      </c>
      <c r="AI1068">
        <v>98.652321467752202</v>
      </c>
      <c r="AJ1068">
        <v>64.955829519637007</v>
      </c>
      <c r="AK1068">
        <v>7.3556488432610703</v>
      </c>
      <c r="AL1068">
        <v>93.156684562078297</v>
      </c>
      <c r="AM1068">
        <v>78.550585623455504</v>
      </c>
      <c r="AN1068">
        <v>0.99999998398068901</v>
      </c>
    </row>
    <row r="1069" spans="1:40" x14ac:dyDescent="0.3">
      <c r="A1069" t="str">
        <f>"20200111160423419"</f>
        <v>20200111160423419</v>
      </c>
      <c r="B1069" t="str">
        <f>"1578729863411833"</f>
        <v>1578729863411833</v>
      </c>
      <c r="C1069" t="s">
        <v>40</v>
      </c>
      <c r="D1069">
        <v>5.6696</v>
      </c>
      <c r="E1069">
        <v>0.52293350000000005</v>
      </c>
      <c r="F1069" t="s">
        <v>47</v>
      </c>
      <c r="G1069">
        <v>-194.70160000000001</v>
      </c>
      <c r="H1069" s="1">
        <v>-8.1352139999999996E-6</v>
      </c>
      <c r="I1069">
        <v>361.93630000000002</v>
      </c>
      <c r="J1069">
        <v>-210.1148</v>
      </c>
      <c r="K1069">
        <v>1.106495</v>
      </c>
      <c r="L1069">
        <v>368.12479999999999</v>
      </c>
      <c r="M1069">
        <v>0.99557410000000002</v>
      </c>
      <c r="N1069">
        <v>0</v>
      </c>
      <c r="O1069">
        <v>-9.2904609999999999E-2</v>
      </c>
      <c r="P1069">
        <v>0.95131189999999999</v>
      </c>
      <c r="Q1069">
        <v>-6.8047670000000005E-2</v>
      </c>
      <c r="R1069">
        <v>-0.30062470000000002</v>
      </c>
      <c r="S1069">
        <v>2.7921299999999998</v>
      </c>
      <c r="T1069">
        <v>-0.19818949999999999</v>
      </c>
      <c r="U1069">
        <v>-1.1119380000000001</v>
      </c>
      <c r="V1069">
        <v>0.21040900000000001</v>
      </c>
      <c r="W1069">
        <v>-5.6221220000000002E-2</v>
      </c>
      <c r="X1069">
        <v>0.97599550000000002</v>
      </c>
      <c r="Y1069">
        <v>0.28165309999999999</v>
      </c>
      <c r="Z1069">
        <v>-3.3069919999999999E-3</v>
      </c>
      <c r="AA1069">
        <v>0.95951059999999999</v>
      </c>
      <c r="AB1069">
        <v>26</v>
      </c>
      <c r="AC1069">
        <v>15.4131999999999</v>
      </c>
      <c r="AD1069">
        <v>-1.106503135214</v>
      </c>
      <c r="AE1069">
        <v>-6.1884999999999701</v>
      </c>
      <c r="AF1069">
        <v>4.7087297762029303</v>
      </c>
      <c r="AG1069">
        <v>-1.106503135214</v>
      </c>
      <c r="AH1069">
        <v>15.851171499411199</v>
      </c>
      <c r="AI1069">
        <v>93.828281194464196</v>
      </c>
      <c r="AJ1069">
        <v>73.4554853225941</v>
      </c>
      <c r="AK1069">
        <v>16.572752432751901</v>
      </c>
      <c r="AL1069">
        <v>93.222938023517401</v>
      </c>
      <c r="AM1069">
        <v>77.834142097635905</v>
      </c>
      <c r="AN1069">
        <v>0.99999999443976895</v>
      </c>
    </row>
    <row r="1070" spans="1:40" x14ac:dyDescent="0.3">
      <c r="A1070" t="str">
        <f>"20200111160423433"</f>
        <v>20200111160423433</v>
      </c>
      <c r="B1070" t="str">
        <f>"1578729863421592"</f>
        <v>1578729863421592</v>
      </c>
      <c r="C1070" t="s">
        <v>40</v>
      </c>
      <c r="D1070">
        <v>5.7341490000000004</v>
      </c>
      <c r="E1070">
        <v>0.51620529999999998</v>
      </c>
      <c r="F1070" t="s">
        <v>47</v>
      </c>
      <c r="G1070">
        <v>-197.92660000000001</v>
      </c>
      <c r="H1070" s="1">
        <v>-9.0522600000000003E-6</v>
      </c>
      <c r="I1070">
        <v>363.45600000000002</v>
      </c>
      <c r="J1070">
        <v>-209.9691</v>
      </c>
      <c r="K1070">
        <v>1.1064419999999999</v>
      </c>
      <c r="L1070">
        <v>368.1078</v>
      </c>
      <c r="M1070">
        <v>0.9952763</v>
      </c>
      <c r="N1070">
        <v>0</v>
      </c>
      <c r="O1070">
        <v>-9.6040459999999994E-2</v>
      </c>
      <c r="P1070">
        <v>0.94845970000000002</v>
      </c>
      <c r="Q1070">
        <v>-6.7970710000000004E-2</v>
      </c>
      <c r="R1070">
        <v>-0.30952220000000003</v>
      </c>
      <c r="S1070">
        <v>2.7968139999999999</v>
      </c>
      <c r="T1070">
        <v>-0.25390699999999999</v>
      </c>
      <c r="U1070">
        <v>-1.07135</v>
      </c>
      <c r="V1070">
        <v>0.21645919999999999</v>
      </c>
      <c r="W1070">
        <v>-5.6244780000000001E-2</v>
      </c>
      <c r="X1070">
        <v>0.97467020000000004</v>
      </c>
      <c r="Y1070">
        <v>0.26576159999999999</v>
      </c>
      <c r="Z1070">
        <v>-3.2699560000000001E-3</v>
      </c>
      <c r="AA1070">
        <v>0.96403320000000003</v>
      </c>
      <c r="AB1070">
        <v>26</v>
      </c>
      <c r="AC1070">
        <v>12.042499999999899</v>
      </c>
      <c r="AD1070">
        <v>-1.10645105226</v>
      </c>
      <c r="AE1070">
        <v>-4.6518000000000299</v>
      </c>
      <c r="AF1070">
        <v>3.4482788644824001</v>
      </c>
      <c r="AG1070">
        <v>-1.10645105226</v>
      </c>
      <c r="AH1070">
        <v>12.342960384773299</v>
      </c>
      <c r="AI1070">
        <v>94.934472079575897</v>
      </c>
      <c r="AJ1070">
        <v>74.391119093963496</v>
      </c>
      <c r="AK1070">
        <v>12.8632628877111</v>
      </c>
      <c r="AL1070">
        <v>93.224289937776703</v>
      </c>
      <c r="AM1070">
        <v>77.478708940198999</v>
      </c>
      <c r="AN1070">
        <v>1.00000002965496</v>
      </c>
    </row>
    <row r="1071" spans="1:40" x14ac:dyDescent="0.3">
      <c r="A1071" t="str">
        <f>"20200111160423445"</f>
        <v>20200111160423445</v>
      </c>
      <c r="B1071" t="str">
        <f>"1578729863442089"</f>
        <v>1578729863442089</v>
      </c>
      <c r="C1071" t="s">
        <v>40</v>
      </c>
      <c r="D1071">
        <v>5.6815410000000002</v>
      </c>
      <c r="E1071">
        <v>0.50835140000000001</v>
      </c>
      <c r="F1071" t="s">
        <v>47</v>
      </c>
      <c r="G1071">
        <v>-198.82669999999999</v>
      </c>
      <c r="H1071" s="1">
        <v>-9.3072919999999996E-6</v>
      </c>
      <c r="I1071">
        <v>363.95909999999998</v>
      </c>
      <c r="J1071">
        <v>-209.81800000000001</v>
      </c>
      <c r="K1071">
        <v>1.1063829999999999</v>
      </c>
      <c r="L1071">
        <v>368.08980000000003</v>
      </c>
      <c r="M1071">
        <v>0.99495359999999999</v>
      </c>
      <c r="N1071">
        <v>0</v>
      </c>
      <c r="O1071">
        <v>-9.932879E-2</v>
      </c>
      <c r="P1071">
        <v>0.94546330000000001</v>
      </c>
      <c r="Q1071">
        <v>-6.7922549999999998E-2</v>
      </c>
      <c r="R1071">
        <v>-0.31856869999999998</v>
      </c>
      <c r="S1071">
        <v>2.8025359999999999</v>
      </c>
      <c r="T1071">
        <v>-0.2782946</v>
      </c>
      <c r="U1071">
        <v>-1.043488</v>
      </c>
      <c r="V1071">
        <v>0.22253129999999999</v>
      </c>
      <c r="W1071">
        <v>-5.6301339999999998E-2</v>
      </c>
      <c r="X1071">
        <v>0.97329849999999996</v>
      </c>
      <c r="Y1071">
        <v>0.25345259999999997</v>
      </c>
      <c r="Z1071">
        <v>-2.679468E-3</v>
      </c>
      <c r="AA1071">
        <v>0.96734410000000004</v>
      </c>
      <c r="AB1071">
        <v>26</v>
      </c>
      <c r="AC1071">
        <v>10.991299999999899</v>
      </c>
      <c r="AD1071">
        <v>-1.1063923072920001</v>
      </c>
      <c r="AE1071">
        <v>-4.13070000000004</v>
      </c>
      <c r="AF1071">
        <v>2.9918425025993902</v>
      </c>
      <c r="AG1071">
        <v>-1.1063923072920001</v>
      </c>
      <c r="AH1071">
        <v>11.2474109007408</v>
      </c>
      <c r="AI1071">
        <v>95.430383769353099</v>
      </c>
      <c r="AJ1071">
        <v>75.104101562237005</v>
      </c>
      <c r="AK1071">
        <v>11.690999848947801</v>
      </c>
      <c r="AL1071">
        <v>93.227535841413996</v>
      </c>
      <c r="AM1071">
        <v>77.121469971407194</v>
      </c>
      <c r="AN1071">
        <v>0.99999999523386696</v>
      </c>
    </row>
    <row r="1072" spans="1:40" x14ac:dyDescent="0.3">
      <c r="A1072" t="str">
        <f>"20200111160423457"</f>
        <v>20200111160423457</v>
      </c>
      <c r="B1072" t="str">
        <f>"1578729863451848"</f>
        <v>1578729863451848</v>
      </c>
      <c r="C1072" t="s">
        <v>40</v>
      </c>
      <c r="D1072">
        <v>5.6948150000000002</v>
      </c>
      <c r="E1072">
        <v>0.50570020000000004</v>
      </c>
      <c r="F1072" t="s">
        <v>47</v>
      </c>
      <c r="G1072">
        <v>-199.5667</v>
      </c>
      <c r="H1072" s="1">
        <v>-9.5105330000000001E-6</v>
      </c>
      <c r="I1072">
        <v>364.41739999999999</v>
      </c>
      <c r="J1072">
        <v>-209.6737</v>
      </c>
      <c r="K1072">
        <v>1.106322</v>
      </c>
      <c r="L1072">
        <v>368.07190000000003</v>
      </c>
      <c r="M1072">
        <v>0.99462669999999997</v>
      </c>
      <c r="N1072">
        <v>0</v>
      </c>
      <c r="O1072">
        <v>-0.1025494</v>
      </c>
      <c r="P1072">
        <v>0.94242459999999995</v>
      </c>
      <c r="Q1072">
        <v>-6.7558090000000001E-2</v>
      </c>
      <c r="R1072">
        <v>-0.32752439999999999</v>
      </c>
      <c r="S1072">
        <v>2.8118439999999998</v>
      </c>
      <c r="T1072">
        <v>-0.30347499999999999</v>
      </c>
      <c r="U1072">
        <v>-1.0073240000000001</v>
      </c>
      <c r="V1072">
        <v>0.22859670000000001</v>
      </c>
      <c r="W1072">
        <v>-5.6045039999999997E-2</v>
      </c>
      <c r="X1072">
        <v>0.97190670000000001</v>
      </c>
      <c r="Y1072">
        <v>0.2382319</v>
      </c>
      <c r="Z1072">
        <v>-1.7896909999999999E-3</v>
      </c>
      <c r="AA1072">
        <v>0.97120669999999998</v>
      </c>
      <c r="AB1072">
        <v>26</v>
      </c>
      <c r="AC1072">
        <v>10.106999999999999</v>
      </c>
      <c r="AD1072">
        <v>-1.1063315105329901</v>
      </c>
      <c r="AE1072">
        <v>-3.65450000000004</v>
      </c>
      <c r="AF1072">
        <v>2.5714101413444999</v>
      </c>
      <c r="AG1072">
        <v>-1.1063315105329901</v>
      </c>
      <c r="AH1072">
        <v>10.319161651222201</v>
      </c>
      <c r="AI1072">
        <v>95.939125622316197</v>
      </c>
      <c r="AJ1072">
        <v>76.007558162337801</v>
      </c>
      <c r="AK1072">
        <v>10.692110021425201</v>
      </c>
      <c r="AL1072">
        <v>93.212827483043895</v>
      </c>
      <c r="AM1072">
        <v>76.764352762587606</v>
      </c>
      <c r="AN1072">
        <v>1.0000000656321799</v>
      </c>
    </row>
    <row r="1073" spans="1:40" x14ac:dyDescent="0.3">
      <c r="A1073" t="str">
        <f>"20200111160423469"</f>
        <v>20200111160423469</v>
      </c>
      <c r="B1073" t="str">
        <f>"1578729863461608"</f>
        <v>1578729863461608</v>
      </c>
      <c r="C1073" t="s">
        <v>40</v>
      </c>
      <c r="D1073">
        <v>5.7467680000000003</v>
      </c>
      <c r="E1073">
        <v>0.50334699999999999</v>
      </c>
      <c r="F1073" t="s">
        <v>47</v>
      </c>
      <c r="G1073">
        <v>-199.59</v>
      </c>
      <c r="H1073" s="1">
        <v>-9.5164560000000008E-6</v>
      </c>
      <c r="I1073">
        <v>364.43509999999998</v>
      </c>
      <c r="J1073">
        <v>-209.53579999999999</v>
      </c>
      <c r="K1073">
        <v>1.1062529999999999</v>
      </c>
      <c r="L1073">
        <v>368.05439999999999</v>
      </c>
      <c r="M1073">
        <v>0.99430010000000002</v>
      </c>
      <c r="N1073">
        <v>0</v>
      </c>
      <c r="O1073">
        <v>-0.10566879999999999</v>
      </c>
      <c r="P1073">
        <v>0.93925170000000002</v>
      </c>
      <c r="Q1073">
        <v>-6.7205059999999997E-2</v>
      </c>
      <c r="R1073">
        <v>-0.33658559999999998</v>
      </c>
      <c r="S1073">
        <v>2.8090820000000001</v>
      </c>
      <c r="T1073">
        <v>-0.30819869999999999</v>
      </c>
      <c r="U1073">
        <v>-1.013123</v>
      </c>
      <c r="V1073">
        <v>0.23489009999999999</v>
      </c>
      <c r="W1073">
        <v>-5.5805180000000003E-2</v>
      </c>
      <c r="X1073">
        <v>0.97041869999999997</v>
      </c>
      <c r="Y1073">
        <v>0.23726340000000001</v>
      </c>
      <c r="Z1073">
        <v>-1.440801E-3</v>
      </c>
      <c r="AA1073">
        <v>0.97144430000000004</v>
      </c>
      <c r="AB1073">
        <v>26</v>
      </c>
      <c r="AC1073">
        <v>9.9457999999999895</v>
      </c>
      <c r="AD1073">
        <v>-1.106262516456</v>
      </c>
      <c r="AE1073">
        <v>-3.6193</v>
      </c>
      <c r="AF1073">
        <v>2.52043012906692</v>
      </c>
      <c r="AG1073">
        <v>-1.106262516456</v>
      </c>
      <c r="AH1073">
        <v>10.1615748445946</v>
      </c>
      <c r="AI1073">
        <v>96.031798763469496</v>
      </c>
      <c r="AJ1073">
        <v>76.069748133060401</v>
      </c>
      <c r="AK1073">
        <v>10.5277722293523</v>
      </c>
      <c r="AL1073">
        <v>93.199063137664893</v>
      </c>
      <c r="AM1073">
        <v>76.393245020724805</v>
      </c>
      <c r="AN1073">
        <v>1.00000001525126</v>
      </c>
    </row>
    <row r="1074" spans="1:40" x14ac:dyDescent="0.3">
      <c r="A1074" t="str">
        <f>"20200111160423481"</f>
        <v>20200111160423481</v>
      </c>
      <c r="B1074" t="str">
        <f>"1578729863471368"</f>
        <v>1578729863471368</v>
      </c>
      <c r="C1074" t="s">
        <v>40</v>
      </c>
      <c r="D1074">
        <v>5.8654570000000001</v>
      </c>
      <c r="E1074">
        <v>0.50334699999999999</v>
      </c>
      <c r="F1074" t="s">
        <v>47</v>
      </c>
      <c r="G1074">
        <v>-199.70330000000001</v>
      </c>
      <c r="H1074" s="1">
        <v>-9.5521740000000003E-6</v>
      </c>
      <c r="I1074">
        <v>364.47320000000002</v>
      </c>
      <c r="J1074">
        <v>-209.392</v>
      </c>
      <c r="K1074">
        <v>1.1061859999999999</v>
      </c>
      <c r="L1074">
        <v>368.03570000000002</v>
      </c>
      <c r="M1074">
        <v>0.99394360000000004</v>
      </c>
      <c r="N1074">
        <v>0</v>
      </c>
      <c r="O1074">
        <v>-0.1089707</v>
      </c>
      <c r="P1074">
        <v>0.93581449999999999</v>
      </c>
      <c r="Q1074">
        <v>-6.6878740000000006E-2</v>
      </c>
      <c r="R1074">
        <v>-0.34609040000000002</v>
      </c>
      <c r="S1074">
        <v>2.8052980000000001</v>
      </c>
      <c r="T1074">
        <v>-0.3156254</v>
      </c>
      <c r="U1074">
        <v>-1.0217290000000001</v>
      </c>
      <c r="V1074">
        <v>0.24148530000000001</v>
      </c>
      <c r="W1074">
        <v>-5.5601129999999999E-2</v>
      </c>
      <c r="X1074">
        <v>0.96881030000000001</v>
      </c>
      <c r="Y1074">
        <v>0.23707410000000001</v>
      </c>
      <c r="Z1074">
        <v>-1.112607E-3</v>
      </c>
      <c r="AA1074">
        <v>0.97149090000000005</v>
      </c>
      <c r="AB1074">
        <v>26</v>
      </c>
      <c r="AC1074">
        <v>9.6886999999999794</v>
      </c>
      <c r="AD1074">
        <v>-1.1061955521739999</v>
      </c>
      <c r="AE1074">
        <v>-3.5625</v>
      </c>
      <c r="AF1074">
        <v>2.4571740358623901</v>
      </c>
      <c r="AG1074">
        <v>-1.1061955521739999</v>
      </c>
      <c r="AH1074">
        <v>9.9054929630131703</v>
      </c>
      <c r="AI1074">
        <v>96.186132361884503</v>
      </c>
      <c r="AJ1074">
        <v>76.068324451949593</v>
      </c>
      <c r="AK1074">
        <v>10.2654840939173</v>
      </c>
      <c r="AL1074">
        <v>93.187353749480195</v>
      </c>
      <c r="AM1074">
        <v>76.003688087979697</v>
      </c>
      <c r="AN1074">
        <v>1.00000001657972</v>
      </c>
    </row>
    <row r="1075" spans="1:40" x14ac:dyDescent="0.3">
      <c r="A1075" t="str">
        <f>"20200111160423493"</f>
        <v>20200111160423493</v>
      </c>
      <c r="B1075" t="str">
        <f>"1578729863491864"</f>
        <v>1578729863491864</v>
      </c>
      <c r="C1075" t="s">
        <v>40</v>
      </c>
      <c r="D1075">
        <v>5.7336879999999999</v>
      </c>
      <c r="E1075">
        <v>0.49703890000000001</v>
      </c>
      <c r="F1075" t="s">
        <v>47</v>
      </c>
      <c r="G1075">
        <v>-199.56530000000001</v>
      </c>
      <c r="H1075" s="1">
        <v>-9.5206339999999996E-6</v>
      </c>
      <c r="I1075">
        <v>364.34339999999997</v>
      </c>
      <c r="J1075">
        <v>-209.25470000000001</v>
      </c>
      <c r="K1075">
        <v>1.106117</v>
      </c>
      <c r="L1075">
        <v>368.017</v>
      </c>
      <c r="M1075">
        <v>0.99358310000000005</v>
      </c>
      <c r="N1075">
        <v>0</v>
      </c>
      <c r="O1075">
        <v>-0.1122084</v>
      </c>
      <c r="P1075">
        <v>0.93223080000000003</v>
      </c>
      <c r="Q1075">
        <v>-6.6633700000000004E-2</v>
      </c>
      <c r="R1075">
        <v>-0.35567659999999901</v>
      </c>
      <c r="S1075">
        <v>2.7948759999999999</v>
      </c>
      <c r="T1075">
        <v>-0.31461820000000001</v>
      </c>
      <c r="U1075">
        <v>-1.0501400000000001</v>
      </c>
      <c r="V1075">
        <v>0.24825059999999999</v>
      </c>
      <c r="W1075">
        <v>-5.5484520000000002E-2</v>
      </c>
      <c r="X1075">
        <v>0.96710549999999995</v>
      </c>
      <c r="Y1075">
        <v>0.24373539999999999</v>
      </c>
      <c r="Z1075">
        <v>-1.127856E-3</v>
      </c>
      <c r="AA1075">
        <v>0.96984110000000001</v>
      </c>
      <c r="AB1075">
        <v>26</v>
      </c>
      <c r="AC1075">
        <v>9.6893999999999991</v>
      </c>
      <c r="AD1075">
        <v>-1.1061265206340001</v>
      </c>
      <c r="AE1075">
        <v>-3.67360000000002</v>
      </c>
      <c r="AF1075">
        <v>2.5341784117517698</v>
      </c>
      <c r="AG1075">
        <v>-1.1061265206340001</v>
      </c>
      <c r="AH1075">
        <v>9.9273316720961304</v>
      </c>
      <c r="AI1075">
        <v>96.161802642611207</v>
      </c>
      <c r="AJ1075">
        <v>75.679769557057298</v>
      </c>
      <c r="AK1075">
        <v>10.305216651290801</v>
      </c>
      <c r="AL1075">
        <v>93.180662306495293</v>
      </c>
      <c r="AM1075">
        <v>75.603328670946595</v>
      </c>
      <c r="AN1075">
        <v>0.999999970245119</v>
      </c>
    </row>
    <row r="1076" spans="1:40" x14ac:dyDescent="0.3">
      <c r="A1076" t="str">
        <f>"20200111160423506"</f>
        <v>20200111160423506</v>
      </c>
      <c r="B1076" t="str">
        <f>"1578729863501625"</f>
        <v>1578729863501625</v>
      </c>
      <c r="C1076" t="s">
        <v>40</v>
      </c>
      <c r="D1076">
        <v>5.7807890000000004</v>
      </c>
      <c r="E1076">
        <v>0.4952704</v>
      </c>
      <c r="F1076" t="s">
        <v>47</v>
      </c>
      <c r="G1076">
        <v>-199.72710000000001</v>
      </c>
      <c r="H1076" s="1">
        <v>-9.5551100000000001E-6</v>
      </c>
      <c r="I1076">
        <v>364.5129</v>
      </c>
      <c r="J1076">
        <v>-209.1062</v>
      </c>
      <c r="K1076">
        <v>1.1060430000000001</v>
      </c>
      <c r="L1076">
        <v>367.9966</v>
      </c>
      <c r="M1076">
        <v>0.99317650000000002</v>
      </c>
      <c r="N1076">
        <v>0</v>
      </c>
      <c r="O1076">
        <v>-0.1157518</v>
      </c>
      <c r="P1076">
        <v>0.92830219999999997</v>
      </c>
      <c r="Q1076">
        <v>-6.6488690000000003E-2</v>
      </c>
      <c r="R1076">
        <v>-0.36583389999999999</v>
      </c>
      <c r="S1076">
        <v>2.8017270000000001</v>
      </c>
      <c r="T1076">
        <v>-0.32527109999999998</v>
      </c>
      <c r="U1076">
        <v>-1.0304260000000001</v>
      </c>
      <c r="V1076">
        <v>0.25533660000000002</v>
      </c>
      <c r="W1076">
        <v>-5.5480410000000001E-2</v>
      </c>
      <c r="X1076">
        <v>0.96525910000000004</v>
      </c>
      <c r="Y1076">
        <v>0.23351649999999999</v>
      </c>
      <c r="Z1076">
        <v>-1.9939989999999999E-4</v>
      </c>
      <c r="AA1076">
        <v>0.97235280000000002</v>
      </c>
      <c r="AB1076">
        <v>26</v>
      </c>
      <c r="AC1076">
        <v>9.3790999999999904</v>
      </c>
      <c r="AD1076">
        <v>-1.10605255511</v>
      </c>
      <c r="AE1076">
        <v>-3.48369999999999</v>
      </c>
      <c r="AF1076">
        <v>2.3458527393307902</v>
      </c>
      <c r="AG1076">
        <v>-1.10605255511</v>
      </c>
      <c r="AH1076">
        <v>9.6019833529999001</v>
      </c>
      <c r="AI1076">
        <v>96.384777303785299</v>
      </c>
      <c r="AJ1076">
        <v>76.271044686142005</v>
      </c>
      <c r="AK1076">
        <v>9.9460777013141399</v>
      </c>
      <c r="AL1076">
        <v>93.180426386175398</v>
      </c>
      <c r="AM1076">
        <v>75.183125931264399</v>
      </c>
      <c r="AN1076">
        <v>0.99999999266306905</v>
      </c>
    </row>
    <row r="1077" spans="1:40" x14ac:dyDescent="0.3">
      <c r="A1077" t="str">
        <f>"20200111160423520"</f>
        <v>20200111160423520</v>
      </c>
      <c r="B1077" t="str">
        <f>"1578729863511384"</f>
        <v>1578729863511384</v>
      </c>
      <c r="C1077" t="s">
        <v>40</v>
      </c>
      <c r="D1077">
        <v>5.8143409999999998</v>
      </c>
      <c r="E1077">
        <v>0.49458010000000002</v>
      </c>
      <c r="F1077" t="s">
        <v>47</v>
      </c>
      <c r="G1077">
        <v>-199.68010000000001</v>
      </c>
      <c r="H1077" s="1">
        <v>-9.5450560000000008E-6</v>
      </c>
      <c r="I1077">
        <v>364.464</v>
      </c>
      <c r="J1077">
        <v>-208.94479999999999</v>
      </c>
      <c r="K1077">
        <v>1.1059460000000001</v>
      </c>
      <c r="L1077">
        <v>367.9735</v>
      </c>
      <c r="M1077">
        <v>0.99270769999999997</v>
      </c>
      <c r="N1077">
        <v>0</v>
      </c>
      <c r="O1077">
        <v>-0.11970509999999999</v>
      </c>
      <c r="P1077">
        <v>0.92140679999999997</v>
      </c>
      <c r="Q1077">
        <v>-6.6731760000000001E-2</v>
      </c>
      <c r="R1077">
        <v>-0.38282749999999999</v>
      </c>
      <c r="S1077">
        <v>2.7953640000000002</v>
      </c>
      <c r="T1077">
        <v>-0.32800649999999998</v>
      </c>
      <c r="U1077">
        <v>-1.047607</v>
      </c>
      <c r="V1077">
        <v>0.26917540000000001</v>
      </c>
      <c r="W1077">
        <v>-5.5975589999999999E-2</v>
      </c>
      <c r="X1077">
        <v>0.96146319999999996</v>
      </c>
      <c r="Y1077">
        <v>0.23561170000000001</v>
      </c>
      <c r="Z1077">
        <v>1.192773E-4</v>
      </c>
      <c r="AA1077">
        <v>0.97184729999999997</v>
      </c>
      <c r="AB1077">
        <v>26</v>
      </c>
      <c r="AC1077">
        <v>9.2646999999999693</v>
      </c>
      <c r="AD1077">
        <v>-1.1059555450559999</v>
      </c>
      <c r="AE1077">
        <v>-3.5095000000000001</v>
      </c>
      <c r="AF1077">
        <v>2.34588203894931</v>
      </c>
      <c r="AG1077">
        <v>-1.1059555450559999</v>
      </c>
      <c r="AH1077">
        <v>9.4998314557657704</v>
      </c>
      <c r="AI1077">
        <v>96.448398840385295</v>
      </c>
      <c r="AJ1077">
        <v>76.128922858546304</v>
      </c>
      <c r="AK1077">
        <v>9.8474919596952208</v>
      </c>
      <c r="AL1077">
        <v>93.208842008793397</v>
      </c>
      <c r="AM1077">
        <v>74.359648753840005</v>
      </c>
      <c r="AN1077">
        <v>1.00000007379762</v>
      </c>
    </row>
    <row r="1078" spans="1:40" x14ac:dyDescent="0.3">
      <c r="A1078" t="str">
        <f>"20200111160423533"</f>
        <v>20200111160423533</v>
      </c>
      <c r="B1078" t="str">
        <f>"1578729863522120"</f>
        <v>1578729863522120</v>
      </c>
      <c r="C1078" t="s">
        <v>40</v>
      </c>
      <c r="D1078">
        <v>5.9566339999999904</v>
      </c>
      <c r="E1078">
        <v>0.49458010000000002</v>
      </c>
      <c r="F1078" t="s">
        <v>47</v>
      </c>
      <c r="G1078">
        <v>-199.63900000000001</v>
      </c>
      <c r="H1078" s="1">
        <v>-9.5522040000000007E-6</v>
      </c>
      <c r="I1078">
        <v>364.31020000000001</v>
      </c>
      <c r="J1078">
        <v>-208.79920000000001</v>
      </c>
      <c r="K1078">
        <v>1.1058539999999999</v>
      </c>
      <c r="L1078">
        <v>367.95190000000002</v>
      </c>
      <c r="M1078">
        <v>0.99226029999999998</v>
      </c>
      <c r="N1078">
        <v>0</v>
      </c>
      <c r="O1078">
        <v>-0.12335749999999999</v>
      </c>
      <c r="P1078">
        <v>0.91723580000000005</v>
      </c>
      <c r="Q1078">
        <v>-6.6997680000000004E-2</v>
      </c>
      <c r="R1078">
        <v>-0.39267049999999998</v>
      </c>
      <c r="S1078">
        <v>2.777679</v>
      </c>
      <c r="T1078">
        <v>-0.33011600000000002</v>
      </c>
      <c r="U1078">
        <v>-1.093445</v>
      </c>
      <c r="V1078">
        <v>0.27590550000000003</v>
      </c>
      <c r="W1078">
        <v>-5.6390559999999999E-2</v>
      </c>
      <c r="X1078">
        <v>0.95952919999999997</v>
      </c>
      <c r="Y1078">
        <v>0.24794759999999999</v>
      </c>
      <c r="Z1078">
        <v>-1.77300499999999E-4</v>
      </c>
      <c r="AA1078">
        <v>0.96877340000000001</v>
      </c>
      <c r="AB1078">
        <v>26</v>
      </c>
      <c r="AC1078">
        <v>9.1601999999999997</v>
      </c>
      <c r="AD1078">
        <v>-1.1058635522039999</v>
      </c>
      <c r="AE1078">
        <v>-3.6417000000000099</v>
      </c>
      <c r="AF1078">
        <v>2.4529155617784699</v>
      </c>
      <c r="AG1078">
        <v>-1.1058635522039999</v>
      </c>
      <c r="AH1078">
        <v>9.4209336136625694</v>
      </c>
      <c r="AI1078">
        <v>96.480809241633494</v>
      </c>
      <c r="AJ1078">
        <v>75.406002099192506</v>
      </c>
      <c r="AK1078">
        <v>9.7976384451736909</v>
      </c>
      <c r="AL1078">
        <v>93.232655847874</v>
      </c>
      <c r="AM1078">
        <v>73.957803419181204</v>
      </c>
      <c r="AN1078">
        <v>1.00000001292</v>
      </c>
    </row>
    <row r="1079" spans="1:40" x14ac:dyDescent="0.3">
      <c r="A1079" t="str">
        <f>"20200111160423561"</f>
        <v>20200111160423561</v>
      </c>
      <c r="B1079" t="str">
        <f>"1578729863551401"</f>
        <v>1578729863551401</v>
      </c>
      <c r="C1079" t="s">
        <v>40</v>
      </c>
      <c r="D1079">
        <v>5.7434859999999999</v>
      </c>
      <c r="E1079">
        <v>0.53827340000000001</v>
      </c>
      <c r="F1079" t="s">
        <v>47</v>
      </c>
      <c r="G1079">
        <v>-199.559</v>
      </c>
      <c r="H1079" s="1">
        <v>-9.5392130000000007E-6</v>
      </c>
      <c r="I1079">
        <v>364.19819999999999</v>
      </c>
      <c r="J1079">
        <v>-208.47110000000001</v>
      </c>
      <c r="K1079">
        <v>1.1056469999999901</v>
      </c>
      <c r="L1079">
        <v>367.90140000000002</v>
      </c>
      <c r="M1079">
        <v>0.99116890000000002</v>
      </c>
      <c r="N1079">
        <v>0</v>
      </c>
      <c r="O1079">
        <v>-0.13183699999999901</v>
      </c>
      <c r="P1079">
        <v>0.90821949999999996</v>
      </c>
      <c r="Q1079">
        <v>-6.7505309999999999E-2</v>
      </c>
      <c r="R1079">
        <v>-0.4130143</v>
      </c>
      <c r="S1079">
        <v>2.765533</v>
      </c>
      <c r="T1079">
        <v>-0.33097720000000003</v>
      </c>
      <c r="U1079">
        <v>-1.1234740000000001</v>
      </c>
      <c r="V1079">
        <v>0.28901850000000001</v>
      </c>
      <c r="W1079">
        <v>-5.7219409999999998E-2</v>
      </c>
      <c r="X1079">
        <v>0.95561200000000002</v>
      </c>
      <c r="Y1079">
        <v>0.25020959999999998</v>
      </c>
      <c r="Z1079">
        <v>6.4488129999999905E-4</v>
      </c>
      <c r="AA1079">
        <v>0.96819149999999998</v>
      </c>
      <c r="AB1079">
        <v>26</v>
      </c>
      <c r="AC1079">
        <v>8.9120999999999793</v>
      </c>
      <c r="AD1079">
        <v>-1.10565653921299</v>
      </c>
      <c r="AE1079">
        <v>-3.70320000000003</v>
      </c>
      <c r="AF1079">
        <v>2.4634720412056499</v>
      </c>
      <c r="AG1079">
        <v>-1.10565653921299</v>
      </c>
      <c r="AH1079">
        <v>9.2017865958921004</v>
      </c>
      <c r="AI1079">
        <v>96.620651612607702</v>
      </c>
      <c r="AJ1079">
        <v>75.012428651574297</v>
      </c>
      <c r="AK1079">
        <v>9.5897887065798297</v>
      </c>
      <c r="AL1079">
        <v>93.280222223652103</v>
      </c>
      <c r="AM1079">
        <v>73.172407460047594</v>
      </c>
      <c r="AN1079">
        <v>1.0000000243834899</v>
      </c>
    </row>
    <row r="1080" spans="1:40" x14ac:dyDescent="0.3">
      <c r="A1080" t="str">
        <f>"20200111160423576"</f>
        <v>20200111160423576</v>
      </c>
      <c r="B1080" t="str">
        <f>"1578729863571896"</f>
        <v>1578729863571896</v>
      </c>
      <c r="C1080" t="s">
        <v>40</v>
      </c>
      <c r="D1080">
        <v>8.0140750000000001</v>
      </c>
      <c r="E1080">
        <v>0.62587139999999997</v>
      </c>
      <c r="F1080" t="s">
        <v>47</v>
      </c>
      <c r="G1080">
        <v>-198.61320000000001</v>
      </c>
      <c r="H1080" s="1">
        <v>-9.4858910000000005E-6</v>
      </c>
      <c r="I1080">
        <v>362.1748</v>
      </c>
      <c r="J1080">
        <v>-208.2978</v>
      </c>
      <c r="K1080">
        <v>1.105539</v>
      </c>
      <c r="L1080">
        <v>367.8732</v>
      </c>
      <c r="M1080">
        <v>0.99053690000000005</v>
      </c>
      <c r="N1080">
        <v>0</v>
      </c>
      <c r="O1080">
        <v>-0.1365025</v>
      </c>
      <c r="P1080">
        <v>0.90049489999999999</v>
      </c>
      <c r="Q1080">
        <v>-6.6906850000000004E-2</v>
      </c>
      <c r="R1080">
        <v>-0.42968899999999999</v>
      </c>
      <c r="S1080">
        <v>2.5957789999999998</v>
      </c>
      <c r="T1080">
        <v>-0.29114030000000002</v>
      </c>
      <c r="U1080">
        <v>-1.507935</v>
      </c>
      <c r="V1080">
        <v>0.3020833</v>
      </c>
      <c r="W1080">
        <v>-5.6897669999999997E-2</v>
      </c>
      <c r="X1080">
        <v>0.95158200000000004</v>
      </c>
      <c r="Y1080">
        <v>0.37844879999999997</v>
      </c>
      <c r="Z1080">
        <v>-5.6298659999999999E-3</v>
      </c>
      <c r="AA1080">
        <v>0.92560509999999996</v>
      </c>
      <c r="AB1080">
        <v>26</v>
      </c>
      <c r="AC1080">
        <v>9.6845999999999801</v>
      </c>
      <c r="AD1080">
        <v>-1.1055484858910001</v>
      </c>
      <c r="AE1080">
        <v>-5.6983999999999897</v>
      </c>
      <c r="AF1080">
        <v>4.2814984904058404</v>
      </c>
      <c r="AG1080">
        <v>-1.1055484858910001</v>
      </c>
      <c r="AH1080">
        <v>10.272418259551699</v>
      </c>
      <c r="AI1080">
        <v>95.673136388005503</v>
      </c>
      <c r="AJ1080">
        <v>67.373841953225295</v>
      </c>
      <c r="AK1080">
        <v>11.1837401470695</v>
      </c>
      <c r="AL1080">
        <v>93.2617579306458</v>
      </c>
      <c r="AM1080">
        <v>72.387762590803803</v>
      </c>
      <c r="AN1080">
        <v>0.99999998385715905</v>
      </c>
    </row>
    <row r="1081" spans="1:40" x14ac:dyDescent="0.3">
      <c r="A1081" t="str">
        <f>"20200111160423588"</f>
        <v>20200111160423588</v>
      </c>
      <c r="B1081" t="str">
        <f>"1578729863581656"</f>
        <v>1578729863581656</v>
      </c>
      <c r="C1081" t="s">
        <v>40</v>
      </c>
      <c r="D1081">
        <v>5.777291</v>
      </c>
      <c r="E1081">
        <v>0.62633559999999999</v>
      </c>
      <c r="F1081" t="s">
        <v>47</v>
      </c>
      <c r="G1081">
        <v>-199.25989999999999</v>
      </c>
      <c r="H1081" s="1">
        <v>-6.5785330000000001E-6</v>
      </c>
      <c r="I1081">
        <v>359.13729999999998</v>
      </c>
      <c r="J1081">
        <v>-208.15639999999999</v>
      </c>
      <c r="K1081">
        <v>1.1054469999999901</v>
      </c>
      <c r="L1081">
        <v>367.84960000000001</v>
      </c>
      <c r="M1081">
        <v>0.9899945</v>
      </c>
      <c r="N1081">
        <v>0</v>
      </c>
      <c r="O1081">
        <v>-0.14038129999999999</v>
      </c>
      <c r="P1081">
        <v>0.89608829999999995</v>
      </c>
      <c r="Q1081">
        <v>-6.6345589999999996E-2</v>
      </c>
      <c r="R1081">
        <v>-0.43889</v>
      </c>
      <c r="S1081">
        <v>2.265854</v>
      </c>
      <c r="T1081">
        <v>-0.27716800000000003</v>
      </c>
      <c r="U1081">
        <v>-2.1901549999999999</v>
      </c>
      <c r="V1081">
        <v>0.30807879999999999</v>
      </c>
      <c r="W1081">
        <v>-5.6492720000000003E-2</v>
      </c>
      <c r="X1081">
        <v>0.94968209999999997</v>
      </c>
      <c r="Y1081">
        <v>0.58549669999999998</v>
      </c>
      <c r="Z1081">
        <v>-1.578829E-2</v>
      </c>
      <c r="AA1081">
        <v>0.81052100000000005</v>
      </c>
      <c r="AB1081">
        <v>26</v>
      </c>
      <c r="AC1081">
        <v>8.8964999999999996</v>
      </c>
      <c r="AD1081">
        <v>-1.10545357853299</v>
      </c>
      <c r="AE1081">
        <v>-8.7123000000000204</v>
      </c>
      <c r="AF1081">
        <v>7.3192929101653297</v>
      </c>
      <c r="AG1081">
        <v>-1.10545357853299</v>
      </c>
      <c r="AH1081">
        <v>9.9531087024313702</v>
      </c>
      <c r="AI1081">
        <v>95.113038339140601</v>
      </c>
      <c r="AJ1081">
        <v>53.670070577720601</v>
      </c>
      <c r="AK1081">
        <v>12.403969089025599</v>
      </c>
      <c r="AL1081">
        <v>93.238518466077096</v>
      </c>
      <c r="AM1081">
        <v>72.026831943691704</v>
      </c>
      <c r="AN1081">
        <v>1.00000003274142</v>
      </c>
    </row>
    <row r="1082" spans="1:40" x14ac:dyDescent="0.3">
      <c r="A1082" t="str">
        <f>"20200111160423600"</f>
        <v>20200111160423600</v>
      </c>
      <c r="B1082" t="str">
        <f>"1578729863591417"</f>
        <v>1578729863591417</v>
      </c>
      <c r="C1082" t="s">
        <v>40</v>
      </c>
      <c r="D1082">
        <v>5.6429650000000002</v>
      </c>
      <c r="E1082">
        <v>0.62469189999999997</v>
      </c>
      <c r="F1082" t="s">
        <v>47</v>
      </c>
      <c r="G1082">
        <v>-195.38310000000001</v>
      </c>
      <c r="H1082" s="1">
        <v>-4.4172249999999999E-6</v>
      </c>
      <c r="I1082">
        <v>355.1703</v>
      </c>
      <c r="J1082">
        <v>-208.01650000000001</v>
      </c>
      <c r="K1082">
        <v>1.105353</v>
      </c>
      <c r="L1082">
        <v>367.82560000000001</v>
      </c>
      <c r="M1082">
        <v>0.98943099999999995</v>
      </c>
      <c r="N1082">
        <v>0</v>
      </c>
      <c r="O1082">
        <v>-0.14429829999999999</v>
      </c>
      <c r="P1082">
        <v>0.8916655</v>
      </c>
      <c r="Q1082">
        <v>-6.5575120000000001E-2</v>
      </c>
      <c r="R1082">
        <v>-0.44792080000000001</v>
      </c>
      <c r="S1082">
        <v>2.2430110000000001</v>
      </c>
      <c r="T1082">
        <v>-0.19411800000000001</v>
      </c>
      <c r="U1082">
        <v>-2.2265009999999998</v>
      </c>
      <c r="V1082">
        <v>0.31389159999999999</v>
      </c>
      <c r="W1082">
        <v>-5.5879440000000002E-2</v>
      </c>
      <c r="X1082">
        <v>0.94781300000000002</v>
      </c>
      <c r="Y1082">
        <v>0.59387369999999995</v>
      </c>
      <c r="Z1082">
        <v>-1.11305E-2</v>
      </c>
      <c r="AA1082">
        <v>0.80448129999999995</v>
      </c>
      <c r="AB1082">
        <v>26</v>
      </c>
      <c r="AC1082">
        <v>12.6333999999999</v>
      </c>
      <c r="AD1082">
        <v>-1.105357417225</v>
      </c>
      <c r="AE1082">
        <v>-12.6553</v>
      </c>
      <c r="AF1082">
        <v>10.658932741765</v>
      </c>
      <c r="AG1082">
        <v>-1.105357417225</v>
      </c>
      <c r="AH1082">
        <v>14.272941926239</v>
      </c>
      <c r="AI1082">
        <v>93.550696308557406</v>
      </c>
      <c r="AJ1082">
        <v>53.2478829097576</v>
      </c>
      <c r="AK1082">
        <v>17.848012030561701</v>
      </c>
      <c r="AL1082">
        <v>93.203324730725598</v>
      </c>
      <c r="AM1082">
        <v>71.676440371078101</v>
      </c>
      <c r="AN1082">
        <v>0.999999965667136</v>
      </c>
    </row>
    <row r="1083" spans="1:40" x14ac:dyDescent="0.3">
      <c r="A1083" t="str">
        <f>"20200111160423612"</f>
        <v>20200111160423612</v>
      </c>
      <c r="B1083" t="str">
        <f>"1578729863602152"</f>
        <v>1578729863602152</v>
      </c>
      <c r="C1083" t="s">
        <v>40</v>
      </c>
      <c r="D1083">
        <v>5.6271620000000002</v>
      </c>
      <c r="E1083">
        <v>0.62354330000000002</v>
      </c>
      <c r="F1083" t="s">
        <v>47</v>
      </c>
      <c r="G1083">
        <v>-198.78270000000001</v>
      </c>
      <c r="H1083" s="1">
        <v>-6.3168899999999998E-6</v>
      </c>
      <c r="I1083">
        <v>358.57830000000001</v>
      </c>
      <c r="J1083">
        <v>-207.87979999999999</v>
      </c>
      <c r="K1083">
        <v>1.105261</v>
      </c>
      <c r="L1083">
        <v>367.8014</v>
      </c>
      <c r="M1083">
        <v>0.98885020000000001</v>
      </c>
      <c r="N1083">
        <v>0</v>
      </c>
      <c r="O1083">
        <v>-0.14822479999999999</v>
      </c>
      <c r="P1083">
        <v>0.88753939999999998</v>
      </c>
      <c r="Q1083">
        <v>-6.4200549999999995E-2</v>
      </c>
      <c r="R1083">
        <v>-0.4562368</v>
      </c>
      <c r="S1083">
        <v>2.2253720000000001</v>
      </c>
      <c r="T1083">
        <v>-0.26639570000000001</v>
      </c>
      <c r="U1083">
        <v>-2.2286380000000001</v>
      </c>
      <c r="V1083">
        <v>0.31896999999999998</v>
      </c>
      <c r="W1083">
        <v>-5.4650009999999999E-2</v>
      </c>
      <c r="X1083">
        <v>0.94618789999999997</v>
      </c>
      <c r="Y1083">
        <v>0.59352299999999902</v>
      </c>
      <c r="Z1083">
        <v>-1.4950710000000001E-2</v>
      </c>
      <c r="AA1083">
        <v>0.80467809999999995</v>
      </c>
      <c r="AB1083">
        <v>26</v>
      </c>
      <c r="AC1083">
        <v>9.0970999999999798</v>
      </c>
      <c r="AD1083">
        <v>-1.10526731689</v>
      </c>
      <c r="AE1083">
        <v>-9.2230999999999792</v>
      </c>
      <c r="AF1083">
        <v>7.71647422211272</v>
      </c>
      <c r="AG1083">
        <v>-1.10526731689</v>
      </c>
      <c r="AH1083">
        <v>10.288926887379301</v>
      </c>
      <c r="AI1083">
        <v>94.911889404998604</v>
      </c>
      <c r="AJ1083">
        <v>53.130889795253502</v>
      </c>
      <c r="AK1083">
        <v>12.9084316148846</v>
      </c>
      <c r="AL1083">
        <v>93.1327756068643</v>
      </c>
      <c r="AM1083">
        <v>71.370491506577096</v>
      </c>
      <c r="AN1083">
        <v>1.0000000132997</v>
      </c>
    </row>
    <row r="1084" spans="1:40" x14ac:dyDescent="0.3">
      <c r="A1084" t="str">
        <f>"20200111160423626"</f>
        <v>20200111160423626</v>
      </c>
      <c r="B1084" t="str">
        <f>"1578729863621672"</f>
        <v>1578729863621672</v>
      </c>
      <c r="C1084" t="s">
        <v>40</v>
      </c>
      <c r="D1084">
        <v>5.675319</v>
      </c>
      <c r="E1084">
        <v>0.62043719999999902</v>
      </c>
      <c r="F1084" t="s">
        <v>47</v>
      </c>
      <c r="G1084">
        <v>-199.0514</v>
      </c>
      <c r="H1084" s="1">
        <v>-6.45089899999999E-6</v>
      </c>
      <c r="I1084">
        <v>358.85329999999999</v>
      </c>
      <c r="J1084">
        <v>-207.733</v>
      </c>
      <c r="K1084">
        <v>1.1051660000000001</v>
      </c>
      <c r="L1084">
        <v>367.77499999999998</v>
      </c>
      <c r="M1084">
        <v>0.98820070000000004</v>
      </c>
      <c r="N1084">
        <v>0</v>
      </c>
      <c r="O1084">
        <v>-0.15249360000000001</v>
      </c>
      <c r="P1084">
        <v>0.88352410000000003</v>
      </c>
      <c r="Q1084">
        <v>-6.3446409999999995E-2</v>
      </c>
      <c r="R1084">
        <v>-0.4640686</v>
      </c>
      <c r="S1084">
        <v>2.2091219999999998</v>
      </c>
      <c r="T1084">
        <v>-0.27657209999999899</v>
      </c>
      <c r="U1084">
        <v>-2.2391049999999999</v>
      </c>
      <c r="V1084">
        <v>0.323233099999999</v>
      </c>
      <c r="W1084">
        <v>-5.4034829999999999E-2</v>
      </c>
      <c r="X1084">
        <v>0.94477540000000004</v>
      </c>
      <c r="Y1084">
        <v>0.59476909999999905</v>
      </c>
      <c r="Z1084">
        <v>-1.5220900000000001E-2</v>
      </c>
      <c r="AA1084">
        <v>0.80375249999999998</v>
      </c>
      <c r="AB1084">
        <v>26</v>
      </c>
      <c r="AC1084">
        <v>8.6815999999999995</v>
      </c>
      <c r="AD1084">
        <v>-1.105172450899</v>
      </c>
      <c r="AE1084">
        <v>-8.92169999999998</v>
      </c>
      <c r="AF1084">
        <v>7.4347118112604296</v>
      </c>
      <c r="AG1084">
        <v>-1.105172450899</v>
      </c>
      <c r="AH1084">
        <v>9.8629476959382707</v>
      </c>
      <c r="AI1084">
        <v>95.1131403648522</v>
      </c>
      <c r="AJ1084">
        <v>52.990932095650102</v>
      </c>
      <c r="AK1084">
        <v>12.400567854559499</v>
      </c>
      <c r="AL1084">
        <v>93.097476338407105</v>
      </c>
      <c r="AM1084">
        <v>71.112801674809404</v>
      </c>
      <c r="AN1084">
        <v>0.99999997811694896</v>
      </c>
    </row>
    <row r="1085" spans="1:40" x14ac:dyDescent="0.3">
      <c r="A1085" t="str">
        <f>"20200111160423638"</f>
        <v>20200111160423638</v>
      </c>
      <c r="B1085" t="str">
        <f>"1578729863631432"</f>
        <v>1578729863631432</v>
      </c>
      <c r="C1085" t="s">
        <v>40</v>
      </c>
      <c r="D1085">
        <v>5.7330399999999999</v>
      </c>
      <c r="E1085">
        <v>0.61868259999999997</v>
      </c>
      <c r="F1085" t="s">
        <v>47</v>
      </c>
      <c r="G1085">
        <v>-199.56569999999999</v>
      </c>
      <c r="H1085" s="1">
        <v>-6.7418829999999999E-6</v>
      </c>
      <c r="I1085">
        <v>359.48259999999999</v>
      </c>
      <c r="J1085">
        <v>-207.5934</v>
      </c>
      <c r="K1085">
        <v>1.105073</v>
      </c>
      <c r="L1085">
        <v>367.74889999999999</v>
      </c>
      <c r="M1085">
        <v>0.98754779999999998</v>
      </c>
      <c r="N1085">
        <v>0</v>
      </c>
      <c r="O1085">
        <v>-0.1566649</v>
      </c>
      <c r="P1085">
        <v>0.87965879999999996</v>
      </c>
      <c r="Q1085">
        <v>-6.2498379999999999E-2</v>
      </c>
      <c r="R1085">
        <v>-0.47148200000000001</v>
      </c>
      <c r="S1085">
        <v>2.2005620000000001</v>
      </c>
      <c r="T1085">
        <v>-0.29777219999999999</v>
      </c>
      <c r="U1085">
        <v>-2.2342529999999998</v>
      </c>
      <c r="V1085">
        <v>0.32717059999999998</v>
      </c>
      <c r="W1085">
        <v>-5.3219059999999999E-2</v>
      </c>
      <c r="X1085">
        <v>0.94346549999999996</v>
      </c>
      <c r="Y1085">
        <v>0.59182270000000003</v>
      </c>
      <c r="Z1085">
        <v>-1.5827270000000001E-2</v>
      </c>
      <c r="AA1085">
        <v>0.80591269999999904</v>
      </c>
      <c r="AB1085">
        <v>26</v>
      </c>
      <c r="AC1085">
        <v>8.02770000000001</v>
      </c>
      <c r="AD1085">
        <v>-1.1050797418830001</v>
      </c>
      <c r="AE1085">
        <v>-8.2662999999999993</v>
      </c>
      <c r="AF1085">
        <v>6.8434743705262298</v>
      </c>
      <c r="AG1085">
        <v>-1.1050797418830001</v>
      </c>
      <c r="AH1085">
        <v>9.1396622712885804</v>
      </c>
      <c r="AI1085">
        <v>95.528184526514707</v>
      </c>
      <c r="AJ1085">
        <v>53.175354935330802</v>
      </c>
      <c r="AK1085">
        <v>11.4711712187198</v>
      </c>
      <c r="AL1085">
        <v>93.050668707193594</v>
      </c>
      <c r="AM1085">
        <v>70.874713692282597</v>
      </c>
      <c r="AN1085">
        <v>1.0000000097709401</v>
      </c>
    </row>
    <row r="1086" spans="1:40" x14ac:dyDescent="0.3">
      <c r="A1086" t="str">
        <f>"20200111160423649"</f>
        <v>20200111160423649</v>
      </c>
      <c r="B1086" t="str">
        <f>"1578729863642168"</f>
        <v>1578729863642168</v>
      </c>
      <c r="C1086" t="s">
        <v>40</v>
      </c>
      <c r="D1086">
        <v>5.813491</v>
      </c>
      <c r="E1086">
        <v>0.61693189999999998</v>
      </c>
      <c r="F1086" t="s">
        <v>47</v>
      </c>
      <c r="G1086">
        <v>-199.71510000000001</v>
      </c>
      <c r="H1086" s="1">
        <v>-1.02459E-5</v>
      </c>
      <c r="I1086">
        <v>359.68959999999998</v>
      </c>
      <c r="J1086">
        <v>-207.46199999999999</v>
      </c>
      <c r="K1086">
        <v>1.104984</v>
      </c>
      <c r="L1086">
        <v>367.72379999999998</v>
      </c>
      <c r="M1086">
        <v>0.98690699999999998</v>
      </c>
      <c r="N1086">
        <v>0</v>
      </c>
      <c r="O1086">
        <v>-0.1606514</v>
      </c>
      <c r="P1086">
        <v>0.87593690000000002</v>
      </c>
      <c r="Q1086">
        <v>-6.2105750000000001E-2</v>
      </c>
      <c r="R1086">
        <v>-0.47841210000000001</v>
      </c>
      <c r="S1086">
        <v>2.1885829999999999</v>
      </c>
      <c r="T1086">
        <v>-0.30699159999999998</v>
      </c>
      <c r="U1086">
        <v>-2.238861</v>
      </c>
      <c r="V1086">
        <v>0.3307927</v>
      </c>
      <c r="W1086">
        <v>-5.2950530000000003E-2</v>
      </c>
      <c r="X1086">
        <v>0.94221679999999997</v>
      </c>
      <c r="Y1086">
        <v>0.59149439999999998</v>
      </c>
      <c r="Z1086">
        <v>-1.5909369999999999E-2</v>
      </c>
      <c r="AA1086">
        <v>0.80615219999999999</v>
      </c>
      <c r="AB1086">
        <v>26</v>
      </c>
      <c r="AC1086">
        <v>7.7469000000000099</v>
      </c>
      <c r="AD1086">
        <v>-1.1049942458999999</v>
      </c>
      <c r="AE1086">
        <v>-8.0341999999999896</v>
      </c>
      <c r="AF1086">
        <v>6.6202512709320702</v>
      </c>
      <c r="AG1086">
        <v>-1.1049942458999999</v>
      </c>
      <c r="AH1086">
        <v>8.8503401440926694</v>
      </c>
      <c r="AI1086">
        <v>95.709315464251205</v>
      </c>
      <c r="AJ1086">
        <v>53.202694253161297</v>
      </c>
      <c r="AK1086">
        <v>11.107531671793099</v>
      </c>
      <c r="AL1086">
        <v>93.035261274975099</v>
      </c>
      <c r="AM1086">
        <v>70.654887813428005</v>
      </c>
      <c r="AN1086">
        <v>1.0000000336014001</v>
      </c>
    </row>
    <row r="1087" spans="1:40" x14ac:dyDescent="0.3">
      <c r="A1087" t="str">
        <f>"20200111160423661"</f>
        <v>20200111160423661</v>
      </c>
      <c r="B1087" t="str">
        <f>"1578729863651928"</f>
        <v>1578729863651928</v>
      </c>
      <c r="C1087" t="s">
        <v>40</v>
      </c>
      <c r="D1087">
        <v>5.7231829999999997</v>
      </c>
      <c r="E1087">
        <v>0.61547580000000002</v>
      </c>
      <c r="F1087" t="s">
        <v>47</v>
      </c>
      <c r="G1087">
        <v>-199.84889999999999</v>
      </c>
      <c r="H1087" s="1">
        <v>-1.0264E-5</v>
      </c>
      <c r="I1087">
        <v>359.88499999999999</v>
      </c>
      <c r="J1087">
        <v>-207.3193</v>
      </c>
      <c r="K1087">
        <v>1.104887</v>
      </c>
      <c r="L1087">
        <v>367.69600000000003</v>
      </c>
      <c r="M1087">
        <v>0.98618170000000005</v>
      </c>
      <c r="N1087">
        <v>0</v>
      </c>
      <c r="O1087">
        <v>-0.16504360000000001</v>
      </c>
      <c r="P1087">
        <v>0.87213269999999998</v>
      </c>
      <c r="Q1087">
        <v>-6.1662599999999998E-2</v>
      </c>
      <c r="R1087">
        <v>-0.48536849999999998</v>
      </c>
      <c r="S1087">
        <v>2.1777950000000001</v>
      </c>
      <c r="T1087">
        <v>-0.31609150000000003</v>
      </c>
      <c r="U1087">
        <v>-2.24234</v>
      </c>
      <c r="V1087">
        <v>0.3340805</v>
      </c>
      <c r="W1087">
        <v>-5.2630789999999997E-2</v>
      </c>
      <c r="X1087">
        <v>0.94107399999999997</v>
      </c>
      <c r="Y1087">
        <v>0.59042550000000005</v>
      </c>
      <c r="Z1087">
        <v>-1.5864960000000001E-2</v>
      </c>
      <c r="AA1087">
        <v>0.80693630000000005</v>
      </c>
      <c r="AB1087">
        <v>26</v>
      </c>
      <c r="AC1087">
        <v>7.4704000000000104</v>
      </c>
      <c r="AD1087">
        <v>-1.1048972640000001</v>
      </c>
      <c r="AE1087">
        <v>-7.8109999999999697</v>
      </c>
      <c r="AF1087">
        <v>6.4038681182619301</v>
      </c>
      <c r="AG1087">
        <v>-1.1048972640000001</v>
      </c>
      <c r="AH1087">
        <v>8.5676847120428992</v>
      </c>
      <c r="AI1087">
        <v>95.897473391614497</v>
      </c>
      <c r="AJ1087">
        <v>53.223928743785997</v>
      </c>
      <c r="AK1087">
        <v>10.753396959336101</v>
      </c>
      <c r="AL1087">
        <v>93.016915962172902</v>
      </c>
      <c r="AM1087">
        <v>70.455179306750395</v>
      </c>
      <c r="AN1087">
        <v>1.00000002700613</v>
      </c>
    </row>
    <row r="1088" spans="1:40" x14ac:dyDescent="0.3">
      <c r="A1088" t="str">
        <f>"20200111160423679"</f>
        <v>20200111160423679</v>
      </c>
      <c r="B1088" t="str">
        <f>"1578729863671448"</f>
        <v>1578729863671448</v>
      </c>
      <c r="C1088" t="s">
        <v>40</v>
      </c>
      <c r="D1088">
        <v>5.7336179999999999</v>
      </c>
      <c r="E1088">
        <v>0.6128479</v>
      </c>
      <c r="F1088" t="s">
        <v>47</v>
      </c>
      <c r="G1088">
        <v>-199.87889999999999</v>
      </c>
      <c r="H1088" s="1">
        <v>-1.026273E-5</v>
      </c>
      <c r="I1088">
        <v>359.96980000000002</v>
      </c>
      <c r="J1088">
        <v>-207.13290000000001</v>
      </c>
      <c r="K1088">
        <v>1.1047579999999999</v>
      </c>
      <c r="L1088">
        <v>367.65820000000002</v>
      </c>
      <c r="M1088">
        <v>0.98517719999999998</v>
      </c>
      <c r="N1088">
        <v>0</v>
      </c>
      <c r="O1088">
        <v>-0.170935</v>
      </c>
      <c r="P1088">
        <v>0.86640669999999897</v>
      </c>
      <c r="Q1088">
        <v>-6.1012570000000002E-2</v>
      </c>
      <c r="R1088">
        <v>-0.49559760000000003</v>
      </c>
      <c r="S1088">
        <v>2.1656040000000001</v>
      </c>
      <c r="T1088">
        <v>-0.32159090000000001</v>
      </c>
      <c r="U1088">
        <v>-2.2487789999999999</v>
      </c>
      <c r="V1088">
        <v>0.33950419999999998</v>
      </c>
      <c r="W1088">
        <v>-5.2164540000000002E-2</v>
      </c>
      <c r="X1088">
        <v>0.93915689999999996</v>
      </c>
      <c r="Y1088">
        <v>0.58898549999999905</v>
      </c>
      <c r="Z1088">
        <v>-1.5420039999999999E-2</v>
      </c>
      <c r="AA1088">
        <v>0.80799650000000001</v>
      </c>
      <c r="AB1088">
        <v>26</v>
      </c>
      <c r="AC1088">
        <v>7.2540000000000102</v>
      </c>
      <c r="AD1088">
        <v>-1.10476826273</v>
      </c>
      <c r="AE1088">
        <v>-7.6883999999999997</v>
      </c>
      <c r="AF1088">
        <v>6.26667546918548</v>
      </c>
      <c r="AG1088">
        <v>-1.10476826273</v>
      </c>
      <c r="AH1088">
        <v>8.3701365394345295</v>
      </c>
      <c r="AI1088">
        <v>96.031356759048606</v>
      </c>
      <c r="AJ1088">
        <v>53.178002911039997</v>
      </c>
      <c r="AK1088">
        <v>10.5143197611259</v>
      </c>
      <c r="AL1088">
        <v>92.990165252457103</v>
      </c>
      <c r="AM1088">
        <v>70.125131767981401</v>
      </c>
      <c r="AN1088">
        <v>0.99999996193432905</v>
      </c>
    </row>
    <row r="1089" spans="1:40" x14ac:dyDescent="0.3">
      <c r="A1089" t="str">
        <f>"20200111160423691"</f>
        <v>20200111160423691</v>
      </c>
      <c r="B1089" t="str">
        <f>"1578729863682184"</f>
        <v>1578729863682184</v>
      </c>
      <c r="C1089" t="s">
        <v>40</v>
      </c>
      <c r="D1089">
        <v>5.7792440000000003</v>
      </c>
      <c r="E1089">
        <v>0.61139140000000003</v>
      </c>
      <c r="F1089" t="s">
        <v>47</v>
      </c>
      <c r="G1089">
        <v>-200.13149999999999</v>
      </c>
      <c r="H1089" s="1">
        <v>-2.5462350000000002E-6</v>
      </c>
      <c r="I1089">
        <v>360.31900000000002</v>
      </c>
      <c r="J1089">
        <v>-206.98439999999999</v>
      </c>
      <c r="K1089">
        <v>1.104654</v>
      </c>
      <c r="L1089">
        <v>367.62729999999999</v>
      </c>
      <c r="M1089">
        <v>0.98433269999999995</v>
      </c>
      <c r="N1089">
        <v>0</v>
      </c>
      <c r="O1089">
        <v>-0.1757319</v>
      </c>
      <c r="P1089">
        <v>0.86281409999999903</v>
      </c>
      <c r="Q1089">
        <v>-6.0645879999999999E-2</v>
      </c>
      <c r="R1089">
        <v>-0.50187059999999994</v>
      </c>
      <c r="S1089">
        <v>2.149689</v>
      </c>
      <c r="T1089">
        <v>-0.33920070000000002</v>
      </c>
      <c r="U1089">
        <v>-2.2534179999999999</v>
      </c>
      <c r="V1089">
        <v>0.34172839999999999</v>
      </c>
      <c r="W1089">
        <v>-5.1907990000000001E-2</v>
      </c>
      <c r="X1089">
        <v>0.93836410000000003</v>
      </c>
      <c r="Y1089">
        <v>0.58864019999999995</v>
      </c>
      <c r="Z1089">
        <v>-1.5723910000000001E-2</v>
      </c>
      <c r="AA1089">
        <v>0.80824229999999997</v>
      </c>
      <c r="AB1089">
        <v>26</v>
      </c>
      <c r="AC1089">
        <v>6.8529</v>
      </c>
      <c r="AD1089">
        <v>-1.104656546235</v>
      </c>
      <c r="AE1089">
        <v>-7.3082999999999698</v>
      </c>
      <c r="AF1089">
        <v>5.9181978090890297</v>
      </c>
      <c r="AG1089">
        <v>-1.104656546235</v>
      </c>
      <c r="AH1089">
        <v>7.9342097571169301</v>
      </c>
      <c r="AI1089">
        <v>96.367882639820294</v>
      </c>
      <c r="AJ1089">
        <v>53.280414317051402</v>
      </c>
      <c r="AK1089">
        <v>9.9597698699606294</v>
      </c>
      <c r="AL1089">
        <v>92.975446079373299</v>
      </c>
      <c r="AM1089">
        <v>69.989659536691804</v>
      </c>
      <c r="AN1089">
        <v>0.99999996148060399</v>
      </c>
    </row>
    <row r="1090" spans="1:40" x14ac:dyDescent="0.3">
      <c r="A1090" t="str">
        <f>"20200111160423705"</f>
        <v>20200111160423705</v>
      </c>
      <c r="B1090" t="str">
        <f>"1578729863701705"</f>
        <v>1578729863701705</v>
      </c>
      <c r="C1090" t="s">
        <v>40</v>
      </c>
      <c r="D1090">
        <v>5.7777539999999998</v>
      </c>
      <c r="E1090">
        <v>0.60868250000000002</v>
      </c>
      <c r="F1090" t="s">
        <v>47</v>
      </c>
      <c r="G1090">
        <v>-200.2217</v>
      </c>
      <c r="H1090" s="1">
        <v>-2.55363E-6</v>
      </c>
      <c r="I1090">
        <v>360.49169999999998</v>
      </c>
      <c r="J1090">
        <v>-206.83170000000001</v>
      </c>
      <c r="K1090">
        <v>1.1045480000000001</v>
      </c>
      <c r="L1090">
        <v>367.59469999999999</v>
      </c>
      <c r="M1090">
        <v>0.98342560000000001</v>
      </c>
      <c r="N1090">
        <v>0</v>
      </c>
      <c r="O1090">
        <v>-0.18073810000000001</v>
      </c>
      <c r="P1090">
        <v>0.85949599999999904</v>
      </c>
      <c r="Q1090">
        <v>-6.0958850000000002E-2</v>
      </c>
      <c r="R1090">
        <v>-0.50749489999999997</v>
      </c>
      <c r="S1090">
        <v>2.1394199999999999</v>
      </c>
      <c r="T1090">
        <v>-0.34946300000000002</v>
      </c>
      <c r="U1090">
        <v>-2.257355</v>
      </c>
      <c r="V1090">
        <v>0.34306700000000001</v>
      </c>
      <c r="W1090">
        <v>-5.2318799999999999E-2</v>
      </c>
      <c r="X1090">
        <v>0.93785269999999998</v>
      </c>
      <c r="Y1090">
        <v>0.58705850000000004</v>
      </c>
      <c r="Z1090">
        <v>-1.550549E-2</v>
      </c>
      <c r="AA1090">
        <v>0.809396</v>
      </c>
      <c r="AB1090">
        <v>26</v>
      </c>
      <c r="AC1090">
        <v>6.6100000000000101</v>
      </c>
      <c r="AD1090">
        <v>-1.10455055362999</v>
      </c>
      <c r="AE1090">
        <v>-7.1029999999999998</v>
      </c>
      <c r="AF1090">
        <v>5.7171063867826897</v>
      </c>
      <c r="AG1090">
        <v>-1.10455055362999</v>
      </c>
      <c r="AH1090">
        <v>7.6854384921613104</v>
      </c>
      <c r="AI1090">
        <v>96.577914550528803</v>
      </c>
      <c r="AJ1090">
        <v>53.354879008340397</v>
      </c>
      <c r="AK1090">
        <v>9.6421627335422304</v>
      </c>
      <c r="AL1090">
        <v>92.999015805890295</v>
      </c>
      <c r="AM1090">
        <v>69.907454344529498</v>
      </c>
      <c r="AN1090">
        <v>0.99999995510986395</v>
      </c>
    </row>
    <row r="1091" spans="1:40" x14ac:dyDescent="0.3">
      <c r="A1091" t="str">
        <f>"20200111160423718"</f>
        <v>20200111160423718</v>
      </c>
      <c r="B1091" t="str">
        <f>"1578729863711464"</f>
        <v>1578729863711464</v>
      </c>
      <c r="C1091" t="s">
        <v>40</v>
      </c>
      <c r="D1091">
        <v>5.797695</v>
      </c>
      <c r="E1091">
        <v>0.60743809999999998</v>
      </c>
      <c r="F1091" t="s">
        <v>47</v>
      </c>
      <c r="G1091">
        <v>-200.4341</v>
      </c>
      <c r="H1091" s="1">
        <v>-2.5830199999999998E-6</v>
      </c>
      <c r="I1091">
        <v>360.85390000000001</v>
      </c>
      <c r="J1091">
        <v>-206.6814</v>
      </c>
      <c r="K1091">
        <v>1.1044400000000001</v>
      </c>
      <c r="L1091">
        <v>367.56150000000002</v>
      </c>
      <c r="M1091">
        <v>0.98248190000000002</v>
      </c>
      <c r="N1091">
        <v>0</v>
      </c>
      <c r="O1091">
        <v>-0.1857984</v>
      </c>
      <c r="P1091">
        <v>0.85636250000000003</v>
      </c>
      <c r="Q1091">
        <v>-6.1540900000000003E-2</v>
      </c>
      <c r="R1091">
        <v>-0.51269509999999996</v>
      </c>
      <c r="S1091">
        <v>2.1356199999999999</v>
      </c>
      <c r="T1091">
        <v>-0.36871870000000001</v>
      </c>
      <c r="U1091">
        <v>-2.2502140000000002</v>
      </c>
      <c r="V1091">
        <v>0.34390850000000001</v>
      </c>
      <c r="W1091">
        <v>-5.2988559999999997E-2</v>
      </c>
      <c r="X1091">
        <v>0.93750690000000003</v>
      </c>
      <c r="Y1091">
        <v>0.5821075</v>
      </c>
      <c r="Z1091">
        <v>-1.536714E-2</v>
      </c>
      <c r="AA1091">
        <v>0.81296659999999998</v>
      </c>
      <c r="AB1091">
        <v>26</v>
      </c>
      <c r="AC1091">
        <v>6.2472999999999903</v>
      </c>
      <c r="AD1091">
        <v>-1.10444258301999</v>
      </c>
      <c r="AE1091">
        <v>-6.70760000000001</v>
      </c>
      <c r="AF1091">
        <v>5.3522203646359099</v>
      </c>
      <c r="AG1091">
        <v>-1.10444258301999</v>
      </c>
      <c r="AH1091">
        <v>7.2792115945044902</v>
      </c>
      <c r="AI1091">
        <v>96.969203662503304</v>
      </c>
      <c r="AJ1091">
        <v>53.673894938074099</v>
      </c>
      <c r="AK1091">
        <v>9.1023611051407904</v>
      </c>
      <c r="AL1091">
        <v>93.037443351084505</v>
      </c>
      <c r="AM1091">
        <v>69.855294572397497</v>
      </c>
      <c r="AN1091">
        <v>1.0000000157053599</v>
      </c>
    </row>
    <row r="1092" spans="1:40" x14ac:dyDescent="0.3">
      <c r="A1092" t="str">
        <f>"20200111160423730"</f>
        <v>20200111160423730</v>
      </c>
      <c r="B1092" t="str">
        <f>"1578729863722200"</f>
        <v>1578729863722200</v>
      </c>
      <c r="C1092" t="s">
        <v>40</v>
      </c>
      <c r="D1092">
        <v>6.0215100000000001</v>
      </c>
      <c r="E1092">
        <v>0.60638610000000004</v>
      </c>
      <c r="F1092" t="s">
        <v>47</v>
      </c>
      <c r="G1092">
        <v>-200.3134</v>
      </c>
      <c r="H1092" s="1">
        <v>-2.5231879999999999E-6</v>
      </c>
      <c r="I1092">
        <v>360.81020000000001</v>
      </c>
      <c r="J1092">
        <v>-206.53989999999999</v>
      </c>
      <c r="K1092">
        <v>1.104341</v>
      </c>
      <c r="L1092">
        <v>367.52949999999998</v>
      </c>
      <c r="M1092">
        <v>0.98155460000000005</v>
      </c>
      <c r="N1092">
        <v>0</v>
      </c>
      <c r="O1092">
        <v>-0.1906352</v>
      </c>
      <c r="P1092">
        <v>0.85370059999999903</v>
      </c>
      <c r="Q1092">
        <v>-6.2024879999999998E-2</v>
      </c>
      <c r="R1092">
        <v>-0.51705749999999995</v>
      </c>
      <c r="S1092">
        <v>2.12677</v>
      </c>
      <c r="T1092">
        <v>-0.36885990000000002</v>
      </c>
      <c r="U1092">
        <v>-2.254791</v>
      </c>
      <c r="V1092">
        <v>0.34406120000000001</v>
      </c>
      <c r="W1092">
        <v>-5.354134E-2</v>
      </c>
      <c r="X1092">
        <v>0.93741949999999996</v>
      </c>
      <c r="Y1092">
        <v>0.58065409999999995</v>
      </c>
      <c r="Z1092">
        <v>-1.4662079999999999E-2</v>
      </c>
      <c r="AA1092">
        <v>0.81401829999999997</v>
      </c>
      <c r="AB1092">
        <v>26</v>
      </c>
      <c r="AC1092">
        <v>6.2264999999999802</v>
      </c>
      <c r="AD1092">
        <v>-1.1043435231880001</v>
      </c>
      <c r="AE1092">
        <v>-6.7192999999999703</v>
      </c>
      <c r="AF1092">
        <v>5.33145306544401</v>
      </c>
      <c r="AG1092">
        <v>-1.1043435231880001</v>
      </c>
      <c r="AH1092">
        <v>7.2874490456320196</v>
      </c>
      <c r="AI1092">
        <v>96.972894390133106</v>
      </c>
      <c r="AJ1092">
        <v>53.811026304523097</v>
      </c>
      <c r="AK1092">
        <v>9.0967510683167898</v>
      </c>
      <c r="AL1092">
        <v>93.069160226350405</v>
      </c>
      <c r="AM1092">
        <v>69.845341851750902</v>
      </c>
      <c r="AN1092">
        <v>1.00000005170734</v>
      </c>
    </row>
    <row r="1093" spans="1:40" x14ac:dyDescent="0.3">
      <c r="A1093" t="str">
        <f>"20200111160423744"</f>
        <v>20200111160423744</v>
      </c>
      <c r="B1093" t="str">
        <f>"1578729863741720"</f>
        <v>1578729863741720</v>
      </c>
      <c r="C1093" t="s">
        <v>40</v>
      </c>
      <c r="D1093">
        <v>5.7512189999999999</v>
      </c>
      <c r="E1093">
        <v>0.60416519999999996</v>
      </c>
      <c r="F1093" t="s">
        <v>47</v>
      </c>
      <c r="G1093">
        <v>-200.2371</v>
      </c>
      <c r="H1093" s="1">
        <v>-2.477608E-6</v>
      </c>
      <c r="I1093">
        <v>360.81180000000001</v>
      </c>
      <c r="J1093">
        <v>-206.39070000000001</v>
      </c>
      <c r="K1093">
        <v>1.104249</v>
      </c>
      <c r="L1093">
        <v>367.49509999999998</v>
      </c>
      <c r="M1093">
        <v>0.98053800000000002</v>
      </c>
      <c r="N1093">
        <v>0</v>
      </c>
      <c r="O1093">
        <v>-0.19579569999999999</v>
      </c>
      <c r="P1093">
        <v>0.85149209999999997</v>
      </c>
      <c r="Q1093">
        <v>-6.273215E-2</v>
      </c>
      <c r="R1093">
        <v>-0.52060169999999995</v>
      </c>
      <c r="S1093">
        <v>2.1191559999999998</v>
      </c>
      <c r="T1093">
        <v>-0.37130960000000002</v>
      </c>
      <c r="U1093">
        <v>-2.258667</v>
      </c>
      <c r="V1093">
        <v>0.34301419999999999</v>
      </c>
      <c r="W1093">
        <v>-5.4296240000000003E-2</v>
      </c>
      <c r="X1093">
        <v>0.93775960000000003</v>
      </c>
      <c r="Y1093">
        <v>0.57854259999999902</v>
      </c>
      <c r="Z1093">
        <v>-1.394657E-2</v>
      </c>
      <c r="AA1093">
        <v>0.81553290000000001</v>
      </c>
      <c r="AB1093">
        <v>26</v>
      </c>
      <c r="AC1093">
        <v>6.1536000000000097</v>
      </c>
      <c r="AD1093">
        <v>-1.1042514776079999</v>
      </c>
      <c r="AE1093">
        <v>-6.6832999999999698</v>
      </c>
      <c r="AF1093">
        <v>5.2710646513276798</v>
      </c>
      <c r="AG1093">
        <v>-1.1042514776079999</v>
      </c>
      <c r="AH1093">
        <v>7.2362578286749297</v>
      </c>
      <c r="AI1093">
        <v>97.031652801899995</v>
      </c>
      <c r="AJ1093">
        <v>53.929502796148398</v>
      </c>
      <c r="AK1093">
        <v>9.0203614809681998</v>
      </c>
      <c r="AL1093">
        <v>93.112476150970195</v>
      </c>
      <c r="AM1093">
        <v>69.908464423325896</v>
      </c>
      <c r="AN1093">
        <v>0.99999994523596702</v>
      </c>
    </row>
    <row r="1094" spans="1:40" x14ac:dyDescent="0.3">
      <c r="A1094" t="str">
        <f>"20200111160423756"</f>
        <v>20200111160423756</v>
      </c>
      <c r="B1094" t="str">
        <f>"1578729863751480"</f>
        <v>1578729863751480</v>
      </c>
      <c r="C1094" t="s">
        <v>40</v>
      </c>
      <c r="D1094">
        <v>5.8849559999999999</v>
      </c>
      <c r="E1094">
        <v>0.60296629999999996</v>
      </c>
      <c r="F1094" t="s">
        <v>47</v>
      </c>
      <c r="G1094">
        <v>-200.0718</v>
      </c>
      <c r="H1094" s="1">
        <v>-2.3893729999999998E-6</v>
      </c>
      <c r="I1094">
        <v>360.7758</v>
      </c>
      <c r="J1094">
        <v>-206.2527</v>
      </c>
      <c r="K1094">
        <v>1.10416</v>
      </c>
      <c r="L1094">
        <v>367.46199999999999</v>
      </c>
      <c r="M1094">
        <v>0.97954390000000002</v>
      </c>
      <c r="N1094">
        <v>0</v>
      </c>
      <c r="O1094">
        <v>-0.20070779999999999</v>
      </c>
      <c r="P1094">
        <v>0.849881</v>
      </c>
      <c r="Q1094">
        <v>-6.2381680000000002E-2</v>
      </c>
      <c r="R1094">
        <v>-0.5232694</v>
      </c>
      <c r="S1094">
        <v>2.118576</v>
      </c>
      <c r="T1094">
        <v>-0.37022969999999999</v>
      </c>
      <c r="U1094">
        <v>-2.2528380000000001</v>
      </c>
      <c r="V1094">
        <v>0.34124359999999998</v>
      </c>
      <c r="W1094">
        <v>-5.3972979999999997E-2</v>
      </c>
      <c r="X1094">
        <v>0.93842409999999998</v>
      </c>
      <c r="Y1094">
        <v>0.57359059999999995</v>
      </c>
      <c r="Z1094">
        <v>-1.291231E-2</v>
      </c>
      <c r="AA1094">
        <v>0.8190404</v>
      </c>
      <c r="AB1094">
        <v>25</v>
      </c>
      <c r="AC1094">
        <v>6.1809000000000003</v>
      </c>
      <c r="AD1094">
        <v>-1.1041623893729999</v>
      </c>
      <c r="AE1094">
        <v>-6.6861999999999799</v>
      </c>
      <c r="AF1094">
        <v>5.2324856904034496</v>
      </c>
      <c r="AG1094">
        <v>-1.1041623893729999</v>
      </c>
      <c r="AH1094">
        <v>7.2900128963106798</v>
      </c>
      <c r="AI1094">
        <v>97.014835598790995</v>
      </c>
      <c r="AJ1094">
        <v>54.330696119391803</v>
      </c>
      <c r="AK1094">
        <v>9.0411486610252592</v>
      </c>
      <c r="AL1094">
        <v>93.093927241557395</v>
      </c>
      <c r="AM1094">
        <v>70.016975835970101</v>
      </c>
      <c r="AN1094">
        <v>1.0000000342859201</v>
      </c>
    </row>
    <row r="1095" spans="1:40" x14ac:dyDescent="0.3">
      <c r="A1095" t="str">
        <f>"20200111160423769"</f>
        <v>20200111160423769</v>
      </c>
      <c r="B1095" t="str">
        <f>"1578729863762216"</f>
        <v>1578729863762216</v>
      </c>
      <c r="C1095" t="s">
        <v>40</v>
      </c>
      <c r="D1095">
        <v>5.711849</v>
      </c>
      <c r="E1095">
        <v>0.60204630000000003</v>
      </c>
      <c r="F1095" t="s">
        <v>47</v>
      </c>
      <c r="G1095">
        <v>-199.88</v>
      </c>
      <c r="H1095" s="1">
        <v>-1.0160749999999999E-5</v>
      </c>
      <c r="I1095">
        <v>360.68279999999999</v>
      </c>
      <c r="J1095">
        <v>-206.11660000000001</v>
      </c>
      <c r="K1095">
        <v>1.104068</v>
      </c>
      <c r="L1095">
        <v>367.4289</v>
      </c>
      <c r="M1095">
        <v>0.97852830000000002</v>
      </c>
      <c r="N1095">
        <v>0</v>
      </c>
      <c r="O1095">
        <v>-0.2056016</v>
      </c>
      <c r="P1095">
        <v>0.84814480000000003</v>
      </c>
      <c r="Q1095">
        <v>-6.2361369999999999E-2</v>
      </c>
      <c r="R1095">
        <v>-0.52608169999999899</v>
      </c>
      <c r="S1095">
        <v>2.1166230000000001</v>
      </c>
      <c r="T1095">
        <v>-0.36673549999999999</v>
      </c>
      <c r="U1095">
        <v>-2.2516479999999999</v>
      </c>
      <c r="V1095">
        <v>0.33965009999999901</v>
      </c>
      <c r="W1095">
        <v>-5.3982240000000001E-2</v>
      </c>
      <c r="X1095">
        <v>0.93900139999999999</v>
      </c>
      <c r="Y1095">
        <v>0.56976309999999997</v>
      </c>
      <c r="Z1095">
        <v>-1.1885919999999999E-2</v>
      </c>
      <c r="AA1095">
        <v>0.82172299999999998</v>
      </c>
      <c r="AB1095">
        <v>25</v>
      </c>
      <c r="AC1095">
        <v>6.2366000000000099</v>
      </c>
      <c r="AD1095">
        <v>-1.1040781607500001</v>
      </c>
      <c r="AE1095">
        <v>-6.74610000000001</v>
      </c>
      <c r="AF1095">
        <v>5.2438223731070401</v>
      </c>
      <c r="AG1095">
        <v>-1.1040781607500001</v>
      </c>
      <c r="AH1095">
        <v>7.3838479085199102</v>
      </c>
      <c r="AI1095">
        <v>96.950686825450802</v>
      </c>
      <c r="AJ1095">
        <v>54.618591784037498</v>
      </c>
      <c r="AK1095">
        <v>9.1234791391166592</v>
      </c>
      <c r="AL1095">
        <v>93.094458833245099</v>
      </c>
      <c r="AM1095">
        <v>70.114225387322193</v>
      </c>
      <c r="AN1095">
        <v>0.99999995093369198</v>
      </c>
    </row>
    <row r="1096" spans="1:40" x14ac:dyDescent="0.3">
      <c r="A1096" t="str">
        <f>"20200111160423780"</f>
        <v>20200111160423780</v>
      </c>
      <c r="B1096" t="str">
        <f>"1578729863771976"</f>
        <v>1578729863771976</v>
      </c>
      <c r="C1096" t="s">
        <v>40</v>
      </c>
      <c r="D1096">
        <v>5.735347</v>
      </c>
      <c r="E1096">
        <v>0.60121389999999997</v>
      </c>
      <c r="F1096" t="s">
        <v>47</v>
      </c>
      <c r="G1096">
        <v>-199.72749999999999</v>
      </c>
      <c r="H1096" s="1">
        <v>-1.0114830000000001E-5</v>
      </c>
      <c r="I1096">
        <v>360.61649999999997</v>
      </c>
      <c r="J1096">
        <v>-205.97669999999999</v>
      </c>
      <c r="K1096">
        <v>1.1039829999999999</v>
      </c>
      <c r="L1096">
        <v>367.39400000000001</v>
      </c>
      <c r="M1096">
        <v>0.97743959999999996</v>
      </c>
      <c r="N1096">
        <v>0</v>
      </c>
      <c r="O1096">
        <v>-0.21071509999999999</v>
      </c>
      <c r="P1096">
        <v>0.84650789999999998</v>
      </c>
      <c r="Q1096">
        <v>-6.2617950000000006E-2</v>
      </c>
      <c r="R1096">
        <v>-0.5286807</v>
      </c>
      <c r="S1096">
        <v>2.1128849999999999</v>
      </c>
      <c r="T1096">
        <v>-0.36512139999999998</v>
      </c>
      <c r="U1096">
        <v>-2.252869</v>
      </c>
      <c r="V1096">
        <v>0.3376094</v>
      </c>
      <c r="W1096">
        <v>-5.425982E-2</v>
      </c>
      <c r="X1096">
        <v>0.93972109999999998</v>
      </c>
      <c r="Y1096">
        <v>0.56649169999999904</v>
      </c>
      <c r="Z1096">
        <v>-1.094561E-2</v>
      </c>
      <c r="AA1096">
        <v>0.82399480000000003</v>
      </c>
      <c r="AB1096">
        <v>25</v>
      </c>
      <c r="AC1096">
        <v>6.2492000000000001</v>
      </c>
      <c r="AD1096">
        <v>-1.10399311483</v>
      </c>
      <c r="AE1096">
        <v>-6.7775000000000301</v>
      </c>
      <c r="AF1096">
        <v>5.23330512077957</v>
      </c>
      <c r="AG1096">
        <v>-1.10399311483</v>
      </c>
      <c r="AH1096">
        <v>7.4305702592141802</v>
      </c>
      <c r="AI1096">
        <v>96.925867958680101</v>
      </c>
      <c r="AJ1096">
        <v>54.843197958531398</v>
      </c>
      <c r="AK1096">
        <v>9.1553076224607608</v>
      </c>
      <c r="AL1096">
        <v>93.1103862172737</v>
      </c>
      <c r="AM1096">
        <v>70.238386233555602</v>
      </c>
      <c r="AN1096">
        <v>0.99999999041000098</v>
      </c>
    </row>
    <row r="1097" spans="1:40" x14ac:dyDescent="0.3">
      <c r="A1097" t="str">
        <f>"20200111160423792"</f>
        <v>20200111160423792</v>
      </c>
      <c r="B1097" t="str">
        <f>"1578729863781737"</f>
        <v>1578729863781737</v>
      </c>
      <c r="C1097" t="s">
        <v>40</v>
      </c>
      <c r="D1097">
        <v>5.7032579999999999</v>
      </c>
      <c r="E1097">
        <v>0.60040559999999998</v>
      </c>
      <c r="F1097" t="s">
        <v>47</v>
      </c>
      <c r="G1097">
        <v>-199.61850000000001</v>
      </c>
      <c r="H1097" s="1">
        <v>-1.0077569999999999E-5</v>
      </c>
      <c r="I1097">
        <v>360.6</v>
      </c>
      <c r="J1097">
        <v>-205.8501</v>
      </c>
      <c r="K1097">
        <v>1.1039079999999999</v>
      </c>
      <c r="L1097">
        <v>367.36149999999998</v>
      </c>
      <c r="M1097">
        <v>0.97640800000000005</v>
      </c>
      <c r="N1097">
        <v>0</v>
      </c>
      <c r="O1097">
        <v>-0.215444</v>
      </c>
      <c r="P1097">
        <v>0.8450339</v>
      </c>
      <c r="Q1097">
        <v>-6.3911990000000002E-2</v>
      </c>
      <c r="R1097">
        <v>-0.53087969999999995</v>
      </c>
      <c r="S1097">
        <v>2.1092680000000001</v>
      </c>
      <c r="T1097">
        <v>-0.3662376</v>
      </c>
      <c r="U1097">
        <v>-2.2538450000000001</v>
      </c>
      <c r="V1097">
        <v>0.3354935</v>
      </c>
      <c r="W1097">
        <v>-5.5569090000000002E-2</v>
      </c>
      <c r="X1097">
        <v>0.94040219999999997</v>
      </c>
      <c r="Y1097">
        <v>0.56342360000000002</v>
      </c>
      <c r="Z1097">
        <v>-1.0152029999999999E-2</v>
      </c>
      <c r="AA1097">
        <v>0.8261058</v>
      </c>
      <c r="AB1097">
        <v>25</v>
      </c>
      <c r="AC1097">
        <v>6.2315999999999798</v>
      </c>
      <c r="AD1097">
        <v>-1.1039180775699999</v>
      </c>
      <c r="AE1097">
        <v>-6.7614999999999501</v>
      </c>
      <c r="AF1097">
        <v>5.1852423680094502</v>
      </c>
      <c r="AG1097">
        <v>-1.1039180775699999</v>
      </c>
      <c r="AH1097">
        <v>7.4349452096166804</v>
      </c>
      <c r="AI1097">
        <v>96.943560850516405</v>
      </c>
      <c r="AJ1097">
        <v>55.107502691464603</v>
      </c>
      <c r="AK1097">
        <v>9.1314721598977808</v>
      </c>
      <c r="AL1097">
        <v>93.185515027546401</v>
      </c>
      <c r="AM1097">
        <v>70.365870149291695</v>
      </c>
      <c r="AN1097">
        <v>1.0000000550352499</v>
      </c>
    </row>
    <row r="1098" spans="1:40" x14ac:dyDescent="0.3">
      <c r="A1098" t="str">
        <f>"20200111160423805"</f>
        <v>20200111160423805</v>
      </c>
      <c r="B1098" t="str">
        <f>"1578729863802234"</f>
        <v>1578729863802234</v>
      </c>
      <c r="C1098" t="s">
        <v>40</v>
      </c>
      <c r="D1098">
        <v>5.6686620000000003</v>
      </c>
      <c r="E1098">
        <v>0.59897889999999998</v>
      </c>
      <c r="F1098" t="s">
        <v>47</v>
      </c>
      <c r="G1098">
        <v>-199.5909</v>
      </c>
      <c r="H1098" s="1">
        <v>-1.005833E-5</v>
      </c>
      <c r="I1098">
        <v>360.66410000000002</v>
      </c>
      <c r="J1098">
        <v>-205.71100000000001</v>
      </c>
      <c r="K1098">
        <v>1.1038220000000001</v>
      </c>
      <c r="L1098">
        <v>367.3252</v>
      </c>
      <c r="M1098">
        <v>0.97523519999999997</v>
      </c>
      <c r="N1098">
        <v>0</v>
      </c>
      <c r="O1098">
        <v>-0.22069</v>
      </c>
      <c r="P1098">
        <v>0.84315300000000004</v>
      </c>
      <c r="Q1098">
        <v>-6.5014150000000007E-2</v>
      </c>
      <c r="R1098">
        <v>-0.53372929999999996</v>
      </c>
      <c r="S1098">
        <v>2.106201</v>
      </c>
      <c r="T1098">
        <v>-0.37146319999999999</v>
      </c>
      <c r="U1098">
        <v>-2.2536619999999998</v>
      </c>
      <c r="V1098">
        <v>0.33360069999999997</v>
      </c>
      <c r="W1098">
        <v>-5.6697419999999998E-2</v>
      </c>
      <c r="X1098">
        <v>0.94100799999999996</v>
      </c>
      <c r="Y1098">
        <v>0.55954340000000002</v>
      </c>
      <c r="Z1098">
        <v>-9.3292389999999996E-3</v>
      </c>
      <c r="AA1098">
        <v>0.8287485</v>
      </c>
      <c r="AB1098">
        <v>25</v>
      </c>
      <c r="AC1098">
        <v>6.1200999999999697</v>
      </c>
      <c r="AD1098">
        <v>-1.1038320583300001</v>
      </c>
      <c r="AE1098">
        <v>-6.66109999999997</v>
      </c>
      <c r="AF1098">
        <v>5.0705365420269102</v>
      </c>
      <c r="AG1098">
        <v>-1.1038320583300001</v>
      </c>
      <c r="AH1098">
        <v>7.33021251991459</v>
      </c>
      <c r="AI1098">
        <v>97.059823916130895</v>
      </c>
      <c r="AJ1098">
        <v>55.327182012179001</v>
      </c>
      <c r="AK1098">
        <v>8.9811358760537594</v>
      </c>
      <c r="AL1098">
        <v>93.250265715643906</v>
      </c>
      <c r="AM1098">
        <v>70.479860436121797</v>
      </c>
      <c r="AN1098">
        <v>1.0000000402695699</v>
      </c>
    </row>
    <row r="1099" spans="1:40" x14ac:dyDescent="0.3">
      <c r="A1099" t="str">
        <f>"20200111160423816"</f>
        <v>20200111160423816</v>
      </c>
      <c r="B1099" t="str">
        <f>"1578729863811992"</f>
        <v>1578729863811992</v>
      </c>
      <c r="C1099" t="s">
        <v>40</v>
      </c>
      <c r="D1099">
        <v>5.6180459999999997</v>
      </c>
      <c r="E1099">
        <v>0.59839869999999995</v>
      </c>
      <c r="F1099" t="s">
        <v>47</v>
      </c>
      <c r="G1099">
        <v>-199.49969999999999</v>
      </c>
      <c r="H1099" s="1">
        <v>-1.002282E-5</v>
      </c>
      <c r="I1099">
        <v>360.68049999999999</v>
      </c>
      <c r="J1099">
        <v>-205.57640000000001</v>
      </c>
      <c r="K1099">
        <v>1.1037349999999999</v>
      </c>
      <c r="L1099">
        <v>367.28890000000001</v>
      </c>
      <c r="M1099">
        <v>0.97404029999999997</v>
      </c>
      <c r="N1099">
        <v>0</v>
      </c>
      <c r="O1099">
        <v>-0.22590440000000001</v>
      </c>
      <c r="P1099">
        <v>0.84125329999999998</v>
      </c>
      <c r="Q1099">
        <v>-6.5511520000000004E-2</v>
      </c>
      <c r="R1099">
        <v>-0.53665810000000003</v>
      </c>
      <c r="S1099">
        <v>2.104263</v>
      </c>
      <c r="T1099">
        <v>-0.37396000000000001</v>
      </c>
      <c r="U1099">
        <v>-2.2511290000000002</v>
      </c>
      <c r="V1099">
        <v>0.33182620000000002</v>
      </c>
      <c r="W1099">
        <v>-5.7222809999999999E-2</v>
      </c>
      <c r="X1099">
        <v>0.94160339999999998</v>
      </c>
      <c r="Y1099">
        <v>0.55505749999999998</v>
      </c>
      <c r="Z1099">
        <v>-8.3777829999999998E-3</v>
      </c>
      <c r="AA1099">
        <v>0.8317698</v>
      </c>
      <c r="AB1099">
        <v>25</v>
      </c>
      <c r="AC1099">
        <v>6.0767000000000104</v>
      </c>
      <c r="AD1099">
        <v>-1.1037450228200001</v>
      </c>
      <c r="AE1099">
        <v>-6.6084000000000103</v>
      </c>
      <c r="AF1099">
        <v>4.9892196358187304</v>
      </c>
      <c r="AG1099">
        <v>-1.1037450228200001</v>
      </c>
      <c r="AH1099">
        <v>7.3022301315428901</v>
      </c>
      <c r="AI1099">
        <v>97.1138870362539</v>
      </c>
      <c r="AJ1099">
        <v>55.657313221604902</v>
      </c>
      <c r="AK1099">
        <v>8.9125266083110297</v>
      </c>
      <c r="AL1099">
        <v>93.2804173635935</v>
      </c>
      <c r="AM1099">
        <v>70.587262949528395</v>
      </c>
      <c r="AN1099">
        <v>1.0000000199411401</v>
      </c>
    </row>
    <row r="1100" spans="1:40" x14ac:dyDescent="0.3">
      <c r="A1100" t="str">
        <f>"20200111160423829"</f>
        <v>20200111160423829</v>
      </c>
      <c r="B1100" t="str">
        <f>"1578729863821752"</f>
        <v>1578729863821752</v>
      </c>
      <c r="C1100" t="s">
        <v>40</v>
      </c>
      <c r="D1100">
        <v>5.6447120000000002</v>
      </c>
      <c r="E1100">
        <v>0.59777179999999996</v>
      </c>
      <c r="F1100" t="s">
        <v>47</v>
      </c>
      <c r="G1100">
        <v>-199.3768</v>
      </c>
      <c r="H1100" s="1">
        <v>-9.9854829999999997E-6</v>
      </c>
      <c r="I1100">
        <v>360.6293</v>
      </c>
      <c r="J1100">
        <v>-205.43709999999999</v>
      </c>
      <c r="K1100">
        <v>1.10365</v>
      </c>
      <c r="L1100">
        <v>367.25060000000002</v>
      </c>
      <c r="M1100">
        <v>0.97275520000000004</v>
      </c>
      <c r="N1100">
        <v>0</v>
      </c>
      <c r="O1100">
        <v>-0.2313733</v>
      </c>
      <c r="P1100">
        <v>0.83915069999999903</v>
      </c>
      <c r="Q1100">
        <v>-6.4454499999999998E-2</v>
      </c>
      <c r="R1100">
        <v>-0.5400665</v>
      </c>
      <c r="S1100">
        <v>2.0987849999999999</v>
      </c>
      <c r="T1100">
        <v>-0.37365730000000003</v>
      </c>
      <c r="U1100">
        <v>-2.2545169999999999</v>
      </c>
      <c r="V1100">
        <v>0.3303412</v>
      </c>
      <c r="W1100">
        <v>-5.6200020000000003E-2</v>
      </c>
      <c r="X1100">
        <v>0.942187</v>
      </c>
      <c r="Y1100">
        <v>0.5521528</v>
      </c>
      <c r="Z1100">
        <v>-7.4417440000000001E-3</v>
      </c>
      <c r="AA1100">
        <v>0.8337097</v>
      </c>
      <c r="AB1100">
        <v>25</v>
      </c>
      <c r="AC1100">
        <v>6.0602999999999803</v>
      </c>
      <c r="AD1100">
        <v>-1.103659985483</v>
      </c>
      <c r="AE1100">
        <v>-6.6213000000000104</v>
      </c>
      <c r="AF1100">
        <v>4.9642005564143297</v>
      </c>
      <c r="AG1100">
        <v>-1.103659985483</v>
      </c>
      <c r="AH1100">
        <v>7.3173481692567099</v>
      </c>
      <c r="AI1100">
        <v>97.114605378015696</v>
      </c>
      <c r="AJ1100">
        <v>55.846433161656002</v>
      </c>
      <c r="AK1100">
        <v>8.9109447735907992</v>
      </c>
      <c r="AL1100">
        <v>93.221721260544896</v>
      </c>
      <c r="AM1100">
        <v>70.678768451271296</v>
      </c>
      <c r="AN1100">
        <v>1.0000000468172101</v>
      </c>
    </row>
    <row r="1101" spans="1:40" x14ac:dyDescent="0.3">
      <c r="A1101" t="str">
        <f>"20200111160423841"</f>
        <v>20200111160423841</v>
      </c>
      <c r="B1101" t="str">
        <f>"1578729863831512"</f>
        <v>1578729863831512</v>
      </c>
      <c r="C1101" t="s">
        <v>40</v>
      </c>
      <c r="D1101">
        <v>5.9817879999999999</v>
      </c>
      <c r="E1101">
        <v>0.59687440000000003</v>
      </c>
      <c r="F1101" t="s">
        <v>47</v>
      </c>
      <c r="G1101">
        <v>-199.20830000000001</v>
      </c>
      <c r="H1101" s="1">
        <v>-9.9392559999999995E-6</v>
      </c>
      <c r="I1101">
        <v>360.5247</v>
      </c>
      <c r="J1101">
        <v>-205.2987</v>
      </c>
      <c r="K1101">
        <v>1.1035699999999999</v>
      </c>
      <c r="L1101">
        <v>367.21179999999998</v>
      </c>
      <c r="M1101">
        <v>0.97142720000000005</v>
      </c>
      <c r="N1101">
        <v>0</v>
      </c>
      <c r="O1101">
        <v>-0.23688629999999999</v>
      </c>
      <c r="P1101">
        <v>0.83685830000000005</v>
      </c>
      <c r="Q1101">
        <v>-6.1039110000000001E-2</v>
      </c>
      <c r="R1101">
        <v>-0.54400630000000005</v>
      </c>
      <c r="S1101">
        <v>2.092422</v>
      </c>
      <c r="T1101">
        <v>-0.37075459999999999</v>
      </c>
      <c r="U1101">
        <v>-2.2594599999999998</v>
      </c>
      <c r="V1101">
        <v>0.32941100000000001</v>
      </c>
      <c r="W1101">
        <v>-5.2827319999999997E-2</v>
      </c>
      <c r="X1101">
        <v>0.94270770000000004</v>
      </c>
      <c r="Y1101">
        <v>0.54968879999999998</v>
      </c>
      <c r="Z1101">
        <v>-6.4883459999999999E-3</v>
      </c>
      <c r="AA1101">
        <v>0.83534430000000004</v>
      </c>
      <c r="AB1101">
        <v>25</v>
      </c>
      <c r="AC1101">
        <v>6.0903999999999803</v>
      </c>
      <c r="AD1101">
        <v>-1.103579939256</v>
      </c>
      <c r="AE1101">
        <v>-6.6870999999999796</v>
      </c>
      <c r="AF1101">
        <v>4.9797078528273699</v>
      </c>
      <c r="AG1101">
        <v>-1.103579939256</v>
      </c>
      <c r="AH1101">
        <v>7.3912341475619696</v>
      </c>
      <c r="AI1101">
        <v>97.058866475885694</v>
      </c>
      <c r="AJ1101">
        <v>56.030606506383798</v>
      </c>
      <c r="AK1101">
        <v>8.9802962760660101</v>
      </c>
      <c r="AL1101">
        <v>93.028191857245005</v>
      </c>
      <c r="AM1101">
        <v>70.739018346688397</v>
      </c>
      <c r="AN1101">
        <v>1.0000000701493299</v>
      </c>
    </row>
    <row r="1102" spans="1:40" x14ac:dyDescent="0.3">
      <c r="A1102" t="str">
        <f>"20200111160423856"</f>
        <v>20200111160423856</v>
      </c>
      <c r="B1102" t="str">
        <f>"1578729863852009"</f>
        <v>1578729863852009</v>
      </c>
      <c r="C1102" t="s">
        <v>40</v>
      </c>
      <c r="D1102">
        <v>5.563167</v>
      </c>
      <c r="E1102">
        <v>0.59595529999999997</v>
      </c>
      <c r="F1102" t="s">
        <v>47</v>
      </c>
      <c r="G1102">
        <v>-198.9178</v>
      </c>
      <c r="H1102" s="1">
        <v>-9.8718790000000004E-6</v>
      </c>
      <c r="I1102">
        <v>360.29239999999999</v>
      </c>
      <c r="J1102">
        <v>-205.13740000000001</v>
      </c>
      <c r="K1102">
        <v>1.10349599999999</v>
      </c>
      <c r="L1102">
        <v>367.16489999999999</v>
      </c>
      <c r="M1102">
        <v>0.96979760000000004</v>
      </c>
      <c r="N1102">
        <v>0</v>
      </c>
      <c r="O1102">
        <v>-0.2434702</v>
      </c>
      <c r="P1102">
        <v>0.8339415</v>
      </c>
      <c r="Q1102">
        <v>-5.0975340000000001E-2</v>
      </c>
      <c r="R1102">
        <v>-0.54949380000000003</v>
      </c>
      <c r="S1102">
        <v>2.087189</v>
      </c>
      <c r="T1102">
        <v>-0.36098259999999899</v>
      </c>
      <c r="U1102">
        <v>-2.2633359999999998</v>
      </c>
      <c r="V1102">
        <v>0.32920440000000001</v>
      </c>
      <c r="W1102">
        <v>-4.282561E-2</v>
      </c>
      <c r="X1102">
        <v>0.94328710000000004</v>
      </c>
      <c r="Y1102">
        <v>0.5459581</v>
      </c>
      <c r="Z1102">
        <v>-5.2174680000000003E-3</v>
      </c>
      <c r="AA1102">
        <v>0.83779619999999999</v>
      </c>
      <c r="AB1102">
        <v>25</v>
      </c>
      <c r="AC1102">
        <v>6.2196000000000096</v>
      </c>
      <c r="AD1102">
        <v>-1.1035058718789901</v>
      </c>
      <c r="AE1102">
        <v>-6.8724999999999996</v>
      </c>
      <c r="AF1102">
        <v>5.0792092468141403</v>
      </c>
      <c r="AG1102">
        <v>-1.1035058718789901</v>
      </c>
      <c r="AH1102">
        <v>7.5981366660273197</v>
      </c>
      <c r="AI1102">
        <v>96.884599922340598</v>
      </c>
      <c r="AJ1102">
        <v>56.238028727682</v>
      </c>
      <c r="AK1102">
        <v>9.2058553419995999</v>
      </c>
      <c r="AL1102">
        <v>92.454477212779906</v>
      </c>
      <c r="AM1102">
        <v>70.761164192401395</v>
      </c>
      <c r="AN1102">
        <v>1.00000006143881</v>
      </c>
    </row>
    <row r="1103" spans="1:40" x14ac:dyDescent="0.3">
      <c r="A1103" t="str">
        <f>"20200111160423869"</f>
        <v>20200111160423869</v>
      </c>
      <c r="B1103" t="str">
        <f>"1578729863861770"</f>
        <v>1578729863861770</v>
      </c>
      <c r="C1103" t="s">
        <v>40</v>
      </c>
      <c r="D1103">
        <v>5.7925139999999997</v>
      </c>
      <c r="E1103">
        <v>0.59528049999999999</v>
      </c>
      <c r="F1103" t="s">
        <v>47</v>
      </c>
      <c r="G1103">
        <v>-198.27539999999999</v>
      </c>
      <c r="H1103" s="1">
        <v>-9.7432599999999993E-6</v>
      </c>
      <c r="I1103">
        <v>359.67219999999998</v>
      </c>
      <c r="J1103">
        <v>-204.9924</v>
      </c>
      <c r="K1103">
        <v>1.1034079999999999</v>
      </c>
      <c r="L1103">
        <v>367.12180000000001</v>
      </c>
      <c r="M1103">
        <v>0.96826780000000001</v>
      </c>
      <c r="N1103">
        <v>0</v>
      </c>
      <c r="O1103">
        <v>-0.24948290000000001</v>
      </c>
      <c r="P1103">
        <v>0.83029039999999998</v>
      </c>
      <c r="Q1103">
        <v>-4.5066790000000002E-2</v>
      </c>
      <c r="R1103">
        <v>-0.55550619999999995</v>
      </c>
      <c r="S1103">
        <v>2.0802610000000001</v>
      </c>
      <c r="T1103">
        <v>-0.33453539999999998</v>
      </c>
      <c r="U1103">
        <v>-2.2714539999999999</v>
      </c>
      <c r="V1103">
        <v>0.33017370000000001</v>
      </c>
      <c r="W1103">
        <v>-3.7003599999999998E-2</v>
      </c>
      <c r="X1103">
        <v>0.94319459999999999</v>
      </c>
      <c r="Y1103">
        <v>0.54396849999999997</v>
      </c>
      <c r="Z1103">
        <v>-3.9990099999999999E-3</v>
      </c>
      <c r="AA1103">
        <v>0.83909609999999901</v>
      </c>
      <c r="AB1103">
        <v>25</v>
      </c>
      <c r="AC1103">
        <v>6.7170000000000103</v>
      </c>
      <c r="AD1103">
        <v>-1.1034177432600001</v>
      </c>
      <c r="AE1103">
        <v>-7.4496000000000304</v>
      </c>
      <c r="AF1103">
        <v>5.4718145587831097</v>
      </c>
      <c r="AG1103">
        <v>-1.1034177432600001</v>
      </c>
      <c r="AH1103">
        <v>8.2633111049337398</v>
      </c>
      <c r="AI1103">
        <v>96.352884776309907</v>
      </c>
      <c r="AJ1103">
        <v>56.488197381150499</v>
      </c>
      <c r="AK1103">
        <v>9.9719905584979998</v>
      </c>
      <c r="AL1103">
        <v>92.120634255313405</v>
      </c>
      <c r="AM1103">
        <v>70.7069454633139</v>
      </c>
      <c r="AN1103">
        <v>0.99999999602690404</v>
      </c>
    </row>
    <row r="1104" spans="1:40" x14ac:dyDescent="0.3">
      <c r="A1104" t="str">
        <f>"20200111160423883"</f>
        <v>20200111160423883</v>
      </c>
      <c r="B1104" t="str">
        <f>"1578729863871529"</f>
        <v>1578729863871529</v>
      </c>
      <c r="C1104" t="s">
        <v>40</v>
      </c>
      <c r="D1104">
        <v>5.562411</v>
      </c>
      <c r="E1104">
        <v>0.59487590000000001</v>
      </c>
      <c r="F1104" t="s">
        <v>47</v>
      </c>
      <c r="G1104">
        <v>-197.83170000000001</v>
      </c>
      <c r="H1104" s="1">
        <v>-6.3837569999999996E-6</v>
      </c>
      <c r="I1104">
        <v>359.22179999999997</v>
      </c>
      <c r="J1104">
        <v>-204.8501</v>
      </c>
      <c r="K1104">
        <v>1.103307</v>
      </c>
      <c r="L1104">
        <v>367.07859999999999</v>
      </c>
      <c r="M1104">
        <v>0.96670299999999998</v>
      </c>
      <c r="N1104">
        <v>0</v>
      </c>
      <c r="O1104">
        <v>-0.25547730000000002</v>
      </c>
      <c r="P1104">
        <v>0.82663039999999999</v>
      </c>
      <c r="Q1104">
        <v>-3.9870139999999998E-2</v>
      </c>
      <c r="R1104">
        <v>-0.56133129999999998</v>
      </c>
      <c r="S1104">
        <v>2.068832</v>
      </c>
      <c r="T1104">
        <v>-0.31879089999999999</v>
      </c>
      <c r="U1104">
        <v>-2.28241</v>
      </c>
      <c r="V1104">
        <v>0.33097599999999999</v>
      </c>
      <c r="W1104">
        <v>-3.1891120000000002E-2</v>
      </c>
      <c r="X1104">
        <v>0.9431001</v>
      </c>
      <c r="Y1104">
        <v>0.54326830000000004</v>
      </c>
      <c r="Z1104">
        <v>-3.0991360000000002E-3</v>
      </c>
      <c r="AA1104">
        <v>0.83955340000000001</v>
      </c>
      <c r="AB1104">
        <v>25</v>
      </c>
      <c r="AC1104">
        <v>7.0183999999999802</v>
      </c>
      <c r="AD1104">
        <v>-1.1033133837569999</v>
      </c>
      <c r="AE1104">
        <v>-7.8568000000000202</v>
      </c>
      <c r="AF1104">
        <v>5.7398248918698496</v>
      </c>
      <c r="AG1104">
        <v>-1.1033133837569999</v>
      </c>
      <c r="AH1104">
        <v>8.6975013738792804</v>
      </c>
      <c r="AI1104">
        <v>96.043762664454505</v>
      </c>
      <c r="AJ1104">
        <v>56.577602636890099</v>
      </c>
      <c r="AK1104">
        <v>10.4789990152083</v>
      </c>
      <c r="AL1104">
        <v>91.827536491327095</v>
      </c>
      <c r="AM1104">
        <v>70.661746667853095</v>
      </c>
      <c r="AN1104">
        <v>0.999999977365432</v>
      </c>
    </row>
    <row r="1105" spans="1:40" x14ac:dyDescent="0.3">
      <c r="A1105" t="str">
        <f>"20200111160423897"</f>
        <v>20200111160423897</v>
      </c>
      <c r="B1105" t="str">
        <f>"1578729863892025"</f>
        <v>1578729863892025</v>
      </c>
      <c r="C1105" t="s">
        <v>40</v>
      </c>
      <c r="D1105">
        <v>5.5120719999999999</v>
      </c>
      <c r="E1105">
        <v>0.594074199999999</v>
      </c>
      <c r="F1105" t="s">
        <v>47</v>
      </c>
      <c r="G1105">
        <v>-197.39439999999999</v>
      </c>
      <c r="H1105" s="1">
        <v>-6.1602309999999997E-6</v>
      </c>
      <c r="I1105">
        <v>358.75810000000001</v>
      </c>
      <c r="J1105">
        <v>-204.68389999999999</v>
      </c>
      <c r="K1105">
        <v>1.103181</v>
      </c>
      <c r="L1105">
        <v>367.02629999999999</v>
      </c>
      <c r="M1105">
        <v>0.96477480000000004</v>
      </c>
      <c r="N1105">
        <v>0</v>
      </c>
      <c r="O1105">
        <v>-0.2626636</v>
      </c>
      <c r="P1105">
        <v>0.82167710000000005</v>
      </c>
      <c r="Q1105">
        <v>-3.5189730000000002E-2</v>
      </c>
      <c r="R1105">
        <v>-0.56886630000000005</v>
      </c>
      <c r="S1105">
        <v>2.056244</v>
      </c>
      <c r="T1105">
        <v>-0.30428719999999998</v>
      </c>
      <c r="U1105">
        <v>-2.2947389999999999</v>
      </c>
      <c r="V1105">
        <v>0.33259860000000002</v>
      </c>
      <c r="W1105">
        <v>-2.7324040000000001E-2</v>
      </c>
      <c r="X1105">
        <v>0.94267259999999997</v>
      </c>
      <c r="Y1105">
        <v>0.54198990000000002</v>
      </c>
      <c r="Z1105">
        <v>-2.1149929999999999E-3</v>
      </c>
      <c r="AA1105">
        <v>0.84038239999999997</v>
      </c>
      <c r="AB1105">
        <v>25</v>
      </c>
      <c r="AC1105">
        <v>7.2895000000000003</v>
      </c>
      <c r="AD1105">
        <v>-1.1031871602309999</v>
      </c>
      <c r="AE1105">
        <v>-8.26819999999997</v>
      </c>
      <c r="AF1105">
        <v>6.0027959386489904</v>
      </c>
      <c r="AG1105">
        <v>-1.1031871602309999</v>
      </c>
      <c r="AH1105">
        <v>9.1141882596976291</v>
      </c>
      <c r="AI1105">
        <v>95.772176260388207</v>
      </c>
      <c r="AJ1105">
        <v>56.6302598792849</v>
      </c>
      <c r="AK1105">
        <v>10.9690021708799</v>
      </c>
      <c r="AL1105">
        <v>91.565746995347197</v>
      </c>
      <c r="AM1105">
        <v>70.565876920313102</v>
      </c>
      <c r="AN1105">
        <v>1.0000000313373201</v>
      </c>
    </row>
    <row r="1106" spans="1:40" x14ac:dyDescent="0.3">
      <c r="A1106" t="str">
        <f>"20200111160423912"</f>
        <v>20200111160423912</v>
      </c>
      <c r="B1106" t="str">
        <f>"1578729863901784"</f>
        <v>1578729863901784</v>
      </c>
      <c r="C1106" t="s">
        <v>40</v>
      </c>
      <c r="D1106">
        <v>5.5161490000000004</v>
      </c>
      <c r="E1106">
        <v>0.59362230000000005</v>
      </c>
      <c r="F1106" t="s">
        <v>47</v>
      </c>
      <c r="G1106">
        <v>-196.99690000000001</v>
      </c>
      <c r="H1106" s="1">
        <v>-5.9548449999999999E-6</v>
      </c>
      <c r="I1106">
        <v>358.33</v>
      </c>
      <c r="J1106">
        <v>-204.5265</v>
      </c>
      <c r="K1106">
        <v>1.1030500000000001</v>
      </c>
      <c r="L1106">
        <v>366.97550000000001</v>
      </c>
      <c r="M1106">
        <v>0.96286119999999997</v>
      </c>
      <c r="N1106">
        <v>0</v>
      </c>
      <c r="O1106">
        <v>-0.269592</v>
      </c>
      <c r="P1106">
        <v>0.81547669999999906</v>
      </c>
      <c r="Q1106">
        <v>-2.971265E-2</v>
      </c>
      <c r="R1106">
        <v>-0.57802679999999995</v>
      </c>
      <c r="S1106">
        <v>2.0404049999999998</v>
      </c>
      <c r="T1106">
        <v>-0.29282619999999998</v>
      </c>
      <c r="U1106">
        <v>-2.308319</v>
      </c>
      <c r="V1106">
        <v>0.33640170000000003</v>
      </c>
      <c r="W1106">
        <v>-2.2008610000000001E-2</v>
      </c>
      <c r="X1106">
        <v>0.9414614</v>
      </c>
      <c r="Y1106">
        <v>0.54176499999999905</v>
      </c>
      <c r="Z1106">
        <v>-1.311876E-3</v>
      </c>
      <c r="AA1106">
        <v>0.84052899999999997</v>
      </c>
      <c r="AB1106">
        <v>25</v>
      </c>
      <c r="AC1106">
        <v>7.5295999999999799</v>
      </c>
      <c r="AD1106">
        <v>-1.1030559548450001</v>
      </c>
      <c r="AE1106">
        <v>-8.6455000000000197</v>
      </c>
      <c r="AF1106">
        <v>6.2374443921824998</v>
      </c>
      <c r="AG1106">
        <v>-1.1030559548450001</v>
      </c>
      <c r="AH1106">
        <v>9.4938794222577201</v>
      </c>
      <c r="AI1106">
        <v>95.546250043422404</v>
      </c>
      <c r="AJ1106">
        <v>56.695231023508299</v>
      </c>
      <c r="AK1106">
        <v>11.412983460491599</v>
      </c>
      <c r="AL1106">
        <v>91.261102256720605</v>
      </c>
      <c r="AM1106">
        <v>70.337244527594194</v>
      </c>
      <c r="AN1106">
        <v>1.00000002518349</v>
      </c>
    </row>
    <row r="1107" spans="1:40" x14ac:dyDescent="0.3">
      <c r="A1107" t="str">
        <f>"20200111160423927"</f>
        <v>20200111160423927</v>
      </c>
      <c r="B1107" t="str">
        <f>"1578729863922281"</f>
        <v>1578729863922281</v>
      </c>
      <c r="C1107" t="s">
        <v>40</v>
      </c>
      <c r="D1107">
        <v>6.2684680000000004</v>
      </c>
      <c r="E1107">
        <v>0.59307840000000001</v>
      </c>
      <c r="F1107" t="s">
        <v>47</v>
      </c>
      <c r="G1107">
        <v>-196.54480000000001</v>
      </c>
      <c r="H1107" s="1">
        <v>-5.6957689999999999E-6</v>
      </c>
      <c r="I1107">
        <v>357.767</v>
      </c>
      <c r="J1107">
        <v>-204.3674</v>
      </c>
      <c r="K1107">
        <v>1.1029100000000001</v>
      </c>
      <c r="L1107">
        <v>366.923</v>
      </c>
      <c r="M1107">
        <v>0.96084009999999997</v>
      </c>
      <c r="N1107">
        <v>0</v>
      </c>
      <c r="O1107">
        <v>-0.27670729999999999</v>
      </c>
      <c r="P1107">
        <v>0.80974919999999995</v>
      </c>
      <c r="Q1107">
        <v>-2.8160040000000001E-2</v>
      </c>
      <c r="R1107">
        <v>-0.58610030000000002</v>
      </c>
      <c r="S1107">
        <v>2.0182340000000001</v>
      </c>
      <c r="T1107">
        <v>-0.27891870000000002</v>
      </c>
      <c r="U1107">
        <v>-2.3284609999999999</v>
      </c>
      <c r="V1107">
        <v>0.33879559999999997</v>
      </c>
      <c r="W1107">
        <v>-2.0589659999999999E-2</v>
      </c>
      <c r="X1107">
        <v>0.94063470000000005</v>
      </c>
      <c r="Y1107">
        <v>0.54384290000000002</v>
      </c>
      <c r="Z1107">
        <v>-6.6963020000000001E-4</v>
      </c>
      <c r="AA1107">
        <v>0.83918680000000001</v>
      </c>
      <c r="AB1107">
        <v>25</v>
      </c>
      <c r="AC1107">
        <v>7.8225999999999898</v>
      </c>
      <c r="AD1107">
        <v>-1.1029156957690001</v>
      </c>
      <c r="AE1107">
        <v>-9.1560000000000006</v>
      </c>
      <c r="AF1107">
        <v>6.5784314742121497</v>
      </c>
      <c r="AG1107">
        <v>-1.1029156957690001</v>
      </c>
      <c r="AH1107">
        <v>9.9673000397593494</v>
      </c>
      <c r="AI1107">
        <v>95.276431097375806</v>
      </c>
      <c r="AJ1107">
        <v>56.575134969573803</v>
      </c>
      <c r="AK1107">
        <v>11.9933003704345</v>
      </c>
      <c r="AL1107">
        <v>91.179783969470293</v>
      </c>
      <c r="AM1107">
        <v>70.192113130710993</v>
      </c>
      <c r="AN1107">
        <v>1.0000000157611799</v>
      </c>
    </row>
    <row r="1108" spans="1:40" x14ac:dyDescent="0.3">
      <c r="A1108" t="str">
        <f>"20200111160423939"</f>
        <v>20200111160423939</v>
      </c>
      <c r="B1108" t="str">
        <f>"1578729863932040"</f>
        <v>1578729863932040</v>
      </c>
      <c r="C1108" t="s">
        <v>40</v>
      </c>
      <c r="D1108">
        <v>5.5268319999999997</v>
      </c>
      <c r="E1108">
        <v>0.59265730000000005</v>
      </c>
      <c r="F1108" t="s">
        <v>47</v>
      </c>
      <c r="G1108">
        <v>-196.4256</v>
      </c>
      <c r="H1108" s="1">
        <v>-5.622571E-6</v>
      </c>
      <c r="I1108">
        <v>357.60399999999998</v>
      </c>
      <c r="J1108">
        <v>-204.22030000000001</v>
      </c>
      <c r="K1108">
        <v>1.102776</v>
      </c>
      <c r="L1108">
        <v>366.87290000000002</v>
      </c>
      <c r="M1108">
        <v>0.9588778</v>
      </c>
      <c r="N1108">
        <v>0</v>
      </c>
      <c r="O1108">
        <v>-0.28343069999999998</v>
      </c>
      <c r="P1108">
        <v>0.80416460000000001</v>
      </c>
      <c r="Q1108">
        <v>-2.811025E-2</v>
      </c>
      <c r="R1108">
        <v>-0.59374179999999999</v>
      </c>
      <c r="S1108">
        <v>1.998154</v>
      </c>
      <c r="T1108">
        <v>-0.27748979999999901</v>
      </c>
      <c r="U1108">
        <v>-2.3446349999999998</v>
      </c>
      <c r="V1108">
        <v>0.34110649999999998</v>
      </c>
      <c r="W1108">
        <v>-2.066658E-2</v>
      </c>
      <c r="X1108">
        <v>0.93979749999999995</v>
      </c>
      <c r="Y1108">
        <v>0.54501460000000002</v>
      </c>
      <c r="Z1108" s="1">
        <v>-7.512234E-5</v>
      </c>
      <c r="AA1108">
        <v>0.83842659999999902</v>
      </c>
      <c r="AB1108">
        <v>25</v>
      </c>
      <c r="AC1108">
        <v>7.7946999999999997</v>
      </c>
      <c r="AD1108">
        <v>-1.1027816225710001</v>
      </c>
      <c r="AE1108">
        <v>-9.2688999999999702</v>
      </c>
      <c r="AF1108">
        <v>6.6242952780557003</v>
      </c>
      <c r="AG1108">
        <v>-1.1027816225710001</v>
      </c>
      <c r="AH1108">
        <v>10.019293022026799</v>
      </c>
      <c r="AI1108">
        <v>95.245803081364201</v>
      </c>
      <c r="AJ1108">
        <v>56.529157833276599</v>
      </c>
      <c r="AK1108">
        <v>12.061660246383401</v>
      </c>
      <c r="AL1108">
        <v>91.184192062400697</v>
      </c>
      <c r="AM1108">
        <v>70.051257138936506</v>
      </c>
      <c r="AN1108">
        <v>1.00000004643869</v>
      </c>
    </row>
    <row r="1109" spans="1:40" x14ac:dyDescent="0.3">
      <c r="A1109" t="str">
        <f>"20200111160423954"</f>
        <v>20200111160423954</v>
      </c>
      <c r="B1109" t="str">
        <f>"1578729863941800"</f>
        <v>1578729863941800</v>
      </c>
      <c r="C1109" t="s">
        <v>40</v>
      </c>
      <c r="D1109">
        <v>5.4133079999999998</v>
      </c>
      <c r="E1109">
        <v>0.59231630000000002</v>
      </c>
      <c r="F1109" t="s">
        <v>47</v>
      </c>
      <c r="G1109">
        <v>-196.48410000000001</v>
      </c>
      <c r="H1109" s="1">
        <v>-5.6450299999999997E-6</v>
      </c>
      <c r="I1109">
        <v>357.64370000000002</v>
      </c>
      <c r="J1109">
        <v>-204.0814</v>
      </c>
      <c r="K1109">
        <v>1.102651</v>
      </c>
      <c r="L1109">
        <v>366.82429999999999</v>
      </c>
      <c r="M1109">
        <v>0.95694239999999997</v>
      </c>
      <c r="N1109">
        <v>0</v>
      </c>
      <c r="O1109">
        <v>-0.28989720000000002</v>
      </c>
      <c r="P1109">
        <v>0.79867900000000003</v>
      </c>
      <c r="Q1109">
        <v>-2.8406460000000001E-2</v>
      </c>
      <c r="R1109">
        <v>-0.60108689999999998</v>
      </c>
      <c r="S1109">
        <v>1.978256</v>
      </c>
      <c r="T1109">
        <v>-0.28199839999999998</v>
      </c>
      <c r="U1109">
        <v>-2.3600460000000001</v>
      </c>
      <c r="V1109">
        <v>0.34336529999999998</v>
      </c>
      <c r="W1109">
        <v>-2.1083029999999999E-2</v>
      </c>
      <c r="X1109">
        <v>0.9389653</v>
      </c>
      <c r="Y1109">
        <v>0.54618559999999905</v>
      </c>
      <c r="Z1109">
        <v>5.0067160000000005E-4</v>
      </c>
      <c r="AA1109">
        <v>0.83766409999999902</v>
      </c>
      <c r="AB1109">
        <v>25</v>
      </c>
      <c r="AC1109">
        <v>7.59729999999999</v>
      </c>
      <c r="AD1109">
        <v>-1.1026566450299999</v>
      </c>
      <c r="AE1109">
        <v>-9.1805999999999699</v>
      </c>
      <c r="AF1109">
        <v>6.52770499148843</v>
      </c>
      <c r="AG1109">
        <v>-1.1026566450299999</v>
      </c>
      <c r="AH1109">
        <v>9.8483819047767494</v>
      </c>
      <c r="AI1109">
        <v>95.331650959534798</v>
      </c>
      <c r="AJ1109">
        <v>56.462784544676097</v>
      </c>
      <c r="AK1109">
        <v>11.866651181991701</v>
      </c>
      <c r="AL1109">
        <v>91.208058110378403</v>
      </c>
      <c r="AM1109">
        <v>69.913304093331305</v>
      </c>
      <c r="AN1109">
        <v>1.00000002900108</v>
      </c>
    </row>
    <row r="1110" spans="1:40" x14ac:dyDescent="0.3">
      <c r="A1110" t="str">
        <f>"20200111160423969"</f>
        <v>20200111160423969</v>
      </c>
      <c r="B1110" t="str">
        <f>"1578729863961320"</f>
        <v>1578729863961320</v>
      </c>
      <c r="C1110" t="s">
        <v>40</v>
      </c>
      <c r="D1110">
        <v>5.4584780000000004</v>
      </c>
      <c r="E1110">
        <v>0.59150579999999997</v>
      </c>
      <c r="F1110" t="s">
        <v>47</v>
      </c>
      <c r="G1110">
        <v>-196.57820000000001</v>
      </c>
      <c r="H1110" s="1">
        <v>-5.6859820000000002E-6</v>
      </c>
      <c r="I1110">
        <v>357.72219999999999</v>
      </c>
      <c r="J1110">
        <v>-203.90960000000001</v>
      </c>
      <c r="K1110">
        <v>1.102487</v>
      </c>
      <c r="L1110">
        <v>366.76280000000003</v>
      </c>
      <c r="M1110">
        <v>0.95444419999999996</v>
      </c>
      <c r="N1110">
        <v>0</v>
      </c>
      <c r="O1110">
        <v>-0.29801670000000002</v>
      </c>
      <c r="P1110">
        <v>0.79045159999999903</v>
      </c>
      <c r="Q1110">
        <v>-3.028759E-2</v>
      </c>
      <c r="R1110">
        <v>-0.61177519999999996</v>
      </c>
      <c r="S1110">
        <v>1.9582059999999999</v>
      </c>
      <c r="T1110">
        <v>-0.2877728</v>
      </c>
      <c r="U1110">
        <v>-2.3754879999999998</v>
      </c>
      <c r="V1110">
        <v>0.34798790000000002</v>
      </c>
      <c r="W1110">
        <v>-2.3161109999999999E-2</v>
      </c>
      <c r="X1110">
        <v>0.93721290000000002</v>
      </c>
      <c r="Y1110">
        <v>0.54594039999999999</v>
      </c>
      <c r="Z1110">
        <v>1.3520229999999999E-3</v>
      </c>
      <c r="AA1110">
        <v>0.83782289999999904</v>
      </c>
      <c r="AB1110">
        <v>25</v>
      </c>
      <c r="AC1110">
        <v>7.3314000000000004</v>
      </c>
      <c r="AD1110">
        <v>-1.1024926859819999</v>
      </c>
      <c r="AE1110">
        <v>-9.0406000000000297</v>
      </c>
      <c r="AF1110">
        <v>6.3872808328854003</v>
      </c>
      <c r="AG1110">
        <v>-1.1024926859819999</v>
      </c>
      <c r="AH1110">
        <v>9.6065532497043797</v>
      </c>
      <c r="AI1110">
        <v>95.459083263549203</v>
      </c>
      <c r="AJ1110">
        <v>56.380548278258203</v>
      </c>
      <c r="AK1110">
        <v>11.58873210926</v>
      </c>
      <c r="AL1110">
        <v>91.327152501947197</v>
      </c>
      <c r="AM1110">
        <v>69.629998268919707</v>
      </c>
      <c r="AN1110">
        <v>1.00000001774462</v>
      </c>
    </row>
    <row r="1111" spans="1:40" x14ac:dyDescent="0.3">
      <c r="A1111" t="str">
        <f>"20200111160423981"</f>
        <v>20200111160423981</v>
      </c>
      <c r="B1111" t="str">
        <f>"1578729863972056"</f>
        <v>1578729863972056</v>
      </c>
      <c r="C1111" t="s">
        <v>40</v>
      </c>
      <c r="D1111">
        <v>5.4641199999999897</v>
      </c>
      <c r="E1111">
        <v>0.59110600000000002</v>
      </c>
      <c r="F1111" t="s">
        <v>47</v>
      </c>
      <c r="G1111">
        <v>-196.90029999999999</v>
      </c>
      <c r="H1111" s="1">
        <v>-5.8512009999999901E-6</v>
      </c>
      <c r="I1111">
        <v>358.06549999999999</v>
      </c>
      <c r="J1111">
        <v>-203.77170000000001</v>
      </c>
      <c r="K1111">
        <v>1.1023609999999999</v>
      </c>
      <c r="L1111">
        <v>366.71230000000003</v>
      </c>
      <c r="M1111">
        <v>0.95235190000000003</v>
      </c>
      <c r="N1111">
        <v>0</v>
      </c>
      <c r="O1111">
        <v>-0.30463580000000001</v>
      </c>
      <c r="P1111">
        <v>0.78448409999999902</v>
      </c>
      <c r="Q1111">
        <v>-3.294801E-2</v>
      </c>
      <c r="R1111">
        <v>-0.61927339999999997</v>
      </c>
      <c r="S1111">
        <v>1.930099</v>
      </c>
      <c r="T1111">
        <v>-0.30358610000000003</v>
      </c>
      <c r="U1111">
        <v>-2.3949280000000002</v>
      </c>
      <c r="V1111">
        <v>0.35037580000000002</v>
      </c>
      <c r="W1111">
        <v>-2.5949400000000001E-2</v>
      </c>
      <c r="X1111">
        <v>0.93624969999999996</v>
      </c>
      <c r="Y1111">
        <v>0.54928969999999999</v>
      </c>
      <c r="Z1111">
        <v>1.935923E-3</v>
      </c>
      <c r="AA1111">
        <v>0.83562979999999998</v>
      </c>
      <c r="AB1111">
        <v>25</v>
      </c>
      <c r="AC1111">
        <v>6.8714000000000199</v>
      </c>
      <c r="AD1111">
        <v>-1.1023668512010001</v>
      </c>
      <c r="AE1111">
        <v>-8.6468000000000398</v>
      </c>
      <c r="AF1111">
        <v>6.0816206620450304</v>
      </c>
      <c r="AG1111">
        <v>-1.1023668512010001</v>
      </c>
      <c r="AH1111">
        <v>9.0885969653820293</v>
      </c>
      <c r="AI1111">
        <v>95.756242634724003</v>
      </c>
      <c r="AJ1111">
        <v>56.211601626016702</v>
      </c>
      <c r="AK1111">
        <v>10.991083538523</v>
      </c>
      <c r="AL1111">
        <v>91.486957957366897</v>
      </c>
      <c r="AM1111">
        <v>69.482478092442506</v>
      </c>
      <c r="AN1111">
        <v>1.0000000366680399</v>
      </c>
    </row>
    <row r="1112" spans="1:40" x14ac:dyDescent="0.3">
      <c r="A1112" t="str">
        <f>"20200111160423996"</f>
        <v>20200111160423996</v>
      </c>
      <c r="B1112" t="str">
        <f>"1578729863991576"</f>
        <v>1578729863991576</v>
      </c>
      <c r="C1112" t="s">
        <v>40</v>
      </c>
      <c r="D1112">
        <v>5.3809909999999999</v>
      </c>
      <c r="E1112">
        <v>0.59159110000000004</v>
      </c>
      <c r="F1112" t="s">
        <v>47</v>
      </c>
      <c r="G1112">
        <v>-197.1148</v>
      </c>
      <c r="H1112" s="1">
        <v>-5.9661639999999996E-6</v>
      </c>
      <c r="I1112">
        <v>358.30880000000002</v>
      </c>
      <c r="J1112">
        <v>-203.62629999999999</v>
      </c>
      <c r="K1112">
        <v>1.1022259999999999</v>
      </c>
      <c r="L1112">
        <v>366.65730000000002</v>
      </c>
      <c r="M1112">
        <v>0.95003899999999997</v>
      </c>
      <c r="N1112">
        <v>0</v>
      </c>
      <c r="O1112">
        <v>-0.31177189999999999</v>
      </c>
      <c r="P1112">
        <v>0.77777549999999995</v>
      </c>
      <c r="Q1112">
        <v>-3.6849510000000002E-2</v>
      </c>
      <c r="R1112">
        <v>-0.62746119999999905</v>
      </c>
      <c r="S1112">
        <v>1.908768</v>
      </c>
      <c r="T1112">
        <v>-0.3160866</v>
      </c>
      <c r="U1112">
        <v>-2.4095759999999999</v>
      </c>
      <c r="V1112">
        <v>0.35312969999999999</v>
      </c>
      <c r="W1112">
        <v>-2.9991299999999999E-2</v>
      </c>
      <c r="X1112">
        <v>0.93509350000000002</v>
      </c>
      <c r="Y1112">
        <v>0.54996869999999998</v>
      </c>
      <c r="Z1112">
        <v>2.7763380000000002E-3</v>
      </c>
      <c r="AA1112">
        <v>0.835180699999999</v>
      </c>
      <c r="AB1112">
        <v>25</v>
      </c>
      <c r="AC1112">
        <v>6.5114999999999803</v>
      </c>
      <c r="AD1112">
        <v>-1.1022319661640001</v>
      </c>
      <c r="AE1112">
        <v>-8.3484999999999996</v>
      </c>
      <c r="AF1112">
        <v>5.8386794766128798</v>
      </c>
      <c r="AG1112">
        <v>-1.1022319661640001</v>
      </c>
      <c r="AH1112">
        <v>8.69574692840912</v>
      </c>
      <c r="AI1112">
        <v>96.007372199539503</v>
      </c>
      <c r="AJ1112">
        <v>56.120976346473597</v>
      </c>
      <c r="AK1112">
        <v>10.531909037814099</v>
      </c>
      <c r="AL1112">
        <v>91.718632694678803</v>
      </c>
      <c r="AM1112">
        <v>69.311404633658697</v>
      </c>
      <c r="AN1112">
        <v>0.99999995842001399</v>
      </c>
    </row>
    <row r="1113" spans="1:40" x14ac:dyDescent="0.3">
      <c r="A1113" t="str">
        <f>"20200111160424009"</f>
        <v>20200111160424009</v>
      </c>
      <c r="B1113" t="str">
        <f>"1578729864002023"</f>
        <v>1578729864002023</v>
      </c>
      <c r="C1113" t="s">
        <v>40</v>
      </c>
      <c r="D1113">
        <v>5.2025360000000003</v>
      </c>
      <c r="E1113">
        <v>0.59271180000000001</v>
      </c>
      <c r="F1113" t="s">
        <v>47</v>
      </c>
      <c r="G1113">
        <v>-197.44839999999999</v>
      </c>
      <c r="H1113" s="1">
        <v>-6.1388099999999901E-6</v>
      </c>
      <c r="I1113">
        <v>358.66890000000001</v>
      </c>
      <c r="J1113">
        <v>-203.4811</v>
      </c>
      <c r="K1113">
        <v>1.102087</v>
      </c>
      <c r="L1113">
        <v>366.60129999999998</v>
      </c>
      <c r="M1113">
        <v>0.94764230000000005</v>
      </c>
      <c r="N1113">
        <v>0</v>
      </c>
      <c r="O1113">
        <v>-0.31898090000000001</v>
      </c>
      <c r="P1113">
        <v>0.77091330000000002</v>
      </c>
      <c r="Q1113">
        <v>-4.0939030000000001E-2</v>
      </c>
      <c r="R1113">
        <v>-0.63562350000000001</v>
      </c>
      <c r="S1113">
        <v>1.880066</v>
      </c>
      <c r="T1113">
        <v>-0.33543289999999998</v>
      </c>
      <c r="U1113">
        <v>-2.4310299999999998</v>
      </c>
      <c r="V1113">
        <v>0.35585060000000002</v>
      </c>
      <c r="W1113">
        <v>-3.4221809999999998E-2</v>
      </c>
      <c r="X1113">
        <v>0.93391610000000003</v>
      </c>
      <c r="Y1113">
        <v>0.55322099999999996</v>
      </c>
      <c r="Z1113">
        <v>3.58969E-3</v>
      </c>
      <c r="AA1113">
        <v>0.83302679999999996</v>
      </c>
      <c r="AB1113">
        <v>25</v>
      </c>
      <c r="AC1113">
        <v>6.0327000000000002</v>
      </c>
      <c r="AD1113">
        <v>-1.1020931388099999</v>
      </c>
      <c r="AE1113">
        <v>-7.9323999999999701</v>
      </c>
      <c r="AF1113">
        <v>5.5258127368431298</v>
      </c>
      <c r="AG1113">
        <v>-1.1020931388099999</v>
      </c>
      <c r="AH1113">
        <v>8.1484023743407707</v>
      </c>
      <c r="AI1113">
        <v>96.387121981764096</v>
      </c>
      <c r="AJ1113">
        <v>55.856968736309703</v>
      </c>
      <c r="AK1113">
        <v>9.9068500010564495</v>
      </c>
      <c r="AL1113">
        <v>91.961148138960695</v>
      </c>
      <c r="AM1113">
        <v>69.141629048064999</v>
      </c>
      <c r="AN1113">
        <v>1.00000003181962</v>
      </c>
    </row>
    <row r="1114" spans="1:40" x14ac:dyDescent="0.3">
      <c r="A1114" t="str">
        <f>"20200111160424025"</f>
        <v>20200111160424025</v>
      </c>
      <c r="B1114" t="str">
        <f>"1578729864021542"</f>
        <v>1578729864021542</v>
      </c>
      <c r="C1114" t="s">
        <v>40</v>
      </c>
      <c r="D1114">
        <v>5.2885989999999996</v>
      </c>
      <c r="E1114">
        <v>0.65730829999999996</v>
      </c>
      <c r="F1114" t="s">
        <v>47</v>
      </c>
      <c r="G1114">
        <v>-197.6429</v>
      </c>
      <c r="H1114" s="1">
        <v>-6.2250310000000003E-6</v>
      </c>
      <c r="I1114">
        <v>358.83580000000001</v>
      </c>
      <c r="J1114">
        <v>-203.31880000000001</v>
      </c>
      <c r="K1114">
        <v>1.101925</v>
      </c>
      <c r="L1114">
        <v>366.53710000000001</v>
      </c>
      <c r="M1114">
        <v>0.94484880000000004</v>
      </c>
      <c r="N1114">
        <v>0</v>
      </c>
      <c r="O1114">
        <v>-0.32716129999999999</v>
      </c>
      <c r="P1114">
        <v>0.76169589999999998</v>
      </c>
      <c r="Q1114">
        <v>-4.830305E-2</v>
      </c>
      <c r="R1114">
        <v>-0.64613229999999999</v>
      </c>
      <c r="S1114">
        <v>1.847183</v>
      </c>
      <c r="T1114">
        <v>-0.34869679999999997</v>
      </c>
      <c r="U1114">
        <v>-2.4569700000000001</v>
      </c>
      <c r="V1114">
        <v>0.36054940000000002</v>
      </c>
      <c r="W1114">
        <v>-4.1791500000000002E-2</v>
      </c>
      <c r="X1114">
        <v>0.93180339999999995</v>
      </c>
      <c r="Y1114">
        <v>0.55727729999999998</v>
      </c>
      <c r="Z1114">
        <v>4.4659560000000001E-3</v>
      </c>
      <c r="AA1114">
        <v>0.83031440000000001</v>
      </c>
      <c r="AB1114">
        <v>25</v>
      </c>
      <c r="AC1114">
        <v>5.6759000000000102</v>
      </c>
      <c r="AD1114">
        <v>-1.1019312250309901</v>
      </c>
      <c r="AE1114">
        <v>-7.7012999999999998</v>
      </c>
      <c r="AF1114">
        <v>5.3492747932014897</v>
      </c>
      <c r="AG1114">
        <v>-1.1019312250309901</v>
      </c>
      <c r="AH1114">
        <v>7.7801094812797702</v>
      </c>
      <c r="AI1114">
        <v>96.656848764655706</v>
      </c>
      <c r="AJ1114">
        <v>55.489229109667797</v>
      </c>
      <c r="AK1114">
        <v>9.50574020150869</v>
      </c>
      <c r="AL1114">
        <v>92.395174151157505</v>
      </c>
      <c r="AM1114">
        <v>68.846691983810103</v>
      </c>
      <c r="AN1114">
        <v>0.99999998778208399</v>
      </c>
    </row>
    <row r="1115" spans="1:40" x14ac:dyDescent="0.3">
      <c r="A1115" t="str">
        <f>"20200111160424038"</f>
        <v>20200111160424038</v>
      </c>
      <c r="B1115" t="str">
        <f>"1578729864031302"</f>
        <v>1578729864031302</v>
      </c>
      <c r="C1115" t="s">
        <v>40</v>
      </c>
      <c r="D1115">
        <v>5.2242769999999998</v>
      </c>
      <c r="E1115">
        <v>0.65690859999999995</v>
      </c>
      <c r="F1115" t="s">
        <v>47</v>
      </c>
      <c r="G1115">
        <v>-198.91909999999999</v>
      </c>
      <c r="H1115" s="1">
        <v>-6.1326709999999996E-6</v>
      </c>
      <c r="I1115">
        <v>357.96440000000001</v>
      </c>
      <c r="J1115">
        <v>-203.1722</v>
      </c>
      <c r="K1115">
        <v>1.101799</v>
      </c>
      <c r="L1115">
        <v>366.47730000000001</v>
      </c>
      <c r="M1115">
        <v>0.94220400000000004</v>
      </c>
      <c r="N1115">
        <v>0</v>
      </c>
      <c r="O1115">
        <v>-0.3347001</v>
      </c>
      <c r="P1115">
        <v>0.7547722</v>
      </c>
      <c r="Q1115">
        <v>-5.111127E-2</v>
      </c>
      <c r="R1115">
        <v>-0.65399319999999905</v>
      </c>
      <c r="S1115">
        <v>1.4758</v>
      </c>
      <c r="T1115">
        <v>-0.3696257</v>
      </c>
      <c r="U1115">
        <v>-2.87561</v>
      </c>
      <c r="V1115">
        <v>0.36275230000000003</v>
      </c>
      <c r="W1115">
        <v>-4.4724550000000002E-2</v>
      </c>
      <c r="X1115">
        <v>0.93081179999999997</v>
      </c>
      <c r="Y1115">
        <v>0.68343619999999905</v>
      </c>
      <c r="Z1115">
        <v>-4.2796020000000004E-3</v>
      </c>
      <c r="AA1115">
        <v>0.72999780000000003</v>
      </c>
      <c r="AB1115">
        <v>25</v>
      </c>
      <c r="AC1115">
        <v>4.2531000000000097</v>
      </c>
      <c r="AD1115">
        <v>-1.1018051326710001</v>
      </c>
      <c r="AE1115">
        <v>-8.5129000000000001</v>
      </c>
      <c r="AF1115">
        <v>6.5108451332420003</v>
      </c>
      <c r="AG1115">
        <v>-1.1018051326710001</v>
      </c>
      <c r="AH1115">
        <v>6.7666266285571002</v>
      </c>
      <c r="AI1115">
        <v>96.692143398568604</v>
      </c>
      <c r="AJ1115">
        <v>46.103627852376697</v>
      </c>
      <c r="AK1115">
        <v>9.4547509131515106</v>
      </c>
      <c r="AL1115">
        <v>92.5633828649257</v>
      </c>
      <c r="AM1115">
        <v>68.708338920515104</v>
      </c>
      <c r="AN1115">
        <v>1.00000006177361</v>
      </c>
    </row>
    <row r="1116" spans="1:40" x14ac:dyDescent="0.3">
      <c r="A1116" t="str">
        <f>"20200111160424051"</f>
        <v>20200111160424051</v>
      </c>
      <c r="B1116" t="str">
        <f>"1578729864042039"</f>
        <v>1578729864042039</v>
      </c>
      <c r="C1116" t="s">
        <v>40</v>
      </c>
      <c r="D1116">
        <v>5.221571</v>
      </c>
      <c r="E1116">
        <v>0.65636660000000002</v>
      </c>
      <c r="F1116" t="s">
        <v>47</v>
      </c>
      <c r="G1116">
        <v>-198.9495</v>
      </c>
      <c r="H1116" s="1">
        <v>-6.1663829999999899E-6</v>
      </c>
      <c r="I1116">
        <v>358.05090000000001</v>
      </c>
      <c r="J1116">
        <v>-203.0395</v>
      </c>
      <c r="K1116">
        <v>1.101693</v>
      </c>
      <c r="L1116">
        <v>366.42189999999999</v>
      </c>
      <c r="M1116">
        <v>0.93972219999999995</v>
      </c>
      <c r="N1116">
        <v>0</v>
      </c>
      <c r="O1116">
        <v>-0.34160479999999999</v>
      </c>
      <c r="P1116">
        <v>0.74851190000000001</v>
      </c>
      <c r="Q1116">
        <v>-5.2920889999999998E-2</v>
      </c>
      <c r="R1116">
        <v>-0.66100649999999905</v>
      </c>
      <c r="S1116">
        <v>1.4470670000000001</v>
      </c>
      <c r="T1116">
        <v>-0.377579</v>
      </c>
      <c r="U1116">
        <v>-2.8876650000000001</v>
      </c>
      <c r="V1116">
        <v>0.36459859999999999</v>
      </c>
      <c r="W1116">
        <v>-4.6639340000000001E-2</v>
      </c>
      <c r="X1116">
        <v>0.92999600000000004</v>
      </c>
      <c r="Y1116">
        <v>0.68503749999999997</v>
      </c>
      <c r="Z1116">
        <v>-3.5938699999999999E-3</v>
      </c>
      <c r="AA1116">
        <v>0.72849889999999995</v>
      </c>
      <c r="AB1116">
        <v>25</v>
      </c>
      <c r="AC1116">
        <v>4.09</v>
      </c>
      <c r="AD1116">
        <v>-1.101699166383</v>
      </c>
      <c r="AE1116">
        <v>-8.3709999999999791</v>
      </c>
      <c r="AF1116">
        <v>6.3807679364961096</v>
      </c>
      <c r="AG1116">
        <v>-1.101699166383</v>
      </c>
      <c r="AH1116">
        <v>6.6113570014988898</v>
      </c>
      <c r="AI1116">
        <v>96.837285031154906</v>
      </c>
      <c r="AJ1116">
        <v>46.016800045725098</v>
      </c>
      <c r="AK1116">
        <v>9.2540792039994102</v>
      </c>
      <c r="AL1116">
        <v>92.673207175813403</v>
      </c>
      <c r="AM1116">
        <v>68.592675526668899</v>
      </c>
      <c r="AN1116">
        <v>0.99999996358679699</v>
      </c>
    </row>
    <row r="1117" spans="1:40" x14ac:dyDescent="0.3">
      <c r="A1117" t="str">
        <f>"20200111160424063"</f>
        <v>20200111160424063</v>
      </c>
      <c r="B1117" t="str">
        <f>"1578729864051799"</f>
        <v>1578729864051799</v>
      </c>
      <c r="C1117" t="s">
        <v>40</v>
      </c>
      <c r="D1117">
        <v>5.1881459999999997</v>
      </c>
      <c r="E1117">
        <v>0.65514810000000001</v>
      </c>
      <c r="F1117" t="s">
        <v>47</v>
      </c>
      <c r="G1117">
        <v>-198.94739999999999</v>
      </c>
      <c r="H1117" s="1">
        <v>-6.1775349999999996E-6</v>
      </c>
      <c r="I1117">
        <v>358.08519999999999</v>
      </c>
      <c r="J1117">
        <v>-202.9144</v>
      </c>
      <c r="K1117">
        <v>1.1016010000000001</v>
      </c>
      <c r="L1117">
        <v>366.36900000000003</v>
      </c>
      <c r="M1117">
        <v>0.93731600000000004</v>
      </c>
      <c r="N1117">
        <v>0</v>
      </c>
      <c r="O1117">
        <v>-0.34815170000000001</v>
      </c>
      <c r="P1117">
        <v>0.74233159999999998</v>
      </c>
      <c r="Q1117">
        <v>-5.4186860000000003E-2</v>
      </c>
      <c r="R1117">
        <v>-0.6678383</v>
      </c>
      <c r="S1117">
        <v>1.42218</v>
      </c>
      <c r="T1117">
        <v>-0.38289400000000001</v>
      </c>
      <c r="U1117">
        <v>-2.8974299999999999</v>
      </c>
      <c r="V1117">
        <v>0.36662610000000001</v>
      </c>
      <c r="W1117">
        <v>-4.8010419999999998E-2</v>
      </c>
      <c r="X1117">
        <v>0.92912879999999998</v>
      </c>
      <c r="Y1117">
        <v>0.68593660000000001</v>
      </c>
      <c r="Z1117">
        <v>-2.8385300000000001E-3</v>
      </c>
      <c r="AA1117">
        <v>0.72765579999999996</v>
      </c>
      <c r="AB1117">
        <v>25</v>
      </c>
      <c r="AC1117">
        <v>3.9670000000000099</v>
      </c>
      <c r="AD1117">
        <v>-1.101607177535</v>
      </c>
      <c r="AE1117">
        <v>-8.2838000000000402</v>
      </c>
      <c r="AF1117">
        <v>6.2936150539361497</v>
      </c>
      <c r="AG1117">
        <v>-1.101607177535</v>
      </c>
      <c r="AH1117">
        <v>6.5094661491210299</v>
      </c>
      <c r="AI1117">
        <v>96.936796191419702</v>
      </c>
      <c r="AJ1117">
        <v>45.965875714645101</v>
      </c>
      <c r="AK1117">
        <v>9.1211993930228807</v>
      </c>
      <c r="AL1117">
        <v>92.751852266111499</v>
      </c>
      <c r="AM1117">
        <v>68.466241395113101</v>
      </c>
      <c r="AN1117">
        <v>1.00000001230961</v>
      </c>
    </row>
    <row r="1118" spans="1:40" x14ac:dyDescent="0.3">
      <c r="A1118" t="str">
        <f>"20200111160424080"</f>
        <v>20200111160424080</v>
      </c>
      <c r="B1118" t="str">
        <f>"1578729864071317"</f>
        <v>1578729864071317</v>
      </c>
      <c r="C1118" t="s">
        <v>40</v>
      </c>
      <c r="D1118">
        <v>5.2115320000000001</v>
      </c>
      <c r="E1118">
        <v>0.65249499999999905</v>
      </c>
      <c r="F1118" t="s">
        <v>47</v>
      </c>
      <c r="G1118">
        <v>-198.89009999999999</v>
      </c>
      <c r="H1118" s="1">
        <v>-6.1505719999999899E-6</v>
      </c>
      <c r="I1118">
        <v>358.03129999999999</v>
      </c>
      <c r="J1118">
        <v>-202.73840000000001</v>
      </c>
      <c r="K1118">
        <v>1.101486</v>
      </c>
      <c r="L1118">
        <v>366.29199999999997</v>
      </c>
      <c r="M1118">
        <v>0.93377480000000002</v>
      </c>
      <c r="N1118">
        <v>0</v>
      </c>
      <c r="O1118">
        <v>-0.35753889999999999</v>
      </c>
      <c r="P1118">
        <v>0.73308859999999998</v>
      </c>
      <c r="Q1118">
        <v>-5.6174349999999998E-2</v>
      </c>
      <c r="R1118">
        <v>-0.67780969999999996</v>
      </c>
      <c r="S1118">
        <v>1.4013370000000001</v>
      </c>
      <c r="T1118">
        <v>-0.38360260000000002</v>
      </c>
      <c r="U1118">
        <v>-2.9033509999999998</v>
      </c>
      <c r="V1118">
        <v>0.36985299999999999</v>
      </c>
      <c r="W1118">
        <v>-5.0149249999999999E-2</v>
      </c>
      <c r="X1118">
        <v>0.92773589999999995</v>
      </c>
      <c r="Y1118">
        <v>0.68351229999999996</v>
      </c>
      <c r="Z1118">
        <v>-1.353007E-3</v>
      </c>
      <c r="AA1118">
        <v>0.72993769999999902</v>
      </c>
      <c r="AB1118">
        <v>25</v>
      </c>
      <c r="AC1118">
        <v>3.84830000000002</v>
      </c>
      <c r="AD1118">
        <v>-1.1014921505719999</v>
      </c>
      <c r="AE1118">
        <v>-8.2606999999999804</v>
      </c>
      <c r="AF1118">
        <v>6.2471800909921402</v>
      </c>
      <c r="AG1118">
        <v>-1.1014921505719999</v>
      </c>
      <c r="AH1118">
        <v>6.4534414869350103</v>
      </c>
      <c r="AI1118">
        <v>96.991553585658806</v>
      </c>
      <c r="AJ1118">
        <v>45.9304165611453</v>
      </c>
      <c r="AK1118">
        <v>9.0491685293376101</v>
      </c>
      <c r="AL1118">
        <v>92.874545991006002</v>
      </c>
      <c r="AM1118">
        <v>68.2647113386451</v>
      </c>
      <c r="AN1118">
        <v>1.0000000445166799</v>
      </c>
    </row>
    <row r="1119" spans="1:40" x14ac:dyDescent="0.3">
      <c r="A1119" t="str">
        <f>"20200111160424092"</f>
        <v>20200111160424092</v>
      </c>
      <c r="B1119" t="str">
        <f>"1578729864082055"</f>
        <v>1578729864082055</v>
      </c>
      <c r="C1119" t="s">
        <v>40</v>
      </c>
      <c r="D1119">
        <v>5.1521369999999997</v>
      </c>
      <c r="E1119">
        <v>0.65131740000000005</v>
      </c>
      <c r="F1119" t="s">
        <v>47</v>
      </c>
      <c r="G1119">
        <v>-198.82249999999999</v>
      </c>
      <c r="H1119" s="1">
        <v>-6.1360460000000002E-6</v>
      </c>
      <c r="I1119">
        <v>358.01949999999999</v>
      </c>
      <c r="J1119">
        <v>-202.61009999999999</v>
      </c>
      <c r="K1119">
        <v>1.101405</v>
      </c>
      <c r="L1119">
        <v>366.23439999999999</v>
      </c>
      <c r="M1119">
        <v>0.93109310000000001</v>
      </c>
      <c r="N1119">
        <v>0</v>
      </c>
      <c r="O1119">
        <v>-0.36446440000000002</v>
      </c>
      <c r="P1119">
        <v>0.72666350000000002</v>
      </c>
      <c r="Q1119">
        <v>-5.7299080000000002E-2</v>
      </c>
      <c r="R1119">
        <v>-0.68460030000000005</v>
      </c>
      <c r="S1119">
        <v>1.375656</v>
      </c>
      <c r="T1119">
        <v>-0.38695170000000001</v>
      </c>
      <c r="U1119">
        <v>-2.9060969999999999</v>
      </c>
      <c r="V1119">
        <v>0.37158940000000001</v>
      </c>
      <c r="W1119">
        <v>-5.1362989999999997E-2</v>
      </c>
      <c r="X1119">
        <v>0.92697529999999995</v>
      </c>
      <c r="Y1119">
        <v>0.68360919999999903</v>
      </c>
      <c r="Z1119">
        <v>-4.1869280000000002E-4</v>
      </c>
      <c r="AA1119">
        <v>0.7298481</v>
      </c>
      <c r="AB1119">
        <v>25</v>
      </c>
      <c r="AC1119">
        <v>3.7875999999999901</v>
      </c>
      <c r="AD1119">
        <v>-1.1014111360459999</v>
      </c>
      <c r="AE1119">
        <v>-8.2149000000000001</v>
      </c>
      <c r="AF1119">
        <v>6.1775368639706096</v>
      </c>
      <c r="AG1119">
        <v>-1.1014111360459999</v>
      </c>
      <c r="AH1119">
        <v>6.4261361356168001</v>
      </c>
      <c r="AI1119">
        <v>97.0438451969205</v>
      </c>
      <c r="AJ1119">
        <v>46.129975549007</v>
      </c>
      <c r="AK1119">
        <v>8.9816643129100608</v>
      </c>
      <c r="AL1119">
        <v>92.944177985586606</v>
      </c>
      <c r="AM1119">
        <v>68.156014378162894</v>
      </c>
      <c r="AN1119">
        <v>1.00000002287209</v>
      </c>
    </row>
    <row r="1120" spans="1:40" x14ac:dyDescent="0.3">
      <c r="A1120" t="str">
        <f>"20200111160424106"</f>
        <v>20200111160424106</v>
      </c>
      <c r="B1120" t="str">
        <f>"1578729864101328"</f>
        <v>1578729864101328</v>
      </c>
      <c r="C1120" t="s">
        <v>40</v>
      </c>
      <c r="D1120">
        <v>5.1760619999999999</v>
      </c>
      <c r="E1120">
        <v>0.64918540000000002</v>
      </c>
      <c r="F1120" t="s">
        <v>47</v>
      </c>
      <c r="G1120">
        <v>-198.78540000000001</v>
      </c>
      <c r="H1120" s="1">
        <v>-6.1266050000000003E-6</v>
      </c>
      <c r="I1120">
        <v>358.0086</v>
      </c>
      <c r="J1120">
        <v>-202.4725</v>
      </c>
      <c r="K1120">
        <v>1.1013269999999999</v>
      </c>
      <c r="L1120">
        <v>366.17160000000001</v>
      </c>
      <c r="M1120">
        <v>0.92813210000000002</v>
      </c>
      <c r="N1120">
        <v>0</v>
      </c>
      <c r="O1120">
        <v>-0.37193929999999997</v>
      </c>
      <c r="P1120">
        <v>0.72010889999999905</v>
      </c>
      <c r="Q1120">
        <v>-5.8281149999999997E-2</v>
      </c>
      <c r="R1120">
        <v>-0.6914093</v>
      </c>
      <c r="S1120">
        <v>1.35408</v>
      </c>
      <c r="T1120">
        <v>-0.38994099999999998</v>
      </c>
      <c r="U1120">
        <v>-2.9122309999999998</v>
      </c>
      <c r="V1120">
        <v>0.37285770000000001</v>
      </c>
      <c r="W1120">
        <v>-5.2421139999999998E-2</v>
      </c>
      <c r="X1120">
        <v>0.92640659999999997</v>
      </c>
      <c r="Y1120">
        <v>0.6827877</v>
      </c>
      <c r="Z1120">
        <v>6.971732E-4</v>
      </c>
      <c r="AA1120">
        <v>0.7306165</v>
      </c>
      <c r="AB1120">
        <v>25</v>
      </c>
      <c r="AC1120">
        <v>3.6870999999999801</v>
      </c>
      <c r="AD1120">
        <v>-1.1013331266049999</v>
      </c>
      <c r="AE1120">
        <v>-8.1630000000000091</v>
      </c>
      <c r="AF1120">
        <v>6.1132622546211897</v>
      </c>
      <c r="AG1120">
        <v>-1.1013331266049999</v>
      </c>
      <c r="AH1120">
        <v>6.3628103131711704</v>
      </c>
      <c r="AI1120">
        <v>97.114614599672294</v>
      </c>
      <c r="AJ1120">
        <v>46.145884981606599</v>
      </c>
      <c r="AK1120">
        <v>8.8921462612201303</v>
      </c>
      <c r="AL1120">
        <v>93.004887335212203</v>
      </c>
      <c r="AM1120">
        <v>68.076330189841201</v>
      </c>
      <c r="AN1120">
        <v>1.0000000144458701</v>
      </c>
    </row>
    <row r="1121" spans="1:40" x14ac:dyDescent="0.3">
      <c r="A1121" t="str">
        <f>"20200111160424119"</f>
        <v>20200111160424119</v>
      </c>
      <c r="B1121" t="str">
        <f>"1578729864112063"</f>
        <v>1578729864112063</v>
      </c>
      <c r="C1121" t="s">
        <v>40</v>
      </c>
      <c r="D1121">
        <v>5.1961500000000003</v>
      </c>
      <c r="E1121">
        <v>0.64844139999999995</v>
      </c>
      <c r="F1121" t="s">
        <v>47</v>
      </c>
      <c r="G1121">
        <v>-198.7587</v>
      </c>
      <c r="H1121" s="1">
        <v>-6.149103E-6</v>
      </c>
      <c r="I1121">
        <v>358.0883</v>
      </c>
      <c r="J1121">
        <v>-202.33600000000001</v>
      </c>
      <c r="K1121">
        <v>1.1012599999999999</v>
      </c>
      <c r="L1121">
        <v>366.10759999999999</v>
      </c>
      <c r="M1121">
        <v>0.92508780000000002</v>
      </c>
      <c r="N1121">
        <v>0</v>
      </c>
      <c r="O1121">
        <v>-0.37944620000000001</v>
      </c>
      <c r="P1121">
        <v>0.71320969999999995</v>
      </c>
      <c r="Q1121">
        <v>-5.9303160000000001E-2</v>
      </c>
      <c r="R1121">
        <v>-0.69843809999999995</v>
      </c>
      <c r="S1121">
        <v>1.3379209999999999</v>
      </c>
      <c r="T1121">
        <v>-0.39676270000000002</v>
      </c>
      <c r="U1121">
        <v>-2.9120789999999999</v>
      </c>
      <c r="V1121">
        <v>0.37443660000000001</v>
      </c>
      <c r="W1121">
        <v>-5.3520470000000001E-2</v>
      </c>
      <c r="X1121">
        <v>0.92570669999999999</v>
      </c>
      <c r="Y1121">
        <v>0.68018129999999999</v>
      </c>
      <c r="Z1121">
        <v>2.0202060000000001E-3</v>
      </c>
      <c r="AA1121">
        <v>0.7330411</v>
      </c>
      <c r="AB1121">
        <v>25</v>
      </c>
      <c r="AC1121">
        <v>3.5772999999999802</v>
      </c>
      <c r="AD1121">
        <v>-1.101266149103</v>
      </c>
      <c r="AE1121">
        <v>-8.0192999999999799</v>
      </c>
      <c r="AF1121">
        <v>5.9680010184891001</v>
      </c>
      <c r="AG1121">
        <v>-1.101266149103</v>
      </c>
      <c r="AH1121">
        <v>6.2545733151516503</v>
      </c>
      <c r="AI1121">
        <v>97.259640028440401</v>
      </c>
      <c r="AJ1121">
        <v>46.343119294664497</v>
      </c>
      <c r="AK1121">
        <v>8.7149016427297799</v>
      </c>
      <c r="AL1121">
        <v>93.0679627478616</v>
      </c>
      <c r="AM1121">
        <v>67.977293414303901</v>
      </c>
      <c r="AN1121">
        <v>1.00000005127673</v>
      </c>
    </row>
    <row r="1122" spans="1:40" x14ac:dyDescent="0.3">
      <c r="A1122" t="str">
        <f>"20200111160424132"</f>
        <v>20200111160424132</v>
      </c>
      <c r="B1122" t="str">
        <f>"1578729864121824"</f>
        <v>1578729864121824</v>
      </c>
      <c r="C1122" t="s">
        <v>40</v>
      </c>
      <c r="D1122">
        <v>5.1477469999999999</v>
      </c>
      <c r="E1122">
        <v>0.64776859999999903</v>
      </c>
      <c r="F1122" t="s">
        <v>47</v>
      </c>
      <c r="G1122">
        <v>-198.57419999999999</v>
      </c>
      <c r="H1122" s="1">
        <v>-6.0013310000000003E-6</v>
      </c>
      <c r="I1122">
        <v>357.73289999999997</v>
      </c>
      <c r="J1122">
        <v>-202.2062</v>
      </c>
      <c r="K1122">
        <v>1.101205</v>
      </c>
      <c r="L1122">
        <v>366.04539999999997</v>
      </c>
      <c r="M1122">
        <v>0.9221047</v>
      </c>
      <c r="N1122">
        <v>0</v>
      </c>
      <c r="O1122">
        <v>-0.38663799999999998</v>
      </c>
      <c r="P1122">
        <v>0.70650170000000001</v>
      </c>
      <c r="Q1122">
        <v>-5.9994989999999998E-2</v>
      </c>
      <c r="R1122">
        <v>-0.70516409999999996</v>
      </c>
      <c r="S1122">
        <v>1.3126530000000001</v>
      </c>
      <c r="T1122">
        <v>-0.38427679999999997</v>
      </c>
      <c r="U1122">
        <v>-2.922272</v>
      </c>
      <c r="V1122">
        <v>0.37599759999999999</v>
      </c>
      <c r="W1122">
        <v>-5.4281500000000003E-2</v>
      </c>
      <c r="X1122">
        <v>0.9250294</v>
      </c>
      <c r="Y1122">
        <v>0.68086919999999995</v>
      </c>
      <c r="Z1122">
        <v>2.898004E-3</v>
      </c>
      <c r="AA1122">
        <v>0.73239929999999998</v>
      </c>
      <c r="AB1122">
        <v>25</v>
      </c>
      <c r="AC1122">
        <v>3.6320000000000001</v>
      </c>
      <c r="AD1122">
        <v>-1.1012110013309999</v>
      </c>
      <c r="AE1122">
        <v>-8.3125</v>
      </c>
      <c r="AF1122">
        <v>6.1705257704158001</v>
      </c>
      <c r="AG1122">
        <v>-1.1012110013309999</v>
      </c>
      <c r="AH1122">
        <v>6.4684571717994901</v>
      </c>
      <c r="AI1122">
        <v>97.022520890020402</v>
      </c>
      <c r="AJ1122">
        <v>46.350350046109703</v>
      </c>
      <c r="AK1122">
        <v>9.0071633790124093</v>
      </c>
      <c r="AL1122">
        <v>93.111630088425898</v>
      </c>
      <c r="AM1122">
        <v>67.879685215596794</v>
      </c>
      <c r="AN1122">
        <v>1.0000000336561801</v>
      </c>
    </row>
    <row r="1123" spans="1:40" x14ac:dyDescent="0.3">
      <c r="A1123" t="str">
        <f>"20200111160424148"</f>
        <v>20200111160424148</v>
      </c>
      <c r="B1123" t="str">
        <f>"1578729864141343"</f>
        <v>1578729864141343</v>
      </c>
      <c r="C1123" t="s">
        <v>40</v>
      </c>
      <c r="D1123">
        <v>5.4783289999999996</v>
      </c>
      <c r="E1123">
        <v>0.64723039999999998</v>
      </c>
      <c r="F1123" t="s">
        <v>47</v>
      </c>
      <c r="G1123">
        <v>-198.4057</v>
      </c>
      <c r="H1123" s="1">
        <v>-5.8624860000000002E-6</v>
      </c>
      <c r="I1123">
        <v>357.39679999999998</v>
      </c>
      <c r="J1123">
        <v>-202.04140000000001</v>
      </c>
      <c r="K1123">
        <v>1.1011420000000001</v>
      </c>
      <c r="L1123">
        <v>365.96480000000003</v>
      </c>
      <c r="M1123">
        <v>0.91819759999999995</v>
      </c>
      <c r="N1123">
        <v>0</v>
      </c>
      <c r="O1123">
        <v>-0.39582580000000001</v>
      </c>
      <c r="P1123">
        <v>0.697156</v>
      </c>
      <c r="Q1123">
        <v>-6.1149370000000002E-2</v>
      </c>
      <c r="R1123">
        <v>-0.71430700000000003</v>
      </c>
      <c r="S1123">
        <v>1.28833</v>
      </c>
      <c r="T1123">
        <v>-0.37330540000000001</v>
      </c>
      <c r="U1123">
        <v>-2.931854</v>
      </c>
      <c r="V1123">
        <v>0.37881209999999998</v>
      </c>
      <c r="W1123">
        <v>-5.5542279999999999E-2</v>
      </c>
      <c r="X1123">
        <v>0.9238054</v>
      </c>
      <c r="Y1123">
        <v>0.67969729999999995</v>
      </c>
      <c r="Z1123">
        <v>4.1614140000000004E-3</v>
      </c>
      <c r="AA1123">
        <v>0.73348089999999999</v>
      </c>
      <c r="AB1123">
        <v>25</v>
      </c>
      <c r="AC1123">
        <v>3.6357000000000101</v>
      </c>
      <c r="AD1123">
        <v>-1.1011478624860001</v>
      </c>
      <c r="AE1123">
        <v>-8.5680000000000405</v>
      </c>
      <c r="AF1123">
        <v>6.34002891219086</v>
      </c>
      <c r="AG1123">
        <v>-1.1011478624860001</v>
      </c>
      <c r="AH1123">
        <v>6.6376124653647803</v>
      </c>
      <c r="AI1123">
        <v>96.840736658461196</v>
      </c>
      <c r="AJ1123">
        <v>46.313589558409703</v>
      </c>
      <c r="AK1123">
        <v>9.2448035383581502</v>
      </c>
      <c r="AL1123">
        <v>93.183976776490795</v>
      </c>
      <c r="AM1123">
        <v>67.703615953612299</v>
      </c>
      <c r="AN1123">
        <v>0.99999998452158401</v>
      </c>
    </row>
    <row r="1124" spans="1:40" x14ac:dyDescent="0.3">
      <c r="A1124" t="str">
        <f>"20200111160424159"</f>
        <v>20200111160424159</v>
      </c>
      <c r="B1124" t="str">
        <f>"1578729864152079"</f>
        <v>1578729864152079</v>
      </c>
      <c r="C1124" t="s">
        <v>40</v>
      </c>
      <c r="D1124">
        <v>5.218934</v>
      </c>
      <c r="E1124">
        <v>0.6402698</v>
      </c>
      <c r="F1124" t="s">
        <v>47</v>
      </c>
      <c r="G1124">
        <v>-198.29220000000001</v>
      </c>
      <c r="H1124" s="1">
        <v>-5.7593120000000004E-6</v>
      </c>
      <c r="I1124">
        <v>357.14150000000001</v>
      </c>
      <c r="J1124">
        <v>-201.91579999999999</v>
      </c>
      <c r="K1124">
        <v>1.101105</v>
      </c>
      <c r="L1124">
        <v>365.90190000000001</v>
      </c>
      <c r="M1124">
        <v>0.91512349999999998</v>
      </c>
      <c r="N1124">
        <v>0</v>
      </c>
      <c r="O1124">
        <v>-0.4028814</v>
      </c>
      <c r="P1124">
        <v>0.690473</v>
      </c>
      <c r="Q1124">
        <v>-6.1421959999999998E-2</v>
      </c>
      <c r="R1124">
        <v>-0.72074609999999995</v>
      </c>
      <c r="S1124">
        <v>1.2519990000000001</v>
      </c>
      <c r="T1124">
        <v>-0.36771740000000003</v>
      </c>
      <c r="U1124">
        <v>-2.946472</v>
      </c>
      <c r="V1124">
        <v>0.38027129999999998</v>
      </c>
      <c r="W1124">
        <v>-5.5871230000000001E-2</v>
      </c>
      <c r="X1124">
        <v>0.9231859</v>
      </c>
      <c r="Y1124">
        <v>0.68307910000000005</v>
      </c>
      <c r="Z1124">
        <v>4.7672060000000004E-3</v>
      </c>
      <c r="AA1124">
        <v>0.73032889999999995</v>
      </c>
      <c r="AB1124">
        <v>25</v>
      </c>
      <c r="AC1124">
        <v>3.6235999999999802</v>
      </c>
      <c r="AD1124">
        <v>-1.101110759312</v>
      </c>
      <c r="AE1124">
        <v>-8.7604000000000006</v>
      </c>
      <c r="AF1124">
        <v>6.4704507348089999</v>
      </c>
      <c r="AG1124">
        <v>-1.101110759312</v>
      </c>
      <c r="AH1124">
        <v>6.7551212793387396</v>
      </c>
      <c r="AI1124">
        <v>96.713663402168095</v>
      </c>
      <c r="AJ1124">
        <v>46.233058396178002</v>
      </c>
      <c r="AK1124">
        <v>9.41864327355262</v>
      </c>
      <c r="AL1124">
        <v>93.202853387015097</v>
      </c>
      <c r="AM1124">
        <v>67.612652120727404</v>
      </c>
      <c r="AN1124">
        <v>1.0000000309521</v>
      </c>
    </row>
    <row r="1125" spans="1:40" x14ac:dyDescent="0.3">
      <c r="A1125" t="str">
        <f>"20200111160424171"</f>
        <v>20200111160424171</v>
      </c>
      <c r="B1125" t="str">
        <f>"1578729864161840"</f>
        <v>1578729864161840</v>
      </c>
      <c r="C1125" t="s">
        <v>40</v>
      </c>
      <c r="D1125">
        <v>5.1751490000000002</v>
      </c>
      <c r="E1125">
        <v>0.6402698</v>
      </c>
      <c r="F1125" t="s">
        <v>41</v>
      </c>
      <c r="G1125">
        <v>-192.66040000000001</v>
      </c>
      <c r="H1125" s="1">
        <v>-2.7111269999999999E-6</v>
      </c>
      <c r="I1125">
        <v>344.25880000000001</v>
      </c>
      <c r="J1125">
        <v>-201.80709999999999</v>
      </c>
      <c r="K1125">
        <v>1.101083</v>
      </c>
      <c r="L1125">
        <v>365.84629999999999</v>
      </c>
      <c r="M1125">
        <v>0.91238909999999995</v>
      </c>
      <c r="N1125">
        <v>0</v>
      </c>
      <c r="O1125">
        <v>-0.4090357</v>
      </c>
      <c r="P1125">
        <v>0.68458940000000001</v>
      </c>
      <c r="Q1125">
        <v>-6.1782749999999997E-2</v>
      </c>
      <c r="R1125">
        <v>-0.72630649999999997</v>
      </c>
      <c r="S1125">
        <v>1.2588200000000001</v>
      </c>
      <c r="T1125">
        <v>-0.14975939999999999</v>
      </c>
      <c r="U1125">
        <v>-2.9436339999999999</v>
      </c>
      <c r="V1125">
        <v>0.3815192</v>
      </c>
      <c r="W1125">
        <v>-5.6278010000000003E-2</v>
      </c>
      <c r="X1125">
        <v>0.92264619999999997</v>
      </c>
      <c r="Y1125">
        <v>0.67787799999999998</v>
      </c>
      <c r="Z1125">
        <v>2.4592839999999999E-3</v>
      </c>
      <c r="AA1125">
        <v>0.73517030000000005</v>
      </c>
      <c r="AB1125">
        <v>25</v>
      </c>
      <c r="AC1125">
        <v>9.1466999999999796</v>
      </c>
      <c r="AD1125">
        <v>-1.101085711127</v>
      </c>
      <c r="AE1125">
        <v>-21.587499999999899</v>
      </c>
      <c r="AF1125">
        <v>15.9216382096842</v>
      </c>
      <c r="AG1125">
        <v>-1.101085711127</v>
      </c>
      <c r="AH1125">
        <v>17.139630481909101</v>
      </c>
      <c r="AI1125">
        <v>92.694786274163206</v>
      </c>
      <c r="AJ1125">
        <v>47.109848580237298</v>
      </c>
      <c r="AK1125">
        <v>23.419604737905299</v>
      </c>
      <c r="AL1125">
        <v>93.226196791279605</v>
      </c>
      <c r="AM1125">
        <v>67.534640611766903</v>
      </c>
      <c r="AN1125">
        <v>1.0000000623763099</v>
      </c>
    </row>
    <row r="1126" spans="1:40" x14ac:dyDescent="0.3">
      <c r="A1126" t="str">
        <f>"20200111160424185"</f>
        <v>20200111160424185</v>
      </c>
      <c r="B1126" t="str">
        <f>"1578729864181360"</f>
        <v>1578729864181360</v>
      </c>
      <c r="C1126" t="s">
        <v>40</v>
      </c>
      <c r="D1126">
        <v>5.2357399999999998</v>
      </c>
      <c r="E1126">
        <v>0.63293980000000005</v>
      </c>
      <c r="F1126" t="s">
        <v>41</v>
      </c>
      <c r="G1126">
        <v>-192.88</v>
      </c>
      <c r="H1126" s="1">
        <v>-2.8708519999999999E-6</v>
      </c>
      <c r="I1126">
        <v>344.49489999999997</v>
      </c>
      <c r="J1126">
        <v>-201.68029999999999</v>
      </c>
      <c r="K1126">
        <v>1.1010519999999999</v>
      </c>
      <c r="L1126">
        <v>365.78059999999999</v>
      </c>
      <c r="M1126">
        <v>0.90913029999999995</v>
      </c>
      <c r="N1126">
        <v>0</v>
      </c>
      <c r="O1126">
        <v>-0.41622720000000002</v>
      </c>
      <c r="P1126">
        <v>0.67788099999999996</v>
      </c>
      <c r="Q1126">
        <v>-6.2051509999999997E-2</v>
      </c>
      <c r="R1126">
        <v>-0.73254839999999999</v>
      </c>
      <c r="S1126">
        <v>1.234909</v>
      </c>
      <c r="T1126">
        <v>-0.1523158</v>
      </c>
      <c r="U1126">
        <v>-2.9535830000000001</v>
      </c>
      <c r="V1126">
        <v>0.38268600000000003</v>
      </c>
      <c r="W1126">
        <v>-5.6591160000000001E-2</v>
      </c>
      <c r="X1126">
        <v>0.92214359999999995</v>
      </c>
      <c r="Y1126">
        <v>0.67801699999999998</v>
      </c>
      <c r="Z1126">
        <v>2.8991770000000002E-3</v>
      </c>
      <c r="AA1126">
        <v>0.73504049999999999</v>
      </c>
      <c r="AB1126">
        <v>25</v>
      </c>
      <c r="AC1126">
        <v>8.8002999999999894</v>
      </c>
      <c r="AD1126">
        <v>-1.101054870852</v>
      </c>
      <c r="AE1126">
        <v>-21.285699999999999</v>
      </c>
      <c r="AF1126">
        <v>15.654637256010499</v>
      </c>
      <c r="AG1126">
        <v>-1.101054870852</v>
      </c>
      <c r="AH1126">
        <v>16.823860407058099</v>
      </c>
      <c r="AI1126">
        <v>92.743073416019101</v>
      </c>
      <c r="AJ1126">
        <v>47.061752819608003</v>
      </c>
      <c r="AK1126">
        <v>23.007004769028001</v>
      </c>
      <c r="AL1126">
        <v>93.244167882573507</v>
      </c>
      <c r="AM1126">
        <v>67.461740457763199</v>
      </c>
      <c r="AN1126">
        <v>0.99999997650355199</v>
      </c>
    </row>
    <row r="1127" spans="1:40" x14ac:dyDescent="0.3">
      <c r="A1127" t="str">
        <f>"20200111160424197"</f>
        <v>20200111160424197</v>
      </c>
      <c r="B1127" t="str">
        <f>"1578729864192096"</f>
        <v>1578729864192096</v>
      </c>
      <c r="C1127" t="s">
        <v>40</v>
      </c>
      <c r="D1127">
        <v>5.1832120000000002</v>
      </c>
      <c r="E1127">
        <v>0.63216260000000002</v>
      </c>
      <c r="F1127" t="s">
        <v>47</v>
      </c>
      <c r="G1127">
        <v>-197.18559999999999</v>
      </c>
      <c r="H1127" s="1">
        <v>-4.9110320000000001E-6</v>
      </c>
      <c r="I1127">
        <v>355.3723</v>
      </c>
      <c r="J1127">
        <v>-201.5384</v>
      </c>
      <c r="K1127">
        <v>1.101019</v>
      </c>
      <c r="L1127">
        <v>365.70499999999998</v>
      </c>
      <c r="M1127">
        <v>0.90536079999999997</v>
      </c>
      <c r="N1127">
        <v>0</v>
      </c>
      <c r="O1127">
        <v>-0.42436390000000002</v>
      </c>
      <c r="P1127">
        <v>0.67056110000000002</v>
      </c>
      <c r="Q1127">
        <v>-6.2709139999999997E-2</v>
      </c>
      <c r="R1127">
        <v>-0.73919919999999995</v>
      </c>
      <c r="S1127">
        <v>1.255493</v>
      </c>
      <c r="T1127">
        <v>-0.30756149999999999</v>
      </c>
      <c r="U1127">
        <v>-2.9073790000000002</v>
      </c>
      <c r="V1127">
        <v>0.3835171</v>
      </c>
      <c r="W1127">
        <v>-5.7287560000000001E-2</v>
      </c>
      <c r="X1127">
        <v>0.92175530000000006</v>
      </c>
      <c r="Y1127">
        <v>0.66196860000000002</v>
      </c>
      <c r="Z1127">
        <v>7.9274289999999997E-3</v>
      </c>
      <c r="AA1127">
        <v>0.74948970000000004</v>
      </c>
      <c r="AB1127">
        <v>25</v>
      </c>
      <c r="AC1127">
        <v>4.3528000000000002</v>
      </c>
      <c r="AD1127">
        <v>-1.1010239110319999</v>
      </c>
      <c r="AE1127">
        <v>-10.3326999999999</v>
      </c>
      <c r="AF1127">
        <v>7.4368262254319601</v>
      </c>
      <c r="AG1127">
        <v>-1.1010239110319999</v>
      </c>
      <c r="AH1127">
        <v>8.2471382770652504</v>
      </c>
      <c r="AI1127">
        <v>95.662166847441199</v>
      </c>
      <c r="AJ1127">
        <v>47.957556904283202</v>
      </c>
      <c r="AK1127">
        <v>11.1594770361774</v>
      </c>
      <c r="AL1127">
        <v>93.284133322062502</v>
      </c>
      <c r="AM1127">
        <v>67.409144829544204</v>
      </c>
      <c r="AN1127">
        <v>1.0000000318006199</v>
      </c>
    </row>
    <row r="1128" spans="1:40" x14ac:dyDescent="0.3">
      <c r="A1128" t="str">
        <f>"20200111160424214"</f>
        <v>20200111160424214</v>
      </c>
      <c r="B1128" t="str">
        <f>"1578729864211616"</f>
        <v>1578729864211616</v>
      </c>
      <c r="C1128" t="s">
        <v>40</v>
      </c>
      <c r="D1128">
        <v>5.207935</v>
      </c>
      <c r="E1128">
        <v>0.63040909999999994</v>
      </c>
      <c r="F1128" t="s">
        <v>47</v>
      </c>
      <c r="G1128">
        <v>-197.16560000000001</v>
      </c>
      <c r="H1128" s="1">
        <v>-4.8949039999999996E-6</v>
      </c>
      <c r="I1128">
        <v>355.34719999999999</v>
      </c>
      <c r="J1128">
        <v>-201.38130000000001</v>
      </c>
      <c r="K1128">
        <v>1.1009880000000001</v>
      </c>
      <c r="L1128">
        <v>365.61930000000001</v>
      </c>
      <c r="M1128">
        <v>0.90104969999999995</v>
      </c>
      <c r="N1128">
        <v>0</v>
      </c>
      <c r="O1128">
        <v>-0.43344129999999997</v>
      </c>
      <c r="P1128">
        <v>0.66209359999999995</v>
      </c>
      <c r="Q1128">
        <v>-6.3197169999999997E-2</v>
      </c>
      <c r="R1128">
        <v>-0.74675209999999903</v>
      </c>
      <c r="S1128">
        <v>1.230896</v>
      </c>
      <c r="T1128">
        <v>-0.30992330000000001</v>
      </c>
      <c r="U1128">
        <v>-2.9155579999999999</v>
      </c>
      <c r="V1128">
        <v>0.38470189999999999</v>
      </c>
      <c r="W1128">
        <v>-5.7829770000000003E-2</v>
      </c>
      <c r="X1128">
        <v>0.92122749999999998</v>
      </c>
      <c r="Y1128">
        <v>0.66057469999999996</v>
      </c>
      <c r="Z1128">
        <v>9.1328840000000008E-3</v>
      </c>
      <c r="AA1128">
        <v>0.75070479999999995</v>
      </c>
      <c r="AB1128">
        <v>25</v>
      </c>
      <c r="AC1128">
        <v>4.2156999999999902</v>
      </c>
      <c r="AD1128">
        <v>-1.10099289490399</v>
      </c>
      <c r="AE1128">
        <v>-10.2721</v>
      </c>
      <c r="AF1128">
        <v>7.3569639311911796</v>
      </c>
      <c r="AG1128">
        <v>-1.10099289490399</v>
      </c>
      <c r="AH1128">
        <v>8.1715462406096897</v>
      </c>
      <c r="AI1128">
        <v>95.718082723172998</v>
      </c>
      <c r="AJ1128">
        <v>48.002824371184197</v>
      </c>
      <c r="AK1128">
        <v>11.0503968979353</v>
      </c>
      <c r="AL1128">
        <v>93.315251459276993</v>
      </c>
      <c r="AM1128">
        <v>67.334727956671102</v>
      </c>
      <c r="AN1128">
        <v>0.99999997045905598</v>
      </c>
    </row>
    <row r="1129" spans="1:40" x14ac:dyDescent="0.3">
      <c r="A1129" t="str">
        <f>"20200111160424228"</f>
        <v>20200111160424228</v>
      </c>
      <c r="B1129" t="str">
        <f>"1578729864221376"</f>
        <v>1578729864221376</v>
      </c>
      <c r="C1129" t="s">
        <v>40</v>
      </c>
      <c r="D1129">
        <v>5.7263099999999998</v>
      </c>
      <c r="E1129">
        <v>0.63045079999999998</v>
      </c>
      <c r="F1129" t="s">
        <v>47</v>
      </c>
      <c r="G1129">
        <v>-196.9572</v>
      </c>
      <c r="H1129" s="1">
        <v>-4.6493669999999996E-6</v>
      </c>
      <c r="I1129">
        <v>354.91930000000002</v>
      </c>
      <c r="J1129">
        <v>-201.25049999999999</v>
      </c>
      <c r="K1129">
        <v>1.1009530000000001</v>
      </c>
      <c r="L1129">
        <v>365.54669999999999</v>
      </c>
      <c r="M1129">
        <v>0.89735229999999999</v>
      </c>
      <c r="N1129">
        <v>0</v>
      </c>
      <c r="O1129">
        <v>-0.44104389999999999</v>
      </c>
      <c r="P1129">
        <v>0.6555223</v>
      </c>
      <c r="Q1129">
        <v>-6.2728400000000004E-2</v>
      </c>
      <c r="R1129">
        <v>-0.75256599999999996</v>
      </c>
      <c r="S1129">
        <v>1.2077789999999999</v>
      </c>
      <c r="T1129">
        <v>-0.30057220000000001</v>
      </c>
      <c r="U1129">
        <v>-2.9211119999999999</v>
      </c>
      <c r="V1129">
        <v>0.38502799999999998</v>
      </c>
      <c r="W1129">
        <v>-5.7389839999999998E-2</v>
      </c>
      <c r="X1129">
        <v>0.92111880000000002</v>
      </c>
      <c r="Y1129">
        <v>0.65988649999999904</v>
      </c>
      <c r="Z1129">
        <v>9.7671709999999998E-3</v>
      </c>
      <c r="AA1129">
        <v>0.75130180000000002</v>
      </c>
      <c r="AB1129">
        <v>25</v>
      </c>
      <c r="AC1129">
        <v>4.2932999999999799</v>
      </c>
      <c r="AD1129">
        <v>-1.1009576493669999</v>
      </c>
      <c r="AE1129">
        <v>-10.6273999999999</v>
      </c>
      <c r="AF1129">
        <v>7.5740212040563</v>
      </c>
      <c r="AG1129">
        <v>-1.1009576493669999</v>
      </c>
      <c r="AH1129">
        <v>8.4626937236441702</v>
      </c>
      <c r="AI1129">
        <v>95.536969488595005</v>
      </c>
      <c r="AJ1129">
        <v>48.171794336982003</v>
      </c>
      <c r="AK1129">
        <v>11.410306306379301</v>
      </c>
      <c r="AL1129">
        <v>93.290003299063102</v>
      </c>
      <c r="AM1129">
        <v>67.315054360891295</v>
      </c>
      <c r="AN1129">
        <v>0.99999999911633197</v>
      </c>
    </row>
    <row r="1130" spans="1:40" x14ac:dyDescent="0.3">
      <c r="A1130" t="str">
        <f>"20200111160424239"</f>
        <v>20200111160424239</v>
      </c>
      <c r="B1130" t="str">
        <f>"1578729864232112"</f>
        <v>1578729864232112</v>
      </c>
      <c r="C1130" t="s">
        <v>40</v>
      </c>
      <c r="D1130">
        <v>5.4388500000000004</v>
      </c>
      <c r="E1130">
        <v>0.63048070000000001</v>
      </c>
      <c r="F1130" t="s">
        <v>47</v>
      </c>
      <c r="G1130">
        <v>-196.98740000000001</v>
      </c>
      <c r="H1130" s="1">
        <v>-4.6825719999999999E-6</v>
      </c>
      <c r="I1130">
        <v>354.97620000000001</v>
      </c>
      <c r="J1130">
        <v>-201.12710000000001</v>
      </c>
      <c r="K1130">
        <v>1.100913</v>
      </c>
      <c r="L1130">
        <v>365.47660000000002</v>
      </c>
      <c r="M1130">
        <v>0.89375649999999995</v>
      </c>
      <c r="N1130">
        <v>0</v>
      </c>
      <c r="O1130">
        <v>-0.44828560000000001</v>
      </c>
      <c r="P1130">
        <v>0.64927159999999995</v>
      </c>
      <c r="Q1130">
        <v>-6.186606E-2</v>
      </c>
      <c r="R1130">
        <v>-0.75803659999999995</v>
      </c>
      <c r="S1130">
        <v>1.1821900000000001</v>
      </c>
      <c r="T1130">
        <v>-0.30530429999999997</v>
      </c>
      <c r="U1130">
        <v>-2.9312740000000002</v>
      </c>
      <c r="V1130">
        <v>0.38528030000000002</v>
      </c>
      <c r="W1130">
        <v>-5.6558419999999998E-2</v>
      </c>
      <c r="X1130">
        <v>0.92106469999999896</v>
      </c>
      <c r="Y1130">
        <v>0.66034930000000003</v>
      </c>
      <c r="Z1130">
        <v>1.0718999999999999E-2</v>
      </c>
      <c r="AA1130">
        <v>0.7508821</v>
      </c>
      <c r="AB1130">
        <v>25</v>
      </c>
      <c r="AC1130">
        <v>4.1397000000000004</v>
      </c>
      <c r="AD1130">
        <v>-1.100917682572</v>
      </c>
      <c r="AE1130">
        <v>-10.500400000000001</v>
      </c>
      <c r="AF1130">
        <v>7.4589706084335798</v>
      </c>
      <c r="AG1130">
        <v>-1.100917682572</v>
      </c>
      <c r="AH1130">
        <v>8.3288290553175894</v>
      </c>
      <c r="AI1130">
        <v>95.623606778651094</v>
      </c>
      <c r="AJ1130">
        <v>48.153629939709802</v>
      </c>
      <c r="AK1130">
        <v>11.2346631330885</v>
      </c>
      <c r="AL1130">
        <v>93.242289020764701</v>
      </c>
      <c r="AM1130">
        <v>67.300498195577504</v>
      </c>
      <c r="AN1130">
        <v>0.99999997301353705</v>
      </c>
    </row>
    <row r="1131" spans="1:40" x14ac:dyDescent="0.3">
      <c r="A1131" t="str">
        <f>"20200111160424251"</f>
        <v>20200111160424251</v>
      </c>
      <c r="B1131" t="str">
        <f>"1578729864241872"</f>
        <v>1578729864241872</v>
      </c>
      <c r="C1131" t="s">
        <v>40</v>
      </c>
      <c r="D1131">
        <v>5.5569699999999997</v>
      </c>
      <c r="E1131">
        <v>0.63001839999999998</v>
      </c>
      <c r="F1131" t="s">
        <v>47</v>
      </c>
      <c r="G1131">
        <v>-196.911</v>
      </c>
      <c r="H1131" s="1">
        <v>-4.5662329999999999E-6</v>
      </c>
      <c r="I1131">
        <v>354.76280000000003</v>
      </c>
      <c r="J1131">
        <v>-201.01650000000001</v>
      </c>
      <c r="K1131">
        <v>1.1008709999999999</v>
      </c>
      <c r="L1131">
        <v>365.41239999999999</v>
      </c>
      <c r="M1131">
        <v>0.89044029999999996</v>
      </c>
      <c r="N1131">
        <v>0</v>
      </c>
      <c r="O1131">
        <v>-0.45483610000000002</v>
      </c>
      <c r="P1131">
        <v>0.64401129999999995</v>
      </c>
      <c r="Q1131">
        <v>-5.9723690000000003E-2</v>
      </c>
      <c r="R1131">
        <v>-0.7626811</v>
      </c>
      <c r="S1131">
        <v>1.157516</v>
      </c>
      <c r="T1131">
        <v>-0.30225819999999998</v>
      </c>
      <c r="U1131">
        <v>-2.9414669999999998</v>
      </c>
      <c r="V1131">
        <v>0.38508569999999998</v>
      </c>
      <c r="W1131">
        <v>-5.4434139999999999E-2</v>
      </c>
      <c r="X1131">
        <v>0.92127409999999998</v>
      </c>
      <c r="Y1131">
        <v>0.66121419999999997</v>
      </c>
      <c r="Z1131">
        <v>1.129955E-2</v>
      </c>
      <c r="AA1131">
        <v>0.75011209999999995</v>
      </c>
      <c r="AB1131">
        <v>25</v>
      </c>
      <c r="AC1131">
        <v>4.1055000000000303</v>
      </c>
      <c r="AD1131">
        <v>-1.1008755662330001</v>
      </c>
      <c r="AE1131">
        <v>-10.6495999999999</v>
      </c>
      <c r="AF1131">
        <v>7.5462138088911797</v>
      </c>
      <c r="AG1131">
        <v>-1.1008755662330001</v>
      </c>
      <c r="AH1131">
        <v>8.4221923152198599</v>
      </c>
      <c r="AI1131">
        <v>95.5602645859407</v>
      </c>
      <c r="AJ1131">
        <v>48.139926202658103</v>
      </c>
      <c r="AK1131">
        <v>11.3618041373884</v>
      </c>
      <c r="AL1131">
        <v>93.120388709088701</v>
      </c>
      <c r="AM1131">
        <v>67.315436360486899</v>
      </c>
      <c r="AN1131">
        <v>1.0000000196364101</v>
      </c>
    </row>
    <row r="1132" spans="1:40" x14ac:dyDescent="0.3">
      <c r="A1132" t="str">
        <f>"20200111160424265"</f>
        <v>20200111160424265</v>
      </c>
      <c r="B1132" t="str">
        <f>"1578729864261392"</f>
        <v>1578729864261392</v>
      </c>
      <c r="C1132" t="s">
        <v>40</v>
      </c>
      <c r="D1132">
        <v>5.306813</v>
      </c>
      <c r="E1132">
        <v>0.61878630000000001</v>
      </c>
      <c r="F1132" t="s">
        <v>47</v>
      </c>
      <c r="G1132">
        <v>-196.59180000000001</v>
      </c>
      <c r="H1132" s="1">
        <v>-4.1004959999999998E-6</v>
      </c>
      <c r="I1132">
        <v>353.96589999999998</v>
      </c>
      <c r="J1132">
        <v>-200.8922</v>
      </c>
      <c r="K1132">
        <v>1.1008209999999901</v>
      </c>
      <c r="L1132">
        <v>365.33940000000001</v>
      </c>
      <c r="M1132">
        <v>0.88662510000000005</v>
      </c>
      <c r="N1132">
        <v>0</v>
      </c>
      <c r="O1132">
        <v>-0.46222869999999999</v>
      </c>
      <c r="P1132">
        <v>0.63796769999999903</v>
      </c>
      <c r="Q1132">
        <v>-5.78544E-2</v>
      </c>
      <c r="R1132">
        <v>-0.76788719999999999</v>
      </c>
      <c r="S1132">
        <v>1.1398619999999999</v>
      </c>
      <c r="T1132">
        <v>-0.2835993</v>
      </c>
      <c r="U1132">
        <v>-2.9487610000000002</v>
      </c>
      <c r="V1132">
        <v>0.38486100000000001</v>
      </c>
      <c r="W1132">
        <v>-5.2589049999999998E-2</v>
      </c>
      <c r="X1132">
        <v>0.92147509999999999</v>
      </c>
      <c r="Y1132">
        <v>0.65963989999999995</v>
      </c>
      <c r="Z1132">
        <v>1.1489350000000001E-2</v>
      </c>
      <c r="AA1132">
        <v>0.751494</v>
      </c>
      <c r="AB1132">
        <v>24</v>
      </c>
      <c r="AC1132">
        <v>4.30039999999999</v>
      </c>
      <c r="AD1132">
        <v>-1.1008251004959999</v>
      </c>
      <c r="AE1132">
        <v>-11.3735</v>
      </c>
      <c r="AF1132">
        <v>8.0314087929640507</v>
      </c>
      <c r="AG1132">
        <v>-1.1008251004959999</v>
      </c>
      <c r="AH1132">
        <v>8.9973472832856807</v>
      </c>
      <c r="AI1132">
        <v>95.215233152708194</v>
      </c>
      <c r="AJ1132">
        <v>48.246564470696001</v>
      </c>
      <c r="AK1132">
        <v>12.110640001157201</v>
      </c>
      <c r="AL1132">
        <v>93.014521265600294</v>
      </c>
      <c r="AM1132">
        <v>67.3317788079774</v>
      </c>
      <c r="AN1132">
        <v>0.99999997871045598</v>
      </c>
    </row>
    <row r="1133" spans="1:40" x14ac:dyDescent="0.3">
      <c r="A1133" t="str">
        <f>"20200111160424280"</f>
        <v>20200111160424280</v>
      </c>
      <c r="B1133" t="str">
        <f>"1578729864272128"</f>
        <v>1578729864272128</v>
      </c>
      <c r="C1133" t="s">
        <v>40</v>
      </c>
      <c r="D1133">
        <v>5.2842979999999997</v>
      </c>
      <c r="E1133">
        <v>0.61781940000000002</v>
      </c>
      <c r="F1133" t="s">
        <v>47</v>
      </c>
      <c r="G1133">
        <v>-197.7713</v>
      </c>
      <c r="H1133" s="1">
        <v>-5.8936730000000003E-6</v>
      </c>
      <c r="I1133">
        <v>357.78590000000003</v>
      </c>
      <c r="J1133">
        <v>-200.72919999999999</v>
      </c>
      <c r="K1133">
        <v>1.1007450000000001</v>
      </c>
      <c r="L1133">
        <v>365.24079999999998</v>
      </c>
      <c r="M1133">
        <v>0.88142759999999998</v>
      </c>
      <c r="N1133">
        <v>0</v>
      </c>
      <c r="O1133">
        <v>-0.47206320000000002</v>
      </c>
      <c r="P1133">
        <v>0.63000299999999998</v>
      </c>
      <c r="Q1133">
        <v>-5.3683620000000001E-2</v>
      </c>
      <c r="R1133">
        <v>-0.77473499999999995</v>
      </c>
      <c r="S1133">
        <v>1.19194</v>
      </c>
      <c r="T1133">
        <v>-0.4204311</v>
      </c>
      <c r="U1133">
        <v>-2.884827</v>
      </c>
      <c r="V1133">
        <v>0.38447989999999999</v>
      </c>
      <c r="W1133">
        <v>-4.8454940000000002E-2</v>
      </c>
      <c r="X1133">
        <v>0.92186080000000004</v>
      </c>
      <c r="Y1133">
        <v>0.63296529999999995</v>
      </c>
      <c r="Z1133">
        <v>2.1127070000000001E-2</v>
      </c>
      <c r="AA1133">
        <v>0.77389189999999997</v>
      </c>
      <c r="AB1133">
        <v>24</v>
      </c>
      <c r="AC1133">
        <v>2.9578999999999902</v>
      </c>
      <c r="AD1133">
        <v>-1.1007508936729999</v>
      </c>
      <c r="AE1133">
        <v>-7.4548999999999497</v>
      </c>
      <c r="AF1133">
        <v>5.0795828218154302</v>
      </c>
      <c r="AG1133">
        <v>-1.1007508936729999</v>
      </c>
      <c r="AH1133">
        <v>6.0138198806125898</v>
      </c>
      <c r="AI1133">
        <v>97.960134556718899</v>
      </c>
      <c r="AJ1133">
        <v>49.8138369531774</v>
      </c>
      <c r="AK1133">
        <v>7.9485749496406903</v>
      </c>
      <c r="AL1133">
        <v>92.777351084582406</v>
      </c>
      <c r="AM1133">
        <v>67.3604780204886</v>
      </c>
      <c r="AN1133">
        <v>1.00000000464552</v>
      </c>
    </row>
    <row r="1134" spans="1:40" x14ac:dyDescent="0.3">
      <c r="A1134" t="str">
        <f>"20200111160424293"</f>
        <v>20200111160424293</v>
      </c>
      <c r="B1134" t="str">
        <f>"1578729864291648"</f>
        <v>1578729864291648</v>
      </c>
      <c r="C1134" t="s">
        <v>40</v>
      </c>
      <c r="D1134">
        <v>5.2527509999999999</v>
      </c>
      <c r="E1134">
        <v>0.63452629999999999</v>
      </c>
      <c r="F1134" t="s">
        <v>47</v>
      </c>
      <c r="G1134">
        <v>-197.59219999999999</v>
      </c>
      <c r="H1134" s="1">
        <v>-5.7616440000000004E-6</v>
      </c>
      <c r="I1134">
        <v>357.4751</v>
      </c>
      <c r="J1134">
        <v>-200.61349999999999</v>
      </c>
      <c r="K1134">
        <v>1.1006860000000001</v>
      </c>
      <c r="L1134">
        <v>365.16899999999998</v>
      </c>
      <c r="M1134">
        <v>0.87760260000000001</v>
      </c>
      <c r="N1134">
        <v>0</v>
      </c>
      <c r="O1134">
        <v>-0.47913549999999999</v>
      </c>
      <c r="P1134">
        <v>0.62385170000000001</v>
      </c>
      <c r="Q1134">
        <v>-5.1679269999999999E-2</v>
      </c>
      <c r="R1134">
        <v>-0.77983199999999997</v>
      </c>
      <c r="S1134">
        <v>1.168793</v>
      </c>
      <c r="T1134">
        <v>-0.4101282</v>
      </c>
      <c r="U1134">
        <v>-2.8934329999999999</v>
      </c>
      <c r="V1134">
        <v>0.38452209999999998</v>
      </c>
      <c r="W1134">
        <v>-4.6489210000000003E-2</v>
      </c>
      <c r="X1134">
        <v>0.9219444</v>
      </c>
      <c r="Y1134">
        <v>0.63297590000000004</v>
      </c>
      <c r="Z1134">
        <v>2.172118E-2</v>
      </c>
      <c r="AA1134">
        <v>0.77386679999999997</v>
      </c>
      <c r="AB1134">
        <v>24</v>
      </c>
      <c r="AC1134">
        <v>3.0212999999999899</v>
      </c>
      <c r="AD1134">
        <v>-1.100691761644</v>
      </c>
      <c r="AE1134">
        <v>-7.6939000000000402</v>
      </c>
      <c r="AF1134">
        <v>5.2127860430476396</v>
      </c>
      <c r="AG1134">
        <v>-1.100691761644</v>
      </c>
      <c r="AH1134">
        <v>6.2282521699084503</v>
      </c>
      <c r="AI1134">
        <v>97.717846108217699</v>
      </c>
      <c r="AJ1134">
        <v>50.072080016661197</v>
      </c>
      <c r="AK1134">
        <v>8.1960835633070896</v>
      </c>
      <c r="AL1134">
        <v>92.664595964155794</v>
      </c>
      <c r="AM1134">
        <v>67.360089825451894</v>
      </c>
      <c r="AN1134">
        <v>0.99999998436309601</v>
      </c>
    </row>
    <row r="1135" spans="1:40" x14ac:dyDescent="0.3">
      <c r="A1135" t="str">
        <f>"20200111160424307"</f>
        <v>20200111160424307</v>
      </c>
      <c r="B1135" t="str">
        <f>"1578729864301408"</f>
        <v>1578729864301408</v>
      </c>
      <c r="C1135" t="s">
        <v>40</v>
      </c>
      <c r="D1135">
        <v>5.2531549999999996</v>
      </c>
      <c r="E1135">
        <v>0.63819989999999904</v>
      </c>
      <c r="F1135" t="s">
        <v>41</v>
      </c>
      <c r="G1135">
        <v>-195.2638</v>
      </c>
      <c r="H1135" s="1">
        <v>-5.2194929999999998E-6</v>
      </c>
      <c r="I1135">
        <v>349.58080000000001</v>
      </c>
      <c r="J1135">
        <v>-200.49170000000001</v>
      </c>
      <c r="K1135">
        <v>1.1006180000000001</v>
      </c>
      <c r="L1135">
        <v>365.09249999999997</v>
      </c>
      <c r="M1135">
        <v>0.87348079999999995</v>
      </c>
      <c r="N1135">
        <v>0</v>
      </c>
      <c r="O1135">
        <v>-0.4866086</v>
      </c>
      <c r="P1135">
        <v>0.61707709999999905</v>
      </c>
      <c r="Q1135">
        <v>-5.0014309999999999E-2</v>
      </c>
      <c r="R1135">
        <v>-0.78531189999999995</v>
      </c>
      <c r="S1135">
        <v>1.0320739999999999</v>
      </c>
      <c r="T1135">
        <v>-0.2123467</v>
      </c>
      <c r="U1135">
        <v>-3.0072939999999999</v>
      </c>
      <c r="V1135">
        <v>0.38476120000000003</v>
      </c>
      <c r="W1135">
        <v>-4.4872929999999998E-2</v>
      </c>
      <c r="X1135">
        <v>0.92192479999999999</v>
      </c>
      <c r="Y1135">
        <v>0.66790430000000001</v>
      </c>
      <c r="Z1135">
        <v>1.014983E-2</v>
      </c>
      <c r="AA1135">
        <v>0.74417789999999995</v>
      </c>
      <c r="AB1135">
        <v>24</v>
      </c>
      <c r="AC1135">
        <v>5.2279</v>
      </c>
      <c r="AD1135">
        <v>-1.1006232194929999</v>
      </c>
      <c r="AE1135">
        <v>-15.5116999999999</v>
      </c>
      <c r="AF1135">
        <v>10.957033745808999</v>
      </c>
      <c r="AG1135">
        <v>-1.1006232194929999</v>
      </c>
      <c r="AH1135">
        <v>12.061541160574199</v>
      </c>
      <c r="AI1135">
        <v>93.864020072365093</v>
      </c>
      <c r="AJ1135">
        <v>47.747134109101601</v>
      </c>
      <c r="AK1135">
        <v>16.332444248988299</v>
      </c>
      <c r="AL1135">
        <v>92.571892989252007</v>
      </c>
      <c r="AM1135">
        <v>67.347000581439204</v>
      </c>
      <c r="AN1135">
        <v>1.00000004886363</v>
      </c>
    </row>
    <row r="1136" spans="1:40" x14ac:dyDescent="0.3">
      <c r="A1136" t="str">
        <f>"20200111160424319"</f>
        <v>20200111160424319</v>
      </c>
      <c r="B1136" t="str">
        <f>"1578729864312144"</f>
        <v>1578729864312144</v>
      </c>
      <c r="C1136" t="s">
        <v>40</v>
      </c>
      <c r="D1136">
        <v>5.2878819999999997</v>
      </c>
      <c r="E1136">
        <v>0.64029159999999996</v>
      </c>
      <c r="F1136" t="s">
        <v>41</v>
      </c>
      <c r="G1136">
        <v>-195.1534</v>
      </c>
      <c r="H1136" s="1">
        <v>-4.8674119999999997E-6</v>
      </c>
      <c r="I1136">
        <v>348.6037</v>
      </c>
      <c r="J1136">
        <v>-200.36170000000001</v>
      </c>
      <c r="K1136">
        <v>1.1005419999999999</v>
      </c>
      <c r="L1136">
        <v>365.00880000000001</v>
      </c>
      <c r="M1136">
        <v>0.86892590000000003</v>
      </c>
      <c r="N1136">
        <v>0</v>
      </c>
      <c r="O1136">
        <v>-0.49469540000000001</v>
      </c>
      <c r="P1136">
        <v>0.60948659999999999</v>
      </c>
      <c r="Q1136">
        <v>-4.8969470000000001E-2</v>
      </c>
      <c r="R1136">
        <v>-0.79128290000000001</v>
      </c>
      <c r="S1136">
        <v>0.98265080000000005</v>
      </c>
      <c r="T1136">
        <v>-0.20259559999999999</v>
      </c>
      <c r="U1136">
        <v>-3.0351560000000002</v>
      </c>
      <c r="V1136">
        <v>0.38515450000000001</v>
      </c>
      <c r="W1136">
        <v>-4.3887160000000001E-2</v>
      </c>
      <c r="X1136">
        <v>0.92180799999999996</v>
      </c>
      <c r="Y1136">
        <v>0.67402689999999998</v>
      </c>
      <c r="Z1136">
        <v>1.001431E-2</v>
      </c>
      <c r="AA1136">
        <v>0.73863889999999999</v>
      </c>
      <c r="AB1136">
        <v>24</v>
      </c>
      <c r="AC1136">
        <v>5.2083000000000004</v>
      </c>
      <c r="AD1136">
        <v>-1.10054686741199</v>
      </c>
      <c r="AE1136">
        <v>-16.405100000000001</v>
      </c>
      <c r="AF1136">
        <v>11.6321637234241</v>
      </c>
      <c r="AG1136">
        <v>-1.10054686741199</v>
      </c>
      <c r="AH1136">
        <v>12.5912203648826</v>
      </c>
      <c r="AI1136">
        <v>93.673462353026807</v>
      </c>
      <c r="AJ1136">
        <v>47.267280763605001</v>
      </c>
      <c r="AK1136">
        <v>17.177231050811098</v>
      </c>
      <c r="AL1136">
        <v>92.515356872004205</v>
      </c>
      <c r="AM1136">
        <v>67.323604567943704</v>
      </c>
      <c r="AN1136">
        <v>1.0000000302735499</v>
      </c>
    </row>
    <row r="1137" spans="1:40" x14ac:dyDescent="0.3">
      <c r="A1137" t="str">
        <f>"20200111160424338"</f>
        <v>20200111160424338</v>
      </c>
      <c r="B1137" t="str">
        <f>"1578729864331664"</f>
        <v>1578729864331664</v>
      </c>
      <c r="C1137" t="s">
        <v>40</v>
      </c>
      <c r="D1137">
        <v>5.2619369999999996</v>
      </c>
      <c r="E1137">
        <v>0.64096580000000003</v>
      </c>
      <c r="F1137" t="s">
        <v>41</v>
      </c>
      <c r="G1137">
        <v>-195.08330000000001</v>
      </c>
      <c r="H1137" s="1">
        <v>-4.6022870000000002E-6</v>
      </c>
      <c r="I1137">
        <v>347.8612</v>
      </c>
      <c r="J1137">
        <v>-200.18969999999999</v>
      </c>
      <c r="K1137">
        <v>1.100438</v>
      </c>
      <c r="L1137">
        <v>364.89510000000001</v>
      </c>
      <c r="M1137">
        <v>0.86266259999999995</v>
      </c>
      <c r="N1137">
        <v>0</v>
      </c>
      <c r="O1137">
        <v>-0.50553689999999996</v>
      </c>
      <c r="P1137">
        <v>0.5987616</v>
      </c>
      <c r="Q1137">
        <v>-4.7690030000000001E-2</v>
      </c>
      <c r="R1137">
        <v>-0.79950619999999994</v>
      </c>
      <c r="S1137">
        <v>0.94036869999999995</v>
      </c>
      <c r="T1137">
        <v>-0.1960644</v>
      </c>
      <c r="U1137">
        <v>-3.0548709999999999</v>
      </c>
      <c r="V1137">
        <v>0.38612750000000001</v>
      </c>
      <c r="W1137">
        <v>-4.2697619999999999E-2</v>
      </c>
      <c r="X1137">
        <v>0.92145679999999996</v>
      </c>
      <c r="Y1137">
        <v>0.67551079999999997</v>
      </c>
      <c r="Z1137">
        <v>1.042567E-2</v>
      </c>
      <c r="AA1137">
        <v>0.73727640000000005</v>
      </c>
      <c r="AB1137">
        <v>24</v>
      </c>
      <c r="AC1137">
        <v>5.1063999999999696</v>
      </c>
      <c r="AD1137">
        <v>-1.100442602287</v>
      </c>
      <c r="AE1137">
        <v>-17.033899999999999</v>
      </c>
      <c r="AF1137">
        <v>12.068308461681999</v>
      </c>
      <c r="AG1137">
        <v>-1.100442602287</v>
      </c>
      <c r="AH1137">
        <v>12.968303454592601</v>
      </c>
      <c r="AI1137">
        <v>93.554605139356994</v>
      </c>
      <c r="AJ1137">
        <v>47.058733862616101</v>
      </c>
      <c r="AK1137">
        <v>17.749139064687999</v>
      </c>
      <c r="AL1137">
        <v>92.447137158178407</v>
      </c>
      <c r="AM1137">
        <v>67.264353623515603</v>
      </c>
      <c r="AN1137">
        <v>1.00000008363807</v>
      </c>
    </row>
    <row r="1138" spans="1:40" x14ac:dyDescent="0.3">
      <c r="A1138" t="str">
        <f>"20200111160424351"</f>
        <v>20200111160424351</v>
      </c>
      <c r="B1138" t="str">
        <f>"1578729864341424"</f>
        <v>1578729864341424</v>
      </c>
      <c r="C1138" t="s">
        <v>40</v>
      </c>
      <c r="D1138">
        <v>5.326708</v>
      </c>
      <c r="E1138">
        <v>0.64084189999999996</v>
      </c>
      <c r="F1138" t="s">
        <v>47</v>
      </c>
      <c r="G1138">
        <v>-195.7552</v>
      </c>
      <c r="H1138" s="1">
        <v>-1.5943879999999901E-6</v>
      </c>
      <c r="I1138">
        <v>349.70920000000001</v>
      </c>
      <c r="J1138">
        <v>-200.0762</v>
      </c>
      <c r="K1138">
        <v>1.1003670000000001</v>
      </c>
      <c r="L1138">
        <v>364.81819999999999</v>
      </c>
      <c r="M1138">
        <v>0.85837830000000004</v>
      </c>
      <c r="N1138">
        <v>0</v>
      </c>
      <c r="O1138">
        <v>-0.51277700000000004</v>
      </c>
      <c r="P1138">
        <v>0.59166700000000005</v>
      </c>
      <c r="Q1138">
        <v>-4.7407459999999998E-2</v>
      </c>
      <c r="R1138">
        <v>-0.80478749999999999</v>
      </c>
      <c r="S1138">
        <v>0.89593509999999998</v>
      </c>
      <c r="T1138">
        <v>-0.22232779999999999</v>
      </c>
      <c r="U1138">
        <v>-3.068085</v>
      </c>
      <c r="V1138">
        <v>0.38653880000000002</v>
      </c>
      <c r="W1138">
        <v>-4.2465749999999997E-2</v>
      </c>
      <c r="X1138">
        <v>0.92129490000000003</v>
      </c>
      <c r="Y1138">
        <v>0.67989709999999903</v>
      </c>
      <c r="Z1138">
        <v>1.2232740000000001E-2</v>
      </c>
      <c r="AA1138">
        <v>0.73320540000000001</v>
      </c>
      <c r="AB1138">
        <v>24</v>
      </c>
      <c r="AC1138">
        <v>4.32099999999999</v>
      </c>
      <c r="AD1138">
        <v>-1.1003685943879999</v>
      </c>
      <c r="AE1138">
        <v>-15.108999999999901</v>
      </c>
      <c r="AF1138">
        <v>10.702379819287399</v>
      </c>
      <c r="AG1138">
        <v>-1.1003685943879999</v>
      </c>
      <c r="AH1138">
        <v>11.4021077099615</v>
      </c>
      <c r="AI1138">
        <v>94.024970042524501</v>
      </c>
      <c r="AJ1138">
        <v>46.8131192353028</v>
      </c>
      <c r="AK1138">
        <v>15.676728136615999</v>
      </c>
      <c r="AL1138">
        <v>92.4338402800756</v>
      </c>
      <c r="AM1138">
        <v>67.239011056608703</v>
      </c>
      <c r="AN1138">
        <v>0.99999993829725398</v>
      </c>
    </row>
    <row r="1139" spans="1:40" x14ac:dyDescent="0.3">
      <c r="A1139" t="str">
        <f>"20200111160424362"</f>
        <v>20200111160424362</v>
      </c>
      <c r="B1139" t="str">
        <f>"1578729864352160"</f>
        <v>1578729864352160</v>
      </c>
      <c r="C1139" t="s">
        <v>40</v>
      </c>
      <c r="D1139">
        <v>5.3083920000000004</v>
      </c>
      <c r="E1139">
        <v>0.64051819999999904</v>
      </c>
      <c r="F1139" t="s">
        <v>47</v>
      </c>
      <c r="G1139">
        <v>-196.21899999999999</v>
      </c>
      <c r="H1139" s="1">
        <v>-2.6080880000000002E-6</v>
      </c>
      <c r="I1139">
        <v>351.2133</v>
      </c>
      <c r="J1139">
        <v>-199.96510000000001</v>
      </c>
      <c r="K1139">
        <v>1.1003019999999999</v>
      </c>
      <c r="L1139">
        <v>364.74200000000002</v>
      </c>
      <c r="M1139">
        <v>0.854083499999999</v>
      </c>
      <c r="N1139">
        <v>0</v>
      </c>
      <c r="O1139">
        <v>-0.51989839999999998</v>
      </c>
      <c r="P1139">
        <v>0.58453239999999995</v>
      </c>
      <c r="Q1139">
        <v>-4.7582970000000002E-2</v>
      </c>
      <c r="R1139">
        <v>-0.80997430000000004</v>
      </c>
      <c r="S1139">
        <v>0.87113949999999996</v>
      </c>
      <c r="T1139">
        <v>-0.24851280000000001</v>
      </c>
      <c r="U1139">
        <v>-3.0726010000000001</v>
      </c>
      <c r="V1139">
        <v>0.3869976</v>
      </c>
      <c r="W1139">
        <v>-4.2692510000000003E-2</v>
      </c>
      <c r="X1139">
        <v>0.92109189999999996</v>
      </c>
      <c r="Y1139">
        <v>0.67946430000000002</v>
      </c>
      <c r="Z1139">
        <v>1.4386070000000001E-2</v>
      </c>
      <c r="AA1139">
        <v>0.73356750000000004</v>
      </c>
      <c r="AB1139">
        <v>24</v>
      </c>
      <c r="AC1139">
        <v>3.7460999999999798</v>
      </c>
      <c r="AD1139">
        <v>-1.1003046080879999</v>
      </c>
      <c r="AE1139">
        <v>-13.528699999999899</v>
      </c>
      <c r="AF1139">
        <v>9.5495652666060593</v>
      </c>
      <c r="AG1139">
        <v>-1.1003046080879999</v>
      </c>
      <c r="AH1139">
        <v>10.1718033911599</v>
      </c>
      <c r="AI1139">
        <v>94.509200157994201</v>
      </c>
      <c r="AJ1139">
        <v>46.807166415856202</v>
      </c>
      <c r="AK1139">
        <v>13.995372493798101</v>
      </c>
      <c r="AL1139">
        <v>92.446844215094401</v>
      </c>
      <c r="AM1139">
        <v>67.210244693238195</v>
      </c>
      <c r="AN1139">
        <v>1.0000000405307301</v>
      </c>
    </row>
    <row r="1140" spans="1:40" x14ac:dyDescent="0.3">
      <c r="A1140" t="str">
        <f>"20200111160424379"</f>
        <v>20200111160424379</v>
      </c>
      <c r="B1140" t="str">
        <f>"1578729864371680"</f>
        <v>1578729864371680</v>
      </c>
      <c r="C1140" t="s">
        <v>40</v>
      </c>
      <c r="D1140">
        <v>5.3418780000000003</v>
      </c>
      <c r="E1140">
        <v>0.63978429999999997</v>
      </c>
      <c r="F1140" t="s">
        <v>47</v>
      </c>
      <c r="G1140">
        <v>-196.49809999999999</v>
      </c>
      <c r="H1140" s="1">
        <v>-3.165475E-6</v>
      </c>
      <c r="I1140">
        <v>352.14909999999998</v>
      </c>
      <c r="J1140">
        <v>-199.82300000000001</v>
      </c>
      <c r="K1140">
        <v>1.100225</v>
      </c>
      <c r="L1140">
        <v>364.64159999999998</v>
      </c>
      <c r="M1140">
        <v>0.84837600000000002</v>
      </c>
      <c r="N1140">
        <v>0</v>
      </c>
      <c r="O1140">
        <v>-0.52915939999999995</v>
      </c>
      <c r="P1140">
        <v>0.57526049999999995</v>
      </c>
      <c r="Q1140">
        <v>-4.8008500000000003E-2</v>
      </c>
      <c r="R1140">
        <v>-0.81656030000000002</v>
      </c>
      <c r="S1140">
        <v>0.84704590000000002</v>
      </c>
      <c r="T1140">
        <v>-0.26882519999999999</v>
      </c>
      <c r="U1140">
        <v>-3.0766909999999998</v>
      </c>
      <c r="V1140">
        <v>0.38743729999999998</v>
      </c>
      <c r="W1140">
        <v>-4.317356E-2</v>
      </c>
      <c r="X1140">
        <v>0.92088449999999999</v>
      </c>
      <c r="Y1140">
        <v>0.67700509999999903</v>
      </c>
      <c r="Z1140">
        <v>1.667358E-2</v>
      </c>
      <c r="AA1140">
        <v>0.73578940000000004</v>
      </c>
      <c r="AB1140">
        <v>24</v>
      </c>
      <c r="AC1140">
        <v>3.32489999999998</v>
      </c>
      <c r="AD1140">
        <v>-1.1002281654749999</v>
      </c>
      <c r="AE1140">
        <v>-12.4925</v>
      </c>
      <c r="AF1140">
        <v>8.7764619163185493</v>
      </c>
      <c r="AG1140">
        <v>-1.1002281654749999</v>
      </c>
      <c r="AH1140">
        <v>9.3646292617228202</v>
      </c>
      <c r="AI1140">
        <v>94.899687450786601</v>
      </c>
      <c r="AJ1140">
        <v>46.856983442972897</v>
      </c>
      <c r="AK1140">
        <v>12.881500960455201</v>
      </c>
      <c r="AL1140">
        <v>92.474432034881303</v>
      </c>
      <c r="AM1140">
        <v>67.182389571589795</v>
      </c>
      <c r="AN1140">
        <v>0.99999994002730497</v>
      </c>
    </row>
    <row r="1141" spans="1:40" x14ac:dyDescent="0.3">
      <c r="A1141" t="str">
        <f>"20200111160424397"</f>
        <v>20200111160424397</v>
      </c>
      <c r="B1141" t="str">
        <f>"1578729864392175"</f>
        <v>1578729864392175</v>
      </c>
      <c r="C1141" t="s">
        <v>40</v>
      </c>
      <c r="D1141">
        <v>5.3715570000000001</v>
      </c>
      <c r="E1141">
        <v>0.6389011</v>
      </c>
      <c r="F1141" t="s">
        <v>47</v>
      </c>
      <c r="G1141">
        <v>-196.7842</v>
      </c>
      <c r="H1141" s="1">
        <v>-3.7594579999999999E-6</v>
      </c>
      <c r="I1141">
        <v>353.20339999999999</v>
      </c>
      <c r="J1141">
        <v>-199.666</v>
      </c>
      <c r="K1141">
        <v>1.1001350000000001</v>
      </c>
      <c r="L1141">
        <v>364.52800000000002</v>
      </c>
      <c r="M1141">
        <v>0.84183960000000002</v>
      </c>
      <c r="N1141">
        <v>0</v>
      </c>
      <c r="O1141">
        <v>-0.53949619999999998</v>
      </c>
      <c r="P1141">
        <v>0.56394089999999997</v>
      </c>
      <c r="Q1141">
        <v>-4.9154099999999999E-2</v>
      </c>
      <c r="R1141">
        <v>-0.82435099999999994</v>
      </c>
      <c r="S1141">
        <v>0.81828310000000004</v>
      </c>
      <c r="T1141">
        <v>-0.29626789999999997</v>
      </c>
      <c r="U1141">
        <v>-3.0800480000000001</v>
      </c>
      <c r="V1141">
        <v>0.38878210000000002</v>
      </c>
      <c r="W1141">
        <v>-4.4405409999999999E-2</v>
      </c>
      <c r="X1141">
        <v>0.92025900000000005</v>
      </c>
      <c r="Y1141">
        <v>0.67452190000000001</v>
      </c>
      <c r="Z1141">
        <v>1.97378E-2</v>
      </c>
      <c r="AA1141">
        <v>0.73799099999999995</v>
      </c>
      <c r="AB1141">
        <v>24</v>
      </c>
      <c r="AC1141">
        <v>2.8817999999999899</v>
      </c>
      <c r="AD1141">
        <v>-1.1001387594580001</v>
      </c>
      <c r="AE1141">
        <v>-11.3246</v>
      </c>
      <c r="AF1141">
        <v>7.9096675461408497</v>
      </c>
      <c r="AG1141">
        <v>-1.1001387594580001</v>
      </c>
      <c r="AH1141">
        <v>8.4616600696018605</v>
      </c>
      <c r="AI1141">
        <v>95.425672829298193</v>
      </c>
      <c r="AJ1141">
        <v>46.931111878150801</v>
      </c>
      <c r="AK1141">
        <v>11.6349833310594</v>
      </c>
      <c r="AL1141">
        <v>92.545079477681199</v>
      </c>
      <c r="AM1141">
        <v>67.097385923751006</v>
      </c>
      <c r="AN1141">
        <v>0.99999999439933895</v>
      </c>
    </row>
    <row r="1142" spans="1:40" x14ac:dyDescent="0.3">
      <c r="A1142" t="str">
        <f>"20200111160424411"</f>
        <v>20200111160424411</v>
      </c>
      <c r="B1142" t="str">
        <f>"1578729864401558"</f>
        <v>1578729864401558</v>
      </c>
      <c r="C1142" t="s">
        <v>40</v>
      </c>
      <c r="D1142">
        <v>5.3748740000000002</v>
      </c>
      <c r="E1142">
        <v>0.63828300000000004</v>
      </c>
      <c r="F1142" t="s">
        <v>47</v>
      </c>
      <c r="G1142">
        <v>-196.93899999999999</v>
      </c>
      <c r="H1142" s="1">
        <v>-4.080181E-6</v>
      </c>
      <c r="I1142">
        <v>353.77249999999998</v>
      </c>
      <c r="J1142">
        <v>-199.5351</v>
      </c>
      <c r="K1142">
        <v>1.1000669999999999</v>
      </c>
      <c r="L1142">
        <v>364.43090000000001</v>
      </c>
      <c r="M1142">
        <v>0.836196099999999</v>
      </c>
      <c r="N1142">
        <v>0</v>
      </c>
      <c r="O1142">
        <v>-0.54820190000000002</v>
      </c>
      <c r="P1142">
        <v>0.55486059999999904</v>
      </c>
      <c r="Q1142">
        <v>-5.0006040000000002E-2</v>
      </c>
      <c r="R1142">
        <v>-0.83043940000000005</v>
      </c>
      <c r="S1142">
        <v>0.78225710000000004</v>
      </c>
      <c r="T1142">
        <v>-0.31558259999999899</v>
      </c>
      <c r="U1142">
        <v>-3.0852659999999998</v>
      </c>
      <c r="V1142">
        <v>0.38926119999999997</v>
      </c>
      <c r="W1142">
        <v>-4.5305280000000003E-2</v>
      </c>
      <c r="X1142">
        <v>0.92001259999999996</v>
      </c>
      <c r="Y1142">
        <v>0.67517919999999998</v>
      </c>
      <c r="Z1142">
        <v>2.207781E-2</v>
      </c>
      <c r="AA1142">
        <v>0.73732330000000001</v>
      </c>
      <c r="AB1142">
        <v>24</v>
      </c>
      <c r="AC1142">
        <v>2.5960999999999701</v>
      </c>
      <c r="AD1142">
        <v>-1.1000710801810001</v>
      </c>
      <c r="AE1142">
        <v>-10.6584</v>
      </c>
      <c r="AF1142">
        <v>7.4156922347039798</v>
      </c>
      <c r="AG1142">
        <v>-1.1000710801810001</v>
      </c>
      <c r="AH1142">
        <v>7.9350139516363702</v>
      </c>
      <c r="AI1142">
        <v>95.783663404467404</v>
      </c>
      <c r="AJ1142">
        <v>46.937604595838003</v>
      </c>
      <c r="AK1142">
        <v>10.9163681741668</v>
      </c>
      <c r="AL1142">
        <v>92.596690120172894</v>
      </c>
      <c r="AM1142">
        <v>67.066573735891595</v>
      </c>
      <c r="AN1142">
        <v>1.0000000171900301</v>
      </c>
    </row>
    <row r="1143" spans="1:40" x14ac:dyDescent="0.3">
      <c r="A1143" t="str">
        <f>"20200111160424431"</f>
        <v>20200111160424431</v>
      </c>
      <c r="B1143" t="str">
        <f>"1578729864422054"</f>
        <v>1578729864422054</v>
      </c>
      <c r="C1143" t="s">
        <v>40</v>
      </c>
      <c r="D1143">
        <v>7.1225500000000004</v>
      </c>
      <c r="E1143">
        <v>0.63774569999999997</v>
      </c>
      <c r="F1143" t="s">
        <v>47</v>
      </c>
      <c r="G1143">
        <v>-196.99289999999999</v>
      </c>
      <c r="H1143" s="1">
        <v>-4.2046749999999997E-6</v>
      </c>
      <c r="I1143">
        <v>353.99619999999999</v>
      </c>
      <c r="J1143">
        <v>-199.35310000000001</v>
      </c>
      <c r="K1143">
        <v>1.0999749999999999</v>
      </c>
      <c r="L1143">
        <v>364.29219999999998</v>
      </c>
      <c r="M1143">
        <v>0.82803850000000001</v>
      </c>
      <c r="N1143">
        <v>0</v>
      </c>
      <c r="O1143">
        <v>-0.56044640000000001</v>
      </c>
      <c r="P1143">
        <v>0.54163399999999995</v>
      </c>
      <c r="Q1143">
        <v>-5.0457780000000001E-2</v>
      </c>
      <c r="R1143">
        <v>-0.83909909999999999</v>
      </c>
      <c r="S1143">
        <v>0.75280760000000002</v>
      </c>
      <c r="T1143">
        <v>-0.3257525</v>
      </c>
      <c r="U1143">
        <v>-3.0899350000000001</v>
      </c>
      <c r="V1143">
        <v>0.39025650000000001</v>
      </c>
      <c r="W1143">
        <v>-4.5826810000000003E-2</v>
      </c>
      <c r="X1143">
        <v>0.91956499999999997</v>
      </c>
      <c r="Y1143">
        <v>0.67120639999999998</v>
      </c>
      <c r="Z1143">
        <v>2.463684E-2</v>
      </c>
      <c r="AA1143">
        <v>0.74086099999999999</v>
      </c>
      <c r="AB1143">
        <v>24</v>
      </c>
      <c r="AC1143">
        <v>2.3602000000000198</v>
      </c>
      <c r="AD1143">
        <v>-1.0999792046750001</v>
      </c>
      <c r="AE1143">
        <v>-10.2959999999999</v>
      </c>
      <c r="AF1143">
        <v>7.1263486198650199</v>
      </c>
      <c r="AG1143">
        <v>-1.0999792046750001</v>
      </c>
      <c r="AH1143">
        <v>7.6427879487768902</v>
      </c>
      <c r="AI1143">
        <v>96.009041979261497</v>
      </c>
      <c r="AJ1143">
        <v>47.002672436146</v>
      </c>
      <c r="AK1143">
        <v>10.50747384163</v>
      </c>
      <c r="AL1143">
        <v>92.626602674078399</v>
      </c>
      <c r="AM1143">
        <v>67.003995870527405</v>
      </c>
      <c r="AN1143">
        <v>1.0000000107660101</v>
      </c>
    </row>
    <row r="1144" spans="1:40" x14ac:dyDescent="0.3">
      <c r="A1144" t="str">
        <f>"20200111160424451"</f>
        <v>20200111160424451</v>
      </c>
      <c r="B1144" t="str">
        <f>"1578729864441573"</f>
        <v>1578729864441573</v>
      </c>
      <c r="C1144" t="s">
        <v>40</v>
      </c>
      <c r="D1144">
        <v>5.3610910000000001</v>
      </c>
      <c r="E1144">
        <v>0.63711490000000004</v>
      </c>
      <c r="F1144" t="s">
        <v>47</v>
      </c>
      <c r="G1144">
        <v>-197.01349999999999</v>
      </c>
      <c r="H1144" s="1">
        <v>-4.2355359999999997E-6</v>
      </c>
      <c r="I1144">
        <v>354.04840000000002</v>
      </c>
      <c r="J1144">
        <v>-199.1858</v>
      </c>
      <c r="K1144">
        <v>1.0999049999999999</v>
      </c>
      <c r="L1144">
        <v>364.16079999999999</v>
      </c>
      <c r="M1144">
        <v>0.82021469999999896</v>
      </c>
      <c r="N1144">
        <v>0</v>
      </c>
      <c r="O1144">
        <v>-0.57183399999999995</v>
      </c>
      <c r="P1144">
        <v>0.52971699999999999</v>
      </c>
      <c r="Q1144">
        <v>-5.1219420000000002E-2</v>
      </c>
      <c r="R1144">
        <v>-0.84662660000000001</v>
      </c>
      <c r="S1144">
        <v>0.70767209999999903</v>
      </c>
      <c r="T1144">
        <v>-0.33270909999999998</v>
      </c>
      <c r="U1144">
        <v>-3.0984189999999998</v>
      </c>
      <c r="V1144">
        <v>0.39048650000000001</v>
      </c>
      <c r="W1144">
        <v>-4.6623539999999998E-2</v>
      </c>
      <c r="X1144">
        <v>0.91942729999999995</v>
      </c>
      <c r="Y1144">
        <v>0.67165680000000005</v>
      </c>
      <c r="Z1144">
        <v>2.664768E-2</v>
      </c>
      <c r="AA1144">
        <v>0.74038300000000001</v>
      </c>
      <c r="AB1144">
        <v>24</v>
      </c>
      <c r="AC1144">
        <v>2.1722999999999999</v>
      </c>
      <c r="AD1144">
        <v>-1.0999092355359901</v>
      </c>
      <c r="AE1144">
        <v>-10.1123999999999</v>
      </c>
      <c r="AF1144">
        <v>6.9741700841309697</v>
      </c>
      <c r="AG1144">
        <v>-1.0999092355359901</v>
      </c>
      <c r="AH1144">
        <v>7.48072895089319</v>
      </c>
      <c r="AI1144">
        <v>96.138282850706801</v>
      </c>
      <c r="AJ1144">
        <v>47.007057441058798</v>
      </c>
      <c r="AK1144">
        <v>10.286406288181301</v>
      </c>
      <c r="AL1144">
        <v>92.672300790944206</v>
      </c>
      <c r="AM1144">
        <v>66.988766292750796</v>
      </c>
      <c r="AN1144">
        <v>1.0000000105748299</v>
      </c>
    </row>
    <row r="1145" spans="1:40" x14ac:dyDescent="0.3">
      <c r="A1145" t="str">
        <f>"20200111160424464"</f>
        <v>20200111160424464</v>
      </c>
      <c r="B1145" t="str">
        <f>"1578729864462070"</f>
        <v>1578729864462070</v>
      </c>
      <c r="C1145" t="s">
        <v>40</v>
      </c>
      <c r="D1145">
        <v>5.416086</v>
      </c>
      <c r="E1145">
        <v>0.6249422</v>
      </c>
      <c r="F1145" t="s">
        <v>47</v>
      </c>
      <c r="G1145">
        <v>-196.98560000000001</v>
      </c>
      <c r="H1145" s="1">
        <v>-4.1683639999999996E-6</v>
      </c>
      <c r="I1145">
        <v>353.92720000000003</v>
      </c>
      <c r="J1145">
        <v>-199.07419999999999</v>
      </c>
      <c r="K1145">
        <v>1.0998619999999999</v>
      </c>
      <c r="L1145">
        <v>364.07130000000001</v>
      </c>
      <c r="M1145">
        <v>0.81483950000000005</v>
      </c>
      <c r="N1145">
        <v>0</v>
      </c>
      <c r="O1145">
        <v>-0.57946739999999997</v>
      </c>
      <c r="P1145">
        <v>0.52184989999999998</v>
      </c>
      <c r="Q1145">
        <v>-5.1799270000000001E-2</v>
      </c>
      <c r="R1145">
        <v>-0.85146369999999905</v>
      </c>
      <c r="S1145">
        <v>0.66769409999999996</v>
      </c>
      <c r="T1145">
        <v>-0.33378560000000002</v>
      </c>
      <c r="U1145">
        <v>-3.1055299999999999</v>
      </c>
      <c r="V1145">
        <v>0.39037359999999999</v>
      </c>
      <c r="W1145">
        <v>-4.721492E-2</v>
      </c>
      <c r="X1145">
        <v>0.91944510000000002</v>
      </c>
      <c r="Y1145">
        <v>0.67419709999999999</v>
      </c>
      <c r="Z1145">
        <v>2.7594819999999999E-2</v>
      </c>
      <c r="AA1145">
        <v>0.73803580000000002</v>
      </c>
      <c r="AB1145">
        <v>24</v>
      </c>
      <c r="AC1145">
        <v>2.08859999999998</v>
      </c>
      <c r="AD1145">
        <v>-1.0998661683640001</v>
      </c>
      <c r="AE1145">
        <v>-10.1440999999999</v>
      </c>
      <c r="AF1145">
        <v>6.9777413491047398</v>
      </c>
      <c r="AG1145">
        <v>-1.0998661683640001</v>
      </c>
      <c r="AH1145">
        <v>7.4964692070165899</v>
      </c>
      <c r="AI1145">
        <v>96.129746376162501</v>
      </c>
      <c r="AJ1145">
        <v>47.0524920831012</v>
      </c>
      <c r="AK1145">
        <v>10.3002733213767</v>
      </c>
      <c r="AL1145">
        <v>92.706221636014803</v>
      </c>
      <c r="AM1145">
        <v>66.995126030262199</v>
      </c>
      <c r="AN1145">
        <v>1.0000000440807799</v>
      </c>
    </row>
    <row r="1146" spans="1:40" x14ac:dyDescent="0.3">
      <c r="A1146" t="str">
        <f>"20200111160424477"</f>
        <v>20200111160424477</v>
      </c>
      <c r="B1146" t="str">
        <f>"1578729864471830"</f>
        <v>1578729864471830</v>
      </c>
      <c r="C1146" t="s">
        <v>40</v>
      </c>
      <c r="D1146">
        <v>5.3876239999999997</v>
      </c>
      <c r="E1146">
        <v>0.6249422</v>
      </c>
      <c r="F1146" t="s">
        <v>47</v>
      </c>
      <c r="G1146">
        <v>-197.22989999999999</v>
      </c>
      <c r="H1146" s="1">
        <v>-5.3227909999999996E-6</v>
      </c>
      <c r="I1146">
        <v>356.3331</v>
      </c>
      <c r="J1146">
        <v>-198.95480000000001</v>
      </c>
      <c r="K1146">
        <v>1.0998220000000001</v>
      </c>
      <c r="L1146">
        <v>363.97269999999997</v>
      </c>
      <c r="M1146">
        <v>0.80889180000000005</v>
      </c>
      <c r="N1146">
        <v>0</v>
      </c>
      <c r="O1146">
        <v>-0.58774069999999901</v>
      </c>
      <c r="P1146">
        <v>0.51328070000000003</v>
      </c>
      <c r="Q1146">
        <v>-5.2404390000000002E-2</v>
      </c>
      <c r="R1146">
        <v>-0.85661989999999999</v>
      </c>
      <c r="S1146">
        <v>0.72723389999999999</v>
      </c>
      <c r="T1146">
        <v>-0.43368849999999998</v>
      </c>
      <c r="U1146">
        <v>-3.0512389999999998</v>
      </c>
      <c r="V1146">
        <v>0.39018019999999998</v>
      </c>
      <c r="W1146">
        <v>-4.7824829999999999E-2</v>
      </c>
      <c r="X1146">
        <v>0.91949559999999997</v>
      </c>
      <c r="Y1146">
        <v>0.64962819999999899</v>
      </c>
      <c r="Z1146">
        <v>3.9750050000000002E-2</v>
      </c>
      <c r="AA1146">
        <v>0.759212199999999</v>
      </c>
      <c r="AB1146">
        <v>24</v>
      </c>
      <c r="AC1146">
        <v>1.7249000000000101</v>
      </c>
      <c r="AD1146">
        <v>-1.09982732279099</v>
      </c>
      <c r="AE1146">
        <v>-7.6395999999999704</v>
      </c>
      <c r="AF1146">
        <v>5.0665602471111804</v>
      </c>
      <c r="AG1146">
        <v>-1.09982732279099</v>
      </c>
      <c r="AH1146">
        <v>5.7722804081242396</v>
      </c>
      <c r="AI1146">
        <v>98.149260900526002</v>
      </c>
      <c r="AJ1146">
        <v>48.725287034173199</v>
      </c>
      <c r="AK1146">
        <v>7.7587933332174703</v>
      </c>
      <c r="AL1146">
        <v>92.741206600546306</v>
      </c>
      <c r="AM1146">
        <v>67.006469542310796</v>
      </c>
      <c r="AN1146">
        <v>0.99999998062796402</v>
      </c>
    </row>
    <row r="1147" spans="1:40" x14ac:dyDescent="0.3">
      <c r="A1147" t="str">
        <f>"20200111160424495"</f>
        <v>20200111160424495</v>
      </c>
      <c r="B1147" t="str">
        <f>"1578729864491350"</f>
        <v>1578729864491350</v>
      </c>
      <c r="C1147" t="s">
        <v>40</v>
      </c>
      <c r="D1147">
        <v>5.4559119999999997</v>
      </c>
      <c r="E1147">
        <v>0.64992340000000004</v>
      </c>
      <c r="F1147" t="s">
        <v>47</v>
      </c>
      <c r="G1147">
        <v>-197.19200000000001</v>
      </c>
      <c r="H1147" s="1">
        <v>-5.2827409999999999E-6</v>
      </c>
      <c r="I1147">
        <v>356.2312</v>
      </c>
      <c r="J1147">
        <v>-198.81290000000001</v>
      </c>
      <c r="K1147">
        <v>1.0997790000000001</v>
      </c>
      <c r="L1147">
        <v>363.85309999999998</v>
      </c>
      <c r="M1147">
        <v>0.8016219</v>
      </c>
      <c r="N1147">
        <v>0</v>
      </c>
      <c r="O1147">
        <v>-0.59761730000000002</v>
      </c>
      <c r="P1147">
        <v>0.50373100000000004</v>
      </c>
      <c r="Q1147">
        <v>-5.3126689999999997E-2</v>
      </c>
      <c r="R1147">
        <v>-0.86222589999999999</v>
      </c>
      <c r="S1147">
        <v>0.69641109999999995</v>
      </c>
      <c r="T1147">
        <v>-0.43447999999999998</v>
      </c>
      <c r="U1147">
        <v>-3.0582280000000002</v>
      </c>
      <c r="V1147">
        <v>0.38906239999999997</v>
      </c>
      <c r="W1147">
        <v>-4.852037E-2</v>
      </c>
      <c r="X1147">
        <v>0.91993270000000005</v>
      </c>
      <c r="Y1147">
        <v>0.64801109999999995</v>
      </c>
      <c r="Z1147">
        <v>4.1682690000000001E-2</v>
      </c>
      <c r="AA1147">
        <v>0.76048950000000004</v>
      </c>
      <c r="AB1147">
        <v>24</v>
      </c>
      <c r="AC1147">
        <v>1.6209</v>
      </c>
      <c r="AD1147">
        <v>-1.099784282741</v>
      </c>
      <c r="AE1147">
        <v>-7.6218999999999797</v>
      </c>
      <c r="AF1147">
        <v>5.0414390596917897</v>
      </c>
      <c r="AG1147">
        <v>-1.099784282741</v>
      </c>
      <c r="AH1147">
        <v>5.7407250504249401</v>
      </c>
      <c r="AI1147">
        <v>98.191334560506405</v>
      </c>
      <c r="AJ1147">
        <v>48.710767196087701</v>
      </c>
      <c r="AK1147">
        <v>7.7189090787317003</v>
      </c>
      <c r="AL1147">
        <v>92.781104444704397</v>
      </c>
      <c r="AM1147">
        <v>67.075290242821396</v>
      </c>
      <c r="AN1147">
        <v>0.99999997496399295</v>
      </c>
    </row>
    <row r="1148" spans="1:40" x14ac:dyDescent="0.3">
      <c r="A1148" t="str">
        <f>"20200111160424508"</f>
        <v>20200111160424508</v>
      </c>
      <c r="B1148" t="str">
        <f>"1578729864501725"</f>
        <v>1578729864501725</v>
      </c>
      <c r="C1148" t="s">
        <v>40</v>
      </c>
      <c r="D1148">
        <v>5.404274</v>
      </c>
      <c r="E1148">
        <v>0.65138790000000002</v>
      </c>
      <c r="F1148" t="s">
        <v>47</v>
      </c>
      <c r="G1148">
        <v>-196.8466</v>
      </c>
      <c r="H1148" s="1">
        <v>-2.5440670000000001E-6</v>
      </c>
      <c r="I1148">
        <v>350.82299999999998</v>
      </c>
      <c r="J1148">
        <v>-198.6961</v>
      </c>
      <c r="K1148">
        <v>1.099753</v>
      </c>
      <c r="L1148">
        <v>363.75259999999997</v>
      </c>
      <c r="M1148">
        <v>0.79545909999999997</v>
      </c>
      <c r="N1148">
        <v>0</v>
      </c>
      <c r="O1148">
        <v>-0.60579530000000004</v>
      </c>
      <c r="P1148">
        <v>0.49542130000000001</v>
      </c>
      <c r="Q1148">
        <v>-5.364878E-2</v>
      </c>
      <c r="R1148">
        <v>-0.86699459999999995</v>
      </c>
      <c r="S1148">
        <v>0.4802246</v>
      </c>
      <c r="T1148">
        <v>-0.26859660000000002</v>
      </c>
      <c r="U1148">
        <v>-3.182312</v>
      </c>
      <c r="V1148">
        <v>0.38844089999999998</v>
      </c>
      <c r="W1148">
        <v>-4.9027269999999998E-2</v>
      </c>
      <c r="X1148">
        <v>0.92016849999999994</v>
      </c>
      <c r="Y1148">
        <v>0.69578109999999904</v>
      </c>
      <c r="Z1148">
        <v>2.3625940000000002E-2</v>
      </c>
      <c r="AA1148">
        <v>0.71786519999999898</v>
      </c>
      <c r="AB1148">
        <v>24</v>
      </c>
      <c r="AC1148">
        <v>1.8494999999999999</v>
      </c>
      <c r="AD1148">
        <v>-1.0997555440669999</v>
      </c>
      <c r="AE1148">
        <v>-12.929599999999899</v>
      </c>
      <c r="AF1148">
        <v>9.1012024255119393</v>
      </c>
      <c r="AG1148">
        <v>-1.0997555440669999</v>
      </c>
      <c r="AH1148">
        <v>9.2395822043388893</v>
      </c>
      <c r="AI1148">
        <v>94.846919530324499</v>
      </c>
      <c r="AJ1148">
        <v>45.432283951581802</v>
      </c>
      <c r="AK1148">
        <v>13.015806819309599</v>
      </c>
      <c r="AL1148">
        <v>92.810182108381795</v>
      </c>
      <c r="AM1148">
        <v>67.113395447016799</v>
      </c>
      <c r="AN1148">
        <v>1.00000003719435</v>
      </c>
    </row>
    <row r="1149" spans="1:40" x14ac:dyDescent="0.3">
      <c r="A1149" t="str">
        <f>"20200111160424522"</f>
        <v>20200111160424522</v>
      </c>
      <c r="B1149" t="str">
        <f>"1578729864511485"</f>
        <v>1578729864511485</v>
      </c>
      <c r="C1149" t="s">
        <v>40</v>
      </c>
      <c r="D1149">
        <v>5.460934</v>
      </c>
      <c r="E1149">
        <v>0.65231749999999999</v>
      </c>
      <c r="F1149" t="s">
        <v>47</v>
      </c>
      <c r="G1149">
        <v>-196.85890000000001</v>
      </c>
      <c r="H1149" s="1">
        <v>-2.2907669999999999E-6</v>
      </c>
      <c r="I1149">
        <v>350.38959999999997</v>
      </c>
      <c r="J1149">
        <v>-198.58439999999999</v>
      </c>
      <c r="K1149">
        <v>1.099728</v>
      </c>
      <c r="L1149">
        <v>363.65440000000001</v>
      </c>
      <c r="M1149">
        <v>0.78941589999999995</v>
      </c>
      <c r="N1149">
        <v>0</v>
      </c>
      <c r="O1149">
        <v>-0.61364879999999999</v>
      </c>
      <c r="P1149">
        <v>0.48740909999999898</v>
      </c>
      <c r="Q1149">
        <v>-5.3638360000000003E-2</v>
      </c>
      <c r="R1149">
        <v>-0.87152479999999999</v>
      </c>
      <c r="S1149">
        <v>0.43899539999999998</v>
      </c>
      <c r="T1149">
        <v>-0.26278899999999999</v>
      </c>
      <c r="U1149">
        <v>-3.1931150000000001</v>
      </c>
      <c r="V1149">
        <v>0.38780199999999998</v>
      </c>
      <c r="W1149">
        <v>-4.899792E-2</v>
      </c>
      <c r="X1149">
        <v>0.92043949999999997</v>
      </c>
      <c r="Y1149">
        <v>0.69812739999999995</v>
      </c>
      <c r="Z1149">
        <v>2.3798099999999999E-2</v>
      </c>
      <c r="AA1149">
        <v>0.71557789999999999</v>
      </c>
      <c r="AB1149">
        <v>24</v>
      </c>
      <c r="AC1149">
        <v>1.72549999999998</v>
      </c>
      <c r="AD1149">
        <v>-1.0997302907669999</v>
      </c>
      <c r="AE1149">
        <v>-13.264799999999999</v>
      </c>
      <c r="AF1149">
        <v>9.3506050892610801</v>
      </c>
      <c r="AG1149">
        <v>-1.0997302907669999</v>
      </c>
      <c r="AH1149">
        <v>9.4394885660801098</v>
      </c>
      <c r="AI1149">
        <v>94.731525726616994</v>
      </c>
      <c r="AJ1149">
        <v>45.271026329063801</v>
      </c>
      <c r="AK1149">
        <v>13.332185366131901</v>
      </c>
      <c r="AL1149">
        <v>92.808498473312</v>
      </c>
      <c r="AM1149">
        <v>67.153206405144303</v>
      </c>
      <c r="AN1149">
        <v>1.00000003026428</v>
      </c>
    </row>
    <row r="1150" spans="1:40" x14ac:dyDescent="0.3">
      <c r="A1150" t="str">
        <f>"20200111160424540"</f>
        <v>20200111160424540</v>
      </c>
      <c r="B1150" t="str">
        <f>"1578729864531980"</f>
        <v>1578729864531980</v>
      </c>
      <c r="C1150" t="s">
        <v>40</v>
      </c>
      <c r="D1150">
        <v>5.4640779999999998</v>
      </c>
      <c r="E1150">
        <v>0.6523736</v>
      </c>
      <c r="F1150" t="s">
        <v>47</v>
      </c>
      <c r="G1150">
        <v>-196.94579999999999</v>
      </c>
      <c r="H1150" s="1">
        <v>-2.4709349999999998E-6</v>
      </c>
      <c r="I1150">
        <v>350.6549</v>
      </c>
      <c r="J1150">
        <v>-198.4297</v>
      </c>
      <c r="K1150">
        <v>1.0997049999999999</v>
      </c>
      <c r="L1150">
        <v>363.5147</v>
      </c>
      <c r="M1150">
        <v>0.78076299999999998</v>
      </c>
      <c r="N1150">
        <v>0</v>
      </c>
      <c r="O1150">
        <v>-0.62462039999999996</v>
      </c>
      <c r="P1150">
        <v>0.47723290000000002</v>
      </c>
      <c r="Q1150">
        <v>-5.3970619999999997E-2</v>
      </c>
      <c r="R1150">
        <v>-0.87711839999999996</v>
      </c>
      <c r="S1150">
        <v>0.40336610000000001</v>
      </c>
      <c r="T1150">
        <v>-0.27070809999999901</v>
      </c>
      <c r="U1150">
        <v>-3.199951</v>
      </c>
      <c r="V1150">
        <v>0.38562639999999998</v>
      </c>
      <c r="W1150">
        <v>-4.9258089999999997E-2</v>
      </c>
      <c r="X1150">
        <v>0.92133920000000002</v>
      </c>
      <c r="Y1150">
        <v>0.69615439999999995</v>
      </c>
      <c r="Z1150">
        <v>2.581336E-2</v>
      </c>
      <c r="AA1150">
        <v>0.71742779999999995</v>
      </c>
      <c r="AB1150">
        <v>24</v>
      </c>
      <c r="AC1150">
        <v>1.4839</v>
      </c>
      <c r="AD1150">
        <v>-1.0997074709350001</v>
      </c>
      <c r="AE1150">
        <v>-12.8598</v>
      </c>
      <c r="AF1150">
        <v>9.0494523419114508</v>
      </c>
      <c r="AG1150">
        <v>-1.0997074709350001</v>
      </c>
      <c r="AH1150">
        <v>9.1263929177950605</v>
      </c>
      <c r="AI1150">
        <v>94.890573393513094</v>
      </c>
      <c r="AJ1150">
        <v>45.242538593229497</v>
      </c>
      <c r="AK1150">
        <v>12.899340754477899</v>
      </c>
      <c r="AL1150">
        <v>92.823423221263795</v>
      </c>
      <c r="AM1150">
        <v>67.288258561834297</v>
      </c>
      <c r="AN1150">
        <v>1.00000000063202</v>
      </c>
    </row>
    <row r="1151" spans="1:40" x14ac:dyDescent="0.3">
      <c r="A1151" t="str">
        <f>"20200111160424555"</f>
        <v>20200111160424555</v>
      </c>
      <c r="B1151" t="str">
        <f>"1578729864551501"</f>
        <v>1578729864551501</v>
      </c>
      <c r="C1151" t="s">
        <v>40</v>
      </c>
      <c r="D1151">
        <v>5.437932</v>
      </c>
      <c r="E1151">
        <v>0.65159519999999904</v>
      </c>
      <c r="F1151" t="s">
        <v>47</v>
      </c>
      <c r="G1151">
        <v>-196.99379999999999</v>
      </c>
      <c r="H1151" s="1">
        <v>-2.6642599999999998E-6</v>
      </c>
      <c r="I1151">
        <v>350.9599</v>
      </c>
      <c r="J1151">
        <v>-198.3218</v>
      </c>
      <c r="K1151">
        <v>1.099691</v>
      </c>
      <c r="L1151">
        <v>363.41469999999998</v>
      </c>
      <c r="M1151">
        <v>0.77454060000000002</v>
      </c>
      <c r="N1151">
        <v>0</v>
      </c>
      <c r="O1151">
        <v>-0.63231959999999998</v>
      </c>
      <c r="P1151">
        <v>0.46971859999999999</v>
      </c>
      <c r="Q1151">
        <v>-5.3327939999999997E-2</v>
      </c>
      <c r="R1151">
        <v>-0.88120429999999905</v>
      </c>
      <c r="S1151">
        <v>0.366394</v>
      </c>
      <c r="T1151">
        <v>-0.28061779999999997</v>
      </c>
      <c r="U1151">
        <v>-3.2036739999999999</v>
      </c>
      <c r="V1151">
        <v>0.38442670000000001</v>
      </c>
      <c r="W1151">
        <v>-4.8572379999999998E-2</v>
      </c>
      <c r="X1151">
        <v>0.92187680000000005</v>
      </c>
      <c r="Y1151">
        <v>0.69728809999999997</v>
      </c>
      <c r="Z1151">
        <v>2.7584170000000002E-2</v>
      </c>
      <c r="AA1151">
        <v>0.71626000000000001</v>
      </c>
      <c r="AB1151">
        <v>24</v>
      </c>
      <c r="AC1151">
        <v>1.3280000000000001</v>
      </c>
      <c r="AD1151">
        <v>-1.0996936642599999</v>
      </c>
      <c r="AE1151">
        <v>-12.454799999999899</v>
      </c>
      <c r="AF1151">
        <v>8.7407907116527497</v>
      </c>
      <c r="AG1151">
        <v>-1.0996936642599999</v>
      </c>
      <c r="AH1151">
        <v>8.8370375940480095</v>
      </c>
      <c r="AI1151">
        <v>95.056014205976297</v>
      </c>
      <c r="AJ1151">
        <v>45.313718222044201</v>
      </c>
      <c r="AK1151">
        <v>12.478140160245999</v>
      </c>
      <c r="AL1151">
        <v>92.784087848814494</v>
      </c>
      <c r="AM1151">
        <v>67.363647902858105</v>
      </c>
      <c r="AN1151">
        <v>0.99999999907499704</v>
      </c>
    </row>
    <row r="1152" spans="1:40" x14ac:dyDescent="0.3">
      <c r="A1152" t="str">
        <f>"20200111160424568"</f>
        <v>20200111160424568</v>
      </c>
      <c r="B1152" t="str">
        <f>"1578729864562236"</f>
        <v>1578729864562236</v>
      </c>
      <c r="C1152" t="s">
        <v>40</v>
      </c>
      <c r="D1152">
        <v>5.443638</v>
      </c>
      <c r="E1152">
        <v>0.65115219999999996</v>
      </c>
      <c r="F1152" t="s">
        <v>47</v>
      </c>
      <c r="G1152">
        <v>-196.99469999999999</v>
      </c>
      <c r="H1152" s="1">
        <v>-2.7388130000000001E-6</v>
      </c>
      <c r="I1152">
        <v>351.08550000000002</v>
      </c>
      <c r="J1152">
        <v>-198.21010000000001</v>
      </c>
      <c r="K1152">
        <v>1.0996840000000001</v>
      </c>
      <c r="L1152">
        <v>363.30939999999998</v>
      </c>
      <c r="M1152">
        <v>0.76794810000000002</v>
      </c>
      <c r="N1152">
        <v>0</v>
      </c>
      <c r="O1152">
        <v>-0.64030959999999904</v>
      </c>
      <c r="P1152">
        <v>0.4618044</v>
      </c>
      <c r="Q1152">
        <v>-5.251434E-2</v>
      </c>
      <c r="R1152">
        <v>-0.8854263</v>
      </c>
      <c r="S1152">
        <v>0.34481810000000002</v>
      </c>
      <c r="T1152">
        <v>-0.28572140000000001</v>
      </c>
      <c r="U1152">
        <v>-3.2033689999999999</v>
      </c>
      <c r="V1152">
        <v>0.3831949</v>
      </c>
      <c r="W1152">
        <v>-4.7713110000000003E-2</v>
      </c>
      <c r="X1152">
        <v>0.92243430000000004</v>
      </c>
      <c r="Y1152">
        <v>0.69461799999999996</v>
      </c>
      <c r="Z1152">
        <v>2.9196070000000001E-2</v>
      </c>
      <c r="AA1152">
        <v>0.71878599999999904</v>
      </c>
      <c r="AB1152">
        <v>24</v>
      </c>
      <c r="AC1152">
        <v>1.21540000000001</v>
      </c>
      <c r="AD1152">
        <v>-1.0996867388130001</v>
      </c>
      <c r="AE1152">
        <v>-12.223899999999899</v>
      </c>
      <c r="AF1152">
        <v>8.5417519304237004</v>
      </c>
      <c r="AG1152">
        <v>-1.0996867388130001</v>
      </c>
      <c r="AH1152">
        <v>8.6919242366176199</v>
      </c>
      <c r="AI1152">
        <v>95.156292382963997</v>
      </c>
      <c r="AJ1152">
        <v>45.499256310298897</v>
      </c>
      <c r="AK1152">
        <v>12.236028109624399</v>
      </c>
      <c r="AL1152">
        <v>92.734798270219997</v>
      </c>
      <c r="AM1152">
        <v>67.441170375086301</v>
      </c>
      <c r="AN1152">
        <v>0.99999995503418504</v>
      </c>
    </row>
    <row r="1153" spans="1:40" x14ac:dyDescent="0.3">
      <c r="A1153" t="str">
        <f>"20200111160424586"</f>
        <v>20200111160424586</v>
      </c>
      <c r="B1153" t="str">
        <f>"1578729864581756"</f>
        <v>1578729864581756</v>
      </c>
      <c r="C1153" t="s">
        <v>40</v>
      </c>
      <c r="D1153">
        <v>5.4818910000000001</v>
      </c>
      <c r="E1153">
        <v>0.6499066</v>
      </c>
      <c r="F1153" t="s">
        <v>47</v>
      </c>
      <c r="G1153">
        <v>-196.9889</v>
      </c>
      <c r="H1153" s="1">
        <v>-2.727503E-6</v>
      </c>
      <c r="I1153">
        <v>351.06900000000002</v>
      </c>
      <c r="J1153">
        <v>-198.07679999999999</v>
      </c>
      <c r="K1153">
        <v>1.0996840000000001</v>
      </c>
      <c r="L1153">
        <v>363.1807</v>
      </c>
      <c r="M1153">
        <v>0.75985419999999904</v>
      </c>
      <c r="N1153">
        <v>0</v>
      </c>
      <c r="O1153">
        <v>-0.64989350000000001</v>
      </c>
      <c r="P1153">
        <v>0.4541056</v>
      </c>
      <c r="Q1153">
        <v>-4.9771419999999997E-2</v>
      </c>
      <c r="R1153">
        <v>-0.88955669999999898</v>
      </c>
      <c r="S1153">
        <v>0.31970209999999999</v>
      </c>
      <c r="T1153">
        <v>-0.28788639999999999</v>
      </c>
      <c r="U1153">
        <v>-3.2044069999999998</v>
      </c>
      <c r="V1153">
        <v>0.37981710000000002</v>
      </c>
      <c r="W1153">
        <v>-4.4848300000000001E-2</v>
      </c>
      <c r="X1153">
        <v>0.92397379999999996</v>
      </c>
      <c r="Y1153">
        <v>0.69120159999999997</v>
      </c>
      <c r="Z1153">
        <v>3.0761520000000001E-2</v>
      </c>
      <c r="AA1153">
        <v>0.72200699999999995</v>
      </c>
      <c r="AB1153">
        <v>24</v>
      </c>
      <c r="AC1153">
        <v>1.0878999999999901</v>
      </c>
      <c r="AD1153">
        <v>-1.099686727503</v>
      </c>
      <c r="AE1153">
        <v>-12.1116999999999</v>
      </c>
      <c r="AF1153">
        <v>8.4282867566731507</v>
      </c>
      <c r="AG1153">
        <v>-1.099686727503</v>
      </c>
      <c r="AH1153">
        <v>8.6285289725820995</v>
      </c>
      <c r="AI1153">
        <v>95.209304441961905</v>
      </c>
      <c r="AJ1153">
        <v>45.672605426631101</v>
      </c>
      <c r="AK1153">
        <v>12.111847125110399</v>
      </c>
      <c r="AL1153">
        <v>92.570480520255202</v>
      </c>
      <c r="AM1153">
        <v>67.6539495899939</v>
      </c>
      <c r="AN1153">
        <v>0.99999999127586903</v>
      </c>
    </row>
    <row r="1154" spans="1:40" x14ac:dyDescent="0.3">
      <c r="A1154" t="str">
        <f>"20200111160424609"</f>
        <v>20200111160424609</v>
      </c>
      <c r="B1154" t="str">
        <f>"1578729864601557"</f>
        <v>1578729864601557</v>
      </c>
      <c r="C1154" t="s">
        <v>40</v>
      </c>
      <c r="D1154">
        <v>5.4831159999999999</v>
      </c>
      <c r="E1154">
        <v>0.64863789999999999</v>
      </c>
      <c r="F1154" t="s">
        <v>47</v>
      </c>
      <c r="G1154">
        <v>-196.9178</v>
      </c>
      <c r="H1154" s="1">
        <v>-2.5843540000000002E-6</v>
      </c>
      <c r="I1154">
        <v>350.85910000000001</v>
      </c>
      <c r="J1154">
        <v>-197.89250000000001</v>
      </c>
      <c r="K1154">
        <v>1.0996790000000001</v>
      </c>
      <c r="L1154">
        <v>362.99669999999998</v>
      </c>
      <c r="M1154">
        <v>0.74823759999999995</v>
      </c>
      <c r="N1154">
        <v>0</v>
      </c>
      <c r="O1154">
        <v>-0.6632344</v>
      </c>
      <c r="P1154">
        <v>0.44196540000000001</v>
      </c>
      <c r="Q1154">
        <v>-4.8058900000000002E-2</v>
      </c>
      <c r="R1154">
        <v>-0.89574390000000004</v>
      </c>
      <c r="S1154">
        <v>0.30125429999999997</v>
      </c>
      <c r="T1154">
        <v>-0.28583940000000002</v>
      </c>
      <c r="U1154">
        <v>-3.202728</v>
      </c>
      <c r="V1154">
        <v>0.37615320000000002</v>
      </c>
      <c r="W1154">
        <v>-4.2997529999999999E-2</v>
      </c>
      <c r="X1154">
        <v>0.92555929999999997</v>
      </c>
      <c r="Y1154">
        <v>0.68249819999999894</v>
      </c>
      <c r="Z1154">
        <v>3.2629739999999997E-2</v>
      </c>
      <c r="AA1154">
        <v>0.73015859999999899</v>
      </c>
      <c r="AB1154">
        <v>24</v>
      </c>
      <c r="AC1154">
        <v>0.974700000000012</v>
      </c>
      <c r="AD1154">
        <v>-1.099681584354</v>
      </c>
      <c r="AE1154">
        <v>-12.1375999999999</v>
      </c>
      <c r="AF1154">
        <v>8.3682026070365101</v>
      </c>
      <c r="AG1154">
        <v>-1.099681584354</v>
      </c>
      <c r="AH1154">
        <v>8.7094908221393901</v>
      </c>
      <c r="AI1154">
        <v>95.202270300082205</v>
      </c>
      <c r="AJ1154">
        <v>46.144871924999201</v>
      </c>
      <c r="AK1154">
        <v>12.128122065691301</v>
      </c>
      <c r="AL1154">
        <v>92.464336692330306</v>
      </c>
      <c r="AM1154">
        <v>67.882861663977707</v>
      </c>
      <c r="AN1154">
        <v>1.0000000176364101</v>
      </c>
    </row>
    <row r="1155" spans="1:40" x14ac:dyDescent="0.3">
      <c r="A1155" t="str">
        <f>"20200111160424630"</f>
        <v>20200111160424630</v>
      </c>
      <c r="B1155" t="str">
        <f>"1578729864622052"</f>
        <v>1578729864622052</v>
      </c>
      <c r="C1155" t="s">
        <v>40</v>
      </c>
      <c r="D1155">
        <v>5.5612729999999999</v>
      </c>
      <c r="E1155">
        <v>0.63813969999999998</v>
      </c>
      <c r="F1155" t="s">
        <v>47</v>
      </c>
      <c r="G1155">
        <v>-196.87049999999999</v>
      </c>
      <c r="H1155" s="1">
        <v>-2.508471E-6</v>
      </c>
      <c r="I1155">
        <v>350.75220000000002</v>
      </c>
      <c r="J1155">
        <v>-197.72460000000001</v>
      </c>
      <c r="K1155">
        <v>1.099685</v>
      </c>
      <c r="L1155">
        <v>362.82330000000002</v>
      </c>
      <c r="M1155">
        <v>0.73722619999999905</v>
      </c>
      <c r="N1155">
        <v>0</v>
      </c>
      <c r="O1155">
        <v>-0.67545269999999902</v>
      </c>
      <c r="P1155">
        <v>0.43084539999999999</v>
      </c>
      <c r="Q1155">
        <v>-4.784414E-2</v>
      </c>
      <c r="R1155">
        <v>-0.90115670000000003</v>
      </c>
      <c r="S1155">
        <v>0.26725769999999999</v>
      </c>
      <c r="T1155">
        <v>-0.28756029999999999</v>
      </c>
      <c r="U1155">
        <v>-3.2018740000000001</v>
      </c>
      <c r="V1155">
        <v>0.37239919999999999</v>
      </c>
      <c r="W1155">
        <v>-4.2639620000000003E-2</v>
      </c>
      <c r="X1155">
        <v>0.92709260000000004</v>
      </c>
      <c r="Y1155">
        <v>0.67816030000000005</v>
      </c>
      <c r="Z1155">
        <v>3.4565159999999998E-2</v>
      </c>
      <c r="AA1155">
        <v>0.7341008</v>
      </c>
      <c r="AB1155">
        <v>24</v>
      </c>
      <c r="AC1155">
        <v>0.85410000000001596</v>
      </c>
      <c r="AD1155">
        <v>-1.0996875084710001</v>
      </c>
      <c r="AE1155">
        <v>-12.071099999999999</v>
      </c>
      <c r="AF1155">
        <v>8.2551428877556301</v>
      </c>
      <c r="AG1155">
        <v>-1.0996875084710001</v>
      </c>
      <c r="AH1155">
        <v>8.7123226397346691</v>
      </c>
      <c r="AI1155">
        <v>95.235057484247307</v>
      </c>
      <c r="AJ1155">
        <v>46.543432274739502</v>
      </c>
      <c r="AK1155">
        <v>12.0524380310534</v>
      </c>
      <c r="AL1155">
        <v>92.443811190364997</v>
      </c>
      <c r="AM1155">
        <v>68.115411365471005</v>
      </c>
      <c r="AN1155">
        <v>0.99999999516457205</v>
      </c>
    </row>
    <row r="1156" spans="1:40" x14ac:dyDescent="0.3">
      <c r="A1156" t="str">
        <f>"20200111160424652"</f>
        <v>20200111160424652</v>
      </c>
      <c r="B1156" t="str">
        <f>"1578729864641576"</f>
        <v>1578729864641576</v>
      </c>
      <c r="C1156" t="s">
        <v>40</v>
      </c>
      <c r="D1156">
        <v>5.9083100000000002</v>
      </c>
      <c r="E1156">
        <v>0.64104249999999996</v>
      </c>
      <c r="F1156" t="s">
        <v>47</v>
      </c>
      <c r="G1156">
        <v>-196.76990000000001</v>
      </c>
      <c r="H1156" s="1">
        <v>-3.6574439999999999E-6</v>
      </c>
      <c r="I1156">
        <v>353.00699999999898</v>
      </c>
      <c r="J1156">
        <v>-197.56720000000001</v>
      </c>
      <c r="K1156">
        <v>1.0996919999999999</v>
      </c>
      <c r="L1156">
        <v>362.65530000000001</v>
      </c>
      <c r="M1156">
        <v>0.72651519999999903</v>
      </c>
      <c r="N1156">
        <v>0</v>
      </c>
      <c r="O1156">
        <v>-0.68695989999999996</v>
      </c>
      <c r="P1156">
        <v>0.4202536</v>
      </c>
      <c r="Q1156">
        <v>-4.8359230000000003E-2</v>
      </c>
      <c r="R1156">
        <v>-0.90611730000000001</v>
      </c>
      <c r="S1156">
        <v>0.30764770000000002</v>
      </c>
      <c r="T1156">
        <v>-0.35436129999999999</v>
      </c>
      <c r="U1156">
        <v>-3.1631770000000001</v>
      </c>
      <c r="V1156">
        <v>0.3686585</v>
      </c>
      <c r="W1156">
        <v>-4.3010800000000002E-2</v>
      </c>
      <c r="X1156">
        <v>0.92856930000000004</v>
      </c>
      <c r="Y1156">
        <v>0.65614939999999999</v>
      </c>
      <c r="Z1156">
        <v>4.6097880000000001E-2</v>
      </c>
      <c r="AA1156">
        <v>0.75322169999999999</v>
      </c>
      <c r="AB1156">
        <v>24</v>
      </c>
      <c r="AC1156">
        <v>0.797300000000007</v>
      </c>
      <c r="AD1156">
        <v>-1.099695657444</v>
      </c>
      <c r="AE1156">
        <v>-9.6483000000000594</v>
      </c>
      <c r="AF1156">
        <v>6.3804430688916698</v>
      </c>
      <c r="AG1156">
        <v>-1.099695657444</v>
      </c>
      <c r="AH1156">
        <v>7.1163673640149598</v>
      </c>
      <c r="AI1156">
        <v>96.563399826928702</v>
      </c>
      <c r="AJ1156">
        <v>48.121007293000297</v>
      </c>
      <c r="AK1156">
        <v>9.6209182905784107</v>
      </c>
      <c r="AL1156">
        <v>92.465097799925502</v>
      </c>
      <c r="AM1156">
        <v>68.346043530883193</v>
      </c>
      <c r="AN1156">
        <v>0.99999998172068905</v>
      </c>
    </row>
    <row r="1157" spans="1:40" x14ac:dyDescent="0.3">
      <c r="A1157" t="str">
        <f>"20200111160424666"</f>
        <v>20200111160424666</v>
      </c>
      <c r="B1157" t="str">
        <f>"1578729864662069"</f>
        <v>1578729864662069</v>
      </c>
      <c r="C1157" t="s">
        <v>40</v>
      </c>
      <c r="D1157">
        <v>5.633769</v>
      </c>
      <c r="E1157">
        <v>0.63220880000000002</v>
      </c>
      <c r="F1157" t="s">
        <v>41</v>
      </c>
      <c r="G1157">
        <v>-196.51929999999999</v>
      </c>
      <c r="H1157" s="1">
        <v>-5.2184160000000003E-6</v>
      </c>
      <c r="I1157">
        <v>348.92320000000001</v>
      </c>
      <c r="J1157">
        <v>-197.46100000000001</v>
      </c>
      <c r="K1157">
        <v>1.099701</v>
      </c>
      <c r="L1157">
        <v>362.53930000000003</v>
      </c>
      <c r="M1157">
        <v>0.71908070000000002</v>
      </c>
      <c r="N1157">
        <v>0</v>
      </c>
      <c r="O1157">
        <v>-0.69473799999999997</v>
      </c>
      <c r="P1157">
        <v>0.41244009999999998</v>
      </c>
      <c r="Q1157">
        <v>-4.8307820000000001E-2</v>
      </c>
      <c r="R1157">
        <v>-0.90970309999999999</v>
      </c>
      <c r="S1157">
        <v>0.24301149999999999</v>
      </c>
      <c r="T1157">
        <v>-0.25502160000000001</v>
      </c>
      <c r="U1157">
        <v>-3.1845089999999998</v>
      </c>
      <c r="V1157">
        <v>0.36666359999999998</v>
      </c>
      <c r="W1157">
        <v>-4.2877520000000002E-2</v>
      </c>
      <c r="X1157">
        <v>0.929365</v>
      </c>
      <c r="Y1157">
        <v>0.66392769999999901</v>
      </c>
      <c r="Z1157">
        <v>3.358767E-2</v>
      </c>
      <c r="AA1157">
        <v>0.74704209999999904</v>
      </c>
      <c r="AB1157">
        <v>24</v>
      </c>
      <c r="AC1157">
        <v>0.94169999999999698</v>
      </c>
      <c r="AD1157">
        <v>-1.099706218416</v>
      </c>
      <c r="AE1157">
        <v>-13.616099999999999</v>
      </c>
      <c r="AF1157">
        <v>9.0790962841179397</v>
      </c>
      <c r="AG1157">
        <v>-1.099706218416</v>
      </c>
      <c r="AH1157">
        <v>10.072717220721</v>
      </c>
      <c r="AI1157">
        <v>94.636298155866001</v>
      </c>
      <c r="AJ1157">
        <v>47.969916622284998</v>
      </c>
      <c r="AK1157">
        <v>13.6051084270474</v>
      </c>
      <c r="AL1157">
        <v>92.457454346033899</v>
      </c>
      <c r="AM1157">
        <v>68.469212880356693</v>
      </c>
      <c r="AN1157">
        <v>0.999999990255655</v>
      </c>
    </row>
    <row r="1158" spans="1:40" x14ac:dyDescent="0.3">
      <c r="A1158" t="str">
        <f>"20200111160424685"</f>
        <v>20200111160424685</v>
      </c>
      <c r="B1158" t="str">
        <f>"1578729864681589"</f>
        <v>1578729864681589</v>
      </c>
      <c r="C1158" t="s">
        <v>40</v>
      </c>
      <c r="D1158">
        <v>5.6294849999999999</v>
      </c>
      <c r="E1158">
        <v>0.63067010000000001</v>
      </c>
      <c r="F1158" t="s">
        <v>47</v>
      </c>
      <c r="G1158">
        <v>-196.59909999999999</v>
      </c>
      <c r="H1158" s="1">
        <v>-3.656277E-6</v>
      </c>
      <c r="I1158">
        <v>353.07990000000001</v>
      </c>
      <c r="J1158">
        <v>-197.32650000000001</v>
      </c>
      <c r="K1158">
        <v>1.0997189999999999</v>
      </c>
      <c r="L1158">
        <v>362.38830000000002</v>
      </c>
      <c r="M1158">
        <v>0.70938650000000003</v>
      </c>
      <c r="N1158">
        <v>0</v>
      </c>
      <c r="O1158">
        <v>-0.70463369999999903</v>
      </c>
      <c r="P1158">
        <v>0.40391519999999997</v>
      </c>
      <c r="Q1158">
        <v>-4.7552450000000003E-2</v>
      </c>
      <c r="R1158">
        <v>-0.91355980000000003</v>
      </c>
      <c r="S1158">
        <v>0.28688049999999998</v>
      </c>
      <c r="T1158">
        <v>-0.36600549999999998</v>
      </c>
      <c r="U1158">
        <v>-3.148285</v>
      </c>
      <c r="V1158">
        <v>0.36252960000000001</v>
      </c>
      <c r="W1158">
        <v>-4.1963599999999997E-2</v>
      </c>
      <c r="X1158">
        <v>0.9310271</v>
      </c>
      <c r="Y1158">
        <v>0.64209179999999999</v>
      </c>
      <c r="Z1158">
        <v>5.1473650000000003E-2</v>
      </c>
      <c r="AA1158">
        <v>0.76489779999999996</v>
      </c>
      <c r="AB1158">
        <v>24</v>
      </c>
      <c r="AC1158">
        <v>0.72740000000001703</v>
      </c>
      <c r="AD1158">
        <v>-1.0997226562769999</v>
      </c>
      <c r="AE1158">
        <v>-9.3084000000000007</v>
      </c>
      <c r="AF1158">
        <v>6.0081497887060502</v>
      </c>
      <c r="AG1158">
        <v>-1.0997226562769999</v>
      </c>
      <c r="AH1158">
        <v>6.9791257511435996</v>
      </c>
      <c r="AI1158">
        <v>96.809897371518005</v>
      </c>
      <c r="AJ1158">
        <v>49.275686277038297</v>
      </c>
      <c r="AK1158">
        <v>9.2744514691993096</v>
      </c>
      <c r="AL1158">
        <v>92.405043244330798</v>
      </c>
      <c r="AM1158">
        <v>68.724721505846901</v>
      </c>
      <c r="AN1158">
        <v>1.0000000577677599</v>
      </c>
    </row>
    <row r="1159" spans="1:40" x14ac:dyDescent="0.3">
      <c r="A1159" t="str">
        <f>"20200111160424708"</f>
        <v>20200111160424708</v>
      </c>
      <c r="B1159" t="str">
        <f>"1578729864702085"</f>
        <v>1578729864702085</v>
      </c>
      <c r="C1159" t="s">
        <v>40</v>
      </c>
      <c r="D1159">
        <v>5.5085870000000003</v>
      </c>
      <c r="E1159">
        <v>0.62886140000000001</v>
      </c>
      <c r="F1159" t="s">
        <v>47</v>
      </c>
      <c r="G1159">
        <v>-196.51259999999999</v>
      </c>
      <c r="H1159" s="1">
        <v>-3.5214729999999898E-6</v>
      </c>
      <c r="I1159">
        <v>352.85019999999997</v>
      </c>
      <c r="J1159">
        <v>-197.16370000000001</v>
      </c>
      <c r="K1159">
        <v>1.099747</v>
      </c>
      <c r="L1159">
        <v>362.19920000000002</v>
      </c>
      <c r="M1159">
        <v>0.69721789999999995</v>
      </c>
      <c r="N1159">
        <v>0</v>
      </c>
      <c r="O1159">
        <v>-0.71667619999999999</v>
      </c>
      <c r="P1159">
        <v>0.3926115</v>
      </c>
      <c r="Q1159">
        <v>-4.6070090000000001E-2</v>
      </c>
      <c r="R1159">
        <v>-0.91854999999999998</v>
      </c>
      <c r="S1159">
        <v>0.2684937</v>
      </c>
      <c r="T1159">
        <v>-0.36275829999999998</v>
      </c>
      <c r="U1159">
        <v>-3.146271</v>
      </c>
      <c r="V1159">
        <v>0.3581722</v>
      </c>
      <c r="W1159">
        <v>-4.0308589999999998E-2</v>
      </c>
      <c r="X1159">
        <v>0.93278499999999998</v>
      </c>
      <c r="Y1159">
        <v>0.63337860000000001</v>
      </c>
      <c r="Z1159">
        <v>5.346654E-2</v>
      </c>
      <c r="AA1159">
        <v>0.77199289999999998</v>
      </c>
      <c r="AB1159">
        <v>24</v>
      </c>
      <c r="AC1159">
        <v>0.651100000000013</v>
      </c>
      <c r="AD1159">
        <v>-1.0997505214729999</v>
      </c>
      <c r="AE1159">
        <v>-9.3490000000000393</v>
      </c>
      <c r="AF1159">
        <v>5.9702419441255197</v>
      </c>
      <c r="AG1159">
        <v>-1.0997505214729999</v>
      </c>
      <c r="AH1159">
        <v>7.05791074569954</v>
      </c>
      <c r="AI1159">
        <v>96.784289581885403</v>
      </c>
      <c r="AJ1159">
        <v>49.772330359716001</v>
      </c>
      <c r="AK1159">
        <v>9.3095297504834704</v>
      </c>
      <c r="AL1159">
        <v>92.310137994120296</v>
      </c>
      <c r="AM1159">
        <v>68.994133448698605</v>
      </c>
      <c r="AN1159">
        <v>0.99999998175281302</v>
      </c>
    </row>
    <row r="1160" spans="1:40" x14ac:dyDescent="0.3">
      <c r="A1160" t="str">
        <f>"20200111160424722"</f>
        <v>20200111160424722</v>
      </c>
      <c r="B1160" t="str">
        <f>"1578729864711845"</f>
        <v>1578729864711845</v>
      </c>
      <c r="C1160" t="s">
        <v>40</v>
      </c>
      <c r="D1160">
        <v>5.498005</v>
      </c>
      <c r="E1160">
        <v>0.62844990000000001</v>
      </c>
      <c r="F1160" t="s">
        <v>47</v>
      </c>
      <c r="G1160">
        <v>-196.40889999999999</v>
      </c>
      <c r="H1160" s="1">
        <v>-3.2818690000000001E-6</v>
      </c>
      <c r="I1160">
        <v>352.41969999999998</v>
      </c>
      <c r="J1160">
        <v>-197.06</v>
      </c>
      <c r="K1160">
        <v>1.099766</v>
      </c>
      <c r="L1160">
        <v>362.07580000000002</v>
      </c>
      <c r="M1160">
        <v>0.68925199999999998</v>
      </c>
      <c r="N1160">
        <v>0</v>
      </c>
      <c r="O1160">
        <v>-0.7243406</v>
      </c>
      <c r="P1160">
        <v>0.38467000000000001</v>
      </c>
      <c r="Q1160">
        <v>-4.5638020000000001E-2</v>
      </c>
      <c r="R1160">
        <v>-0.92192549999999995</v>
      </c>
      <c r="S1160">
        <v>0.2426758</v>
      </c>
      <c r="T1160">
        <v>-0.35362199999999999</v>
      </c>
      <c r="U1160">
        <v>-3.1445620000000001</v>
      </c>
      <c r="V1160">
        <v>0.35593900000000001</v>
      </c>
      <c r="W1160">
        <v>-3.9784170000000001E-2</v>
      </c>
      <c r="X1160">
        <v>0.93366199999999999</v>
      </c>
      <c r="Y1160">
        <v>0.63112669999999904</v>
      </c>
      <c r="Z1160">
        <v>5.3491160000000003E-2</v>
      </c>
      <c r="AA1160">
        <v>0.773833199999999</v>
      </c>
      <c r="AB1160">
        <v>24</v>
      </c>
      <c r="AC1160">
        <v>0.651100000000013</v>
      </c>
      <c r="AD1160">
        <v>-1.0997692818689999</v>
      </c>
      <c r="AE1160">
        <v>-9.6561000000000305</v>
      </c>
      <c r="AF1160">
        <v>6.1058344054512403</v>
      </c>
      <c r="AG1160">
        <v>-1.0997692818689999</v>
      </c>
      <c r="AH1160">
        <v>7.3491537320961502</v>
      </c>
      <c r="AI1160">
        <v>96.566025373495705</v>
      </c>
      <c r="AJ1160">
        <v>50.279471192936001</v>
      </c>
      <c r="AK1160">
        <v>9.6177318967684702</v>
      </c>
      <c r="AL1160">
        <v>92.280066682768606</v>
      </c>
      <c r="AM1160">
        <v>69.131704369012695</v>
      </c>
      <c r="AN1160">
        <v>1.0000000410737899</v>
      </c>
    </row>
    <row r="1161" spans="1:40" x14ac:dyDescent="0.3">
      <c r="A1161" t="str">
        <f>"20200111160424743"</f>
        <v>20200111160424743</v>
      </c>
      <c r="B1161" t="str">
        <f>"1578729864731365"</f>
        <v>1578729864731365</v>
      </c>
      <c r="C1161" t="s">
        <v>40</v>
      </c>
      <c r="D1161">
        <v>5.4968979999999998</v>
      </c>
      <c r="E1161">
        <v>0.62752629999999998</v>
      </c>
      <c r="F1161" t="s">
        <v>47</v>
      </c>
      <c r="G1161">
        <v>-196.3767</v>
      </c>
      <c r="H1161" s="1">
        <v>-3.181371E-6</v>
      </c>
      <c r="I1161">
        <v>352.23419999999999</v>
      </c>
      <c r="J1161">
        <v>-196.92750000000001</v>
      </c>
      <c r="K1161">
        <v>1.0998000000000001</v>
      </c>
      <c r="L1161">
        <v>361.91329999999999</v>
      </c>
      <c r="M1161">
        <v>0.67874799999999902</v>
      </c>
      <c r="N1161">
        <v>0</v>
      </c>
      <c r="O1161">
        <v>-0.73419259999999997</v>
      </c>
      <c r="P1161">
        <v>0.37565310000000002</v>
      </c>
      <c r="Q1161">
        <v>-4.4617209999999997E-2</v>
      </c>
      <c r="R1161">
        <v>-0.92568589999999995</v>
      </c>
      <c r="S1161">
        <v>0.21841430000000001</v>
      </c>
      <c r="T1161">
        <v>-0.35150120000000001</v>
      </c>
      <c r="U1161">
        <v>-3.145508</v>
      </c>
      <c r="V1161">
        <v>0.3516687</v>
      </c>
      <c r="W1161">
        <v>-3.8598750000000001E-2</v>
      </c>
      <c r="X1161">
        <v>0.93532839999999995</v>
      </c>
      <c r="Y1161">
        <v>0.62593369999999904</v>
      </c>
      <c r="Z1161">
        <v>5.4974000000000002E-2</v>
      </c>
      <c r="AA1161">
        <v>0.77793630000000003</v>
      </c>
      <c r="AB1161">
        <v>24</v>
      </c>
      <c r="AC1161">
        <v>0.55080000000000895</v>
      </c>
      <c r="AD1161">
        <v>-1.0998031813709901</v>
      </c>
      <c r="AE1161">
        <v>-9.6791</v>
      </c>
      <c r="AF1161">
        <v>6.0877403307004796</v>
      </c>
      <c r="AG1161">
        <v>-1.0998031813709901</v>
      </c>
      <c r="AH1161">
        <v>7.3861052909470599</v>
      </c>
      <c r="AI1161">
        <v>96.554711099790296</v>
      </c>
      <c r="AJ1161">
        <v>50.5041340242297</v>
      </c>
      <c r="AK1161">
        <v>9.6345576307761593</v>
      </c>
      <c r="AL1161">
        <v>92.212095039130503</v>
      </c>
      <c r="AM1161">
        <v>69.394532543694694</v>
      </c>
      <c r="AN1161">
        <v>0.99999997695390597</v>
      </c>
    </row>
    <row r="1162" spans="1:40" x14ac:dyDescent="0.3">
      <c r="A1162" t="str">
        <f>"20200111160424763"</f>
        <v>20200111160424763</v>
      </c>
      <c r="B1162" t="str">
        <f>"1578729864751861"</f>
        <v>1578729864751861</v>
      </c>
      <c r="C1162" t="s">
        <v>40</v>
      </c>
      <c r="D1162">
        <v>5.5891659999999996</v>
      </c>
      <c r="E1162">
        <v>0.62628329999999999</v>
      </c>
      <c r="F1162" t="s">
        <v>47</v>
      </c>
      <c r="G1162">
        <v>-196.27780000000001</v>
      </c>
      <c r="H1162" s="1">
        <v>-2.6939359999999999E-6</v>
      </c>
      <c r="I1162">
        <v>351.33190000000002</v>
      </c>
      <c r="J1162">
        <v>-196.78710000000001</v>
      </c>
      <c r="K1162">
        <v>1.099834</v>
      </c>
      <c r="L1162">
        <v>361.73599999999999</v>
      </c>
      <c r="M1162">
        <v>0.66725749999999995</v>
      </c>
      <c r="N1162">
        <v>0</v>
      </c>
      <c r="O1162">
        <v>-0.74465049999999999</v>
      </c>
      <c r="P1162">
        <v>0.36559360000000002</v>
      </c>
      <c r="Q1162">
        <v>-4.4369760000000001E-2</v>
      </c>
      <c r="R1162">
        <v>-0.92971630000000005</v>
      </c>
      <c r="S1162">
        <v>0.19319149999999999</v>
      </c>
      <c r="T1162">
        <v>-0.3270554</v>
      </c>
      <c r="U1162">
        <v>-3.1466669999999999</v>
      </c>
      <c r="V1162">
        <v>0.34729480000000001</v>
      </c>
      <c r="W1162">
        <v>-3.818332E-2</v>
      </c>
      <c r="X1162">
        <v>0.93697830000000004</v>
      </c>
      <c r="Y1162">
        <v>0.62011359999999904</v>
      </c>
      <c r="Z1162">
        <v>5.2974819999999999E-2</v>
      </c>
      <c r="AA1162">
        <v>0.78272140000000001</v>
      </c>
      <c r="AB1162">
        <v>24</v>
      </c>
      <c r="AC1162">
        <v>0.50929999999999598</v>
      </c>
      <c r="AD1162">
        <v>-1.099836693936</v>
      </c>
      <c r="AE1162">
        <v>-10.4040999999999</v>
      </c>
      <c r="AF1162">
        <v>6.4914580563243902</v>
      </c>
      <c r="AG1162">
        <v>-1.099836693936</v>
      </c>
      <c r="AH1162">
        <v>7.99913978224075</v>
      </c>
      <c r="AI1162">
        <v>96.093958237384797</v>
      </c>
      <c r="AJ1162">
        <v>50.939996044058297</v>
      </c>
      <c r="AK1162">
        <v>10.360256063735701</v>
      </c>
      <c r="AL1162">
        <v>92.188275065338203</v>
      </c>
      <c r="AM1162">
        <v>69.662571567412698</v>
      </c>
      <c r="AN1162">
        <v>0.99999998935207601</v>
      </c>
    </row>
    <row r="1163" spans="1:40" x14ac:dyDescent="0.3">
      <c r="A1163" t="str">
        <f>"20200111160424778"</f>
        <v>20200111160424778</v>
      </c>
      <c r="B1163" t="str">
        <f>"1578729864771381"</f>
        <v>1578729864771381</v>
      </c>
      <c r="C1163" t="s">
        <v>40</v>
      </c>
      <c r="D1163">
        <v>5.5425610000000001</v>
      </c>
      <c r="E1163">
        <v>0.62507360000000001</v>
      </c>
      <c r="F1163" t="s">
        <v>47</v>
      </c>
      <c r="G1163">
        <v>-196.20920000000001</v>
      </c>
      <c r="H1163" s="1">
        <v>-2.418922E-6</v>
      </c>
      <c r="I1163">
        <v>350.8981</v>
      </c>
      <c r="J1163">
        <v>-196.69</v>
      </c>
      <c r="K1163">
        <v>1.099864</v>
      </c>
      <c r="L1163">
        <v>361.60939999999999</v>
      </c>
      <c r="M1163">
        <v>0.65905080000000005</v>
      </c>
      <c r="N1163">
        <v>0</v>
      </c>
      <c r="O1163">
        <v>-0.75192369999999897</v>
      </c>
      <c r="P1163">
        <v>0.35740529999999998</v>
      </c>
      <c r="Q1163">
        <v>-4.4327709999999999E-2</v>
      </c>
      <c r="R1163">
        <v>-0.93289690000000003</v>
      </c>
      <c r="S1163">
        <v>0.1677246</v>
      </c>
      <c r="T1163">
        <v>-0.31921850000000002</v>
      </c>
      <c r="U1163">
        <v>-3.1455989999999998</v>
      </c>
      <c r="V1163">
        <v>0.34526289999999998</v>
      </c>
      <c r="W1163">
        <v>-3.8056890000000003E-2</v>
      </c>
      <c r="X1163">
        <v>0.93773410000000001</v>
      </c>
      <c r="Y1163">
        <v>0.61783889999999997</v>
      </c>
      <c r="Z1163">
        <v>5.2884899999999999E-2</v>
      </c>
      <c r="AA1163">
        <v>0.78452429999999995</v>
      </c>
      <c r="AB1163">
        <v>23</v>
      </c>
      <c r="AC1163">
        <v>0.48079999999998702</v>
      </c>
      <c r="AD1163">
        <v>-1.099866418922</v>
      </c>
      <c r="AE1163">
        <v>-10.7112999999999</v>
      </c>
      <c r="AF1163">
        <v>6.6288932353956298</v>
      </c>
      <c r="AG1163">
        <v>-1.099866418922</v>
      </c>
      <c r="AH1163">
        <v>8.2848740075167697</v>
      </c>
      <c r="AI1163">
        <v>95.918082246815203</v>
      </c>
      <c r="AJ1163">
        <v>51.336000272844501</v>
      </c>
      <c r="AK1163">
        <v>10.6672896738662</v>
      </c>
      <c r="AL1163">
        <v>92.181025824788193</v>
      </c>
      <c r="AM1163">
        <v>69.786873951939597</v>
      </c>
      <c r="AN1163">
        <v>1.00000001964784</v>
      </c>
    </row>
    <row r="1164" spans="1:40" x14ac:dyDescent="0.3">
      <c r="A1164" t="str">
        <f>"20200111160424799"</f>
        <v>20200111160424799</v>
      </c>
      <c r="B1164" t="str">
        <f>"1578729864791877"</f>
        <v>1578729864791877</v>
      </c>
      <c r="C1164" t="s">
        <v>40</v>
      </c>
      <c r="D1164">
        <v>5.624409</v>
      </c>
      <c r="E1164">
        <v>0.62393549999999998</v>
      </c>
      <c r="F1164" t="s">
        <v>47</v>
      </c>
      <c r="G1164">
        <v>-196.166</v>
      </c>
      <c r="H1164" s="1">
        <v>-2.1899419999999999E-6</v>
      </c>
      <c r="I1164">
        <v>350.53070000000002</v>
      </c>
      <c r="J1164">
        <v>-196.5523</v>
      </c>
      <c r="K1164">
        <v>1.0999030000000001</v>
      </c>
      <c r="L1164">
        <v>361.42559999999997</v>
      </c>
      <c r="M1164">
        <v>0.6471055</v>
      </c>
      <c r="N1164">
        <v>0</v>
      </c>
      <c r="O1164">
        <v>-0.76222829999999997</v>
      </c>
      <c r="P1164">
        <v>0.34650769999999997</v>
      </c>
      <c r="Q1164">
        <v>-4.4552229999999998E-2</v>
      </c>
      <c r="R1164">
        <v>-0.93698859999999995</v>
      </c>
      <c r="S1164">
        <v>0.14869689999999999</v>
      </c>
      <c r="T1164">
        <v>-0.31213079999999999</v>
      </c>
      <c r="U1164">
        <v>-3.144012</v>
      </c>
      <c r="V1164">
        <v>0.34138930000000001</v>
      </c>
      <c r="W1164">
        <v>-3.8130780000000003E-2</v>
      </c>
      <c r="X1164">
        <v>0.93914819999999999</v>
      </c>
      <c r="Y1164">
        <v>0.6101607</v>
      </c>
      <c r="Z1164">
        <v>5.3532349999999999E-2</v>
      </c>
      <c r="AA1164">
        <v>0.79046709999999998</v>
      </c>
      <c r="AB1164">
        <v>23</v>
      </c>
      <c r="AC1164">
        <v>0.38630000000000497</v>
      </c>
      <c r="AD1164">
        <v>-1.099905189942</v>
      </c>
      <c r="AE1164">
        <v>-10.8948999999999</v>
      </c>
      <c r="AF1164">
        <v>6.68850339621636</v>
      </c>
      <c r="AG1164">
        <v>-1.099905189942</v>
      </c>
      <c r="AH1164">
        <v>8.4692893780440297</v>
      </c>
      <c r="AI1164">
        <v>95.819467488687295</v>
      </c>
      <c r="AJ1164">
        <v>51.700576314307597</v>
      </c>
      <c r="AK1164">
        <v>10.847798471446101</v>
      </c>
      <c r="AL1164">
        <v>92.185262580281901</v>
      </c>
      <c r="AM1164">
        <v>70.023313187033295</v>
      </c>
      <c r="AN1164">
        <v>0.99999997605056901</v>
      </c>
    </row>
    <row r="1165" spans="1:40" x14ac:dyDescent="0.3">
      <c r="A1165" t="str">
        <f>"20200111160424821"</f>
        <v>20200111160424821</v>
      </c>
      <c r="B1165" t="str">
        <f>"1578729864811397"</f>
        <v>1578729864811397</v>
      </c>
      <c r="C1165" t="s">
        <v>40</v>
      </c>
      <c r="D1165">
        <v>5.6200929999999998</v>
      </c>
      <c r="E1165">
        <v>0.62261160000000004</v>
      </c>
      <c r="F1165" t="s">
        <v>47</v>
      </c>
      <c r="G1165">
        <v>-196.1207</v>
      </c>
      <c r="H1165" s="1">
        <v>-1.9251539999999998E-6</v>
      </c>
      <c r="I1165">
        <v>350.1037</v>
      </c>
      <c r="J1165">
        <v>-196.4126</v>
      </c>
      <c r="K1165">
        <v>1.0999490000000001</v>
      </c>
      <c r="L1165">
        <v>361.23270000000002</v>
      </c>
      <c r="M1165">
        <v>0.6345459</v>
      </c>
      <c r="N1165">
        <v>0</v>
      </c>
      <c r="O1165">
        <v>-0.77271559999999995</v>
      </c>
      <c r="P1165">
        <v>0.33553270000000002</v>
      </c>
      <c r="Q1165">
        <v>-4.4235940000000001E-2</v>
      </c>
      <c r="R1165">
        <v>-0.94098950000000003</v>
      </c>
      <c r="S1165">
        <v>0.119812</v>
      </c>
      <c r="T1165">
        <v>-0.30532379999999998</v>
      </c>
      <c r="U1165">
        <v>-3.1428530000000001</v>
      </c>
      <c r="V1165">
        <v>0.33701979999999998</v>
      </c>
      <c r="W1165">
        <v>-3.7646659999999998E-2</v>
      </c>
      <c r="X1165">
        <v>0.94074460000000004</v>
      </c>
      <c r="Y1165">
        <v>0.60445309999999997</v>
      </c>
      <c r="Z1165">
        <v>5.4084340000000002E-2</v>
      </c>
      <c r="AA1165">
        <v>0.79480269999999897</v>
      </c>
      <c r="AB1165">
        <v>23</v>
      </c>
      <c r="AC1165">
        <v>0.29189999999999799</v>
      </c>
      <c r="AD1165">
        <v>-1.0999509251540001</v>
      </c>
      <c r="AE1165">
        <v>-11.129</v>
      </c>
      <c r="AF1165">
        <v>6.7711026926270801</v>
      </c>
      <c r="AG1165">
        <v>-1.0999509251540001</v>
      </c>
      <c r="AH1165">
        <v>8.7009889022460705</v>
      </c>
      <c r="AI1165">
        <v>95.697373942725093</v>
      </c>
      <c r="AJ1165">
        <v>52.109974415670301</v>
      </c>
      <c r="AK1165">
        <v>11.079933735761101</v>
      </c>
      <c r="AL1165">
        <v>92.157504543132404</v>
      </c>
      <c r="AM1165">
        <v>70.290042344702499</v>
      </c>
      <c r="AN1165">
        <v>1.00000000951517</v>
      </c>
    </row>
    <row r="1166" spans="1:40" x14ac:dyDescent="0.3">
      <c r="A1166" t="str">
        <f>"20200111160424842"</f>
        <v>20200111160424842</v>
      </c>
      <c r="B1166" t="str">
        <f>"1578729864831893"</f>
        <v>1578729864831893</v>
      </c>
      <c r="C1166" t="s">
        <v>40</v>
      </c>
      <c r="D1166">
        <v>5.6280580000000002</v>
      </c>
      <c r="E1166">
        <v>0.621112199999999</v>
      </c>
      <c r="F1166" t="s">
        <v>47</v>
      </c>
      <c r="G1166">
        <v>-196.0813</v>
      </c>
      <c r="H1166" s="1">
        <v>-1.9093449999999998E-6</v>
      </c>
      <c r="I1166">
        <v>350.09480000000002</v>
      </c>
      <c r="J1166">
        <v>-196.28319999999999</v>
      </c>
      <c r="K1166">
        <v>1.0999939999999999</v>
      </c>
      <c r="L1166">
        <v>361.048</v>
      </c>
      <c r="M1166">
        <v>0.62250859999999997</v>
      </c>
      <c r="N1166">
        <v>0</v>
      </c>
      <c r="O1166">
        <v>-0.78244539999999996</v>
      </c>
      <c r="P1166">
        <v>0.32538080000000003</v>
      </c>
      <c r="Q1166">
        <v>-4.4121939999999998E-2</v>
      </c>
      <c r="R1166">
        <v>-0.94455310000000003</v>
      </c>
      <c r="S1166">
        <v>9.341431E-2</v>
      </c>
      <c r="T1166">
        <v>-0.31012509999999999</v>
      </c>
      <c r="U1166">
        <v>-3.1402890000000001</v>
      </c>
      <c r="V1166">
        <v>0.332598</v>
      </c>
      <c r="W1166">
        <v>-3.7364410000000001E-2</v>
      </c>
      <c r="X1166">
        <v>0.94232819999999995</v>
      </c>
      <c r="Y1166">
        <v>0.59876600000000002</v>
      </c>
      <c r="Z1166">
        <v>5.6582529999999999E-2</v>
      </c>
      <c r="AA1166">
        <v>0.79892280000000004</v>
      </c>
      <c r="AB1166">
        <v>23</v>
      </c>
      <c r="AC1166">
        <v>0.201899999999994</v>
      </c>
      <c r="AD1166">
        <v>-1.099995909345</v>
      </c>
      <c r="AE1166">
        <v>-10.953199999999899</v>
      </c>
      <c r="AF1166">
        <v>6.5948685978110104</v>
      </c>
      <c r="AG1166">
        <v>-1.099995909345</v>
      </c>
      <c r="AH1166">
        <v>8.6102957008238192</v>
      </c>
      <c r="AI1166">
        <v>95.791260295641905</v>
      </c>
      <c r="AJ1166">
        <v>52.550476591315203</v>
      </c>
      <c r="AK1166">
        <v>10.901351974805401</v>
      </c>
      <c r="AL1166">
        <v>92.141321480947298</v>
      </c>
      <c r="AM1166">
        <v>70.559339265377403</v>
      </c>
      <c r="AN1166">
        <v>0.99999998262694301</v>
      </c>
    </row>
    <row r="1167" spans="1:40" x14ac:dyDescent="0.3">
      <c r="A1167" t="str">
        <f>"20200111160424859"</f>
        <v>20200111160424859</v>
      </c>
      <c r="B1167" t="str">
        <f>"1578729864851413"</f>
        <v>1578729864851413</v>
      </c>
      <c r="C1167" t="s">
        <v>40</v>
      </c>
      <c r="D1167">
        <v>5.6325269999999996</v>
      </c>
      <c r="E1167">
        <v>0.60309630000000003</v>
      </c>
      <c r="F1167" t="s">
        <v>47</v>
      </c>
      <c r="G1167">
        <v>-196.03139999999999</v>
      </c>
      <c r="H1167" s="1">
        <v>-1.7666209999999999E-6</v>
      </c>
      <c r="I1167">
        <v>349.87599999999998</v>
      </c>
      <c r="J1167">
        <v>-196.18469999999999</v>
      </c>
      <c r="K1167">
        <v>1.100034</v>
      </c>
      <c r="L1167">
        <v>360.90260000000001</v>
      </c>
      <c r="M1167">
        <v>0.61304080000000005</v>
      </c>
      <c r="N1167">
        <v>0</v>
      </c>
      <c r="O1167">
        <v>-0.78988539999999996</v>
      </c>
      <c r="P1167">
        <v>0.31631859999999901</v>
      </c>
      <c r="Q1167">
        <v>-4.4054019999999999E-2</v>
      </c>
      <c r="R1167">
        <v>-0.94762970000000002</v>
      </c>
      <c r="S1167">
        <v>7.0724490000000001E-2</v>
      </c>
      <c r="T1167">
        <v>-0.30890659999999998</v>
      </c>
      <c r="U1167">
        <v>-3.1373600000000001</v>
      </c>
      <c r="V1167">
        <v>0.33028420000000003</v>
      </c>
      <c r="W1167">
        <v>-3.7199879999999998E-2</v>
      </c>
      <c r="X1167">
        <v>0.94314819999999999</v>
      </c>
      <c r="Y1167">
        <v>0.59488160000000001</v>
      </c>
      <c r="Z1167">
        <v>5.7622279999999998E-2</v>
      </c>
      <c r="AA1167">
        <v>0.80174540000000005</v>
      </c>
      <c r="AB1167">
        <v>23</v>
      </c>
      <c r="AC1167">
        <v>0.15330000000000099</v>
      </c>
      <c r="AD1167">
        <v>-1.1000357666210001</v>
      </c>
      <c r="AE1167">
        <v>-11.0266</v>
      </c>
      <c r="AF1167">
        <v>6.5741201835922896</v>
      </c>
      <c r="AG1167">
        <v>-1.1000357666210001</v>
      </c>
      <c r="AH1167">
        <v>8.7181330749919201</v>
      </c>
      <c r="AI1167">
        <v>95.752850379664196</v>
      </c>
      <c r="AJ1167">
        <v>52.980992207920799</v>
      </c>
      <c r="AK1167">
        <v>10.9742871836593</v>
      </c>
      <c r="AL1167">
        <v>92.131887999059501</v>
      </c>
      <c r="AM1167">
        <v>70.700086708919301</v>
      </c>
      <c r="AN1167">
        <v>1.0000000055024401</v>
      </c>
    </row>
    <row r="1168" spans="1:40" x14ac:dyDescent="0.3">
      <c r="A1168" t="str">
        <f>"20200111160424877"</f>
        <v>20200111160424877</v>
      </c>
      <c r="B1168" t="str">
        <f>"1578729864871910"</f>
        <v>1578729864871910</v>
      </c>
      <c r="C1168" t="s">
        <v>40</v>
      </c>
      <c r="D1168">
        <v>5.5805569999999998</v>
      </c>
      <c r="E1168">
        <v>0.60261969999999898</v>
      </c>
      <c r="F1168" t="s">
        <v>47</v>
      </c>
      <c r="G1168">
        <v>-195.61019999999999</v>
      </c>
      <c r="H1168" s="1">
        <v>-2.318304E-6</v>
      </c>
      <c r="I1168">
        <v>350.99740000000003</v>
      </c>
      <c r="J1168">
        <v>-196.07570000000001</v>
      </c>
      <c r="K1168">
        <v>1.1000760000000001</v>
      </c>
      <c r="L1168">
        <v>360.73759999999999</v>
      </c>
      <c r="M1168">
        <v>0.60229480000000002</v>
      </c>
      <c r="N1168">
        <v>0</v>
      </c>
      <c r="O1168">
        <v>-0.79810959999999997</v>
      </c>
      <c r="P1168">
        <v>0.30775530000000001</v>
      </c>
      <c r="Q1168">
        <v>-4.4695560000000002E-2</v>
      </c>
      <c r="R1168">
        <v>-0.95041520000000002</v>
      </c>
      <c r="S1168">
        <v>0.17922969999999999</v>
      </c>
      <c r="T1168">
        <v>-0.34316859999999999</v>
      </c>
      <c r="U1168">
        <v>-3.0900270000000001</v>
      </c>
      <c r="V1168">
        <v>0.32600079999999998</v>
      </c>
      <c r="W1168">
        <v>-3.7679659999999997E-2</v>
      </c>
      <c r="X1168">
        <v>0.94461830000000002</v>
      </c>
      <c r="Y1168">
        <v>0.55495760000000005</v>
      </c>
      <c r="Z1168">
        <v>6.790939E-2</v>
      </c>
      <c r="AA1168">
        <v>0.82910219999999901</v>
      </c>
      <c r="AB1168">
        <v>23</v>
      </c>
      <c r="AC1168">
        <v>0.46550000000002001</v>
      </c>
      <c r="AD1168">
        <v>-1.1000783183039999</v>
      </c>
      <c r="AE1168">
        <v>-9.7401999999999607</v>
      </c>
      <c r="AF1168">
        <v>5.4266082975847301</v>
      </c>
      <c r="AG1168">
        <v>-1.1000783183039999</v>
      </c>
      <c r="AH1168">
        <v>7.9539422491828304</v>
      </c>
      <c r="AI1168">
        <v>96.517728812346903</v>
      </c>
      <c r="AJ1168">
        <v>55.696083335306099</v>
      </c>
      <c r="AK1168">
        <v>9.6914110027979792</v>
      </c>
      <c r="AL1168">
        <v>92.159396654897094</v>
      </c>
      <c r="AM1168">
        <v>70.959739716360701</v>
      </c>
      <c r="AN1168">
        <v>1.0000000055366201</v>
      </c>
    </row>
    <row r="1169" spans="1:40" x14ac:dyDescent="0.3">
      <c r="A1169" t="str">
        <f>"20200111160424901"</f>
        <v>20200111160424901</v>
      </c>
      <c r="B1169" t="str">
        <f>"1578729864891430"</f>
        <v>1578729864891430</v>
      </c>
      <c r="C1169" t="s">
        <v>40</v>
      </c>
      <c r="D1169">
        <v>5.6653890000000002</v>
      </c>
      <c r="E1169">
        <v>0.60113070000000002</v>
      </c>
      <c r="F1169" t="s">
        <v>47</v>
      </c>
      <c r="G1169">
        <v>-195.63290000000001</v>
      </c>
      <c r="H1169" s="1">
        <v>-2.92758E-6</v>
      </c>
      <c r="I1169">
        <v>352.05759999999998</v>
      </c>
      <c r="J1169">
        <v>-195.94139999999999</v>
      </c>
      <c r="K1169">
        <v>1.1001369999999999</v>
      </c>
      <c r="L1169">
        <v>360.52760000000001</v>
      </c>
      <c r="M1169">
        <v>0.58862060000000005</v>
      </c>
      <c r="N1169">
        <v>0</v>
      </c>
      <c r="O1169">
        <v>-0.80824779999999996</v>
      </c>
      <c r="P1169">
        <v>0.29623719999999998</v>
      </c>
      <c r="Q1169">
        <v>-4.5687159999999997E-2</v>
      </c>
      <c r="R1169">
        <v>-0.95402129999999996</v>
      </c>
      <c r="S1169">
        <v>0.1575165</v>
      </c>
      <c r="T1169">
        <v>-0.39124639999999999</v>
      </c>
      <c r="U1169">
        <v>-3.0870669999999998</v>
      </c>
      <c r="V1169">
        <v>0.321299</v>
      </c>
      <c r="W1169">
        <v>-3.8487420000000001E-2</v>
      </c>
      <c r="X1169">
        <v>0.94619540000000002</v>
      </c>
      <c r="Y1169">
        <v>0.54651149999999904</v>
      </c>
      <c r="Z1169">
        <v>7.9602779999999998E-2</v>
      </c>
      <c r="AA1169">
        <v>0.8336597</v>
      </c>
      <c r="AB1169">
        <v>23</v>
      </c>
      <c r="AC1169">
        <v>0.30849999999998001</v>
      </c>
      <c r="AD1169">
        <v>-1.1001399275799999</v>
      </c>
      <c r="AE1169">
        <v>-8.4700000000000202</v>
      </c>
      <c r="AF1169">
        <v>4.6584052104116598</v>
      </c>
      <c r="AG1169">
        <v>-1.1001399275799999</v>
      </c>
      <c r="AH1169">
        <v>6.9119133420030403</v>
      </c>
      <c r="AI1169">
        <v>97.518865622479794</v>
      </c>
      <c r="AJ1169">
        <v>56.0213089048775</v>
      </c>
      <c r="AK1169">
        <v>8.4074724508621408</v>
      </c>
      <c r="AL1169">
        <v>92.205711435187396</v>
      </c>
      <c r="AM1169">
        <v>71.244084971946904</v>
      </c>
      <c r="AN1169">
        <v>1.0000000319402</v>
      </c>
    </row>
    <row r="1170" spans="1:40" x14ac:dyDescent="0.3">
      <c r="A1170" t="str">
        <f>"20200111160424925"</f>
        <v>20200111160424925</v>
      </c>
      <c r="B1170" t="str">
        <f>"1578729864921685"</f>
        <v>1578729864921685</v>
      </c>
      <c r="C1170" t="s">
        <v>40</v>
      </c>
      <c r="D1170">
        <v>5.650118</v>
      </c>
      <c r="E1170">
        <v>0.59382789999999996</v>
      </c>
      <c r="F1170" t="s">
        <v>47</v>
      </c>
      <c r="G1170">
        <v>-195.59030000000001</v>
      </c>
      <c r="H1170" s="1">
        <v>-3.077639E-6</v>
      </c>
      <c r="I1170">
        <v>352.37459999999999</v>
      </c>
      <c r="J1170">
        <v>-195.80510000000001</v>
      </c>
      <c r="K1170">
        <v>1.100209</v>
      </c>
      <c r="L1170">
        <v>360.3064</v>
      </c>
      <c r="M1170">
        <v>0.57423590000000002</v>
      </c>
      <c r="N1170">
        <v>0</v>
      </c>
      <c r="O1170">
        <v>-0.8185306</v>
      </c>
      <c r="P1170">
        <v>0.28387020000000002</v>
      </c>
      <c r="Q1170">
        <v>-4.6882630000000002E-2</v>
      </c>
      <c r="R1170">
        <v>-0.95771580000000001</v>
      </c>
      <c r="S1170">
        <v>0.1327972</v>
      </c>
      <c r="T1170">
        <v>-0.41606939999999998</v>
      </c>
      <c r="U1170">
        <v>-3.083466</v>
      </c>
      <c r="V1170">
        <v>0.3167528</v>
      </c>
      <c r="W1170">
        <v>-3.9499069999999997E-2</v>
      </c>
      <c r="X1170">
        <v>0.94768540000000001</v>
      </c>
      <c r="Y1170">
        <v>0.53830009999999995</v>
      </c>
      <c r="Z1170">
        <v>8.7054729999999997E-2</v>
      </c>
      <c r="AA1170">
        <v>0.83824489999999996</v>
      </c>
      <c r="AB1170">
        <v>23</v>
      </c>
      <c r="AC1170">
        <v>0.21479999999999599</v>
      </c>
      <c r="AD1170">
        <v>-1.1002120776389901</v>
      </c>
      <c r="AE1170">
        <v>-7.9318000000000097</v>
      </c>
      <c r="AF1170">
        <v>4.2968631644562301</v>
      </c>
      <c r="AG1170">
        <v>-1.1002120776389901</v>
      </c>
      <c r="AH1170">
        <v>6.4918174565819298</v>
      </c>
      <c r="AI1170">
        <v>98.043999485573806</v>
      </c>
      <c r="AJ1170">
        <v>56.499859311140398</v>
      </c>
      <c r="AK1170">
        <v>7.8623910841057398</v>
      </c>
      <c r="AL1170">
        <v>92.263718752164493</v>
      </c>
      <c r="AM1170">
        <v>71.518395822876599</v>
      </c>
      <c r="AN1170">
        <v>1.00000006510593</v>
      </c>
    </row>
    <row r="1171" spans="1:40" x14ac:dyDescent="0.3">
      <c r="A1171" t="str">
        <f>"20200111160424943"</f>
        <v>20200111160424943</v>
      </c>
      <c r="B1171" t="str">
        <f>"1578729864931445"</f>
        <v>1578729864931445</v>
      </c>
      <c r="C1171" t="s">
        <v>40</v>
      </c>
      <c r="D1171">
        <v>5.6350290000000003</v>
      </c>
      <c r="E1171">
        <v>0.59531540000000005</v>
      </c>
      <c r="F1171" t="s">
        <v>49</v>
      </c>
      <c r="G1171">
        <v>-178.84379999999999</v>
      </c>
      <c r="H1171">
        <v>12.94491</v>
      </c>
      <c r="I1171">
        <v>-81.819459999999907</v>
      </c>
      <c r="J1171">
        <v>-195.703</v>
      </c>
      <c r="K1171">
        <v>1.1002809999999901</v>
      </c>
      <c r="L1171">
        <v>360.13459999999998</v>
      </c>
      <c r="M1171">
        <v>0.56310660000000001</v>
      </c>
      <c r="N1171">
        <v>0</v>
      </c>
      <c r="O1171">
        <v>-0.82622689999999999</v>
      </c>
      <c r="P1171">
        <v>0.27556360000000002</v>
      </c>
      <c r="Q1171">
        <v>-4.7582430000000002E-2</v>
      </c>
      <c r="R1171">
        <v>-0.96010469999999903</v>
      </c>
      <c r="S1171">
        <v>0.1189728</v>
      </c>
      <c r="T1171">
        <v>8.3082909999999996E-2</v>
      </c>
      <c r="U1171">
        <v>-3.1012270000000002</v>
      </c>
      <c r="V1171">
        <v>0.312108</v>
      </c>
      <c r="W1171">
        <v>-4.001975E-2</v>
      </c>
      <c r="X1171">
        <v>0.94920340000000003</v>
      </c>
      <c r="Y1171">
        <v>0.53107859999999996</v>
      </c>
      <c r="Z1171">
        <v>-1.778155E-2</v>
      </c>
      <c r="AA1171">
        <v>0.847136</v>
      </c>
      <c r="AB1171">
        <v>23</v>
      </c>
      <c r="AC1171">
        <v>16.859200000000001</v>
      </c>
      <c r="AD1171">
        <v>11.844628999999999</v>
      </c>
      <c r="AE1171">
        <v>-441.95406000000003</v>
      </c>
      <c r="AF1171">
        <v>234.799874225959</v>
      </c>
      <c r="AG1171">
        <v>11.844628999999999</v>
      </c>
      <c r="AH1171">
        <v>374.42803574095899</v>
      </c>
      <c r="AI1171">
        <v>88.464822359467206</v>
      </c>
      <c r="AJ1171">
        <v>57.908608880442799</v>
      </c>
      <c r="AK1171">
        <v>442.11721310248402</v>
      </c>
      <c r="AL1171">
        <v>92.293575184195404</v>
      </c>
      <c r="AM1171">
        <v>71.798594527818693</v>
      </c>
      <c r="AN1171">
        <v>1.0000000393128099</v>
      </c>
    </row>
    <row r="1172" spans="1:40" x14ac:dyDescent="0.3">
      <c r="A1172" t="str">
        <f>"20200111160424965"</f>
        <v>20200111160424965</v>
      </c>
      <c r="B1172" t="str">
        <f>"1578729864961702"</f>
        <v>1578729864961702</v>
      </c>
      <c r="C1172" t="s">
        <v>40</v>
      </c>
      <c r="D1172">
        <v>5.6726049999999999</v>
      </c>
      <c r="E1172">
        <v>0.59010699999999905</v>
      </c>
      <c r="F1172" t="s">
        <v>49</v>
      </c>
      <c r="G1172">
        <v>-183.87610000000001</v>
      </c>
      <c r="H1172">
        <v>7.4375960000000001</v>
      </c>
      <c r="I1172">
        <v>-81.817629999999994</v>
      </c>
      <c r="J1172">
        <v>-195.58789999999999</v>
      </c>
      <c r="K1172">
        <v>1.100368</v>
      </c>
      <c r="L1172">
        <v>359.93430000000001</v>
      </c>
      <c r="M1172">
        <v>0.55017059999999995</v>
      </c>
      <c r="N1172">
        <v>0</v>
      </c>
      <c r="O1172">
        <v>-0.834896999999999</v>
      </c>
      <c r="P1172">
        <v>0.26523099999999999</v>
      </c>
      <c r="Q1172">
        <v>-4.8273330000000003E-2</v>
      </c>
      <c r="R1172">
        <v>-0.9629759</v>
      </c>
      <c r="S1172">
        <v>8.3038329999999994E-2</v>
      </c>
      <c r="T1172">
        <v>4.4495460000000001E-2</v>
      </c>
      <c r="U1172">
        <v>-3.103027</v>
      </c>
      <c r="V1172">
        <v>0.30749759999999998</v>
      </c>
      <c r="W1172">
        <v>-4.0528540000000002E-2</v>
      </c>
      <c r="X1172">
        <v>0.95068540000000001</v>
      </c>
      <c r="Y1172">
        <v>0.52770479999999997</v>
      </c>
      <c r="Z1172">
        <v>-9.7177619999999996E-3</v>
      </c>
      <c r="AA1172">
        <v>0.84937220000000002</v>
      </c>
      <c r="AB1172">
        <v>23</v>
      </c>
      <c r="AC1172">
        <v>11.711799999999901</v>
      </c>
      <c r="AD1172">
        <v>6.3372279999999996</v>
      </c>
      <c r="AE1172">
        <v>-441.75192999999899</v>
      </c>
      <c r="AF1172">
        <v>233.24305973136001</v>
      </c>
      <c r="AG1172">
        <v>6.3372279999999996</v>
      </c>
      <c r="AH1172">
        <v>375.23234516539497</v>
      </c>
      <c r="AI1172">
        <v>89.178229673401106</v>
      </c>
      <c r="AJ1172">
        <v>58.135066315196497</v>
      </c>
      <c r="AK1172">
        <v>441.86174107959698</v>
      </c>
      <c r="AL1172">
        <v>92.322750388085794</v>
      </c>
      <c r="AM1172">
        <v>72.076286062641003</v>
      </c>
      <c r="AN1172">
        <v>1.00000003316672</v>
      </c>
    </row>
    <row r="1173" spans="1:40" x14ac:dyDescent="0.3">
      <c r="A1173" t="str">
        <f>"20200111160424989"</f>
        <v>20200111160424989</v>
      </c>
      <c r="B1173" t="str">
        <f>"1578729864982197"</f>
        <v>1578729864982197</v>
      </c>
      <c r="C1173" t="s">
        <v>40</v>
      </c>
      <c r="D1173">
        <v>5.7054529999999897</v>
      </c>
      <c r="E1173">
        <v>0.58824750000000003</v>
      </c>
      <c r="F1173" t="s">
        <v>47</v>
      </c>
      <c r="G1173">
        <v>-195.26990000000001</v>
      </c>
      <c r="H1173" s="1">
        <v>-2.5392199999999999E-6</v>
      </c>
      <c r="I1173">
        <v>351.52359999999999</v>
      </c>
      <c r="J1173">
        <v>-195.4676</v>
      </c>
      <c r="K1173">
        <v>1.100476</v>
      </c>
      <c r="L1173">
        <v>359.71690000000001</v>
      </c>
      <c r="M1173">
        <v>0.53620579999999995</v>
      </c>
      <c r="N1173">
        <v>0</v>
      </c>
      <c r="O1173">
        <v>-0.84393430000000003</v>
      </c>
      <c r="P1173">
        <v>0.25364370000000003</v>
      </c>
      <c r="Q1173">
        <v>-4.7996240000000003E-2</v>
      </c>
      <c r="R1173">
        <v>-0.96610660000000004</v>
      </c>
      <c r="S1173">
        <v>0.11581420000000001</v>
      </c>
      <c r="T1173">
        <v>-0.40078150000000001</v>
      </c>
      <c r="U1173">
        <v>-3.0633849999999998</v>
      </c>
      <c r="V1173">
        <v>0.30312860000000003</v>
      </c>
      <c r="W1173">
        <v>-4.0067129999999999E-2</v>
      </c>
      <c r="X1173">
        <v>0.95210700000000004</v>
      </c>
      <c r="Y1173">
        <v>0.50384980000000001</v>
      </c>
      <c r="Z1173">
        <v>9.0701190000000001E-2</v>
      </c>
      <c r="AA1173">
        <v>0.85901609999999995</v>
      </c>
      <c r="AB1173">
        <v>23</v>
      </c>
      <c r="AC1173">
        <v>0.19769999999999699</v>
      </c>
      <c r="AD1173">
        <v>-1.1004785392200001</v>
      </c>
      <c r="AE1173">
        <v>-8.1933000000000202</v>
      </c>
      <c r="AF1173">
        <v>4.1521325684921297</v>
      </c>
      <c r="AG1173">
        <v>-1.1004785392200001</v>
      </c>
      <c r="AH1173">
        <v>6.8971664237737498</v>
      </c>
      <c r="AI1173">
        <v>97.783879042380804</v>
      </c>
      <c r="AJ1173">
        <v>58.951825282645203</v>
      </c>
      <c r="AK1173">
        <v>8.1254023013540007</v>
      </c>
      <c r="AL1173">
        <v>92.296292055733801</v>
      </c>
      <c r="AM1173">
        <v>72.339741582869493</v>
      </c>
      <c r="AN1173">
        <v>1.0000000312466899</v>
      </c>
    </row>
    <row r="1174" spans="1:40" x14ac:dyDescent="0.3">
      <c r="A1174" t="str">
        <f>"20200111160425011"</f>
        <v>20200111160425011</v>
      </c>
      <c r="B1174" t="str">
        <f>"1578729865001717"</f>
        <v>1578729865001717</v>
      </c>
      <c r="C1174" t="s">
        <v>40</v>
      </c>
      <c r="D1174">
        <v>5.7493019999999904</v>
      </c>
      <c r="E1174">
        <v>0.58615209999999995</v>
      </c>
      <c r="F1174" t="s">
        <v>47</v>
      </c>
      <c r="G1174">
        <v>-195.21600000000001</v>
      </c>
      <c r="H1174" s="1">
        <v>-2.5152780000000001E-6</v>
      </c>
      <c r="I1174">
        <v>351.50740000000002</v>
      </c>
      <c r="J1174">
        <v>-195.35319999999999</v>
      </c>
      <c r="K1174">
        <v>1.10059</v>
      </c>
      <c r="L1174">
        <v>359.50229999999999</v>
      </c>
      <c r="M1174">
        <v>0.522505</v>
      </c>
      <c r="N1174">
        <v>0</v>
      </c>
      <c r="O1174">
        <v>-0.85248519999999905</v>
      </c>
      <c r="P1174">
        <v>0.24258859999999999</v>
      </c>
      <c r="Q1174">
        <v>-4.7516200000000001E-2</v>
      </c>
      <c r="R1174">
        <v>-0.96896490000000002</v>
      </c>
      <c r="S1174">
        <v>9.3811039999999998E-2</v>
      </c>
      <c r="T1174">
        <v>-0.41022259999999999</v>
      </c>
      <c r="U1174">
        <v>-3.0602420000000001</v>
      </c>
      <c r="V1174">
        <v>0.2986644</v>
      </c>
      <c r="W1174">
        <v>-3.9402029999999998E-2</v>
      </c>
      <c r="X1174">
        <v>0.95354450000000002</v>
      </c>
      <c r="Y1174">
        <v>0.49603140000000001</v>
      </c>
      <c r="Z1174">
        <v>9.4879679999999994E-2</v>
      </c>
      <c r="AA1174">
        <v>0.86310520000000002</v>
      </c>
      <c r="AB1174">
        <v>23</v>
      </c>
      <c r="AC1174">
        <v>0.13720000000000701</v>
      </c>
      <c r="AD1174">
        <v>-1.1005925152779901</v>
      </c>
      <c r="AE1174">
        <v>-7.9948999999999701</v>
      </c>
      <c r="AF1174">
        <v>3.9854323455944898</v>
      </c>
      <c r="AG1174">
        <v>-1.1005925152779901</v>
      </c>
      <c r="AH1174">
        <v>6.7600382762581699</v>
      </c>
      <c r="AI1174">
        <v>97.983613797070902</v>
      </c>
      <c r="AJ1174">
        <v>59.478198754721603</v>
      </c>
      <c r="AK1174">
        <v>7.9242092578674601</v>
      </c>
      <c r="AL1174">
        <v>92.258154520789503</v>
      </c>
      <c r="AM1174">
        <v>72.608663406938803</v>
      </c>
      <c r="AN1174">
        <v>1.0000000286378601</v>
      </c>
    </row>
    <row r="1175" spans="1:40" x14ac:dyDescent="0.3">
      <c r="A1175" t="str">
        <f>"20200111160425033"</f>
        <v>20200111160425033</v>
      </c>
      <c r="B1175" t="str">
        <f>"1578729865022213"</f>
        <v>1578729865022213</v>
      </c>
      <c r="C1175" t="s">
        <v>40</v>
      </c>
      <c r="D1175">
        <v>5.6667069999999997</v>
      </c>
      <c r="E1175">
        <v>0.5846633</v>
      </c>
      <c r="F1175" t="s">
        <v>47</v>
      </c>
      <c r="G1175">
        <v>-195.15530000000001</v>
      </c>
      <c r="H1175" s="1">
        <v>-2.5445259999999998E-6</v>
      </c>
      <c r="I1175">
        <v>351.584</v>
      </c>
      <c r="J1175">
        <v>-195.24680000000001</v>
      </c>
      <c r="K1175">
        <v>1.1007129999999901</v>
      </c>
      <c r="L1175">
        <v>359.2953</v>
      </c>
      <c r="M1175">
        <v>0.50937349999999904</v>
      </c>
      <c r="N1175">
        <v>0</v>
      </c>
      <c r="O1175">
        <v>-0.86039669999999902</v>
      </c>
      <c r="P1175">
        <v>0.2366943</v>
      </c>
      <c r="Q1175">
        <v>-4.7026699999999998E-2</v>
      </c>
      <c r="R1175">
        <v>-0.97044580000000003</v>
      </c>
      <c r="S1175">
        <v>7.6370240000000006E-2</v>
      </c>
      <c r="T1175">
        <v>-0.42477730000000002</v>
      </c>
      <c r="U1175">
        <v>-3.0560909999999999</v>
      </c>
      <c r="V1175">
        <v>0.2898714</v>
      </c>
      <c r="W1175">
        <v>-3.8605149999999998E-2</v>
      </c>
      <c r="X1175">
        <v>0.95628670000000005</v>
      </c>
      <c r="Y1175">
        <v>0.48759419999999998</v>
      </c>
      <c r="Z1175">
        <v>0.1002633</v>
      </c>
      <c r="AA1175">
        <v>0.86729419999999902</v>
      </c>
      <c r="AB1175">
        <v>23</v>
      </c>
      <c r="AC1175">
        <v>9.1499999999996307E-2</v>
      </c>
      <c r="AD1175">
        <v>-1.10071554452599</v>
      </c>
      <c r="AE1175">
        <v>-7.7112999999999898</v>
      </c>
      <c r="AF1175">
        <v>3.7728383689177898</v>
      </c>
      <c r="AG1175">
        <v>-1.10071554452599</v>
      </c>
      <c r="AH1175">
        <v>6.5488278710543097</v>
      </c>
      <c r="AI1175">
        <v>98.286200243188205</v>
      </c>
      <c r="AJ1175">
        <v>60.053370300534603</v>
      </c>
      <c r="AK1175">
        <v>7.6376063365845903</v>
      </c>
      <c r="AL1175">
        <v>92.212461911747894</v>
      </c>
      <c r="AM1175">
        <v>73.136796898486907</v>
      </c>
      <c r="AN1175">
        <v>1.0000000193706799</v>
      </c>
    </row>
    <row r="1176" spans="1:40" x14ac:dyDescent="0.3">
      <c r="A1176" t="str">
        <f>"20200111160425055"</f>
        <v>20200111160425055</v>
      </c>
      <c r="B1176" t="str">
        <f>"1578729865051493"</f>
        <v>1578729865051493</v>
      </c>
      <c r="C1176" t="s">
        <v>40</v>
      </c>
      <c r="D1176">
        <v>5.6341999999999999</v>
      </c>
      <c r="E1176">
        <v>0.58230850000000001</v>
      </c>
      <c r="F1176" t="s">
        <v>47</v>
      </c>
      <c r="G1176">
        <v>-195.0694</v>
      </c>
      <c r="H1176" s="1">
        <v>-2.498228E-6</v>
      </c>
      <c r="I1176">
        <v>351.54450000000003</v>
      </c>
      <c r="J1176">
        <v>-195.1472</v>
      </c>
      <c r="K1176">
        <v>1.1008439999999999</v>
      </c>
      <c r="L1176">
        <v>359.09429999999998</v>
      </c>
      <c r="M1176">
        <v>0.49673990000000001</v>
      </c>
      <c r="N1176">
        <v>0</v>
      </c>
      <c r="O1176">
        <v>-0.86775259999999999</v>
      </c>
      <c r="P1176">
        <v>0.22721420000000001</v>
      </c>
      <c r="Q1176">
        <v>-4.6633679999999997E-2</v>
      </c>
      <c r="R1176">
        <v>-0.97272780000000003</v>
      </c>
      <c r="S1176">
        <v>6.9885249999999996E-2</v>
      </c>
      <c r="T1176">
        <v>-0.43360929999999998</v>
      </c>
      <c r="U1176">
        <v>-3.0533139999999999</v>
      </c>
      <c r="V1176">
        <v>0.2852518</v>
      </c>
      <c r="W1176">
        <v>-3.8024580000000002E-2</v>
      </c>
      <c r="X1176">
        <v>0.95769800000000005</v>
      </c>
      <c r="Y1176">
        <v>0.47663529999999998</v>
      </c>
      <c r="Z1176">
        <v>0.1043651</v>
      </c>
      <c r="AA1176">
        <v>0.872884199999999</v>
      </c>
      <c r="AB1176">
        <v>23</v>
      </c>
      <c r="AC1176">
        <v>7.7799999999996303E-2</v>
      </c>
      <c r="AD1176">
        <v>-1.100846498228</v>
      </c>
      <c r="AE1176">
        <v>-7.5497999999999399</v>
      </c>
      <c r="AF1176">
        <v>3.6065741528948201</v>
      </c>
      <c r="AG1176">
        <v>-1.100846498228</v>
      </c>
      <c r="AH1176">
        <v>6.4536488629109998</v>
      </c>
      <c r="AI1176">
        <v>98.469296464209407</v>
      </c>
      <c r="AJ1176">
        <v>60.801679674435903</v>
      </c>
      <c r="AK1176">
        <v>7.4745450549677104</v>
      </c>
      <c r="AL1176">
        <v>92.179173390278706</v>
      </c>
      <c r="AM1176">
        <v>73.413757427170495</v>
      </c>
      <c r="AN1176">
        <v>0.99999995864570701</v>
      </c>
    </row>
    <row r="1177" spans="1:40" x14ac:dyDescent="0.3">
      <c r="A1177" t="str">
        <f>"20200111160425078"</f>
        <v>20200111160425078</v>
      </c>
      <c r="B1177" t="str">
        <f>"1578729865071989"</f>
        <v>1578729865071989</v>
      </c>
      <c r="C1177" t="s">
        <v>40</v>
      </c>
      <c r="D1177">
        <v>5.4302260000000002</v>
      </c>
      <c r="E1177">
        <v>0.58224049999999905</v>
      </c>
      <c r="F1177" t="s">
        <v>47</v>
      </c>
      <c r="G1177">
        <v>-194.99889999999999</v>
      </c>
      <c r="H1177" s="1">
        <v>-2.3849709999999999E-6</v>
      </c>
      <c r="I1177">
        <v>351.38479999999998</v>
      </c>
      <c r="J1177">
        <v>-195.041</v>
      </c>
      <c r="K1177">
        <v>1.1010040000000001</v>
      </c>
      <c r="L1177">
        <v>358.8725</v>
      </c>
      <c r="M1177">
        <v>0.4829464</v>
      </c>
      <c r="N1177">
        <v>0</v>
      </c>
      <c r="O1177">
        <v>-0.87550530000000004</v>
      </c>
      <c r="P1177">
        <v>0.2161189</v>
      </c>
      <c r="Q1177">
        <v>-4.5581139999999999E-2</v>
      </c>
      <c r="R1177">
        <v>-0.97530269999999997</v>
      </c>
      <c r="S1177">
        <v>5.8639530000000002E-2</v>
      </c>
      <c r="T1177">
        <v>-0.43543589999999999</v>
      </c>
      <c r="U1177">
        <v>-3.0494690000000002</v>
      </c>
      <c r="V1177">
        <v>0.28106989999999998</v>
      </c>
      <c r="W1177">
        <v>-3.6785289999999998E-2</v>
      </c>
      <c r="X1177">
        <v>0.95898209999999995</v>
      </c>
      <c r="Y1177">
        <v>0.46590890000000001</v>
      </c>
      <c r="Z1177">
        <v>0.1069611</v>
      </c>
      <c r="AA1177">
        <v>0.87834409999999896</v>
      </c>
      <c r="AB1177">
        <v>23</v>
      </c>
      <c r="AC1177">
        <v>4.2100000000004897E-2</v>
      </c>
      <c r="AD1177">
        <v>-1.1010063849709999</v>
      </c>
      <c r="AE1177">
        <v>-7.48770000000001</v>
      </c>
      <c r="AF1177">
        <v>3.5039936142078099</v>
      </c>
      <c r="AG1177">
        <v>-1.1010063849709999</v>
      </c>
      <c r="AH1177">
        <v>6.4375027856896603</v>
      </c>
      <c r="AI1177">
        <v>98.543024092986599</v>
      </c>
      <c r="AJ1177">
        <v>61.440129583835002</v>
      </c>
      <c r="AK1177">
        <v>7.4115874429111397</v>
      </c>
      <c r="AL1177">
        <v>92.1081173628193</v>
      </c>
      <c r="AM1177">
        <v>73.664565649350294</v>
      </c>
      <c r="AN1177">
        <v>1.0000000571834</v>
      </c>
    </row>
    <row r="1178" spans="1:40" x14ac:dyDescent="0.3">
      <c r="A1178" t="str">
        <f>"20200111160425101"</f>
        <v>20200111160425101</v>
      </c>
      <c r="B1178" t="str">
        <f>"1578729865091509"</f>
        <v>1578729865091509</v>
      </c>
      <c r="C1178" t="s">
        <v>40</v>
      </c>
      <c r="D1178">
        <v>5.3470870000000001</v>
      </c>
      <c r="E1178">
        <v>0.58294140000000005</v>
      </c>
      <c r="F1178" t="s">
        <v>47</v>
      </c>
      <c r="G1178">
        <v>-194.9785</v>
      </c>
      <c r="H1178" s="1">
        <v>-2.0004599999999999E-6</v>
      </c>
      <c r="I1178">
        <v>350.74439999999998</v>
      </c>
      <c r="J1178">
        <v>-194.9402</v>
      </c>
      <c r="K1178">
        <v>1.101191</v>
      </c>
      <c r="L1178">
        <v>358.65350000000001</v>
      </c>
      <c r="M1178">
        <v>0.46951569999999998</v>
      </c>
      <c r="N1178">
        <v>0</v>
      </c>
      <c r="O1178">
        <v>-0.88278159999999894</v>
      </c>
      <c r="P1178">
        <v>0.2048507</v>
      </c>
      <c r="Q1178">
        <v>-4.3952070000000003E-2</v>
      </c>
      <c r="R1178">
        <v>-0.97780630000000002</v>
      </c>
      <c r="S1178">
        <v>2.3468019999999999E-2</v>
      </c>
      <c r="T1178">
        <v>-0.4133444</v>
      </c>
      <c r="U1178">
        <v>-3.0514830000000002</v>
      </c>
      <c r="V1178">
        <v>0.27757379999999998</v>
      </c>
      <c r="W1178">
        <v>-3.4983930000000003E-2</v>
      </c>
      <c r="X1178">
        <v>0.96006720000000001</v>
      </c>
      <c r="Y1178">
        <v>0.46255960000000002</v>
      </c>
      <c r="Z1178">
        <v>0.1031208</v>
      </c>
      <c r="AA1178">
        <v>0.88057070000000004</v>
      </c>
      <c r="AB1178">
        <v>23</v>
      </c>
      <c r="AC1178">
        <v>-3.8299999999992403E-2</v>
      </c>
      <c r="AD1178">
        <v>-1.1011930004599999</v>
      </c>
      <c r="AE1178">
        <v>-7.90910000000002</v>
      </c>
      <c r="AF1178">
        <v>3.6764610868187702</v>
      </c>
      <c r="AG1178">
        <v>-1.1011930004599999</v>
      </c>
      <c r="AH1178">
        <v>6.8324557622832804</v>
      </c>
      <c r="AI1178">
        <v>98.077949625509703</v>
      </c>
      <c r="AJ1178">
        <v>61.715847322332699</v>
      </c>
      <c r="AK1178">
        <v>7.8365454053883203</v>
      </c>
      <c r="AL1178">
        <v>92.004840508863197</v>
      </c>
      <c r="AM1178">
        <v>73.874406463178502</v>
      </c>
      <c r="AN1178">
        <v>1.00000005916026</v>
      </c>
    </row>
    <row r="1179" spans="1:40" x14ac:dyDescent="0.3">
      <c r="A1179" t="str">
        <f>"20200111160425125"</f>
        <v>20200111160425125</v>
      </c>
      <c r="B1179" t="str">
        <f>"1578729865121766"</f>
        <v>1578729865121766</v>
      </c>
      <c r="C1179" t="s">
        <v>40</v>
      </c>
      <c r="D1179">
        <v>5.3577760000000003</v>
      </c>
      <c r="E1179">
        <v>0.58339540000000001</v>
      </c>
      <c r="F1179" t="s">
        <v>47</v>
      </c>
      <c r="G1179">
        <v>-194.99170000000001</v>
      </c>
      <c r="H1179" s="1">
        <v>-1.543931E-6</v>
      </c>
      <c r="I1179">
        <v>349.96719999999999</v>
      </c>
      <c r="J1179">
        <v>-194.84</v>
      </c>
      <c r="K1179">
        <v>1.1014200000000001</v>
      </c>
      <c r="L1179">
        <v>358.4273</v>
      </c>
      <c r="M1179">
        <v>0.45587739999999999</v>
      </c>
      <c r="N1179">
        <v>0</v>
      </c>
      <c r="O1179">
        <v>-0.88990239999999998</v>
      </c>
      <c r="P1179">
        <v>0.19320770000000001</v>
      </c>
      <c r="Q1179">
        <v>-4.4224550000000001E-2</v>
      </c>
      <c r="R1179">
        <v>-0.98016080000000005</v>
      </c>
      <c r="S1179">
        <v>-1.8112179999999999E-2</v>
      </c>
      <c r="T1179">
        <v>-0.38722659999999998</v>
      </c>
      <c r="U1179">
        <v>-3.0544739999999999</v>
      </c>
      <c r="V1179">
        <v>0.27422560000000001</v>
      </c>
      <c r="W1179">
        <v>-3.5081069999999999E-2</v>
      </c>
      <c r="X1179">
        <v>0.96102529999999997</v>
      </c>
      <c r="Y1179">
        <v>0.46095530000000001</v>
      </c>
      <c r="Z1179">
        <v>9.7979060000000007E-2</v>
      </c>
      <c r="AA1179">
        <v>0.881997899999999</v>
      </c>
      <c r="AB1179">
        <v>23</v>
      </c>
      <c r="AC1179">
        <v>-0.151700000000005</v>
      </c>
      <c r="AD1179">
        <v>-1.101421543931</v>
      </c>
      <c r="AE1179">
        <v>-8.4601000000000095</v>
      </c>
      <c r="AF1179">
        <v>3.9257467391705898</v>
      </c>
      <c r="AG1179">
        <v>-1.101421543931</v>
      </c>
      <c r="AH1179">
        <v>7.3361338758026298</v>
      </c>
      <c r="AI1179">
        <v>97.540675885056302</v>
      </c>
      <c r="AJ1179">
        <v>61.847662406767299</v>
      </c>
      <c r="AK1179">
        <v>8.3930612485101594</v>
      </c>
      <c r="AL1179">
        <v>92.010409769679399</v>
      </c>
      <c r="AM1179">
        <v>74.074066443524003</v>
      </c>
      <c r="AN1179">
        <v>0.99999999420389696</v>
      </c>
    </row>
    <row r="1180" spans="1:40" x14ac:dyDescent="0.3">
      <c r="A1180" t="str">
        <f>"20200111160425146"</f>
        <v>20200111160425146</v>
      </c>
      <c r="B1180" t="str">
        <f>"1578729865142262"</f>
        <v>1578729865142262</v>
      </c>
      <c r="C1180" t="s">
        <v>40</v>
      </c>
      <c r="D1180">
        <v>5.3501399999999997</v>
      </c>
      <c r="E1180">
        <v>0.58337879999999998</v>
      </c>
      <c r="F1180" t="s">
        <v>41</v>
      </c>
      <c r="G1180">
        <v>-195.01939999999999</v>
      </c>
      <c r="H1180" s="1">
        <v>-5.0283410000000003E-6</v>
      </c>
      <c r="I1180">
        <v>349.14640000000003</v>
      </c>
      <c r="J1180">
        <v>-194.75450000000001</v>
      </c>
      <c r="K1180">
        <v>1.101629</v>
      </c>
      <c r="L1180">
        <v>358.22719999999998</v>
      </c>
      <c r="M1180">
        <v>0.44404690000000002</v>
      </c>
      <c r="N1180">
        <v>0</v>
      </c>
      <c r="O1180">
        <v>-0.89586520000000003</v>
      </c>
      <c r="P1180">
        <v>0.18434159999999999</v>
      </c>
      <c r="Q1180">
        <v>-4.5511940000000001E-2</v>
      </c>
      <c r="R1180">
        <v>-0.98180809999999996</v>
      </c>
      <c r="S1180">
        <v>-5.9097289999999997E-2</v>
      </c>
      <c r="T1180">
        <v>-0.36267860000000002</v>
      </c>
      <c r="U1180">
        <v>-3.0560299999999998</v>
      </c>
      <c r="V1180">
        <v>0.27014189999999999</v>
      </c>
      <c r="W1180">
        <v>-3.6179450000000002E-2</v>
      </c>
      <c r="X1180">
        <v>0.96214060000000001</v>
      </c>
      <c r="Y1180">
        <v>0.46106520000000001</v>
      </c>
      <c r="Z1180">
        <v>9.2826420000000007E-2</v>
      </c>
      <c r="AA1180">
        <v>0.88249769999999905</v>
      </c>
      <c r="AB1180">
        <v>23</v>
      </c>
      <c r="AC1180">
        <v>-0.26489999999998298</v>
      </c>
      <c r="AD1180">
        <v>-1.101634028341</v>
      </c>
      <c r="AE1180">
        <v>-9.0807999999999502</v>
      </c>
      <c r="AF1180">
        <v>4.2082637049722003</v>
      </c>
      <c r="AG1180">
        <v>-1.101634028341</v>
      </c>
      <c r="AH1180">
        <v>7.9023368913632499</v>
      </c>
      <c r="AI1180">
        <v>97.0147677433431</v>
      </c>
      <c r="AJ1180">
        <v>61.963177548713503</v>
      </c>
      <c r="AK1180">
        <v>9.0205326498819307</v>
      </c>
      <c r="AL1180">
        <v>92.073382146651696</v>
      </c>
      <c r="AM1180">
        <v>74.316758410024093</v>
      </c>
      <c r="AN1180">
        <v>1.0000000664531301</v>
      </c>
    </row>
    <row r="1181" spans="1:40" x14ac:dyDescent="0.3">
      <c r="A1181" t="str">
        <f>"20200111160425168"</f>
        <v>20200111160425168</v>
      </c>
      <c r="B1181" t="str">
        <f>"1578729865161781"</f>
        <v>1578729865161781</v>
      </c>
      <c r="C1181" t="s">
        <v>40</v>
      </c>
      <c r="D1181">
        <v>5.2363039999999996</v>
      </c>
      <c r="E1181">
        <v>0.58294569999999901</v>
      </c>
      <c r="F1181" t="s">
        <v>41</v>
      </c>
      <c r="G1181">
        <v>-195.03020000000001</v>
      </c>
      <c r="H1181" s="1">
        <v>-4.8542379999999998E-6</v>
      </c>
      <c r="I1181">
        <v>348.62920000000003</v>
      </c>
      <c r="J1181">
        <v>-194.66220000000001</v>
      </c>
      <c r="K1181">
        <v>1.1018559999999999</v>
      </c>
      <c r="L1181">
        <v>358.00310000000002</v>
      </c>
      <c r="M1181">
        <v>0.43103629999999998</v>
      </c>
      <c r="N1181">
        <v>0</v>
      </c>
      <c r="O1181">
        <v>-0.90219859999999996</v>
      </c>
      <c r="P1181">
        <v>0.17527029999999999</v>
      </c>
      <c r="Q1181">
        <v>-4.7131340000000001E-2</v>
      </c>
      <c r="R1181">
        <v>-0.98339180000000004</v>
      </c>
      <c r="S1181">
        <v>-8.7783810000000004E-2</v>
      </c>
      <c r="T1181">
        <v>-0.35073919999999997</v>
      </c>
      <c r="U1181">
        <v>-3.0558169999999998</v>
      </c>
      <c r="V1181">
        <v>0.26505269999999997</v>
      </c>
      <c r="W1181">
        <v>-3.7586260000000003E-2</v>
      </c>
      <c r="X1181">
        <v>0.9635011</v>
      </c>
      <c r="Y1181">
        <v>0.45652670000000001</v>
      </c>
      <c r="Z1181">
        <v>9.1009270000000003E-2</v>
      </c>
      <c r="AA1181">
        <v>0.88504280000000002</v>
      </c>
      <c r="AB1181">
        <v>23</v>
      </c>
      <c r="AC1181">
        <v>-0.367999999999995</v>
      </c>
      <c r="AD1181">
        <v>-1.101860854238</v>
      </c>
      <c r="AE1181">
        <v>-9.3738999999999901</v>
      </c>
      <c r="AF1181">
        <v>4.3135286580195702</v>
      </c>
      <c r="AG1181">
        <v>-1.101860854238</v>
      </c>
      <c r="AH1181">
        <v>8.1865768457103592</v>
      </c>
      <c r="AI1181">
        <v>96.790550741103502</v>
      </c>
      <c r="AJ1181">
        <v>62.215137044882098</v>
      </c>
      <c r="AK1181">
        <v>9.3188340084143206</v>
      </c>
      <c r="AL1181">
        <v>92.154041414791806</v>
      </c>
      <c r="AM1181">
        <v>74.618778861092594</v>
      </c>
      <c r="AN1181">
        <v>1.00000001520964</v>
      </c>
    </row>
    <row r="1182" spans="1:40" x14ac:dyDescent="0.3">
      <c r="A1182" t="str">
        <f>"20200111160425191"</f>
        <v>20200111160425191</v>
      </c>
      <c r="B1182" t="str">
        <f>"1578729865182278"</f>
        <v>1578729865182278</v>
      </c>
      <c r="C1182" t="s">
        <v>40</v>
      </c>
      <c r="D1182">
        <v>5.2841839999999998</v>
      </c>
      <c r="E1182">
        <v>0.5747949</v>
      </c>
      <c r="F1182" t="s">
        <v>41</v>
      </c>
      <c r="G1182">
        <v>-195.03700000000001</v>
      </c>
      <c r="H1182" s="1">
        <v>-4.6401080000000001E-6</v>
      </c>
      <c r="I1182">
        <v>347.99639999999999</v>
      </c>
      <c r="J1182">
        <v>-194.577</v>
      </c>
      <c r="K1182">
        <v>1.1020730000000001</v>
      </c>
      <c r="L1182">
        <v>357.7885</v>
      </c>
      <c r="M1182">
        <v>0.41882380000000002</v>
      </c>
      <c r="N1182">
        <v>0</v>
      </c>
      <c r="O1182">
        <v>-0.90793330000000005</v>
      </c>
      <c r="P1182">
        <v>0.1665625</v>
      </c>
      <c r="Q1182">
        <v>-4.7618609999999999E-2</v>
      </c>
      <c r="R1182">
        <v>-0.98488050000000005</v>
      </c>
      <c r="S1182">
        <v>-0.1144104</v>
      </c>
      <c r="T1182">
        <v>-0.3363872</v>
      </c>
      <c r="U1182">
        <v>-3.054932</v>
      </c>
      <c r="V1182">
        <v>0.2605768</v>
      </c>
      <c r="W1182">
        <v>-3.7887089999999998E-2</v>
      </c>
      <c r="X1182">
        <v>0.96470940000000005</v>
      </c>
      <c r="Y1182">
        <v>0.45226179999999999</v>
      </c>
      <c r="Z1182">
        <v>8.8392269999999995E-2</v>
      </c>
      <c r="AA1182">
        <v>0.88749429999999996</v>
      </c>
      <c r="AB1182">
        <v>23</v>
      </c>
      <c r="AC1182">
        <v>-0.46000000000000801</v>
      </c>
      <c r="AD1182">
        <v>-1.1020776401079999</v>
      </c>
      <c r="AE1182">
        <v>-9.7920999999999996</v>
      </c>
      <c r="AF1182">
        <v>4.4629570182325899</v>
      </c>
      <c r="AG1182">
        <v>-1.1020776401079999</v>
      </c>
      <c r="AH1182">
        <v>8.5904002305846205</v>
      </c>
      <c r="AI1182">
        <v>96.494851257145896</v>
      </c>
      <c r="AJ1182">
        <v>62.546841225375502</v>
      </c>
      <c r="AK1182">
        <v>9.7430763413331594</v>
      </c>
      <c r="AL1182">
        <v>92.171290102412897</v>
      </c>
      <c r="AM1182">
        <v>74.884598125204406</v>
      </c>
      <c r="AN1182">
        <v>0.99999996336763297</v>
      </c>
    </row>
    <row r="1183" spans="1:40" x14ac:dyDescent="0.3">
      <c r="A1183" t="str">
        <f>"20200111160425214"</f>
        <v>20200111160425214</v>
      </c>
      <c r="B1183" t="str">
        <f>"1578729865211557"</f>
        <v>1578729865211557</v>
      </c>
      <c r="C1183" t="s">
        <v>40</v>
      </c>
      <c r="D1183">
        <v>5.3412920000000002</v>
      </c>
      <c r="E1183">
        <v>0.57560219999999995</v>
      </c>
      <c r="F1183" t="s">
        <v>41</v>
      </c>
      <c r="G1183">
        <v>-195.1387</v>
      </c>
      <c r="H1183" s="1">
        <v>-4.7733840000000003E-6</v>
      </c>
      <c r="I1183">
        <v>338.33510000000001</v>
      </c>
      <c r="J1183">
        <v>-194.4897</v>
      </c>
      <c r="K1183">
        <v>1.102304</v>
      </c>
      <c r="L1183">
        <v>357.56049999999999</v>
      </c>
      <c r="M1183">
        <v>0.40615699999999999</v>
      </c>
      <c r="N1183">
        <v>0</v>
      </c>
      <c r="O1183">
        <v>-0.91367129999999996</v>
      </c>
      <c r="P1183">
        <v>0.156165</v>
      </c>
      <c r="Q1183">
        <v>-4.8441659999999997E-2</v>
      </c>
      <c r="R1183">
        <v>-0.98654229999999998</v>
      </c>
      <c r="S1183">
        <v>-8.8134770000000001E-2</v>
      </c>
      <c r="T1183">
        <v>-0.17293349999999999</v>
      </c>
      <c r="U1183">
        <v>-3.0525509999999998</v>
      </c>
      <c r="V1183">
        <v>0.25732569999999999</v>
      </c>
      <c r="W1183">
        <v>-3.8549300000000002E-2</v>
      </c>
      <c r="X1183">
        <v>0.96555550000000001</v>
      </c>
      <c r="Y1183">
        <v>0.4323417</v>
      </c>
      <c r="Z1183">
        <v>4.6445649999999998E-2</v>
      </c>
      <c r="AA1183">
        <v>0.90051289999999995</v>
      </c>
      <c r="AB1183">
        <v>23</v>
      </c>
      <c r="AC1183">
        <v>-0.64900000000000002</v>
      </c>
      <c r="AD1183">
        <v>-1.102308773384</v>
      </c>
      <c r="AE1183">
        <v>-19.225399999999901</v>
      </c>
      <c r="AF1183">
        <v>8.3750161707276796</v>
      </c>
      <c r="AG1183">
        <v>-1.102308773384</v>
      </c>
      <c r="AH1183">
        <v>17.247552252403398</v>
      </c>
      <c r="AI1183">
        <v>93.290403389253299</v>
      </c>
      <c r="AJ1183">
        <v>64.099852747392404</v>
      </c>
      <c r="AK1183">
        <v>19.2050524391686</v>
      </c>
      <c r="AL1183">
        <v>92.209259614849998</v>
      </c>
      <c r="AM1183">
        <v>75.077212663615995</v>
      </c>
      <c r="AN1183">
        <v>0.99999999399561401</v>
      </c>
    </row>
    <row r="1184" spans="1:40" x14ac:dyDescent="0.3">
      <c r="A1184" t="str">
        <f>"20200111160425235"</f>
        <v>20200111160425235</v>
      </c>
      <c r="B1184" t="str">
        <f>"1578729865232053"</f>
        <v>1578729865232053</v>
      </c>
      <c r="C1184" t="s">
        <v>40</v>
      </c>
      <c r="D1184">
        <v>5.3522169999999996</v>
      </c>
      <c r="E1184">
        <v>0.57579069999999899</v>
      </c>
      <c r="F1184" t="s">
        <v>41</v>
      </c>
      <c r="G1184">
        <v>-195.19540000000001</v>
      </c>
      <c r="H1184" s="1">
        <v>-1.72392E-6</v>
      </c>
      <c r="I1184">
        <v>340.38529999999997</v>
      </c>
      <c r="J1184">
        <v>-194.41200000000001</v>
      </c>
      <c r="K1184">
        <v>1.1025419999999999</v>
      </c>
      <c r="L1184">
        <v>357.35050000000001</v>
      </c>
      <c r="M1184">
        <v>0.39482220000000001</v>
      </c>
      <c r="N1184">
        <v>0</v>
      </c>
      <c r="O1184">
        <v>-0.91862739999999998</v>
      </c>
      <c r="P1184">
        <v>0.14875160000000001</v>
      </c>
      <c r="Q1184">
        <v>-5.1050390000000001E-2</v>
      </c>
      <c r="R1184">
        <v>-0.98755630000000005</v>
      </c>
      <c r="S1184">
        <v>-0.12536620000000001</v>
      </c>
      <c r="T1184">
        <v>-0.19582269999999999</v>
      </c>
      <c r="U1184">
        <v>-3.0511469999999998</v>
      </c>
      <c r="V1184">
        <v>0.25255250000000001</v>
      </c>
      <c r="W1184">
        <v>-4.0963199999999998E-2</v>
      </c>
      <c r="X1184">
        <v>0.96671569999999996</v>
      </c>
      <c r="Y1184">
        <v>0.43214999999999998</v>
      </c>
      <c r="Z1184">
        <v>5.305675E-2</v>
      </c>
      <c r="AA1184">
        <v>0.90023960000000003</v>
      </c>
      <c r="AB1184">
        <v>23</v>
      </c>
      <c r="AC1184">
        <v>-0.78339999999999999</v>
      </c>
      <c r="AD1184">
        <v>-1.10254372392</v>
      </c>
      <c r="AE1184">
        <v>-16.965199999999999</v>
      </c>
      <c r="AF1184">
        <v>7.3876419728095897</v>
      </c>
      <c r="AG1184">
        <v>-1.10254372392</v>
      </c>
      <c r="AH1184">
        <v>15.213104581362201</v>
      </c>
      <c r="AI1184">
        <v>93.730004015592797</v>
      </c>
      <c r="AJ1184">
        <v>64.0983076978724</v>
      </c>
      <c r="AK1184">
        <v>16.9479027488665</v>
      </c>
      <c r="AL1184">
        <v>92.347675355422993</v>
      </c>
      <c r="AM1184">
        <v>75.358829122691006</v>
      </c>
      <c r="AN1184">
        <v>0.99999999681848994</v>
      </c>
    </row>
    <row r="1185" spans="1:40" x14ac:dyDescent="0.3">
      <c r="A1185" t="str">
        <f>"20200111160425258"</f>
        <v>20200111160425258</v>
      </c>
      <c r="B1185" t="str">
        <f>"1578729865251574"</f>
        <v>1578729865251574</v>
      </c>
      <c r="C1185" t="s">
        <v>40</v>
      </c>
      <c r="D1185">
        <v>5.3384029999999996</v>
      </c>
      <c r="E1185">
        <v>0.57602100000000001</v>
      </c>
      <c r="F1185" t="s">
        <v>41</v>
      </c>
      <c r="G1185">
        <v>-195.17410000000001</v>
      </c>
      <c r="H1185" s="1">
        <v>-2.3040170000000001E-6</v>
      </c>
      <c r="I1185">
        <v>341.75069999999999</v>
      </c>
      <c r="J1185">
        <v>-194.33279999999999</v>
      </c>
      <c r="K1185">
        <v>1.102838</v>
      </c>
      <c r="L1185">
        <v>357.12920000000003</v>
      </c>
      <c r="M1185">
        <v>0.38326270000000001</v>
      </c>
      <c r="N1185">
        <v>0</v>
      </c>
      <c r="O1185">
        <v>-0.92351159999999999</v>
      </c>
      <c r="P1185">
        <v>0.1425469</v>
      </c>
      <c r="Q1185">
        <v>-5.394533E-2</v>
      </c>
      <c r="R1185">
        <v>-0.9883168</v>
      </c>
      <c r="S1185">
        <v>-0.14895630000000001</v>
      </c>
      <c r="T1185">
        <v>-0.21550320000000001</v>
      </c>
      <c r="U1185">
        <v>-3.0491329999999999</v>
      </c>
      <c r="V1185">
        <v>0.2464083</v>
      </c>
      <c r="W1185">
        <v>-4.3617450000000002E-2</v>
      </c>
      <c r="X1185">
        <v>0.96818409999999999</v>
      </c>
      <c r="Y1185">
        <v>0.42777929999999997</v>
      </c>
      <c r="Z1185">
        <v>5.8980079999999997E-2</v>
      </c>
      <c r="AA1185">
        <v>0.90195689999999995</v>
      </c>
      <c r="AB1185">
        <v>23</v>
      </c>
      <c r="AC1185">
        <v>-0.84130000000001803</v>
      </c>
      <c r="AD1185">
        <v>-1.1028403040170001</v>
      </c>
      <c r="AE1185">
        <v>-15.378500000000001</v>
      </c>
      <c r="AF1185">
        <v>6.6377087764129703</v>
      </c>
      <c r="AG1185">
        <v>-1.1028403040170001</v>
      </c>
      <c r="AH1185">
        <v>13.810609631057</v>
      </c>
      <c r="AI1185">
        <v>94.116662678468401</v>
      </c>
      <c r="AJ1185">
        <v>64.329949190297</v>
      </c>
      <c r="AK1185">
        <v>15.362564008591701</v>
      </c>
      <c r="AL1185">
        <v>92.499888911726003</v>
      </c>
      <c r="AM1185">
        <v>75.721047455527895</v>
      </c>
      <c r="AN1185">
        <v>0.99999999187310096</v>
      </c>
    </row>
    <row r="1186" spans="1:40" x14ac:dyDescent="0.3">
      <c r="A1186" t="str">
        <f>"20200111160425280"</f>
        <v>20200111160425280</v>
      </c>
      <c r="B1186" t="str">
        <f>"1578729865272069"</f>
        <v>1578729865272069</v>
      </c>
      <c r="C1186" t="s">
        <v>40</v>
      </c>
      <c r="D1186">
        <v>5.5441250000000002</v>
      </c>
      <c r="E1186">
        <v>0.5756599</v>
      </c>
      <c r="F1186" t="s">
        <v>41</v>
      </c>
      <c r="G1186">
        <v>-195.12039999999999</v>
      </c>
      <c r="H1186" s="1">
        <v>-2.7937999999999998E-6</v>
      </c>
      <c r="I1186">
        <v>342.92570000000001</v>
      </c>
      <c r="J1186">
        <v>-194.25569999999999</v>
      </c>
      <c r="K1186">
        <v>1.103181</v>
      </c>
      <c r="L1186">
        <v>356.90679999999998</v>
      </c>
      <c r="M1186">
        <v>0.37209379999999997</v>
      </c>
      <c r="N1186">
        <v>0</v>
      </c>
      <c r="O1186">
        <v>-0.9280697</v>
      </c>
      <c r="P1186">
        <v>0.1379937</v>
      </c>
      <c r="Q1186">
        <v>-5.5380520000000003E-2</v>
      </c>
      <c r="R1186">
        <v>-0.98888379999999998</v>
      </c>
      <c r="S1186">
        <v>-0.16896059999999999</v>
      </c>
      <c r="T1186">
        <v>-0.2365806</v>
      </c>
      <c r="U1186">
        <v>-3.0469059999999999</v>
      </c>
      <c r="V1186">
        <v>0.2391682</v>
      </c>
      <c r="W1186">
        <v>-4.4776249999999997E-2</v>
      </c>
      <c r="X1186">
        <v>0.96994519999999995</v>
      </c>
      <c r="Y1186">
        <v>0.4227765</v>
      </c>
      <c r="Z1186">
        <v>6.5371079999999998E-2</v>
      </c>
      <c r="AA1186">
        <v>0.90387309999999998</v>
      </c>
      <c r="AB1186">
        <v>23</v>
      </c>
      <c r="AC1186">
        <v>-0.86469999999999902</v>
      </c>
      <c r="AD1186">
        <v>-1.1031837938</v>
      </c>
      <c r="AE1186">
        <v>-13.9810999999999</v>
      </c>
      <c r="AF1186">
        <v>5.9684632941680098</v>
      </c>
      <c r="AG1186">
        <v>-1.1031837938</v>
      </c>
      <c r="AH1186">
        <v>12.577151481763901</v>
      </c>
      <c r="AI1186">
        <v>94.5308413937382</v>
      </c>
      <c r="AJ1186">
        <v>64.613411275416695</v>
      </c>
      <c r="AK1186">
        <v>13.9651103816608</v>
      </c>
      <c r="AL1186">
        <v>92.566348145290902</v>
      </c>
      <c r="AM1186">
        <v>76.1483788403565</v>
      </c>
      <c r="AN1186">
        <v>1.00000001572917</v>
      </c>
    </row>
    <row r="1187" spans="1:40" x14ac:dyDescent="0.3">
      <c r="A1187" t="str">
        <f>"20200111160425302"</f>
        <v>20200111160425302</v>
      </c>
      <c r="B1187" t="str">
        <f>"1578729865291589"</f>
        <v>1578729865291589</v>
      </c>
      <c r="C1187" t="s">
        <v>40</v>
      </c>
      <c r="D1187">
        <v>5.5067349999999999</v>
      </c>
      <c r="E1187">
        <v>0.5238659</v>
      </c>
      <c r="F1187" t="s">
        <v>41</v>
      </c>
      <c r="G1187">
        <v>-195.0745</v>
      </c>
      <c r="H1187" s="1">
        <v>-2.8428749999999999E-6</v>
      </c>
      <c r="I1187">
        <v>343.0686</v>
      </c>
      <c r="J1187">
        <v>-194.1848</v>
      </c>
      <c r="K1187">
        <v>1.1035330000000001</v>
      </c>
      <c r="L1187">
        <v>356.69589999999999</v>
      </c>
      <c r="M1187">
        <v>0.36194870000000001</v>
      </c>
      <c r="N1187">
        <v>0</v>
      </c>
      <c r="O1187">
        <v>-0.93207439999999997</v>
      </c>
      <c r="P1187">
        <v>0.1338329</v>
      </c>
      <c r="Q1187">
        <v>-5.7161099999999999E-2</v>
      </c>
      <c r="R1187">
        <v>-0.98935390000000001</v>
      </c>
      <c r="S1187">
        <v>-0.1801758</v>
      </c>
      <c r="T1187">
        <v>-0.24277319999999999</v>
      </c>
      <c r="U1187">
        <v>-3.0453190000000001</v>
      </c>
      <c r="V1187">
        <v>0.23264109999999999</v>
      </c>
      <c r="W1187">
        <v>-4.6299550000000002E-2</v>
      </c>
      <c r="X1187">
        <v>0.97145999999999999</v>
      </c>
      <c r="Y1187">
        <v>0.41621629999999898</v>
      </c>
      <c r="Z1187">
        <v>6.7697010000000002E-2</v>
      </c>
      <c r="AA1187">
        <v>0.90674200000000005</v>
      </c>
      <c r="AB1187">
        <v>23</v>
      </c>
      <c r="AC1187">
        <v>-0.88970000000000404</v>
      </c>
      <c r="AD1187">
        <v>-1.103535842875</v>
      </c>
      <c r="AE1187">
        <v>-13.6272999999999</v>
      </c>
      <c r="AF1187">
        <v>5.7249309378616999</v>
      </c>
      <c r="AG1187">
        <v>-1.103535842875</v>
      </c>
      <c r="AH1187">
        <v>12.3007359348835</v>
      </c>
      <c r="AI1187">
        <v>94.649940079348696</v>
      </c>
      <c r="AJ1187">
        <v>65.042086548253195</v>
      </c>
      <c r="AK1187">
        <v>13.6125210794889</v>
      </c>
      <c r="AL1187">
        <v>92.653717409569794</v>
      </c>
      <c r="AM1187">
        <v>76.532672162999603</v>
      </c>
      <c r="AN1187">
        <v>1.0000000306696999</v>
      </c>
    </row>
    <row r="1188" spans="1:40" x14ac:dyDescent="0.3">
      <c r="A1188" t="str">
        <f>"20200111160425325"</f>
        <v>20200111160425325</v>
      </c>
      <c r="B1188" t="str">
        <f>"1578729865321845"</f>
        <v>1578729865321845</v>
      </c>
      <c r="C1188" t="s">
        <v>40</v>
      </c>
      <c r="D1188">
        <v>5.2865599999999997</v>
      </c>
      <c r="E1188">
        <v>0.51930929999999997</v>
      </c>
      <c r="F1188" t="s">
        <v>41</v>
      </c>
      <c r="G1188">
        <v>-181.31200000000001</v>
      </c>
      <c r="H1188" s="1">
        <v>-4.569199E-6</v>
      </c>
      <c r="I1188">
        <v>165.5232</v>
      </c>
      <c r="J1188">
        <v>-194.1113</v>
      </c>
      <c r="K1188">
        <v>1.1039319999999999</v>
      </c>
      <c r="L1188">
        <v>356.47089999999997</v>
      </c>
      <c r="M1188">
        <v>0.35166029999999998</v>
      </c>
      <c r="N1188">
        <v>0</v>
      </c>
      <c r="O1188">
        <v>-0.93600640000000002</v>
      </c>
      <c r="P1188">
        <v>0.12955220000000001</v>
      </c>
      <c r="Q1188">
        <v>-6.0105579999999999E-2</v>
      </c>
      <c r="R1188">
        <v>-0.9897494</v>
      </c>
      <c r="S1188">
        <v>0.20227049999999999</v>
      </c>
      <c r="T1188">
        <v>-1.7339940000000002E-2</v>
      </c>
      <c r="U1188">
        <v>-3.0039060000000002</v>
      </c>
      <c r="V1188">
        <v>0.22608059999999999</v>
      </c>
      <c r="W1188">
        <v>-4.8984449999999999E-2</v>
      </c>
      <c r="X1188">
        <v>0.97287619999999997</v>
      </c>
      <c r="Y1188">
        <v>0.28801500000000002</v>
      </c>
      <c r="Z1188">
        <v>5.0933740000000003E-3</v>
      </c>
      <c r="AA1188">
        <v>0.95761229999999997</v>
      </c>
      <c r="AB1188">
        <v>23</v>
      </c>
      <c r="AC1188">
        <v>12.799299999999899</v>
      </c>
      <c r="AD1188">
        <v>-1.103936569199</v>
      </c>
      <c r="AE1188">
        <v>-190.9477</v>
      </c>
      <c r="AF1188">
        <v>55.172927036712998</v>
      </c>
      <c r="AG1188">
        <v>-1.103936569199</v>
      </c>
      <c r="AH1188">
        <v>183.24398245981001</v>
      </c>
      <c r="AI1188">
        <v>90.330512950467096</v>
      </c>
      <c r="AJ1188">
        <v>73.243478233293203</v>
      </c>
      <c r="AK1188">
        <v>191.37300661660299</v>
      </c>
      <c r="AL1188">
        <v>92.807725835911995</v>
      </c>
      <c r="AM1188">
        <v>76.917587520026004</v>
      </c>
      <c r="AN1188">
        <v>1.0000000072823001</v>
      </c>
    </row>
    <row r="1189" spans="1:40" x14ac:dyDescent="0.3">
      <c r="A1189" t="str">
        <f>"20200111160425350"</f>
        <v>20200111160425350</v>
      </c>
      <c r="B1189" t="str">
        <f>"1578729865342342"</f>
        <v>1578729865342342</v>
      </c>
      <c r="C1189" t="s">
        <v>40</v>
      </c>
      <c r="D1189">
        <v>5.3804360000000004</v>
      </c>
      <c r="E1189">
        <v>0.51741700000000002</v>
      </c>
      <c r="F1189" t="s">
        <v>41</v>
      </c>
      <c r="G1189">
        <v>-192.4014</v>
      </c>
      <c r="H1189" s="1">
        <v>-2.7689470000000001E-6</v>
      </c>
      <c r="I1189">
        <v>334.55419999999998</v>
      </c>
      <c r="J1189">
        <v>-194.0342</v>
      </c>
      <c r="K1189">
        <v>1.104352</v>
      </c>
      <c r="L1189">
        <v>356.22730000000001</v>
      </c>
      <c r="M1189">
        <v>0.34116489999999999</v>
      </c>
      <c r="N1189">
        <v>0</v>
      </c>
      <c r="O1189">
        <v>-0.93988430000000001</v>
      </c>
      <c r="P1189">
        <v>0.12470299999999999</v>
      </c>
      <c r="Q1189">
        <v>-6.2968360000000001E-2</v>
      </c>
      <c r="R1189">
        <v>-0.99019400000000002</v>
      </c>
      <c r="S1189">
        <v>0.23338320000000001</v>
      </c>
      <c r="T1189">
        <v>-0.1506739</v>
      </c>
      <c r="U1189">
        <v>-2.9913639999999999</v>
      </c>
      <c r="V1189">
        <v>0.2199083</v>
      </c>
      <c r="W1189">
        <v>-5.160501E-2</v>
      </c>
      <c r="X1189">
        <v>0.97415469999999904</v>
      </c>
      <c r="Y1189">
        <v>0.26712960000000002</v>
      </c>
      <c r="Z1189">
        <v>4.481831E-2</v>
      </c>
      <c r="AA1189">
        <v>0.96261790000000003</v>
      </c>
      <c r="AB1189">
        <v>23</v>
      </c>
      <c r="AC1189">
        <v>1.6328</v>
      </c>
      <c r="AD1189">
        <v>-1.1043547689469999</v>
      </c>
      <c r="AE1189">
        <v>-21.673100000000002</v>
      </c>
      <c r="AF1189">
        <v>5.8450238246581803</v>
      </c>
      <c r="AG1189">
        <v>-1.1043547689469999</v>
      </c>
      <c r="AH1189">
        <v>20.875708629479501</v>
      </c>
      <c r="AI1189">
        <v>92.916256773219203</v>
      </c>
      <c r="AJ1189">
        <v>74.358197893425995</v>
      </c>
      <c r="AK1189">
        <v>21.706660584931999</v>
      </c>
      <c r="AL1189">
        <v>92.958063018580006</v>
      </c>
      <c r="AM1189">
        <v>77.279120532935806</v>
      </c>
      <c r="AN1189">
        <v>1.0000000584990301</v>
      </c>
    </row>
    <row r="1190" spans="1:40" x14ac:dyDescent="0.3">
      <c r="A1190" t="str">
        <f>"20200111160425369"</f>
        <v>20200111160425369</v>
      </c>
      <c r="B1190" t="str">
        <f>"1578729865361862"</f>
        <v>1578729865361862</v>
      </c>
      <c r="C1190" t="s">
        <v>40</v>
      </c>
      <c r="D1190">
        <v>5.393281</v>
      </c>
      <c r="E1190">
        <v>0.51662669999999999</v>
      </c>
      <c r="F1190" t="s">
        <v>41</v>
      </c>
      <c r="G1190">
        <v>-192.71639999999999</v>
      </c>
      <c r="H1190" s="1">
        <v>-4.7707769999999997E-6</v>
      </c>
      <c r="I1190">
        <v>339.59</v>
      </c>
      <c r="J1190">
        <v>-193.97540000000001</v>
      </c>
      <c r="K1190">
        <v>1.1046450000000001</v>
      </c>
      <c r="L1190">
        <v>356.03710000000001</v>
      </c>
      <c r="M1190">
        <v>0.3333277</v>
      </c>
      <c r="N1190">
        <v>0</v>
      </c>
      <c r="O1190">
        <v>-0.94269360000000002</v>
      </c>
      <c r="P1190">
        <v>0.1226411</v>
      </c>
      <c r="Q1190">
        <v>-6.4544439999999995E-2</v>
      </c>
      <c r="R1190">
        <v>-0.99034990000000001</v>
      </c>
      <c r="S1190">
        <v>0.2366028</v>
      </c>
      <c r="T1190">
        <v>-0.1982921</v>
      </c>
      <c r="U1190">
        <v>-2.9873050000000001</v>
      </c>
      <c r="V1190">
        <v>0.21380740000000001</v>
      </c>
      <c r="W1190">
        <v>-5.2998730000000001E-2</v>
      </c>
      <c r="X1190">
        <v>0.97543709999999995</v>
      </c>
      <c r="Y1190">
        <v>0.25801970000000002</v>
      </c>
      <c r="Z1190">
        <v>5.9366049999999997E-2</v>
      </c>
      <c r="AA1190">
        <v>0.964314</v>
      </c>
      <c r="AB1190">
        <v>23</v>
      </c>
      <c r="AC1190">
        <v>1.2590000000000101</v>
      </c>
      <c r="AD1190">
        <v>-1.104649770777</v>
      </c>
      <c r="AE1190">
        <v>-16.447099999999999</v>
      </c>
      <c r="AF1190">
        <v>4.2767186102642896</v>
      </c>
      <c r="AG1190">
        <v>-1.104649770777</v>
      </c>
      <c r="AH1190">
        <v>15.8548943501987</v>
      </c>
      <c r="AI1190">
        <v>93.848387122968603</v>
      </c>
      <c r="AJ1190">
        <v>74.904245113725693</v>
      </c>
      <c r="AK1190">
        <v>16.458683059206798</v>
      </c>
      <c r="AL1190">
        <v>93.038026908125303</v>
      </c>
      <c r="AM1190">
        <v>77.636780828767201</v>
      </c>
      <c r="AN1190">
        <v>1.00000000286639</v>
      </c>
    </row>
    <row r="1191" spans="1:40" x14ac:dyDescent="0.3">
      <c r="A1191" t="str">
        <f>"20200111160425392"</f>
        <v>20200111160425392</v>
      </c>
      <c r="B1191" t="str">
        <f>"1578729865382357"</f>
        <v>1578729865382357</v>
      </c>
      <c r="C1191" t="s">
        <v>40</v>
      </c>
      <c r="D1191">
        <v>5.4352400000000003</v>
      </c>
      <c r="E1191">
        <v>0.51597199999999999</v>
      </c>
      <c r="F1191" t="s">
        <v>41</v>
      </c>
      <c r="G1191">
        <v>-192.79560000000001</v>
      </c>
      <c r="H1191" s="1">
        <v>-1.447512E-6</v>
      </c>
      <c r="I1191">
        <v>341.2294</v>
      </c>
      <c r="J1191">
        <v>-193.9101</v>
      </c>
      <c r="K1191">
        <v>1.1049340000000001</v>
      </c>
      <c r="L1191">
        <v>355.82089999999999</v>
      </c>
      <c r="M1191">
        <v>0.32483689999999998</v>
      </c>
      <c r="N1191">
        <v>0</v>
      </c>
      <c r="O1191">
        <v>-0.94565460000000001</v>
      </c>
      <c r="P1191">
        <v>0.12005059999999999</v>
      </c>
      <c r="Q1191">
        <v>-6.5200519999999998E-2</v>
      </c>
      <c r="R1191">
        <v>-0.99062459999999997</v>
      </c>
      <c r="S1191">
        <v>0.23783869999999999</v>
      </c>
      <c r="T1191">
        <v>-0.2227006</v>
      </c>
      <c r="U1191">
        <v>-2.9852910000000001</v>
      </c>
      <c r="V1191">
        <v>0.2076025</v>
      </c>
      <c r="W1191">
        <v>-5.3485280000000003E-2</v>
      </c>
      <c r="X1191">
        <v>0.97675000000000001</v>
      </c>
      <c r="Y1191">
        <v>0.2489102</v>
      </c>
      <c r="Z1191">
        <v>6.7096520000000007E-2</v>
      </c>
      <c r="AA1191">
        <v>0.96619960000000005</v>
      </c>
      <c r="AB1191">
        <v>23</v>
      </c>
      <c r="AC1191">
        <v>1.1144999999999901</v>
      </c>
      <c r="AD1191">
        <v>-1.1049354475119999</v>
      </c>
      <c r="AE1191">
        <v>-14.5914999999999</v>
      </c>
      <c r="AF1191">
        <v>3.6654316179303401</v>
      </c>
      <c r="AG1191">
        <v>-1.1049354475119999</v>
      </c>
      <c r="AH1191">
        <v>14.081816355154199</v>
      </c>
      <c r="AI1191">
        <v>94.342428414581207</v>
      </c>
      <c r="AJ1191">
        <v>75.409933000171904</v>
      </c>
      <c r="AK1191">
        <v>14.5929374407342</v>
      </c>
      <c r="AL1191">
        <v>93.065943720083098</v>
      </c>
      <c r="AM1191">
        <v>78.000680314059494</v>
      </c>
      <c r="AN1191">
        <v>1.0000000178414601</v>
      </c>
    </row>
    <row r="1192" spans="1:40" x14ac:dyDescent="0.3">
      <c r="A1192" t="str">
        <f>"20200111160425414"</f>
        <v>20200111160425414</v>
      </c>
      <c r="B1192" t="str">
        <f>"1578729865411638"</f>
        <v>1578729865411638</v>
      </c>
      <c r="C1192" t="s">
        <v>40</v>
      </c>
      <c r="D1192">
        <v>5.5047649999999999</v>
      </c>
      <c r="E1192">
        <v>0.51439480000000004</v>
      </c>
      <c r="F1192" t="s">
        <v>41</v>
      </c>
      <c r="G1192">
        <v>-192.8134</v>
      </c>
      <c r="H1192" s="1">
        <v>-1.7646819999999999E-6</v>
      </c>
      <c r="I1192">
        <v>341.95769999999999</v>
      </c>
      <c r="J1192">
        <v>-193.84569999999999</v>
      </c>
      <c r="K1192">
        <v>1.1052090000000001</v>
      </c>
      <c r="L1192">
        <v>355.60199999999998</v>
      </c>
      <c r="M1192">
        <v>0.3166873</v>
      </c>
      <c r="N1192">
        <v>0</v>
      </c>
      <c r="O1192">
        <v>-0.94841609999999998</v>
      </c>
      <c r="P1192">
        <v>0.117892899999999</v>
      </c>
      <c r="Q1192">
        <v>-6.6221950000000002E-2</v>
      </c>
      <c r="R1192">
        <v>-0.99081609999999998</v>
      </c>
      <c r="S1192">
        <v>0.23608399999999999</v>
      </c>
      <c r="T1192">
        <v>-0.23784359999999999</v>
      </c>
      <c r="U1192">
        <v>-2.9841310000000001</v>
      </c>
      <c r="V1192">
        <v>0.20132739999999999</v>
      </c>
      <c r="W1192">
        <v>-5.4351620000000003E-2</v>
      </c>
      <c r="X1192">
        <v>0.97801490000000002</v>
      </c>
      <c r="Y1192">
        <v>0.24112939999999999</v>
      </c>
      <c r="Z1192">
        <v>7.2065130000000005E-2</v>
      </c>
      <c r="AA1192">
        <v>0.96781360000000005</v>
      </c>
      <c r="AB1192">
        <v>23</v>
      </c>
      <c r="AC1192">
        <v>1.03229999999999</v>
      </c>
      <c r="AD1192">
        <v>-1.105210764682</v>
      </c>
      <c r="AE1192">
        <v>-13.6442999999999</v>
      </c>
      <c r="AF1192">
        <v>3.3206241700544998</v>
      </c>
      <c r="AG1192">
        <v>-1.105210764682</v>
      </c>
      <c r="AH1192">
        <v>13.182819868950601</v>
      </c>
      <c r="AI1192">
        <v>94.647796210756994</v>
      </c>
      <c r="AJ1192">
        <v>75.861867850166306</v>
      </c>
      <c r="AK1192">
        <v>13.639456565799</v>
      </c>
      <c r="AL1192">
        <v>93.115653767222597</v>
      </c>
      <c r="AM1192">
        <v>78.367973869297501</v>
      </c>
      <c r="AN1192">
        <v>0.99999998260469702</v>
      </c>
    </row>
    <row r="1193" spans="1:40" x14ac:dyDescent="0.3">
      <c r="A1193" t="str">
        <f>"20200111160425436"</f>
        <v>20200111160425436</v>
      </c>
      <c r="B1193" t="str">
        <f>"1578729865432133"</f>
        <v>1578729865432133</v>
      </c>
      <c r="C1193" t="s">
        <v>40</v>
      </c>
      <c r="D1193">
        <v>5.554182</v>
      </c>
      <c r="E1193">
        <v>0.50796289999999999</v>
      </c>
      <c r="F1193" t="s">
        <v>41</v>
      </c>
      <c r="G1193">
        <v>-192.7757</v>
      </c>
      <c r="H1193" s="1">
        <v>-1.967897E-6</v>
      </c>
      <c r="I1193">
        <v>342.45479999999998</v>
      </c>
      <c r="J1193">
        <v>-193.78380000000001</v>
      </c>
      <c r="K1193">
        <v>1.1054759999999999</v>
      </c>
      <c r="L1193">
        <v>355.38650000000001</v>
      </c>
      <c r="M1193">
        <v>0.3090715</v>
      </c>
      <c r="N1193">
        <v>0</v>
      </c>
      <c r="O1193">
        <v>-0.95092659999999996</v>
      </c>
      <c r="P1193">
        <v>0.1156935</v>
      </c>
      <c r="Q1193">
        <v>-6.7072590000000001E-2</v>
      </c>
      <c r="R1193">
        <v>-0.99101810000000001</v>
      </c>
      <c r="S1193">
        <v>0.24272160000000001</v>
      </c>
      <c r="T1193">
        <v>-0.25069439999999998</v>
      </c>
      <c r="U1193">
        <v>-2.9821780000000002</v>
      </c>
      <c r="V1193">
        <v>0.19566420000000001</v>
      </c>
      <c r="W1193">
        <v>-5.5066850000000001E-2</v>
      </c>
      <c r="X1193">
        <v>0.97912370000000004</v>
      </c>
      <c r="Y1193">
        <v>0.23117009999999999</v>
      </c>
      <c r="Z1193">
        <v>7.6390139999999995E-2</v>
      </c>
      <c r="AA1193">
        <v>0.96990969999999999</v>
      </c>
      <c r="AB1193">
        <v>23</v>
      </c>
      <c r="AC1193">
        <v>1.00810000000001</v>
      </c>
      <c r="AD1193">
        <v>-1.1054779678969999</v>
      </c>
      <c r="AE1193">
        <v>-12.931699999999999</v>
      </c>
      <c r="AF1193">
        <v>3.01660336130091</v>
      </c>
      <c r="AG1193">
        <v>-1.1054779678969999</v>
      </c>
      <c r="AH1193">
        <v>12.519083292329499</v>
      </c>
      <c r="AI1193">
        <v>94.906606007556505</v>
      </c>
      <c r="AJ1193">
        <v>76.452247940208593</v>
      </c>
      <c r="AK1193">
        <v>12.924760108303801</v>
      </c>
      <c r="AL1193">
        <v>93.156694750263895</v>
      </c>
      <c r="AM1193">
        <v>78.699100872691005</v>
      </c>
      <c r="AN1193">
        <v>1.0000000285161199</v>
      </c>
    </row>
    <row r="1194" spans="1:40" x14ac:dyDescent="0.3">
      <c r="A1194" t="str">
        <f>"20200111160425458"</f>
        <v>20200111160425458</v>
      </c>
      <c r="B1194" t="str">
        <f>"1578729865451653"</f>
        <v>1578729865451653</v>
      </c>
      <c r="C1194" t="s">
        <v>40</v>
      </c>
      <c r="D1194">
        <v>5.5304159999999998</v>
      </c>
      <c r="E1194">
        <v>0.50801809999999903</v>
      </c>
      <c r="F1194" t="s">
        <v>50</v>
      </c>
      <c r="G1194">
        <v>-169.27119999999999</v>
      </c>
      <c r="H1194">
        <v>20.37519</v>
      </c>
      <c r="I1194">
        <v>70.750100000000003</v>
      </c>
      <c r="J1194">
        <v>-193.72110000000001</v>
      </c>
      <c r="K1194">
        <v>1.1057520000000001</v>
      </c>
      <c r="L1194">
        <v>355.16289999999998</v>
      </c>
      <c r="M1194">
        <v>0.301554299999999</v>
      </c>
      <c r="N1194">
        <v>0</v>
      </c>
      <c r="O1194">
        <v>-0.95333809999999997</v>
      </c>
      <c r="P1194">
        <v>0.11377950000000001</v>
      </c>
      <c r="Q1194">
        <v>-6.9657880000000005E-2</v>
      </c>
      <c r="R1194">
        <v>-0.99106099999999997</v>
      </c>
      <c r="S1194">
        <v>0.25927729999999999</v>
      </c>
      <c r="T1194">
        <v>0.20382140000000001</v>
      </c>
      <c r="U1194">
        <v>-3.0106809999999999</v>
      </c>
      <c r="V1194">
        <v>0.18978110000000001</v>
      </c>
      <c r="W1194">
        <v>-5.7518899999999998E-2</v>
      </c>
      <c r="X1194">
        <v>0.98014009999999996</v>
      </c>
      <c r="Y1194">
        <v>0.21883159999999999</v>
      </c>
      <c r="Z1194">
        <v>-6.1919839999999997E-2</v>
      </c>
      <c r="AA1194">
        <v>0.97379599999999999</v>
      </c>
      <c r="AB1194">
        <v>22</v>
      </c>
      <c r="AC1194">
        <v>24.4499</v>
      </c>
      <c r="AD1194">
        <v>19.269438000000001</v>
      </c>
      <c r="AE1194">
        <v>-284.41279999999898</v>
      </c>
      <c r="AF1194">
        <v>62.180155690996997</v>
      </c>
      <c r="AG1194">
        <v>19.269438000000001</v>
      </c>
      <c r="AH1194">
        <v>277.280524508599</v>
      </c>
      <c r="AI1194">
        <v>86.120696481944805</v>
      </c>
      <c r="AJ1194">
        <v>77.360524662340296</v>
      </c>
      <c r="AK1194">
        <v>284.81954335044497</v>
      </c>
      <c r="AL1194">
        <v>93.297410280690499</v>
      </c>
      <c r="AM1194">
        <v>79.041623319096004</v>
      </c>
      <c r="AN1194">
        <v>0.999999952701213</v>
      </c>
    </row>
    <row r="1195" spans="1:40" x14ac:dyDescent="0.3">
      <c r="A1195" t="str">
        <f>"20200111160425480"</f>
        <v>20200111160425480</v>
      </c>
      <c r="B1195" t="str">
        <f>"1578729865472150"</f>
        <v>1578729865472150</v>
      </c>
      <c r="C1195" t="s">
        <v>40</v>
      </c>
      <c r="D1195">
        <v>5.5227959999999996</v>
      </c>
      <c r="E1195">
        <v>0.50849359999999999</v>
      </c>
      <c r="F1195" t="s">
        <v>41</v>
      </c>
      <c r="G1195">
        <v>-192.63839999999999</v>
      </c>
      <c r="H1195" s="1">
        <v>-2.488562E-6</v>
      </c>
      <c r="I1195">
        <v>343.75360000000001</v>
      </c>
      <c r="J1195">
        <v>-193.6609</v>
      </c>
      <c r="K1195">
        <v>1.106017</v>
      </c>
      <c r="L1195">
        <v>354.94380000000001</v>
      </c>
      <c r="M1195">
        <v>0.29453659999999998</v>
      </c>
      <c r="N1195">
        <v>0</v>
      </c>
      <c r="O1195">
        <v>-0.95553080000000001</v>
      </c>
      <c r="P1195">
        <v>0.11205710000000001</v>
      </c>
      <c r="Q1195">
        <v>-7.3541330000000002E-2</v>
      </c>
      <c r="R1195">
        <v>-0.99097690000000005</v>
      </c>
      <c r="S1195">
        <v>0.28225709999999998</v>
      </c>
      <c r="T1195">
        <v>-0.28826929999999901</v>
      </c>
      <c r="U1195">
        <v>-2.974396</v>
      </c>
      <c r="V1195">
        <v>0.18419350000000001</v>
      </c>
      <c r="W1195">
        <v>-6.1281429999999998E-2</v>
      </c>
      <c r="X1195">
        <v>0.98097780000000001</v>
      </c>
      <c r="Y1195">
        <v>0.203347</v>
      </c>
      <c r="Z1195">
        <v>8.8882039999999995E-2</v>
      </c>
      <c r="AA1195">
        <v>0.97506409999999999</v>
      </c>
      <c r="AB1195">
        <v>22</v>
      </c>
      <c r="AC1195">
        <v>1.0225</v>
      </c>
      <c r="AD1195">
        <v>-1.1060194885620001</v>
      </c>
      <c r="AE1195">
        <v>-11.190200000000001</v>
      </c>
      <c r="AF1195">
        <v>2.2968832284651501</v>
      </c>
      <c r="AG1195">
        <v>-1.1060194885620001</v>
      </c>
      <c r="AH1195">
        <v>10.8893962876851</v>
      </c>
      <c r="AI1195">
        <v>95.675518951700994</v>
      </c>
      <c r="AJ1195">
        <v>78.089282276021706</v>
      </c>
      <c r="AK1195">
        <v>11.183823281174201</v>
      </c>
      <c r="AL1195">
        <v>93.513368489829404</v>
      </c>
      <c r="AM1195">
        <v>79.365666234214103</v>
      </c>
      <c r="AN1195">
        <v>1.00000005159896</v>
      </c>
    </row>
    <row r="1196" spans="1:40" x14ac:dyDescent="0.3">
      <c r="A1196" t="str">
        <f>"20200111160425504"</f>
        <v>20200111160425504</v>
      </c>
      <c r="B1196" t="str">
        <f>"1578729865501429"</f>
        <v>1578729865501429</v>
      </c>
      <c r="C1196" t="s">
        <v>40</v>
      </c>
      <c r="D1196">
        <v>5.6276510000000002</v>
      </c>
      <c r="E1196">
        <v>0.50863840000000005</v>
      </c>
      <c r="F1196" t="s">
        <v>41</v>
      </c>
      <c r="G1196">
        <v>-192.63329999999999</v>
      </c>
      <c r="H1196" s="1">
        <v>-2.4844580000000002E-6</v>
      </c>
      <c r="I1196">
        <v>343.74720000000002</v>
      </c>
      <c r="J1196">
        <v>-193.60130000000001</v>
      </c>
      <c r="K1196">
        <v>1.106274</v>
      </c>
      <c r="L1196">
        <v>354.72199999999998</v>
      </c>
      <c r="M1196">
        <v>0.28777839999999999</v>
      </c>
      <c r="N1196">
        <v>0</v>
      </c>
      <c r="O1196">
        <v>-0.95758900000000002</v>
      </c>
      <c r="P1196">
        <v>0.111544699999999</v>
      </c>
      <c r="Q1196">
        <v>-7.6920210000000003E-2</v>
      </c>
      <c r="R1196">
        <v>-0.99077839999999995</v>
      </c>
      <c r="S1196">
        <v>0.27302549999999998</v>
      </c>
      <c r="T1196">
        <v>-0.29384320000000003</v>
      </c>
      <c r="U1196">
        <v>-2.9746700000000001</v>
      </c>
      <c r="V1196">
        <v>0.17770349999999999</v>
      </c>
      <c r="W1196">
        <v>-6.4534869999999994E-2</v>
      </c>
      <c r="X1196">
        <v>0.98196570000000005</v>
      </c>
      <c r="Y1196">
        <v>0.19945260000000001</v>
      </c>
      <c r="Z1196">
        <v>9.0927729999999998E-2</v>
      </c>
      <c r="AA1196">
        <v>0.97567959999999998</v>
      </c>
      <c r="AB1196">
        <v>22</v>
      </c>
      <c r="AC1196">
        <v>0.96800000000001696</v>
      </c>
      <c r="AD1196">
        <v>-1.106276484458</v>
      </c>
      <c r="AE1196">
        <v>-10.974799999999901</v>
      </c>
      <c r="AF1196">
        <v>2.2093196199251</v>
      </c>
      <c r="AG1196">
        <v>-1.106276484458</v>
      </c>
      <c r="AH1196">
        <v>10.681338747748001</v>
      </c>
      <c r="AI1196">
        <v>95.791368368455807</v>
      </c>
      <c r="AJ1196">
        <v>78.313781684085498</v>
      </c>
      <c r="AK1196">
        <v>10.963390820690201</v>
      </c>
      <c r="AL1196">
        <v>93.700147233329403</v>
      </c>
      <c r="AM1196">
        <v>79.742362713825798</v>
      </c>
      <c r="AN1196">
        <v>0.99999995966732702</v>
      </c>
    </row>
    <row r="1197" spans="1:40" x14ac:dyDescent="0.3">
      <c r="A1197" t="str">
        <f>"20200111160425749"</f>
        <v>20200111160425749</v>
      </c>
      <c r="B1197" t="str">
        <f>"1578729865742127"</f>
        <v>1578729865742127</v>
      </c>
      <c r="C1197" t="s">
        <v>40</v>
      </c>
      <c r="D1197">
        <v>5.5699940000000003</v>
      </c>
      <c r="E1197">
        <v>0.52627060000000003</v>
      </c>
      <c r="F1197" t="s">
        <v>42</v>
      </c>
      <c r="G1197">
        <v>-192.99850000000001</v>
      </c>
      <c r="H1197">
        <v>1.005017</v>
      </c>
      <c r="I1197">
        <v>351.65949999999998</v>
      </c>
      <c r="J1197">
        <v>-193.02070000000001</v>
      </c>
      <c r="K1197">
        <v>1.1087800000000001</v>
      </c>
      <c r="L1197">
        <v>352.32990000000001</v>
      </c>
      <c r="M1197">
        <v>0.2365437</v>
      </c>
      <c r="N1197">
        <v>0</v>
      </c>
      <c r="O1197">
        <v>-0.97152190000000005</v>
      </c>
      <c r="P1197">
        <v>0.13918469999999999</v>
      </c>
      <c r="Q1197">
        <v>-9.1894489999999995E-2</v>
      </c>
      <c r="R1197">
        <v>-0.98599389999999998</v>
      </c>
      <c r="S1197">
        <v>0.240509</v>
      </c>
      <c r="T1197">
        <v>-0.34894649999999999</v>
      </c>
      <c r="U1197">
        <v>-2.9758909999999998</v>
      </c>
      <c r="V1197">
        <v>9.7726220000000003E-2</v>
      </c>
      <c r="W1197">
        <v>-7.8499760000000002E-2</v>
      </c>
      <c r="X1197">
        <v>0.99211260000000001</v>
      </c>
      <c r="Y1197">
        <v>0.15802639999999901</v>
      </c>
      <c r="Z1197">
        <v>0.11062230000000001</v>
      </c>
      <c r="AA1197">
        <v>0.98121879999999995</v>
      </c>
      <c r="AB1197">
        <v>22</v>
      </c>
      <c r="AC1197">
        <v>2.2199999999997999E-2</v>
      </c>
      <c r="AD1197">
        <v>-0.10376299999999899</v>
      </c>
      <c r="AE1197">
        <v>-0.67040000000002897</v>
      </c>
      <c r="AF1197">
        <v>0.133821937335907</v>
      </c>
      <c r="AG1197">
        <v>-0.10376299999999899</v>
      </c>
      <c r="AH1197">
        <v>0.64127698125552102</v>
      </c>
      <c r="AI1197">
        <v>99.000575687963504</v>
      </c>
      <c r="AJ1197">
        <v>78.212654083821704</v>
      </c>
      <c r="AK1197">
        <v>0.66325804764776797</v>
      </c>
      <c r="AL1197">
        <v>94.5023370148743</v>
      </c>
      <c r="AM1197">
        <v>84.374333219558594</v>
      </c>
      <c r="AN1197">
        <v>1.0000000187371501</v>
      </c>
    </row>
    <row r="1198" spans="1:40" x14ac:dyDescent="0.3">
      <c r="A1198" t="str">
        <f>"20200111160425771"</f>
        <v>20200111160425771</v>
      </c>
      <c r="B1198" t="str">
        <f>"1578729865761647"</f>
        <v>1578729865761647</v>
      </c>
      <c r="C1198" t="s">
        <v>40</v>
      </c>
      <c r="D1198">
        <v>5.6123289999999999</v>
      </c>
      <c r="E1198">
        <v>0.529335</v>
      </c>
      <c r="F1198" t="s">
        <v>42</v>
      </c>
      <c r="G1198">
        <v>-192.95910000000001</v>
      </c>
      <c r="H1198">
        <v>1.014591</v>
      </c>
      <c r="I1198">
        <v>351.46080000000001</v>
      </c>
      <c r="J1198">
        <v>-192.97200000000001</v>
      </c>
      <c r="K1198">
        <v>1.1089869999999999</v>
      </c>
      <c r="L1198">
        <v>352.11630000000002</v>
      </c>
      <c r="M1198">
        <v>0.23406650000000001</v>
      </c>
      <c r="N1198">
        <v>0</v>
      </c>
      <c r="O1198">
        <v>-0.97212220000000005</v>
      </c>
      <c r="P1198">
        <v>0.1375141</v>
      </c>
      <c r="Q1198">
        <v>-8.7327509999999997E-2</v>
      </c>
      <c r="R1198">
        <v>-0.98664300000000005</v>
      </c>
      <c r="S1198">
        <v>0.21166989999999999</v>
      </c>
      <c r="T1198">
        <v>-0.32325749999999998</v>
      </c>
      <c r="U1198">
        <v>-2.9825740000000001</v>
      </c>
      <c r="V1198">
        <v>9.7025829999999993E-2</v>
      </c>
      <c r="W1198">
        <v>-7.3910290000000003E-2</v>
      </c>
      <c r="X1198">
        <v>0.99253369999999996</v>
      </c>
      <c r="Y1198">
        <v>0.16505120000000001</v>
      </c>
      <c r="Z1198">
        <v>0.1024176</v>
      </c>
      <c r="AA1198">
        <v>0.98095299999999996</v>
      </c>
      <c r="AB1198">
        <v>22</v>
      </c>
      <c r="AC1198">
        <v>1.29000000000019E-2</v>
      </c>
      <c r="AD1198">
        <v>-9.4396000000000105E-2</v>
      </c>
      <c r="AE1198">
        <v>-0.65550000000001696</v>
      </c>
      <c r="AF1198">
        <v>0.138042116895287</v>
      </c>
      <c r="AG1198">
        <v>-9.4396000000000105E-2</v>
      </c>
      <c r="AH1198">
        <v>0.62730298781578497</v>
      </c>
      <c r="AI1198">
        <v>98.360503797751605</v>
      </c>
      <c r="AJ1198">
        <v>77.589492268174695</v>
      </c>
      <c r="AK1198">
        <v>0.64921126713539301</v>
      </c>
      <c r="AL1198">
        <v>94.238612973401402</v>
      </c>
      <c r="AM1198">
        <v>84.416750516594703</v>
      </c>
      <c r="AN1198">
        <v>0.99999994414537896</v>
      </c>
    </row>
    <row r="1199" spans="1:40" x14ac:dyDescent="0.3">
      <c r="A1199" t="str">
        <f>"20200111160425793"</f>
        <v>20200111160425793</v>
      </c>
      <c r="B1199" t="str">
        <f>"1578729865791904"</f>
        <v>1578729865791904</v>
      </c>
      <c r="C1199" t="s">
        <v>40</v>
      </c>
      <c r="D1199">
        <v>6.1056710000000001</v>
      </c>
      <c r="E1199">
        <v>0.53351999999999999</v>
      </c>
      <c r="F1199" t="s">
        <v>42</v>
      </c>
      <c r="G1199">
        <v>-192.9203</v>
      </c>
      <c r="H1199">
        <v>1.023166</v>
      </c>
      <c r="I1199">
        <v>351.26280000000003</v>
      </c>
      <c r="J1199">
        <v>-192.9238</v>
      </c>
      <c r="K1199">
        <v>1.1091580000000001</v>
      </c>
      <c r="L1199">
        <v>351.90390000000002</v>
      </c>
      <c r="M1199">
        <v>0.231905</v>
      </c>
      <c r="N1199">
        <v>0</v>
      </c>
      <c r="O1199">
        <v>-0.97264050000000002</v>
      </c>
      <c r="P1199">
        <v>0.13439970000000001</v>
      </c>
      <c r="Q1199">
        <v>-8.4869410000000006E-2</v>
      </c>
      <c r="R1199">
        <v>-0.98728640000000001</v>
      </c>
      <c r="S1199">
        <v>0.18209839999999999</v>
      </c>
      <c r="T1199">
        <v>-0.30075200000000002</v>
      </c>
      <c r="U1199">
        <v>-2.9886780000000002</v>
      </c>
      <c r="V1199">
        <v>9.8037059999999995E-2</v>
      </c>
      <c r="W1199">
        <v>-7.1441989999999997E-2</v>
      </c>
      <c r="X1199">
        <v>0.99261509999999997</v>
      </c>
      <c r="Y1199">
        <v>0.17261460000000001</v>
      </c>
      <c r="Z1199">
        <v>9.5208909999999994E-2</v>
      </c>
      <c r="AA1199">
        <v>0.98037719999999995</v>
      </c>
      <c r="AB1199">
        <v>22</v>
      </c>
      <c r="AC1199">
        <v>3.5000000000024998E-3</v>
      </c>
      <c r="AD1199">
        <v>-8.5991999999999999E-2</v>
      </c>
      <c r="AE1199">
        <v>-0.64109999999999401</v>
      </c>
      <c r="AF1199">
        <v>0.14271630758096099</v>
      </c>
      <c r="AG1199">
        <v>-8.5991999999999999E-2</v>
      </c>
      <c r="AH1199">
        <v>0.61339547693389196</v>
      </c>
      <c r="AI1199">
        <v>97.775259077335704</v>
      </c>
      <c r="AJ1199">
        <v>76.902241059211093</v>
      </c>
      <c r="AK1199">
        <v>0.63562298545324802</v>
      </c>
      <c r="AL1199">
        <v>94.096814637317706</v>
      </c>
      <c r="AM1199">
        <v>84.359393361070502</v>
      </c>
      <c r="AN1199">
        <v>0.99999997990830602</v>
      </c>
    </row>
    <row r="1200" spans="1:40" x14ac:dyDescent="0.3">
      <c r="A1200" t="str">
        <f>"20200111160425816"</f>
        <v>20200111160425816</v>
      </c>
      <c r="B1200" t="str">
        <f>"1578729865811423"</f>
        <v>1578729865811423</v>
      </c>
      <c r="C1200" t="s">
        <v>40</v>
      </c>
      <c r="D1200">
        <v>6.1926649999999999</v>
      </c>
      <c r="E1200">
        <v>0.53395119999999996</v>
      </c>
      <c r="F1200" t="s">
        <v>42</v>
      </c>
      <c r="G1200">
        <v>-192.88480000000001</v>
      </c>
      <c r="H1200">
        <v>1.0283199999999999</v>
      </c>
      <c r="I1200">
        <v>351.06330000000003</v>
      </c>
      <c r="J1200">
        <v>-192.87540000000001</v>
      </c>
      <c r="K1200">
        <v>1.109316</v>
      </c>
      <c r="L1200">
        <v>351.68950000000001</v>
      </c>
      <c r="M1200">
        <v>0.2300044</v>
      </c>
      <c r="N1200">
        <v>0</v>
      </c>
      <c r="O1200">
        <v>-0.97309199999999996</v>
      </c>
      <c r="P1200">
        <v>0.13054660000000001</v>
      </c>
      <c r="Q1200">
        <v>-8.4658949999999997E-2</v>
      </c>
      <c r="R1200">
        <v>-0.98782130000000001</v>
      </c>
      <c r="S1200">
        <v>0.1393585</v>
      </c>
      <c r="T1200">
        <v>-0.2881011</v>
      </c>
      <c r="U1200">
        <v>-2.9948730000000001</v>
      </c>
      <c r="V1200">
        <v>0.1000013</v>
      </c>
      <c r="W1200">
        <v>-7.1224979999999993E-2</v>
      </c>
      <c r="X1200">
        <v>0.9924347</v>
      </c>
      <c r="Y1200">
        <v>0.18473110000000001</v>
      </c>
      <c r="Z1200">
        <v>9.104545E-2</v>
      </c>
      <c r="AA1200">
        <v>0.97856279999999995</v>
      </c>
      <c r="AB1200">
        <v>22</v>
      </c>
      <c r="AC1200">
        <v>-9.3999999999994002E-3</v>
      </c>
      <c r="AD1200">
        <v>-8.0995999999999804E-2</v>
      </c>
      <c r="AE1200">
        <v>-0.62619999999998299</v>
      </c>
      <c r="AF1200">
        <v>0.150670194977987</v>
      </c>
      <c r="AG1200">
        <v>-8.0995999999999804E-2</v>
      </c>
      <c r="AH1200">
        <v>0.59725588392347795</v>
      </c>
      <c r="AI1200">
        <v>97.491069166528206</v>
      </c>
      <c r="AJ1200">
        <v>75.841370447501703</v>
      </c>
      <c r="AK1200">
        <v>0.62127003030237904</v>
      </c>
      <c r="AL1200">
        <v>94.084349263977003</v>
      </c>
      <c r="AM1200">
        <v>84.246091874815306</v>
      </c>
      <c r="AN1200">
        <v>0.99999994577088802</v>
      </c>
    </row>
    <row r="1201" spans="1:40" x14ac:dyDescent="0.3">
      <c r="A1201" t="str">
        <f>"20200111160425838"</f>
        <v>20200111160425838</v>
      </c>
      <c r="B1201" t="str">
        <f>"1578729865831919"</f>
        <v>1578729865831919</v>
      </c>
      <c r="C1201" t="s">
        <v>40</v>
      </c>
      <c r="D1201">
        <v>5.8980569999999997</v>
      </c>
      <c r="E1201">
        <v>0.53719629999999996</v>
      </c>
      <c r="F1201" t="s">
        <v>42</v>
      </c>
      <c r="G1201">
        <v>-192.8416</v>
      </c>
      <c r="H1201">
        <v>1.0303960000000001</v>
      </c>
      <c r="I1201">
        <v>350.86989999999997</v>
      </c>
      <c r="J1201">
        <v>-192.82650000000001</v>
      </c>
      <c r="K1201">
        <v>1.109477</v>
      </c>
      <c r="L1201">
        <v>351.47250000000003</v>
      </c>
      <c r="M1201">
        <v>0.22832930000000001</v>
      </c>
      <c r="N1201">
        <v>0</v>
      </c>
      <c r="O1201">
        <v>-0.97348670000000004</v>
      </c>
      <c r="P1201">
        <v>0.126329</v>
      </c>
      <c r="Q1201">
        <v>-8.503608E-2</v>
      </c>
      <c r="R1201">
        <v>-0.98833720000000003</v>
      </c>
      <c r="S1201">
        <v>0.12434389999999899</v>
      </c>
      <c r="T1201">
        <v>-0.28864699999999999</v>
      </c>
      <c r="U1201">
        <v>-2.995819</v>
      </c>
      <c r="V1201">
        <v>0.1025467</v>
      </c>
      <c r="W1201">
        <v>-7.1593900000000002E-2</v>
      </c>
      <c r="X1201">
        <v>0.99214840000000004</v>
      </c>
      <c r="Y1201">
        <v>0.18794820000000001</v>
      </c>
      <c r="Z1201">
        <v>9.122421E-2</v>
      </c>
      <c r="AA1201">
        <v>0.97793330000000001</v>
      </c>
      <c r="AB1201">
        <v>22</v>
      </c>
      <c r="AC1201">
        <v>-1.5099999999989599E-2</v>
      </c>
      <c r="AD1201">
        <v>-7.9081000000000096E-2</v>
      </c>
      <c r="AE1201">
        <v>-0.60260000000005198</v>
      </c>
      <c r="AF1201">
        <v>0.14972829036747901</v>
      </c>
      <c r="AG1201">
        <v>-7.9081000000000096E-2</v>
      </c>
      <c r="AH1201">
        <v>0.57336223634029404</v>
      </c>
      <c r="AI1201">
        <v>97.6011991398303</v>
      </c>
      <c r="AJ1201">
        <v>75.364574948788601</v>
      </c>
      <c r="AK1201">
        <v>0.59784330686101395</v>
      </c>
      <c r="AL1201">
        <v>94.105540784288806</v>
      </c>
      <c r="AM1201">
        <v>84.098963697857698</v>
      </c>
      <c r="AN1201">
        <v>0.99999997991032896</v>
      </c>
    </row>
    <row r="1202" spans="1:40" x14ac:dyDescent="0.3">
      <c r="A1202" t="str">
        <f>"20200111160425861"</f>
        <v>20200111160425861</v>
      </c>
      <c r="B1202" t="str">
        <f>"1578729865851440"</f>
        <v>1578729865851440</v>
      </c>
      <c r="C1202" t="s">
        <v>40</v>
      </c>
      <c r="D1202">
        <v>5.679824</v>
      </c>
      <c r="E1202">
        <v>0.53789889999999996</v>
      </c>
      <c r="F1202" t="s">
        <v>49</v>
      </c>
      <c r="G1202">
        <v>-183.8211</v>
      </c>
      <c r="H1202">
        <v>30.998059999999999</v>
      </c>
      <c r="I1202">
        <v>-81.82544</v>
      </c>
      <c r="J1202">
        <v>-192.77780000000001</v>
      </c>
      <c r="K1202">
        <v>1.1096360000000001</v>
      </c>
      <c r="L1202">
        <v>351.25639999999999</v>
      </c>
      <c r="M1202">
        <v>0.2268695</v>
      </c>
      <c r="N1202">
        <v>0</v>
      </c>
      <c r="O1202">
        <v>-0.97382829999999998</v>
      </c>
      <c r="P1202">
        <v>0.1227819</v>
      </c>
      <c r="Q1202">
        <v>-8.6515949999999994E-2</v>
      </c>
      <c r="R1202">
        <v>-0.98865599999999998</v>
      </c>
      <c r="S1202">
        <v>6.3293459999999996E-2</v>
      </c>
      <c r="T1202">
        <v>0.21007029999999999</v>
      </c>
      <c r="U1202">
        <v>-3.04541</v>
      </c>
      <c r="V1202">
        <v>0.1046117</v>
      </c>
      <c r="W1202">
        <v>-7.3063359999999994E-2</v>
      </c>
      <c r="X1202">
        <v>0.99182559999999997</v>
      </c>
      <c r="Y1202">
        <v>0.20664479999999999</v>
      </c>
      <c r="Z1202">
        <v>-6.5378459999999999E-2</v>
      </c>
      <c r="AA1202">
        <v>0.97622929999999997</v>
      </c>
      <c r="AB1202">
        <v>22</v>
      </c>
      <c r="AC1202">
        <v>8.9567000000000103</v>
      </c>
      <c r="AD1202">
        <v>29.888424000000001</v>
      </c>
      <c r="AE1202">
        <v>-433.08184</v>
      </c>
      <c r="AF1202">
        <v>89.114960812044004</v>
      </c>
      <c r="AG1202">
        <v>29.888424000000001</v>
      </c>
      <c r="AH1202">
        <v>421.81117673663198</v>
      </c>
      <c r="AI1202">
        <v>86.034196679806897</v>
      </c>
      <c r="AJ1202">
        <v>78.070687773453699</v>
      </c>
      <c r="AK1202">
        <v>432.15675738055802</v>
      </c>
      <c r="AL1202">
        <v>94.189955905811701</v>
      </c>
      <c r="AM1202">
        <v>83.979052804768997</v>
      </c>
      <c r="AN1202">
        <v>0.99999994158336802</v>
      </c>
    </row>
    <row r="1203" spans="1:40" x14ac:dyDescent="0.3">
      <c r="A1203" t="str">
        <f>"20200111160425885"</f>
        <v>20200111160425885</v>
      </c>
      <c r="B1203" t="str">
        <f>"1578729865881695"</f>
        <v>1578729865881695</v>
      </c>
      <c r="C1203" t="s">
        <v>40</v>
      </c>
      <c r="D1203">
        <v>5.6906119999999998</v>
      </c>
      <c r="E1203">
        <v>0.5373291</v>
      </c>
      <c r="F1203" t="s">
        <v>49</v>
      </c>
      <c r="G1203">
        <v>-186.23929999999999</v>
      </c>
      <c r="H1203">
        <v>32.8142</v>
      </c>
      <c r="I1203">
        <v>-81.826049999999995</v>
      </c>
      <c r="J1203">
        <v>-192.72739999999999</v>
      </c>
      <c r="K1203">
        <v>1.1097520000000001</v>
      </c>
      <c r="L1203">
        <v>351.0326</v>
      </c>
      <c r="M1203">
        <v>0.2255421</v>
      </c>
      <c r="N1203">
        <v>0</v>
      </c>
      <c r="O1203">
        <v>-0.97413669999999997</v>
      </c>
      <c r="P1203">
        <v>0.1205509</v>
      </c>
      <c r="Q1203">
        <v>-8.8415419999999995E-2</v>
      </c>
      <c r="R1203">
        <v>-0.98876209999999998</v>
      </c>
      <c r="S1203">
        <v>4.6020510000000001E-2</v>
      </c>
      <c r="T1203">
        <v>0.22315009999999999</v>
      </c>
      <c r="U1203">
        <v>-3.0482179999999999</v>
      </c>
      <c r="V1203">
        <v>0.105479</v>
      </c>
      <c r="W1203">
        <v>-7.4952999999999895E-2</v>
      </c>
      <c r="X1203">
        <v>0.99159280000000005</v>
      </c>
      <c r="Y1203">
        <v>0.2108614</v>
      </c>
      <c r="Z1203">
        <v>-6.9368490000000005E-2</v>
      </c>
      <c r="AA1203">
        <v>0.97505149999999996</v>
      </c>
      <c r="AB1203">
        <v>22</v>
      </c>
      <c r="AC1203">
        <v>6.4881000000000002</v>
      </c>
      <c r="AD1203">
        <v>31.704447999999999</v>
      </c>
      <c r="AE1203">
        <v>-432.85865000000001</v>
      </c>
      <c r="AF1203">
        <v>90.828993373597598</v>
      </c>
      <c r="AG1203">
        <v>31.704447999999999</v>
      </c>
      <c r="AH1203">
        <v>420.90915308596601</v>
      </c>
      <c r="AI1203">
        <v>85.788972189960205</v>
      </c>
      <c r="AJ1203">
        <v>77.822732055869807</v>
      </c>
      <c r="AK1203">
        <v>431.76335325244003</v>
      </c>
      <c r="AL1203">
        <v>94.298521688533597</v>
      </c>
      <c r="AM1203">
        <v>83.9280918456964</v>
      </c>
      <c r="AN1203">
        <v>1.0000000263309099</v>
      </c>
    </row>
    <row r="1204" spans="1:40" x14ac:dyDescent="0.3">
      <c r="A1204" t="str">
        <f>"20200111160425906"</f>
        <v>20200111160425906</v>
      </c>
      <c r="B1204" t="str">
        <f>"1578729865902191"</f>
        <v>1578729865902191</v>
      </c>
      <c r="C1204" t="s">
        <v>40</v>
      </c>
      <c r="D1204">
        <v>5.9443380000000001</v>
      </c>
      <c r="E1204">
        <v>0.53503789999999996</v>
      </c>
      <c r="F1204" t="s">
        <v>49</v>
      </c>
      <c r="G1204">
        <v>-186.2388</v>
      </c>
      <c r="H1204">
        <v>26.591909999999999</v>
      </c>
      <c r="I1204">
        <v>-81.823980000000006</v>
      </c>
      <c r="J1204">
        <v>-192.68190000000001</v>
      </c>
      <c r="K1204">
        <v>1.1098129999999999</v>
      </c>
      <c r="L1204">
        <v>350.8297</v>
      </c>
      <c r="M1204">
        <v>0.22446849999999999</v>
      </c>
      <c r="N1204">
        <v>0</v>
      </c>
      <c r="O1204">
        <v>-0.97438469999999999</v>
      </c>
      <c r="P1204">
        <v>0.1203857</v>
      </c>
      <c r="Q1204">
        <v>-8.9036809999999994E-2</v>
      </c>
      <c r="R1204">
        <v>-0.98872629999999995</v>
      </c>
      <c r="S1204">
        <v>4.5639039999999999E-2</v>
      </c>
      <c r="T1204">
        <v>0.179234</v>
      </c>
      <c r="U1204">
        <v>-3.0445859999999998</v>
      </c>
      <c r="V1204">
        <v>0.1045524</v>
      </c>
      <c r="W1204">
        <v>-7.5569029999999995E-2</v>
      </c>
      <c r="X1204">
        <v>0.99164410000000003</v>
      </c>
      <c r="Y1204">
        <v>0.20987810000000001</v>
      </c>
      <c r="Z1204">
        <v>-5.5863120000000002E-2</v>
      </c>
      <c r="AA1204">
        <v>0.97613039999999995</v>
      </c>
      <c r="AB1204">
        <v>22</v>
      </c>
      <c r="AC1204">
        <v>6.44310000000001</v>
      </c>
      <c r="AD1204">
        <v>25.482097</v>
      </c>
      <c r="AE1204">
        <v>-432.65368000000001</v>
      </c>
      <c r="AF1204">
        <v>90.533639557841099</v>
      </c>
      <c r="AG1204">
        <v>25.482097</v>
      </c>
      <c r="AH1204">
        <v>421.595102850773</v>
      </c>
      <c r="AI1204">
        <v>86.618043372904495</v>
      </c>
      <c r="AJ1204">
        <v>77.880319402631798</v>
      </c>
      <c r="AK1204">
        <v>431.95845622797998</v>
      </c>
      <c r="AL1204">
        <v>94.333918319222306</v>
      </c>
      <c r="AM1204">
        <v>83.981347471608103</v>
      </c>
      <c r="AN1204">
        <v>0.99999995185285395</v>
      </c>
    </row>
    <row r="1205" spans="1:40" x14ac:dyDescent="0.3">
      <c r="A1205" t="str">
        <f>"20200111160425927"</f>
        <v>20200111160425927</v>
      </c>
      <c r="B1205" t="str">
        <f>"1578729865921711"</f>
        <v>1578729865921711</v>
      </c>
      <c r="C1205" t="s">
        <v>40</v>
      </c>
      <c r="D1205">
        <v>5.6683329999999996</v>
      </c>
      <c r="E1205">
        <v>0.53557219999999905</v>
      </c>
      <c r="F1205" t="s">
        <v>41</v>
      </c>
      <c r="G1205">
        <v>-192.2398</v>
      </c>
      <c r="H1205" s="1">
        <v>-2.625188E-6</v>
      </c>
      <c r="I1205">
        <v>334.3193</v>
      </c>
      <c r="J1205">
        <v>-192.63579999999999</v>
      </c>
      <c r="K1205">
        <v>1.109845</v>
      </c>
      <c r="L1205">
        <v>350.62400000000002</v>
      </c>
      <c r="M1205">
        <v>0.22345329999999999</v>
      </c>
      <c r="N1205">
        <v>0</v>
      </c>
      <c r="O1205">
        <v>-0.97461830000000005</v>
      </c>
      <c r="P1205">
        <v>0.1213312</v>
      </c>
      <c r="Q1205">
        <v>-8.6466970000000004E-2</v>
      </c>
      <c r="R1205">
        <v>-0.98883889999999997</v>
      </c>
      <c r="S1205">
        <v>8.0490110000000004E-2</v>
      </c>
      <c r="T1205">
        <v>-0.20207240000000001</v>
      </c>
      <c r="U1205">
        <v>-3.0061650000000002</v>
      </c>
      <c r="V1205">
        <v>0.10263170000000001</v>
      </c>
      <c r="W1205">
        <v>-7.2997820000000005E-2</v>
      </c>
      <c r="X1205">
        <v>0.99203730000000001</v>
      </c>
      <c r="Y1205">
        <v>0.1973567</v>
      </c>
      <c r="Z1205">
        <v>6.3857460000000005E-2</v>
      </c>
      <c r="AA1205">
        <v>0.9782497</v>
      </c>
      <c r="AB1205">
        <v>22</v>
      </c>
      <c r="AC1205">
        <v>0.39599999999998597</v>
      </c>
      <c r="AD1205">
        <v>-1.1098476251880001</v>
      </c>
      <c r="AE1205">
        <v>-16.3047</v>
      </c>
      <c r="AF1205">
        <v>3.24268025081768</v>
      </c>
      <c r="AG1205">
        <v>-1.1098476251880001</v>
      </c>
      <c r="AH1205">
        <v>15.9071859870624</v>
      </c>
      <c r="AI1205">
        <v>93.910896701699599</v>
      </c>
      <c r="AJ1205">
        <v>78.478119507577503</v>
      </c>
      <c r="AK1205">
        <v>16.2722248935778</v>
      </c>
      <c r="AL1205">
        <v>94.186190541270193</v>
      </c>
      <c r="AM1205">
        <v>84.093450207405894</v>
      </c>
      <c r="AN1205">
        <v>0.99999997608046598</v>
      </c>
    </row>
    <row r="1206" spans="1:40" x14ac:dyDescent="0.3">
      <c r="A1206" t="str">
        <f>"20200111160425950"</f>
        <v>20200111160425950</v>
      </c>
      <c r="B1206" t="str">
        <f>"1578729865942207"</f>
        <v>1578729865942207</v>
      </c>
      <c r="C1206" t="s">
        <v>40</v>
      </c>
      <c r="D1206">
        <v>5.6649339999999997</v>
      </c>
      <c r="E1206">
        <v>0.53575609999999996</v>
      </c>
      <c r="F1206" t="s">
        <v>41</v>
      </c>
      <c r="G1206">
        <v>-192.2466</v>
      </c>
      <c r="H1206" s="1">
        <v>-3.4186449999999999E-6</v>
      </c>
      <c r="I1206">
        <v>336.16460000000001</v>
      </c>
      <c r="J1206">
        <v>-192.58840000000001</v>
      </c>
      <c r="K1206">
        <v>1.1098330000000001</v>
      </c>
      <c r="L1206">
        <v>350.41160000000002</v>
      </c>
      <c r="M1206">
        <v>0.2224323</v>
      </c>
      <c r="N1206">
        <v>0</v>
      </c>
      <c r="O1206">
        <v>-0.97485200000000005</v>
      </c>
      <c r="P1206">
        <v>0.1233665</v>
      </c>
      <c r="Q1206">
        <v>-8.3196270000000003E-2</v>
      </c>
      <c r="R1206">
        <v>-0.98886779999999996</v>
      </c>
      <c r="S1206">
        <v>8.0841060000000006E-2</v>
      </c>
      <c r="T1206">
        <v>-0.23055700000000001</v>
      </c>
      <c r="U1206">
        <v>-3.0037539999999998</v>
      </c>
      <c r="V1206">
        <v>9.9617289999999997E-2</v>
      </c>
      <c r="W1206">
        <v>-6.9730559999999997E-2</v>
      </c>
      <c r="X1206">
        <v>0.99257949999999995</v>
      </c>
      <c r="Y1206">
        <v>0.1962102</v>
      </c>
      <c r="Z1206">
        <v>7.2903819999999994E-2</v>
      </c>
      <c r="AA1206">
        <v>0.97784789999999999</v>
      </c>
      <c r="AB1206">
        <v>22</v>
      </c>
      <c r="AC1206">
        <v>0.34180000000000599</v>
      </c>
      <c r="AD1206">
        <v>-1.109836418645</v>
      </c>
      <c r="AE1206">
        <v>-14.247</v>
      </c>
      <c r="AF1206">
        <v>2.81895778530733</v>
      </c>
      <c r="AG1206">
        <v>-1.109836418645</v>
      </c>
      <c r="AH1206">
        <v>13.8818612076051</v>
      </c>
      <c r="AI1206">
        <v>94.479947341899106</v>
      </c>
      <c r="AJ1206">
        <v>78.521161011422507</v>
      </c>
      <c r="AK1206">
        <v>14.208600580588801</v>
      </c>
      <c r="AL1206">
        <v>93.998511588959602</v>
      </c>
      <c r="AM1206">
        <v>84.268870385861803</v>
      </c>
      <c r="AN1206">
        <v>1.0000000096425501</v>
      </c>
    </row>
    <row r="1207" spans="1:40" x14ac:dyDescent="0.3">
      <c r="A1207" t="str">
        <f>"20200111160425975"</f>
        <v>20200111160425975</v>
      </c>
      <c r="B1207" t="str">
        <f>"1578729865971486"</f>
        <v>1578729865971486</v>
      </c>
      <c r="C1207" t="s">
        <v>40</v>
      </c>
      <c r="D1207">
        <v>6.0259539999999996</v>
      </c>
      <c r="E1207">
        <v>0.5350916</v>
      </c>
      <c r="F1207" t="s">
        <v>41</v>
      </c>
      <c r="G1207">
        <v>-192.19970000000001</v>
      </c>
      <c r="H1207" s="1">
        <v>-3.7465500000000002E-6</v>
      </c>
      <c r="I1207">
        <v>336.9581</v>
      </c>
      <c r="J1207">
        <v>-192.5368</v>
      </c>
      <c r="K1207">
        <v>1.1097840000000001</v>
      </c>
      <c r="L1207">
        <v>350.17899999999997</v>
      </c>
      <c r="M1207">
        <v>0.22128929999999999</v>
      </c>
      <c r="N1207">
        <v>0</v>
      </c>
      <c r="O1207">
        <v>-0.97511239999999999</v>
      </c>
      <c r="P1207">
        <v>0.12648989999999999</v>
      </c>
      <c r="Q1207">
        <v>-8.203452E-2</v>
      </c>
      <c r="R1207">
        <v>-0.98856999999999995</v>
      </c>
      <c r="S1207">
        <v>8.6730959999999996E-2</v>
      </c>
      <c r="T1207">
        <v>-0.24765690000000001</v>
      </c>
      <c r="U1207">
        <v>-3.0021059999999999</v>
      </c>
      <c r="V1207">
        <v>9.5336799999999999E-2</v>
      </c>
      <c r="W1207">
        <v>-6.8577639999999995E-2</v>
      </c>
      <c r="X1207">
        <v>0.99308010000000002</v>
      </c>
      <c r="Y1207">
        <v>0.1931397</v>
      </c>
      <c r="Z1207">
        <v>7.8374040000000006E-2</v>
      </c>
      <c r="AA1207">
        <v>0.97803600000000002</v>
      </c>
      <c r="AB1207">
        <v>22</v>
      </c>
      <c r="AC1207">
        <v>0.33709999999999202</v>
      </c>
      <c r="AD1207">
        <v>-1.1097877465499999</v>
      </c>
      <c r="AE1207">
        <v>-13.2209</v>
      </c>
      <c r="AF1207">
        <v>2.5790154020962199</v>
      </c>
      <c r="AG1207">
        <v>-1.1097877465499999</v>
      </c>
      <c r="AH1207">
        <v>12.876996198894799</v>
      </c>
      <c r="AI1207">
        <v>94.830334914883807</v>
      </c>
      <c r="AJ1207">
        <v>78.674597210218494</v>
      </c>
      <c r="AK1207">
        <v>13.1795288380501</v>
      </c>
      <c r="AL1207">
        <v>93.932295488239006</v>
      </c>
      <c r="AM1207">
        <v>84.516346076015694</v>
      </c>
      <c r="AN1207">
        <v>1.0000000415790999</v>
      </c>
    </row>
    <row r="1208" spans="1:40" x14ac:dyDescent="0.3">
      <c r="A1208" t="str">
        <f>"20200111160425993"</f>
        <v>20200111160425993</v>
      </c>
      <c r="B1208" t="str">
        <f>"1578729865991983"</f>
        <v>1578729865991983</v>
      </c>
      <c r="C1208" t="s">
        <v>40</v>
      </c>
      <c r="D1208">
        <v>5.7827129999999896</v>
      </c>
      <c r="E1208">
        <v>0.53481859999999903</v>
      </c>
      <c r="F1208" t="s">
        <v>41</v>
      </c>
      <c r="G1208">
        <v>-192.10830000000001</v>
      </c>
      <c r="H1208" s="1">
        <v>-3.9883189999999999E-6</v>
      </c>
      <c r="I1208">
        <v>337.60770000000002</v>
      </c>
      <c r="J1208">
        <v>-192.49549999999999</v>
      </c>
      <c r="K1208">
        <v>1.109728</v>
      </c>
      <c r="L1208">
        <v>349.99169999999998</v>
      </c>
      <c r="M1208">
        <v>0.2203213</v>
      </c>
      <c r="N1208">
        <v>0</v>
      </c>
      <c r="O1208">
        <v>-0.97533130000000001</v>
      </c>
      <c r="P1208">
        <v>0.12973509999999999</v>
      </c>
      <c r="Q1208">
        <v>-8.1065159999999997E-2</v>
      </c>
      <c r="R1208">
        <v>-0.98822929999999998</v>
      </c>
      <c r="S1208">
        <v>0.1022491</v>
      </c>
      <c r="T1208">
        <v>-0.26480599999999999</v>
      </c>
      <c r="U1208">
        <v>-2.9996339999999999</v>
      </c>
      <c r="V1208">
        <v>9.1105130000000006E-2</v>
      </c>
      <c r="W1208">
        <v>-6.7613850000000003E-2</v>
      </c>
      <c r="X1208">
        <v>0.99354330000000002</v>
      </c>
      <c r="Y1208">
        <v>0.1870995</v>
      </c>
      <c r="Z1208">
        <v>8.3903770000000003E-2</v>
      </c>
      <c r="AA1208">
        <v>0.97875120000000004</v>
      </c>
      <c r="AB1208">
        <v>22</v>
      </c>
      <c r="AC1208">
        <v>0.38719999999997801</v>
      </c>
      <c r="AD1208">
        <v>-1.109731988319</v>
      </c>
      <c r="AE1208">
        <v>-12.383999999999901</v>
      </c>
      <c r="AF1208">
        <v>2.3323207856207699</v>
      </c>
      <c r="AG1208">
        <v>-1.109731988319</v>
      </c>
      <c r="AH1208">
        <v>12.0681387735745</v>
      </c>
      <c r="AI1208">
        <v>95.158955794692105</v>
      </c>
      <c r="AJ1208">
        <v>79.061717179650202</v>
      </c>
      <c r="AK1208">
        <v>12.3414423302623</v>
      </c>
      <c r="AL1208">
        <v>93.876945943617997</v>
      </c>
      <c r="AM1208">
        <v>84.760789581344</v>
      </c>
      <c r="AN1208">
        <v>1.00000003319951</v>
      </c>
    </row>
    <row r="1209" spans="1:40" x14ac:dyDescent="0.3">
      <c r="A1209" t="str">
        <f>"20200111160426017"</f>
        <v>20200111160426017</v>
      </c>
      <c r="B1209" t="str">
        <f>"1578729866011504"</f>
        <v>1578729866011504</v>
      </c>
      <c r="C1209" t="s">
        <v>40</v>
      </c>
      <c r="D1209">
        <v>5.7229519999999896</v>
      </c>
      <c r="E1209">
        <v>0.53663369999999999</v>
      </c>
      <c r="F1209" t="s">
        <v>49</v>
      </c>
      <c r="G1209">
        <v>-178.09370000000001</v>
      </c>
      <c r="H1209">
        <v>18.297920000000001</v>
      </c>
      <c r="I1209">
        <v>-81.821240000000003</v>
      </c>
      <c r="J1209">
        <v>-192.44820000000001</v>
      </c>
      <c r="K1209">
        <v>1.109669</v>
      </c>
      <c r="L1209">
        <v>349.77550000000002</v>
      </c>
      <c r="M1209">
        <v>0.21914359999999999</v>
      </c>
      <c r="N1209">
        <v>0</v>
      </c>
      <c r="O1209">
        <v>-0.97559700000000005</v>
      </c>
      <c r="P1209">
        <v>0.13180720000000001</v>
      </c>
      <c r="Q1209">
        <v>-7.9358380000000006E-2</v>
      </c>
      <c r="R1209">
        <v>-0.98809389999999997</v>
      </c>
      <c r="S1209">
        <v>0.1011353</v>
      </c>
      <c r="T1209">
        <v>0.120703</v>
      </c>
      <c r="U1209">
        <v>-3.0323790000000002</v>
      </c>
      <c r="V1209">
        <v>8.7849040000000003E-2</v>
      </c>
      <c r="W1209">
        <v>-6.5915319999999999E-2</v>
      </c>
      <c r="X1209">
        <v>0.99395049999999996</v>
      </c>
      <c r="Y1209">
        <v>0.1865425</v>
      </c>
      <c r="Z1209">
        <v>-3.7965369999999998E-2</v>
      </c>
      <c r="AA1209">
        <v>0.98171310000000001</v>
      </c>
      <c r="AB1209">
        <v>22</v>
      </c>
      <c r="AC1209">
        <v>14.3545</v>
      </c>
      <c r="AD1209">
        <v>17.188251000000001</v>
      </c>
      <c r="AE1209">
        <v>-431.59674000000001</v>
      </c>
      <c r="AF1209">
        <v>80.457508433727895</v>
      </c>
      <c r="AG1209">
        <v>17.188251000000001</v>
      </c>
      <c r="AH1209">
        <v>423.57870133442498</v>
      </c>
      <c r="AI1209">
        <v>87.717064332913694</v>
      </c>
      <c r="AJ1209">
        <v>79.244963178562301</v>
      </c>
      <c r="AK1209">
        <v>431.49480050165101</v>
      </c>
      <c r="AL1209">
        <v>93.779410060761606</v>
      </c>
      <c r="AM1209">
        <v>84.949110715046103</v>
      </c>
      <c r="AN1209">
        <v>0.99999993984493496</v>
      </c>
    </row>
    <row r="1210" spans="1:40" x14ac:dyDescent="0.3">
      <c r="A1210" t="str">
        <f>"20200111160426039"</f>
        <v>20200111160426039</v>
      </c>
      <c r="B1210" t="str">
        <f>"1578729866031999"</f>
        <v>1578729866031999</v>
      </c>
      <c r="C1210" t="s">
        <v>40</v>
      </c>
      <c r="D1210">
        <v>5.7490680000000003</v>
      </c>
      <c r="E1210">
        <v>0.53682769999999902</v>
      </c>
      <c r="F1210" t="s">
        <v>42</v>
      </c>
      <c r="G1210">
        <v>-192.4194</v>
      </c>
      <c r="H1210">
        <v>1.0283819999999999</v>
      </c>
      <c r="I1210">
        <v>348.96699999999998</v>
      </c>
      <c r="J1210">
        <v>-192.4008</v>
      </c>
      <c r="K1210">
        <v>1.1096239999999999</v>
      </c>
      <c r="L1210">
        <v>349.55799999999999</v>
      </c>
      <c r="M1210">
        <v>0.21789810000000001</v>
      </c>
      <c r="N1210">
        <v>0</v>
      </c>
      <c r="O1210">
        <v>-0.97587610000000002</v>
      </c>
      <c r="P1210">
        <v>0.1324545</v>
      </c>
      <c r="Q1210">
        <v>-7.8045970000000006E-2</v>
      </c>
      <c r="R1210">
        <v>-0.98811190000000004</v>
      </c>
      <c r="S1210">
        <v>0.1078033</v>
      </c>
      <c r="T1210">
        <v>-0.30152649999999998</v>
      </c>
      <c r="U1210">
        <v>-2.9974980000000002</v>
      </c>
      <c r="V1210">
        <v>8.594852E-2</v>
      </c>
      <c r="W1210">
        <v>-6.4612149999999993E-2</v>
      </c>
      <c r="X1210">
        <v>0.99420229999999998</v>
      </c>
      <c r="Y1210">
        <v>0.18285950000000001</v>
      </c>
      <c r="Z1210">
        <v>9.5616809999999997E-2</v>
      </c>
      <c r="AA1210">
        <v>0.97847830000000002</v>
      </c>
      <c r="AB1210">
        <v>22</v>
      </c>
      <c r="AC1210">
        <v>-1.8599999999992099E-2</v>
      </c>
      <c r="AD1210">
        <v>-8.1241999999999995E-2</v>
      </c>
      <c r="AE1210">
        <v>-0.59100000000006403</v>
      </c>
      <c r="AF1210">
        <v>0.144220167338688</v>
      </c>
      <c r="AG1210">
        <v>-8.1241999999999995E-2</v>
      </c>
      <c r="AH1210">
        <v>0.56213128898847697</v>
      </c>
      <c r="AI1210">
        <v>97.969108704332001</v>
      </c>
      <c r="AJ1210">
        <v>75.610577890852795</v>
      </c>
      <c r="AK1210">
        <v>0.58599599426194504</v>
      </c>
      <c r="AL1210">
        <v>93.704583992687105</v>
      </c>
      <c r="AM1210">
        <v>85.059079666750705</v>
      </c>
      <c r="AN1210">
        <v>1.0000000456715501</v>
      </c>
    </row>
    <row r="1211" spans="1:40" x14ac:dyDescent="0.3">
      <c r="A1211" t="str">
        <f>"20200111160426062"</f>
        <v>20200111160426062</v>
      </c>
      <c r="B1211" t="str">
        <f>"1578729866052495"</f>
        <v>1578729866052495</v>
      </c>
      <c r="C1211" t="s">
        <v>40</v>
      </c>
      <c r="D1211">
        <v>5.9769420000000002</v>
      </c>
      <c r="E1211">
        <v>0.53716680000000006</v>
      </c>
      <c r="F1211" t="s">
        <v>42</v>
      </c>
      <c r="G1211">
        <v>-192.37270000000001</v>
      </c>
      <c r="H1211">
        <v>1.0300119999999999</v>
      </c>
      <c r="I1211">
        <v>348.77859999999998</v>
      </c>
      <c r="J1211">
        <v>-192.3544</v>
      </c>
      <c r="K1211">
        <v>1.1095980000000001</v>
      </c>
      <c r="L1211">
        <v>349.34320000000002</v>
      </c>
      <c r="M1211">
        <v>0.21662239999999999</v>
      </c>
      <c r="N1211">
        <v>0</v>
      </c>
      <c r="O1211">
        <v>-0.97616000000000003</v>
      </c>
      <c r="P1211">
        <v>0.132852</v>
      </c>
      <c r="Q1211">
        <v>-7.65821E-2</v>
      </c>
      <c r="R1211">
        <v>-0.98817310000000003</v>
      </c>
      <c r="S1211">
        <v>0.1084442</v>
      </c>
      <c r="T1211">
        <v>-0.30627009999999899</v>
      </c>
      <c r="U1211">
        <v>-2.9973749999999999</v>
      </c>
      <c r="V1211">
        <v>8.4272799999999995E-2</v>
      </c>
      <c r="W1211">
        <v>-6.3154559999999998E-2</v>
      </c>
      <c r="X1211">
        <v>0.99443939999999997</v>
      </c>
      <c r="Y1211">
        <v>0.18136930000000001</v>
      </c>
      <c r="Z1211">
        <v>9.7166550000000004E-2</v>
      </c>
      <c r="AA1211">
        <v>0.978603</v>
      </c>
      <c r="AB1211">
        <v>22</v>
      </c>
      <c r="AC1211">
        <v>-1.8300000000010599E-2</v>
      </c>
      <c r="AD1211">
        <v>-7.9585999999999699E-2</v>
      </c>
      <c r="AE1211">
        <v>-0.56460000000004096</v>
      </c>
      <c r="AF1211">
        <v>0.137453504375559</v>
      </c>
      <c r="AG1211">
        <v>-7.9585999999999699E-2</v>
      </c>
      <c r="AH1211">
        <v>0.53657631843890996</v>
      </c>
      <c r="AI1211">
        <v>98.176435794983306</v>
      </c>
      <c r="AJ1211">
        <v>75.631647992539797</v>
      </c>
      <c r="AK1211">
        <v>0.55959051347443001</v>
      </c>
      <c r="AL1211">
        <v>93.620899238695401</v>
      </c>
      <c r="AM1211">
        <v>85.156098328350595</v>
      </c>
      <c r="AN1211">
        <v>1.0000000617704901</v>
      </c>
    </row>
    <row r="1212" spans="1:40" x14ac:dyDescent="0.3">
      <c r="A1212" t="str">
        <f>"20200111160426385"</f>
        <v>20200111160426385</v>
      </c>
      <c r="B1212" t="str">
        <f>"1578729866382383"</f>
        <v>1578729866382383</v>
      </c>
      <c r="C1212" t="s">
        <v>40</v>
      </c>
      <c r="D1212">
        <v>5.7039220000000004</v>
      </c>
      <c r="E1212">
        <v>0.52025540000000003</v>
      </c>
      <c r="F1212" t="s">
        <v>49</v>
      </c>
      <c r="G1212">
        <v>-187.13390000000001</v>
      </c>
      <c r="H1212">
        <v>33.035539999999997</v>
      </c>
      <c r="I1212">
        <v>-81.826130000000006</v>
      </c>
      <c r="J1212">
        <v>-191.71190000000001</v>
      </c>
      <c r="K1212">
        <v>1.1082129999999999</v>
      </c>
      <c r="L1212">
        <v>346.18830000000003</v>
      </c>
      <c r="M1212">
        <v>0.1949816</v>
      </c>
      <c r="N1212">
        <v>0</v>
      </c>
      <c r="O1212">
        <v>-0.98079039999999995</v>
      </c>
      <c r="P1212">
        <v>0.1177573</v>
      </c>
      <c r="Q1212">
        <v>-3.5825070000000001E-2</v>
      </c>
      <c r="R1212">
        <v>-0.99239599999999994</v>
      </c>
      <c r="S1212">
        <v>3.3782960000000001E-2</v>
      </c>
      <c r="T1212">
        <v>0.22481909999999999</v>
      </c>
      <c r="U1212">
        <v>-3.0218509999999998</v>
      </c>
      <c r="V1212">
        <v>7.7930899999999997E-2</v>
      </c>
      <c r="W1212">
        <v>-3.0340869999999999E-2</v>
      </c>
      <c r="X1212">
        <v>0.99649699999999997</v>
      </c>
      <c r="Y1212">
        <v>0.1840328</v>
      </c>
      <c r="Z1212">
        <v>-7.1423719999999996E-2</v>
      </c>
      <c r="AA1212">
        <v>0.98032169999999996</v>
      </c>
      <c r="AB1212">
        <v>23</v>
      </c>
      <c r="AC1212">
        <v>4.5780000000000003</v>
      </c>
      <c r="AD1212">
        <v>31.927326999999998</v>
      </c>
      <c r="AE1212">
        <v>-428.01443</v>
      </c>
      <c r="AF1212">
        <v>78.529249820214105</v>
      </c>
      <c r="AG1212">
        <v>31.927326999999998</v>
      </c>
      <c r="AH1212">
        <v>418.364252152777</v>
      </c>
      <c r="AI1212">
        <v>85.710575055316397</v>
      </c>
      <c r="AJ1212">
        <v>79.368973565388302</v>
      </c>
      <c r="AK1212">
        <v>426.86630783659098</v>
      </c>
      <c r="AL1212">
        <v>91.738670572081901</v>
      </c>
      <c r="AM1212">
        <v>85.528293562580501</v>
      </c>
      <c r="AN1212">
        <v>1.00000003228808</v>
      </c>
    </row>
    <row r="1213" spans="1:40" x14ac:dyDescent="0.3">
      <c r="A1213" t="str">
        <f>"20200111160426407"</f>
        <v>20200111160426407</v>
      </c>
      <c r="B1213" t="str">
        <f>"1578729866401903"</f>
        <v>1578729866401903</v>
      </c>
      <c r="C1213" t="s">
        <v>40</v>
      </c>
      <c r="D1213">
        <v>5.6652870000000002</v>
      </c>
      <c r="E1213">
        <v>0.51822699999999999</v>
      </c>
      <c r="F1213" t="s">
        <v>41</v>
      </c>
      <c r="G1213">
        <v>-190.2551</v>
      </c>
      <c r="H1213" s="1">
        <v>-1.8883209999999999E-6</v>
      </c>
      <c r="I1213">
        <v>323.83260000000001</v>
      </c>
      <c r="J1213">
        <v>-191.66579999999999</v>
      </c>
      <c r="K1213">
        <v>1.1081209999999999</v>
      </c>
      <c r="L1213">
        <v>345.94670000000002</v>
      </c>
      <c r="M1213">
        <v>0.19329560000000001</v>
      </c>
      <c r="N1213">
        <v>0</v>
      </c>
      <c r="O1213">
        <v>-0.98112820000000001</v>
      </c>
      <c r="P1213">
        <v>0.1146831</v>
      </c>
      <c r="Q1213">
        <v>-3.4996260000000001E-2</v>
      </c>
      <c r="R1213">
        <v>-0.9927859</v>
      </c>
      <c r="S1213">
        <v>0.1951447</v>
      </c>
      <c r="T1213">
        <v>-0.148442299999999</v>
      </c>
      <c r="U1213">
        <v>-2.9944760000000001</v>
      </c>
      <c r="V1213">
        <v>7.9308519999999993E-2</v>
      </c>
      <c r="W1213">
        <v>-3.0227130000000001E-2</v>
      </c>
      <c r="X1213">
        <v>0.99639169999999999</v>
      </c>
      <c r="Y1213">
        <v>0.12915989999999999</v>
      </c>
      <c r="Z1213">
        <v>4.7856280000000001E-2</v>
      </c>
      <c r="AA1213">
        <v>0.99046829999999997</v>
      </c>
      <c r="AB1213">
        <v>24</v>
      </c>
      <c r="AC1213">
        <v>1.4106999999999901</v>
      </c>
      <c r="AD1213">
        <v>-1.1081228883209999</v>
      </c>
      <c r="AE1213">
        <v>-22.114100000000001</v>
      </c>
      <c r="AF1213">
        <v>2.8833052668682102</v>
      </c>
      <c r="AG1213">
        <v>-1.1081228883209999</v>
      </c>
      <c r="AH1213">
        <v>21.9149116607996</v>
      </c>
      <c r="AI1213">
        <v>92.869992062748693</v>
      </c>
      <c r="AJ1213">
        <v>82.504748209100597</v>
      </c>
      <c r="AK1213">
        <v>22.131532678470801</v>
      </c>
      <c r="AL1213">
        <v>91.7321508673529</v>
      </c>
      <c r="AM1213">
        <v>85.449095413177204</v>
      </c>
      <c r="AN1213">
        <v>0.99999997028075804</v>
      </c>
    </row>
    <row r="1214" spans="1:40" x14ac:dyDescent="0.3">
      <c r="A1214" t="str">
        <f>"20200111160426430"</f>
        <v>20200111160426430</v>
      </c>
      <c r="B1214" t="str">
        <f>"1578729866422399"</f>
        <v>1578729866422399</v>
      </c>
      <c r="C1214" t="s">
        <v>40</v>
      </c>
      <c r="D1214">
        <v>5.7270399999999997</v>
      </c>
      <c r="E1214">
        <v>0.51117299999999999</v>
      </c>
      <c r="F1214" t="s">
        <v>42</v>
      </c>
      <c r="G1214">
        <v>-191.60310000000001</v>
      </c>
      <c r="H1214">
        <v>1.0435410000000001</v>
      </c>
      <c r="I1214">
        <v>345.03710000000001</v>
      </c>
      <c r="J1214">
        <v>-191.62049999999999</v>
      </c>
      <c r="K1214">
        <v>1.1080380000000001</v>
      </c>
      <c r="L1214">
        <v>345.70800000000003</v>
      </c>
      <c r="M1214">
        <v>0.19165219999999999</v>
      </c>
      <c r="N1214">
        <v>0</v>
      </c>
      <c r="O1214">
        <v>-0.98145329999999997</v>
      </c>
      <c r="P1214">
        <v>0.1119047</v>
      </c>
      <c r="Q1214">
        <v>-3.3356839999999999E-2</v>
      </c>
      <c r="R1214">
        <v>-0.99315869999999995</v>
      </c>
      <c r="S1214">
        <v>0.20675660000000001</v>
      </c>
      <c r="T1214">
        <v>-0.21246809999999999</v>
      </c>
      <c r="U1214">
        <v>-2.9903870000000001</v>
      </c>
      <c r="V1214">
        <v>8.0439189999999994E-2</v>
      </c>
      <c r="W1214">
        <v>-2.9238630000000002E-2</v>
      </c>
      <c r="X1214">
        <v>0.99633059999999996</v>
      </c>
      <c r="Y1214">
        <v>0.12366389999999999</v>
      </c>
      <c r="Z1214">
        <v>6.8554190000000001E-2</v>
      </c>
      <c r="AA1214">
        <v>0.98995330000000004</v>
      </c>
      <c r="AB1214">
        <v>24</v>
      </c>
      <c r="AC1214">
        <v>1.7399999999980698E-2</v>
      </c>
      <c r="AD1214">
        <v>-6.4496999999999804E-2</v>
      </c>
      <c r="AE1214">
        <v>-0.67090000000001704</v>
      </c>
      <c r="AF1214">
        <v>0.110482834635004</v>
      </c>
      <c r="AG1214">
        <v>-6.4496999999999804E-2</v>
      </c>
      <c r="AH1214">
        <v>0.65574174968465004</v>
      </c>
      <c r="AI1214">
        <v>95.539807332774799</v>
      </c>
      <c r="AJ1214">
        <v>80.436324906631</v>
      </c>
      <c r="AK1214">
        <v>0.66810445443618405</v>
      </c>
      <c r="AL1214">
        <v>91.675488862959099</v>
      </c>
      <c r="AM1214">
        <v>85.384211517151698</v>
      </c>
      <c r="AN1214">
        <v>1.0000000126342401</v>
      </c>
    </row>
    <row r="1215" spans="1:40" x14ac:dyDescent="0.3">
      <c r="A1215" t="str">
        <f>"20200111160426454"</f>
        <v>20200111160426454</v>
      </c>
      <c r="B1215" t="str">
        <f>"1578729866451680"</f>
        <v>1578729866451680</v>
      </c>
      <c r="C1215" t="s">
        <v>40</v>
      </c>
      <c r="D1215">
        <v>5.6671740000000002</v>
      </c>
      <c r="E1215">
        <v>0.51561319999999999</v>
      </c>
      <c r="F1215" t="s">
        <v>51</v>
      </c>
      <c r="G1215">
        <v>-168.7903</v>
      </c>
      <c r="H1215">
        <v>9.7289429999999992</v>
      </c>
      <c r="I1215">
        <v>52.638829999999999</v>
      </c>
      <c r="J1215">
        <v>-191.57230000000001</v>
      </c>
      <c r="K1215">
        <v>1.1079460000000001</v>
      </c>
      <c r="L1215">
        <v>345.4511</v>
      </c>
      <c r="M1215">
        <v>0.18990009999999999</v>
      </c>
      <c r="N1215">
        <v>0</v>
      </c>
      <c r="O1215">
        <v>-0.98179629999999996</v>
      </c>
      <c r="P1215">
        <v>0.1088177</v>
      </c>
      <c r="Q1215">
        <v>-3.3258269999999999E-2</v>
      </c>
      <c r="R1215">
        <v>-0.99350539999999998</v>
      </c>
      <c r="S1215">
        <v>0.23349</v>
      </c>
      <c r="T1215">
        <v>8.8167910000000002E-2</v>
      </c>
      <c r="U1215">
        <v>-2.9972840000000001</v>
      </c>
      <c r="V1215">
        <v>8.1754099999999996E-2</v>
      </c>
      <c r="W1215">
        <v>-2.9772219999999999E-2</v>
      </c>
      <c r="X1215">
        <v>0.99620779999999998</v>
      </c>
      <c r="Y1215">
        <v>0.11310770000000001</v>
      </c>
      <c r="Z1215">
        <v>-2.846537E-2</v>
      </c>
      <c r="AA1215">
        <v>0.99317489999999997</v>
      </c>
      <c r="AB1215">
        <v>24</v>
      </c>
      <c r="AC1215">
        <v>22.782</v>
      </c>
      <c r="AD1215">
        <v>8.6209969999999991</v>
      </c>
      <c r="AE1215">
        <v>-292.81227000000001</v>
      </c>
      <c r="AF1215">
        <v>33.209414468095702</v>
      </c>
      <c r="AG1215">
        <v>8.6209969999999991</v>
      </c>
      <c r="AH1215">
        <v>291.55913377727597</v>
      </c>
      <c r="AI1215">
        <v>88.317211808314795</v>
      </c>
      <c r="AJ1215">
        <v>83.501853218336805</v>
      </c>
      <c r="AK1215">
        <v>293.57097146608902</v>
      </c>
      <c r="AL1215">
        <v>91.706074571669703</v>
      </c>
      <c r="AM1215">
        <v>85.308517288199894</v>
      </c>
      <c r="AN1215">
        <v>1.00000004936568</v>
      </c>
    </row>
    <row r="1216" spans="1:40" x14ac:dyDescent="0.3">
      <c r="A1216" t="str">
        <f>"20200111160426476"</f>
        <v>20200111160426476</v>
      </c>
      <c r="B1216" t="str">
        <f>"1578729866472176"</f>
        <v>1578729866472176</v>
      </c>
      <c r="C1216" t="s">
        <v>40</v>
      </c>
      <c r="D1216">
        <v>6.9184839999999896</v>
      </c>
      <c r="E1216">
        <v>0.51309539999999998</v>
      </c>
      <c r="F1216" t="s">
        <v>42</v>
      </c>
      <c r="G1216">
        <v>-191.51320000000001</v>
      </c>
      <c r="H1216">
        <v>1.0440160000000001</v>
      </c>
      <c r="I1216">
        <v>344.61290000000002</v>
      </c>
      <c r="J1216">
        <v>-191.52959999999999</v>
      </c>
      <c r="K1216">
        <v>1.1078749999999999</v>
      </c>
      <c r="L1216">
        <v>345.2217</v>
      </c>
      <c r="M1216">
        <v>0.18834229999999999</v>
      </c>
      <c r="N1216">
        <v>0</v>
      </c>
      <c r="O1216">
        <v>-0.98209829999999998</v>
      </c>
      <c r="P1216">
        <v>0.1062063</v>
      </c>
      <c r="Q1216">
        <v>-3.427289E-2</v>
      </c>
      <c r="R1216">
        <v>-0.99375349999999996</v>
      </c>
      <c r="S1216">
        <v>0.2114258</v>
      </c>
      <c r="T1216">
        <v>-0.22811380000000001</v>
      </c>
      <c r="U1216">
        <v>-2.9888309999999998</v>
      </c>
      <c r="V1216">
        <v>8.2779359999999996E-2</v>
      </c>
      <c r="W1216">
        <v>-3.1289200000000003E-2</v>
      </c>
      <c r="X1216">
        <v>0.99607659999999998</v>
      </c>
      <c r="Y1216">
        <v>0.11876780000000001</v>
      </c>
      <c r="Z1216">
        <v>7.3704169999999999E-2</v>
      </c>
      <c r="AA1216">
        <v>0.99018280000000003</v>
      </c>
      <c r="AB1216">
        <v>24</v>
      </c>
      <c r="AC1216">
        <v>1.6399999999975899E-2</v>
      </c>
      <c r="AD1216">
        <v>-6.3858999999999805E-2</v>
      </c>
      <c r="AE1216">
        <v>-0.60879999999997303</v>
      </c>
      <c r="AF1216">
        <v>9.7485067711247403E-2</v>
      </c>
      <c r="AG1216">
        <v>-6.3858999999999805E-2</v>
      </c>
      <c r="AH1216">
        <v>0.59445746685977896</v>
      </c>
      <c r="AI1216">
        <v>96.051213372966899</v>
      </c>
      <c r="AJ1216">
        <v>80.686960195232402</v>
      </c>
      <c r="AK1216">
        <v>0.60577305173885998</v>
      </c>
      <c r="AL1216">
        <v>91.793031726247705</v>
      </c>
      <c r="AM1216">
        <v>85.249327206988198</v>
      </c>
      <c r="AN1216">
        <v>1.0000000147731001</v>
      </c>
    </row>
    <row r="1217" spans="1:40" x14ac:dyDescent="0.3">
      <c r="A1217" t="str">
        <f>"20200111160426496"</f>
        <v>20200111160426496</v>
      </c>
      <c r="B1217" t="str">
        <f>"1578729866491696"</f>
        <v>1578729866491696</v>
      </c>
      <c r="C1217" t="s">
        <v>40</v>
      </c>
      <c r="D1217">
        <v>5.7429290000000002</v>
      </c>
      <c r="E1217">
        <v>0.51135770000000003</v>
      </c>
      <c r="F1217" t="s">
        <v>46</v>
      </c>
      <c r="G1217">
        <v>0</v>
      </c>
      <c r="H1217">
        <v>0</v>
      </c>
      <c r="I1217">
        <v>0</v>
      </c>
      <c r="J1217">
        <v>-191.48750000000001</v>
      </c>
      <c r="K1217">
        <v>1.1078220000000001</v>
      </c>
      <c r="L1217">
        <v>344.99329999999998</v>
      </c>
      <c r="M1217">
        <v>0.18679270000000001</v>
      </c>
      <c r="N1217">
        <v>0</v>
      </c>
      <c r="O1217">
        <v>-0.98239549999999998</v>
      </c>
      <c r="P1217">
        <v>0.10390779999999999</v>
      </c>
      <c r="Q1217">
        <v>-3.4133169999999997E-2</v>
      </c>
      <c r="R1217">
        <v>-0.99400129999999998</v>
      </c>
      <c r="S1217">
        <v>0.19734189999999999</v>
      </c>
      <c r="T1217">
        <v>0.13615479999999899</v>
      </c>
      <c r="U1217">
        <v>-3.0024410000000001</v>
      </c>
      <c r="V1217">
        <v>8.3509849999999997E-2</v>
      </c>
      <c r="W1217">
        <v>-3.1592000000000002E-2</v>
      </c>
      <c r="X1217">
        <v>0.99600610000000001</v>
      </c>
      <c r="Y1217">
        <v>0.1220236</v>
      </c>
      <c r="Z1217">
        <v>-4.3891930000000003E-2</v>
      </c>
      <c r="AA1217">
        <v>0.9915562</v>
      </c>
      <c r="AB1217">
        <v>24</v>
      </c>
      <c r="AC1217">
        <v>0.19734189999999999</v>
      </c>
      <c r="AD1217">
        <v>0.13615479999999899</v>
      </c>
      <c r="AE1217">
        <v>-3.0024410000000001</v>
      </c>
      <c r="AF1217">
        <v>0.36621778820482198</v>
      </c>
      <c r="AG1217">
        <v>0.13615479999999899</v>
      </c>
      <c r="AH1217">
        <v>2.98035528457461</v>
      </c>
      <c r="AI1217">
        <v>87.4038127086651</v>
      </c>
      <c r="AJ1217">
        <v>82.994769625804494</v>
      </c>
      <c r="AK1217">
        <v>3.0058561542849098</v>
      </c>
      <c r="AL1217">
        <v>91.810389404905195</v>
      </c>
      <c r="AM1217">
        <v>85.207261463495499</v>
      </c>
      <c r="AN1217">
        <v>1.00000005037411</v>
      </c>
    </row>
    <row r="1218" spans="1:40" x14ac:dyDescent="0.3">
      <c r="A1218" t="str">
        <f>"20200111160426519"</f>
        <v>20200111160426519</v>
      </c>
      <c r="B1218" t="str">
        <f>"1578729866511741"</f>
        <v>1578729866511741</v>
      </c>
      <c r="C1218" t="s">
        <v>40</v>
      </c>
      <c r="D1218">
        <v>5.672148</v>
      </c>
      <c r="E1218">
        <v>0.51108299999999995</v>
      </c>
      <c r="F1218" t="s">
        <v>52</v>
      </c>
      <c r="G1218">
        <v>-167.99860000000001</v>
      </c>
      <c r="H1218">
        <v>10.5893</v>
      </c>
      <c r="I1218">
        <v>6.0821189999999996</v>
      </c>
      <c r="J1218">
        <v>-191.4419</v>
      </c>
      <c r="K1218">
        <v>1.107785</v>
      </c>
      <c r="L1218">
        <v>344.74360000000001</v>
      </c>
      <c r="M1218">
        <v>0.1850966</v>
      </c>
      <c r="N1218">
        <v>0</v>
      </c>
      <c r="O1218">
        <v>-0.98271759999999997</v>
      </c>
      <c r="P1218">
        <v>0.1025041</v>
      </c>
      <c r="Q1218">
        <v>-3.2704950000000003E-2</v>
      </c>
      <c r="R1218">
        <v>-0.99419519999999995</v>
      </c>
      <c r="S1218">
        <v>0.20787050000000001</v>
      </c>
      <c r="T1218">
        <v>8.3908319999999995E-2</v>
      </c>
      <c r="U1218">
        <v>-2.9992679999999998</v>
      </c>
      <c r="V1218">
        <v>8.3206879999999997E-2</v>
      </c>
      <c r="W1218">
        <v>-3.0585230000000001E-2</v>
      </c>
      <c r="X1218">
        <v>0.99606280000000003</v>
      </c>
      <c r="Y1218">
        <v>0.1167333</v>
      </c>
      <c r="Z1218">
        <v>-2.7114070000000001E-2</v>
      </c>
      <c r="AA1218">
        <v>0.99279309999999998</v>
      </c>
      <c r="AB1218">
        <v>25</v>
      </c>
      <c r="AC1218">
        <v>23.443299999999901</v>
      </c>
      <c r="AD1218">
        <v>9.4815149999999999</v>
      </c>
      <c r="AE1218">
        <v>-338.66148099999998</v>
      </c>
      <c r="AF1218">
        <v>39.616147194776197</v>
      </c>
      <c r="AG1218">
        <v>9.4815149999999999</v>
      </c>
      <c r="AH1218">
        <v>336.885974518289</v>
      </c>
      <c r="AI1218">
        <v>88.398886578524596</v>
      </c>
      <c r="AJ1218">
        <v>83.293098359216501</v>
      </c>
      <c r="AK1218">
        <v>339.33979736009502</v>
      </c>
      <c r="AL1218">
        <v>91.752677976045504</v>
      </c>
      <c r="AM1218">
        <v>85.224839325491999</v>
      </c>
      <c r="AN1218">
        <v>0.99999997135866303</v>
      </c>
    </row>
    <row r="1219" spans="1:40" x14ac:dyDescent="0.3">
      <c r="A1219" t="str">
        <f>"20200111160426543"</f>
        <v>20200111160426543</v>
      </c>
      <c r="B1219" t="str">
        <f>"1578729866532237"</f>
        <v>1578729866532237</v>
      </c>
      <c r="C1219" t="s">
        <v>40</v>
      </c>
      <c r="D1219">
        <v>5.70526</v>
      </c>
      <c r="E1219">
        <v>0.51144579999999995</v>
      </c>
      <c r="F1219" t="s">
        <v>51</v>
      </c>
      <c r="G1219">
        <v>-169.08340000000001</v>
      </c>
      <c r="H1219">
        <v>4.7425949999999997</v>
      </c>
      <c r="I1219">
        <v>25.39095</v>
      </c>
      <c r="J1219">
        <v>-191.39420000000001</v>
      </c>
      <c r="K1219">
        <v>1.10775</v>
      </c>
      <c r="L1219">
        <v>344.48059999999998</v>
      </c>
      <c r="M1219">
        <v>0.18330689999999999</v>
      </c>
      <c r="N1219">
        <v>0</v>
      </c>
      <c r="O1219">
        <v>-0.98305399999999998</v>
      </c>
      <c r="P1219">
        <v>0.10183589999999999</v>
      </c>
      <c r="Q1219">
        <v>-3.155413E-2</v>
      </c>
      <c r="R1219">
        <v>-0.99430110000000005</v>
      </c>
      <c r="S1219">
        <v>0.2098236</v>
      </c>
      <c r="T1219">
        <v>3.4111019999999999E-2</v>
      </c>
      <c r="U1219">
        <v>-2.9969790000000001</v>
      </c>
      <c r="V1219">
        <v>8.2070009999999999E-2</v>
      </c>
      <c r="W1219">
        <v>-2.981669E-2</v>
      </c>
      <c r="X1219">
        <v>0.99618050000000002</v>
      </c>
      <c r="Y1219">
        <v>0.1142065</v>
      </c>
      <c r="Z1219">
        <v>-1.104169E-2</v>
      </c>
      <c r="AA1219">
        <v>0.99339569999999999</v>
      </c>
      <c r="AB1219">
        <v>25</v>
      </c>
      <c r="AC1219">
        <v>22.3108</v>
      </c>
      <c r="AD1219">
        <v>3.6348449999999999</v>
      </c>
      <c r="AE1219">
        <v>-319.08965000000001</v>
      </c>
      <c r="AF1219">
        <v>36.553955551705798</v>
      </c>
      <c r="AG1219">
        <v>3.6348449999999999</v>
      </c>
      <c r="AH1219">
        <v>317.73159394102697</v>
      </c>
      <c r="AI1219">
        <v>89.348860290690098</v>
      </c>
      <c r="AJ1219">
        <v>83.437165639926505</v>
      </c>
      <c r="AK1219">
        <v>319.84804134613</v>
      </c>
      <c r="AL1219">
        <v>91.708623636793305</v>
      </c>
      <c r="AM1219">
        <v>85.290341607646198</v>
      </c>
      <c r="AN1219">
        <v>1.0000000550621</v>
      </c>
    </row>
    <row r="1220" spans="1:40" x14ac:dyDescent="0.3">
      <c r="A1220" t="str">
        <f>"20200111160426565"</f>
        <v>20200111160426565</v>
      </c>
      <c r="B1220" t="str">
        <f>"1578729866561518"</f>
        <v>1578729866561518</v>
      </c>
      <c r="C1220" t="s">
        <v>40</v>
      </c>
      <c r="D1220">
        <v>5.6778740000000001</v>
      </c>
      <c r="E1220">
        <v>0.5115383</v>
      </c>
      <c r="F1220" t="s">
        <v>52</v>
      </c>
      <c r="G1220">
        <v>-168.3861</v>
      </c>
      <c r="H1220">
        <v>3.3455680000000001</v>
      </c>
      <c r="I1220">
        <v>10.30523</v>
      </c>
      <c r="J1220">
        <v>-191.3519</v>
      </c>
      <c r="K1220">
        <v>1.1077170000000001</v>
      </c>
      <c r="L1220">
        <v>344.24439999999998</v>
      </c>
      <c r="M1220">
        <v>0.18169750000000001</v>
      </c>
      <c r="N1220">
        <v>0</v>
      </c>
      <c r="O1220">
        <v>-0.98335340000000004</v>
      </c>
      <c r="P1220">
        <v>0.1017401</v>
      </c>
      <c r="Q1220">
        <v>-3.103904E-2</v>
      </c>
      <c r="R1220">
        <v>-0.99432710000000002</v>
      </c>
      <c r="S1220">
        <v>0.20632929999999999</v>
      </c>
      <c r="T1220">
        <v>2.0067930000000001E-2</v>
      </c>
      <c r="U1220">
        <v>-2.9967649999999999</v>
      </c>
      <c r="V1220">
        <v>8.0537570000000003E-2</v>
      </c>
      <c r="W1220">
        <v>-2.9594390000000002E-2</v>
      </c>
      <c r="X1220">
        <v>0.99631210000000003</v>
      </c>
      <c r="Y1220">
        <v>0.1137253</v>
      </c>
      <c r="Z1220">
        <v>-6.5001190000000004E-3</v>
      </c>
      <c r="AA1220">
        <v>0.99349100000000001</v>
      </c>
      <c r="AB1220">
        <v>25</v>
      </c>
      <c r="AC1220">
        <v>22.965800000000002</v>
      </c>
      <c r="AD1220">
        <v>2.237851</v>
      </c>
      <c r="AE1220">
        <v>-333.93916999999999</v>
      </c>
      <c r="AF1220">
        <v>38.090752457293597</v>
      </c>
      <c r="AG1220">
        <v>2.237851</v>
      </c>
      <c r="AH1220">
        <v>332.53853389412501</v>
      </c>
      <c r="AI1220">
        <v>89.616932975468202</v>
      </c>
      <c r="AJ1220">
        <v>83.465512791913</v>
      </c>
      <c r="AK1220">
        <v>334.72046535029</v>
      </c>
      <c r="AL1220">
        <v>91.6958813162165</v>
      </c>
      <c r="AM1220">
        <v>85.378505240463099</v>
      </c>
      <c r="AN1220">
        <v>0.99999996435369198</v>
      </c>
    </row>
    <row r="1221" spans="1:40" x14ac:dyDescent="0.3">
      <c r="A1221" t="str">
        <f>"20200111160426586"</f>
        <v>20200111160426586</v>
      </c>
      <c r="B1221" t="str">
        <f>"1578729866582013"</f>
        <v>1578729866582013</v>
      </c>
      <c r="C1221" t="s">
        <v>40</v>
      </c>
      <c r="D1221">
        <v>5.6863679999999999</v>
      </c>
      <c r="E1221">
        <v>0.51150759999999995</v>
      </c>
      <c r="F1221" t="s">
        <v>42</v>
      </c>
      <c r="G1221">
        <v>-191.28020000000001</v>
      </c>
      <c r="H1221">
        <v>1.012024</v>
      </c>
      <c r="I1221">
        <v>343.30309999999997</v>
      </c>
      <c r="J1221">
        <v>-191.30680000000001</v>
      </c>
      <c r="K1221">
        <v>1.107674</v>
      </c>
      <c r="L1221">
        <v>343.99059999999997</v>
      </c>
      <c r="M1221">
        <v>0.1799656</v>
      </c>
      <c r="N1221">
        <v>0</v>
      </c>
      <c r="O1221">
        <v>-0.98367210000000005</v>
      </c>
      <c r="P1221">
        <v>0.10200339999999999</v>
      </c>
      <c r="Q1221">
        <v>-3.1197559999999999E-2</v>
      </c>
      <c r="R1221">
        <v>-0.99429489999999998</v>
      </c>
      <c r="S1221">
        <v>0.22817989999999999</v>
      </c>
      <c r="T1221">
        <v>-0.30351919999999999</v>
      </c>
      <c r="U1221">
        <v>-2.9843139999999999</v>
      </c>
      <c r="V1221">
        <v>7.851582E-2</v>
      </c>
      <c r="W1221">
        <v>-3.0019710000000002E-2</v>
      </c>
      <c r="X1221">
        <v>0.99646080000000004</v>
      </c>
      <c r="Y1221">
        <v>0.10482229999999999</v>
      </c>
      <c r="Z1221">
        <v>9.8295759999999996E-2</v>
      </c>
      <c r="AA1221">
        <v>0.98962130000000004</v>
      </c>
      <c r="AB1221">
        <v>25</v>
      </c>
      <c r="AC1221">
        <v>2.66000000000019E-2</v>
      </c>
      <c r="AD1221">
        <v>-9.5649999999999999E-2</v>
      </c>
      <c r="AE1221">
        <v>-0.6875</v>
      </c>
      <c r="AF1221">
        <v>9.57109002540492E-2</v>
      </c>
      <c r="AG1221">
        <v>-9.5649999999999999E-2</v>
      </c>
      <c r="AH1221">
        <v>0.66814857437181296</v>
      </c>
      <c r="AI1221">
        <v>98.065692519185703</v>
      </c>
      <c r="AJ1221">
        <v>81.847956198843704</v>
      </c>
      <c r="AK1221">
        <v>0.68171256139411696</v>
      </c>
      <c r="AL1221">
        <v>91.720261092630594</v>
      </c>
      <c r="AM1221">
        <v>85.494705280923895</v>
      </c>
      <c r="AN1221">
        <v>1.0000000214576901</v>
      </c>
    </row>
    <row r="1222" spans="1:40" x14ac:dyDescent="0.3">
      <c r="A1222" t="str">
        <f>"20200111160426609"</f>
        <v>20200111160426609</v>
      </c>
      <c r="B1222" t="str">
        <f>"1578729866601533"</f>
        <v>1578729866601533</v>
      </c>
      <c r="C1222" t="s">
        <v>40</v>
      </c>
      <c r="D1222">
        <v>5.6946960000000004</v>
      </c>
      <c r="E1222">
        <v>0.51107440000000004</v>
      </c>
      <c r="F1222" t="s">
        <v>42</v>
      </c>
      <c r="G1222">
        <v>-191.23670000000001</v>
      </c>
      <c r="H1222">
        <v>1.014732</v>
      </c>
      <c r="I1222">
        <v>343.07510000000002</v>
      </c>
      <c r="J1222">
        <v>-191.2603</v>
      </c>
      <c r="K1222">
        <v>1.1076280000000001</v>
      </c>
      <c r="L1222">
        <v>343.72570000000002</v>
      </c>
      <c r="M1222">
        <v>0.17815629999999999</v>
      </c>
      <c r="N1222">
        <v>0</v>
      </c>
      <c r="O1222">
        <v>-0.98400160000000003</v>
      </c>
      <c r="P1222">
        <v>0.1023959</v>
      </c>
      <c r="Q1222">
        <v>-3.2072570000000002E-2</v>
      </c>
      <c r="R1222">
        <v>-0.99422690000000002</v>
      </c>
      <c r="S1222">
        <v>0.22868350000000001</v>
      </c>
      <c r="T1222">
        <v>-0.30293389999999998</v>
      </c>
      <c r="U1222">
        <v>-2.9842529999999998</v>
      </c>
      <c r="V1222">
        <v>7.6280180000000003E-2</v>
      </c>
      <c r="W1222">
        <v>-3.1132360000000001E-2</v>
      </c>
      <c r="X1222">
        <v>0.99660029999999999</v>
      </c>
      <c r="Y1222">
        <v>0.1028246</v>
      </c>
      <c r="Z1222">
        <v>9.816954E-2</v>
      </c>
      <c r="AA1222">
        <v>0.98984340000000004</v>
      </c>
      <c r="AB1222">
        <v>26</v>
      </c>
      <c r="AC1222">
        <v>2.35999999999876E-2</v>
      </c>
      <c r="AD1222">
        <v>-9.2896000000000006E-2</v>
      </c>
      <c r="AE1222">
        <v>-0.65059999999999696</v>
      </c>
      <c r="AF1222">
        <v>9.0836600061266898E-2</v>
      </c>
      <c r="AG1222">
        <v>-9.2896000000000006E-2</v>
      </c>
      <c r="AH1222">
        <v>0.63153769847394203</v>
      </c>
      <c r="AI1222">
        <v>98.283862198609796</v>
      </c>
      <c r="AJ1222">
        <v>81.815054168268702</v>
      </c>
      <c r="AK1222">
        <v>0.64476415790617103</v>
      </c>
      <c r="AL1222">
        <v>91.784041060128899</v>
      </c>
      <c r="AM1222">
        <v>85.623092399496002</v>
      </c>
      <c r="AN1222">
        <v>1.0000000238300399</v>
      </c>
    </row>
    <row r="1223" spans="1:40" x14ac:dyDescent="0.3">
      <c r="A1223" t="str">
        <f>"20200111160426631"</f>
        <v>20200111160426631</v>
      </c>
      <c r="B1223" t="str">
        <f>"1578729866621670"</f>
        <v>1578729866621670</v>
      </c>
      <c r="C1223" t="s">
        <v>40</v>
      </c>
      <c r="D1223">
        <v>5.7429639999999997</v>
      </c>
      <c r="E1223">
        <v>0.50923719999999995</v>
      </c>
      <c r="F1223" t="s">
        <v>42</v>
      </c>
      <c r="G1223">
        <v>-191.19159999999999</v>
      </c>
      <c r="H1223">
        <v>1.017204</v>
      </c>
      <c r="I1223">
        <v>342.84559999999999</v>
      </c>
      <c r="J1223">
        <v>-191.2175</v>
      </c>
      <c r="K1223">
        <v>1.107583</v>
      </c>
      <c r="L1223">
        <v>343.4796</v>
      </c>
      <c r="M1223">
        <v>0.1764725</v>
      </c>
      <c r="N1223">
        <v>0</v>
      </c>
      <c r="O1223">
        <v>-0.98430530000000005</v>
      </c>
      <c r="P1223">
        <v>0.1028275</v>
      </c>
      <c r="Q1223">
        <v>-3.3061569999999998E-2</v>
      </c>
      <c r="R1223">
        <v>-0.99414990000000003</v>
      </c>
      <c r="S1223">
        <v>0.2332458</v>
      </c>
      <c r="T1223">
        <v>-0.30665559999999997</v>
      </c>
      <c r="U1223">
        <v>-2.9834900000000002</v>
      </c>
      <c r="V1223">
        <v>7.4131600000000006E-2</v>
      </c>
      <c r="W1223">
        <v>-3.231005E-2</v>
      </c>
      <c r="X1223">
        <v>0.99672490000000002</v>
      </c>
      <c r="Y1223">
        <v>9.9608150000000006E-2</v>
      </c>
      <c r="Z1223">
        <v>9.944559E-2</v>
      </c>
      <c r="AA1223">
        <v>0.99004479999999995</v>
      </c>
      <c r="AB1223">
        <v>26</v>
      </c>
      <c r="AC1223">
        <v>2.5900000000007101E-2</v>
      </c>
      <c r="AD1223">
        <v>-9.0379000000000001E-2</v>
      </c>
      <c r="AE1223">
        <v>-0.634000000000014</v>
      </c>
      <c r="AF1223">
        <v>8.4672276753575998E-2</v>
      </c>
      <c r="AG1223">
        <v>-9.0379000000000001E-2</v>
      </c>
      <c r="AH1223">
        <v>0.61612070615888204</v>
      </c>
      <c r="AI1223">
        <v>98.268595854049906</v>
      </c>
      <c r="AJ1223">
        <v>82.174968596180094</v>
      </c>
      <c r="AK1223">
        <v>0.62844449448567297</v>
      </c>
      <c r="AL1223">
        <v>91.851551784771104</v>
      </c>
      <c r="AM1223">
        <v>85.746447276761302</v>
      </c>
      <c r="AN1223">
        <v>0.99999997986478595</v>
      </c>
    </row>
    <row r="1224" spans="1:40" x14ac:dyDescent="0.3">
      <c r="A1224" t="str">
        <f>"20200111160426653"</f>
        <v>20200111160426653</v>
      </c>
      <c r="B1224" t="str">
        <f>"1578729866642166"</f>
        <v>1578729866642166</v>
      </c>
      <c r="C1224" t="s">
        <v>40</v>
      </c>
      <c r="D1224">
        <v>5.5463750000000003</v>
      </c>
      <c r="E1224">
        <v>0.51891909999999997</v>
      </c>
      <c r="F1224" t="s">
        <v>53</v>
      </c>
      <c r="G1224">
        <v>-173.4383</v>
      </c>
      <c r="H1224">
        <v>5.0514970000000003</v>
      </c>
      <c r="I1224">
        <v>106.9699</v>
      </c>
      <c r="J1224">
        <v>-191.17259999999999</v>
      </c>
      <c r="K1224">
        <v>1.1075330000000001</v>
      </c>
      <c r="L1224">
        <v>343.21890000000002</v>
      </c>
      <c r="M1224">
        <v>0.1746828</v>
      </c>
      <c r="N1224">
        <v>0</v>
      </c>
      <c r="O1224">
        <v>-0.98462439999999996</v>
      </c>
      <c r="P1224">
        <v>0.10315630000000001</v>
      </c>
      <c r="Q1224">
        <v>-3.3730370000000003E-2</v>
      </c>
      <c r="R1224">
        <v>-0.99409320000000001</v>
      </c>
      <c r="S1224">
        <v>0.22521969999999999</v>
      </c>
      <c r="T1224">
        <v>4.996014E-2</v>
      </c>
      <c r="U1224">
        <v>-2.9960019999999998</v>
      </c>
      <c r="V1224">
        <v>7.1981470000000006E-2</v>
      </c>
      <c r="W1224">
        <v>-3.314922E-2</v>
      </c>
      <c r="X1224">
        <v>0.99685500000000005</v>
      </c>
      <c r="Y1224">
        <v>0.10039190000000001</v>
      </c>
      <c r="Z1224">
        <v>-1.6224619999999999E-2</v>
      </c>
      <c r="AA1224">
        <v>0.99481560000000002</v>
      </c>
      <c r="AB1224">
        <v>26</v>
      </c>
      <c r="AC1224">
        <v>17.734299999999902</v>
      </c>
      <c r="AD1224">
        <v>3.9439639999999998</v>
      </c>
      <c r="AE1224">
        <v>-236.249</v>
      </c>
      <c r="AF1224">
        <v>23.800424932752001</v>
      </c>
      <c r="AG1224">
        <v>3.9439639999999998</v>
      </c>
      <c r="AH1224">
        <v>235.649185005753</v>
      </c>
      <c r="AI1224">
        <v>89.0460060392777</v>
      </c>
      <c r="AJ1224">
        <v>84.232718361047404</v>
      </c>
      <c r="AK1224">
        <v>236.88088456624899</v>
      </c>
      <c r="AL1224">
        <v>91.8996583325643</v>
      </c>
      <c r="AM1224">
        <v>85.869922154723</v>
      </c>
      <c r="AN1224">
        <v>1.0000000469174799</v>
      </c>
    </row>
    <row r="1225" spans="1:40" x14ac:dyDescent="0.3">
      <c r="A1225" t="str">
        <f>"20200111160426676"</f>
        <v>20200111160426676</v>
      </c>
      <c r="B1225" t="str">
        <f>"1578729866671446"</f>
        <v>1578729866671446</v>
      </c>
      <c r="C1225" t="s">
        <v>40</v>
      </c>
      <c r="D1225">
        <v>5.7657800000000003</v>
      </c>
      <c r="E1225">
        <v>0.53654939999999995</v>
      </c>
      <c r="F1225" t="s">
        <v>46</v>
      </c>
      <c r="G1225">
        <v>0</v>
      </c>
      <c r="H1225">
        <v>0</v>
      </c>
      <c r="I1225">
        <v>0</v>
      </c>
      <c r="J1225">
        <v>-191.1284</v>
      </c>
      <c r="K1225">
        <v>1.1074850000000001</v>
      </c>
      <c r="L1225">
        <v>342.95979999999997</v>
      </c>
      <c r="M1225">
        <v>0.17289389999999999</v>
      </c>
      <c r="N1225">
        <v>0</v>
      </c>
      <c r="O1225">
        <v>-0.98494020000000004</v>
      </c>
      <c r="P1225">
        <v>0.1034041</v>
      </c>
      <c r="Q1225">
        <v>-3.4527750000000003E-2</v>
      </c>
      <c r="R1225">
        <v>-0.99403989999999998</v>
      </c>
      <c r="S1225">
        <v>0.15093989999999999</v>
      </c>
      <c r="T1225">
        <v>2.4471039999999999E-2</v>
      </c>
      <c r="U1225">
        <v>-3.0029599999999999</v>
      </c>
      <c r="V1225">
        <v>6.9912260000000004E-2</v>
      </c>
      <c r="W1225">
        <v>-3.409003E-2</v>
      </c>
      <c r="X1225">
        <v>0.99697049999999998</v>
      </c>
      <c r="Y1225">
        <v>0.1232332</v>
      </c>
      <c r="Z1225">
        <v>-7.9288399999999995E-3</v>
      </c>
      <c r="AA1225">
        <v>0.99234599999999995</v>
      </c>
      <c r="AB1225">
        <v>26</v>
      </c>
      <c r="AC1225">
        <v>0.15093989999999999</v>
      </c>
      <c r="AD1225">
        <v>2.4471039999999999E-2</v>
      </c>
      <c r="AE1225">
        <v>-3.0029599999999999</v>
      </c>
      <c r="AF1225">
        <v>0.37050224212822003</v>
      </c>
      <c r="AG1225">
        <v>2.4471039999999999E-2</v>
      </c>
      <c r="AH1225">
        <v>2.9836357282649399</v>
      </c>
      <c r="AI1225">
        <v>89.533666333180804</v>
      </c>
      <c r="AJ1225">
        <v>82.9213547524879</v>
      </c>
      <c r="AK1225">
        <v>3.0066514434167102</v>
      </c>
      <c r="AL1225">
        <v>91.9535933240482</v>
      </c>
      <c r="AM1225">
        <v>85.988717017204493</v>
      </c>
      <c r="AN1225">
        <v>1.00000001605697</v>
      </c>
    </row>
    <row r="1226" spans="1:40" x14ac:dyDescent="0.3">
      <c r="A1226" t="str">
        <f>"20200111160426697"</f>
        <v>20200111160426697</v>
      </c>
      <c r="B1226" t="str">
        <f>"1578729866691942"</f>
        <v>1578729866691942</v>
      </c>
      <c r="C1226" t="s">
        <v>40</v>
      </c>
      <c r="D1226">
        <v>5.680701</v>
      </c>
      <c r="E1226">
        <v>0.54159159999999995</v>
      </c>
      <c r="F1226" t="s">
        <v>41</v>
      </c>
      <c r="G1226">
        <v>-190.66589999999999</v>
      </c>
      <c r="H1226" s="1">
        <v>-1.606194E-6</v>
      </c>
      <c r="I1226">
        <v>252.92019999999999</v>
      </c>
      <c r="J1226">
        <v>-191.0847</v>
      </c>
      <c r="K1226">
        <v>1.1074310000000001</v>
      </c>
      <c r="L1226">
        <v>342.7</v>
      </c>
      <c r="M1226">
        <v>0.1710845</v>
      </c>
      <c r="N1226">
        <v>0</v>
      </c>
      <c r="O1226">
        <v>-0.98525609999999997</v>
      </c>
      <c r="P1226">
        <v>0.10335759999999999</v>
      </c>
      <c r="Q1226">
        <v>-3.5256160000000002E-2</v>
      </c>
      <c r="R1226">
        <v>-0.99401910000000004</v>
      </c>
      <c r="S1226">
        <v>1.548767E-2</v>
      </c>
      <c r="T1226">
        <v>-3.7085409999999999E-2</v>
      </c>
      <c r="U1226">
        <v>-3.0150760000000001</v>
      </c>
      <c r="V1226">
        <v>6.8117919999999998E-2</v>
      </c>
      <c r="W1226">
        <v>-3.4940609999999997E-2</v>
      </c>
      <c r="X1226">
        <v>0.99706519999999998</v>
      </c>
      <c r="Y1226">
        <v>0.16602159999999999</v>
      </c>
      <c r="Z1226">
        <v>1.194169E-2</v>
      </c>
      <c r="AA1226">
        <v>0.98604979999999998</v>
      </c>
      <c r="AB1226">
        <v>26</v>
      </c>
      <c r="AC1226">
        <v>0.418800000000004</v>
      </c>
      <c r="AD1226">
        <v>-1.1074326061939901</v>
      </c>
      <c r="AE1226">
        <v>-89.779799999999994</v>
      </c>
      <c r="AF1226">
        <v>14.9450368933962</v>
      </c>
      <c r="AG1226">
        <v>-1.1074326061939901</v>
      </c>
      <c r="AH1226">
        <v>88.514301101320299</v>
      </c>
      <c r="AI1226">
        <v>90.706806640909093</v>
      </c>
      <c r="AJ1226">
        <v>80.416385644926194</v>
      </c>
      <c r="AK1226">
        <v>89.773949641181702</v>
      </c>
      <c r="AL1226">
        <v>92.002357145814997</v>
      </c>
      <c r="AM1226">
        <v>86.091715786939304</v>
      </c>
      <c r="AN1226">
        <v>0.99999995515166795</v>
      </c>
    </row>
    <row r="1227" spans="1:40" x14ac:dyDescent="0.3">
      <c r="A1227" t="str">
        <f>"20200111160426721"</f>
        <v>20200111160426721</v>
      </c>
      <c r="B1227" t="str">
        <f>"1578729866712052"</f>
        <v>1578729866712052</v>
      </c>
      <c r="C1227" t="s">
        <v>40</v>
      </c>
      <c r="D1227">
        <v>5.839423</v>
      </c>
      <c r="E1227">
        <v>0.54456059999999995</v>
      </c>
      <c r="F1227" t="s">
        <v>41</v>
      </c>
      <c r="G1227">
        <v>-191.33779999999999</v>
      </c>
      <c r="H1227" s="1">
        <v>-3.481307E-6</v>
      </c>
      <c r="I1227">
        <v>306.87439999999998</v>
      </c>
      <c r="J1227">
        <v>-191.03819999999999</v>
      </c>
      <c r="K1227">
        <v>1.107359</v>
      </c>
      <c r="L1227">
        <v>342.42079999999999</v>
      </c>
      <c r="M1227">
        <v>0.16911119999999999</v>
      </c>
      <c r="N1227">
        <v>0</v>
      </c>
      <c r="O1227">
        <v>-0.98559699999999995</v>
      </c>
      <c r="P1227">
        <v>0.10227509999999999</v>
      </c>
      <c r="Q1227">
        <v>-3.7174869999999999E-2</v>
      </c>
      <c r="R1227">
        <v>-0.99406130000000004</v>
      </c>
      <c r="S1227">
        <v>-2.131653E-2</v>
      </c>
      <c r="T1227">
        <v>-9.3260880000000004E-2</v>
      </c>
      <c r="U1227">
        <v>-3.0169980000000001</v>
      </c>
      <c r="V1227">
        <v>6.718507E-2</v>
      </c>
      <c r="W1227">
        <v>-3.6972860000000003E-2</v>
      </c>
      <c r="X1227">
        <v>0.99705520000000003</v>
      </c>
      <c r="Y1227">
        <v>0.17606659999999999</v>
      </c>
      <c r="Z1227">
        <v>2.9987799999999998E-2</v>
      </c>
      <c r="AA1227">
        <v>0.9839213</v>
      </c>
      <c r="AB1227">
        <v>27</v>
      </c>
      <c r="AC1227">
        <v>-0.29959999999999798</v>
      </c>
      <c r="AD1227">
        <v>-1.107362481307</v>
      </c>
      <c r="AE1227">
        <v>-35.546399999999998</v>
      </c>
      <c r="AF1227">
        <v>6.3004650150363704</v>
      </c>
      <c r="AG1227">
        <v>-1.107362481307</v>
      </c>
      <c r="AH1227">
        <v>34.949842856441201</v>
      </c>
      <c r="AI1227">
        <v>91.786001974299296</v>
      </c>
      <c r="AJ1227">
        <v>79.780952362727106</v>
      </c>
      <c r="AK1227">
        <v>35.530460548107698</v>
      </c>
      <c r="AL1227">
        <v>92.118871876826105</v>
      </c>
      <c r="AM1227">
        <v>86.145037272538204</v>
      </c>
      <c r="AN1227">
        <v>0.99999994892726096</v>
      </c>
    </row>
    <row r="1228" spans="1:40" x14ac:dyDescent="0.3">
      <c r="A1228" t="str">
        <f>"20200111160426743"</f>
        <v>20200111160426743</v>
      </c>
      <c r="B1228" t="str">
        <f>"1578729866731571"</f>
        <v>1578729866731571</v>
      </c>
      <c r="C1228" t="s">
        <v>40</v>
      </c>
      <c r="D1228">
        <v>5.6965890000000003</v>
      </c>
      <c r="E1228">
        <v>0.54696420000000001</v>
      </c>
      <c r="F1228" t="s">
        <v>41</v>
      </c>
      <c r="G1228">
        <v>-191.43039999999999</v>
      </c>
      <c r="H1228" s="1">
        <v>-3.80296E-6</v>
      </c>
      <c r="I1228">
        <v>316.83159999999998</v>
      </c>
      <c r="J1228">
        <v>-190.99539999999999</v>
      </c>
      <c r="K1228">
        <v>1.1072850000000001</v>
      </c>
      <c r="L1228">
        <v>342.16050000000001</v>
      </c>
      <c r="M1228">
        <v>0.1672293</v>
      </c>
      <c r="N1228">
        <v>0</v>
      </c>
      <c r="O1228">
        <v>-0.98591790000000001</v>
      </c>
      <c r="P1228">
        <v>0.1007289</v>
      </c>
      <c r="Q1228">
        <v>-3.8921699999999997E-2</v>
      </c>
      <c r="R1228">
        <v>-0.99415229999999999</v>
      </c>
      <c r="S1228">
        <v>-4.6249390000000001E-2</v>
      </c>
      <c r="T1228">
        <v>-0.13059219999999999</v>
      </c>
      <c r="U1228">
        <v>-3.0177610000000001</v>
      </c>
      <c r="V1228">
        <v>6.6810649999999999E-2</v>
      </c>
      <c r="W1228">
        <v>-3.8810009999999999E-2</v>
      </c>
      <c r="X1228">
        <v>0.99701059999999997</v>
      </c>
      <c r="Y1228">
        <v>0.18230279999999999</v>
      </c>
      <c r="Z1228">
        <v>4.1955989999999999E-2</v>
      </c>
      <c r="AA1228">
        <v>0.98234690000000002</v>
      </c>
      <c r="AB1228">
        <v>27</v>
      </c>
      <c r="AC1228">
        <v>-0.435000000000002</v>
      </c>
      <c r="AD1228">
        <v>-1.1072888029600001</v>
      </c>
      <c r="AE1228">
        <v>-25.328900000000001</v>
      </c>
      <c r="AF1228">
        <v>4.6557140703022704</v>
      </c>
      <c r="AG1228">
        <v>-1.1072888029600001</v>
      </c>
      <c r="AH1228">
        <v>24.851993067221201</v>
      </c>
      <c r="AI1228">
        <v>92.507579546776896</v>
      </c>
      <c r="AJ1228">
        <v>79.389330838585394</v>
      </c>
      <c r="AK1228">
        <v>25.308562215400201</v>
      </c>
      <c r="AL1228">
        <v>92.224208352844599</v>
      </c>
      <c r="AM1228">
        <v>86.166285627193801</v>
      </c>
      <c r="AN1228">
        <v>1.0000000081709901</v>
      </c>
    </row>
    <row r="1229" spans="1:40" x14ac:dyDescent="0.3">
      <c r="A1229" t="str">
        <f>"20200111160426765"</f>
        <v>20200111160426765</v>
      </c>
      <c r="B1229" t="str">
        <f>"1578729866761828"</f>
        <v>1578729866761828</v>
      </c>
      <c r="C1229" t="s">
        <v>40</v>
      </c>
      <c r="D1229">
        <v>5.687951</v>
      </c>
      <c r="E1229">
        <v>0.54968419999999996</v>
      </c>
      <c r="F1229" t="s">
        <v>41</v>
      </c>
      <c r="G1229">
        <v>-191.47389999999999</v>
      </c>
      <c r="H1229" s="1">
        <v>-1.0590459999999999E-6</v>
      </c>
      <c r="I1229">
        <v>321.14359999999999</v>
      </c>
      <c r="J1229">
        <v>-190.95169999999999</v>
      </c>
      <c r="K1229">
        <v>1.1072010000000001</v>
      </c>
      <c r="L1229">
        <v>341.89080000000001</v>
      </c>
      <c r="M1229">
        <v>0.165218899999999</v>
      </c>
      <c r="N1229">
        <v>0</v>
      </c>
      <c r="O1229">
        <v>-0.98625700000000005</v>
      </c>
      <c r="P1229">
        <v>9.8025379999999995E-2</v>
      </c>
      <c r="Q1229">
        <v>-3.9595239999999997E-2</v>
      </c>
      <c r="R1229">
        <v>-0.99439619999999995</v>
      </c>
      <c r="S1229">
        <v>-6.8725590000000003E-2</v>
      </c>
      <c r="T1229">
        <v>-0.15902439999999901</v>
      </c>
      <c r="U1229">
        <v>-3.0183719999999998</v>
      </c>
      <c r="V1229">
        <v>6.7476079999999994E-2</v>
      </c>
      <c r="W1229">
        <v>-3.9565879999999998E-2</v>
      </c>
      <c r="X1229">
        <v>0.99693609999999999</v>
      </c>
      <c r="Y1229">
        <v>0.18759429999999999</v>
      </c>
      <c r="Z1229">
        <v>5.1054049999999997E-2</v>
      </c>
      <c r="AA1229">
        <v>0.98091890000000004</v>
      </c>
      <c r="AB1229">
        <v>27</v>
      </c>
      <c r="AC1229">
        <v>-0.522199999999998</v>
      </c>
      <c r="AD1229">
        <v>-1.1072020590459899</v>
      </c>
      <c r="AE1229">
        <v>-20.747199999999999</v>
      </c>
      <c r="AF1229">
        <v>3.9316625103729299</v>
      </c>
      <c r="AG1229">
        <v>-1.1072020590459899</v>
      </c>
      <c r="AH1229">
        <v>20.317964108302501</v>
      </c>
      <c r="AI1229">
        <v>93.0624778698147</v>
      </c>
      <c r="AJ1229">
        <v>79.048238741106303</v>
      </c>
      <c r="AK1229">
        <v>20.724466989558401</v>
      </c>
      <c r="AL1229">
        <v>92.267549748525994</v>
      </c>
      <c r="AM1229">
        <v>86.127929177295201</v>
      </c>
      <c r="AN1229">
        <v>1.0000000338577699</v>
      </c>
    </row>
    <row r="1230" spans="1:40" x14ac:dyDescent="0.3">
      <c r="A1230" t="str">
        <f>"20200111160426788"</f>
        <v>20200111160426788</v>
      </c>
      <c r="B1230" t="str">
        <f>"1578729866782324"</f>
        <v>1578729866782324</v>
      </c>
      <c r="C1230" t="s">
        <v>40</v>
      </c>
      <c r="D1230">
        <v>5.726159</v>
      </c>
      <c r="E1230">
        <v>0.55066110000000001</v>
      </c>
      <c r="F1230" t="s">
        <v>41</v>
      </c>
      <c r="G1230">
        <v>-191.53380000000001</v>
      </c>
      <c r="H1230" s="1">
        <v>-2.2168769999999999E-6</v>
      </c>
      <c r="I1230">
        <v>323.80540000000002</v>
      </c>
      <c r="J1230">
        <v>-190.90719999999999</v>
      </c>
      <c r="K1230">
        <v>1.1071139999999999</v>
      </c>
      <c r="L1230">
        <v>341.61290000000002</v>
      </c>
      <c r="M1230">
        <v>0.16307240000000001</v>
      </c>
      <c r="N1230">
        <v>0</v>
      </c>
      <c r="O1230">
        <v>-0.98661430000000006</v>
      </c>
      <c r="P1230">
        <v>9.5495910000000003E-2</v>
      </c>
      <c r="Q1230">
        <v>-3.9532650000000003E-2</v>
      </c>
      <c r="R1230">
        <v>-0.99464450000000004</v>
      </c>
      <c r="S1230">
        <v>-9.7183229999999995E-2</v>
      </c>
      <c r="T1230">
        <v>-0.18483379999999999</v>
      </c>
      <c r="U1230">
        <v>-3.0191349999999999</v>
      </c>
      <c r="V1230">
        <v>6.7835599999999996E-2</v>
      </c>
      <c r="W1230">
        <v>-3.9573499999999998E-2</v>
      </c>
      <c r="X1230">
        <v>0.99691129999999994</v>
      </c>
      <c r="Y1230">
        <v>0.1946695</v>
      </c>
      <c r="Z1230">
        <v>5.9279180000000001E-2</v>
      </c>
      <c r="AA1230">
        <v>0.97907599999999995</v>
      </c>
      <c r="AB1230">
        <v>27</v>
      </c>
      <c r="AC1230">
        <v>-0.62660000000002403</v>
      </c>
      <c r="AD1230">
        <v>-1.1071162168769999</v>
      </c>
      <c r="AE1230">
        <v>-17.807500000000001</v>
      </c>
      <c r="AF1230">
        <v>3.5085787511855702</v>
      </c>
      <c r="AG1230">
        <v>-1.1071162168769999</v>
      </c>
      <c r="AH1230">
        <v>17.399777846487801</v>
      </c>
      <c r="AI1230">
        <v>93.569072090366504</v>
      </c>
      <c r="AJ1230">
        <v>78.599468032474405</v>
      </c>
      <c r="AK1230">
        <v>17.784490441901099</v>
      </c>
      <c r="AL1230">
        <v>92.267986908201294</v>
      </c>
      <c r="AM1230">
        <v>86.107265076594402</v>
      </c>
      <c r="AN1230">
        <v>0.99999993529864795</v>
      </c>
    </row>
    <row r="1231" spans="1:40" x14ac:dyDescent="0.3">
      <c r="A1231" t="str">
        <f>"20200111160426810"</f>
        <v>20200111160426810</v>
      </c>
      <c r="B1231" t="str">
        <f>"1578729866801844"</f>
        <v>1578729866801844</v>
      </c>
      <c r="C1231" t="s">
        <v>40</v>
      </c>
      <c r="D1231">
        <v>5.7374479999999997</v>
      </c>
      <c r="E1231">
        <v>0.55173309999999998</v>
      </c>
      <c r="F1231" t="s">
        <v>41</v>
      </c>
      <c r="G1231">
        <v>-191.55459999999999</v>
      </c>
      <c r="H1231" s="1">
        <v>-2.397833E-6</v>
      </c>
      <c r="I1231">
        <v>324.21429999999998</v>
      </c>
      <c r="J1231">
        <v>-190.86279999999999</v>
      </c>
      <c r="K1231">
        <v>1.10703</v>
      </c>
      <c r="L1231">
        <v>341.33049999999997</v>
      </c>
      <c r="M1231">
        <v>0.16082439999999901</v>
      </c>
      <c r="N1231">
        <v>0</v>
      </c>
      <c r="O1231">
        <v>-0.98698319999999995</v>
      </c>
      <c r="P1231">
        <v>9.2324030000000001E-2</v>
      </c>
      <c r="Q1231">
        <v>-3.7862989999999999E-2</v>
      </c>
      <c r="R1231">
        <v>-0.99500909999999998</v>
      </c>
      <c r="S1231">
        <v>-0.11235050000000001</v>
      </c>
      <c r="T1231">
        <v>-0.1921272</v>
      </c>
      <c r="U1231">
        <v>-3.0193180000000002</v>
      </c>
      <c r="V1231">
        <v>6.8752679999999997E-2</v>
      </c>
      <c r="W1231">
        <v>-3.7965230000000003E-2</v>
      </c>
      <c r="X1231">
        <v>0.99691110000000005</v>
      </c>
      <c r="Y1231">
        <v>0.19733919999999999</v>
      </c>
      <c r="Z1231">
        <v>6.1618020000000003E-2</v>
      </c>
      <c r="AA1231">
        <v>0.97839690000000001</v>
      </c>
      <c r="AB1231">
        <v>28</v>
      </c>
      <c r="AC1231">
        <v>-0.69179999999999997</v>
      </c>
      <c r="AD1231">
        <v>-1.1070323978329999</v>
      </c>
      <c r="AE1231">
        <v>-17.1161999999999</v>
      </c>
      <c r="AF1231">
        <v>3.4212088436687198</v>
      </c>
      <c r="AG1231">
        <v>-1.1070323978329999</v>
      </c>
      <c r="AH1231">
        <v>16.7123441751211</v>
      </c>
      <c r="AI1231">
        <v>93.712980068108806</v>
      </c>
      <c r="AJ1231">
        <v>78.4307385184743</v>
      </c>
      <c r="AK1231">
        <v>17.094813204874502</v>
      </c>
      <c r="AL1231">
        <v>92.175770304695803</v>
      </c>
      <c r="AM1231">
        <v>86.054802883001301</v>
      </c>
      <c r="AN1231">
        <v>1.00000001549967</v>
      </c>
    </row>
    <row r="1232" spans="1:40" x14ac:dyDescent="0.3">
      <c r="A1232" t="str">
        <f>"20200111160426834"</f>
        <v>20200111160426834</v>
      </c>
      <c r="B1232" t="str">
        <f>"1578729866822340"</f>
        <v>1578729866822340</v>
      </c>
      <c r="C1232" t="s">
        <v>40</v>
      </c>
      <c r="D1232">
        <v>5.7190510000000003</v>
      </c>
      <c r="E1232">
        <v>0.55218080000000003</v>
      </c>
      <c r="F1232" t="s">
        <v>41</v>
      </c>
      <c r="G1232">
        <v>-191.60560000000001</v>
      </c>
      <c r="H1232" s="1">
        <v>-2.3627799999999999E-6</v>
      </c>
      <c r="I1232">
        <v>324.101</v>
      </c>
      <c r="J1232">
        <v>-190.81899999999999</v>
      </c>
      <c r="K1232">
        <v>1.1069420000000001</v>
      </c>
      <c r="L1232">
        <v>341.04820000000001</v>
      </c>
      <c r="M1232">
        <v>0.1585047</v>
      </c>
      <c r="N1232">
        <v>0</v>
      </c>
      <c r="O1232">
        <v>-0.98735830000000002</v>
      </c>
      <c r="P1232">
        <v>8.9259690000000003E-2</v>
      </c>
      <c r="Q1232">
        <v>-3.5903329999999997E-2</v>
      </c>
      <c r="R1232">
        <v>-0.9953611</v>
      </c>
      <c r="S1232">
        <v>-0.130188</v>
      </c>
      <c r="T1232">
        <v>-0.1940269</v>
      </c>
      <c r="U1232">
        <v>-3.0197750000000001</v>
      </c>
      <c r="V1232">
        <v>6.9491990000000003E-2</v>
      </c>
      <c r="W1232">
        <v>-3.6056089999999999E-2</v>
      </c>
      <c r="X1232">
        <v>0.99693069999999895</v>
      </c>
      <c r="Y1232">
        <v>0.200797</v>
      </c>
      <c r="Z1232">
        <v>6.2221459999999999E-2</v>
      </c>
      <c r="AA1232">
        <v>0.97765489999999999</v>
      </c>
      <c r="AB1232">
        <v>28</v>
      </c>
      <c r="AC1232">
        <v>-0.78659999999999197</v>
      </c>
      <c r="AD1232">
        <v>-1.10694436278</v>
      </c>
      <c r="AE1232">
        <v>-16.947199999999999</v>
      </c>
      <c r="AF1232">
        <v>3.44818710528713</v>
      </c>
      <c r="AG1232">
        <v>-1.10694436278</v>
      </c>
      <c r="AH1232">
        <v>16.537872969267099</v>
      </c>
      <c r="AI1232">
        <v>93.748933311451296</v>
      </c>
      <c r="AJ1232">
        <v>78.222424531192004</v>
      </c>
      <c r="AK1232">
        <v>16.929753763211501</v>
      </c>
      <c r="AL1232">
        <v>92.0663096636641</v>
      </c>
      <c r="AM1232">
        <v>86.012593733721204</v>
      </c>
      <c r="AN1232">
        <v>0.99999999945136897</v>
      </c>
    </row>
    <row r="1233" spans="1:40" x14ac:dyDescent="0.3">
      <c r="A1233" t="str">
        <f>"20200111160426854"</f>
        <v>20200111160426854</v>
      </c>
      <c r="B1233" t="str">
        <f>"1578729866851620"</f>
        <v>1578729866851620</v>
      </c>
      <c r="C1233" t="s">
        <v>40</v>
      </c>
      <c r="D1233">
        <v>6.0218769999999999</v>
      </c>
      <c r="E1233">
        <v>0.5527107</v>
      </c>
      <c r="F1233" t="s">
        <v>41</v>
      </c>
      <c r="G1233">
        <v>-191.6345</v>
      </c>
      <c r="H1233" s="1">
        <v>-2.2387849999999999E-6</v>
      </c>
      <c r="I1233">
        <v>323.79399999999998</v>
      </c>
      <c r="J1233">
        <v>-190.77959999999999</v>
      </c>
      <c r="K1233">
        <v>1.1068639999999901</v>
      </c>
      <c r="L1233">
        <v>340.78930000000003</v>
      </c>
      <c r="M1233">
        <v>0.1563107</v>
      </c>
      <c r="N1233">
        <v>0</v>
      </c>
      <c r="O1233">
        <v>-0.98770820000000004</v>
      </c>
      <c r="P1233">
        <v>8.656904E-2</v>
      </c>
      <c r="Q1233">
        <v>-3.397534E-2</v>
      </c>
      <c r="R1233">
        <v>-0.99566659999999996</v>
      </c>
      <c r="S1233">
        <v>-0.1427155</v>
      </c>
      <c r="T1233">
        <v>-0.1937364</v>
      </c>
      <c r="U1233">
        <v>-3.019806</v>
      </c>
      <c r="V1233">
        <v>6.9983939999999994E-2</v>
      </c>
      <c r="W1233">
        <v>-3.4163850000000003E-2</v>
      </c>
      <c r="X1233">
        <v>0.99696289999999999</v>
      </c>
      <c r="Y1233">
        <v>0.2026675</v>
      </c>
      <c r="Z1233">
        <v>6.214339E-2</v>
      </c>
      <c r="AA1233">
        <v>0.97727379999999997</v>
      </c>
      <c r="AB1233">
        <v>28</v>
      </c>
      <c r="AC1233">
        <v>-0.85490000000001398</v>
      </c>
      <c r="AD1233">
        <v>-1.1068662387849999</v>
      </c>
      <c r="AE1233">
        <v>-16.995299999999901</v>
      </c>
      <c r="AF1233">
        <v>3.4861882704334599</v>
      </c>
      <c r="AG1233">
        <v>-1.1068662387849999</v>
      </c>
      <c r="AH1233">
        <v>16.582603083376998</v>
      </c>
      <c r="AI1233">
        <v>93.737293711738701</v>
      </c>
      <c r="AJ1233">
        <v>78.127508632052496</v>
      </c>
      <c r="AK1233">
        <v>16.9812068637154</v>
      </c>
      <c r="AL1233">
        <v>91.9578254493793</v>
      </c>
      <c r="AM1233">
        <v>85.984587244831403</v>
      </c>
      <c r="AN1233">
        <v>0.99999997224057702</v>
      </c>
    </row>
    <row r="1234" spans="1:40" x14ac:dyDescent="0.3">
      <c r="A1234" t="str">
        <f>"20200111160426877"</f>
        <v>20200111160426877</v>
      </c>
      <c r="B1234" t="str">
        <f>"1578729866872116"</f>
        <v>1578729866872116</v>
      </c>
      <c r="C1234" t="s">
        <v>40</v>
      </c>
      <c r="D1234">
        <v>5.9818410000000002</v>
      </c>
      <c r="E1234">
        <v>0.55285909999999905</v>
      </c>
      <c r="F1234" t="s">
        <v>41</v>
      </c>
      <c r="G1234">
        <v>-191.6602</v>
      </c>
      <c r="H1234" s="1">
        <v>-2.1691850000000001E-6</v>
      </c>
      <c r="I1234">
        <v>323.61590000000001</v>
      </c>
      <c r="J1234">
        <v>-190.7353</v>
      </c>
      <c r="K1234">
        <v>1.1067739999999999</v>
      </c>
      <c r="L1234">
        <v>340.49349999999998</v>
      </c>
      <c r="M1234">
        <v>0.15372640000000001</v>
      </c>
      <c r="N1234">
        <v>0</v>
      </c>
      <c r="O1234">
        <v>-0.98811360000000004</v>
      </c>
      <c r="P1234">
        <v>8.3900939999999993E-2</v>
      </c>
      <c r="Q1234">
        <v>-3.2770580000000001E-2</v>
      </c>
      <c r="R1234">
        <v>-0.99593540000000003</v>
      </c>
      <c r="S1234">
        <v>-0.15484619999999999</v>
      </c>
      <c r="T1234">
        <v>-0.19463900000000001</v>
      </c>
      <c r="U1234">
        <v>-3.0198969999999998</v>
      </c>
      <c r="V1234">
        <v>7.0051450000000001E-2</v>
      </c>
      <c r="W1234">
        <v>-3.2979509999999997E-2</v>
      </c>
      <c r="X1234">
        <v>0.9969981</v>
      </c>
      <c r="Y1234">
        <v>0.20401949999999999</v>
      </c>
      <c r="Z1234">
        <v>6.2453689999999999E-2</v>
      </c>
      <c r="AA1234">
        <v>0.97697259999999997</v>
      </c>
      <c r="AB1234">
        <v>28</v>
      </c>
      <c r="AC1234">
        <v>-0.92490000000000705</v>
      </c>
      <c r="AD1234">
        <v>-1.106776169185</v>
      </c>
      <c r="AE1234">
        <v>-16.877599999999902</v>
      </c>
      <c r="AF1234">
        <v>3.4934605143710802</v>
      </c>
      <c r="AG1234">
        <v>-1.106776169185</v>
      </c>
      <c r="AH1234">
        <v>16.4642131456845</v>
      </c>
      <c r="AI1234">
        <v>93.762303251845907</v>
      </c>
      <c r="AJ1234">
        <v>78.020365370038505</v>
      </c>
      <c r="AK1234">
        <v>16.867113990267502</v>
      </c>
      <c r="AL1234">
        <v>91.889929373830597</v>
      </c>
      <c r="AM1234">
        <v>85.980867905583807</v>
      </c>
      <c r="AN1234">
        <v>1.00000003256527</v>
      </c>
    </row>
    <row r="1235" spans="1:40" x14ac:dyDescent="0.3">
      <c r="A1235" t="str">
        <f>"20200111160426900"</f>
        <v>20200111160426900</v>
      </c>
      <c r="B1235" t="str">
        <f>"1578729866891636"</f>
        <v>1578729866891636</v>
      </c>
      <c r="C1235" t="s">
        <v>40</v>
      </c>
      <c r="D1235">
        <v>5.7239309999999897</v>
      </c>
      <c r="E1235">
        <v>0.55291729999999994</v>
      </c>
      <c r="F1235" t="s">
        <v>41</v>
      </c>
      <c r="G1235">
        <v>-191.66759999999999</v>
      </c>
      <c r="H1235" s="1">
        <v>-2.0376260000000001E-6</v>
      </c>
      <c r="I1235">
        <v>323.30459999999999</v>
      </c>
      <c r="J1235">
        <v>-190.6925</v>
      </c>
      <c r="K1235">
        <v>1.10669</v>
      </c>
      <c r="L1235">
        <v>340.20240000000001</v>
      </c>
      <c r="M1235">
        <v>0.15111060000000001</v>
      </c>
      <c r="N1235">
        <v>0</v>
      </c>
      <c r="O1235">
        <v>-0.98851690000000003</v>
      </c>
      <c r="P1235">
        <v>8.1204680000000001E-2</v>
      </c>
      <c r="Q1235">
        <v>-3.2013180000000002E-2</v>
      </c>
      <c r="R1235">
        <v>-0.99618309999999999</v>
      </c>
      <c r="S1235">
        <v>-0.16378779999999901</v>
      </c>
      <c r="T1235">
        <v>-0.19443450000000001</v>
      </c>
      <c r="U1235">
        <v>-3.0196839999999998</v>
      </c>
      <c r="V1235">
        <v>7.0111899999999894E-2</v>
      </c>
      <c r="W1235">
        <v>-3.2210610000000001E-2</v>
      </c>
      <c r="X1235">
        <v>0.99701890000000004</v>
      </c>
      <c r="Y1235">
        <v>0.2043172</v>
      </c>
      <c r="Z1235">
        <v>6.2424699999999902E-2</v>
      </c>
      <c r="AA1235">
        <v>0.97691229999999996</v>
      </c>
      <c r="AB1235">
        <v>28</v>
      </c>
      <c r="AC1235">
        <v>-0.97509999999999697</v>
      </c>
      <c r="AD1235">
        <v>-1.1066920376260001</v>
      </c>
      <c r="AE1235">
        <v>-16.8978</v>
      </c>
      <c r="AF1235">
        <v>3.50236631790658</v>
      </c>
      <c r="AG1235">
        <v>-1.1066920376260001</v>
      </c>
      <c r="AH1235">
        <v>16.485932777756101</v>
      </c>
      <c r="AI1235">
        <v>93.756877580106604</v>
      </c>
      <c r="AJ1235">
        <v>78.006074844264703</v>
      </c>
      <c r="AK1235">
        <v>16.890154429241999</v>
      </c>
      <c r="AL1235">
        <v>91.845851390666198</v>
      </c>
      <c r="AM1235">
        <v>85.977494672423106</v>
      </c>
      <c r="AN1235">
        <v>0.99999994443769402</v>
      </c>
    </row>
    <row r="1236" spans="1:40" x14ac:dyDescent="0.3">
      <c r="A1236" t="str">
        <f>"20200111160426923"</f>
        <v>20200111160426923</v>
      </c>
      <c r="B1236" t="str">
        <f>"1578729866912132"</f>
        <v>1578729866912132</v>
      </c>
      <c r="C1236" t="s">
        <v>40</v>
      </c>
      <c r="D1236">
        <v>5.926202</v>
      </c>
      <c r="E1236">
        <v>0.55317519999999998</v>
      </c>
      <c r="F1236" t="s">
        <v>41</v>
      </c>
      <c r="G1236">
        <v>-191.6628</v>
      </c>
      <c r="H1236" s="1">
        <v>-1.981118E-6</v>
      </c>
      <c r="I1236">
        <v>323.17579999999998</v>
      </c>
      <c r="J1236">
        <v>-190.64959999999999</v>
      </c>
      <c r="K1236">
        <v>1.1066129999999901</v>
      </c>
      <c r="L1236">
        <v>339.90449999999998</v>
      </c>
      <c r="M1236">
        <v>0.14837249999999999</v>
      </c>
      <c r="N1236">
        <v>0</v>
      </c>
      <c r="O1236">
        <v>-0.98893160000000002</v>
      </c>
      <c r="P1236">
        <v>7.8848970000000004E-2</v>
      </c>
      <c r="Q1236">
        <v>-3.1852199999999997E-2</v>
      </c>
      <c r="R1236">
        <v>-0.99637779999999998</v>
      </c>
      <c r="S1236">
        <v>-0.17205809999999999</v>
      </c>
      <c r="T1236">
        <v>-0.1962438</v>
      </c>
      <c r="U1236">
        <v>-3.0192260000000002</v>
      </c>
      <c r="V1236">
        <v>6.9702979999999998E-2</v>
      </c>
      <c r="W1236">
        <v>-3.1980090000000003E-2</v>
      </c>
      <c r="X1236">
        <v>0.99705509999999997</v>
      </c>
      <c r="Y1236">
        <v>0.20427980000000001</v>
      </c>
      <c r="Z1236">
        <v>6.3048419999999994E-2</v>
      </c>
      <c r="AA1236">
        <v>0.97688010000000003</v>
      </c>
      <c r="AB1236">
        <v>29</v>
      </c>
      <c r="AC1236">
        <v>-1.0132000000000101</v>
      </c>
      <c r="AD1236">
        <v>-1.1066149811179999</v>
      </c>
      <c r="AE1236">
        <v>-16.7287</v>
      </c>
      <c r="AF1236">
        <v>3.4689400491765001</v>
      </c>
      <c r="AG1236">
        <v>-1.1066149811179999</v>
      </c>
      <c r="AH1236">
        <v>16.322045345309899</v>
      </c>
      <c r="AI1236">
        <v>93.794161245413093</v>
      </c>
      <c r="AJ1236">
        <v>78.001403188254798</v>
      </c>
      <c r="AK1236">
        <v>16.723256442319201</v>
      </c>
      <c r="AL1236">
        <v>91.832636561580998</v>
      </c>
      <c r="AM1236">
        <v>86.001023875584707</v>
      </c>
      <c r="AN1236">
        <v>1.0000000520066401</v>
      </c>
    </row>
    <row r="1237" spans="1:40" x14ac:dyDescent="0.3">
      <c r="A1237" t="str">
        <f>"20200111160426945"</f>
        <v>20200111160426945</v>
      </c>
      <c r="B1237" t="str">
        <f>"1578729866942388"</f>
        <v>1578729866942388</v>
      </c>
      <c r="C1237" t="s">
        <v>40</v>
      </c>
      <c r="D1237">
        <v>5.7266849999999998</v>
      </c>
      <c r="E1237">
        <v>0.55346790000000001</v>
      </c>
      <c r="F1237" t="s">
        <v>41</v>
      </c>
      <c r="G1237">
        <v>-191.64879999999999</v>
      </c>
      <c r="H1237" s="1">
        <v>-2.0078129999999998E-6</v>
      </c>
      <c r="I1237">
        <v>323.24669999999998</v>
      </c>
      <c r="J1237">
        <v>-190.6113</v>
      </c>
      <c r="K1237">
        <v>1.106555</v>
      </c>
      <c r="L1237">
        <v>339.63189999999997</v>
      </c>
      <c r="M1237">
        <v>0.1458219</v>
      </c>
      <c r="N1237">
        <v>0</v>
      </c>
      <c r="O1237">
        <v>-0.98931100000000005</v>
      </c>
      <c r="P1237">
        <v>7.6907950000000003E-2</v>
      </c>
      <c r="Q1237">
        <v>-3.2068300000000001E-2</v>
      </c>
      <c r="R1237">
        <v>-0.99652260000000004</v>
      </c>
      <c r="S1237">
        <v>-0.18107599999999999</v>
      </c>
      <c r="T1237">
        <v>-0.2005497</v>
      </c>
      <c r="U1237">
        <v>-3.0188600000000001</v>
      </c>
      <c r="V1237">
        <v>6.9066199999999994E-2</v>
      </c>
      <c r="W1237">
        <v>-3.2039209999999999E-2</v>
      </c>
      <c r="X1237">
        <v>0.99709740000000002</v>
      </c>
      <c r="Y1237">
        <v>0.20466500000000001</v>
      </c>
      <c r="Z1237">
        <v>6.4463000000000006E-2</v>
      </c>
      <c r="AA1237">
        <v>0.97670710000000005</v>
      </c>
      <c r="AB1237">
        <v>29</v>
      </c>
      <c r="AC1237">
        <v>-1.0374999999999901</v>
      </c>
      <c r="AD1237">
        <v>-1.106557007813</v>
      </c>
      <c r="AE1237">
        <v>-16.385199999999902</v>
      </c>
      <c r="AF1237">
        <v>3.40028448021789</v>
      </c>
      <c r="AG1237">
        <v>-1.106557007813</v>
      </c>
      <c r="AH1237">
        <v>15.9861471375441</v>
      </c>
      <c r="AI1237">
        <v>93.873306675378501</v>
      </c>
      <c r="AJ1237">
        <v>77.992030834935306</v>
      </c>
      <c r="AK1237">
        <v>16.3811874801908</v>
      </c>
      <c r="AL1237">
        <v>91.836025833929895</v>
      </c>
      <c r="AM1237">
        <v>86.037607658169406</v>
      </c>
      <c r="AN1237">
        <v>0.99999993802331</v>
      </c>
    </row>
    <row r="1238" spans="1:40" x14ac:dyDescent="0.3">
      <c r="A1238" t="str">
        <f>"20200111160426965"</f>
        <v>20200111160426965</v>
      </c>
      <c r="B1238" t="str">
        <f>"1578729866961908"</f>
        <v>1578729866961908</v>
      </c>
      <c r="C1238" t="s">
        <v>40</v>
      </c>
      <c r="D1238">
        <v>5.7223319999999998</v>
      </c>
      <c r="E1238">
        <v>0.5536411</v>
      </c>
      <c r="F1238" t="s">
        <v>41</v>
      </c>
      <c r="G1238">
        <v>-191.6241</v>
      </c>
      <c r="H1238" s="1">
        <v>-2.089084E-6</v>
      </c>
      <c r="I1238">
        <v>323.45150000000001</v>
      </c>
      <c r="J1238">
        <v>-190.5729</v>
      </c>
      <c r="K1238">
        <v>1.1065290000000001</v>
      </c>
      <c r="L1238">
        <v>339.3537</v>
      </c>
      <c r="M1238">
        <v>0.1431847</v>
      </c>
      <c r="N1238">
        <v>0</v>
      </c>
      <c r="O1238">
        <v>-0.98969580000000001</v>
      </c>
      <c r="P1238">
        <v>7.4479530000000002E-2</v>
      </c>
      <c r="Q1238">
        <v>-3.1850539999999997E-2</v>
      </c>
      <c r="R1238">
        <v>-0.99671390000000004</v>
      </c>
      <c r="S1238">
        <v>-0.1889496</v>
      </c>
      <c r="T1238">
        <v>-0.20642469999999999</v>
      </c>
      <c r="U1238">
        <v>-3.018402</v>
      </c>
      <c r="V1238">
        <v>6.8835560000000004E-2</v>
      </c>
      <c r="W1238">
        <v>-3.1539589999999999E-2</v>
      </c>
      <c r="X1238">
        <v>0.9971293</v>
      </c>
      <c r="Y1238">
        <v>0.20459530000000001</v>
      </c>
      <c r="Z1238">
        <v>6.6387390000000004E-2</v>
      </c>
      <c r="AA1238">
        <v>0.97659280000000004</v>
      </c>
      <c r="AB1238">
        <v>29</v>
      </c>
      <c r="AC1238">
        <v>-1.0511999999999899</v>
      </c>
      <c r="AD1238">
        <v>-1.1065310890839899</v>
      </c>
      <c r="AE1238">
        <v>-15.902199999999899</v>
      </c>
      <c r="AF1238">
        <v>3.3014051500298098</v>
      </c>
      <c r="AG1238">
        <v>-1.1065310890839899</v>
      </c>
      <c r="AH1238">
        <v>15.513042351484</v>
      </c>
      <c r="AI1238">
        <v>93.990871106307594</v>
      </c>
      <c r="AJ1238">
        <v>77.985843855592407</v>
      </c>
      <c r="AK1238">
        <v>15.898999025557799</v>
      </c>
      <c r="AL1238">
        <v>91.807385198615705</v>
      </c>
      <c r="AM1238">
        <v>86.050923693544405</v>
      </c>
      <c r="AN1238">
        <v>0.99999996048818496</v>
      </c>
    </row>
    <row r="1239" spans="1:40" x14ac:dyDescent="0.3">
      <c r="A1239" t="str">
        <f>"20200111160426990"</f>
        <v>20200111160426990</v>
      </c>
      <c r="B1239" t="str">
        <f>"1578729866982405"</f>
        <v>1578729866982405</v>
      </c>
      <c r="C1239" t="s">
        <v>40</v>
      </c>
      <c r="D1239">
        <v>5.7297219999999998</v>
      </c>
      <c r="E1239">
        <v>0.55368660000000003</v>
      </c>
      <c r="F1239" t="s">
        <v>41</v>
      </c>
      <c r="G1239">
        <v>-191.61510000000001</v>
      </c>
      <c r="H1239" s="1">
        <v>-2.0689179999999999E-6</v>
      </c>
      <c r="I1239">
        <v>323.4101</v>
      </c>
      <c r="J1239">
        <v>-190.53049999999999</v>
      </c>
      <c r="K1239">
        <v>1.106527</v>
      </c>
      <c r="L1239">
        <v>339.03829999999999</v>
      </c>
      <c r="M1239">
        <v>0.1401404</v>
      </c>
      <c r="N1239">
        <v>0</v>
      </c>
      <c r="O1239">
        <v>-0.99013099999999998</v>
      </c>
      <c r="P1239">
        <v>7.1294369999999996E-2</v>
      </c>
      <c r="Q1239">
        <v>-3.2060959999999999E-2</v>
      </c>
      <c r="R1239">
        <v>-0.99693980000000004</v>
      </c>
      <c r="S1239">
        <v>-0.19726560000000001</v>
      </c>
      <c r="T1239">
        <v>-0.20945440000000001</v>
      </c>
      <c r="U1239">
        <v>-3.017944</v>
      </c>
      <c r="V1239">
        <v>6.8949479999999994E-2</v>
      </c>
      <c r="W1239">
        <v>-3.1329849999999999E-2</v>
      </c>
      <c r="X1239">
        <v>0.99712809999999996</v>
      </c>
      <c r="Y1239">
        <v>0.20427010000000001</v>
      </c>
      <c r="Z1239">
        <v>6.7408930000000006E-2</v>
      </c>
      <c r="AA1239">
        <v>0.97659090000000004</v>
      </c>
      <c r="AB1239">
        <v>29</v>
      </c>
      <c r="AC1239">
        <v>-1.08460000000002</v>
      </c>
      <c r="AD1239">
        <v>-1.1065290689180001</v>
      </c>
      <c r="AE1239">
        <v>-15.6281999999999</v>
      </c>
      <c r="AF1239">
        <v>3.2478366188641998</v>
      </c>
      <c r="AG1239">
        <v>-1.1065290689180001</v>
      </c>
      <c r="AH1239">
        <v>15.245915564376901</v>
      </c>
      <c r="AI1239">
        <v>94.060379344311599</v>
      </c>
      <c r="AJ1239">
        <v>77.974051847802599</v>
      </c>
      <c r="AK1239">
        <v>15.6272451404368</v>
      </c>
      <c r="AL1239">
        <v>91.795361934386406</v>
      </c>
      <c r="AM1239">
        <v>86.044404120524106</v>
      </c>
      <c r="AN1239">
        <v>1.00000001905145</v>
      </c>
    </row>
    <row r="1240" spans="1:40" x14ac:dyDescent="0.3">
      <c r="A1240" t="str">
        <f>"20200111160427011"</f>
        <v>20200111160427011</v>
      </c>
      <c r="B1240" t="str">
        <f>"1578729867001924"</f>
        <v>1578729867001924</v>
      </c>
      <c r="C1240" t="s">
        <v>40</v>
      </c>
      <c r="D1240">
        <v>5.9820460000000004</v>
      </c>
      <c r="E1240">
        <v>0.55347539999999995</v>
      </c>
      <c r="F1240" t="s">
        <v>41</v>
      </c>
      <c r="G1240">
        <v>-191.60149999999999</v>
      </c>
      <c r="H1240" s="1">
        <v>-2.0732349999999998E-6</v>
      </c>
      <c r="I1240">
        <v>323.42860000000002</v>
      </c>
      <c r="J1240">
        <v>-190.49340000000001</v>
      </c>
      <c r="K1240">
        <v>1.1065449999999999</v>
      </c>
      <c r="L1240">
        <v>338.75630000000001</v>
      </c>
      <c r="M1240">
        <v>0.1373702</v>
      </c>
      <c r="N1240">
        <v>0</v>
      </c>
      <c r="O1240">
        <v>-0.99051869999999997</v>
      </c>
      <c r="P1240">
        <v>6.8377370000000007E-2</v>
      </c>
      <c r="Q1240">
        <v>-3.3376540000000003E-2</v>
      </c>
      <c r="R1240">
        <v>-0.99710140000000003</v>
      </c>
      <c r="S1240">
        <v>-0.20701600000000001</v>
      </c>
      <c r="T1240">
        <v>-0.2138745</v>
      </c>
      <c r="U1240">
        <v>-3.0171199999999998</v>
      </c>
      <c r="V1240">
        <v>6.906263E-2</v>
      </c>
      <c r="W1240">
        <v>-3.2191829999999998E-2</v>
      </c>
      <c r="X1240">
        <v>0.9970928</v>
      </c>
      <c r="Y1240">
        <v>0.20468430000000001</v>
      </c>
      <c r="Z1240">
        <v>6.8873760000000006E-2</v>
      </c>
      <c r="AA1240">
        <v>0.97640190000000004</v>
      </c>
      <c r="AB1240">
        <v>29</v>
      </c>
      <c r="AC1240">
        <v>-1.1080999999999701</v>
      </c>
      <c r="AD1240">
        <v>-1.106547073235</v>
      </c>
      <c r="AE1240">
        <v>-15.327699999999901</v>
      </c>
      <c r="AF1240">
        <v>3.18664467116567</v>
      </c>
      <c r="AG1240">
        <v>-1.106547073235</v>
      </c>
      <c r="AH1240">
        <v>14.9526449187743</v>
      </c>
      <c r="AI1240">
        <v>94.139737493886301</v>
      </c>
      <c r="AJ1240">
        <v>77.969347361221807</v>
      </c>
      <c r="AK1240">
        <v>15.3284291678078</v>
      </c>
      <c r="AL1240">
        <v>91.844774703407893</v>
      </c>
      <c r="AM1240">
        <v>86.037793599051199</v>
      </c>
      <c r="AN1240">
        <v>1.0000000062965499</v>
      </c>
    </row>
    <row r="1241" spans="1:40" x14ac:dyDescent="0.3">
      <c r="A1241" t="str">
        <f>"20200111160427034"</f>
        <v>20200111160427034</v>
      </c>
      <c r="B1241" t="str">
        <f>"1578729867032180"</f>
        <v>1578729867032180</v>
      </c>
      <c r="C1241" t="s">
        <v>40</v>
      </c>
      <c r="D1241">
        <v>5.7525709999999997</v>
      </c>
      <c r="E1241">
        <v>0.55337380000000003</v>
      </c>
      <c r="F1241" t="s">
        <v>41</v>
      </c>
      <c r="G1241">
        <v>-191.56630000000001</v>
      </c>
      <c r="H1241" s="1">
        <v>-2.1556569999999998E-6</v>
      </c>
      <c r="I1241">
        <v>323.64249999999998</v>
      </c>
      <c r="J1241">
        <v>-190.45529999999999</v>
      </c>
      <c r="K1241">
        <v>1.1065929999999999</v>
      </c>
      <c r="L1241">
        <v>338.45909999999998</v>
      </c>
      <c r="M1241">
        <v>0.134407</v>
      </c>
      <c r="N1241">
        <v>0</v>
      </c>
      <c r="O1241">
        <v>-0.99092389999999997</v>
      </c>
      <c r="P1241">
        <v>6.5247479999999997E-2</v>
      </c>
      <c r="Q1241">
        <v>-3.3743009999999997E-2</v>
      </c>
      <c r="R1241">
        <v>-0.99729840000000003</v>
      </c>
      <c r="S1241">
        <v>-0.21409610000000001</v>
      </c>
      <c r="T1241">
        <v>-0.22081480000000001</v>
      </c>
      <c r="U1241">
        <v>-3.0159910000000001</v>
      </c>
      <c r="V1241">
        <v>6.920598E-2</v>
      </c>
      <c r="W1241">
        <v>-3.1996740000000003E-2</v>
      </c>
      <c r="X1241">
        <v>0.99708909999999995</v>
      </c>
      <c r="Y1241">
        <v>0.20405129999999999</v>
      </c>
      <c r="Z1241">
        <v>7.1166989999999999E-2</v>
      </c>
      <c r="AA1241">
        <v>0.97636999999999996</v>
      </c>
      <c r="AB1241">
        <v>29</v>
      </c>
      <c r="AC1241">
        <v>-1.11100000000001</v>
      </c>
      <c r="AD1241">
        <v>-1.106595155657</v>
      </c>
      <c r="AE1241">
        <v>-14.8165999999999</v>
      </c>
      <c r="AF1241">
        <v>3.0753199953163701</v>
      </c>
      <c r="AG1241">
        <v>-1.106595155657</v>
      </c>
      <c r="AH1241">
        <v>14.452663606689899</v>
      </c>
      <c r="AI1241">
        <v>94.282897655062897</v>
      </c>
      <c r="AJ1241">
        <v>77.987440000287407</v>
      </c>
      <c r="AK1241">
        <v>14.8176121976605</v>
      </c>
      <c r="AL1241">
        <v>91.833591182125602</v>
      </c>
      <c r="AM1241">
        <v>86.029581026382999</v>
      </c>
      <c r="AN1241">
        <v>0.99999996618859799</v>
      </c>
    </row>
    <row r="1242" spans="1:40" x14ac:dyDescent="0.3">
      <c r="A1242" t="str">
        <f>"20200111160427055"</f>
        <v>20200111160427055</v>
      </c>
      <c r="B1242" t="str">
        <f>"1578729867051700"</f>
        <v>1578729867051700</v>
      </c>
      <c r="C1242" t="s">
        <v>40</v>
      </c>
      <c r="D1242">
        <v>5.7240919999999997</v>
      </c>
      <c r="E1242">
        <v>0.55311060000000001</v>
      </c>
      <c r="F1242" t="s">
        <v>41</v>
      </c>
      <c r="G1242">
        <v>-191.5436</v>
      </c>
      <c r="H1242" s="1">
        <v>-2.1789290000000002E-6</v>
      </c>
      <c r="I1242">
        <v>323.71089999999998</v>
      </c>
      <c r="J1242">
        <v>-190.41980000000001</v>
      </c>
      <c r="K1242">
        <v>1.1066560000000001</v>
      </c>
      <c r="L1242">
        <v>338.1755</v>
      </c>
      <c r="M1242">
        <v>0.1315451</v>
      </c>
      <c r="N1242">
        <v>0</v>
      </c>
      <c r="O1242">
        <v>-0.99130640000000003</v>
      </c>
      <c r="P1242">
        <v>6.225518E-2</v>
      </c>
      <c r="Q1242">
        <v>-3.396383E-2</v>
      </c>
      <c r="R1242">
        <v>-0.99748239999999999</v>
      </c>
      <c r="S1242">
        <v>-0.2224884</v>
      </c>
      <c r="T1242">
        <v>-0.2262238</v>
      </c>
      <c r="U1242">
        <v>-3.015015</v>
      </c>
      <c r="V1242">
        <v>6.9317089999999998E-2</v>
      </c>
      <c r="W1242">
        <v>-3.1623199999999997E-2</v>
      </c>
      <c r="X1242">
        <v>0.99709329999999996</v>
      </c>
      <c r="Y1242">
        <v>0.20394100000000001</v>
      </c>
      <c r="Z1242">
        <v>7.2960700000000003E-2</v>
      </c>
      <c r="AA1242">
        <v>0.97626060000000003</v>
      </c>
      <c r="AB1242">
        <v>30</v>
      </c>
      <c r="AC1242">
        <v>-1.1237999999999799</v>
      </c>
      <c r="AD1242">
        <v>-1.10665817892899</v>
      </c>
      <c r="AE1242">
        <v>-14.464600000000001</v>
      </c>
      <c r="AF1242">
        <v>2.9993374882236798</v>
      </c>
      <c r="AG1242">
        <v>-1.10665817892899</v>
      </c>
      <c r="AH1242">
        <v>14.108982317631099</v>
      </c>
      <c r="AI1242">
        <v>94.3872511230079</v>
      </c>
      <c r="AJ1242">
        <v>77.998520765931303</v>
      </c>
      <c r="AK1242">
        <v>14.466654752653801</v>
      </c>
      <c r="AL1242">
        <v>91.812178077312694</v>
      </c>
      <c r="AM1242">
        <v>86.023243664116194</v>
      </c>
      <c r="AN1242">
        <v>0.99999996732459795</v>
      </c>
    </row>
    <row r="1243" spans="1:40" x14ac:dyDescent="0.3">
      <c r="A1243" t="str">
        <f>"20200111160427079"</f>
        <v>20200111160427079</v>
      </c>
      <c r="B1243" t="str">
        <f>"1578729867072196"</f>
        <v>1578729867072196</v>
      </c>
      <c r="C1243" t="s">
        <v>40</v>
      </c>
      <c r="D1243">
        <v>5.7701799999999999</v>
      </c>
      <c r="E1243">
        <v>0.55105000000000004</v>
      </c>
      <c r="F1243" t="s">
        <v>41</v>
      </c>
      <c r="G1243">
        <v>-191.52459999999999</v>
      </c>
      <c r="H1243" s="1">
        <v>-2.150079E-6</v>
      </c>
      <c r="I1243">
        <v>323.65539999999999</v>
      </c>
      <c r="J1243">
        <v>-190.3828</v>
      </c>
      <c r="K1243">
        <v>1.1067229999999999</v>
      </c>
      <c r="L1243">
        <v>337.8734</v>
      </c>
      <c r="M1243">
        <v>0.12847</v>
      </c>
      <c r="N1243">
        <v>0</v>
      </c>
      <c r="O1243">
        <v>-0.99170769999999997</v>
      </c>
      <c r="P1243">
        <v>5.9725439999999998E-2</v>
      </c>
      <c r="Q1243">
        <v>-3.4174570000000001E-2</v>
      </c>
      <c r="R1243">
        <v>-0.99762980000000001</v>
      </c>
      <c r="S1243">
        <v>-0.2293396</v>
      </c>
      <c r="T1243">
        <v>-0.2297198</v>
      </c>
      <c r="U1243">
        <v>-3.0140690000000001</v>
      </c>
      <c r="V1243">
        <v>6.8753079999999994E-2</v>
      </c>
      <c r="W1243">
        <v>-3.1180630000000001E-2</v>
      </c>
      <c r="X1243">
        <v>0.99714630000000004</v>
      </c>
      <c r="Y1243">
        <v>0.20312769999999999</v>
      </c>
      <c r="Z1243">
        <v>7.4150919999999995E-2</v>
      </c>
      <c r="AA1243">
        <v>0.97634049999999994</v>
      </c>
      <c r="AB1243">
        <v>30</v>
      </c>
      <c r="AC1243">
        <v>-1.1417999999999799</v>
      </c>
      <c r="AD1243">
        <v>-1.1067251500790001</v>
      </c>
      <c r="AE1243">
        <v>-14.218</v>
      </c>
      <c r="AF1243">
        <v>2.94122825196263</v>
      </c>
      <c r="AG1243">
        <v>-1.1067251500790001</v>
      </c>
      <c r="AH1243">
        <v>13.8699917663454</v>
      </c>
      <c r="AI1243">
        <v>94.463288536564605</v>
      </c>
      <c r="AJ1243">
        <v>78.027390611651896</v>
      </c>
      <c r="AK1243">
        <v>14.221544774969001</v>
      </c>
      <c r="AL1243">
        <v>91.786808147851701</v>
      </c>
      <c r="AM1243">
        <v>86.055707636232398</v>
      </c>
      <c r="AN1243">
        <v>0.99999998065018603</v>
      </c>
    </row>
    <row r="1244" spans="1:40" x14ac:dyDescent="0.3">
      <c r="A1244" t="str">
        <f>"20200111160427101"</f>
        <v>20200111160427101</v>
      </c>
      <c r="B1244" t="str">
        <f>"1578729867091716"</f>
        <v>1578729867091716</v>
      </c>
      <c r="C1244" t="s">
        <v>40</v>
      </c>
      <c r="D1244">
        <v>5.7102740000000001</v>
      </c>
      <c r="E1244">
        <v>0.49511430000000001</v>
      </c>
      <c r="F1244" t="s">
        <v>41</v>
      </c>
      <c r="G1244">
        <v>-191.46700000000001</v>
      </c>
      <c r="H1244" s="1">
        <v>-1.88639E-6</v>
      </c>
      <c r="I1244">
        <v>323.07650000000001</v>
      </c>
      <c r="J1244">
        <v>-190.34719999999999</v>
      </c>
      <c r="K1244">
        <v>1.106787</v>
      </c>
      <c r="L1244">
        <v>337.57369999999997</v>
      </c>
      <c r="M1244">
        <v>0.12540409999999999</v>
      </c>
      <c r="N1244">
        <v>0</v>
      </c>
      <c r="O1244">
        <v>-0.99209780000000003</v>
      </c>
      <c r="P1244">
        <v>5.7958219999999998E-2</v>
      </c>
      <c r="Q1244">
        <v>-3.3810100000000003E-2</v>
      </c>
      <c r="R1244">
        <v>-0.99774680000000004</v>
      </c>
      <c r="S1244">
        <v>-0.2207336</v>
      </c>
      <c r="T1244">
        <v>-0.2253279</v>
      </c>
      <c r="U1244">
        <v>-3.0126339999999998</v>
      </c>
      <c r="V1244">
        <v>6.7443130000000004E-2</v>
      </c>
      <c r="W1244">
        <v>-3.0185900000000002E-2</v>
      </c>
      <c r="X1244">
        <v>0.9972664</v>
      </c>
      <c r="Y1244">
        <v>0.19736709999999999</v>
      </c>
      <c r="Z1244">
        <v>7.2871069999999996E-2</v>
      </c>
      <c r="AA1244">
        <v>0.97761750000000003</v>
      </c>
      <c r="AB1244">
        <v>30</v>
      </c>
      <c r="AC1244">
        <v>-1.1198000000000199</v>
      </c>
      <c r="AD1244">
        <v>-1.1067888863899999</v>
      </c>
      <c r="AE1244">
        <v>-14.4971999999999</v>
      </c>
      <c r="AF1244">
        <v>2.9121097867199501</v>
      </c>
      <c r="AG1244">
        <v>-1.1067888863899999</v>
      </c>
      <c r="AH1244">
        <v>14.1602804520939</v>
      </c>
      <c r="AI1244">
        <v>94.377984538465896</v>
      </c>
      <c r="AJ1244">
        <v>78.378951305552803</v>
      </c>
      <c r="AK1244">
        <v>14.4989278062517</v>
      </c>
      <c r="AL1244">
        <v>91.729787400473697</v>
      </c>
      <c r="AM1244">
        <v>86.131092176775695</v>
      </c>
      <c r="AN1244">
        <v>1.0000000184559801</v>
      </c>
    </row>
    <row r="1245" spans="1:40" x14ac:dyDescent="0.3">
      <c r="A1245" t="str">
        <f>"20200111160427134"</f>
        <v>20200111160427134</v>
      </c>
      <c r="B1245" t="str">
        <f>"1578729867131732"</f>
        <v>1578729867131732</v>
      </c>
      <c r="C1245" t="s">
        <v>40</v>
      </c>
      <c r="D1245">
        <v>5.7042859999999997</v>
      </c>
      <c r="E1245">
        <v>0.49534400000000001</v>
      </c>
      <c r="F1245" t="s">
        <v>42</v>
      </c>
      <c r="G1245">
        <v>-190.28960000000001</v>
      </c>
      <c r="H1245">
        <v>1.01183</v>
      </c>
      <c r="I1245">
        <v>336.82240000000002</v>
      </c>
      <c r="J1245">
        <v>-190.29689999999999</v>
      </c>
      <c r="K1245">
        <v>1.1068439999999999</v>
      </c>
      <c r="L1245">
        <v>337.1361</v>
      </c>
      <c r="M1245">
        <v>0.1209081</v>
      </c>
      <c r="N1245">
        <v>0</v>
      </c>
      <c r="O1245">
        <v>-0.99265179999999997</v>
      </c>
      <c r="P1245">
        <v>5.6524709999999999E-2</v>
      </c>
      <c r="Q1245">
        <v>-3.3362030000000001E-2</v>
      </c>
      <c r="R1245">
        <v>-0.99784419999999996</v>
      </c>
      <c r="S1245">
        <v>0.22891239999999999</v>
      </c>
      <c r="T1245">
        <v>-0.37686069999999999</v>
      </c>
      <c r="U1245">
        <v>-2.9807739999999998</v>
      </c>
      <c r="V1245">
        <v>6.4365329999999998E-2</v>
      </c>
      <c r="W1245">
        <v>-2.8885009999999999E-2</v>
      </c>
      <c r="X1245">
        <v>0.99750830000000001</v>
      </c>
      <c r="Y1245">
        <v>4.5138589999999999E-2</v>
      </c>
      <c r="Z1245">
        <v>0.1238163</v>
      </c>
      <c r="AA1245">
        <v>0.99127799999999999</v>
      </c>
      <c r="AB1245">
        <v>30</v>
      </c>
      <c r="AC1245">
        <v>7.2999999999865299E-3</v>
      </c>
      <c r="AD1245">
        <v>-9.5014000000000098E-2</v>
      </c>
      <c r="AE1245">
        <v>-0.31369999999998299</v>
      </c>
      <c r="AF1245">
        <v>2.8105909412612599E-2</v>
      </c>
      <c r="AG1245">
        <v>-9.5014000000000098E-2</v>
      </c>
      <c r="AH1245">
        <v>0.28605359480217102</v>
      </c>
      <c r="AI1245">
        <v>108.291962865267</v>
      </c>
      <c r="AJ1245">
        <v>84.388471938226303</v>
      </c>
      <c r="AK1245">
        <v>0.30272803213305899</v>
      </c>
      <c r="AL1245">
        <v>91.655219349167496</v>
      </c>
      <c r="AM1245">
        <v>86.308044533707502</v>
      </c>
      <c r="AN1245">
        <v>1.0000000240387901</v>
      </c>
    </row>
    <row r="1246" spans="1:40" x14ac:dyDescent="0.3">
      <c r="A1246" t="str">
        <f>"20200111160427156"</f>
        <v>20200111160427156</v>
      </c>
      <c r="B1246" t="str">
        <f>"1578729867152228"</f>
        <v>1578729867152228</v>
      </c>
      <c r="C1246" t="s">
        <v>40</v>
      </c>
      <c r="D1246">
        <v>5.593744</v>
      </c>
      <c r="E1246">
        <v>0.49552940000000001</v>
      </c>
      <c r="F1246" t="s">
        <v>42</v>
      </c>
      <c r="G1246">
        <v>-190.23419999999999</v>
      </c>
      <c r="H1246">
        <v>1.001984</v>
      </c>
      <c r="I1246">
        <v>336.2944</v>
      </c>
      <c r="J1246">
        <v>-190.26419999999999</v>
      </c>
      <c r="K1246">
        <v>1.106867</v>
      </c>
      <c r="L1246">
        <v>336.8415</v>
      </c>
      <c r="M1246">
        <v>0.1178636</v>
      </c>
      <c r="N1246">
        <v>0</v>
      </c>
      <c r="O1246">
        <v>-0.99301530000000005</v>
      </c>
      <c r="P1246">
        <v>5.584037E-2</v>
      </c>
      <c r="Q1246">
        <v>-3.3918799999999999E-2</v>
      </c>
      <c r="R1246">
        <v>-0.99786339999999996</v>
      </c>
      <c r="S1246">
        <v>0.2223358</v>
      </c>
      <c r="T1246">
        <v>-0.37142639999999999</v>
      </c>
      <c r="U1246">
        <v>-2.9814759999999998</v>
      </c>
      <c r="V1246">
        <v>6.1987019999999997E-2</v>
      </c>
      <c r="W1246">
        <v>-2.891525E-2</v>
      </c>
      <c r="X1246">
        <v>0.99765800000000004</v>
      </c>
      <c r="Y1246">
        <v>4.425134E-2</v>
      </c>
      <c r="Z1246">
        <v>0.1221096</v>
      </c>
      <c r="AA1246">
        <v>0.99152960000000001</v>
      </c>
      <c r="AB1246">
        <v>30</v>
      </c>
      <c r="AC1246">
        <v>3.0000000000001099E-2</v>
      </c>
      <c r="AD1246">
        <v>-0.104883</v>
      </c>
      <c r="AE1246">
        <v>-0.54710000000000003</v>
      </c>
      <c r="AF1246">
        <v>3.3466938109614999E-2</v>
      </c>
      <c r="AG1246">
        <v>-0.104883</v>
      </c>
      <c r="AH1246">
        <v>0.52749428338355597</v>
      </c>
      <c r="AI1246">
        <v>101.223605431408</v>
      </c>
      <c r="AJ1246">
        <v>86.369728133168806</v>
      </c>
      <c r="AK1246">
        <v>0.53886055583774595</v>
      </c>
      <c r="AL1246">
        <v>91.656952764456094</v>
      </c>
      <c r="AM1246">
        <v>86.444638409049105</v>
      </c>
      <c r="AN1246">
        <v>0.99999998364752096</v>
      </c>
    </row>
    <row r="1247" spans="1:40" x14ac:dyDescent="0.3">
      <c r="A1247" t="str">
        <f>"20200111160427178"</f>
        <v>20200111160427178</v>
      </c>
      <c r="B1247" t="str">
        <f>"1578729867171748"</f>
        <v>1578729867171748</v>
      </c>
      <c r="C1247" t="s">
        <v>40</v>
      </c>
      <c r="D1247">
        <v>5.6325379999999896</v>
      </c>
      <c r="E1247">
        <v>0.49576029999999999</v>
      </c>
      <c r="F1247" t="s">
        <v>42</v>
      </c>
      <c r="G1247">
        <v>-190.2045</v>
      </c>
      <c r="H1247">
        <v>1.0045329999999999</v>
      </c>
      <c r="I1247">
        <v>336.0265</v>
      </c>
      <c r="J1247">
        <v>-190.23179999999999</v>
      </c>
      <c r="K1247">
        <v>1.1068830000000001</v>
      </c>
      <c r="L1247">
        <v>336.54180000000002</v>
      </c>
      <c r="M1247">
        <v>0.11474769999999899</v>
      </c>
      <c r="N1247">
        <v>0</v>
      </c>
      <c r="O1247">
        <v>-0.99337730000000002</v>
      </c>
      <c r="P1247">
        <v>5.4911639999999998E-2</v>
      </c>
      <c r="Q1247">
        <v>-3.4072619999999998E-2</v>
      </c>
      <c r="R1247">
        <v>-0.99790990000000002</v>
      </c>
      <c r="S1247">
        <v>0.2188263</v>
      </c>
      <c r="T1247">
        <v>-0.3744035</v>
      </c>
      <c r="U1247">
        <v>-2.9814449999999999</v>
      </c>
      <c r="V1247">
        <v>5.978605E-2</v>
      </c>
      <c r="W1247">
        <v>-2.856881E-2</v>
      </c>
      <c r="X1247">
        <v>0.99780230000000003</v>
      </c>
      <c r="Y1247">
        <v>4.2286789999999998E-2</v>
      </c>
      <c r="Z1247">
        <v>0.12315280000000001</v>
      </c>
      <c r="AA1247">
        <v>0.99148639999999999</v>
      </c>
      <c r="AB1247">
        <v>30</v>
      </c>
      <c r="AC1247">
        <v>2.7299999999996698E-2</v>
      </c>
      <c r="AD1247">
        <v>-0.10235</v>
      </c>
      <c r="AE1247">
        <v>-0.51530000000002396</v>
      </c>
      <c r="AF1247">
        <v>3.07991910149117E-2</v>
      </c>
      <c r="AG1247">
        <v>-0.10235</v>
      </c>
      <c r="AH1247">
        <v>0.49553432940865999</v>
      </c>
      <c r="AI1247">
        <v>101.648175765611</v>
      </c>
      <c r="AJ1247">
        <v>86.443442011515103</v>
      </c>
      <c r="AK1247">
        <v>0.50693035447649304</v>
      </c>
      <c r="AL1247">
        <v>91.637095000967193</v>
      </c>
      <c r="AM1247">
        <v>86.571066407499501</v>
      </c>
      <c r="AN1247">
        <v>0.99999998928235401</v>
      </c>
    </row>
    <row r="1248" spans="1:40" x14ac:dyDescent="0.3">
      <c r="A1248" t="str">
        <f>"20200111160427201"</f>
        <v>20200111160427201</v>
      </c>
      <c r="B1248" t="str">
        <f>"1578729867192245"</f>
        <v>1578729867192245</v>
      </c>
      <c r="C1248" t="s">
        <v>40</v>
      </c>
      <c r="D1248">
        <v>5.6622440000000003</v>
      </c>
      <c r="E1248">
        <v>0.49596109999999999</v>
      </c>
      <c r="F1248" t="s">
        <v>42</v>
      </c>
      <c r="G1248">
        <v>-190.17570000000001</v>
      </c>
      <c r="H1248">
        <v>1.0078210000000001</v>
      </c>
      <c r="I1248">
        <v>335.75779999999997</v>
      </c>
      <c r="J1248">
        <v>-190.20089999999999</v>
      </c>
      <c r="K1248">
        <v>1.1068899999999999</v>
      </c>
      <c r="L1248">
        <v>336.24599999999998</v>
      </c>
      <c r="M1248">
        <v>0.11164489999999901</v>
      </c>
      <c r="N1248">
        <v>0</v>
      </c>
      <c r="O1248">
        <v>-0.99372799999999994</v>
      </c>
      <c r="P1248">
        <v>5.4145739999999998E-2</v>
      </c>
      <c r="Q1248">
        <v>-3.3418789999999997E-2</v>
      </c>
      <c r="R1248">
        <v>-0.99797389999999997</v>
      </c>
      <c r="S1248">
        <v>0.21408079999999999</v>
      </c>
      <c r="T1248">
        <v>-0.37678279999999997</v>
      </c>
      <c r="U1248">
        <v>-2.9816280000000002</v>
      </c>
      <c r="V1248">
        <v>5.7443870000000001E-2</v>
      </c>
      <c r="W1248">
        <v>-2.74427E-2</v>
      </c>
      <c r="X1248">
        <v>0.99797150000000001</v>
      </c>
      <c r="Y1248">
        <v>4.0748350000000003E-2</v>
      </c>
      <c r="Z1248">
        <v>0.1239928</v>
      </c>
      <c r="AA1248">
        <v>0.9914461</v>
      </c>
      <c r="AB1248">
        <v>30</v>
      </c>
      <c r="AC1248">
        <v>2.5199999999983898E-2</v>
      </c>
      <c r="AD1248">
        <v>-9.9069000000000004E-2</v>
      </c>
      <c r="AE1248">
        <v>-0.48820000000000602</v>
      </c>
      <c r="AF1248">
        <v>2.8301349412421399E-2</v>
      </c>
      <c r="AG1248">
        <v>-9.9069000000000004E-2</v>
      </c>
      <c r="AH1248">
        <v>0.46871128077948698</v>
      </c>
      <c r="AI1248">
        <v>101.913568870929</v>
      </c>
      <c r="AJ1248">
        <v>86.544607350769297</v>
      </c>
      <c r="AK1248">
        <v>0.47990196693648901</v>
      </c>
      <c r="AL1248">
        <v>91.572548300429901</v>
      </c>
      <c r="AM1248">
        <v>86.705653830950794</v>
      </c>
      <c r="AN1248">
        <v>1.00000000739805</v>
      </c>
    </row>
    <row r="1249" spans="1:40" x14ac:dyDescent="0.3">
      <c r="A1249" t="str">
        <f>"20200111160427223"</f>
        <v>20200111160427223</v>
      </c>
      <c r="B1249" t="str">
        <f>"1578729867211763"</f>
        <v>1578729867211763</v>
      </c>
      <c r="C1249" t="s">
        <v>40</v>
      </c>
      <c r="D1249">
        <v>5.6953040000000001</v>
      </c>
      <c r="E1249">
        <v>0.49594300000000002</v>
      </c>
      <c r="F1249" t="s">
        <v>42</v>
      </c>
      <c r="G1249">
        <v>-190.14750000000001</v>
      </c>
      <c r="H1249">
        <v>1.010893</v>
      </c>
      <c r="I1249">
        <v>335.48860000000002</v>
      </c>
      <c r="J1249">
        <v>-190.17</v>
      </c>
      <c r="K1249">
        <v>1.1068899999999999</v>
      </c>
      <c r="L1249">
        <v>335.94130000000001</v>
      </c>
      <c r="M1249">
        <v>0.1084161</v>
      </c>
      <c r="N1249">
        <v>0</v>
      </c>
      <c r="O1249">
        <v>-0.99408260000000004</v>
      </c>
      <c r="P1249">
        <v>5.3053129999999997E-2</v>
      </c>
      <c r="Q1249">
        <v>-3.3796899999999998E-2</v>
      </c>
      <c r="R1249">
        <v>-0.99801980000000001</v>
      </c>
      <c r="S1249">
        <v>0.2103882</v>
      </c>
      <c r="T1249">
        <v>-0.37796990000000003</v>
      </c>
      <c r="U1249">
        <v>-2.982056</v>
      </c>
      <c r="V1249">
        <v>5.5292109999999998E-2</v>
      </c>
      <c r="W1249">
        <v>-2.7363889999999998E-2</v>
      </c>
      <c r="X1249">
        <v>0.99809519999999996</v>
      </c>
      <c r="Y1249">
        <v>3.8738109999999999E-2</v>
      </c>
      <c r="Z1249">
        <v>0.12443709999999999</v>
      </c>
      <c r="AA1249">
        <v>0.99147099999999999</v>
      </c>
      <c r="AB1249">
        <v>30</v>
      </c>
      <c r="AC1249">
        <v>2.2499999999979502E-2</v>
      </c>
      <c r="AD1249">
        <v>-9.5996999999999805E-2</v>
      </c>
      <c r="AE1249">
        <v>-0.452699999999993</v>
      </c>
      <c r="AF1249">
        <v>2.5566886527262699E-2</v>
      </c>
      <c r="AG1249">
        <v>-9.5996999999999805E-2</v>
      </c>
      <c r="AH1249">
        <v>0.43304608439949699</v>
      </c>
      <c r="AI1249">
        <v>102.47807042777301</v>
      </c>
      <c r="AJ1249">
        <v>86.621199754716997</v>
      </c>
      <c r="AK1249">
        <v>0.444294948102535</v>
      </c>
      <c r="AL1249">
        <v>91.568031113208804</v>
      </c>
      <c r="AM1249">
        <v>86.829190504890093</v>
      </c>
      <c r="AN1249">
        <v>1.0000000140836101</v>
      </c>
    </row>
    <row r="1250" spans="1:40" x14ac:dyDescent="0.3">
      <c r="A1250" t="str">
        <f>"20200111160427245"</f>
        <v>20200111160427245</v>
      </c>
      <c r="B1250" t="str">
        <f>"1578729867242020"</f>
        <v>1578729867242020</v>
      </c>
      <c r="C1250" t="s">
        <v>40</v>
      </c>
      <c r="D1250">
        <v>5.6953889999999996</v>
      </c>
      <c r="E1250">
        <v>0.49595610000000001</v>
      </c>
      <c r="F1250" t="s">
        <v>42</v>
      </c>
      <c r="G1250">
        <v>-190.1199</v>
      </c>
      <c r="H1250">
        <v>1.0147409999999999</v>
      </c>
      <c r="I1250">
        <v>335.21879999999999</v>
      </c>
      <c r="J1250">
        <v>-190.1414</v>
      </c>
      <c r="K1250">
        <v>1.1068880000000001</v>
      </c>
      <c r="L1250">
        <v>335.649</v>
      </c>
      <c r="M1250">
        <v>0.1052887</v>
      </c>
      <c r="N1250">
        <v>0</v>
      </c>
      <c r="O1250">
        <v>-0.99441579999999996</v>
      </c>
      <c r="P1250">
        <v>5.2530090000000002E-2</v>
      </c>
      <c r="Q1250">
        <v>-3.3614249999999998E-2</v>
      </c>
      <c r="R1250">
        <v>-0.99805370000000004</v>
      </c>
      <c r="S1250">
        <v>0.20722960000000001</v>
      </c>
      <c r="T1250">
        <v>-0.38041219999999998</v>
      </c>
      <c r="U1250">
        <v>-2.981995</v>
      </c>
      <c r="V1250">
        <v>5.2678669999999997E-2</v>
      </c>
      <c r="W1250">
        <v>-2.6773729999999999E-2</v>
      </c>
      <c r="X1250">
        <v>0.99825249999999999</v>
      </c>
      <c r="Y1250">
        <v>3.6646190000000002E-2</v>
      </c>
      <c r="Z1250">
        <v>0.12530379999999999</v>
      </c>
      <c r="AA1250">
        <v>0.99144140000000003</v>
      </c>
      <c r="AB1250">
        <v>30</v>
      </c>
      <c r="AC1250">
        <v>2.15000000000031E-2</v>
      </c>
      <c r="AD1250">
        <v>-9.2146999999999896E-2</v>
      </c>
      <c r="AE1250">
        <v>-0.43020000000001302</v>
      </c>
      <c r="AF1250">
        <v>2.2869252189326901E-2</v>
      </c>
      <c r="AG1250">
        <v>-9.2146999999999896E-2</v>
      </c>
      <c r="AH1250">
        <v>0.41125133689501298</v>
      </c>
      <c r="AI1250">
        <v>102.610520499351</v>
      </c>
      <c r="AJ1250">
        <v>86.817120420658696</v>
      </c>
      <c r="AK1250">
        <v>0.42206840014698399</v>
      </c>
      <c r="AL1250">
        <v>91.534205117517303</v>
      </c>
      <c r="AM1250">
        <v>86.979252832512799</v>
      </c>
      <c r="AN1250">
        <v>0.999999964323665</v>
      </c>
    </row>
    <row r="1251" spans="1:40" x14ac:dyDescent="0.3">
      <c r="A1251" t="str">
        <f>"20200111160427267"</f>
        <v>20200111160427267</v>
      </c>
      <c r="B1251" t="str">
        <f>"1578729867261540"</f>
        <v>1578729867261540</v>
      </c>
      <c r="C1251" t="s">
        <v>40</v>
      </c>
      <c r="D1251">
        <v>5.609839</v>
      </c>
      <c r="E1251">
        <v>0.49601879999999998</v>
      </c>
      <c r="F1251" t="s">
        <v>42</v>
      </c>
      <c r="G1251">
        <v>-190.07579999999999</v>
      </c>
      <c r="H1251">
        <v>0.9840951</v>
      </c>
      <c r="I1251">
        <v>334.69589999999999</v>
      </c>
      <c r="J1251">
        <v>-190.11369999999999</v>
      </c>
      <c r="K1251">
        <v>1.106884</v>
      </c>
      <c r="L1251">
        <v>335.35629999999998</v>
      </c>
      <c r="M1251">
        <v>0.10213410000000001</v>
      </c>
      <c r="N1251">
        <v>0</v>
      </c>
      <c r="O1251">
        <v>-0.99474220000000002</v>
      </c>
      <c r="P1251">
        <v>5.2092689999999997E-2</v>
      </c>
      <c r="Q1251">
        <v>-3.3216830000000003E-2</v>
      </c>
      <c r="R1251">
        <v>-0.99808980000000003</v>
      </c>
      <c r="S1251">
        <v>0.20610049999999999</v>
      </c>
      <c r="T1251">
        <v>-0.384239</v>
      </c>
      <c r="U1251">
        <v>-2.981995</v>
      </c>
      <c r="V1251">
        <v>4.9955199999999998E-2</v>
      </c>
      <c r="W1251">
        <v>-2.6004050000000001E-2</v>
      </c>
      <c r="X1251">
        <v>0.99841279999999999</v>
      </c>
      <c r="Y1251">
        <v>3.3861629999999997E-2</v>
      </c>
      <c r="Z1251">
        <v>0.12661449999999999</v>
      </c>
      <c r="AA1251">
        <v>0.99137390000000003</v>
      </c>
      <c r="AB1251">
        <v>30</v>
      </c>
      <c r="AC1251">
        <v>3.7900000000007601E-2</v>
      </c>
      <c r="AD1251">
        <v>-0.12278890000000001</v>
      </c>
      <c r="AE1251">
        <v>-0.660399999999981</v>
      </c>
      <c r="AF1251">
        <v>2.8758542002581801E-2</v>
      </c>
      <c r="AG1251">
        <v>-0.12278890000000001</v>
      </c>
      <c r="AH1251">
        <v>0.63880605683498204</v>
      </c>
      <c r="AI1251">
        <v>100.869727382512</v>
      </c>
      <c r="AJ1251">
        <v>87.422329923823</v>
      </c>
      <c r="AK1251">
        <v>0.65113542827155602</v>
      </c>
      <c r="AL1251">
        <v>91.490090393665398</v>
      </c>
      <c r="AM1251">
        <v>87.135616433147007</v>
      </c>
      <c r="AN1251">
        <v>0.99999992591363795</v>
      </c>
    </row>
    <row r="1252" spans="1:40" x14ac:dyDescent="0.3">
      <c r="A1252" t="str">
        <f>"20200111160427290"</f>
        <v>20200111160427290</v>
      </c>
      <c r="B1252" t="str">
        <f>"1578729867282036"</f>
        <v>1578729867282036</v>
      </c>
      <c r="C1252" t="s">
        <v>40</v>
      </c>
      <c r="D1252">
        <v>5.582128</v>
      </c>
      <c r="E1252">
        <v>0.49618459999999998</v>
      </c>
      <c r="F1252" t="s">
        <v>42</v>
      </c>
      <c r="G1252">
        <v>-190.0498</v>
      </c>
      <c r="H1252">
        <v>0.98668809999999996</v>
      </c>
      <c r="I1252">
        <v>334.42570000000001</v>
      </c>
      <c r="J1252">
        <v>-190.08420000000001</v>
      </c>
      <c r="K1252">
        <v>1.106886</v>
      </c>
      <c r="L1252">
        <v>335.03149999999999</v>
      </c>
      <c r="M1252">
        <v>9.8614869999999993E-2</v>
      </c>
      <c r="N1252">
        <v>0</v>
      </c>
      <c r="O1252">
        <v>-0.99509449999999999</v>
      </c>
      <c r="P1252">
        <v>5.09246E-2</v>
      </c>
      <c r="Q1252">
        <v>-3.360047E-2</v>
      </c>
      <c r="R1252">
        <v>-0.99813730000000001</v>
      </c>
      <c r="S1252">
        <v>0.20498659999999999</v>
      </c>
      <c r="T1252">
        <v>-0.38520599999999999</v>
      </c>
      <c r="U1252">
        <v>-2.982208</v>
      </c>
      <c r="V1252">
        <v>4.7590029999999998E-2</v>
      </c>
      <c r="W1252">
        <v>-2.6021869999999999E-2</v>
      </c>
      <c r="X1252">
        <v>0.99852790000000002</v>
      </c>
      <c r="Y1252">
        <v>3.070314E-2</v>
      </c>
      <c r="Z1252">
        <v>0.12699489999999999</v>
      </c>
      <c r="AA1252">
        <v>0.99142810000000003</v>
      </c>
      <c r="AB1252">
        <v>30</v>
      </c>
      <c r="AC1252">
        <v>3.4400000000005003E-2</v>
      </c>
      <c r="AD1252">
        <v>-0.1201979</v>
      </c>
      <c r="AE1252">
        <v>-0.60579999999998702</v>
      </c>
      <c r="AF1252">
        <v>2.4547179530964199E-2</v>
      </c>
      <c r="AG1252">
        <v>-0.1201979</v>
      </c>
      <c r="AH1252">
        <v>0.58334838846461501</v>
      </c>
      <c r="AI1252">
        <v>101.63273740570899</v>
      </c>
      <c r="AJ1252">
        <v>87.5904269953366</v>
      </c>
      <c r="AK1252">
        <v>0.59610858198116701</v>
      </c>
      <c r="AL1252">
        <v>91.491111702482996</v>
      </c>
      <c r="AM1252">
        <v>87.271337026741904</v>
      </c>
      <c r="AN1252">
        <v>0.999999957876053</v>
      </c>
    </row>
    <row r="1253" spans="1:40" x14ac:dyDescent="0.3">
      <c r="A1253" t="str">
        <f>"20200111160427312"</f>
        <v>20200111160427312</v>
      </c>
      <c r="B1253" t="str">
        <f>"1578729867301555"</f>
        <v>1578729867301555</v>
      </c>
      <c r="C1253" t="s">
        <v>40</v>
      </c>
      <c r="D1253">
        <v>5.703252</v>
      </c>
      <c r="E1253">
        <v>0.496193</v>
      </c>
      <c r="F1253" t="s">
        <v>42</v>
      </c>
      <c r="G1253">
        <v>-190.02529999999999</v>
      </c>
      <c r="H1253">
        <v>0.99279139999999999</v>
      </c>
      <c r="I1253">
        <v>334.15339999999998</v>
      </c>
      <c r="J1253">
        <v>-190.0591</v>
      </c>
      <c r="K1253">
        <v>1.106889</v>
      </c>
      <c r="L1253">
        <v>334.74489999999997</v>
      </c>
      <c r="M1253">
        <v>9.5498440000000004E-2</v>
      </c>
      <c r="N1253">
        <v>0</v>
      </c>
      <c r="O1253">
        <v>-0.99539610000000001</v>
      </c>
      <c r="P1253">
        <v>4.9685180000000002E-2</v>
      </c>
      <c r="Q1253">
        <v>-3.4627150000000002E-2</v>
      </c>
      <c r="R1253">
        <v>-0.99816490000000002</v>
      </c>
      <c r="S1253">
        <v>0.2004852</v>
      </c>
      <c r="T1253">
        <v>-0.38753029999999999</v>
      </c>
      <c r="U1253">
        <v>-2.9823300000000001</v>
      </c>
      <c r="V1253">
        <v>4.569488E-2</v>
      </c>
      <c r="W1253">
        <v>-2.6760849999999999E-2</v>
      </c>
      <c r="X1253">
        <v>0.99859690000000001</v>
      </c>
      <c r="Y1253">
        <v>2.907264E-2</v>
      </c>
      <c r="Z1253">
        <v>0.12781129999999999</v>
      </c>
      <c r="AA1253">
        <v>0.99137229999999998</v>
      </c>
      <c r="AB1253">
        <v>30</v>
      </c>
      <c r="AC1253">
        <v>3.3800000000013597E-2</v>
      </c>
      <c r="AD1253">
        <v>-0.11409759999999899</v>
      </c>
      <c r="AE1253">
        <v>-0.59149999999999603</v>
      </c>
      <c r="AF1253">
        <v>2.2026781798192199E-2</v>
      </c>
      <c r="AG1253">
        <v>-0.11409759999999899</v>
      </c>
      <c r="AH1253">
        <v>0.57085285708779898</v>
      </c>
      <c r="AI1253">
        <v>101.294701254974</v>
      </c>
      <c r="AJ1253">
        <v>87.790295971563907</v>
      </c>
      <c r="AK1253">
        <v>0.582560233699012</v>
      </c>
      <c r="AL1253">
        <v>91.533466879352801</v>
      </c>
      <c r="AM1253">
        <v>87.380025209394404</v>
      </c>
      <c r="AN1253">
        <v>0.99999996692027204</v>
      </c>
    </row>
    <row r="1254" spans="1:40" x14ac:dyDescent="0.3">
      <c r="A1254" t="str">
        <f>"20200111160427335"</f>
        <v>20200111160427335</v>
      </c>
      <c r="B1254" t="str">
        <f>"1578729867331812"</f>
        <v>1578729867331812</v>
      </c>
      <c r="C1254" t="s">
        <v>40</v>
      </c>
      <c r="D1254">
        <v>5.6738819999999999</v>
      </c>
      <c r="E1254">
        <v>0.49615140000000002</v>
      </c>
      <c r="F1254" t="s">
        <v>42</v>
      </c>
      <c r="G1254">
        <v>-190.00210000000001</v>
      </c>
      <c r="H1254">
        <v>0.99345470000000002</v>
      </c>
      <c r="I1254">
        <v>333.88319999999999</v>
      </c>
      <c r="J1254">
        <v>-190.0334</v>
      </c>
      <c r="K1254">
        <v>1.1068880000000001</v>
      </c>
      <c r="L1254">
        <v>334.44069999999999</v>
      </c>
      <c r="M1254">
        <v>9.2189919999999995E-2</v>
      </c>
      <c r="N1254">
        <v>0</v>
      </c>
      <c r="O1254">
        <v>-0.99570579999999997</v>
      </c>
      <c r="P1254">
        <v>4.7968700000000003E-2</v>
      </c>
      <c r="Q1254">
        <v>-3.4821360000000003E-2</v>
      </c>
      <c r="R1254">
        <v>-0.99824179999999996</v>
      </c>
      <c r="S1254">
        <v>0.19700619999999999</v>
      </c>
      <c r="T1254">
        <v>-0.39259090000000002</v>
      </c>
      <c r="U1254">
        <v>-2.9820859999999998</v>
      </c>
      <c r="V1254">
        <v>4.4093479999999997E-2</v>
      </c>
      <c r="W1254">
        <v>-2.668529E-2</v>
      </c>
      <c r="X1254">
        <v>0.99867090000000003</v>
      </c>
      <c r="Y1254">
        <v>2.691149E-2</v>
      </c>
      <c r="Z1254">
        <v>0.12953219999999999</v>
      </c>
      <c r="AA1254">
        <v>0.99121000000000004</v>
      </c>
      <c r="AB1254">
        <v>30</v>
      </c>
      <c r="AC1254">
        <v>3.12999999999874E-2</v>
      </c>
      <c r="AD1254">
        <v>-0.113433299999999</v>
      </c>
      <c r="AE1254">
        <v>-0.55750000000000399</v>
      </c>
      <c r="AF1254">
        <v>1.94291826945301E-2</v>
      </c>
      <c r="AG1254">
        <v>-0.113433299999999</v>
      </c>
      <c r="AH1254">
        <v>0.53589542959336001</v>
      </c>
      <c r="AI1254">
        <v>101.943801270478</v>
      </c>
      <c r="AJ1254">
        <v>87.923619549377307</v>
      </c>
      <c r="AK1254">
        <v>0.54811359967448203</v>
      </c>
      <c r="AL1254">
        <v>91.529136084613299</v>
      </c>
      <c r="AM1254">
        <v>87.471909335940495</v>
      </c>
      <c r="AN1254">
        <v>0.99999995309385104</v>
      </c>
    </row>
    <row r="1255" spans="1:40" x14ac:dyDescent="0.3">
      <c r="A1255" t="str">
        <f>"20200111160427357"</f>
        <v>20200111160427357</v>
      </c>
      <c r="B1255" t="str">
        <f>"1578729867352309"</f>
        <v>1578729867352309</v>
      </c>
      <c r="C1255" t="s">
        <v>40</v>
      </c>
      <c r="D1255">
        <v>5.6830990000000003</v>
      </c>
      <c r="E1255">
        <v>0.49611139999999998</v>
      </c>
      <c r="F1255" t="s">
        <v>42</v>
      </c>
      <c r="G1255">
        <v>-189.97980000000001</v>
      </c>
      <c r="H1255">
        <v>0.99721170000000003</v>
      </c>
      <c r="I1255">
        <v>333.61130000000003</v>
      </c>
      <c r="J1255">
        <v>-190.00890000000001</v>
      </c>
      <c r="K1255">
        <v>1.1068979999999999</v>
      </c>
      <c r="L1255">
        <v>334.13909999999998</v>
      </c>
      <c r="M1255">
        <v>8.8931419999999997E-2</v>
      </c>
      <c r="N1255">
        <v>0</v>
      </c>
      <c r="O1255">
        <v>-0.99600029999999995</v>
      </c>
      <c r="P1255">
        <v>4.4751560000000003E-2</v>
      </c>
      <c r="Q1255">
        <v>-3.440327E-2</v>
      </c>
      <c r="R1255">
        <v>-0.99840580000000001</v>
      </c>
      <c r="S1255">
        <v>0.1926727</v>
      </c>
      <c r="T1255">
        <v>-0.39438869999999998</v>
      </c>
      <c r="U1255">
        <v>-2.9822389999999999</v>
      </c>
      <c r="V1255">
        <v>4.4050190000000003E-2</v>
      </c>
      <c r="W1255">
        <v>-2.6040359999999999E-2</v>
      </c>
      <c r="X1255">
        <v>0.99868990000000002</v>
      </c>
      <c r="Y1255">
        <v>2.508353E-2</v>
      </c>
      <c r="Z1255">
        <v>0.13017570000000001</v>
      </c>
      <c r="AA1255">
        <v>0.99117359999999999</v>
      </c>
      <c r="AB1255">
        <v>30</v>
      </c>
      <c r="AC1255">
        <v>2.9099999999999598E-2</v>
      </c>
      <c r="AD1255">
        <v>-0.109686299999999</v>
      </c>
      <c r="AE1255">
        <v>-0.52779999999995597</v>
      </c>
      <c r="AF1255">
        <v>1.72138795806367E-2</v>
      </c>
      <c r="AG1255">
        <v>-0.109686299999999</v>
      </c>
      <c r="AH1255">
        <v>0.50648849085415304</v>
      </c>
      <c r="AI1255">
        <v>102.212570065446</v>
      </c>
      <c r="AJ1255">
        <v>88.053453969503195</v>
      </c>
      <c r="AK1255">
        <v>0.51851518148037301</v>
      </c>
      <c r="AL1255">
        <v>91.492171370909603</v>
      </c>
      <c r="AM1255">
        <v>87.474436131115198</v>
      </c>
      <c r="AN1255">
        <v>1.0000000179749799</v>
      </c>
    </row>
    <row r="1256" spans="1:40" x14ac:dyDescent="0.3">
      <c r="A1256" t="str">
        <f>"20200111160427379"</f>
        <v>20200111160427379</v>
      </c>
      <c r="B1256" t="str">
        <f>"1578729867371828"</f>
        <v>1578729867371828</v>
      </c>
      <c r="C1256" t="s">
        <v>40</v>
      </c>
      <c r="D1256">
        <v>5.6939310000000001</v>
      </c>
      <c r="E1256">
        <v>0.496029</v>
      </c>
      <c r="F1256" t="s">
        <v>42</v>
      </c>
      <c r="G1256">
        <v>-189.9597</v>
      </c>
      <c r="H1256">
        <v>1.001091</v>
      </c>
      <c r="I1256">
        <v>333.33890000000002</v>
      </c>
      <c r="J1256">
        <v>-189.98509999999999</v>
      </c>
      <c r="K1256">
        <v>1.10693</v>
      </c>
      <c r="L1256">
        <v>333.83460000000002</v>
      </c>
      <c r="M1256">
        <v>8.5692519999999994E-2</v>
      </c>
      <c r="N1256">
        <v>0</v>
      </c>
      <c r="O1256">
        <v>-0.99628229999999995</v>
      </c>
      <c r="P1256">
        <v>4.1478519999999998E-2</v>
      </c>
      <c r="Q1256">
        <v>-3.471428E-2</v>
      </c>
      <c r="R1256">
        <v>-0.99853619999999998</v>
      </c>
      <c r="S1256">
        <v>0.18365480000000001</v>
      </c>
      <c r="T1256">
        <v>-0.39440540000000002</v>
      </c>
      <c r="U1256">
        <v>-2.9829409999999998</v>
      </c>
      <c r="V1256">
        <v>4.4076919999999999E-2</v>
      </c>
      <c r="W1256">
        <v>-2.6149740000000001E-2</v>
      </c>
      <c r="X1256">
        <v>0.99868579999999996</v>
      </c>
      <c r="Y1256">
        <v>2.4833060000000001E-2</v>
      </c>
      <c r="Z1256">
        <v>0.130219</v>
      </c>
      <c r="AA1256">
        <v>0.99117420000000001</v>
      </c>
      <c r="AB1256">
        <v>30</v>
      </c>
      <c r="AC1256">
        <v>2.53999999999905E-2</v>
      </c>
      <c r="AD1256">
        <v>-0.105839</v>
      </c>
      <c r="AE1256">
        <v>-0.49569999999999897</v>
      </c>
      <c r="AF1256">
        <v>1.64260113643254E-2</v>
      </c>
      <c r="AG1256">
        <v>-0.105839</v>
      </c>
      <c r="AH1256">
        <v>0.47447910285321099</v>
      </c>
      <c r="AI1256">
        <v>102.567447115606</v>
      </c>
      <c r="AJ1256">
        <v>88.017266912468799</v>
      </c>
      <c r="AK1256">
        <v>0.486417646487799</v>
      </c>
      <c r="AL1256">
        <v>91.498440611730601</v>
      </c>
      <c r="AM1256">
        <v>87.472895224090294</v>
      </c>
      <c r="AN1256">
        <v>0.99999995545019504</v>
      </c>
    </row>
    <row r="1257" spans="1:40" x14ac:dyDescent="0.3">
      <c r="A1257" t="str">
        <f>"20200111160427403"</f>
        <v>20200111160427403</v>
      </c>
      <c r="B1257" t="str">
        <f>"1578729867392324"</f>
        <v>1578729867392324</v>
      </c>
      <c r="C1257" t="s">
        <v>40</v>
      </c>
      <c r="D1257">
        <v>5.7091699999999896</v>
      </c>
      <c r="E1257">
        <v>0.49583640000000001</v>
      </c>
      <c r="F1257" t="s">
        <v>42</v>
      </c>
      <c r="G1257">
        <v>-189.9401</v>
      </c>
      <c r="H1257">
        <v>1.004856</v>
      </c>
      <c r="I1257">
        <v>333.06619999999998</v>
      </c>
      <c r="J1257">
        <v>-189.96119999999999</v>
      </c>
      <c r="K1257">
        <v>1.1069899999999999</v>
      </c>
      <c r="L1257">
        <v>333.51639999999998</v>
      </c>
      <c r="M1257">
        <v>8.2404459999999999E-2</v>
      </c>
      <c r="N1257">
        <v>0</v>
      </c>
      <c r="O1257">
        <v>-0.9965581</v>
      </c>
      <c r="P1257">
        <v>3.823758E-2</v>
      </c>
      <c r="Q1257">
        <v>-3.6507680000000001E-2</v>
      </c>
      <c r="R1257">
        <v>-0.99860170000000004</v>
      </c>
      <c r="S1257">
        <v>0.17504879999999901</v>
      </c>
      <c r="T1257">
        <v>-0.39634229999999998</v>
      </c>
      <c r="U1257">
        <v>-2.9833069999999999</v>
      </c>
      <c r="V1257">
        <v>4.4010970000000003E-2</v>
      </c>
      <c r="W1257">
        <v>-2.7756900000000001E-2</v>
      </c>
      <c r="X1257">
        <v>0.99864540000000002</v>
      </c>
      <c r="Y1257">
        <v>2.4395819999999999E-2</v>
      </c>
      <c r="Z1257">
        <v>0.13089790000000001</v>
      </c>
      <c r="AA1257">
        <v>0.99109570000000002</v>
      </c>
      <c r="AB1257">
        <v>30</v>
      </c>
      <c r="AC1257">
        <v>2.1099999999989901E-2</v>
      </c>
      <c r="AD1257">
        <v>-0.102133999999999</v>
      </c>
      <c r="AE1257">
        <v>-0.45019999999999499</v>
      </c>
      <c r="AF1257">
        <v>1.52867274763947E-2</v>
      </c>
      <c r="AG1257">
        <v>-0.102133999999999</v>
      </c>
      <c r="AH1257">
        <v>0.428406996644006</v>
      </c>
      <c r="AI1257">
        <v>103.401024839114</v>
      </c>
      <c r="AJ1257">
        <v>87.956397715409096</v>
      </c>
      <c r="AK1257">
        <v>0.44067855945856399</v>
      </c>
      <c r="AL1257">
        <v>91.5905574700854</v>
      </c>
      <c r="AM1257">
        <v>87.476569559604997</v>
      </c>
      <c r="AN1257">
        <v>1.00000002295955</v>
      </c>
    </row>
    <row r="1258" spans="1:40" x14ac:dyDescent="0.3">
      <c r="A1258" t="str">
        <f>"20200111160427425"</f>
        <v>20200111160427425</v>
      </c>
      <c r="B1258" t="str">
        <f>"1578729867421604"</f>
        <v>1578729867421604</v>
      </c>
      <c r="C1258" t="s">
        <v>40</v>
      </c>
      <c r="D1258">
        <v>6.6933210000000001</v>
      </c>
      <c r="E1258">
        <v>0.49569839999999998</v>
      </c>
      <c r="F1258" t="s">
        <v>42</v>
      </c>
      <c r="G1258">
        <v>-189.92070000000001</v>
      </c>
      <c r="H1258">
        <v>1.0093700000000001</v>
      </c>
      <c r="I1258">
        <v>332.79289999999997</v>
      </c>
      <c r="J1258">
        <v>-189.94030000000001</v>
      </c>
      <c r="K1258">
        <v>1.107075</v>
      </c>
      <c r="L1258">
        <v>333.22620000000001</v>
      </c>
      <c r="M1258">
        <v>7.9544539999999997E-2</v>
      </c>
      <c r="N1258">
        <v>0</v>
      </c>
      <c r="O1258">
        <v>-0.99678889999999998</v>
      </c>
      <c r="P1258">
        <v>3.6394370000000002E-2</v>
      </c>
      <c r="Q1258">
        <v>-3.8801339999999997E-2</v>
      </c>
      <c r="R1258">
        <v>-0.99858400000000003</v>
      </c>
      <c r="S1258">
        <v>0.16751099999999999</v>
      </c>
      <c r="T1258">
        <v>-0.40249560000000001</v>
      </c>
      <c r="U1258">
        <v>-2.9830320000000001</v>
      </c>
      <c r="V1258">
        <v>4.297496E-2</v>
      </c>
      <c r="W1258">
        <v>-2.9894609999999999E-2</v>
      </c>
      <c r="X1258">
        <v>0.99862879999999998</v>
      </c>
      <c r="Y1258">
        <v>2.4033479999999999E-2</v>
      </c>
      <c r="Z1258">
        <v>0.13296259999999999</v>
      </c>
      <c r="AA1258">
        <v>0.99082959999999998</v>
      </c>
      <c r="AB1258">
        <v>30</v>
      </c>
      <c r="AC1258">
        <v>1.9599999999996901E-2</v>
      </c>
      <c r="AD1258">
        <v>-9.7704999999999903E-2</v>
      </c>
      <c r="AE1258">
        <v>-0.43330000000003099</v>
      </c>
      <c r="AF1258">
        <v>1.42092126059485E-2</v>
      </c>
      <c r="AG1258">
        <v>-9.7704999999999903E-2</v>
      </c>
      <c r="AH1258">
        <v>0.412552260233713</v>
      </c>
      <c r="AI1258">
        <v>103.31629269092799</v>
      </c>
      <c r="AJ1258">
        <v>88.0273863560584</v>
      </c>
      <c r="AK1258">
        <v>0.42420223499155002</v>
      </c>
      <c r="AL1258">
        <v>91.713090196182307</v>
      </c>
      <c r="AM1258">
        <v>87.535855632001002</v>
      </c>
      <c r="AN1258">
        <v>1.0000000075417399</v>
      </c>
    </row>
    <row r="1259" spans="1:40" x14ac:dyDescent="0.3">
      <c r="A1259" t="str">
        <f>"20200111160427446"</f>
        <v>20200111160427446</v>
      </c>
      <c r="B1259" t="str">
        <f>"1578729867442100"</f>
        <v>1578729867442100</v>
      </c>
      <c r="C1259" t="s">
        <v>40</v>
      </c>
      <c r="D1259">
        <v>6.3768659999999997</v>
      </c>
      <c r="E1259">
        <v>0.4879349</v>
      </c>
      <c r="F1259" t="s">
        <v>42</v>
      </c>
      <c r="G1259">
        <v>-189.88759999999999</v>
      </c>
      <c r="H1259">
        <v>0.97516440000000004</v>
      </c>
      <c r="I1259">
        <v>332.26609999999999</v>
      </c>
      <c r="J1259">
        <v>-189.92019999999999</v>
      </c>
      <c r="K1259">
        <v>1.1071949999999999</v>
      </c>
      <c r="L1259">
        <v>332.93889999999999</v>
      </c>
      <c r="M1259">
        <v>7.6882439999999996E-2</v>
      </c>
      <c r="N1259">
        <v>0</v>
      </c>
      <c r="O1259">
        <v>-0.99699689999999996</v>
      </c>
      <c r="P1259">
        <v>3.6007190000000001E-2</v>
      </c>
      <c r="Q1259">
        <v>-4.0064160000000001E-2</v>
      </c>
      <c r="R1259">
        <v>-0.9985482</v>
      </c>
      <c r="S1259">
        <v>0.16377259999999999</v>
      </c>
      <c r="T1259">
        <v>-0.4098386</v>
      </c>
      <c r="U1259">
        <v>-2.9823</v>
      </c>
      <c r="V1259">
        <v>4.0694420000000002E-2</v>
      </c>
      <c r="W1259">
        <v>-3.1010869999999999E-2</v>
      </c>
      <c r="X1259">
        <v>0.99869030000000003</v>
      </c>
      <c r="Y1259">
        <v>2.260672E-2</v>
      </c>
      <c r="Z1259">
        <v>0.13542570000000001</v>
      </c>
      <c r="AA1259">
        <v>0.99052949999999995</v>
      </c>
      <c r="AB1259">
        <v>30</v>
      </c>
      <c r="AC1259">
        <v>3.26000000000021E-2</v>
      </c>
      <c r="AD1259">
        <v>-0.1320306</v>
      </c>
      <c r="AE1259">
        <v>-0.67279999999999496</v>
      </c>
      <c r="AF1259">
        <v>1.8513928545455201E-2</v>
      </c>
      <c r="AG1259">
        <v>-0.1320306</v>
      </c>
      <c r="AH1259">
        <v>0.64840319429377902</v>
      </c>
      <c r="AI1259">
        <v>101.504895128455</v>
      </c>
      <c r="AJ1259">
        <v>88.364471607754197</v>
      </c>
      <c r="AK1259">
        <v>0.66196793521810604</v>
      </c>
      <c r="AL1259">
        <v>91.777076853406697</v>
      </c>
      <c r="AM1259">
        <v>87.666614624645504</v>
      </c>
      <c r="AN1259">
        <v>1.00000001259569</v>
      </c>
    </row>
    <row r="1260" spans="1:40" x14ac:dyDescent="0.3">
      <c r="A1260" t="str">
        <f>"20200111160427468"</f>
        <v>20200111160427468</v>
      </c>
      <c r="B1260" t="str">
        <f>"1578729867461620"</f>
        <v>1578729867461620</v>
      </c>
      <c r="C1260" t="s">
        <v>40</v>
      </c>
      <c r="D1260">
        <v>5.6686259999999997</v>
      </c>
      <c r="E1260">
        <v>0.48858849999999998</v>
      </c>
      <c r="F1260" t="s">
        <v>53</v>
      </c>
      <c r="G1260">
        <v>-175.4572</v>
      </c>
      <c r="H1260">
        <v>5.1557750000000002</v>
      </c>
      <c r="I1260">
        <v>106.9699</v>
      </c>
      <c r="J1260">
        <v>-189.899</v>
      </c>
      <c r="K1260">
        <v>1.107343</v>
      </c>
      <c r="L1260">
        <v>332.62569999999999</v>
      </c>
      <c r="M1260">
        <v>7.4152319999999994E-2</v>
      </c>
      <c r="N1260">
        <v>0</v>
      </c>
      <c r="O1260">
        <v>-0.99720260000000005</v>
      </c>
      <c r="P1260">
        <v>3.5666919999999998E-2</v>
      </c>
      <c r="Q1260">
        <v>-4.0154759999999998E-2</v>
      </c>
      <c r="R1260">
        <v>-0.99855689999999997</v>
      </c>
      <c r="S1260">
        <v>0.19198609999999999</v>
      </c>
      <c r="T1260">
        <v>5.3742289999999998E-2</v>
      </c>
      <c r="U1260">
        <v>-2.9995729999999998</v>
      </c>
      <c r="V1260">
        <v>3.8311310000000001E-2</v>
      </c>
      <c r="W1260">
        <v>-3.0960689999999999E-2</v>
      </c>
      <c r="X1260">
        <v>0.99878610000000001</v>
      </c>
      <c r="Y1260">
        <v>1.031643E-2</v>
      </c>
      <c r="Z1260">
        <v>-1.7821150000000001E-2</v>
      </c>
      <c r="AA1260">
        <v>0.99978800000000001</v>
      </c>
      <c r="AB1260">
        <v>30</v>
      </c>
      <c r="AC1260">
        <v>14.441800000000001</v>
      </c>
      <c r="AD1260">
        <v>4.048432</v>
      </c>
      <c r="AE1260">
        <v>-225.6558</v>
      </c>
      <c r="AF1260">
        <v>2.33085647848486</v>
      </c>
      <c r="AG1260">
        <v>4.048432</v>
      </c>
      <c r="AH1260">
        <v>226.03298193075901</v>
      </c>
      <c r="AI1260">
        <v>88.973950888835205</v>
      </c>
      <c r="AJ1260">
        <v>89.409185755592901</v>
      </c>
      <c r="AK1260">
        <v>226.081250027712</v>
      </c>
      <c r="AL1260">
        <v>91.774200397378493</v>
      </c>
      <c r="AM1260">
        <v>87.803332703500402</v>
      </c>
      <c r="AN1260">
        <v>0.99999999717620103</v>
      </c>
    </row>
    <row r="1261" spans="1:40" x14ac:dyDescent="0.3">
      <c r="A1261" t="str">
        <f>"20200111160427492"</f>
        <v>20200111160427492</v>
      </c>
      <c r="B1261" t="str">
        <f>"1578729867482116"</f>
        <v>1578729867482116</v>
      </c>
      <c r="C1261" t="s">
        <v>40</v>
      </c>
      <c r="D1261">
        <v>5.6742790000000003</v>
      </c>
      <c r="E1261">
        <v>0.49673020000000001</v>
      </c>
      <c r="F1261" t="s">
        <v>52</v>
      </c>
      <c r="G1261">
        <v>-168.14429999999999</v>
      </c>
      <c r="H1261">
        <v>5.6890020000000003</v>
      </c>
      <c r="I1261">
        <v>-17.389949999999999</v>
      </c>
      <c r="J1261">
        <v>-189.87799999999999</v>
      </c>
      <c r="K1261">
        <v>1.107507</v>
      </c>
      <c r="L1261">
        <v>332.30610000000001</v>
      </c>
      <c r="M1261">
        <v>7.1586079999999996E-2</v>
      </c>
      <c r="N1261">
        <v>0</v>
      </c>
      <c r="O1261">
        <v>-0.99738919999999998</v>
      </c>
      <c r="P1261">
        <v>3.5919510000000002E-2</v>
      </c>
      <c r="Q1261">
        <v>-4.0591950000000002E-2</v>
      </c>
      <c r="R1261">
        <v>-0.99853049999999999</v>
      </c>
      <c r="S1261">
        <v>0.18641659999999999</v>
      </c>
      <c r="T1261">
        <v>3.9260389999999999E-2</v>
      </c>
      <c r="U1261">
        <v>-2.999298</v>
      </c>
      <c r="V1261">
        <v>3.5497790000000001E-2</v>
      </c>
      <c r="W1261">
        <v>-3.1269039999999998E-2</v>
      </c>
      <c r="X1261">
        <v>0.9988804</v>
      </c>
      <c r="Y1261">
        <v>9.5821650000000001E-3</v>
      </c>
      <c r="Z1261">
        <v>-1.302554E-2</v>
      </c>
      <c r="AA1261">
        <v>0.99986920000000001</v>
      </c>
      <c r="AB1261">
        <v>30</v>
      </c>
      <c r="AC1261">
        <v>21.733699999999999</v>
      </c>
      <c r="AD1261">
        <v>4.5814949999999897</v>
      </c>
      <c r="AE1261">
        <v>-349.69605000000001</v>
      </c>
      <c r="AF1261">
        <v>3.3559893429540701</v>
      </c>
      <c r="AG1261">
        <v>4.5814949999999897</v>
      </c>
      <c r="AH1261">
        <v>350.294802999544</v>
      </c>
      <c r="AI1261">
        <v>89.250707361441002</v>
      </c>
      <c r="AJ1261">
        <v>89.451096216209294</v>
      </c>
      <c r="AK1261">
        <v>350.34083657117998</v>
      </c>
      <c r="AL1261">
        <v>91.791876194463697</v>
      </c>
      <c r="AM1261">
        <v>87.964703290704193</v>
      </c>
      <c r="AN1261">
        <v>0.99999994973078099</v>
      </c>
    </row>
    <row r="1262" spans="1:40" x14ac:dyDescent="0.3">
      <c r="A1262" t="str">
        <f>"20200111160427514"</f>
        <v>20200111160427514</v>
      </c>
      <c r="B1262" t="str">
        <f>"1578729867512372"</f>
        <v>1578729867512372</v>
      </c>
      <c r="C1262" t="s">
        <v>40</v>
      </c>
      <c r="D1262">
        <v>5.5348300000000004</v>
      </c>
      <c r="E1262">
        <v>0.51579929999999996</v>
      </c>
      <c r="F1262" t="s">
        <v>42</v>
      </c>
      <c r="G1262">
        <v>-189.83529999999999</v>
      </c>
      <c r="H1262">
        <v>1.0274970000000001</v>
      </c>
      <c r="I1262">
        <v>331.42430000000002</v>
      </c>
      <c r="J1262">
        <v>-189.85890000000001</v>
      </c>
      <c r="K1262">
        <v>1.107667</v>
      </c>
      <c r="L1262">
        <v>332.00709999999998</v>
      </c>
      <c r="M1262">
        <v>6.94221E-2</v>
      </c>
      <c r="N1262">
        <v>0</v>
      </c>
      <c r="O1262">
        <v>-0.99754129999999996</v>
      </c>
      <c r="P1262">
        <v>3.5548799999999998E-2</v>
      </c>
      <c r="Q1262">
        <v>-4.1642930000000002E-2</v>
      </c>
      <c r="R1262">
        <v>-0.99850000000000005</v>
      </c>
      <c r="S1262">
        <v>0.14521789999999901</v>
      </c>
      <c r="T1262">
        <v>-0.27131759999999999</v>
      </c>
      <c r="U1262">
        <v>-2.9881899999999999</v>
      </c>
      <c r="V1262">
        <v>3.37065E-2</v>
      </c>
      <c r="W1262">
        <v>-3.2217509999999998E-2</v>
      </c>
      <c r="X1262">
        <v>0.99891229999999998</v>
      </c>
      <c r="Y1262">
        <v>2.1118169999999999E-2</v>
      </c>
      <c r="Z1262">
        <v>9.0035580000000004E-2</v>
      </c>
      <c r="AA1262">
        <v>0.99571460000000001</v>
      </c>
      <c r="AB1262">
        <v>30</v>
      </c>
      <c r="AC1262">
        <v>2.3600000000016001E-2</v>
      </c>
      <c r="AD1262">
        <v>-8.0170000000000005E-2</v>
      </c>
      <c r="AE1262">
        <v>-0.58279999999996301</v>
      </c>
      <c r="AF1262">
        <v>1.66043175407278E-2</v>
      </c>
      <c r="AG1262">
        <v>-8.0170000000000005E-2</v>
      </c>
      <c r="AH1262">
        <v>0.57222193315862502</v>
      </c>
      <c r="AI1262">
        <v>97.972085018140206</v>
      </c>
      <c r="AJ1262">
        <v>88.337899368062395</v>
      </c>
      <c r="AK1262">
        <v>0.57804919604544602</v>
      </c>
      <c r="AL1262">
        <v>91.846246945807593</v>
      </c>
      <c r="AM1262">
        <v>88.067390180227406</v>
      </c>
      <c r="AN1262">
        <v>0.99999993959206801</v>
      </c>
    </row>
    <row r="1263" spans="1:40" x14ac:dyDescent="0.3">
      <c r="A1263" t="str">
        <f>"20200111160427535"</f>
        <v>20200111160427535</v>
      </c>
      <c r="B1263" t="str">
        <f>"1578729867531892"</f>
        <v>1578729867531892</v>
      </c>
      <c r="C1263" t="s">
        <v>40</v>
      </c>
      <c r="D1263">
        <v>5.5330019999999998</v>
      </c>
      <c r="E1263">
        <v>0.52193279999999997</v>
      </c>
      <c r="F1263" t="s">
        <v>42</v>
      </c>
      <c r="G1263">
        <v>-189.86109999999999</v>
      </c>
      <c r="H1263">
        <v>1.0292760000000001</v>
      </c>
      <c r="I1263">
        <v>331.14839999999998</v>
      </c>
      <c r="J1263">
        <v>-189.84049999999999</v>
      </c>
      <c r="K1263">
        <v>1.1078460000000001</v>
      </c>
      <c r="L1263">
        <v>331.71449999999999</v>
      </c>
      <c r="M1263">
        <v>6.7547629999999997E-2</v>
      </c>
      <c r="N1263">
        <v>0</v>
      </c>
      <c r="O1263">
        <v>-0.99766940000000004</v>
      </c>
      <c r="P1263">
        <v>3.551294E-2</v>
      </c>
      <c r="Q1263">
        <v>-4.2974569999999997E-2</v>
      </c>
      <c r="R1263">
        <v>-0.99844500000000003</v>
      </c>
      <c r="S1263">
        <v>-8.1634519999999999E-3</v>
      </c>
      <c r="T1263">
        <v>-0.27322289999999999</v>
      </c>
      <c r="U1263">
        <v>-2.993439</v>
      </c>
      <c r="V1263">
        <v>3.1870450000000002E-2</v>
      </c>
      <c r="W1263">
        <v>-3.3459089999999997E-2</v>
      </c>
      <c r="X1263">
        <v>0.99893180000000004</v>
      </c>
      <c r="Y1263">
        <v>7.0259840000000004E-2</v>
      </c>
      <c r="Z1263">
        <v>9.0472559999999994E-2</v>
      </c>
      <c r="AA1263">
        <v>0.99341740000000001</v>
      </c>
      <c r="AB1263">
        <v>30</v>
      </c>
      <c r="AC1263">
        <v>-2.06000000000017E-2</v>
      </c>
      <c r="AD1263">
        <v>-7.8569999999999807E-2</v>
      </c>
      <c r="AE1263">
        <v>-0.56610000000000504</v>
      </c>
      <c r="AF1263">
        <v>5.7683738687003501E-2</v>
      </c>
      <c r="AG1263">
        <v>-7.8569999999999807E-2</v>
      </c>
      <c r="AH1263">
        <v>0.552781167617167</v>
      </c>
      <c r="AI1263">
        <v>98.046480754478395</v>
      </c>
      <c r="AJ1263">
        <v>84.042640692342005</v>
      </c>
      <c r="AK1263">
        <v>0.561308897026502</v>
      </c>
      <c r="AL1263">
        <v>91.917422541134002</v>
      </c>
      <c r="AM1263">
        <v>88.172624919204495</v>
      </c>
      <c r="AN1263">
        <v>0.99999998866903494</v>
      </c>
    </row>
    <row r="1264" spans="1:40" x14ac:dyDescent="0.3">
      <c r="A1264" t="str">
        <f>"20200111160427559"</f>
        <v>20200111160427559</v>
      </c>
      <c r="B1264" t="str">
        <f>"1578729867552388"</f>
        <v>1578729867552388</v>
      </c>
      <c r="C1264" t="s">
        <v>40</v>
      </c>
      <c r="D1264">
        <v>6.1363960000000004</v>
      </c>
      <c r="E1264">
        <v>0.52366109999999999</v>
      </c>
      <c r="F1264" t="s">
        <v>42</v>
      </c>
      <c r="G1264">
        <v>-189.85720000000001</v>
      </c>
      <c r="H1264">
        <v>1.0344329999999999</v>
      </c>
      <c r="I1264">
        <v>330.8723</v>
      </c>
      <c r="J1264">
        <v>-189.82089999999999</v>
      </c>
      <c r="K1264">
        <v>1.1080589999999999</v>
      </c>
      <c r="L1264">
        <v>331.39510000000001</v>
      </c>
      <c r="M1264">
        <v>6.5777989999999995E-2</v>
      </c>
      <c r="N1264">
        <v>0</v>
      </c>
      <c r="O1264">
        <v>-0.99778690000000003</v>
      </c>
      <c r="P1264">
        <v>3.484806E-2</v>
      </c>
      <c r="Q1264">
        <v>-4.5633050000000001E-2</v>
      </c>
      <c r="R1264">
        <v>-0.99835050000000003</v>
      </c>
      <c r="S1264">
        <v>-5.8731079999999998E-2</v>
      </c>
      <c r="T1264">
        <v>-0.26129350000000001</v>
      </c>
      <c r="U1264">
        <v>-2.995514</v>
      </c>
      <c r="V1264">
        <v>3.0763760000000001E-2</v>
      </c>
      <c r="W1264">
        <v>-3.6034160000000003E-2</v>
      </c>
      <c r="X1264">
        <v>0.99887689999999996</v>
      </c>
      <c r="Y1264">
        <v>8.5254570000000002E-2</v>
      </c>
      <c r="Z1264">
        <v>8.6449730000000002E-2</v>
      </c>
      <c r="AA1264">
        <v>0.99260170000000003</v>
      </c>
      <c r="AB1264">
        <v>30</v>
      </c>
      <c r="AC1264">
        <v>-3.6300000000011302E-2</v>
      </c>
      <c r="AD1264">
        <v>-7.36259999999999E-2</v>
      </c>
      <c r="AE1264">
        <v>-0.52280000000001703</v>
      </c>
      <c r="AF1264">
        <v>6.9244980691276395E-2</v>
      </c>
      <c r="AG1264">
        <v>-7.36259999999999E-2</v>
      </c>
      <c r="AH1264">
        <v>0.50922866090219099</v>
      </c>
      <c r="AI1264">
        <v>98.152997566754294</v>
      </c>
      <c r="AJ1264">
        <v>82.256407118406599</v>
      </c>
      <c r="AK1264">
        <v>0.51916229091794996</v>
      </c>
      <c r="AL1264">
        <v>92.065052420343093</v>
      </c>
      <c r="AM1264">
        <v>88.235942168252706</v>
      </c>
      <c r="AN1264">
        <v>0.99999996548492598</v>
      </c>
    </row>
    <row r="1265" spans="1:40" x14ac:dyDescent="0.3">
      <c r="A1265" t="str">
        <f>"20200111160427580"</f>
        <v>20200111160427580</v>
      </c>
      <c r="B1265" t="str">
        <f>"1578729867571908"</f>
        <v>1578729867571908</v>
      </c>
      <c r="C1265" t="s">
        <v>40</v>
      </c>
      <c r="D1265">
        <v>5.5739369999999999</v>
      </c>
      <c r="E1265">
        <v>0.538987199999999</v>
      </c>
      <c r="F1265" t="s">
        <v>42</v>
      </c>
      <c r="G1265">
        <v>-189.84110000000001</v>
      </c>
      <c r="H1265">
        <v>1.0379430000000001</v>
      </c>
      <c r="I1265">
        <v>330.5976</v>
      </c>
      <c r="J1265">
        <v>-189.80269999999999</v>
      </c>
      <c r="K1265">
        <v>1.1082620000000001</v>
      </c>
      <c r="L1265">
        <v>331.09609999999998</v>
      </c>
      <c r="M1265">
        <v>6.4381019999999997E-2</v>
      </c>
      <c r="N1265">
        <v>0</v>
      </c>
      <c r="O1265">
        <v>-0.99787749999999997</v>
      </c>
      <c r="P1265">
        <v>3.4316720000000002E-2</v>
      </c>
      <c r="Q1265">
        <v>-4.8110390000000003E-2</v>
      </c>
      <c r="R1265">
        <v>-0.99825260000000005</v>
      </c>
      <c r="S1265">
        <v>-7.5378420000000002E-2</v>
      </c>
      <c r="T1265">
        <v>-0.26347510000000002</v>
      </c>
      <c r="U1265">
        <v>-2.9955440000000002</v>
      </c>
      <c r="V1265">
        <v>2.989965E-2</v>
      </c>
      <c r="W1265">
        <v>-3.8442709999999998E-2</v>
      </c>
      <c r="X1265">
        <v>0.99881339999999996</v>
      </c>
      <c r="Y1265">
        <v>8.9370649999999996E-2</v>
      </c>
      <c r="Z1265">
        <v>8.7155839999999998E-2</v>
      </c>
      <c r="AA1265">
        <v>0.9921778</v>
      </c>
      <c r="AB1265">
        <v>30</v>
      </c>
      <c r="AC1265">
        <v>-3.8400000000024102E-2</v>
      </c>
      <c r="AD1265">
        <v>-7.0319000000000007E-2</v>
      </c>
      <c r="AE1265">
        <v>-0.49849999999997802</v>
      </c>
      <c r="AF1265">
        <v>6.90499311605864E-2</v>
      </c>
      <c r="AG1265">
        <v>-7.0319000000000007E-2</v>
      </c>
      <c r="AH1265">
        <v>0.48539187924843202</v>
      </c>
      <c r="AI1265">
        <v>98.162074515640796</v>
      </c>
      <c r="AJ1265">
        <v>81.903651797369207</v>
      </c>
      <c r="AK1265">
        <v>0.49529580171308402</v>
      </c>
      <c r="AL1265">
        <v>92.203147871144907</v>
      </c>
      <c r="AM1265">
        <v>88.2853530894253</v>
      </c>
      <c r="AN1265">
        <v>1.00000001952091</v>
      </c>
    </row>
    <row r="1266" spans="1:40" x14ac:dyDescent="0.3">
      <c r="A1266" t="str">
        <f>"20200111160427604"</f>
        <v>20200111160427604</v>
      </c>
      <c r="B1266" t="str">
        <f>"1578729867602164"</f>
        <v>1578729867602164</v>
      </c>
      <c r="C1266" t="s">
        <v>40</v>
      </c>
      <c r="D1266">
        <v>5.4961159999999998</v>
      </c>
      <c r="E1266">
        <v>0.53355149999999996</v>
      </c>
      <c r="F1266" t="s">
        <v>54</v>
      </c>
      <c r="G1266">
        <v>-211.99369999999999</v>
      </c>
      <c r="H1266">
        <v>4.1534700000000004</v>
      </c>
      <c r="I1266">
        <v>28.494990000000001</v>
      </c>
      <c r="J1266">
        <v>-189.78380000000001</v>
      </c>
      <c r="K1266">
        <v>1.108471</v>
      </c>
      <c r="L1266">
        <v>330.78100000000001</v>
      </c>
      <c r="M1266">
        <v>6.3157169999999999E-2</v>
      </c>
      <c r="N1266">
        <v>0</v>
      </c>
      <c r="O1266">
        <v>-0.99795540000000005</v>
      </c>
      <c r="P1266">
        <v>3.4274880000000001E-2</v>
      </c>
      <c r="Q1266">
        <v>-5.0101300000000001E-2</v>
      </c>
      <c r="R1266">
        <v>-0.99815609999999999</v>
      </c>
      <c r="S1266">
        <v>-0.2210541</v>
      </c>
      <c r="T1266">
        <v>3.0334590000000002E-2</v>
      </c>
      <c r="U1266">
        <v>-3.0143430000000002</v>
      </c>
      <c r="V1266">
        <v>2.8724710000000001E-2</v>
      </c>
      <c r="W1266">
        <v>-4.036853E-2</v>
      </c>
      <c r="X1266">
        <v>0.99877190000000005</v>
      </c>
      <c r="Y1266">
        <v>0.13597909999999999</v>
      </c>
      <c r="Z1266">
        <v>-9.9726239999999994E-3</v>
      </c>
      <c r="AA1266">
        <v>0.99066149999999997</v>
      </c>
      <c r="AB1266">
        <v>31</v>
      </c>
      <c r="AC1266">
        <v>-22.209899999999902</v>
      </c>
      <c r="AD1266">
        <v>3.0449989999999998</v>
      </c>
      <c r="AE1266">
        <v>-302.28600999999998</v>
      </c>
      <c r="AF1266">
        <v>41.253839386457798</v>
      </c>
      <c r="AG1266">
        <v>3.0449989999999998</v>
      </c>
      <c r="AH1266">
        <v>300.24938135615298</v>
      </c>
      <c r="AI1266">
        <v>89.424358784746104</v>
      </c>
      <c r="AJ1266">
        <v>82.176626542431407</v>
      </c>
      <c r="AK1266">
        <v>303.085536256328</v>
      </c>
      <c r="AL1266">
        <v>92.313575017553404</v>
      </c>
      <c r="AM1266">
        <v>88.3526257538078</v>
      </c>
      <c r="AN1266">
        <v>1.00000001770427</v>
      </c>
    </row>
    <row r="1267" spans="1:40" x14ac:dyDescent="0.3">
      <c r="A1267" t="str">
        <f>"20200111160427625"</f>
        <v>20200111160427625</v>
      </c>
      <c r="B1267" t="str">
        <f>"1578729867621684"</f>
        <v>1578729867621684</v>
      </c>
      <c r="C1267" t="s">
        <v>40</v>
      </c>
      <c r="D1267">
        <v>5.561388</v>
      </c>
      <c r="E1267">
        <v>0.53302229999999995</v>
      </c>
      <c r="F1267" t="s">
        <v>41</v>
      </c>
      <c r="G1267">
        <v>-190.62700000000001</v>
      </c>
      <c r="H1267" s="1">
        <v>-2.7563499999999999E-6</v>
      </c>
      <c r="I1267">
        <v>315.06970000000001</v>
      </c>
      <c r="J1267">
        <v>-189.76679999999999</v>
      </c>
      <c r="K1267">
        <v>1.108638</v>
      </c>
      <c r="L1267">
        <v>330.49689999999998</v>
      </c>
      <c r="M1267">
        <v>6.2264010000000002E-2</v>
      </c>
      <c r="N1267">
        <v>0</v>
      </c>
      <c r="O1267">
        <v>-0.99801090000000003</v>
      </c>
      <c r="P1267">
        <v>3.3499590000000003E-2</v>
      </c>
      <c r="Q1267">
        <v>-4.9990189999999997E-2</v>
      </c>
      <c r="R1267">
        <v>-0.99818779999999996</v>
      </c>
      <c r="S1267">
        <v>-0.161026</v>
      </c>
      <c r="T1267">
        <v>-0.21168799999999999</v>
      </c>
      <c r="U1267">
        <v>-3.0004270000000002</v>
      </c>
      <c r="V1267">
        <v>2.8623559999999999E-2</v>
      </c>
      <c r="W1267">
        <v>-4.0209099999999998E-2</v>
      </c>
      <c r="X1267">
        <v>0.99878120000000004</v>
      </c>
      <c r="Y1267">
        <v>0.11553239999999899</v>
      </c>
      <c r="Z1267">
        <v>6.9887080000000004E-2</v>
      </c>
      <c r="AA1267">
        <v>0.99084209999999995</v>
      </c>
      <c r="AB1267">
        <v>31</v>
      </c>
      <c r="AC1267">
        <v>-0.86020000000001995</v>
      </c>
      <c r="AD1267">
        <v>-1.10864075635</v>
      </c>
      <c r="AE1267">
        <v>-15.4271999999999</v>
      </c>
      <c r="AF1267">
        <v>1.8098195417327001</v>
      </c>
      <c r="AG1267">
        <v>-1.10864075635</v>
      </c>
      <c r="AH1267">
        <v>15.265113228157601</v>
      </c>
      <c r="AI1267">
        <v>94.125068130157501</v>
      </c>
      <c r="AJ1267">
        <v>83.238620555198906</v>
      </c>
      <c r="AK1267">
        <v>15.4119503298172</v>
      </c>
      <c r="AL1267">
        <v>92.3044330096252</v>
      </c>
      <c r="AM1267">
        <v>88.358438846264605</v>
      </c>
      <c r="AN1267">
        <v>0.99999998269166102</v>
      </c>
    </row>
    <row r="1268" spans="1:40" x14ac:dyDescent="0.3">
      <c r="A1268" t="str">
        <f>"20200111160427647"</f>
        <v>20200111160427647</v>
      </c>
      <c r="B1268" t="str">
        <f>"1578729867642180"</f>
        <v>1578729867642180</v>
      </c>
      <c r="C1268" t="s">
        <v>40</v>
      </c>
      <c r="D1268">
        <v>5.4878369999999999</v>
      </c>
      <c r="E1268">
        <v>0.53308279999999997</v>
      </c>
      <c r="F1268" t="s">
        <v>42</v>
      </c>
      <c r="G1268">
        <v>-189.8201</v>
      </c>
      <c r="H1268">
        <v>1.0413479999999999</v>
      </c>
      <c r="I1268">
        <v>329.4984</v>
      </c>
      <c r="J1268">
        <v>-189.74889999999999</v>
      </c>
      <c r="K1268">
        <v>1.108776</v>
      </c>
      <c r="L1268">
        <v>330.19560000000001</v>
      </c>
      <c r="M1268">
        <v>6.1479609999999997E-2</v>
      </c>
      <c r="N1268">
        <v>0</v>
      </c>
      <c r="O1268">
        <v>-0.99805960000000005</v>
      </c>
      <c r="P1268">
        <v>3.3388220000000003E-2</v>
      </c>
      <c r="Q1268">
        <v>-5.155477E-2</v>
      </c>
      <c r="R1268">
        <v>-0.99811249999999996</v>
      </c>
      <c r="S1268">
        <v>-0.1598511</v>
      </c>
      <c r="T1268">
        <v>-0.20232649999999999</v>
      </c>
      <c r="U1268">
        <v>-3.0006710000000001</v>
      </c>
      <c r="V1268">
        <v>2.79562E-2</v>
      </c>
      <c r="W1268">
        <v>-4.1729099999999998E-2</v>
      </c>
      <c r="X1268">
        <v>0.99873780000000001</v>
      </c>
      <c r="Y1268">
        <v>0.11437170000000001</v>
      </c>
      <c r="Z1268">
        <v>6.6815470000000002E-2</v>
      </c>
      <c r="AA1268">
        <v>0.99118859999999998</v>
      </c>
      <c r="AB1268">
        <v>31</v>
      </c>
      <c r="AC1268">
        <v>-7.1200000000004496E-2</v>
      </c>
      <c r="AD1268">
        <v>-6.7428000000000002E-2</v>
      </c>
      <c r="AE1268">
        <v>-0.69720000000000903</v>
      </c>
      <c r="AF1268">
        <v>0.11288600903655301</v>
      </c>
      <c r="AG1268">
        <v>-6.7428000000000002E-2</v>
      </c>
      <c r="AH1268">
        <v>0.68516105911781999</v>
      </c>
      <c r="AI1268">
        <v>95.546191468645702</v>
      </c>
      <c r="AJ1268">
        <v>80.644093716440295</v>
      </c>
      <c r="AK1268">
        <v>0.69766429115417194</v>
      </c>
      <c r="AL1268">
        <v>92.391595671811004</v>
      </c>
      <c r="AM1268">
        <v>88.396622091922595</v>
      </c>
      <c r="AN1268">
        <v>1.00000003002704</v>
      </c>
    </row>
    <row r="1269" spans="1:40" x14ac:dyDescent="0.3">
      <c r="A1269" t="str">
        <f>"20200111160427782"</f>
        <v>20200111160427782</v>
      </c>
      <c r="B1269" t="str">
        <f>"1578729867771988"</f>
        <v>1578729867771988</v>
      </c>
      <c r="C1269" t="s">
        <v>40</v>
      </c>
      <c r="D1269">
        <v>5.6855339999999996</v>
      </c>
      <c r="E1269">
        <v>0.4852688</v>
      </c>
      <c r="F1269" t="s">
        <v>42</v>
      </c>
      <c r="G1269">
        <v>-189.7003</v>
      </c>
      <c r="H1269">
        <v>1.0501959999999999</v>
      </c>
      <c r="I1269">
        <v>327.84469999999999</v>
      </c>
      <c r="J1269">
        <v>-189.6412</v>
      </c>
      <c r="K1269">
        <v>1.108932</v>
      </c>
      <c r="L1269">
        <v>328.32139999999998</v>
      </c>
      <c r="M1269">
        <v>5.7427880000000001E-2</v>
      </c>
      <c r="N1269">
        <v>0</v>
      </c>
      <c r="O1269">
        <v>-0.99829920000000005</v>
      </c>
      <c r="P1269">
        <v>3.3041319999999999E-2</v>
      </c>
      <c r="Q1269">
        <v>-6.1865379999999998E-2</v>
      </c>
      <c r="R1269">
        <v>-0.99753749999999997</v>
      </c>
      <c r="S1269">
        <v>-0.1604004</v>
      </c>
      <c r="T1269">
        <v>-0.22494140000000001</v>
      </c>
      <c r="U1269">
        <v>-2.9989620000000001</v>
      </c>
      <c r="V1269">
        <v>2.4216769999999999E-2</v>
      </c>
      <c r="W1269">
        <v>-5.1888999999999998E-2</v>
      </c>
      <c r="X1269">
        <v>0.9983592</v>
      </c>
      <c r="Y1269">
        <v>0.1105211</v>
      </c>
      <c r="Z1269">
        <v>7.4329099999999995E-2</v>
      </c>
      <c r="AA1269">
        <v>0.99109040000000004</v>
      </c>
      <c r="AB1269">
        <v>31</v>
      </c>
      <c r="AC1269">
        <v>-5.9100000000000798E-2</v>
      </c>
      <c r="AD1269">
        <v>-5.8736000000000101E-2</v>
      </c>
      <c r="AE1269">
        <v>-0.47669999999999302</v>
      </c>
      <c r="AF1269">
        <v>8.5107197284036595E-2</v>
      </c>
      <c r="AG1269">
        <v>-5.8736000000000101E-2</v>
      </c>
      <c r="AH1269">
        <v>0.46555810465703901</v>
      </c>
      <c r="AI1269">
        <v>97.074570235932697</v>
      </c>
      <c r="AJ1269">
        <v>79.640330848297907</v>
      </c>
      <c r="AK1269">
        <v>0.47690408001756301</v>
      </c>
      <c r="AL1269">
        <v>92.974356430937306</v>
      </c>
      <c r="AM1269">
        <v>88.610473384234396</v>
      </c>
      <c r="AN1269">
        <v>1.0000000062474299</v>
      </c>
    </row>
    <row r="1270" spans="1:40" x14ac:dyDescent="0.3">
      <c r="A1270" t="str">
        <f>"20200111160427806"</f>
        <v>20200111160427806</v>
      </c>
      <c r="B1270" t="str">
        <f>"1578729867802244"</f>
        <v>1578729867802244</v>
      </c>
      <c r="C1270" t="s">
        <v>40</v>
      </c>
      <c r="D1270">
        <v>5.5808629999999999</v>
      </c>
      <c r="E1270">
        <v>0.48175249999999997</v>
      </c>
      <c r="F1270" t="s">
        <v>42</v>
      </c>
      <c r="G1270">
        <v>-189.58539999999999</v>
      </c>
      <c r="H1270">
        <v>1.025844</v>
      </c>
      <c r="I1270">
        <v>327.5874</v>
      </c>
      <c r="J1270">
        <v>-189.62459999999999</v>
      </c>
      <c r="K1270">
        <v>1.1088499999999999</v>
      </c>
      <c r="L1270">
        <v>328.01479999999998</v>
      </c>
      <c r="M1270">
        <v>5.6494269999999999E-2</v>
      </c>
      <c r="N1270">
        <v>0</v>
      </c>
      <c r="O1270">
        <v>-0.99835229999999997</v>
      </c>
      <c r="P1270">
        <v>3.1616480000000002E-2</v>
      </c>
      <c r="Q1270">
        <v>-6.2226289999999997E-2</v>
      </c>
      <c r="R1270">
        <v>-0.99756109999999998</v>
      </c>
      <c r="S1270">
        <v>0.22717290000000001</v>
      </c>
      <c r="T1270">
        <v>-0.33733220000000003</v>
      </c>
      <c r="U1270">
        <v>-2.9789729999999999</v>
      </c>
      <c r="V1270">
        <v>2.469588E-2</v>
      </c>
      <c r="W1270">
        <v>-5.2240500000000002E-2</v>
      </c>
      <c r="X1270">
        <v>0.99832909999999997</v>
      </c>
      <c r="Y1270">
        <v>-1.9103140000000001E-2</v>
      </c>
      <c r="Z1270">
        <v>0.1120797</v>
      </c>
      <c r="AA1270">
        <v>0.99351560000000005</v>
      </c>
      <c r="AB1270">
        <v>31</v>
      </c>
      <c r="AC1270">
        <v>3.9199999999993899E-2</v>
      </c>
      <c r="AD1270">
        <v>-8.3005999999999899E-2</v>
      </c>
      <c r="AE1270">
        <v>-0.42739999999997702</v>
      </c>
      <c r="AF1270">
        <v>-1.4450035351170801E-2</v>
      </c>
      <c r="AG1270">
        <v>-8.3005999999999899E-2</v>
      </c>
      <c r="AH1270">
        <v>0.413466929651157</v>
      </c>
      <c r="AI1270">
        <v>101.34483406806</v>
      </c>
      <c r="AJ1270">
        <v>92.001585016574396</v>
      </c>
      <c r="AK1270">
        <v>0.42196409974404803</v>
      </c>
      <c r="AL1270">
        <v>92.994523345746003</v>
      </c>
      <c r="AM1270">
        <v>88.582951072335405</v>
      </c>
      <c r="AN1270">
        <v>0.999999974118016</v>
      </c>
    </row>
    <row r="1271" spans="1:40" x14ac:dyDescent="0.3">
      <c r="A1271" t="str">
        <f>"20200111160427827"</f>
        <v>20200111160427827</v>
      </c>
      <c r="B1271" t="str">
        <f>"1578729867821764"</f>
        <v>1578729867821764</v>
      </c>
      <c r="C1271" t="s">
        <v>40</v>
      </c>
      <c r="D1271">
        <v>5.7067740000000002</v>
      </c>
      <c r="E1271">
        <v>0.48076429999999998</v>
      </c>
      <c r="F1271" t="s">
        <v>42</v>
      </c>
      <c r="G1271">
        <v>-189.5429</v>
      </c>
      <c r="H1271">
        <v>0.99658429999999998</v>
      </c>
      <c r="I1271">
        <v>327.04840000000002</v>
      </c>
      <c r="J1271">
        <v>-189.60839999999999</v>
      </c>
      <c r="K1271">
        <v>1.1087400000000001</v>
      </c>
      <c r="L1271">
        <v>327.70830000000001</v>
      </c>
      <c r="M1271">
        <v>5.5391719999999998E-2</v>
      </c>
      <c r="N1271">
        <v>0</v>
      </c>
      <c r="O1271">
        <v>-0.99841400000000002</v>
      </c>
      <c r="P1271">
        <v>2.9732390000000001E-2</v>
      </c>
      <c r="Q1271">
        <v>-6.2050950000000001E-2</v>
      </c>
      <c r="R1271">
        <v>-0.99763020000000002</v>
      </c>
      <c r="S1271">
        <v>0.25196839999999998</v>
      </c>
      <c r="T1271">
        <v>-0.34599669999999999</v>
      </c>
      <c r="U1271">
        <v>-2.9777529999999999</v>
      </c>
      <c r="V1271">
        <v>2.5464790000000001E-2</v>
      </c>
      <c r="W1271">
        <v>-5.2053490000000001E-2</v>
      </c>
      <c r="X1271">
        <v>0.99831959999999997</v>
      </c>
      <c r="Y1271">
        <v>-2.8429449999999998E-2</v>
      </c>
      <c r="Z1271">
        <v>0.1149273</v>
      </c>
      <c r="AA1271">
        <v>0.99296700000000004</v>
      </c>
      <c r="AB1271">
        <v>31</v>
      </c>
      <c r="AC1271">
        <v>6.5499999999985903E-2</v>
      </c>
      <c r="AD1271">
        <v>-0.112155699999999</v>
      </c>
      <c r="AE1271">
        <v>-0.65989999999999305</v>
      </c>
      <c r="AF1271">
        <v>-2.8042451315907602E-2</v>
      </c>
      <c r="AG1271">
        <v>-0.112155699999999</v>
      </c>
      <c r="AH1271">
        <v>0.64409142156117405</v>
      </c>
      <c r="AI1271">
        <v>99.868712640633603</v>
      </c>
      <c r="AJ1271">
        <v>92.4929691666362</v>
      </c>
      <c r="AK1271">
        <v>0.65438447372090802</v>
      </c>
      <c r="AL1271">
        <v>92.983793718770499</v>
      </c>
      <c r="AM1271">
        <v>88.538835976833099</v>
      </c>
      <c r="AN1271">
        <v>1.0000000225475401</v>
      </c>
    </row>
    <row r="1272" spans="1:40" x14ac:dyDescent="0.3">
      <c r="A1272" t="str">
        <f>"20200111160427850"</f>
        <v>20200111160427850</v>
      </c>
      <c r="B1272" t="str">
        <f>"1578729867842260"</f>
        <v>1578729867842260</v>
      </c>
      <c r="C1272" t="s">
        <v>40</v>
      </c>
      <c r="D1272">
        <v>5.6215840000000004</v>
      </c>
      <c r="E1272">
        <v>0.48021360000000002</v>
      </c>
      <c r="F1272" t="s">
        <v>42</v>
      </c>
      <c r="G1272">
        <v>-189.5284</v>
      </c>
      <c r="H1272">
        <v>1.0020150000000001</v>
      </c>
      <c r="I1272">
        <v>326.76859999999999</v>
      </c>
      <c r="J1272">
        <v>-189.5924</v>
      </c>
      <c r="K1272">
        <v>1.108627</v>
      </c>
      <c r="L1272">
        <v>327.3972</v>
      </c>
      <c r="M1272">
        <v>5.4121889999999999E-2</v>
      </c>
      <c r="N1272">
        <v>0</v>
      </c>
      <c r="O1272">
        <v>-0.99848349999999997</v>
      </c>
      <c r="P1272">
        <v>2.736032E-2</v>
      </c>
      <c r="Q1272">
        <v>-6.2153949999999999E-2</v>
      </c>
      <c r="R1272">
        <v>-0.99769169999999996</v>
      </c>
      <c r="S1272">
        <v>0.25369259999999999</v>
      </c>
      <c r="T1272">
        <v>-0.33836670000000002</v>
      </c>
      <c r="U1272">
        <v>-2.9785159999999999</v>
      </c>
      <c r="V1272">
        <v>2.6552240000000001E-2</v>
      </c>
      <c r="W1272">
        <v>-5.2143879999999997E-2</v>
      </c>
      <c r="X1272">
        <v>0.99828649999999997</v>
      </c>
      <c r="Y1272">
        <v>-3.0274599999999999E-2</v>
      </c>
      <c r="Z1272">
        <v>0.112403</v>
      </c>
      <c r="AA1272">
        <v>0.99320140000000001</v>
      </c>
      <c r="AB1272">
        <v>31</v>
      </c>
      <c r="AC1272">
        <v>6.3999999999992896E-2</v>
      </c>
      <c r="AD1272">
        <v>-0.106612</v>
      </c>
      <c r="AE1272">
        <v>-0.62860000000000504</v>
      </c>
      <c r="AF1272">
        <v>-2.9056215687792201E-2</v>
      </c>
      <c r="AG1272">
        <v>-0.106612</v>
      </c>
      <c r="AH1272">
        <v>0.61367145195694095</v>
      </c>
      <c r="AI1272">
        <v>99.844710614568896</v>
      </c>
      <c r="AJ1272">
        <v>92.710825340837005</v>
      </c>
      <c r="AK1272">
        <v>0.62354072293719098</v>
      </c>
      <c r="AL1272">
        <v>92.988979881653094</v>
      </c>
      <c r="AM1272">
        <v>88.476416651232199</v>
      </c>
      <c r="AN1272">
        <v>0.99999997087635994</v>
      </c>
    </row>
    <row r="1273" spans="1:40" x14ac:dyDescent="0.3">
      <c r="A1273" t="str">
        <f>"20200111160427872"</f>
        <v>20200111160427872</v>
      </c>
      <c r="B1273" t="str">
        <f>"1578729867861781"</f>
        <v>1578729867861781</v>
      </c>
      <c r="C1273" t="s">
        <v>40</v>
      </c>
      <c r="D1273">
        <v>5.6325570000000003</v>
      </c>
      <c r="E1273">
        <v>0.47988530000000001</v>
      </c>
      <c r="F1273" t="s">
        <v>42</v>
      </c>
      <c r="G1273">
        <v>-189.51599999999999</v>
      </c>
      <c r="H1273">
        <v>1.0053219999999901</v>
      </c>
      <c r="I1273">
        <v>326.48950000000002</v>
      </c>
      <c r="J1273">
        <v>-189.57660000000001</v>
      </c>
      <c r="K1273">
        <v>1.1085050000000001</v>
      </c>
      <c r="L1273">
        <v>327.0788</v>
      </c>
      <c r="M1273">
        <v>5.2642660000000001E-2</v>
      </c>
      <c r="N1273">
        <v>0</v>
      </c>
      <c r="O1273">
        <v>-0.99856239999999996</v>
      </c>
      <c r="P1273">
        <v>2.500496E-2</v>
      </c>
      <c r="Q1273">
        <v>-6.2352820000000003E-2</v>
      </c>
      <c r="R1273">
        <v>-0.99774119999999999</v>
      </c>
      <c r="S1273">
        <v>0.25120540000000002</v>
      </c>
      <c r="T1273">
        <v>-0.33910210000000002</v>
      </c>
      <c r="U1273">
        <v>-2.978882</v>
      </c>
      <c r="V1273">
        <v>2.741207E-2</v>
      </c>
      <c r="W1273">
        <v>-5.2328899999999998E-2</v>
      </c>
      <c r="X1273">
        <v>0.99825359999999996</v>
      </c>
      <c r="Y1273">
        <v>-3.091934E-2</v>
      </c>
      <c r="Z1273">
        <v>0.1126467</v>
      </c>
      <c r="AA1273">
        <v>0.99315390000000003</v>
      </c>
      <c r="AB1273">
        <v>31</v>
      </c>
      <c r="AC1273">
        <v>6.0600000000022101E-2</v>
      </c>
      <c r="AD1273">
        <v>-0.103183</v>
      </c>
      <c r="AE1273">
        <v>-0.58929999999997995</v>
      </c>
      <c r="AF1273">
        <v>-2.86237024187713E-2</v>
      </c>
      <c r="AG1273">
        <v>-0.103183</v>
      </c>
      <c r="AH1273">
        <v>0.57425193513096295</v>
      </c>
      <c r="AI1273">
        <v>100.17398329392699</v>
      </c>
      <c r="AJ1273">
        <v>92.853557875620496</v>
      </c>
      <c r="AK1273">
        <v>0.58415009443704902</v>
      </c>
      <c r="AL1273">
        <v>92.999595174417706</v>
      </c>
      <c r="AM1273">
        <v>88.427051676695001</v>
      </c>
      <c r="AN1273">
        <v>0.999999992634927</v>
      </c>
    </row>
    <row r="1274" spans="1:40" x14ac:dyDescent="0.3">
      <c r="A1274" t="str">
        <f>"20200111160427894"</f>
        <v>20200111160427894</v>
      </c>
      <c r="B1274" t="str">
        <f>"1578729867892037"</f>
        <v>1578729867892037</v>
      </c>
      <c r="C1274" t="s">
        <v>40</v>
      </c>
      <c r="D1274">
        <v>5.6657760000000001</v>
      </c>
      <c r="E1274">
        <v>0.4794446</v>
      </c>
      <c r="F1274" t="s">
        <v>42</v>
      </c>
      <c r="G1274">
        <v>-189.50470000000001</v>
      </c>
      <c r="H1274">
        <v>1.0095749999999999</v>
      </c>
      <c r="I1274">
        <v>326.20940000000002</v>
      </c>
      <c r="J1274">
        <v>-189.56209999999999</v>
      </c>
      <c r="K1274">
        <v>1.1083780000000001</v>
      </c>
      <c r="L1274">
        <v>326.7731</v>
      </c>
      <c r="M1274">
        <v>5.1026599999999998E-2</v>
      </c>
      <c r="N1274">
        <v>0</v>
      </c>
      <c r="O1274">
        <v>-0.99864589999999998</v>
      </c>
      <c r="P1274">
        <v>2.2351039999999999E-2</v>
      </c>
      <c r="Q1274">
        <v>-6.2151770000000002E-2</v>
      </c>
      <c r="R1274">
        <v>-0.9978167</v>
      </c>
      <c r="S1274">
        <v>0.24662780000000001</v>
      </c>
      <c r="T1274">
        <v>-0.33903070000000002</v>
      </c>
      <c r="U1274">
        <v>-2.9794309999999999</v>
      </c>
      <c r="V1274">
        <v>2.8435060000000002E-2</v>
      </c>
      <c r="W1274">
        <v>-5.2109990000000002E-2</v>
      </c>
      <c r="X1274">
        <v>0.99823640000000002</v>
      </c>
      <c r="Y1274">
        <v>-3.100644E-2</v>
      </c>
      <c r="Z1274">
        <v>0.1126239</v>
      </c>
      <c r="AA1274">
        <v>0.99315379999999998</v>
      </c>
      <c r="AB1274">
        <v>31</v>
      </c>
      <c r="AC1274">
        <v>5.7399999999972799E-2</v>
      </c>
      <c r="AD1274">
        <v>-9.8803000000000196E-2</v>
      </c>
      <c r="AE1274">
        <v>-0.56369999999998299</v>
      </c>
      <c r="AF1274">
        <v>-2.7717265318008499E-2</v>
      </c>
      <c r="AG1274">
        <v>-9.8803000000000196E-2</v>
      </c>
      <c r="AH1274">
        <v>0.54919563264899596</v>
      </c>
      <c r="AI1274">
        <v>100.186005073288</v>
      </c>
      <c r="AJ1274">
        <v>92.889200037615495</v>
      </c>
      <c r="AK1274">
        <v>0.55870038708277203</v>
      </c>
      <c r="AL1274">
        <v>92.987035525673093</v>
      </c>
      <c r="AM1274">
        <v>88.368353939693705</v>
      </c>
      <c r="AN1274">
        <v>0.99999995698998001</v>
      </c>
    </row>
    <row r="1275" spans="1:40" x14ac:dyDescent="0.3">
      <c r="A1275" t="str">
        <f>"20200111160427918"</f>
        <v>20200111160427918</v>
      </c>
      <c r="B1275" t="str">
        <f>"1578729867911556"</f>
        <v>1578729867911556</v>
      </c>
      <c r="C1275" t="s">
        <v>40</v>
      </c>
      <c r="D1275">
        <v>5.7655989999999999</v>
      </c>
      <c r="E1275">
        <v>0.47901199999999999</v>
      </c>
      <c r="F1275" t="s">
        <v>42</v>
      </c>
      <c r="G1275">
        <v>-189.49369999999999</v>
      </c>
      <c r="H1275">
        <v>1.012751</v>
      </c>
      <c r="I1275">
        <v>325.92970000000003</v>
      </c>
      <c r="J1275">
        <v>-189.54750000000001</v>
      </c>
      <c r="K1275">
        <v>1.1082259999999999</v>
      </c>
      <c r="L1275">
        <v>326.44850000000002</v>
      </c>
      <c r="M1275">
        <v>4.9087230000000003E-2</v>
      </c>
      <c r="N1275">
        <v>0</v>
      </c>
      <c r="O1275">
        <v>-0.99874260000000004</v>
      </c>
      <c r="P1275">
        <v>1.9444389999999999E-2</v>
      </c>
      <c r="Q1275">
        <v>-6.150017E-2</v>
      </c>
      <c r="R1275">
        <v>-0.99791779999999997</v>
      </c>
      <c r="S1275">
        <v>0.2422028</v>
      </c>
      <c r="T1275">
        <v>-0.33791189999999999</v>
      </c>
      <c r="U1275">
        <v>-2.9801329999999999</v>
      </c>
      <c r="V1275">
        <v>2.9387139999999999E-2</v>
      </c>
      <c r="W1275">
        <v>-5.143064E-2</v>
      </c>
      <c r="X1275">
        <v>0.99824409999999997</v>
      </c>
      <c r="Y1275">
        <v>-3.146674E-2</v>
      </c>
      <c r="Z1275">
        <v>0.1122532</v>
      </c>
      <c r="AA1275">
        <v>0.99318130000000004</v>
      </c>
      <c r="AB1275">
        <v>31</v>
      </c>
      <c r="AC1275">
        <v>5.3800000000023801E-2</v>
      </c>
      <c r="AD1275">
        <v>-9.5474999999999893E-2</v>
      </c>
      <c r="AE1275">
        <v>-0.51879999999999804</v>
      </c>
      <c r="AF1275">
        <v>-2.7350918201299701E-2</v>
      </c>
      <c r="AG1275">
        <v>-9.5474999999999893E-2</v>
      </c>
      <c r="AH1275">
        <v>0.50393041334562505</v>
      </c>
      <c r="AI1275">
        <v>100.712738686175</v>
      </c>
      <c r="AJ1275">
        <v>93.106691069484697</v>
      </c>
      <c r="AK1275">
        <v>0.51362380186878698</v>
      </c>
      <c r="AL1275">
        <v>92.948059245277193</v>
      </c>
      <c r="AM1275">
        <v>88.313766202371696</v>
      </c>
      <c r="AN1275">
        <v>0.99999999895649905</v>
      </c>
    </row>
    <row r="1276" spans="1:40" x14ac:dyDescent="0.3">
      <c r="A1276" t="str">
        <f>"20200111160427938"</f>
        <v>20200111160427938</v>
      </c>
      <c r="B1276" t="str">
        <f>"1578729867932052"</f>
        <v>1578729867932052</v>
      </c>
      <c r="C1276" t="s">
        <v>40</v>
      </c>
      <c r="D1276">
        <v>5.8115560000000004</v>
      </c>
      <c r="E1276">
        <v>0.47833429999999999</v>
      </c>
      <c r="F1276" t="s">
        <v>42</v>
      </c>
      <c r="G1276">
        <v>-189.4837</v>
      </c>
      <c r="H1276">
        <v>1.0163949999999999</v>
      </c>
      <c r="I1276">
        <v>325.64920000000001</v>
      </c>
      <c r="J1276">
        <v>-189.535</v>
      </c>
      <c r="K1276">
        <v>1.108074</v>
      </c>
      <c r="L1276">
        <v>326.15649999999999</v>
      </c>
      <c r="M1276">
        <v>4.7135990000000003E-2</v>
      </c>
      <c r="N1276">
        <v>0</v>
      </c>
      <c r="O1276">
        <v>-0.99883619999999995</v>
      </c>
      <c r="P1276">
        <v>1.6822779999999999E-2</v>
      </c>
      <c r="Q1276">
        <v>-6.0171229999999999E-2</v>
      </c>
      <c r="R1276">
        <v>-0.99804669999999895</v>
      </c>
      <c r="S1276">
        <v>0.2375641</v>
      </c>
      <c r="T1276">
        <v>-0.3424006</v>
      </c>
      <c r="U1276">
        <v>-2.9805600000000001</v>
      </c>
      <c r="V1276">
        <v>3.0047359999999999E-2</v>
      </c>
      <c r="W1276">
        <v>-5.0071110000000002E-2</v>
      </c>
      <c r="X1276">
        <v>0.9982936</v>
      </c>
      <c r="Y1276">
        <v>-3.185876E-2</v>
      </c>
      <c r="Z1276">
        <v>0.11373129999999999</v>
      </c>
      <c r="AA1276">
        <v>0.99300060000000001</v>
      </c>
      <c r="AB1276">
        <v>31</v>
      </c>
      <c r="AC1276">
        <v>5.1299999999997598E-2</v>
      </c>
      <c r="AD1276">
        <v>-9.1678999999999802E-2</v>
      </c>
      <c r="AE1276">
        <v>-0.50729999999998598</v>
      </c>
      <c r="AF1276">
        <v>-2.6473767708378702E-2</v>
      </c>
      <c r="AG1276">
        <v>-9.1678999999999802E-2</v>
      </c>
      <c r="AH1276">
        <v>0.49320933488428298</v>
      </c>
      <c r="AI1276">
        <v>100.51530348324501</v>
      </c>
      <c r="AJ1276">
        <v>93.072490340230999</v>
      </c>
      <c r="AK1276">
        <v>0.50235579765209604</v>
      </c>
      <c r="AL1276">
        <v>92.870063292222795</v>
      </c>
      <c r="AM1276">
        <v>88.275990835631802</v>
      </c>
      <c r="AN1276">
        <v>1.0000000358502801</v>
      </c>
    </row>
    <row r="1277" spans="1:40" x14ac:dyDescent="0.3">
      <c r="A1277" t="str">
        <f>"20200111160427960"</f>
        <v>20200111160427960</v>
      </c>
      <c r="B1277" t="str">
        <f>"1578729867951572"</f>
        <v>1578729867951572</v>
      </c>
      <c r="C1277" t="s">
        <v>40</v>
      </c>
      <c r="D1277">
        <v>5.5692029999999999</v>
      </c>
      <c r="E1277">
        <v>0.47819820000000002</v>
      </c>
      <c r="F1277" t="s">
        <v>42</v>
      </c>
      <c r="G1277">
        <v>-189.47309999999999</v>
      </c>
      <c r="H1277">
        <v>1.0200689999999999</v>
      </c>
      <c r="I1277">
        <v>325.36849999999998</v>
      </c>
      <c r="J1277">
        <v>-189.52289999999999</v>
      </c>
      <c r="K1277">
        <v>1.1079079999999999</v>
      </c>
      <c r="L1277">
        <v>325.85210000000001</v>
      </c>
      <c r="M1277">
        <v>4.4895209999999998E-2</v>
      </c>
      <c r="N1277">
        <v>0</v>
      </c>
      <c r="O1277">
        <v>-0.99893889999999996</v>
      </c>
      <c r="P1277">
        <v>1.421071E-2</v>
      </c>
      <c r="Q1277">
        <v>-5.8974690000000003E-2</v>
      </c>
      <c r="R1277">
        <v>-0.99815849999999995</v>
      </c>
      <c r="S1277">
        <v>0.234787</v>
      </c>
      <c r="T1277">
        <v>-0.33302530000000002</v>
      </c>
      <c r="U1277">
        <v>-2.9818419999999999</v>
      </c>
      <c r="V1277">
        <v>3.0406679999999998E-2</v>
      </c>
      <c r="W1277">
        <v>-4.8838199999999998E-2</v>
      </c>
      <c r="X1277">
        <v>0.9983438</v>
      </c>
      <c r="Y1277">
        <v>-3.3175540000000003E-2</v>
      </c>
      <c r="Z1277">
        <v>0.1106278</v>
      </c>
      <c r="AA1277">
        <v>0.99330810000000003</v>
      </c>
      <c r="AB1277">
        <v>31</v>
      </c>
      <c r="AC1277">
        <v>4.9800000000004702E-2</v>
      </c>
      <c r="AD1277">
        <v>-8.7838999999999695E-2</v>
      </c>
      <c r="AE1277">
        <v>-0.48360000000002401</v>
      </c>
      <c r="AF1277">
        <v>-2.7150960654807502E-2</v>
      </c>
      <c r="AG1277">
        <v>-8.7838999999999695E-2</v>
      </c>
      <c r="AH1277">
        <v>0.47000477620577702</v>
      </c>
      <c r="AI1277">
        <v>100.56864386244099</v>
      </c>
      <c r="AJ1277">
        <v>93.306154674974294</v>
      </c>
      <c r="AK1277">
        <v>0.47891267914069802</v>
      </c>
      <c r="AL1277">
        <v>92.799336196756798</v>
      </c>
      <c r="AM1277">
        <v>88.255474685979294</v>
      </c>
      <c r="AN1277">
        <v>1.0000000394831501</v>
      </c>
    </row>
    <row r="1278" spans="1:40" x14ac:dyDescent="0.3">
      <c r="A1278" t="str">
        <f>"20200111160427983"</f>
        <v>20200111160427983</v>
      </c>
      <c r="B1278" t="str">
        <f>"1578729867972067"</f>
        <v>1578729867972067</v>
      </c>
      <c r="C1278" t="s">
        <v>40</v>
      </c>
      <c r="D1278">
        <v>5.5924820000000004</v>
      </c>
      <c r="E1278">
        <v>0.4781107</v>
      </c>
      <c r="F1278" t="s">
        <v>42</v>
      </c>
      <c r="G1278">
        <v>-189.46440000000001</v>
      </c>
      <c r="H1278">
        <v>1.0233969999999999</v>
      </c>
      <c r="I1278">
        <v>325.08659999999998</v>
      </c>
      <c r="J1278">
        <v>-189.5111</v>
      </c>
      <c r="K1278">
        <v>1.1077360000000001</v>
      </c>
      <c r="L1278">
        <v>325.53530000000001</v>
      </c>
      <c r="M1278">
        <v>4.23445E-2</v>
      </c>
      <c r="N1278">
        <v>0</v>
      </c>
      <c r="O1278">
        <v>-0.99904950000000003</v>
      </c>
      <c r="P1278">
        <v>1.1378879999999999E-2</v>
      </c>
      <c r="Q1278">
        <v>-5.8108779999999999E-2</v>
      </c>
      <c r="R1278">
        <v>-0.99824539999999995</v>
      </c>
      <c r="S1278">
        <v>0.22805790000000001</v>
      </c>
      <c r="T1278">
        <v>-0.32934049999999998</v>
      </c>
      <c r="U1278">
        <v>-2.9827880000000002</v>
      </c>
      <c r="V1278">
        <v>3.0673809999999999E-2</v>
      </c>
      <c r="W1278">
        <v>-4.7931719999999997E-2</v>
      </c>
      <c r="X1278">
        <v>0.99837949999999998</v>
      </c>
      <c r="Y1278">
        <v>-3.3485519999999998E-2</v>
      </c>
      <c r="Z1278">
        <v>0.10941140000000001</v>
      </c>
      <c r="AA1278">
        <v>0.99343230000000005</v>
      </c>
      <c r="AB1278">
        <v>31</v>
      </c>
      <c r="AC1278">
        <v>4.6699999999987002E-2</v>
      </c>
      <c r="AD1278">
        <v>-8.4339000000000094E-2</v>
      </c>
      <c r="AE1278">
        <v>-0.44870000000003002</v>
      </c>
      <c r="AF1278">
        <v>-2.67231026216984E-2</v>
      </c>
      <c r="AG1278">
        <v>-8.4339000000000094E-2</v>
      </c>
      <c r="AH1278">
        <v>0.43506879751616601</v>
      </c>
      <c r="AI1278">
        <v>100.950697442806</v>
      </c>
      <c r="AJ1278">
        <v>93.514846019323798</v>
      </c>
      <c r="AK1278">
        <v>0.44397302812996697</v>
      </c>
      <c r="AL1278">
        <v>92.747337982035702</v>
      </c>
      <c r="AM1278">
        <v>88.240221095574796</v>
      </c>
      <c r="AN1278">
        <v>0.99999997921116202</v>
      </c>
    </row>
    <row r="1279" spans="1:40" x14ac:dyDescent="0.3">
      <c r="A1279" t="str">
        <f>"20200111160428005"</f>
        <v>20200111160428005</v>
      </c>
      <c r="B1279" t="str">
        <f>"1578729868002324"</f>
        <v>1578729868002324</v>
      </c>
      <c r="C1279" t="s">
        <v>40</v>
      </c>
      <c r="D1279">
        <v>5.7474420000000004</v>
      </c>
      <c r="E1279">
        <v>0.47763489999999997</v>
      </c>
      <c r="F1279" t="s">
        <v>42</v>
      </c>
      <c r="G1279">
        <v>-189.4572</v>
      </c>
      <c r="H1279">
        <v>1.027568</v>
      </c>
      <c r="I1279">
        <v>324.80380000000002</v>
      </c>
      <c r="J1279">
        <v>-189.50110000000001</v>
      </c>
      <c r="K1279">
        <v>1.107585</v>
      </c>
      <c r="L1279">
        <v>325.23860000000002</v>
      </c>
      <c r="M1279">
        <v>3.9752460000000003E-2</v>
      </c>
      <c r="N1279">
        <v>0</v>
      </c>
      <c r="O1279">
        <v>-0.99915549999999997</v>
      </c>
      <c r="P1279">
        <v>8.6770459999999903E-3</v>
      </c>
      <c r="Q1279">
        <v>-5.6538720000000001E-2</v>
      </c>
      <c r="R1279">
        <v>-0.99836259999999999</v>
      </c>
      <c r="S1279">
        <v>0.22036739999999999</v>
      </c>
      <c r="T1279">
        <v>-0.32710230000000001</v>
      </c>
      <c r="U1279">
        <v>-2.9837340000000001</v>
      </c>
      <c r="V1279">
        <v>3.0778400000000001E-2</v>
      </c>
      <c r="W1279">
        <v>-4.6323330000000003E-2</v>
      </c>
      <c r="X1279">
        <v>0.99845220000000001</v>
      </c>
      <c r="Y1279">
        <v>-3.3514309999999999E-2</v>
      </c>
      <c r="Z1279">
        <v>0.1086703</v>
      </c>
      <c r="AA1279">
        <v>0.99351270000000003</v>
      </c>
      <c r="AB1279">
        <v>31</v>
      </c>
      <c r="AC1279">
        <v>4.3900000000007801E-2</v>
      </c>
      <c r="AD1279">
        <v>-8.0016999999999894E-2</v>
      </c>
      <c r="AE1279">
        <v>-0.43479999999999502</v>
      </c>
      <c r="AF1279">
        <v>-2.5717780498114299E-2</v>
      </c>
      <c r="AG1279">
        <v>-8.0016999999999894E-2</v>
      </c>
      <c r="AH1279">
        <v>0.42205183293902399</v>
      </c>
      <c r="AI1279">
        <v>100.715903291071</v>
      </c>
      <c r="AJ1279">
        <v>93.487013792385</v>
      </c>
      <c r="AK1279">
        <v>0.430339254786196</v>
      </c>
      <c r="AL1279">
        <v>92.655081505909607</v>
      </c>
      <c r="AM1279">
        <v>88.234352972539099</v>
      </c>
      <c r="AN1279">
        <v>0.99999997824684395</v>
      </c>
    </row>
    <row r="1280" spans="1:40" x14ac:dyDescent="0.3">
      <c r="A1280" t="str">
        <f>"20200111160428028"</f>
        <v>20200111160428028</v>
      </c>
      <c r="B1280" t="str">
        <f>"1578729868021844"</f>
        <v>1578729868021844</v>
      </c>
      <c r="C1280" t="s">
        <v>40</v>
      </c>
      <c r="D1280">
        <v>5.767309</v>
      </c>
      <c r="E1280">
        <v>0.47728920000000002</v>
      </c>
      <c r="F1280" t="s">
        <v>42</v>
      </c>
      <c r="G1280">
        <v>-189.43029999999999</v>
      </c>
      <c r="H1280">
        <v>1.001757</v>
      </c>
      <c r="I1280">
        <v>324.2586</v>
      </c>
      <c r="J1280">
        <v>-189.49109999999999</v>
      </c>
      <c r="K1280">
        <v>1.1074349999999999</v>
      </c>
      <c r="L1280">
        <v>324.9049</v>
      </c>
      <c r="M1280">
        <v>3.663421E-2</v>
      </c>
      <c r="N1280">
        <v>0</v>
      </c>
      <c r="O1280">
        <v>-0.99927429999999995</v>
      </c>
      <c r="P1280">
        <v>5.5290030000000002E-3</v>
      </c>
      <c r="Q1280">
        <v>-5.4455000000000003E-2</v>
      </c>
      <c r="R1280">
        <v>-0.99850119999999998</v>
      </c>
      <c r="S1280">
        <v>0.21607970000000001</v>
      </c>
      <c r="T1280">
        <v>-0.32241419999999998</v>
      </c>
      <c r="U1280">
        <v>-2.9848020000000002</v>
      </c>
      <c r="V1280">
        <v>3.0808499999999999E-2</v>
      </c>
      <c r="W1280">
        <v>-4.4198300000000003E-2</v>
      </c>
      <c r="X1280">
        <v>0.99854759999999998</v>
      </c>
      <c r="Y1280">
        <v>-3.5199670000000002E-2</v>
      </c>
      <c r="Z1280">
        <v>0.1071146</v>
      </c>
      <c r="AA1280">
        <v>0.99362340000000005</v>
      </c>
      <c r="AB1280">
        <v>31</v>
      </c>
      <c r="AC1280">
        <v>6.0800000000000402E-2</v>
      </c>
      <c r="AD1280">
        <v>-0.10567799999999899</v>
      </c>
      <c r="AE1280">
        <v>-0.64629999999999599</v>
      </c>
      <c r="AF1280">
        <v>-3.6123859989782202E-2</v>
      </c>
      <c r="AG1280">
        <v>-0.10567799999999899</v>
      </c>
      <c r="AH1280">
        <v>0.631361426965794</v>
      </c>
      <c r="AI1280">
        <v>99.486914896147596</v>
      </c>
      <c r="AJ1280">
        <v>93.274654603427393</v>
      </c>
      <c r="AK1280">
        <v>0.64116302482663901</v>
      </c>
      <c r="AL1280">
        <v>92.533201319455799</v>
      </c>
      <c r="AM1280">
        <v>88.2327960830047</v>
      </c>
      <c r="AN1280">
        <v>0.99999998143044899</v>
      </c>
    </row>
    <row r="1281" spans="1:40" x14ac:dyDescent="0.3">
      <c r="A1281" t="str">
        <f>"20200111160428050"</f>
        <v>20200111160428050</v>
      </c>
      <c r="B1281" t="str">
        <f>"1578729868042341"</f>
        <v>1578729868042341</v>
      </c>
      <c r="C1281" t="s">
        <v>40</v>
      </c>
      <c r="D1281">
        <v>5.7630150000000002</v>
      </c>
      <c r="E1281">
        <v>0.47682829999999898</v>
      </c>
      <c r="F1281" t="s">
        <v>42</v>
      </c>
      <c r="G1281">
        <v>-189.42580000000001</v>
      </c>
      <c r="H1281">
        <v>1.0090749999999999</v>
      </c>
      <c r="I1281">
        <v>323.97469999999998</v>
      </c>
      <c r="J1281">
        <v>-189.483</v>
      </c>
      <c r="K1281">
        <v>1.1073200000000001</v>
      </c>
      <c r="L1281">
        <v>324.6028</v>
      </c>
      <c r="M1281">
        <v>3.3682089999999998E-2</v>
      </c>
      <c r="N1281">
        <v>0</v>
      </c>
      <c r="O1281">
        <v>-0.99937759999999998</v>
      </c>
      <c r="P1281">
        <v>2.475241E-3</v>
      </c>
      <c r="Q1281">
        <v>-5.237004E-2</v>
      </c>
      <c r="R1281">
        <v>-0.99862479999999998</v>
      </c>
      <c r="S1281">
        <v>0.20956420000000001</v>
      </c>
      <c r="T1281">
        <v>-0.31578469999999997</v>
      </c>
      <c r="U1281">
        <v>-2.986084</v>
      </c>
      <c r="V1281">
        <v>3.0915769999999999E-2</v>
      </c>
      <c r="W1281">
        <v>-4.207851E-2</v>
      </c>
      <c r="X1281">
        <v>0.99863590000000002</v>
      </c>
      <c r="Y1281">
        <v>-3.5980560000000002E-2</v>
      </c>
      <c r="Z1281">
        <v>0.1049151</v>
      </c>
      <c r="AA1281">
        <v>0.99383010000000005</v>
      </c>
      <c r="AB1281">
        <v>31</v>
      </c>
      <c r="AC1281">
        <v>5.7199999999994498E-2</v>
      </c>
      <c r="AD1281">
        <v>-9.8245000000000096E-2</v>
      </c>
      <c r="AE1281">
        <v>-0.62810000000001698</v>
      </c>
      <c r="AF1281">
        <v>-3.5157566682369898E-2</v>
      </c>
      <c r="AG1281">
        <v>-9.8245000000000096E-2</v>
      </c>
      <c r="AH1281">
        <v>0.61475343875381505</v>
      </c>
      <c r="AI1281">
        <v>99.065210045559894</v>
      </c>
      <c r="AJ1281">
        <v>93.2731632596183</v>
      </c>
      <c r="AK1281">
        <v>0.62354624927078695</v>
      </c>
      <c r="AL1281">
        <v>92.411633005636602</v>
      </c>
      <c r="AM1281">
        <v>88.226803599972698</v>
      </c>
      <c r="AN1281">
        <v>1.0000000233036599</v>
      </c>
    </row>
    <row r="1282" spans="1:40" x14ac:dyDescent="0.3">
      <c r="A1282" t="str">
        <f>"20200111160428073"</f>
        <v>20200111160428073</v>
      </c>
      <c r="B1282" t="str">
        <f>"1578729868061859"</f>
        <v>1578729868061859</v>
      </c>
      <c r="C1282" t="s">
        <v>40</v>
      </c>
      <c r="D1282">
        <v>5.7899399999999996</v>
      </c>
      <c r="E1282">
        <v>0.47658660000000003</v>
      </c>
      <c r="F1282" t="s">
        <v>42</v>
      </c>
      <c r="G1282">
        <v>-189.42089999999999</v>
      </c>
      <c r="H1282">
        <v>1.012894</v>
      </c>
      <c r="I1282">
        <v>323.69220000000001</v>
      </c>
      <c r="J1282">
        <v>-189.47540000000001</v>
      </c>
      <c r="K1282">
        <v>1.107226</v>
      </c>
      <c r="L1282">
        <v>324.27910000000003</v>
      </c>
      <c r="M1282">
        <v>3.0409579999999999E-2</v>
      </c>
      <c r="N1282">
        <v>0</v>
      </c>
      <c r="O1282">
        <v>-0.99948210000000004</v>
      </c>
      <c r="P1282">
        <v>-1.3986020000000001E-3</v>
      </c>
      <c r="Q1282">
        <v>-5.0820740000000003E-2</v>
      </c>
      <c r="R1282">
        <v>-0.99870709999999996</v>
      </c>
      <c r="S1282">
        <v>0.20405580000000001</v>
      </c>
      <c r="T1282">
        <v>-0.3098611</v>
      </c>
      <c r="U1282">
        <v>-2.9873660000000002</v>
      </c>
      <c r="V1282">
        <v>3.1521090000000002E-2</v>
      </c>
      <c r="W1282">
        <v>-4.0498230000000003E-2</v>
      </c>
      <c r="X1282">
        <v>0.99868230000000002</v>
      </c>
      <c r="Y1282">
        <v>-3.7413219999999997E-2</v>
      </c>
      <c r="Z1282">
        <v>0.10294449999999999</v>
      </c>
      <c r="AA1282">
        <v>0.99398330000000001</v>
      </c>
      <c r="AB1282">
        <v>31</v>
      </c>
      <c r="AC1282">
        <v>5.4500000000018603E-2</v>
      </c>
      <c r="AD1282">
        <v>-9.4331999999999999E-2</v>
      </c>
      <c r="AE1282">
        <v>-0.58690000000001397</v>
      </c>
      <c r="AF1282">
        <v>-3.5711735196369297E-2</v>
      </c>
      <c r="AG1282">
        <v>-9.4331999999999999E-2</v>
      </c>
      <c r="AH1282">
        <v>0.57359446366260403</v>
      </c>
      <c r="AI1282">
        <v>99.321401027476895</v>
      </c>
      <c r="AJ1282">
        <v>93.562611205379397</v>
      </c>
      <c r="AK1282">
        <v>0.58239545241968205</v>
      </c>
      <c r="AL1282">
        <v>92.321012377493304</v>
      </c>
      <c r="AM1282">
        <v>88.192191792775304</v>
      </c>
      <c r="AN1282">
        <v>1.0000000110406</v>
      </c>
    </row>
    <row r="1283" spans="1:40" x14ac:dyDescent="0.3">
      <c r="A1283" t="str">
        <f>"20200111160428094"</f>
        <v>20200111160428094</v>
      </c>
      <c r="B1283" t="str">
        <f>"1578729868092116"</f>
        <v>1578729868092116</v>
      </c>
      <c r="C1283" t="s">
        <v>40</v>
      </c>
      <c r="D1283">
        <v>5.5965740000000004</v>
      </c>
      <c r="E1283">
        <v>0.52326969999999995</v>
      </c>
      <c r="F1283" t="s">
        <v>42</v>
      </c>
      <c r="G1283">
        <v>-189.4187</v>
      </c>
      <c r="H1283">
        <v>1.0187489999999999</v>
      </c>
      <c r="I1283">
        <v>323.40710000000001</v>
      </c>
      <c r="J1283">
        <v>-189.46950000000001</v>
      </c>
      <c r="K1283">
        <v>1.1071569999999999</v>
      </c>
      <c r="L1283">
        <v>323.98680000000002</v>
      </c>
      <c r="M1283">
        <v>2.7383060000000001E-2</v>
      </c>
      <c r="N1283">
        <v>0</v>
      </c>
      <c r="O1283">
        <v>-0.99956920000000005</v>
      </c>
      <c r="P1283">
        <v>-5.5956399999999998E-3</v>
      </c>
      <c r="Q1283">
        <v>-5.0018300000000002E-2</v>
      </c>
      <c r="R1283">
        <v>-0.99873279999999998</v>
      </c>
      <c r="S1283">
        <v>0.19439699999999999</v>
      </c>
      <c r="T1283">
        <v>-0.30329349999999999</v>
      </c>
      <c r="U1283">
        <v>-2.9887700000000001</v>
      </c>
      <c r="V1283">
        <v>3.2692550000000001E-2</v>
      </c>
      <c r="W1283">
        <v>-3.9674840000000003E-2</v>
      </c>
      <c r="X1283">
        <v>0.9986777</v>
      </c>
      <c r="Y1283">
        <v>-3.7223739999999998E-2</v>
      </c>
      <c r="Z1283">
        <v>0.1007624</v>
      </c>
      <c r="AA1283">
        <v>0.99421389999999998</v>
      </c>
      <c r="AB1283">
        <v>31</v>
      </c>
      <c r="AC1283">
        <v>5.0800000000009497E-2</v>
      </c>
      <c r="AD1283">
        <v>-8.8408E-2</v>
      </c>
      <c r="AE1283">
        <v>-0.57970000000000199</v>
      </c>
      <c r="AF1283">
        <v>-3.4118612064706899E-2</v>
      </c>
      <c r="AG1283">
        <v>-8.8408E-2</v>
      </c>
      <c r="AH1283">
        <v>0.56776906808892702</v>
      </c>
      <c r="AI1283">
        <v>98.834835887967699</v>
      </c>
      <c r="AJ1283">
        <v>93.438906087937397</v>
      </c>
      <c r="AK1283">
        <v>0.57562293980677204</v>
      </c>
      <c r="AL1283">
        <v>92.273797628947605</v>
      </c>
      <c r="AM1283">
        <v>88.125044288941993</v>
      </c>
      <c r="AN1283">
        <v>1.0000000221159</v>
      </c>
    </row>
    <row r="1284" spans="1:40" x14ac:dyDescent="0.3">
      <c r="A1284" t="str">
        <f>"20200111160428118"</f>
        <v>20200111160428118</v>
      </c>
      <c r="B1284" t="str">
        <f>"1578729868111636"</f>
        <v>1578729868111636</v>
      </c>
      <c r="C1284" t="s">
        <v>40</v>
      </c>
      <c r="D1284">
        <v>5.5282339999999897</v>
      </c>
      <c r="E1284">
        <v>0.53162159999999903</v>
      </c>
      <c r="F1284" t="s">
        <v>42</v>
      </c>
      <c r="G1284">
        <v>-189.52549999999999</v>
      </c>
      <c r="H1284">
        <v>1.0259739999999999</v>
      </c>
      <c r="I1284">
        <v>323.12270000000001</v>
      </c>
      <c r="J1284">
        <v>-189.4641</v>
      </c>
      <c r="K1284">
        <v>1.1071009999999999</v>
      </c>
      <c r="L1284">
        <v>323.66579999999999</v>
      </c>
      <c r="M1284">
        <v>2.4008760000000001E-2</v>
      </c>
      <c r="N1284">
        <v>0</v>
      </c>
      <c r="O1284">
        <v>-0.99965570000000004</v>
      </c>
      <c r="P1284">
        <v>-1.0585799999999999E-2</v>
      </c>
      <c r="Q1284">
        <v>-4.8804609999999998E-2</v>
      </c>
      <c r="R1284">
        <v>-0.99875270000000005</v>
      </c>
      <c r="S1284">
        <v>-0.19290160000000001</v>
      </c>
      <c r="T1284">
        <v>-0.2808059</v>
      </c>
      <c r="U1284">
        <v>-2.9886469999999998</v>
      </c>
      <c r="V1284">
        <v>3.4313839999999998E-2</v>
      </c>
      <c r="W1284">
        <v>-3.8443129999999999E-2</v>
      </c>
      <c r="X1284">
        <v>0.99867150000000005</v>
      </c>
      <c r="Y1284">
        <v>8.8071629999999998E-2</v>
      </c>
      <c r="Z1284">
        <v>9.3227069999999995E-2</v>
      </c>
      <c r="AA1284">
        <v>0.99174200000000001</v>
      </c>
      <c r="AB1284">
        <v>31</v>
      </c>
      <c r="AC1284">
        <v>-6.1399999999991899E-2</v>
      </c>
      <c r="AD1284">
        <v>-8.1127000000000102E-2</v>
      </c>
      <c r="AE1284">
        <v>-0.54309999999998104</v>
      </c>
      <c r="AF1284">
        <v>7.2817858576334799E-2</v>
      </c>
      <c r="AG1284">
        <v>-8.1127000000000102E-2</v>
      </c>
      <c r="AH1284">
        <v>0.52979668866679896</v>
      </c>
      <c r="AI1284">
        <v>98.6261325497088</v>
      </c>
      <c r="AJ1284">
        <v>82.174021327845196</v>
      </c>
      <c r="AK1284">
        <v>0.54089607317760102</v>
      </c>
      <c r="AL1284">
        <v>92.203171909385503</v>
      </c>
      <c r="AM1284">
        <v>88.032120598494103</v>
      </c>
      <c r="AN1284">
        <v>1.00000003938599</v>
      </c>
    </row>
    <row r="1285" spans="1:40" x14ac:dyDescent="0.3">
      <c r="A1285" t="str">
        <f>"20200111160428140"</f>
        <v>20200111160428140</v>
      </c>
      <c r="B1285" t="str">
        <f>"1578729868131665"</f>
        <v>1578729868131665</v>
      </c>
      <c r="C1285" t="s">
        <v>40</v>
      </c>
      <c r="D1285">
        <v>5.5350539999999997</v>
      </c>
      <c r="E1285">
        <v>0.53576459999999904</v>
      </c>
      <c r="F1285" t="s">
        <v>42</v>
      </c>
      <c r="G1285">
        <v>-189.53970000000001</v>
      </c>
      <c r="H1285">
        <v>1.0275430000000001</v>
      </c>
      <c r="I1285">
        <v>322.84030000000001</v>
      </c>
      <c r="J1285">
        <v>-189.4597</v>
      </c>
      <c r="K1285">
        <v>1.107067</v>
      </c>
      <c r="L1285">
        <v>323.33499999999998</v>
      </c>
      <c r="M1285">
        <v>2.0502900000000001E-2</v>
      </c>
      <c r="N1285">
        <v>0</v>
      </c>
      <c r="O1285">
        <v>-0.99973339999999999</v>
      </c>
      <c r="P1285">
        <v>-1.6576710000000001E-2</v>
      </c>
      <c r="Q1285">
        <v>-4.6644049999999999E-2</v>
      </c>
      <c r="R1285">
        <v>-0.99877419999999995</v>
      </c>
      <c r="S1285">
        <v>-0.27404790000000001</v>
      </c>
      <c r="T1285">
        <v>-0.28780480000000003</v>
      </c>
      <c r="U1285">
        <v>-2.986755</v>
      </c>
      <c r="V1285">
        <v>3.6812860000000003E-2</v>
      </c>
      <c r="W1285">
        <v>-3.6272400000000003E-2</v>
      </c>
      <c r="X1285">
        <v>0.99866370000000004</v>
      </c>
      <c r="Y1285">
        <v>0.1113526</v>
      </c>
      <c r="Z1285">
        <v>9.5388920000000002E-2</v>
      </c>
      <c r="AA1285">
        <v>0.98919239999999997</v>
      </c>
      <c r="AB1285">
        <v>31</v>
      </c>
      <c r="AC1285">
        <v>-8.0000000000012506E-2</v>
      </c>
      <c r="AD1285">
        <v>-7.95239999999999E-2</v>
      </c>
      <c r="AE1285">
        <v>-0.494699999999966</v>
      </c>
      <c r="AF1285">
        <v>8.7912665694621805E-2</v>
      </c>
      <c r="AG1285">
        <v>-7.95239999999999E-2</v>
      </c>
      <c r="AH1285">
        <v>0.48084668881970699</v>
      </c>
      <c r="AI1285">
        <v>99.240302847050501</v>
      </c>
      <c r="AJ1285">
        <v>79.639107382448103</v>
      </c>
      <c r="AK1285">
        <v>0.49524361834799102</v>
      </c>
      <c r="AL1285">
        <v>92.078711363388805</v>
      </c>
      <c r="AM1285">
        <v>87.888912013029099</v>
      </c>
      <c r="AN1285">
        <v>1.0000000296804099</v>
      </c>
    </row>
    <row r="1286" spans="1:40" x14ac:dyDescent="0.3">
      <c r="A1286" t="str">
        <f>"20200111160428173"</f>
        <v>20200111160428173</v>
      </c>
      <c r="B1286" t="str">
        <f>"1578729868161920"</f>
        <v>1578729868161920</v>
      </c>
      <c r="C1286" t="s">
        <v>40</v>
      </c>
      <c r="D1286">
        <v>5.5377260000000001</v>
      </c>
      <c r="E1286">
        <v>0.53844729999999996</v>
      </c>
      <c r="F1286" t="s">
        <v>42</v>
      </c>
      <c r="G1286">
        <v>-189.5444</v>
      </c>
      <c r="H1286">
        <v>1.031544</v>
      </c>
      <c r="I1286">
        <v>322.55700000000002</v>
      </c>
      <c r="J1286">
        <v>-189.4556</v>
      </c>
      <c r="K1286">
        <v>1.1070230000000001</v>
      </c>
      <c r="L1286">
        <v>322.87049999999999</v>
      </c>
      <c r="M1286">
        <v>1.556769E-2</v>
      </c>
      <c r="N1286">
        <v>0</v>
      </c>
      <c r="O1286">
        <v>-0.99982199999999999</v>
      </c>
      <c r="P1286">
        <v>-2.3984809999999999E-2</v>
      </c>
      <c r="Q1286">
        <v>-4.6376680000000003E-2</v>
      </c>
      <c r="R1286">
        <v>-0.99863599999999997</v>
      </c>
      <c r="S1286">
        <v>-0.32432559999999999</v>
      </c>
      <c r="T1286">
        <v>-0.28983930000000002</v>
      </c>
      <c r="U1286">
        <v>-2.984772</v>
      </c>
      <c r="V1286">
        <v>3.9287929999999999E-2</v>
      </c>
      <c r="W1286">
        <v>-3.5990080000000001E-2</v>
      </c>
      <c r="X1286">
        <v>0.99857960000000001</v>
      </c>
      <c r="Y1286">
        <v>0.1229895</v>
      </c>
      <c r="Z1286">
        <v>9.59869E-2</v>
      </c>
      <c r="AA1286">
        <v>0.9877551</v>
      </c>
      <c r="AB1286">
        <v>31</v>
      </c>
      <c r="AC1286">
        <v>-8.8799999999991996E-2</v>
      </c>
      <c r="AD1286">
        <v>-7.5478999999999796E-2</v>
      </c>
      <c r="AE1286">
        <v>-0.31349999999997602</v>
      </c>
      <c r="AF1286">
        <v>8.8899535198082802E-2</v>
      </c>
      <c r="AG1286">
        <v>-7.5478999999999796E-2</v>
      </c>
      <c r="AH1286">
        <v>0.29618584460993702</v>
      </c>
      <c r="AI1286">
        <v>103.716524068106</v>
      </c>
      <c r="AJ1286">
        <v>73.292986000227998</v>
      </c>
      <c r="AK1286">
        <v>0.318317862123282</v>
      </c>
      <c r="AL1286">
        <v>92.062525065531403</v>
      </c>
      <c r="AM1286">
        <v>87.746927568120299</v>
      </c>
      <c r="AN1286">
        <v>1.0000000224191199</v>
      </c>
    </row>
    <row r="1287" spans="1:40" x14ac:dyDescent="0.3">
      <c r="A1287" t="str">
        <f>"20200111160428195"</f>
        <v>20200111160428195</v>
      </c>
      <c r="B1287" t="str">
        <f>"1578729868192177"</f>
        <v>1578729868192177</v>
      </c>
      <c r="C1287" t="s">
        <v>40</v>
      </c>
      <c r="D1287">
        <v>5.508032</v>
      </c>
      <c r="E1287">
        <v>0.5397767</v>
      </c>
      <c r="F1287" t="s">
        <v>42</v>
      </c>
      <c r="G1287">
        <v>-189.56309999999999</v>
      </c>
      <c r="H1287">
        <v>1.0204329999999999</v>
      </c>
      <c r="I1287">
        <v>321.99900000000002</v>
      </c>
      <c r="J1287">
        <v>-189.45400000000001</v>
      </c>
      <c r="K1287">
        <v>1.1070070000000001</v>
      </c>
      <c r="L1287">
        <v>322.56670000000003</v>
      </c>
      <c r="M1287">
        <v>1.2346060000000001E-2</v>
      </c>
      <c r="N1287">
        <v>0</v>
      </c>
      <c r="O1287">
        <v>-0.9998667</v>
      </c>
      <c r="P1287">
        <v>-2.8476660000000001E-2</v>
      </c>
      <c r="Q1287">
        <v>-4.6398170000000002E-2</v>
      </c>
      <c r="R1287">
        <v>-0.99851730000000005</v>
      </c>
      <c r="S1287">
        <v>-0.36743160000000002</v>
      </c>
      <c r="T1287">
        <v>-0.29632570000000003</v>
      </c>
      <c r="U1287">
        <v>-2.9815369999999999</v>
      </c>
      <c r="V1287">
        <v>4.0560190000000003E-2</v>
      </c>
      <c r="W1287">
        <v>-3.6001779999999997E-2</v>
      </c>
      <c r="X1287">
        <v>0.99852830000000004</v>
      </c>
      <c r="Y1287">
        <v>0.13396520000000001</v>
      </c>
      <c r="Z1287">
        <v>9.8075079999999995E-2</v>
      </c>
      <c r="AA1287">
        <v>0.98612100000000003</v>
      </c>
      <c r="AB1287">
        <v>31</v>
      </c>
      <c r="AC1287">
        <v>-0.109099999999983</v>
      </c>
      <c r="AD1287">
        <v>-8.6574000000000095E-2</v>
      </c>
      <c r="AE1287">
        <v>-0.56770000000000198</v>
      </c>
      <c r="AF1287">
        <v>0.113554172542221</v>
      </c>
      <c r="AG1287">
        <v>-8.6574000000000095E-2</v>
      </c>
      <c r="AH1287">
        <v>0.55388722610285301</v>
      </c>
      <c r="AI1287">
        <v>98.705396225633294</v>
      </c>
      <c r="AJ1287">
        <v>78.414149971938002</v>
      </c>
      <c r="AK1287">
        <v>0.57199708637165403</v>
      </c>
      <c r="AL1287">
        <v>92.063195883313298</v>
      </c>
      <c r="AM1287">
        <v>87.673925895920902</v>
      </c>
      <c r="AN1287">
        <v>1.00000001153844</v>
      </c>
    </row>
    <row r="1288" spans="1:40" x14ac:dyDescent="0.3">
      <c r="A1288" t="str">
        <f>"20200111160428217"</f>
        <v>20200111160428217</v>
      </c>
      <c r="B1288" t="str">
        <f>"1578729868211697"</f>
        <v>1578729868211697</v>
      </c>
      <c r="C1288" t="s">
        <v>40</v>
      </c>
      <c r="D1288">
        <v>5.5363490000000004</v>
      </c>
      <c r="E1288">
        <v>0.5401648</v>
      </c>
      <c r="F1288" t="s">
        <v>42</v>
      </c>
      <c r="G1288">
        <v>-189.56569999999999</v>
      </c>
      <c r="H1288">
        <v>1.0212129999999999</v>
      </c>
      <c r="I1288">
        <v>321.71690000000001</v>
      </c>
      <c r="J1288">
        <v>-189.45349999999999</v>
      </c>
      <c r="K1288">
        <v>1.1070089999999999</v>
      </c>
      <c r="L1288">
        <v>322.25639999999999</v>
      </c>
      <c r="M1288">
        <v>9.0814880000000004E-3</v>
      </c>
      <c r="N1288">
        <v>0</v>
      </c>
      <c r="O1288">
        <v>-0.9999015</v>
      </c>
      <c r="P1288">
        <v>-3.2453990000000002E-2</v>
      </c>
      <c r="Q1288">
        <v>-4.6058160000000001E-2</v>
      </c>
      <c r="R1288">
        <v>-0.99841179999999996</v>
      </c>
      <c r="S1288">
        <v>-0.39118960000000003</v>
      </c>
      <c r="T1288">
        <v>-0.30083670000000001</v>
      </c>
      <c r="U1288">
        <v>-2.9793400000000001</v>
      </c>
      <c r="V1288">
        <v>4.12796E-2</v>
      </c>
      <c r="W1288">
        <v>-3.5648689999999997E-2</v>
      </c>
      <c r="X1288">
        <v>0.9985115</v>
      </c>
      <c r="Y1288">
        <v>0.13853579999999999</v>
      </c>
      <c r="Z1288">
        <v>9.9549810000000002E-2</v>
      </c>
      <c r="AA1288">
        <v>0.98534140000000003</v>
      </c>
      <c r="AB1288">
        <v>31</v>
      </c>
      <c r="AC1288">
        <v>-0.11220000000000099</v>
      </c>
      <c r="AD1288">
        <v>-8.57959999999999E-2</v>
      </c>
      <c r="AE1288">
        <v>-0.539499999999975</v>
      </c>
      <c r="AF1288">
        <v>0.11432372083115599</v>
      </c>
      <c r="AG1288">
        <v>-8.57959999999999E-2</v>
      </c>
      <c r="AH1288">
        <v>0.52571456239519099</v>
      </c>
      <c r="AI1288">
        <v>99.060757706720295</v>
      </c>
      <c r="AJ1288">
        <v>77.731277313554799</v>
      </c>
      <c r="AK1288">
        <v>0.54479965847552303</v>
      </c>
      <c r="AL1288">
        <v>92.042952294085893</v>
      </c>
      <c r="AM1288">
        <v>87.632675413263001</v>
      </c>
      <c r="AN1288">
        <v>1.0000000250535599</v>
      </c>
    </row>
    <row r="1289" spans="1:40" x14ac:dyDescent="0.3">
      <c r="A1289" t="str">
        <f>"20200111160428239"</f>
        <v>20200111160428239</v>
      </c>
      <c r="B1289" t="str">
        <f>"1578729868231724"</f>
        <v>1578729868231724</v>
      </c>
      <c r="C1289" t="s">
        <v>40</v>
      </c>
      <c r="D1289">
        <v>9.4594459999999998</v>
      </c>
      <c r="E1289">
        <v>0.54026070000000004</v>
      </c>
      <c r="F1289" t="s">
        <v>42</v>
      </c>
      <c r="G1289">
        <v>-189.56569999999999</v>
      </c>
      <c r="H1289">
        <v>1.023382</v>
      </c>
      <c r="I1289">
        <v>321.4341</v>
      </c>
      <c r="J1289">
        <v>-189.45400000000001</v>
      </c>
      <c r="K1289">
        <v>1.107027</v>
      </c>
      <c r="L1289">
        <v>321.92959999999999</v>
      </c>
      <c r="M1289">
        <v>5.6924430000000002E-3</v>
      </c>
      <c r="N1289">
        <v>0</v>
      </c>
      <c r="O1289">
        <v>-0.99992630000000005</v>
      </c>
      <c r="P1289">
        <v>-3.6511689999999999E-2</v>
      </c>
      <c r="Q1289">
        <v>-4.4819989999999997E-2</v>
      </c>
      <c r="R1289">
        <v>-0.99832799999999999</v>
      </c>
      <c r="S1289">
        <v>-0.405777</v>
      </c>
      <c r="T1289">
        <v>-0.30281979999999997</v>
      </c>
      <c r="U1289">
        <v>-2.9776310000000001</v>
      </c>
      <c r="V1289">
        <v>4.1963550000000002E-2</v>
      </c>
      <c r="W1289">
        <v>-3.4396660000000003E-2</v>
      </c>
      <c r="X1289">
        <v>0.9985269</v>
      </c>
      <c r="Y1289">
        <v>0.13998559999999999</v>
      </c>
      <c r="Z1289">
        <v>0.1002173</v>
      </c>
      <c r="AA1289">
        <v>0.98506879999999997</v>
      </c>
      <c r="AB1289">
        <v>31</v>
      </c>
      <c r="AC1289">
        <v>-0.11169999999998401</v>
      </c>
      <c r="AD1289">
        <v>-8.36449999999999E-2</v>
      </c>
      <c r="AE1289">
        <v>-0.495499999999992</v>
      </c>
      <c r="AF1289">
        <v>0.11149537446782801</v>
      </c>
      <c r="AG1289">
        <v>-8.36449999999999E-2</v>
      </c>
      <c r="AH1289">
        <v>0.48179066590960901</v>
      </c>
      <c r="AI1289">
        <v>99.600294606730799</v>
      </c>
      <c r="AJ1289">
        <v>76.970057339238394</v>
      </c>
      <c r="AK1289">
        <v>0.50154755538268303</v>
      </c>
      <c r="AL1289">
        <v>91.971172230756295</v>
      </c>
      <c r="AM1289">
        <v>87.593534692456004</v>
      </c>
      <c r="AN1289">
        <v>1.00000001988568</v>
      </c>
    </row>
    <row r="1290" spans="1:40" x14ac:dyDescent="0.3">
      <c r="A1290" t="str">
        <f>"20200111160428261"</f>
        <v>20200111160428261</v>
      </c>
      <c r="B1290" t="str">
        <f>"1578729868252220"</f>
        <v>1578729868252220</v>
      </c>
      <c r="C1290" t="s">
        <v>40</v>
      </c>
      <c r="D1290">
        <v>5.5746500000000001</v>
      </c>
      <c r="E1290">
        <v>0.54018769999999905</v>
      </c>
      <c r="F1290" t="s">
        <v>42</v>
      </c>
      <c r="G1290">
        <v>-189.56379999999999</v>
      </c>
      <c r="H1290">
        <v>1.028049</v>
      </c>
      <c r="I1290">
        <v>321.14980000000003</v>
      </c>
      <c r="J1290">
        <v>-189.4555</v>
      </c>
      <c r="K1290">
        <v>1.1070679999999999</v>
      </c>
      <c r="L1290">
        <v>321.61290000000002</v>
      </c>
      <c r="M1290">
        <v>2.4805859999999999E-3</v>
      </c>
      <c r="N1290">
        <v>0</v>
      </c>
      <c r="O1290">
        <v>-0.99993940000000003</v>
      </c>
      <c r="P1290">
        <v>-4.0124769999999997E-2</v>
      </c>
      <c r="Q1290">
        <v>-4.4152049999999998E-2</v>
      </c>
      <c r="R1290">
        <v>-0.99821890000000002</v>
      </c>
      <c r="S1290">
        <v>-0.41830440000000002</v>
      </c>
      <c r="T1290">
        <v>-0.30144969999999999</v>
      </c>
      <c r="U1290">
        <v>-2.9761959999999998</v>
      </c>
      <c r="V1290">
        <v>4.2377770000000002E-2</v>
      </c>
      <c r="W1290">
        <v>-3.3709940000000001E-2</v>
      </c>
      <c r="X1290">
        <v>0.9985328</v>
      </c>
      <c r="Y1290">
        <v>0.1409435</v>
      </c>
      <c r="Z1290">
        <v>9.9782410000000002E-2</v>
      </c>
      <c r="AA1290">
        <v>0.98497639999999997</v>
      </c>
      <c r="AB1290">
        <v>31</v>
      </c>
      <c r="AC1290">
        <v>-0.10829999999998501</v>
      </c>
      <c r="AD1290">
        <v>-7.9018999999999895E-2</v>
      </c>
      <c r="AE1290">
        <v>-0.46309999999999701</v>
      </c>
      <c r="AF1290">
        <v>0.10650832354094</v>
      </c>
      <c r="AG1290">
        <v>-7.9018999999999895E-2</v>
      </c>
      <c r="AH1290">
        <v>0.45039668454309001</v>
      </c>
      <c r="AI1290">
        <v>99.688926631418497</v>
      </c>
      <c r="AJ1290">
        <v>76.695294293737803</v>
      </c>
      <c r="AK1290">
        <v>0.46951591963628803</v>
      </c>
      <c r="AL1290">
        <v>91.931803289665297</v>
      </c>
      <c r="AM1290">
        <v>87.569823281861005</v>
      </c>
      <c r="AN1290">
        <v>0.99999999406040796</v>
      </c>
    </row>
    <row r="1291" spans="1:40" x14ac:dyDescent="0.3">
      <c r="A1291" t="str">
        <f>"20200111160428284"</f>
        <v>20200111160428284</v>
      </c>
      <c r="B1291" t="str">
        <f>"1578729868271739"</f>
        <v>1578729868271739</v>
      </c>
      <c r="C1291" t="s">
        <v>40</v>
      </c>
      <c r="D1291">
        <v>5.5524269999999998</v>
      </c>
      <c r="E1291">
        <v>0.53999390000000003</v>
      </c>
      <c r="F1291" t="s">
        <v>42</v>
      </c>
      <c r="G1291">
        <v>-189.56299999999999</v>
      </c>
      <c r="H1291">
        <v>1.030659</v>
      </c>
      <c r="I1291">
        <v>320.8664</v>
      </c>
      <c r="J1291">
        <v>-189.45769999999999</v>
      </c>
      <c r="K1291">
        <v>1.1071329999999999</v>
      </c>
      <c r="L1291">
        <v>321.31229999999999</v>
      </c>
      <c r="M1291">
        <v>-4.778324E-4</v>
      </c>
      <c r="N1291">
        <v>0</v>
      </c>
      <c r="O1291">
        <v>-0.99994179999999999</v>
      </c>
      <c r="P1291">
        <v>-4.3594809999999998E-2</v>
      </c>
      <c r="Q1291">
        <v>-4.3523390000000002E-2</v>
      </c>
      <c r="R1291">
        <v>-0.99810080000000001</v>
      </c>
      <c r="S1291">
        <v>-0.42779539999999999</v>
      </c>
      <c r="T1291">
        <v>-0.30457089999999998</v>
      </c>
      <c r="U1291">
        <v>-2.974701</v>
      </c>
      <c r="V1291">
        <v>4.2903520000000001E-2</v>
      </c>
      <c r="W1291">
        <v>-3.3042450000000001E-2</v>
      </c>
      <c r="X1291">
        <v>0.99853270000000005</v>
      </c>
      <c r="Y1291">
        <v>0.1411483</v>
      </c>
      <c r="Z1291">
        <v>0.1008314</v>
      </c>
      <c r="AA1291">
        <v>0.98484020000000005</v>
      </c>
      <c r="AB1291">
        <v>31</v>
      </c>
      <c r="AC1291">
        <v>-0.10529999999999901</v>
      </c>
      <c r="AD1291">
        <v>-7.6473999999999903E-2</v>
      </c>
      <c r="AE1291">
        <v>-0.44589999999999402</v>
      </c>
      <c r="AF1291">
        <v>0.10223852364780001</v>
      </c>
      <c r="AG1291">
        <v>-7.6473999999999903E-2</v>
      </c>
      <c r="AH1291">
        <v>0.43386276120060702</v>
      </c>
      <c r="AI1291">
        <v>99.735117738030297</v>
      </c>
      <c r="AJ1291">
        <v>76.740315372444201</v>
      </c>
      <c r="AK1291">
        <v>0.45225864718134101</v>
      </c>
      <c r="AL1291">
        <v>91.893537533373305</v>
      </c>
      <c r="AM1291">
        <v>87.539710431098499</v>
      </c>
      <c r="AN1291">
        <v>1.0000000342498401</v>
      </c>
    </row>
    <row r="1292" spans="1:40" x14ac:dyDescent="0.3">
      <c r="A1292" t="str">
        <f>"20200111160428306"</f>
        <v>20200111160428306</v>
      </c>
      <c r="B1292" t="str">
        <f>"1578729868301996"</f>
        <v>1578729868301996</v>
      </c>
      <c r="C1292" t="s">
        <v>40</v>
      </c>
      <c r="D1292">
        <v>5.5385099999999996</v>
      </c>
      <c r="E1292">
        <v>0.53991840000000002</v>
      </c>
      <c r="F1292" t="s">
        <v>42</v>
      </c>
      <c r="G1292">
        <v>-189.56469999999999</v>
      </c>
      <c r="H1292">
        <v>1.0316190000000001</v>
      </c>
      <c r="I1292">
        <v>320.58359999999999</v>
      </c>
      <c r="J1292">
        <v>-189.46109999999999</v>
      </c>
      <c r="K1292">
        <v>1.1072489999999999</v>
      </c>
      <c r="L1292">
        <v>320.98910000000001</v>
      </c>
      <c r="M1292">
        <v>-3.524587E-3</v>
      </c>
      <c r="N1292">
        <v>0</v>
      </c>
      <c r="O1292">
        <v>-0.9999344</v>
      </c>
      <c r="P1292">
        <v>-4.726731E-2</v>
      </c>
      <c r="Q1292">
        <v>-4.4203909999999999E-2</v>
      </c>
      <c r="R1292">
        <v>-0.99790380000000001</v>
      </c>
      <c r="S1292">
        <v>-0.43594359999999999</v>
      </c>
      <c r="T1292">
        <v>-0.3081006</v>
      </c>
      <c r="U1292">
        <v>-2.9732059999999998</v>
      </c>
      <c r="V1292">
        <v>4.3538279999999999E-2</v>
      </c>
      <c r="W1292">
        <v>-3.3605469999999998E-2</v>
      </c>
      <c r="X1292">
        <v>0.9984864</v>
      </c>
      <c r="Y1292">
        <v>0.1408277</v>
      </c>
      <c r="Z1292">
        <v>0.1020197</v>
      </c>
      <c r="AA1292">
        <v>0.98476370000000002</v>
      </c>
      <c r="AB1292">
        <v>31</v>
      </c>
      <c r="AC1292">
        <v>-0.1036</v>
      </c>
      <c r="AD1292">
        <v>-7.5629999999999795E-2</v>
      </c>
      <c r="AE1292">
        <v>-0.40550000000001701</v>
      </c>
      <c r="AF1292">
        <v>9.8939223764562503E-2</v>
      </c>
      <c r="AG1292">
        <v>-7.5629999999999795E-2</v>
      </c>
      <c r="AH1292">
        <v>0.39302843583261099</v>
      </c>
      <c r="AI1292">
        <v>100.570215927449</v>
      </c>
      <c r="AJ1292">
        <v>75.870205302783702</v>
      </c>
      <c r="AK1292">
        <v>0.41228657299524502</v>
      </c>
      <c r="AL1292">
        <v>91.925814194388494</v>
      </c>
      <c r="AM1292">
        <v>87.503240408643506</v>
      </c>
      <c r="AN1292">
        <v>1.0000000002121101</v>
      </c>
    </row>
    <row r="1293" spans="1:40" x14ac:dyDescent="0.3">
      <c r="A1293" t="str">
        <f>"20200111160428330"</f>
        <v>20200111160428330</v>
      </c>
      <c r="B1293" t="str">
        <f>"1578729868321516"</f>
        <v>1578729868321516</v>
      </c>
      <c r="C1293" t="s">
        <v>40</v>
      </c>
      <c r="D1293">
        <v>6.0550940000000004</v>
      </c>
      <c r="E1293">
        <v>0.5398944</v>
      </c>
      <c r="F1293" t="s">
        <v>42</v>
      </c>
      <c r="G1293">
        <v>-189.60470000000001</v>
      </c>
      <c r="H1293">
        <v>1.006051</v>
      </c>
      <c r="I1293">
        <v>320.03160000000003</v>
      </c>
      <c r="J1293">
        <v>-189.46549999999999</v>
      </c>
      <c r="K1293">
        <v>1.1074120000000001</v>
      </c>
      <c r="L1293">
        <v>320.6497</v>
      </c>
      <c r="M1293">
        <v>-6.5580539999999998E-3</v>
      </c>
      <c r="N1293">
        <v>0</v>
      </c>
      <c r="O1293">
        <v>-0.99991669999999999</v>
      </c>
      <c r="P1293">
        <v>-5.0869200000000003E-2</v>
      </c>
      <c r="Q1293">
        <v>-4.557108E-2</v>
      </c>
      <c r="R1293">
        <v>-0.99766540000000004</v>
      </c>
      <c r="S1293">
        <v>-0.44552609999999898</v>
      </c>
      <c r="T1293">
        <v>-0.31405159999999999</v>
      </c>
      <c r="U1293">
        <v>-2.9712830000000001</v>
      </c>
      <c r="V1293">
        <v>4.4115599999999998E-2</v>
      </c>
      <c r="W1293">
        <v>-3.4733300000000002E-2</v>
      </c>
      <c r="X1293">
        <v>0.99842240000000004</v>
      </c>
      <c r="Y1293">
        <v>0.14099310000000001</v>
      </c>
      <c r="Z1293">
        <v>0.1040069</v>
      </c>
      <c r="AA1293">
        <v>0.98453210000000002</v>
      </c>
      <c r="AB1293">
        <v>31</v>
      </c>
      <c r="AC1293">
        <v>-0.13920000000001601</v>
      </c>
      <c r="AD1293">
        <v>-0.10136100000000001</v>
      </c>
      <c r="AE1293">
        <v>-0.61809999999996901</v>
      </c>
      <c r="AF1293">
        <v>0.131770683658093</v>
      </c>
      <c r="AG1293">
        <v>-0.10136100000000001</v>
      </c>
      <c r="AH1293">
        <v>0.603552325774799</v>
      </c>
      <c r="AI1293">
        <v>99.317828660197506</v>
      </c>
      <c r="AJ1293">
        <v>77.684142413941103</v>
      </c>
      <c r="AK1293">
        <v>0.62602953232326797</v>
      </c>
      <c r="AL1293">
        <v>91.990471976043494</v>
      </c>
      <c r="AM1293">
        <v>87.470014016399006</v>
      </c>
      <c r="AN1293">
        <v>0.99999993855700298</v>
      </c>
    </row>
    <row r="1294" spans="1:40" x14ac:dyDescent="0.3">
      <c r="A1294" t="str">
        <f>"20200111160428352"</f>
        <v>20200111160428352</v>
      </c>
      <c r="B1294" t="str">
        <f>"1578729868342013"</f>
        <v>1578729868342013</v>
      </c>
      <c r="C1294" t="s">
        <v>40</v>
      </c>
      <c r="D1294">
        <v>6.1717899999999997</v>
      </c>
      <c r="E1294">
        <v>0.53991489999999998</v>
      </c>
      <c r="F1294" t="s">
        <v>42</v>
      </c>
      <c r="G1294">
        <v>-189.60419999999999</v>
      </c>
      <c r="H1294">
        <v>1.010383</v>
      </c>
      <c r="I1294">
        <v>319.74799999999999</v>
      </c>
      <c r="J1294">
        <v>-189.47020000000001</v>
      </c>
      <c r="K1294">
        <v>1.1075630000000001</v>
      </c>
      <c r="L1294">
        <v>320.34679999999997</v>
      </c>
      <c r="M1294">
        <v>-9.1437410000000004E-3</v>
      </c>
      <c r="N1294">
        <v>0</v>
      </c>
      <c r="O1294">
        <v>-0.99989349999999999</v>
      </c>
      <c r="P1294">
        <v>-5.4137610000000003E-2</v>
      </c>
      <c r="Q1294">
        <v>-4.7076020000000003E-2</v>
      </c>
      <c r="R1294">
        <v>-0.99742350000000002</v>
      </c>
      <c r="S1294">
        <v>-0.45593260000000002</v>
      </c>
      <c r="T1294">
        <v>-0.31961139999999999</v>
      </c>
      <c r="U1294">
        <v>-2.969147</v>
      </c>
      <c r="V1294">
        <v>4.4806279999999997E-2</v>
      </c>
      <c r="W1294">
        <v>-3.5976569999999999E-2</v>
      </c>
      <c r="X1294">
        <v>0.99834769999999995</v>
      </c>
      <c r="Y1294">
        <v>0.14188029999999999</v>
      </c>
      <c r="Z1294">
        <v>0.10586470000000001</v>
      </c>
      <c r="AA1294">
        <v>0.98420660000000004</v>
      </c>
      <c r="AB1294">
        <v>31</v>
      </c>
      <c r="AC1294">
        <v>-0.13399999999998599</v>
      </c>
      <c r="AD1294">
        <v>-9.7179999999999794E-2</v>
      </c>
      <c r="AE1294">
        <v>-0.59879999999998201</v>
      </c>
      <c r="AF1294">
        <v>0.12537409085915099</v>
      </c>
      <c r="AG1294">
        <v>-9.7179999999999794E-2</v>
      </c>
      <c r="AH1294">
        <v>0.58531910995011205</v>
      </c>
      <c r="AI1294">
        <v>99.221321223184503</v>
      </c>
      <c r="AJ1294">
        <v>77.910056626014907</v>
      </c>
      <c r="AK1294">
        <v>0.60643307588846995</v>
      </c>
      <c r="AL1294">
        <v>92.061750496327505</v>
      </c>
      <c r="AM1294">
        <v>87.430264877921104</v>
      </c>
      <c r="AN1294">
        <v>1.0000000232058399</v>
      </c>
    </row>
    <row r="1295" spans="1:40" x14ac:dyDescent="0.3">
      <c r="A1295" t="str">
        <f>"20200111160428374"</f>
        <v>20200111160428374</v>
      </c>
      <c r="B1295" t="str">
        <f>"1578729868372268"</f>
        <v>1578729868372268</v>
      </c>
      <c r="C1295" t="s">
        <v>40</v>
      </c>
      <c r="D1295">
        <v>5.5479039999999999</v>
      </c>
      <c r="E1295">
        <v>0.53976069999999998</v>
      </c>
      <c r="F1295" t="s">
        <v>42</v>
      </c>
      <c r="G1295">
        <v>-189.60839999999999</v>
      </c>
      <c r="H1295">
        <v>1.011064</v>
      </c>
      <c r="I1295">
        <v>319.46660000000003</v>
      </c>
      <c r="J1295">
        <v>-189.47559999999999</v>
      </c>
      <c r="K1295">
        <v>1.1077269999999999</v>
      </c>
      <c r="L1295">
        <v>320.03640000000001</v>
      </c>
      <c r="M1295">
        <v>-1.164567E-2</v>
      </c>
      <c r="N1295">
        <v>0</v>
      </c>
      <c r="O1295">
        <v>-0.99986419999999998</v>
      </c>
      <c r="P1295">
        <v>-5.8266930000000001E-2</v>
      </c>
      <c r="Q1295">
        <v>-4.8067260000000001E-2</v>
      </c>
      <c r="R1295">
        <v>-0.99714329999999995</v>
      </c>
      <c r="S1295">
        <v>-0.46574399999999999</v>
      </c>
      <c r="T1295">
        <v>-0.32532719999999998</v>
      </c>
      <c r="U1295">
        <v>-2.9671020000000001</v>
      </c>
      <c r="V1295">
        <v>4.6446719999999997E-2</v>
      </c>
      <c r="W1295">
        <v>-3.6680499999999998E-2</v>
      </c>
      <c r="X1295">
        <v>0.99824710000000005</v>
      </c>
      <c r="Y1295">
        <v>0.14265159999999999</v>
      </c>
      <c r="Z1295">
        <v>0.10777150000000001</v>
      </c>
      <c r="AA1295">
        <v>0.98388810000000004</v>
      </c>
      <c r="AB1295">
        <v>31</v>
      </c>
      <c r="AC1295">
        <v>-0.132800000000003</v>
      </c>
      <c r="AD1295">
        <v>-9.6663000000000096E-2</v>
      </c>
      <c r="AE1295">
        <v>-0.56979999999998598</v>
      </c>
      <c r="AF1295">
        <v>0.122802778875895</v>
      </c>
      <c r="AG1295">
        <v>-9.6663000000000096E-2</v>
      </c>
      <c r="AH1295">
        <v>0.55612777915545097</v>
      </c>
      <c r="AI1295">
        <v>99.632768373181506</v>
      </c>
      <c r="AJ1295">
        <v>77.547908966471397</v>
      </c>
      <c r="AK1295">
        <v>0.57766977142396503</v>
      </c>
      <c r="AL1295">
        <v>92.102109372889899</v>
      </c>
      <c r="AM1295">
        <v>87.336047232688699</v>
      </c>
      <c r="AN1295">
        <v>1.0000000147687</v>
      </c>
    </row>
    <row r="1296" spans="1:40" x14ac:dyDescent="0.3">
      <c r="A1296" t="str">
        <f>"20200111160428396"</f>
        <v>20200111160428396</v>
      </c>
      <c r="B1296" t="str">
        <f>"1578729868391788"</f>
        <v>1578729868391788</v>
      </c>
      <c r="C1296" t="s">
        <v>40</v>
      </c>
      <c r="D1296">
        <v>5.563936</v>
      </c>
      <c r="E1296">
        <v>0.53945240000000005</v>
      </c>
      <c r="F1296" t="s">
        <v>42</v>
      </c>
      <c r="G1296">
        <v>-189.61259999999999</v>
      </c>
      <c r="H1296">
        <v>1.0122719999999901</v>
      </c>
      <c r="I1296">
        <v>319.18520000000001</v>
      </c>
      <c r="J1296">
        <v>-189.48169999999999</v>
      </c>
      <c r="K1296">
        <v>1.1078889999999999</v>
      </c>
      <c r="L1296">
        <v>319.72919999999999</v>
      </c>
      <c r="M1296">
        <v>-1.3952640000000001E-2</v>
      </c>
      <c r="N1296">
        <v>0</v>
      </c>
      <c r="O1296">
        <v>-0.99983129999999998</v>
      </c>
      <c r="P1296">
        <v>-6.2725370000000003E-2</v>
      </c>
      <c r="Q1296">
        <v>-4.8740520000000002E-2</v>
      </c>
      <c r="R1296">
        <v>-0.9968399</v>
      </c>
      <c r="S1296">
        <v>-0.47627259999999999</v>
      </c>
      <c r="T1296">
        <v>-0.33255679999999999</v>
      </c>
      <c r="U1296">
        <v>-2.9646910000000002</v>
      </c>
      <c r="V1296">
        <v>4.8614900000000003E-2</v>
      </c>
      <c r="W1296">
        <v>-3.707063E-2</v>
      </c>
      <c r="X1296">
        <v>0.99812940000000006</v>
      </c>
      <c r="Y1296">
        <v>0.14385680000000001</v>
      </c>
      <c r="Z1296">
        <v>0.11018020000000001</v>
      </c>
      <c r="AA1296">
        <v>0.98344580000000004</v>
      </c>
      <c r="AB1296">
        <v>31</v>
      </c>
      <c r="AC1296">
        <v>-0.13089999999999599</v>
      </c>
      <c r="AD1296">
        <v>-9.5616999999999994E-2</v>
      </c>
      <c r="AE1296">
        <v>-0.54399999999998205</v>
      </c>
      <c r="AF1296">
        <v>0.119798015337201</v>
      </c>
      <c r="AG1296">
        <v>-9.5616999999999994E-2</v>
      </c>
      <c r="AH1296">
        <v>0.53028757433638096</v>
      </c>
      <c r="AI1296">
        <v>99.975124598780397</v>
      </c>
      <c r="AJ1296">
        <v>77.269922347317205</v>
      </c>
      <c r="AK1296">
        <v>0.55199554949591301</v>
      </c>
      <c r="AL1296">
        <v>92.124477484377707</v>
      </c>
      <c r="AM1296">
        <v>87.211554814384499</v>
      </c>
      <c r="AN1296">
        <v>0.99999996962748305</v>
      </c>
    </row>
    <row r="1297" spans="1:40" x14ac:dyDescent="0.3">
      <c r="A1297" t="str">
        <f>"20200111160428419"</f>
        <v>20200111160428419</v>
      </c>
      <c r="B1297" t="str">
        <f>"1578729868412284"</f>
        <v>1578729868412284</v>
      </c>
      <c r="C1297" t="s">
        <v>40</v>
      </c>
      <c r="D1297">
        <v>6.3351169999999897</v>
      </c>
      <c r="E1297">
        <v>0.53929439999999995</v>
      </c>
      <c r="F1297" t="s">
        <v>42</v>
      </c>
      <c r="G1297">
        <v>-189.6174</v>
      </c>
      <c r="H1297">
        <v>1.0140940000000001</v>
      </c>
      <c r="I1297">
        <v>318.90390000000002</v>
      </c>
      <c r="J1297">
        <v>-189.48869999999999</v>
      </c>
      <c r="K1297">
        <v>1.108066</v>
      </c>
      <c r="L1297">
        <v>319.40499999999997</v>
      </c>
      <c r="M1297">
        <v>-1.6196390000000001E-2</v>
      </c>
      <c r="N1297">
        <v>0</v>
      </c>
      <c r="O1297">
        <v>-0.99979419999999997</v>
      </c>
      <c r="P1297">
        <v>-6.692766E-2</v>
      </c>
      <c r="Q1297">
        <v>-4.9941819999999998E-2</v>
      </c>
      <c r="R1297">
        <v>-0.99650749999999999</v>
      </c>
      <c r="S1297">
        <v>-0.48661799999999999</v>
      </c>
      <c r="T1297">
        <v>-0.33667000000000002</v>
      </c>
      <c r="U1297">
        <v>-2.9624329999999999</v>
      </c>
      <c r="V1297">
        <v>5.0591179999999999E-2</v>
      </c>
      <c r="W1297">
        <v>-3.7983839999999998E-2</v>
      </c>
      <c r="X1297">
        <v>0.99799689999999996</v>
      </c>
      <c r="Y1297">
        <v>0.1450746</v>
      </c>
      <c r="Z1297">
        <v>0.1115626</v>
      </c>
      <c r="AA1297">
        <v>0.98311099999999996</v>
      </c>
      <c r="AB1297">
        <v>31</v>
      </c>
      <c r="AC1297">
        <v>-0.128700000000009</v>
      </c>
      <c r="AD1297">
        <v>-9.3971999999999903E-2</v>
      </c>
      <c r="AE1297">
        <v>-0.50109999999995103</v>
      </c>
      <c r="AF1297">
        <v>0.11671583799746001</v>
      </c>
      <c r="AG1297">
        <v>-9.3971999999999903E-2</v>
      </c>
      <c r="AH1297">
        <v>0.48705024579931799</v>
      </c>
      <c r="AI1297">
        <v>100.626786930023</v>
      </c>
      <c r="AJ1297">
        <v>76.523869636766804</v>
      </c>
      <c r="AK1297">
        <v>0.50957949876012998</v>
      </c>
      <c r="AL1297">
        <v>92.176837325913795</v>
      </c>
      <c r="AM1297">
        <v>87.098005044831595</v>
      </c>
      <c r="AN1297">
        <v>1.0000000260022699</v>
      </c>
    </row>
    <row r="1298" spans="1:40" x14ac:dyDescent="0.3">
      <c r="A1298" t="str">
        <f>"20200111160428441"</f>
        <v>20200111160428441</v>
      </c>
      <c r="B1298" t="str">
        <f>"1578729868431859"</f>
        <v>1578729868431859</v>
      </c>
      <c r="C1298" t="s">
        <v>40</v>
      </c>
      <c r="D1298">
        <v>5.6223409999999996</v>
      </c>
      <c r="E1298">
        <v>0.53293069999999998</v>
      </c>
      <c r="F1298" t="s">
        <v>42</v>
      </c>
      <c r="G1298">
        <v>-189.6207</v>
      </c>
      <c r="H1298">
        <v>1.017895</v>
      </c>
      <c r="I1298">
        <v>318.62200000000001</v>
      </c>
      <c r="J1298">
        <v>-189.49590000000001</v>
      </c>
      <c r="K1298">
        <v>1.1082479999999999</v>
      </c>
      <c r="L1298">
        <v>319.09390000000002</v>
      </c>
      <c r="M1298">
        <v>-1.8162919999999999E-2</v>
      </c>
      <c r="N1298">
        <v>0</v>
      </c>
      <c r="O1298">
        <v>-0.99975720000000001</v>
      </c>
      <c r="P1298">
        <v>-7.0176849999999999E-2</v>
      </c>
      <c r="Q1298">
        <v>-5.129384E-2</v>
      </c>
      <c r="R1298">
        <v>-0.99621519999999997</v>
      </c>
      <c r="S1298">
        <v>-0.49800109999999997</v>
      </c>
      <c r="T1298">
        <v>-0.34104099999999998</v>
      </c>
      <c r="U1298">
        <v>-2.959991</v>
      </c>
      <c r="V1298">
        <v>5.1892059999999997E-2</v>
      </c>
      <c r="W1298">
        <v>-3.9073539999999997E-2</v>
      </c>
      <c r="X1298">
        <v>0.997888</v>
      </c>
      <c r="Y1298">
        <v>0.1469097</v>
      </c>
      <c r="Z1298">
        <v>0.11302710000000001</v>
      </c>
      <c r="AA1298">
        <v>0.98267110000000002</v>
      </c>
      <c r="AB1298">
        <v>31</v>
      </c>
      <c r="AC1298">
        <v>-0.124799999999993</v>
      </c>
      <c r="AD1298">
        <v>-9.0352999999999906E-2</v>
      </c>
      <c r="AE1298">
        <v>-0.47190000000000498</v>
      </c>
      <c r="AF1298">
        <v>0.11235793934329801</v>
      </c>
      <c r="AG1298">
        <v>-9.0352999999999906E-2</v>
      </c>
      <c r="AH1298">
        <v>0.45838345447513201</v>
      </c>
      <c r="AI1298">
        <v>100.837847159576</v>
      </c>
      <c r="AJ1298">
        <v>76.227332778522197</v>
      </c>
      <c r="AK1298">
        <v>0.48052404984457098</v>
      </c>
      <c r="AL1298">
        <v>92.239319003015893</v>
      </c>
      <c r="AM1298">
        <v>87.023192649900196</v>
      </c>
      <c r="AN1298">
        <v>0.99999999398158701</v>
      </c>
    </row>
    <row r="1299" spans="1:40" x14ac:dyDescent="0.3">
      <c r="A1299" t="str">
        <f>"20200111160428464"</f>
        <v>20200111160428464</v>
      </c>
      <c r="B1299" t="str">
        <f>"1578729868452354"</f>
        <v>1578729868452354</v>
      </c>
      <c r="C1299" t="s">
        <v>40</v>
      </c>
      <c r="D1299">
        <v>5.584346</v>
      </c>
      <c r="E1299">
        <v>0.53249619999999998</v>
      </c>
      <c r="F1299" t="s">
        <v>55</v>
      </c>
      <c r="G1299">
        <v>-226.06180000000001</v>
      </c>
      <c r="H1299">
        <v>4.9060430000000004</v>
      </c>
      <c r="I1299">
        <v>97.150019999999998</v>
      </c>
      <c r="J1299">
        <v>-189.50360000000001</v>
      </c>
      <c r="K1299">
        <v>1.1084369999999999</v>
      </c>
      <c r="L1299">
        <v>318.78179999999998</v>
      </c>
      <c r="M1299">
        <v>-1.9955580000000001E-2</v>
      </c>
      <c r="N1299">
        <v>0</v>
      </c>
      <c r="O1299">
        <v>-0.99972019999999995</v>
      </c>
      <c r="P1299">
        <v>-7.3646500000000004E-2</v>
      </c>
      <c r="Q1299">
        <v>-5.1536319999999997E-2</v>
      </c>
      <c r="R1299">
        <v>-0.99595219999999995</v>
      </c>
      <c r="S1299">
        <v>-0.49087520000000001</v>
      </c>
      <c r="T1299">
        <v>5.0983430000000003E-2</v>
      </c>
      <c r="U1299">
        <v>-2.9794619999999998</v>
      </c>
      <c r="V1299">
        <v>5.3593210000000002E-2</v>
      </c>
      <c r="W1299">
        <v>-3.9073740000000003E-2</v>
      </c>
      <c r="X1299">
        <v>0.99779810000000002</v>
      </c>
      <c r="Y1299">
        <v>0.1428142</v>
      </c>
      <c r="Z1299">
        <v>-1.690243E-2</v>
      </c>
      <c r="AA1299">
        <v>0.98960519999999996</v>
      </c>
      <c r="AB1299">
        <v>31</v>
      </c>
      <c r="AC1299">
        <v>-36.558199999999999</v>
      </c>
      <c r="AD1299">
        <v>3.7976059999999898</v>
      </c>
      <c r="AE1299">
        <v>-221.63177999999999</v>
      </c>
      <c r="AF1299">
        <v>32.118591222172199</v>
      </c>
      <c r="AG1299">
        <v>3.7976059999999898</v>
      </c>
      <c r="AH1299">
        <v>222.25371252240501</v>
      </c>
      <c r="AI1299">
        <v>89.031155883824198</v>
      </c>
      <c r="AJ1299">
        <v>81.776932904778306</v>
      </c>
      <c r="AK1299">
        <v>224.59460911477899</v>
      </c>
      <c r="AL1299">
        <v>92.239330415235699</v>
      </c>
      <c r="AM1299">
        <v>86.925513320341395</v>
      </c>
      <c r="AN1299">
        <v>1.0000000188396501</v>
      </c>
    </row>
    <row r="1300" spans="1:40" x14ac:dyDescent="0.3">
      <c r="A1300" t="str">
        <f>"20200111160428485"</f>
        <v>20200111160428485</v>
      </c>
      <c r="B1300" t="str">
        <f>"1578729868482612"</f>
        <v>1578729868482612</v>
      </c>
      <c r="C1300" t="s">
        <v>40</v>
      </c>
      <c r="D1300">
        <v>5.6019170000000003</v>
      </c>
      <c r="E1300">
        <v>0.53174399999999999</v>
      </c>
      <c r="F1300" t="s">
        <v>42</v>
      </c>
      <c r="G1300">
        <v>-189.61600000000001</v>
      </c>
      <c r="H1300">
        <v>1.0184059999999999</v>
      </c>
      <c r="I1300">
        <v>318.06270000000001</v>
      </c>
      <c r="J1300">
        <v>-189.5112</v>
      </c>
      <c r="K1300">
        <v>1.1086180000000001</v>
      </c>
      <c r="L1300">
        <v>318.4862</v>
      </c>
      <c r="M1300">
        <v>-2.1473900000000001E-2</v>
      </c>
      <c r="N1300">
        <v>0</v>
      </c>
      <c r="O1300">
        <v>-0.99968590000000002</v>
      </c>
      <c r="P1300">
        <v>-7.7440320000000007E-2</v>
      </c>
      <c r="Q1300">
        <v>-5.028382E-2</v>
      </c>
      <c r="R1300">
        <v>-0.99572839999999996</v>
      </c>
      <c r="S1300">
        <v>-0.4618835</v>
      </c>
      <c r="T1300">
        <v>-0.37053130000000001</v>
      </c>
      <c r="U1300">
        <v>-2.9588320000000001</v>
      </c>
      <c r="V1300">
        <v>5.5896599999999998E-2</v>
      </c>
      <c r="W1300">
        <v>-3.7614929999999998E-2</v>
      </c>
      <c r="X1300">
        <v>0.99772780000000005</v>
      </c>
      <c r="Y1300">
        <v>0.1318116</v>
      </c>
      <c r="Z1300">
        <v>0.1229412</v>
      </c>
      <c r="AA1300">
        <v>0.98362150000000004</v>
      </c>
      <c r="AB1300">
        <v>31</v>
      </c>
      <c r="AC1300">
        <v>-0.104799999999983</v>
      </c>
      <c r="AD1300">
        <v>-9.0212000000000098E-2</v>
      </c>
      <c r="AE1300">
        <v>-0.42349999999999</v>
      </c>
      <c r="AF1300">
        <v>9.1757576583925402E-2</v>
      </c>
      <c r="AG1300">
        <v>-9.0212000000000098E-2</v>
      </c>
      <c r="AH1300">
        <v>0.40819951109438601</v>
      </c>
      <c r="AI1300">
        <v>102.167797349468</v>
      </c>
      <c r="AJ1300">
        <v>77.331282005853794</v>
      </c>
      <c r="AK1300">
        <v>0.42800058254896201</v>
      </c>
      <c r="AL1300">
        <v>92.155685198330303</v>
      </c>
      <c r="AM1300">
        <v>86.793419125391395</v>
      </c>
      <c r="AN1300">
        <v>1.00000003787165</v>
      </c>
    </row>
    <row r="1301" spans="1:40" x14ac:dyDescent="0.3">
      <c r="A1301" t="str">
        <f>"20200111160428507"</f>
        <v>20200111160428507</v>
      </c>
      <c r="B1301" t="str">
        <f>"1578729868502130"</f>
        <v>1578729868502130</v>
      </c>
      <c r="C1301" t="s">
        <v>40</v>
      </c>
      <c r="D1301">
        <v>5.5696560000000002</v>
      </c>
      <c r="E1301">
        <v>0.53196330000000003</v>
      </c>
      <c r="F1301" t="s">
        <v>42</v>
      </c>
      <c r="G1301">
        <v>-189.66679999999999</v>
      </c>
      <c r="H1301">
        <v>1.006016</v>
      </c>
      <c r="I1301">
        <v>317.51159999999999</v>
      </c>
      <c r="J1301">
        <v>-189.5198</v>
      </c>
      <c r="K1301">
        <v>1.1087990000000001</v>
      </c>
      <c r="L1301">
        <v>318.16680000000002</v>
      </c>
      <c r="M1301">
        <v>-2.2935569999999999E-2</v>
      </c>
      <c r="N1301">
        <v>0</v>
      </c>
      <c r="O1301">
        <v>-0.99965119999999996</v>
      </c>
      <c r="P1301">
        <v>-8.0907229999999997E-2</v>
      </c>
      <c r="Q1301">
        <v>-5.0229999999999997E-2</v>
      </c>
      <c r="R1301">
        <v>-0.99545530000000004</v>
      </c>
      <c r="S1301">
        <v>-0.47189330000000002</v>
      </c>
      <c r="T1301">
        <v>-0.3118262</v>
      </c>
      <c r="U1301">
        <v>-2.960388</v>
      </c>
      <c r="V1301">
        <v>5.7926159999999997E-2</v>
      </c>
      <c r="W1301">
        <v>-3.736014E-2</v>
      </c>
      <c r="X1301">
        <v>0.99762150000000005</v>
      </c>
      <c r="Y1301">
        <v>0.13387560000000001</v>
      </c>
      <c r="Z1301">
        <v>0.1035944</v>
      </c>
      <c r="AA1301">
        <v>0.98556860000000002</v>
      </c>
      <c r="AB1301">
        <v>31</v>
      </c>
      <c r="AC1301">
        <v>-0.146999999999991</v>
      </c>
      <c r="AD1301">
        <v>-0.102782999999999</v>
      </c>
      <c r="AE1301">
        <v>-0.65520000000003598</v>
      </c>
      <c r="AF1301">
        <v>0.12891227850421599</v>
      </c>
      <c r="AG1301">
        <v>-0.102782999999999</v>
      </c>
      <c r="AH1301">
        <v>0.64332650748138698</v>
      </c>
      <c r="AI1301">
        <v>98.903245394531794</v>
      </c>
      <c r="AJ1301">
        <v>78.668918893503303</v>
      </c>
      <c r="AK1301">
        <v>0.66411724557215601</v>
      </c>
      <c r="AL1301">
        <v>92.141076751189004</v>
      </c>
      <c r="AM1301">
        <v>86.676893846250493</v>
      </c>
      <c r="AN1301">
        <v>0.99999993866770498</v>
      </c>
    </row>
    <row r="1302" spans="1:40" x14ac:dyDescent="0.3">
      <c r="A1302" t="str">
        <f>"20200111160428531"</f>
        <v>20200111160428531</v>
      </c>
      <c r="B1302" t="str">
        <f>"1578729868521587"</f>
        <v>1578729868521587</v>
      </c>
      <c r="C1302" t="s">
        <v>40</v>
      </c>
      <c r="D1302">
        <v>5.5207420000000003</v>
      </c>
      <c r="E1302">
        <v>0.53216730000000001</v>
      </c>
      <c r="F1302" t="s">
        <v>42</v>
      </c>
      <c r="G1302">
        <v>-189.672</v>
      </c>
      <c r="H1302">
        <v>1.0052110000000001</v>
      </c>
      <c r="I1302">
        <v>317.23390000000001</v>
      </c>
      <c r="J1302">
        <v>-189.52869999999999</v>
      </c>
      <c r="K1302">
        <v>1.108949</v>
      </c>
      <c r="L1302">
        <v>317.84550000000002</v>
      </c>
      <c r="M1302">
        <v>-2.4264190000000001E-2</v>
      </c>
      <c r="N1302">
        <v>0</v>
      </c>
      <c r="O1302">
        <v>-0.99961750000000005</v>
      </c>
      <c r="P1302">
        <v>-8.3866120000000002E-2</v>
      </c>
      <c r="Q1302">
        <v>-5.0936960000000003E-2</v>
      </c>
      <c r="R1302">
        <v>-0.99517440000000001</v>
      </c>
      <c r="S1302">
        <v>-0.4823151</v>
      </c>
      <c r="T1302">
        <v>-0.32849509999999998</v>
      </c>
      <c r="U1302">
        <v>-2.957916</v>
      </c>
      <c r="V1302">
        <v>5.9576440000000001E-2</v>
      </c>
      <c r="W1302">
        <v>-3.7888360000000003E-2</v>
      </c>
      <c r="X1302">
        <v>0.99750450000000002</v>
      </c>
      <c r="Y1302">
        <v>0.13597590000000001</v>
      </c>
      <c r="Z1302">
        <v>0.10910540000000001</v>
      </c>
      <c r="AA1302">
        <v>0.98468599999999995</v>
      </c>
      <c r="AB1302">
        <v>31</v>
      </c>
      <c r="AC1302">
        <v>-0.14330000000001</v>
      </c>
      <c r="AD1302">
        <v>-0.103737999999999</v>
      </c>
      <c r="AE1302">
        <v>-0.61160000000000903</v>
      </c>
      <c r="AF1302">
        <v>0.12500721582639601</v>
      </c>
      <c r="AG1302">
        <v>-0.103737999999999</v>
      </c>
      <c r="AH1302">
        <v>0.59857249788210398</v>
      </c>
      <c r="AI1302">
        <v>99.628490314222404</v>
      </c>
      <c r="AJ1302">
        <v>78.203769107365204</v>
      </c>
      <c r="AK1302">
        <v>0.62022367890422203</v>
      </c>
      <c r="AL1302">
        <v>92.171362723940902</v>
      </c>
      <c r="AM1302">
        <v>86.582042028598195</v>
      </c>
      <c r="AN1302">
        <v>1.0000000537734</v>
      </c>
    </row>
    <row r="1303" spans="1:40" x14ac:dyDescent="0.3">
      <c r="A1303" t="str">
        <f>"20200111160428553"</f>
        <v>20200111160428553</v>
      </c>
      <c r="B1303" t="str">
        <f>"1578729868542082"</f>
        <v>1578729868542082</v>
      </c>
      <c r="C1303" t="s">
        <v>40</v>
      </c>
      <c r="D1303">
        <v>5.535253</v>
      </c>
      <c r="E1303">
        <v>0.53194750000000002</v>
      </c>
      <c r="F1303" t="s">
        <v>42</v>
      </c>
      <c r="G1303">
        <v>-189.67699999999999</v>
      </c>
      <c r="H1303">
        <v>1.0064850000000001</v>
      </c>
      <c r="I1303">
        <v>316.95549999999997</v>
      </c>
      <c r="J1303">
        <v>-189.5377</v>
      </c>
      <c r="K1303">
        <v>1.1090660000000001</v>
      </c>
      <c r="L1303">
        <v>317.53120000000001</v>
      </c>
      <c r="M1303">
        <v>-2.5442289999999999E-2</v>
      </c>
      <c r="N1303">
        <v>0</v>
      </c>
      <c r="O1303">
        <v>-0.99958670000000005</v>
      </c>
      <c r="P1303">
        <v>-8.6437659999999999E-2</v>
      </c>
      <c r="Q1303">
        <v>-5.2266470000000002E-2</v>
      </c>
      <c r="R1303">
        <v>-0.99488580000000004</v>
      </c>
      <c r="S1303">
        <v>-0.49208069999999998</v>
      </c>
      <c r="T1303">
        <v>-0.3403912</v>
      </c>
      <c r="U1303">
        <v>-2.9556580000000001</v>
      </c>
      <c r="V1303">
        <v>6.0986520000000002E-2</v>
      </c>
      <c r="W1303">
        <v>-3.9064880000000003E-2</v>
      </c>
      <c r="X1303">
        <v>0.99737379999999998</v>
      </c>
      <c r="Y1303">
        <v>0.138022799999999</v>
      </c>
      <c r="Z1303">
        <v>0.1130398</v>
      </c>
      <c r="AA1303">
        <v>0.98395719999999998</v>
      </c>
      <c r="AB1303">
        <v>31</v>
      </c>
      <c r="AC1303">
        <v>-0.13930000000001899</v>
      </c>
      <c r="AD1303">
        <v>-0.10258099999999901</v>
      </c>
      <c r="AE1303">
        <v>-0.57570000000003996</v>
      </c>
      <c r="AF1303">
        <v>0.120977879205986</v>
      </c>
      <c r="AG1303">
        <v>-0.10258099999999901</v>
      </c>
      <c r="AH1303">
        <v>0.56219567240729296</v>
      </c>
      <c r="AI1303">
        <v>100.11413159961801</v>
      </c>
      <c r="AJ1303">
        <v>77.855813157028905</v>
      </c>
      <c r="AK1303">
        <v>0.58414251933211203</v>
      </c>
      <c r="AL1303">
        <v>92.238822521473907</v>
      </c>
      <c r="AM1303">
        <v>86.500885667481796</v>
      </c>
      <c r="AN1303">
        <v>0.999999958698781</v>
      </c>
    </row>
    <row r="1304" spans="1:40" x14ac:dyDescent="0.3">
      <c r="A1304" t="str">
        <f>"20200111160428665"</f>
        <v>20200111160428665</v>
      </c>
      <c r="B1304" t="str">
        <f>"1578729868662131"</f>
        <v>1578729868662131</v>
      </c>
      <c r="C1304" t="s">
        <v>40</v>
      </c>
      <c r="D1304">
        <v>5.5995080000000002</v>
      </c>
      <c r="E1304">
        <v>0.48985400000000001</v>
      </c>
      <c r="F1304" t="s">
        <v>42</v>
      </c>
      <c r="G1304">
        <v>-189.7022</v>
      </c>
      <c r="H1304">
        <v>1.0208630000000001</v>
      </c>
      <c r="I1304">
        <v>315.565</v>
      </c>
      <c r="J1304">
        <v>-189.58510000000001</v>
      </c>
      <c r="K1304">
        <v>1.109442</v>
      </c>
      <c r="L1304">
        <v>315.9984</v>
      </c>
      <c r="M1304">
        <v>-3.011923E-2</v>
      </c>
      <c r="N1304">
        <v>0</v>
      </c>
      <c r="O1304">
        <v>-0.99945010000000001</v>
      </c>
      <c r="P1304">
        <v>-9.3344410000000003E-2</v>
      </c>
      <c r="Q1304">
        <v>-5.2676550000000003E-2</v>
      </c>
      <c r="R1304">
        <v>-0.99423969999999995</v>
      </c>
      <c r="S1304">
        <v>-0.51014709999999996</v>
      </c>
      <c r="T1304">
        <v>-0.35652630000000002</v>
      </c>
      <c r="U1304">
        <v>-2.9504999999999999</v>
      </c>
      <c r="V1304">
        <v>6.3277390000000003E-2</v>
      </c>
      <c r="W1304">
        <v>-3.8963310000000001E-2</v>
      </c>
      <c r="X1304">
        <v>0.99723510000000004</v>
      </c>
      <c r="Y1304">
        <v>0.1394164</v>
      </c>
      <c r="Z1304">
        <v>0.1184311</v>
      </c>
      <c r="AA1304">
        <v>0.98312619999999895</v>
      </c>
      <c r="AB1304">
        <v>31</v>
      </c>
      <c r="AC1304">
        <v>-0.117099999999993</v>
      </c>
      <c r="AD1304">
        <v>-8.8579000000000102E-2</v>
      </c>
      <c r="AE1304">
        <v>-0.433400000000006</v>
      </c>
      <c r="AF1304">
        <v>0.10009523722421999</v>
      </c>
      <c r="AG1304">
        <v>-8.8579000000000102E-2</v>
      </c>
      <c r="AH1304">
        <v>0.42036584154686801</v>
      </c>
      <c r="AI1304">
        <v>101.584449783306</v>
      </c>
      <c r="AJ1304">
        <v>76.606453311713693</v>
      </c>
      <c r="AK1304">
        <v>0.44110399736953199</v>
      </c>
      <c r="AL1304">
        <v>92.232998448895401</v>
      </c>
      <c r="AM1304">
        <v>86.369288112321797</v>
      </c>
      <c r="AN1304">
        <v>1.0000000061416801</v>
      </c>
    </row>
    <row r="1305" spans="1:40" x14ac:dyDescent="0.3">
      <c r="A1305" t="str">
        <f>"20200111160428686"</f>
        <v>20200111160428686</v>
      </c>
      <c r="B1305" t="str">
        <f>"1578729868681651"</f>
        <v>1578729868681651</v>
      </c>
      <c r="C1305" t="s">
        <v>40</v>
      </c>
      <c r="D1305">
        <v>5.5719770000000004</v>
      </c>
      <c r="E1305">
        <v>0.4902396</v>
      </c>
      <c r="F1305" t="s">
        <v>42</v>
      </c>
      <c r="G1305">
        <v>-189.6455</v>
      </c>
      <c r="H1305">
        <v>0.99967119999999998</v>
      </c>
      <c r="I1305">
        <v>315.02210000000002</v>
      </c>
      <c r="J1305">
        <v>-189.5951</v>
      </c>
      <c r="K1305">
        <v>1.109475</v>
      </c>
      <c r="L1305">
        <v>315.7</v>
      </c>
      <c r="M1305">
        <v>-3.094852E-2</v>
      </c>
      <c r="N1305">
        <v>0</v>
      </c>
      <c r="O1305">
        <v>-0.99942399999999998</v>
      </c>
      <c r="P1305">
        <v>-9.400741E-2</v>
      </c>
      <c r="Q1305">
        <v>-5.2365960000000003E-2</v>
      </c>
      <c r="R1305">
        <v>-0.99419389999999996</v>
      </c>
      <c r="S1305">
        <v>-0.1843262</v>
      </c>
      <c r="T1305">
        <v>-0.33536100000000002</v>
      </c>
      <c r="U1305">
        <v>-2.9823300000000001</v>
      </c>
      <c r="V1305">
        <v>6.3117279999999998E-2</v>
      </c>
      <c r="W1305">
        <v>-3.8591390000000003E-2</v>
      </c>
      <c r="X1305">
        <v>0.99725969999999997</v>
      </c>
      <c r="Y1305">
        <v>3.0381209999999999E-2</v>
      </c>
      <c r="Z1305">
        <v>0.11153440000000001</v>
      </c>
      <c r="AA1305">
        <v>0.99329610000000002</v>
      </c>
      <c r="AB1305">
        <v>31</v>
      </c>
      <c r="AC1305">
        <v>-5.0399999999996198E-2</v>
      </c>
      <c r="AD1305">
        <v>-0.10980379999999999</v>
      </c>
      <c r="AE1305">
        <v>-0.67789999999996498</v>
      </c>
      <c r="AF1305">
        <v>2.8646372297406301E-2</v>
      </c>
      <c r="AG1305">
        <v>-0.10980379999999999</v>
      </c>
      <c r="AH1305">
        <v>0.66186568124852596</v>
      </c>
      <c r="AI1305">
        <v>99.410948575045296</v>
      </c>
      <c r="AJ1305">
        <v>87.521713916158504</v>
      </c>
      <c r="AK1305">
        <v>0.671523394346628</v>
      </c>
      <c r="AL1305">
        <v>92.211672981561705</v>
      </c>
      <c r="AM1305">
        <v>86.378539474831001</v>
      </c>
      <c r="AN1305">
        <v>0.99999999783041005</v>
      </c>
    </row>
    <row r="1306" spans="1:40" x14ac:dyDescent="0.3">
      <c r="A1306" t="str">
        <f>"20200111160428708"</f>
        <v>20200111160428708</v>
      </c>
      <c r="B1306" t="str">
        <f>"1578729868702148"</f>
        <v>1578729868702148</v>
      </c>
      <c r="C1306" t="s">
        <v>40</v>
      </c>
      <c r="D1306">
        <v>5.6087939999999996</v>
      </c>
      <c r="E1306">
        <v>0.49066749999999998</v>
      </c>
      <c r="F1306" t="s">
        <v>42</v>
      </c>
      <c r="G1306">
        <v>-189.6557</v>
      </c>
      <c r="H1306">
        <v>1.000937</v>
      </c>
      <c r="I1306">
        <v>314.74650000000003</v>
      </c>
      <c r="J1306">
        <v>-189.60579999999999</v>
      </c>
      <c r="K1306">
        <v>1.1094999999999999</v>
      </c>
      <c r="L1306">
        <v>315.38479999999998</v>
      </c>
      <c r="M1306">
        <v>-3.1822700000000002E-2</v>
      </c>
      <c r="N1306">
        <v>0</v>
      </c>
      <c r="O1306">
        <v>-0.99939579999999995</v>
      </c>
      <c r="P1306">
        <v>-9.4539419999999999E-2</v>
      </c>
      <c r="Q1306">
        <v>-5.388196E-2</v>
      </c>
      <c r="R1306">
        <v>-0.994062</v>
      </c>
      <c r="S1306">
        <v>-0.18882750000000001</v>
      </c>
      <c r="T1306">
        <v>-0.33960430000000003</v>
      </c>
      <c r="U1306">
        <v>-2.9817809999999998</v>
      </c>
      <c r="V1306">
        <v>6.2780050000000004E-2</v>
      </c>
      <c r="W1306">
        <v>-4.0053499999999999E-2</v>
      </c>
      <c r="X1306">
        <v>0.99722330000000003</v>
      </c>
      <c r="Y1306">
        <v>3.100178E-2</v>
      </c>
      <c r="Z1306">
        <v>0.1129372</v>
      </c>
      <c r="AA1306">
        <v>0.99311830000000001</v>
      </c>
      <c r="AB1306">
        <v>31</v>
      </c>
      <c r="AC1306">
        <v>-4.9900000000008E-2</v>
      </c>
      <c r="AD1306">
        <v>-0.10856299999999899</v>
      </c>
      <c r="AE1306">
        <v>-0.63829999999995801</v>
      </c>
      <c r="AF1306">
        <v>2.8734144737466501E-2</v>
      </c>
      <c r="AG1306">
        <v>-0.10856299999999899</v>
      </c>
      <c r="AH1306">
        <v>0.62168994406887601</v>
      </c>
      <c r="AI1306">
        <v>99.895077567191606</v>
      </c>
      <c r="AJ1306">
        <v>87.353705957327904</v>
      </c>
      <c r="AK1306">
        <v>0.63175150383608603</v>
      </c>
      <c r="AL1306">
        <v>92.295510641793399</v>
      </c>
      <c r="AM1306">
        <v>86.397706395907306</v>
      </c>
      <c r="AN1306">
        <v>0.99999996380156997</v>
      </c>
    </row>
    <row r="1307" spans="1:40" x14ac:dyDescent="0.3">
      <c r="A1307" t="str">
        <f>"20200111160428732"</f>
        <v>20200111160428732</v>
      </c>
      <c r="B1307" t="str">
        <f>"1578729868721668"</f>
        <v>1578729868721668</v>
      </c>
      <c r="C1307" t="s">
        <v>40</v>
      </c>
      <c r="D1307">
        <v>5.9293250000000004</v>
      </c>
      <c r="E1307">
        <v>0.49068600000000001</v>
      </c>
      <c r="F1307" t="s">
        <v>42</v>
      </c>
      <c r="G1307">
        <v>-189.66550000000001</v>
      </c>
      <c r="H1307">
        <v>1.0056210000000001</v>
      </c>
      <c r="I1307">
        <v>314.46949999999998</v>
      </c>
      <c r="J1307">
        <v>-189.61689999999999</v>
      </c>
      <c r="K1307">
        <v>1.10951</v>
      </c>
      <c r="L1307">
        <v>315.06700000000001</v>
      </c>
      <c r="M1307">
        <v>-3.2707689999999998E-2</v>
      </c>
      <c r="N1307">
        <v>0</v>
      </c>
      <c r="O1307">
        <v>-0.99936659999999999</v>
      </c>
      <c r="P1307">
        <v>-9.5918660000000003E-2</v>
      </c>
      <c r="Q1307">
        <v>-5.544719E-2</v>
      </c>
      <c r="R1307">
        <v>-0.99384399999999995</v>
      </c>
      <c r="S1307">
        <v>-0.19416810000000001</v>
      </c>
      <c r="T1307">
        <v>-0.33838459999999998</v>
      </c>
      <c r="U1307">
        <v>-2.9811399999999999</v>
      </c>
      <c r="V1307">
        <v>6.3281249999999997E-2</v>
      </c>
      <c r="W1307">
        <v>-4.1575149999999998E-2</v>
      </c>
      <c r="X1307">
        <v>0.99712940000000005</v>
      </c>
      <c r="Y1307">
        <v>3.1904790000000002E-2</v>
      </c>
      <c r="Z1307">
        <v>0.11254790000000001</v>
      </c>
      <c r="AA1307">
        <v>0.99313399999999996</v>
      </c>
      <c r="AB1307">
        <v>31</v>
      </c>
      <c r="AC1307">
        <v>-4.8600000000021702E-2</v>
      </c>
      <c r="AD1307">
        <v>-0.103889</v>
      </c>
      <c r="AE1307">
        <v>-0.59750000000002501</v>
      </c>
      <c r="AF1307">
        <v>2.81828099709465E-2</v>
      </c>
      <c r="AG1307">
        <v>-0.103889</v>
      </c>
      <c r="AH1307">
        <v>0.58131144384366695</v>
      </c>
      <c r="AI1307">
        <v>100.120994866063</v>
      </c>
      <c r="AJ1307">
        <v>87.224391966673906</v>
      </c>
      <c r="AK1307">
        <v>0.59119386823821796</v>
      </c>
      <c r="AL1307">
        <v>92.382767337273407</v>
      </c>
      <c r="AM1307">
        <v>86.368683362173002</v>
      </c>
      <c r="AN1307">
        <v>1.00000002502172</v>
      </c>
    </row>
    <row r="1308" spans="1:40" x14ac:dyDescent="0.3">
      <c r="A1308" t="str">
        <f>"20200111160428754"</f>
        <v>20200111160428754</v>
      </c>
      <c r="B1308" t="str">
        <f>"1578729868751923"</f>
        <v>1578729868751923</v>
      </c>
      <c r="C1308" t="s">
        <v>40</v>
      </c>
      <c r="D1308">
        <v>5.5807769999999897</v>
      </c>
      <c r="E1308">
        <v>0.49032340000000002</v>
      </c>
      <c r="F1308" t="s">
        <v>42</v>
      </c>
      <c r="G1308">
        <v>-189.6748</v>
      </c>
      <c r="H1308">
        <v>1.006454</v>
      </c>
      <c r="I1308">
        <v>314.19459999999998</v>
      </c>
      <c r="J1308">
        <v>-189.62799999999999</v>
      </c>
      <c r="K1308">
        <v>1.1095109999999999</v>
      </c>
      <c r="L1308">
        <v>314.75729999999999</v>
      </c>
      <c r="M1308">
        <v>-3.3576519999999999E-2</v>
      </c>
      <c r="N1308">
        <v>0</v>
      </c>
      <c r="O1308">
        <v>-0.99933700000000003</v>
      </c>
      <c r="P1308">
        <v>-9.7962129999999994E-2</v>
      </c>
      <c r="Q1308">
        <v>-5.7655339999999999E-2</v>
      </c>
      <c r="R1308">
        <v>-0.99351869999999998</v>
      </c>
      <c r="S1308">
        <v>-0.1973724</v>
      </c>
      <c r="T1308">
        <v>-0.35212929999999998</v>
      </c>
      <c r="U1308">
        <v>-2.979889</v>
      </c>
      <c r="V1308">
        <v>6.4464869999999994E-2</v>
      </c>
      <c r="W1308">
        <v>-4.3749929999999999E-2</v>
      </c>
      <c r="X1308">
        <v>0.99696050000000003</v>
      </c>
      <c r="Y1308">
        <v>3.2091450000000001E-2</v>
      </c>
      <c r="Z1308">
        <v>0.1170968</v>
      </c>
      <c r="AA1308">
        <v>0.99260190000000004</v>
      </c>
      <c r="AB1308">
        <v>31</v>
      </c>
      <c r="AC1308">
        <v>-4.6800000000018799E-2</v>
      </c>
      <c r="AD1308">
        <v>-0.103056999999999</v>
      </c>
      <c r="AE1308">
        <v>-0.56270000000000597</v>
      </c>
      <c r="AF1308">
        <v>2.6979472423203602E-2</v>
      </c>
      <c r="AG1308">
        <v>-0.103056999999999</v>
      </c>
      <c r="AH1308">
        <v>0.54577312303804704</v>
      </c>
      <c r="AI1308">
        <v>100.68037600021999</v>
      </c>
      <c r="AJ1308">
        <v>87.169973142393104</v>
      </c>
      <c r="AK1308">
        <v>0.55607278211753597</v>
      </c>
      <c r="AL1308">
        <v>92.507486670974103</v>
      </c>
      <c r="AM1308">
        <v>86.300324702361195</v>
      </c>
      <c r="AN1308">
        <v>1.00000000719968</v>
      </c>
    </row>
    <row r="1309" spans="1:40" x14ac:dyDescent="0.3">
      <c r="A1309" t="str">
        <f>"20200111160428777"</f>
        <v>20200111160428777</v>
      </c>
      <c r="B1309" t="str">
        <f>"1578729868772420"</f>
        <v>1578729868772420</v>
      </c>
      <c r="C1309" t="s">
        <v>40</v>
      </c>
      <c r="D1309">
        <v>5.6009650000000004</v>
      </c>
      <c r="E1309">
        <v>0.49032979999999998</v>
      </c>
      <c r="F1309" t="s">
        <v>42</v>
      </c>
      <c r="G1309">
        <v>-189.68459999999999</v>
      </c>
      <c r="H1309">
        <v>1.0087429999999999</v>
      </c>
      <c r="I1309">
        <v>313.91950000000003</v>
      </c>
      <c r="J1309">
        <v>-189.63929999999999</v>
      </c>
      <c r="K1309">
        <v>1.1095159999999999</v>
      </c>
      <c r="L1309">
        <v>314.45049999999998</v>
      </c>
      <c r="M1309">
        <v>-3.4442750000000001E-2</v>
      </c>
      <c r="N1309">
        <v>0</v>
      </c>
      <c r="O1309">
        <v>-0.99930730000000001</v>
      </c>
      <c r="P1309">
        <v>-0.1006066</v>
      </c>
      <c r="Q1309">
        <v>-5.871585E-2</v>
      </c>
      <c r="R1309">
        <v>-0.99319230000000003</v>
      </c>
      <c r="S1309">
        <v>-0.2004242</v>
      </c>
      <c r="T1309">
        <v>-0.35845159999999998</v>
      </c>
      <c r="U1309">
        <v>-2.9790040000000002</v>
      </c>
      <c r="V1309">
        <v>6.6254090000000002E-2</v>
      </c>
      <c r="W1309">
        <v>-4.4783919999999998E-2</v>
      </c>
      <c r="X1309">
        <v>0.9967973</v>
      </c>
      <c r="Y1309">
        <v>3.2240100000000001E-2</v>
      </c>
      <c r="Z1309">
        <v>0.11919489999999899</v>
      </c>
      <c r="AA1309">
        <v>0.99234730000000004</v>
      </c>
      <c r="AB1309">
        <v>31</v>
      </c>
      <c r="AC1309">
        <v>-4.5299999999997398E-2</v>
      </c>
      <c r="AD1309">
        <v>-0.100773</v>
      </c>
      <c r="AE1309">
        <v>-0.53099999999994896</v>
      </c>
      <c r="AF1309">
        <v>2.6050727970074499E-2</v>
      </c>
      <c r="AG1309">
        <v>-0.100773</v>
      </c>
      <c r="AH1309">
        <v>0.51387126496151503</v>
      </c>
      <c r="AI1309">
        <v>101.081341063534</v>
      </c>
      <c r="AJ1309">
        <v>87.097872202925203</v>
      </c>
      <c r="AK1309">
        <v>0.52430669928002904</v>
      </c>
      <c r="AL1309">
        <v>92.566788006969205</v>
      </c>
      <c r="AM1309">
        <v>86.197316822217701</v>
      </c>
      <c r="AN1309">
        <v>1.00000003060979</v>
      </c>
    </row>
    <row r="1310" spans="1:40" x14ac:dyDescent="0.3">
      <c r="A1310" t="str">
        <f>"20200111160428798"</f>
        <v>20200111160428798</v>
      </c>
      <c r="B1310" t="str">
        <f>"1578729868791939"</f>
        <v>1578729868791939</v>
      </c>
      <c r="C1310" t="s">
        <v>40</v>
      </c>
      <c r="D1310">
        <v>5.6228989999999897</v>
      </c>
      <c r="E1310">
        <v>0.49015330000000001</v>
      </c>
      <c r="F1310" t="s">
        <v>42</v>
      </c>
      <c r="G1310">
        <v>-189.69589999999999</v>
      </c>
      <c r="H1310">
        <v>1.012302</v>
      </c>
      <c r="I1310">
        <v>313.64409999999998</v>
      </c>
      <c r="J1310">
        <v>-189.65029999999999</v>
      </c>
      <c r="K1310">
        <v>1.1095219999999999</v>
      </c>
      <c r="L1310">
        <v>314.1585</v>
      </c>
      <c r="M1310">
        <v>-3.5270339999999997E-2</v>
      </c>
      <c r="N1310">
        <v>0</v>
      </c>
      <c r="O1310">
        <v>-0.99927790000000005</v>
      </c>
      <c r="P1310">
        <v>-0.1037836</v>
      </c>
      <c r="Q1310">
        <v>-5.774195E-2</v>
      </c>
      <c r="R1310">
        <v>-0.99292250000000004</v>
      </c>
      <c r="S1310">
        <v>-0.208374</v>
      </c>
      <c r="T1310">
        <v>-0.3591934</v>
      </c>
      <c r="U1310">
        <v>-2.97818</v>
      </c>
      <c r="V1310">
        <v>6.8615869999999995E-2</v>
      </c>
      <c r="W1310">
        <v>-4.3789910000000001E-2</v>
      </c>
      <c r="X1310">
        <v>0.99668159999999895</v>
      </c>
      <c r="Y1310">
        <v>3.4065030000000003E-2</v>
      </c>
      <c r="Z1310">
        <v>0.119451</v>
      </c>
      <c r="AA1310">
        <v>0.99225549999999996</v>
      </c>
      <c r="AB1310">
        <v>31</v>
      </c>
      <c r="AC1310">
        <v>-4.5600000000007399E-2</v>
      </c>
      <c r="AD1310">
        <v>-9.7219999999999807E-2</v>
      </c>
      <c r="AE1310">
        <v>-0.51440000000002295</v>
      </c>
      <c r="AF1310">
        <v>2.6487978949907599E-2</v>
      </c>
      <c r="AG1310">
        <v>-9.7219999999999807E-2</v>
      </c>
      <c r="AH1310">
        <v>0.49803727210027599</v>
      </c>
      <c r="AI1310">
        <v>101.030388010449</v>
      </c>
      <c r="AJ1310">
        <v>86.955607619609694</v>
      </c>
      <c r="AK1310">
        <v>0.50812839502426399</v>
      </c>
      <c r="AL1310">
        <v>92.509779690237906</v>
      </c>
      <c r="AM1310">
        <v>86.0617248762495</v>
      </c>
      <c r="AN1310">
        <v>0.99999995280611098</v>
      </c>
    </row>
    <row r="1311" spans="1:40" x14ac:dyDescent="0.3">
      <c r="A1311" t="str">
        <f>"20200111160428821"</f>
        <v>20200111160428821</v>
      </c>
      <c r="B1311" t="str">
        <f>"1578729868812435"</f>
        <v>1578729868812435</v>
      </c>
      <c r="C1311" t="s">
        <v>40</v>
      </c>
      <c r="D1311">
        <v>5.7572400000000004</v>
      </c>
      <c r="E1311">
        <v>0.49024450000000003</v>
      </c>
      <c r="F1311" t="s">
        <v>42</v>
      </c>
      <c r="G1311">
        <v>-189.70769999999999</v>
      </c>
      <c r="H1311">
        <v>1.015544</v>
      </c>
      <c r="I1311">
        <v>313.36919999999998</v>
      </c>
      <c r="J1311">
        <v>-189.66239999999999</v>
      </c>
      <c r="K1311">
        <v>1.109537</v>
      </c>
      <c r="L1311">
        <v>313.8442</v>
      </c>
      <c r="M1311">
        <v>-3.6162720000000002E-2</v>
      </c>
      <c r="N1311">
        <v>0</v>
      </c>
      <c r="O1311">
        <v>-0.99924599999999997</v>
      </c>
      <c r="P1311">
        <v>-0.10745730000000001</v>
      </c>
      <c r="Q1311">
        <v>-5.6210349999999999E-2</v>
      </c>
      <c r="R1311">
        <v>-0.99261969999999999</v>
      </c>
      <c r="S1311">
        <v>-0.21653749999999999</v>
      </c>
      <c r="T1311">
        <v>-0.35459590000000002</v>
      </c>
      <c r="U1311">
        <v>-2.9781490000000002</v>
      </c>
      <c r="V1311">
        <v>7.1411840000000004E-2</v>
      </c>
      <c r="W1311">
        <v>-4.2241229999999998E-2</v>
      </c>
      <c r="X1311">
        <v>0.99655210000000005</v>
      </c>
      <c r="Y1311">
        <v>3.5892529999999999E-2</v>
      </c>
      <c r="Z1311">
        <v>0.117924</v>
      </c>
      <c r="AA1311">
        <v>0.99237379999999997</v>
      </c>
      <c r="AB1311">
        <v>31</v>
      </c>
      <c r="AC1311">
        <v>-4.5299999999997398E-2</v>
      </c>
      <c r="AD1311">
        <v>-9.3992999999999993E-2</v>
      </c>
      <c r="AE1311">
        <v>-0.47500000000002202</v>
      </c>
      <c r="AF1311">
        <v>2.70420294108536E-2</v>
      </c>
      <c r="AG1311">
        <v>-9.3992999999999993E-2</v>
      </c>
      <c r="AH1311">
        <v>0.45853479500239702</v>
      </c>
      <c r="AI1311">
        <v>101.56477963051201</v>
      </c>
      <c r="AJ1311">
        <v>86.6248982010476</v>
      </c>
      <c r="AK1311">
        <v>0.46884977725444998</v>
      </c>
      <c r="AL1311">
        <v>92.420964454760593</v>
      </c>
      <c r="AM1311">
        <v>85.901252841573097</v>
      </c>
      <c r="AN1311">
        <v>1.00000003020925</v>
      </c>
    </row>
    <row r="1312" spans="1:40" x14ac:dyDescent="0.3">
      <c r="A1312" t="str">
        <f>"20200111160428844"</f>
        <v>20200111160428844</v>
      </c>
      <c r="B1312" t="str">
        <f>"1578729868831573"</f>
        <v>1578729868831573</v>
      </c>
      <c r="C1312" t="s">
        <v>40</v>
      </c>
      <c r="D1312">
        <v>5.766788</v>
      </c>
      <c r="E1312">
        <v>0.48998219999999998</v>
      </c>
      <c r="F1312" t="s">
        <v>42</v>
      </c>
      <c r="G1312">
        <v>-189.7201</v>
      </c>
      <c r="H1312">
        <v>1.021191</v>
      </c>
      <c r="I1312">
        <v>313.09339999999997</v>
      </c>
      <c r="J1312">
        <v>-189.67420000000001</v>
      </c>
      <c r="K1312">
        <v>1.1095410000000001</v>
      </c>
      <c r="L1312">
        <v>313.54230000000001</v>
      </c>
      <c r="M1312">
        <v>-3.7020310000000001E-2</v>
      </c>
      <c r="N1312">
        <v>0</v>
      </c>
      <c r="O1312">
        <v>-0.99921409999999999</v>
      </c>
      <c r="P1312">
        <v>-0.111428</v>
      </c>
      <c r="Q1312">
        <v>-5.4694369999999999E-2</v>
      </c>
      <c r="R1312">
        <v>-0.99226639999999999</v>
      </c>
      <c r="S1312">
        <v>-0.2279968</v>
      </c>
      <c r="T1312">
        <v>-0.35056979999999999</v>
      </c>
      <c r="U1312">
        <v>-2.977814</v>
      </c>
      <c r="V1312">
        <v>7.454115E-2</v>
      </c>
      <c r="W1312">
        <v>-4.0713760000000002E-2</v>
      </c>
      <c r="X1312">
        <v>0.99638649999999995</v>
      </c>
      <c r="Y1312">
        <v>3.8852539999999998E-2</v>
      </c>
      <c r="Z1312">
        <v>0.116588</v>
      </c>
      <c r="AA1312">
        <v>0.99242010000000003</v>
      </c>
      <c r="AB1312">
        <v>31</v>
      </c>
      <c r="AC1312">
        <v>-4.5899999999988901E-2</v>
      </c>
      <c r="AD1312">
        <v>-8.8349999999999901E-2</v>
      </c>
      <c r="AE1312">
        <v>-0.44890000000003699</v>
      </c>
      <c r="AF1312">
        <v>2.81685981854643E-2</v>
      </c>
      <c r="AG1312">
        <v>-8.8349999999999901E-2</v>
      </c>
      <c r="AH1312">
        <v>0.43366694879933199</v>
      </c>
      <c r="AI1312">
        <v>101.491584841077</v>
      </c>
      <c r="AJ1312">
        <v>86.283604871488293</v>
      </c>
      <c r="AK1312">
        <v>0.443470647173696</v>
      </c>
      <c r="AL1312">
        <v>92.333371496734699</v>
      </c>
      <c r="AM1312">
        <v>85.721587731037403</v>
      </c>
      <c r="AN1312">
        <v>1.0000000253394501</v>
      </c>
    </row>
    <row r="1313" spans="1:40" x14ac:dyDescent="0.3">
      <c r="A1313" t="str">
        <f>"20200111160428866"</f>
        <v>20200111160428866</v>
      </c>
      <c r="B1313" t="str">
        <f>"1578729868861831"</f>
        <v>1578729868861831</v>
      </c>
      <c r="C1313" t="s">
        <v>40</v>
      </c>
      <c r="D1313">
        <v>5.7077770000000001</v>
      </c>
      <c r="E1313">
        <v>0.48992959999999902</v>
      </c>
      <c r="F1313" t="s">
        <v>42</v>
      </c>
      <c r="G1313">
        <v>-189.73220000000001</v>
      </c>
      <c r="H1313">
        <v>1.0258929999999999</v>
      </c>
      <c r="I1313">
        <v>312.8184</v>
      </c>
      <c r="J1313">
        <v>-189.6865</v>
      </c>
      <c r="K1313">
        <v>1.109537</v>
      </c>
      <c r="L1313">
        <v>313.2362</v>
      </c>
      <c r="M1313">
        <v>-3.7889399999999997E-2</v>
      </c>
      <c r="N1313">
        <v>0</v>
      </c>
      <c r="O1313">
        <v>-0.99918130000000005</v>
      </c>
      <c r="P1313">
        <v>-0.1151563</v>
      </c>
      <c r="Q1313">
        <v>-5.5098069999999999E-2</v>
      </c>
      <c r="R1313">
        <v>-0.99181830000000004</v>
      </c>
      <c r="S1313">
        <v>-0.23806759999999999</v>
      </c>
      <c r="T1313">
        <v>-0.34419749999999999</v>
      </c>
      <c r="U1313">
        <v>-2.9776310000000001</v>
      </c>
      <c r="V1313">
        <v>7.7417169999999993E-2</v>
      </c>
      <c r="W1313">
        <v>-4.1109979999999997E-2</v>
      </c>
      <c r="X1313">
        <v>0.99615089999999995</v>
      </c>
      <c r="Y1313">
        <v>4.1343600000000001E-2</v>
      </c>
      <c r="Z1313">
        <v>0.1144777</v>
      </c>
      <c r="AA1313">
        <v>0.99256520000000004</v>
      </c>
      <c r="AB1313">
        <v>31</v>
      </c>
      <c r="AC1313">
        <v>-4.5700000000010697E-2</v>
      </c>
      <c r="AD1313">
        <v>-8.3643999999999996E-2</v>
      </c>
      <c r="AE1313">
        <v>-0.41779999999999901</v>
      </c>
      <c r="AF1313">
        <v>2.8698735550892002E-2</v>
      </c>
      <c r="AG1313">
        <v>-8.3643999999999996E-2</v>
      </c>
      <c r="AH1313">
        <v>0.403259904685697</v>
      </c>
      <c r="AI1313">
        <v>101.689355654953</v>
      </c>
      <c r="AJ1313">
        <v>85.929303136738696</v>
      </c>
      <c r="AK1313">
        <v>0.412841963571216</v>
      </c>
      <c r="AL1313">
        <v>92.356092236834698</v>
      </c>
      <c r="AM1313">
        <v>85.556115956893606</v>
      </c>
      <c r="AN1313">
        <v>1.0000000321186</v>
      </c>
    </row>
    <row r="1314" spans="1:40" x14ac:dyDescent="0.3">
      <c r="A1314" t="str">
        <f>"20200111160428890"</f>
        <v>20200111160428890</v>
      </c>
      <c r="B1314" t="str">
        <f>"1578729868882326"</f>
        <v>1578729868882326</v>
      </c>
      <c r="C1314" t="s">
        <v>40</v>
      </c>
      <c r="D1314">
        <v>6.1761589999999904</v>
      </c>
      <c r="E1314">
        <v>0.4898188</v>
      </c>
      <c r="F1314" t="s">
        <v>42</v>
      </c>
      <c r="G1314">
        <v>-189.76650000000001</v>
      </c>
      <c r="H1314">
        <v>1.002804</v>
      </c>
      <c r="I1314">
        <v>312.286</v>
      </c>
      <c r="J1314">
        <v>-189.69980000000001</v>
      </c>
      <c r="K1314">
        <v>1.1095280000000001</v>
      </c>
      <c r="L1314">
        <v>312.91370000000001</v>
      </c>
      <c r="M1314">
        <v>-3.8805510000000001E-2</v>
      </c>
      <c r="N1314">
        <v>0</v>
      </c>
      <c r="O1314">
        <v>-0.99914599999999998</v>
      </c>
      <c r="P1314">
        <v>-0.1181208</v>
      </c>
      <c r="Q1314">
        <v>-5.6589140000000003E-2</v>
      </c>
      <c r="R1314">
        <v>-0.99138570000000004</v>
      </c>
      <c r="S1314">
        <v>-0.25009160000000002</v>
      </c>
      <c r="T1314">
        <v>-0.33447969999999999</v>
      </c>
      <c r="U1314">
        <v>-2.9771420000000002</v>
      </c>
      <c r="V1314">
        <v>7.9480980000000007E-2</v>
      </c>
      <c r="W1314">
        <v>-4.2594069999999998E-2</v>
      </c>
      <c r="X1314">
        <v>0.99592599999999998</v>
      </c>
      <c r="Y1314">
        <v>4.4452690000000003E-2</v>
      </c>
      <c r="Z1314">
        <v>0.11127289999999999</v>
      </c>
      <c r="AA1314">
        <v>0.99279519999999999</v>
      </c>
      <c r="AB1314">
        <v>30</v>
      </c>
      <c r="AC1314">
        <v>-6.6699999999997303E-2</v>
      </c>
      <c r="AD1314">
        <v>-0.106724</v>
      </c>
      <c r="AE1314">
        <v>-0.62770000000000403</v>
      </c>
      <c r="AF1314">
        <v>4.11138249953268E-2</v>
      </c>
      <c r="AG1314">
        <v>-0.106724</v>
      </c>
      <c r="AH1314">
        <v>0.61231252613211096</v>
      </c>
      <c r="AI1314">
        <v>99.865361381435505</v>
      </c>
      <c r="AJ1314">
        <v>86.158631465238997</v>
      </c>
      <c r="AK1314">
        <v>0.62290206970280104</v>
      </c>
      <c r="AL1314">
        <v>92.441198886754194</v>
      </c>
      <c r="AM1314">
        <v>85.437117337548699</v>
      </c>
      <c r="AN1314">
        <v>1.00000003922846</v>
      </c>
    </row>
    <row r="1315" spans="1:40" x14ac:dyDescent="0.3">
      <c r="A1315" t="str">
        <f>"20200111160428911"</f>
        <v>20200111160428911</v>
      </c>
      <c r="B1315" t="str">
        <f>"1578729868901846"</f>
        <v>1578729868901846</v>
      </c>
      <c r="C1315" t="s">
        <v>40</v>
      </c>
      <c r="D1315">
        <v>5.9035419999999998</v>
      </c>
      <c r="E1315">
        <v>0.48930279999999998</v>
      </c>
      <c r="F1315" t="s">
        <v>42</v>
      </c>
      <c r="G1315">
        <v>-189.7782</v>
      </c>
      <c r="H1315">
        <v>1.007952</v>
      </c>
      <c r="I1315">
        <v>312.01179999999999</v>
      </c>
      <c r="J1315">
        <v>-189.71209999999999</v>
      </c>
      <c r="K1315">
        <v>1.109518</v>
      </c>
      <c r="L1315">
        <v>312.61989999999997</v>
      </c>
      <c r="M1315">
        <v>-3.9640250000000002E-2</v>
      </c>
      <c r="N1315">
        <v>0</v>
      </c>
      <c r="O1315">
        <v>-0.99911309999999998</v>
      </c>
      <c r="P1315">
        <v>-0.1195483</v>
      </c>
      <c r="Q1315">
        <v>-5.7868570000000001E-2</v>
      </c>
      <c r="R1315">
        <v>-0.99114069999999999</v>
      </c>
      <c r="S1315">
        <v>-0.25823970000000002</v>
      </c>
      <c r="T1315">
        <v>-0.33538649999999998</v>
      </c>
      <c r="U1315">
        <v>-2.9761660000000001</v>
      </c>
      <c r="V1315">
        <v>8.0083440000000006E-2</v>
      </c>
      <c r="W1315">
        <v>-4.3865550000000003E-2</v>
      </c>
      <c r="X1315">
        <v>0.99582250000000005</v>
      </c>
      <c r="Y1315">
        <v>4.6340529999999998E-2</v>
      </c>
      <c r="Z1315">
        <v>0.11158369999999999</v>
      </c>
      <c r="AA1315">
        <v>0.99267399999999995</v>
      </c>
      <c r="AB1315">
        <v>30</v>
      </c>
      <c r="AC1315">
        <v>-6.6100000000005807E-2</v>
      </c>
      <c r="AD1315">
        <v>-0.101566</v>
      </c>
      <c r="AE1315">
        <v>-0.60809999999997899</v>
      </c>
      <c r="AF1315">
        <v>4.0815075157067698E-2</v>
      </c>
      <c r="AG1315">
        <v>-0.101566</v>
      </c>
      <c r="AH1315">
        <v>0.59386913587790002</v>
      </c>
      <c r="AI1315">
        <v>99.682663303660306</v>
      </c>
      <c r="AJ1315">
        <v>86.068393146220501</v>
      </c>
      <c r="AK1315">
        <v>0.60387256376195897</v>
      </c>
      <c r="AL1315">
        <v>92.514117598724198</v>
      </c>
      <c r="AM1315">
        <v>85.402202955435399</v>
      </c>
      <c r="AN1315">
        <v>0.99999999767264303</v>
      </c>
    </row>
    <row r="1316" spans="1:40" x14ac:dyDescent="0.3">
      <c r="A1316" t="str">
        <f>"20200111160428934"</f>
        <v>20200111160428934</v>
      </c>
      <c r="B1316" t="str">
        <f>"1578729868921904"</f>
        <v>1578729868921904</v>
      </c>
      <c r="C1316" t="s">
        <v>40</v>
      </c>
      <c r="D1316">
        <v>5.8220640000000001</v>
      </c>
      <c r="E1316">
        <v>0.48868220000000001</v>
      </c>
      <c r="F1316" t="s">
        <v>42</v>
      </c>
      <c r="G1316">
        <v>-189.78880000000001</v>
      </c>
      <c r="H1316">
        <v>1.0100789999999999</v>
      </c>
      <c r="I1316">
        <v>311.73930000000001</v>
      </c>
      <c r="J1316">
        <v>-189.7253</v>
      </c>
      <c r="K1316">
        <v>1.1095120000000001</v>
      </c>
      <c r="L1316">
        <v>312.3116</v>
      </c>
      <c r="M1316">
        <v>-4.0516219999999999E-2</v>
      </c>
      <c r="N1316">
        <v>0</v>
      </c>
      <c r="O1316">
        <v>-0.99907760000000001</v>
      </c>
      <c r="P1316">
        <v>-0.1205826</v>
      </c>
      <c r="Q1316">
        <v>-5.9502529999999998E-2</v>
      </c>
      <c r="R1316">
        <v>-0.99091819999999997</v>
      </c>
      <c r="S1316">
        <v>-0.2587738</v>
      </c>
      <c r="T1316">
        <v>-0.33614749999999999</v>
      </c>
      <c r="U1316">
        <v>-2.9759519999999999</v>
      </c>
      <c r="V1316">
        <v>8.025082E-2</v>
      </c>
      <c r="W1316">
        <v>-4.5491919999999998E-2</v>
      </c>
      <c r="X1316">
        <v>0.99573610000000001</v>
      </c>
      <c r="Y1316">
        <v>4.5645169999999999E-2</v>
      </c>
      <c r="Z1316">
        <v>0.1118367</v>
      </c>
      <c r="AA1316">
        <v>0.9926777</v>
      </c>
      <c r="AB1316">
        <v>30</v>
      </c>
      <c r="AC1316">
        <v>-6.3500000000004705E-2</v>
      </c>
      <c r="AD1316">
        <v>-9.9432999999999799E-2</v>
      </c>
      <c r="AE1316">
        <v>-0.57229999999998404</v>
      </c>
      <c r="AF1316">
        <v>3.90923565384187E-2</v>
      </c>
      <c r="AG1316">
        <v>-9.9432999999999799E-2</v>
      </c>
      <c r="AH1316">
        <v>0.55777060867152395</v>
      </c>
      <c r="AI1316">
        <v>100.083631171769</v>
      </c>
      <c r="AJ1316">
        <v>85.990878122759398</v>
      </c>
      <c r="AK1316">
        <v>0.56791124810706906</v>
      </c>
      <c r="AL1316">
        <v>92.607394769152407</v>
      </c>
      <c r="AM1316">
        <v>85.392236508140797</v>
      </c>
      <c r="AN1316">
        <v>1.0000000448695801</v>
      </c>
    </row>
    <row r="1317" spans="1:40" x14ac:dyDescent="0.3">
      <c r="A1317" t="str">
        <f>"20200111160429024"</f>
        <v>20200111160429024</v>
      </c>
      <c r="B1317" t="str">
        <f>"1578729869011696"</f>
        <v>1578729869011696</v>
      </c>
      <c r="C1317" t="s">
        <v>40</v>
      </c>
      <c r="D1317">
        <v>5.8440629999999896</v>
      </c>
      <c r="E1317">
        <v>0.54668019999999995</v>
      </c>
      <c r="F1317" t="s">
        <v>42</v>
      </c>
      <c r="G1317">
        <v>-189.95050000000001</v>
      </c>
      <c r="H1317">
        <v>1.0345359999999999</v>
      </c>
      <c r="I1317">
        <v>310.63889999999998</v>
      </c>
      <c r="J1317">
        <v>-189.77979999999999</v>
      </c>
      <c r="K1317">
        <v>1.1094900000000001</v>
      </c>
      <c r="L1317">
        <v>311.10050000000001</v>
      </c>
      <c r="M1317">
        <v>-4.3959560000000002E-2</v>
      </c>
      <c r="N1317">
        <v>0</v>
      </c>
      <c r="O1317">
        <v>-0.99893209999999999</v>
      </c>
      <c r="P1317">
        <v>-0.116297499999999</v>
      </c>
      <c r="Q1317">
        <v>-6.5860749999999996E-2</v>
      </c>
      <c r="R1317">
        <v>-0.99102889999999999</v>
      </c>
      <c r="S1317">
        <v>-0.70564269999999996</v>
      </c>
      <c r="T1317">
        <v>-0.28665180000000001</v>
      </c>
      <c r="U1317">
        <v>-2.9249879999999999</v>
      </c>
      <c r="V1317">
        <v>7.2524759999999994E-2</v>
      </c>
      <c r="W1317">
        <v>-5.181086E-2</v>
      </c>
      <c r="X1317">
        <v>0.99602000000000002</v>
      </c>
      <c r="Y1317">
        <v>0.19049060000000001</v>
      </c>
      <c r="Z1317">
        <v>9.5149029999999996E-2</v>
      </c>
      <c r="AA1317">
        <v>0.97706709999999997</v>
      </c>
      <c r="AB1317">
        <v>30</v>
      </c>
      <c r="AC1317">
        <v>-0.17070000000001001</v>
      </c>
      <c r="AD1317">
        <v>-7.4953999999999701E-2</v>
      </c>
      <c r="AE1317">
        <v>-0.46160000000003198</v>
      </c>
      <c r="AF1317">
        <v>0.14683534019228001</v>
      </c>
      <c r="AG1317">
        <v>-7.4953999999999701E-2</v>
      </c>
      <c r="AH1317">
        <v>0.45803429243495403</v>
      </c>
      <c r="AI1317">
        <v>98.857233798356404</v>
      </c>
      <c r="AJ1317">
        <v>72.225335420677197</v>
      </c>
      <c r="AK1317">
        <v>0.48679988937115798</v>
      </c>
      <c r="AL1317">
        <v>92.969873258017699</v>
      </c>
      <c r="AM1317">
        <v>85.835382747278601</v>
      </c>
      <c r="AN1317">
        <v>1.00000002321349</v>
      </c>
    </row>
    <row r="1318" spans="1:40" x14ac:dyDescent="0.3">
      <c r="A1318" t="str">
        <f>"20200111160429046"</f>
        <v>20200111160429046</v>
      </c>
      <c r="B1318" t="str">
        <f>"1578729869041603"</f>
        <v>1578729869041603</v>
      </c>
      <c r="C1318" t="s">
        <v>40</v>
      </c>
      <c r="D1318">
        <v>5.7323469999999999</v>
      </c>
      <c r="E1318">
        <v>0.54680419999999996</v>
      </c>
      <c r="F1318" t="s">
        <v>42</v>
      </c>
      <c r="G1318">
        <v>-189.9562</v>
      </c>
      <c r="H1318">
        <v>1.0348710000000001</v>
      </c>
      <c r="I1318">
        <v>310.37599999999998</v>
      </c>
      <c r="J1318">
        <v>-189.79390000000001</v>
      </c>
      <c r="K1318">
        <v>1.1094809999999999</v>
      </c>
      <c r="L1318">
        <v>310.80220000000003</v>
      </c>
      <c r="M1318">
        <v>-4.4808170000000001E-2</v>
      </c>
      <c r="N1318">
        <v>0</v>
      </c>
      <c r="O1318">
        <v>-0.99889419999999995</v>
      </c>
      <c r="P1318">
        <v>-0.1157237</v>
      </c>
      <c r="Q1318">
        <v>-6.6878999999999994E-2</v>
      </c>
      <c r="R1318">
        <v>-0.9910272</v>
      </c>
      <c r="S1318">
        <v>-0.71054079999999997</v>
      </c>
      <c r="T1318">
        <v>-0.30144559999999998</v>
      </c>
      <c r="U1318">
        <v>-2.9237669999999998</v>
      </c>
      <c r="V1318">
        <v>7.1104600000000004E-2</v>
      </c>
      <c r="W1318">
        <v>-5.282332E-2</v>
      </c>
      <c r="X1318">
        <v>0.99606919999999999</v>
      </c>
      <c r="Y1318">
        <v>0.19118309999999999</v>
      </c>
      <c r="Z1318">
        <v>0.1000192</v>
      </c>
      <c r="AA1318">
        <v>0.97644509999999995</v>
      </c>
      <c r="AB1318">
        <v>30</v>
      </c>
      <c r="AC1318">
        <v>-0.16229999999998701</v>
      </c>
      <c r="AD1318">
        <v>-7.4609999999999996E-2</v>
      </c>
      <c r="AE1318">
        <v>-0.42620000000005098</v>
      </c>
      <c r="AF1318">
        <v>0.13930925855891099</v>
      </c>
      <c r="AG1318">
        <v>-7.4609999999999996E-2</v>
      </c>
      <c r="AH1318">
        <v>0.42175690413727002</v>
      </c>
      <c r="AI1318">
        <v>99.535335465373805</v>
      </c>
      <c r="AJ1318">
        <v>71.721249016309599</v>
      </c>
      <c r="AK1318">
        <v>0.450391616049508</v>
      </c>
      <c r="AL1318">
        <v>93.027962538327699</v>
      </c>
      <c r="AM1318">
        <v>85.916855559205899</v>
      </c>
      <c r="AN1318">
        <v>1.0000000092328101</v>
      </c>
    </row>
    <row r="1319" spans="1:40" x14ac:dyDescent="0.3">
      <c r="A1319" t="str">
        <f>"20200111160429066"</f>
        <v>20200111160429066</v>
      </c>
      <c r="B1319" t="str">
        <f>"1578729869062100"</f>
        <v>1578729869062100</v>
      </c>
      <c r="C1319" t="s">
        <v>40</v>
      </c>
      <c r="D1319">
        <v>5.7246739999999896</v>
      </c>
      <c r="E1319">
        <v>0.5470431</v>
      </c>
      <c r="F1319" t="s">
        <v>41</v>
      </c>
      <c r="G1319">
        <v>-192.43700000000001</v>
      </c>
      <c r="H1319" s="1">
        <v>-7.90815E-7</v>
      </c>
      <c r="I1319">
        <v>299.92110000000002</v>
      </c>
      <c r="J1319">
        <v>-189.8075</v>
      </c>
      <c r="K1319">
        <v>1.109483</v>
      </c>
      <c r="L1319">
        <v>310.52010000000001</v>
      </c>
      <c r="M1319">
        <v>-4.5614540000000002E-2</v>
      </c>
      <c r="N1319">
        <v>0</v>
      </c>
      <c r="O1319">
        <v>-0.99885789999999997</v>
      </c>
      <c r="P1319">
        <v>-0.1168579</v>
      </c>
      <c r="Q1319">
        <v>-6.6851679999999997E-2</v>
      </c>
      <c r="R1319">
        <v>-0.99089660000000002</v>
      </c>
      <c r="S1319">
        <v>-0.71026610000000001</v>
      </c>
      <c r="T1319">
        <v>-0.29814780000000002</v>
      </c>
      <c r="U1319">
        <v>-2.9240719999999998</v>
      </c>
      <c r="V1319">
        <v>7.1440110000000001E-2</v>
      </c>
      <c r="W1319">
        <v>-5.279536E-2</v>
      </c>
      <c r="X1319">
        <v>0.99604669999999895</v>
      </c>
      <c r="Y1319">
        <v>0.19030659999999999</v>
      </c>
      <c r="Z1319">
        <v>9.8930190000000001E-2</v>
      </c>
      <c r="AA1319">
        <v>0.97672729999999996</v>
      </c>
      <c r="AB1319">
        <v>30</v>
      </c>
      <c r="AC1319">
        <v>-2.6295000000000002</v>
      </c>
      <c r="AD1319">
        <v>-1.1094837908149999</v>
      </c>
      <c r="AE1319">
        <v>-10.598999999999901</v>
      </c>
      <c r="AF1319">
        <v>2.1213480586143798</v>
      </c>
      <c r="AG1319">
        <v>-1.1094837908149999</v>
      </c>
      <c r="AH1319">
        <v>10.5985209175679</v>
      </c>
      <c r="AI1319">
        <v>95.860711243932201</v>
      </c>
      <c r="AJ1319">
        <v>78.681522765524207</v>
      </c>
      <c r="AK1319">
        <v>10.8655288646247</v>
      </c>
      <c r="AL1319">
        <v>93.026358234902006</v>
      </c>
      <c r="AM1319">
        <v>85.897562345385396</v>
      </c>
      <c r="AN1319">
        <v>1.0000000339676101</v>
      </c>
    </row>
    <row r="1320" spans="1:40" x14ac:dyDescent="0.3">
      <c r="A1320" t="str">
        <f>"20200111160429090"</f>
        <v>20200111160429090</v>
      </c>
      <c r="B1320" t="str">
        <f>"1578729869081620"</f>
        <v>1578729869081620</v>
      </c>
      <c r="C1320" t="s">
        <v>40</v>
      </c>
      <c r="D1320">
        <v>5.7069340000000004</v>
      </c>
      <c r="E1320">
        <v>0.54709799999999997</v>
      </c>
      <c r="F1320" t="s">
        <v>56</v>
      </c>
      <c r="G1320">
        <v>-192.51130000000001</v>
      </c>
      <c r="H1320" s="1">
        <v>2.4276249999999999E-8</v>
      </c>
      <c r="I1320">
        <v>299.4785</v>
      </c>
      <c r="J1320">
        <v>-189.82259999999999</v>
      </c>
      <c r="K1320">
        <v>1.1094889999999999</v>
      </c>
      <c r="L1320">
        <v>310.21159999999998</v>
      </c>
      <c r="M1320">
        <v>-4.6503490000000001E-2</v>
      </c>
      <c r="N1320">
        <v>0</v>
      </c>
      <c r="O1320">
        <v>-0.99881690000000001</v>
      </c>
      <c r="P1320">
        <v>-0.1193057</v>
      </c>
      <c r="Q1320">
        <v>-6.5896200000000002E-2</v>
      </c>
      <c r="R1320">
        <v>-0.99066880000000002</v>
      </c>
      <c r="S1320">
        <v>-0.71586609999999995</v>
      </c>
      <c r="T1320">
        <v>-0.29374489999999998</v>
      </c>
      <c r="U1320">
        <v>-2.9233699999999998</v>
      </c>
      <c r="V1320">
        <v>7.3011560000000003E-2</v>
      </c>
      <c r="W1320">
        <v>-5.1842859999999998E-2</v>
      </c>
      <c r="X1320">
        <v>0.99598279999999995</v>
      </c>
      <c r="Y1320">
        <v>0.19128700000000001</v>
      </c>
      <c r="Z1320">
        <v>9.7469029999999998E-2</v>
      </c>
      <c r="AA1320">
        <v>0.97668270000000001</v>
      </c>
      <c r="AB1320">
        <v>30</v>
      </c>
      <c r="AC1320">
        <v>-2.6887000000000101</v>
      </c>
      <c r="AD1320">
        <v>-1.10948897572375</v>
      </c>
      <c r="AE1320">
        <v>-10.733099999999901</v>
      </c>
      <c r="AF1320">
        <v>2.1648469017934899</v>
      </c>
      <c r="AG1320">
        <v>-1.10948897572375</v>
      </c>
      <c r="AH1320">
        <v>10.738560820807701</v>
      </c>
      <c r="AI1320">
        <v>95.783233317439695</v>
      </c>
      <c r="AJ1320">
        <v>78.602188125231294</v>
      </c>
      <c r="AK1320">
        <v>11.0106410529834</v>
      </c>
      <c r="AL1320">
        <v>92.971709098800702</v>
      </c>
      <c r="AM1320">
        <v>85.807372355303798</v>
      </c>
      <c r="AN1320">
        <v>1.0000000539612199</v>
      </c>
    </row>
    <row r="1321" spans="1:40" x14ac:dyDescent="0.3">
      <c r="A1321" t="str">
        <f>"20200111160429111"</f>
        <v>20200111160429111</v>
      </c>
      <c r="B1321" t="str">
        <f>"1578729869102116"</f>
        <v>1578729869102116</v>
      </c>
      <c r="C1321" t="s">
        <v>40</v>
      </c>
      <c r="D1321">
        <v>5.7521589999999998</v>
      </c>
      <c r="E1321">
        <v>0.54721769999999903</v>
      </c>
      <c r="F1321" t="s">
        <v>56</v>
      </c>
      <c r="G1321">
        <v>-192.60560000000001</v>
      </c>
      <c r="H1321" s="1">
        <v>1.133273E-7</v>
      </c>
      <c r="I1321">
        <v>298.97280000000001</v>
      </c>
      <c r="J1321">
        <v>-189.8372</v>
      </c>
      <c r="K1321">
        <v>1.1094889999999999</v>
      </c>
      <c r="L1321">
        <v>309.9196</v>
      </c>
      <c r="M1321">
        <v>-4.7364330000000003E-2</v>
      </c>
      <c r="N1321">
        <v>0</v>
      </c>
      <c r="O1321">
        <v>-0.99877629999999995</v>
      </c>
      <c r="P1321">
        <v>-0.1232046</v>
      </c>
      <c r="Q1321">
        <v>-6.528014E-2</v>
      </c>
      <c r="R1321">
        <v>-0.9902318</v>
      </c>
      <c r="S1321">
        <v>-0.72355649999999905</v>
      </c>
      <c r="T1321">
        <v>-0.28845209999999999</v>
      </c>
      <c r="U1321">
        <v>-2.9219360000000001</v>
      </c>
      <c r="V1321">
        <v>7.606889E-2</v>
      </c>
      <c r="W1321">
        <v>-5.1235910000000003E-2</v>
      </c>
      <c r="X1321">
        <v>0.99578529999999998</v>
      </c>
      <c r="Y1321">
        <v>0.19301589999999999</v>
      </c>
      <c r="Z1321">
        <v>9.5722950000000001E-2</v>
      </c>
      <c r="AA1321">
        <v>0.97651520000000003</v>
      </c>
      <c r="AB1321">
        <v>30</v>
      </c>
      <c r="AC1321">
        <v>-2.76840000000001</v>
      </c>
      <c r="AD1321">
        <v>-1.1094888866727</v>
      </c>
      <c r="AE1321">
        <v>-10.9467999999999</v>
      </c>
      <c r="AF1321">
        <v>2.2252672504420099</v>
      </c>
      <c r="AG1321">
        <v>-1.1094888866727</v>
      </c>
      <c r="AH1321">
        <v>10.9598323125714</v>
      </c>
      <c r="AI1321">
        <v>95.665662479983098</v>
      </c>
      <c r="AJ1321">
        <v>78.522771752908596</v>
      </c>
      <c r="AK1321">
        <v>11.238358609922701</v>
      </c>
      <c r="AL1321">
        <v>92.936887367153901</v>
      </c>
      <c r="AM1321">
        <v>85.631610595598005</v>
      </c>
      <c r="AN1321">
        <v>0.99999997909772398</v>
      </c>
    </row>
    <row r="1322" spans="1:40" x14ac:dyDescent="0.3">
      <c r="A1322" t="str">
        <f>"20200111160429136"</f>
        <v>20200111160429136</v>
      </c>
      <c r="B1322" t="str">
        <f>"1578729869132410"</f>
        <v>1578729869132410</v>
      </c>
      <c r="C1322" t="s">
        <v>40</v>
      </c>
      <c r="D1322">
        <v>5.7809900000000001</v>
      </c>
      <c r="E1322">
        <v>0.54736030000000002</v>
      </c>
      <c r="F1322" t="s">
        <v>56</v>
      </c>
      <c r="G1322">
        <v>-192.68620000000001</v>
      </c>
      <c r="H1322" s="1">
        <v>1.760049E-7</v>
      </c>
      <c r="I1322">
        <v>298.61689999999999</v>
      </c>
      <c r="J1322">
        <v>-189.85380000000001</v>
      </c>
      <c r="K1322">
        <v>1.1094619999999999</v>
      </c>
      <c r="L1322">
        <v>309.59350000000001</v>
      </c>
      <c r="M1322">
        <v>-4.8375019999999998E-2</v>
      </c>
      <c r="N1322">
        <v>0</v>
      </c>
      <c r="O1322">
        <v>-0.9987277</v>
      </c>
      <c r="P1322">
        <v>-0.1288224</v>
      </c>
      <c r="Q1322">
        <v>-6.5700549999999996E-2</v>
      </c>
      <c r="R1322">
        <v>-0.98948910000000001</v>
      </c>
      <c r="S1322">
        <v>-0.73582460000000005</v>
      </c>
      <c r="T1322">
        <v>-0.28654829999999998</v>
      </c>
      <c r="U1322">
        <v>-2.9191280000000002</v>
      </c>
      <c r="V1322">
        <v>8.0705020000000002E-2</v>
      </c>
      <c r="W1322">
        <v>-5.1674919999999999E-2</v>
      </c>
      <c r="X1322">
        <v>0.99539759999999999</v>
      </c>
      <c r="Y1322">
        <v>0.1961186</v>
      </c>
      <c r="Z1322">
        <v>9.5101160000000004E-2</v>
      </c>
      <c r="AA1322">
        <v>0.97595759999999998</v>
      </c>
      <c r="AB1322">
        <v>30</v>
      </c>
      <c r="AC1322">
        <v>-2.8323999999999998</v>
      </c>
      <c r="AD1322">
        <v>-1.1094618239951</v>
      </c>
      <c r="AE1322">
        <v>-10.976599999999999</v>
      </c>
      <c r="AF1322">
        <v>2.2762334559090802</v>
      </c>
      <c r="AG1322">
        <v>-1.1094618239951</v>
      </c>
      <c r="AH1322">
        <v>10.995458676268999</v>
      </c>
      <c r="AI1322">
        <v>95.642898062906596</v>
      </c>
      <c r="AJ1322">
        <v>78.304080111930801</v>
      </c>
      <c r="AK1322">
        <v>11.2832732744643</v>
      </c>
      <c r="AL1322">
        <v>92.962074121296894</v>
      </c>
      <c r="AM1322">
        <v>85.3647020380008</v>
      </c>
      <c r="AN1322">
        <v>0.999999989847983</v>
      </c>
    </row>
    <row r="1323" spans="1:40" x14ac:dyDescent="0.3">
      <c r="A1323" t="str">
        <f>"20200111160429156"</f>
        <v>20200111160429156</v>
      </c>
      <c r="B1323" t="str">
        <f>"1578729869151929"</f>
        <v>1578729869151929</v>
      </c>
      <c r="C1323" t="s">
        <v>40</v>
      </c>
      <c r="D1323">
        <v>6.0504439999999997</v>
      </c>
      <c r="E1323">
        <v>0.5472359</v>
      </c>
      <c r="F1323" t="s">
        <v>56</v>
      </c>
      <c r="G1323">
        <v>-192.7998</v>
      </c>
      <c r="H1323" s="1">
        <v>2.4913089999999999E-7</v>
      </c>
      <c r="I1323">
        <v>298.20170000000002</v>
      </c>
      <c r="J1323">
        <v>-189.8682</v>
      </c>
      <c r="K1323">
        <v>1.1094139999999999</v>
      </c>
      <c r="L1323">
        <v>309.31689999999998</v>
      </c>
      <c r="M1323">
        <v>-4.9309039999999998E-2</v>
      </c>
      <c r="N1323">
        <v>0</v>
      </c>
      <c r="O1323">
        <v>-0.99868190000000001</v>
      </c>
      <c r="P1323">
        <v>-0.1346311</v>
      </c>
      <c r="Q1323">
        <v>-6.6479060000000006E-2</v>
      </c>
      <c r="R1323">
        <v>-0.98866310000000002</v>
      </c>
      <c r="S1323">
        <v>-0.75381469999999995</v>
      </c>
      <c r="T1323">
        <v>-0.28388600000000003</v>
      </c>
      <c r="U1323">
        <v>-2.9148860000000001</v>
      </c>
      <c r="V1323">
        <v>8.5609640000000001E-2</v>
      </c>
      <c r="W1323">
        <v>-5.2478410000000003E-2</v>
      </c>
      <c r="X1323">
        <v>0.99494570000000004</v>
      </c>
      <c r="Y1323">
        <v>0.20121069999999999</v>
      </c>
      <c r="Z1323">
        <v>9.4231400000000007E-2</v>
      </c>
      <c r="AA1323">
        <v>0.97500500000000001</v>
      </c>
      <c r="AB1323">
        <v>30</v>
      </c>
      <c r="AC1323">
        <v>-2.9316</v>
      </c>
      <c r="AD1323">
        <v>-1.1094137508691</v>
      </c>
      <c r="AE1323">
        <v>-11.1151999999999</v>
      </c>
      <c r="AF1323">
        <v>2.3579353621122698</v>
      </c>
      <c r="AG1323">
        <v>-1.1094137508691</v>
      </c>
      <c r="AH1323">
        <v>11.1424621282722</v>
      </c>
      <c r="AI1323">
        <v>95.563578523159407</v>
      </c>
      <c r="AJ1323">
        <v>78.0515110028322</v>
      </c>
      <c r="AK1323">
        <v>11.443125461275701</v>
      </c>
      <c r="AL1323">
        <v>93.008173321161195</v>
      </c>
      <c r="AM1323">
        <v>85.082124194614707</v>
      </c>
      <c r="AN1323">
        <v>0.99999996996277296</v>
      </c>
    </row>
    <row r="1324" spans="1:40" x14ac:dyDescent="0.3">
      <c r="A1324" t="str">
        <f>"20200111160429178"</f>
        <v>20200111160429178</v>
      </c>
      <c r="B1324" t="str">
        <f>"1578729869172425"</f>
        <v>1578729869172425</v>
      </c>
      <c r="C1324" t="s">
        <v>40</v>
      </c>
      <c r="D1324">
        <v>5.9527539999999997</v>
      </c>
      <c r="E1324">
        <v>0.54724240000000002</v>
      </c>
      <c r="F1324" t="s">
        <v>56</v>
      </c>
      <c r="G1324">
        <v>-192.85419999999999</v>
      </c>
      <c r="H1324" s="1">
        <v>3.0399000000000001E-7</v>
      </c>
      <c r="I1324">
        <v>298.02969999999999</v>
      </c>
      <c r="J1324">
        <v>-189.8837</v>
      </c>
      <c r="K1324">
        <v>1.1093299999999999</v>
      </c>
      <c r="L1324">
        <v>309.02730000000003</v>
      </c>
      <c r="M1324">
        <v>-5.0404999999999998E-2</v>
      </c>
      <c r="N1324">
        <v>0</v>
      </c>
      <c r="O1324">
        <v>-0.99862740000000005</v>
      </c>
      <c r="P1324">
        <v>-0.14312130000000001</v>
      </c>
      <c r="Q1324">
        <v>-6.6273040000000005E-2</v>
      </c>
      <c r="R1324">
        <v>-0.98748400000000003</v>
      </c>
      <c r="S1324">
        <v>-0.76992799999999995</v>
      </c>
      <c r="T1324">
        <v>-0.28605530000000001</v>
      </c>
      <c r="U1324">
        <v>-2.910339</v>
      </c>
      <c r="V1324">
        <v>9.3047420000000006E-2</v>
      </c>
      <c r="W1324">
        <v>-5.2314390000000002E-2</v>
      </c>
      <c r="X1324">
        <v>0.99428640000000001</v>
      </c>
      <c r="Y1324">
        <v>0.2055372</v>
      </c>
      <c r="Z1324">
        <v>9.4971200000000006E-2</v>
      </c>
      <c r="AA1324">
        <v>0.97403030000000002</v>
      </c>
      <c r="AB1324">
        <v>30</v>
      </c>
      <c r="AC1324">
        <v>-2.9704999999999799</v>
      </c>
      <c r="AD1324">
        <v>-1.1093296960100001</v>
      </c>
      <c r="AE1324">
        <v>-10.9976</v>
      </c>
      <c r="AF1324">
        <v>2.3896719728654099</v>
      </c>
      <c r="AG1324">
        <v>-1.1093296960100001</v>
      </c>
      <c r="AH1324">
        <v>11.0287755962887</v>
      </c>
      <c r="AI1324">
        <v>95.614358911503103</v>
      </c>
      <c r="AJ1324">
        <v>77.774361621746806</v>
      </c>
      <c r="AK1324">
        <v>11.3390932470653</v>
      </c>
      <c r="AL1324">
        <v>92.998762555714293</v>
      </c>
      <c r="AM1324">
        <v>84.6537106429722</v>
      </c>
      <c r="AN1324">
        <v>1.0000000314973401</v>
      </c>
    </row>
    <row r="1325" spans="1:40" x14ac:dyDescent="0.3">
      <c r="A1325" t="str">
        <f>"20200111160429213"</f>
        <v>20200111160429213</v>
      </c>
      <c r="B1325" t="str">
        <f>"1578729869201705"</f>
        <v>1578729869201705</v>
      </c>
      <c r="C1325" t="s">
        <v>40</v>
      </c>
      <c r="D1325">
        <v>6.0043730000000002</v>
      </c>
      <c r="E1325">
        <v>0.54731779999999997</v>
      </c>
      <c r="F1325" t="s">
        <v>56</v>
      </c>
      <c r="G1325">
        <v>-192.98740000000001</v>
      </c>
      <c r="H1325" s="1">
        <v>4.1160769999999999E-7</v>
      </c>
      <c r="I1325">
        <v>297.6918</v>
      </c>
      <c r="J1325">
        <v>-189.90899999999999</v>
      </c>
      <c r="K1325">
        <v>1.109127</v>
      </c>
      <c r="L1325">
        <v>308.57159999999999</v>
      </c>
      <c r="M1325">
        <v>-5.2490839999999997E-2</v>
      </c>
      <c r="N1325">
        <v>0</v>
      </c>
      <c r="O1325">
        <v>-0.99851939999999995</v>
      </c>
      <c r="P1325">
        <v>-0.152897799999999</v>
      </c>
      <c r="Q1325">
        <v>-6.6564059999999994E-2</v>
      </c>
      <c r="R1325">
        <v>-0.98599789999999998</v>
      </c>
      <c r="S1325">
        <v>-0.79505919999999997</v>
      </c>
      <c r="T1325">
        <v>-0.28416819999999998</v>
      </c>
      <c r="U1325">
        <v>-2.9037169999999999</v>
      </c>
      <c r="V1325">
        <v>0.1007859</v>
      </c>
      <c r="W1325">
        <v>-5.2649219999999997E-2</v>
      </c>
      <c r="X1325">
        <v>0.99351409999999996</v>
      </c>
      <c r="Y1325">
        <v>0.21191270000000001</v>
      </c>
      <c r="Z1325">
        <v>9.4372609999999996E-2</v>
      </c>
      <c r="AA1325">
        <v>0.97272130000000001</v>
      </c>
      <c r="AB1325">
        <v>30</v>
      </c>
      <c r="AC1325">
        <v>-3.0783999999999798</v>
      </c>
      <c r="AD1325">
        <v>-1.1091265883923001</v>
      </c>
      <c r="AE1325">
        <v>-10.8797999999999</v>
      </c>
      <c r="AF1325">
        <v>2.4791524202487998</v>
      </c>
      <c r="AG1325">
        <v>-1.1091265883923001</v>
      </c>
      <c r="AH1325">
        <v>10.9213156081716</v>
      </c>
      <c r="AI1325">
        <v>95.655931710429499</v>
      </c>
      <c r="AJ1325">
        <v>77.210524704183797</v>
      </c>
      <c r="AK1325">
        <v>11.2539545549641</v>
      </c>
      <c r="AL1325">
        <v>93.017973463598693</v>
      </c>
      <c r="AM1325">
        <v>84.207510922444499</v>
      </c>
      <c r="AN1325">
        <v>1.0000000024521101</v>
      </c>
    </row>
    <row r="1326" spans="1:40" x14ac:dyDescent="0.3">
      <c r="A1326" t="str">
        <f>"20200111160429233"</f>
        <v>20200111160429233</v>
      </c>
      <c r="B1326" t="str">
        <f>"1578729869231962"</f>
        <v>1578729869231962</v>
      </c>
      <c r="C1326" t="s">
        <v>40</v>
      </c>
      <c r="D1326">
        <v>5.6940140000000001</v>
      </c>
      <c r="E1326">
        <v>0.54689330000000003</v>
      </c>
      <c r="F1326" t="s">
        <v>56</v>
      </c>
      <c r="G1326">
        <v>-193.11250000000001</v>
      </c>
      <c r="H1326" s="1">
        <v>5.3333100000000005E-7</v>
      </c>
      <c r="I1326">
        <v>297.31610000000001</v>
      </c>
      <c r="J1326">
        <v>-189.9256</v>
      </c>
      <c r="K1326">
        <v>1.1089770000000001</v>
      </c>
      <c r="L1326">
        <v>308.28750000000002</v>
      </c>
      <c r="M1326">
        <v>-5.4045549999999998E-2</v>
      </c>
      <c r="N1326">
        <v>0</v>
      </c>
      <c r="O1326">
        <v>-0.99843510000000002</v>
      </c>
      <c r="P1326">
        <v>-0.1585635</v>
      </c>
      <c r="Q1326">
        <v>-6.8963510000000006E-2</v>
      </c>
      <c r="R1326">
        <v>-0.98493759999999997</v>
      </c>
      <c r="S1326">
        <v>-0.82411190000000001</v>
      </c>
      <c r="T1326">
        <v>-0.28532849999999998</v>
      </c>
      <c r="U1326">
        <v>-2.8955380000000002</v>
      </c>
      <c r="V1326">
        <v>0.1049271</v>
      </c>
      <c r="W1326">
        <v>-5.5018570000000003E-2</v>
      </c>
      <c r="X1326">
        <v>0.99295679999999997</v>
      </c>
      <c r="Y1326">
        <v>0.22012490000000001</v>
      </c>
      <c r="Z1326">
        <v>9.4786259999999997E-2</v>
      </c>
      <c r="AA1326">
        <v>0.97085560000000004</v>
      </c>
      <c r="AB1326">
        <v>30</v>
      </c>
      <c r="AC1326">
        <v>-3.1869000000000001</v>
      </c>
      <c r="AD1326">
        <v>-1.1089764666689901</v>
      </c>
      <c r="AE1326">
        <v>-10.971399999999999</v>
      </c>
      <c r="AF1326">
        <v>2.5650568759721302</v>
      </c>
      <c r="AG1326">
        <v>-1.1089764666689901</v>
      </c>
      <c r="AH1326">
        <v>11.023751890903201</v>
      </c>
      <c r="AI1326">
        <v>95.596054153153702</v>
      </c>
      <c r="AJ1326">
        <v>76.901235325936497</v>
      </c>
      <c r="AK1326">
        <v>11.372442628247899</v>
      </c>
      <c r="AL1326">
        <v>93.153924485353699</v>
      </c>
      <c r="AM1326">
        <v>83.967862820540205</v>
      </c>
      <c r="AN1326">
        <v>0.99999997301274701</v>
      </c>
    </row>
    <row r="1327" spans="1:40" x14ac:dyDescent="0.3">
      <c r="A1327" t="str">
        <f>"20200111160429256"</f>
        <v>20200111160429256</v>
      </c>
      <c r="B1327" t="str">
        <f>"1578729869252458"</f>
        <v>1578729869252458</v>
      </c>
      <c r="C1327" t="s">
        <v>40</v>
      </c>
      <c r="D1327">
        <v>5.7286440000000001</v>
      </c>
      <c r="E1327">
        <v>0.54640140000000004</v>
      </c>
      <c r="F1327" t="s">
        <v>56</v>
      </c>
      <c r="G1327">
        <v>-193.08109999999999</v>
      </c>
      <c r="H1327" s="1">
        <v>5.0955420000000005E-7</v>
      </c>
      <c r="I1327">
        <v>297.39120000000003</v>
      </c>
      <c r="J1327">
        <v>-189.9435</v>
      </c>
      <c r="K1327">
        <v>1.1088439999999999</v>
      </c>
      <c r="L1327">
        <v>307.99360000000001</v>
      </c>
      <c r="M1327">
        <v>-5.5870059999999999E-2</v>
      </c>
      <c r="N1327">
        <v>0</v>
      </c>
      <c r="O1327">
        <v>-0.99833249999999996</v>
      </c>
      <c r="P1327">
        <v>-0.16365150000000001</v>
      </c>
      <c r="Q1327">
        <v>-7.1597350000000004E-2</v>
      </c>
      <c r="R1327">
        <v>-0.98391700000000004</v>
      </c>
      <c r="S1327">
        <v>-0.83706669999999905</v>
      </c>
      <c r="T1327">
        <v>-0.29418650000000002</v>
      </c>
      <c r="U1327">
        <v>-2.890533</v>
      </c>
      <c r="V1327">
        <v>0.1082197</v>
      </c>
      <c r="W1327">
        <v>-5.755702E-2</v>
      </c>
      <c r="X1327">
        <v>0.99245939999999999</v>
      </c>
      <c r="Y1327">
        <v>0.2227238</v>
      </c>
      <c r="Z1327">
        <v>9.7758800000000007E-2</v>
      </c>
      <c r="AA1327">
        <v>0.96996769999999999</v>
      </c>
      <c r="AB1327">
        <v>30</v>
      </c>
      <c r="AC1327">
        <v>-3.1375999999999902</v>
      </c>
      <c r="AD1327">
        <v>-1.1088434904458</v>
      </c>
      <c r="AE1327">
        <v>-10.6023999999999</v>
      </c>
      <c r="AF1327">
        <v>2.5149855921743298</v>
      </c>
      <c r="AG1327">
        <v>-1.1088434904458</v>
      </c>
      <c r="AH1327">
        <v>10.654004155952601</v>
      </c>
      <c r="AI1327">
        <v>95.783969091757996</v>
      </c>
      <c r="AJ1327">
        <v>76.7179003773565</v>
      </c>
      <c r="AK1327">
        <v>11.0028401319934</v>
      </c>
      <c r="AL1327">
        <v>93.299597905894998</v>
      </c>
      <c r="AM1327">
        <v>83.776943580437703</v>
      </c>
      <c r="AN1327">
        <v>0.99999998733386497</v>
      </c>
    </row>
    <row r="1328" spans="1:40" x14ac:dyDescent="0.3">
      <c r="A1328" t="str">
        <f>"20200111160429278"</f>
        <v>20200111160429278</v>
      </c>
      <c r="B1328" t="str">
        <f>"1578729869271978"</f>
        <v>1578729869271978</v>
      </c>
      <c r="C1328" t="s">
        <v>40</v>
      </c>
      <c r="D1328">
        <v>5.7327529999999998</v>
      </c>
      <c r="E1328">
        <v>0.54612269999999996</v>
      </c>
      <c r="F1328" t="s">
        <v>56</v>
      </c>
      <c r="G1328">
        <v>-193.03550000000001</v>
      </c>
      <c r="H1328" s="1">
        <v>4.8739359999999996E-7</v>
      </c>
      <c r="I1328">
        <v>297.46539999999999</v>
      </c>
      <c r="J1328">
        <v>-189.96299999999999</v>
      </c>
      <c r="K1328">
        <v>1.1087180000000001</v>
      </c>
      <c r="L1328">
        <v>307.68680000000001</v>
      </c>
      <c r="M1328">
        <v>-5.8037209999999999E-2</v>
      </c>
      <c r="N1328">
        <v>0</v>
      </c>
      <c r="O1328">
        <v>-0.99820520000000001</v>
      </c>
      <c r="P1328">
        <v>-0.1687632</v>
      </c>
      <c r="Q1328">
        <v>-7.3105439999999994E-2</v>
      </c>
      <c r="R1328">
        <v>-0.98294219999999999</v>
      </c>
      <c r="S1328">
        <v>-0.847579999999999</v>
      </c>
      <c r="T1328">
        <v>-0.30395050000000001</v>
      </c>
      <c r="U1328">
        <v>-2.8859560000000002</v>
      </c>
      <c r="V1328">
        <v>0.11119569999999999</v>
      </c>
      <c r="W1328">
        <v>-5.8886429999999997E-2</v>
      </c>
      <c r="X1328">
        <v>0.99205239999999995</v>
      </c>
      <c r="Y1328">
        <v>0.22418260000000001</v>
      </c>
      <c r="Z1328">
        <v>0.1010363</v>
      </c>
      <c r="AA1328">
        <v>0.96929560000000003</v>
      </c>
      <c r="AB1328">
        <v>30</v>
      </c>
      <c r="AC1328">
        <v>-3.0725000000000202</v>
      </c>
      <c r="AD1328">
        <v>-1.1087175126063999</v>
      </c>
      <c r="AE1328">
        <v>-10.221399999999999</v>
      </c>
      <c r="AF1328">
        <v>2.4476219851025198</v>
      </c>
      <c r="AG1328">
        <v>-1.1087175126063999</v>
      </c>
      <c r="AH1328">
        <v>10.271666887877201</v>
      </c>
      <c r="AI1328">
        <v>95.994066660639305</v>
      </c>
      <c r="AJ1328">
        <v>76.597013685690598</v>
      </c>
      <c r="AK1328">
        <v>10.6173089132902</v>
      </c>
      <c r="AL1328">
        <v>93.375896778930993</v>
      </c>
      <c r="AM1328">
        <v>83.604608981455002</v>
      </c>
      <c r="AN1328">
        <v>1.00000002984119</v>
      </c>
    </row>
    <row r="1329" spans="1:40" x14ac:dyDescent="0.3">
      <c r="A1329" t="str">
        <f>"20200111160429301"</f>
        <v>20200111160429301</v>
      </c>
      <c r="B1329" t="str">
        <f>"1578729869292474"</f>
        <v>1578729869292474</v>
      </c>
      <c r="C1329" t="s">
        <v>40</v>
      </c>
      <c r="D1329">
        <v>5.8730379999999904</v>
      </c>
      <c r="E1329">
        <v>0.53746729999999998</v>
      </c>
      <c r="F1329" t="s">
        <v>56</v>
      </c>
      <c r="G1329">
        <v>-193.04650000000001</v>
      </c>
      <c r="H1329" s="1">
        <v>5.2431319999999897E-7</v>
      </c>
      <c r="I1329">
        <v>297.35820000000001</v>
      </c>
      <c r="J1329">
        <v>-189.98269999999999</v>
      </c>
      <c r="K1329">
        <v>1.108598</v>
      </c>
      <c r="L1329">
        <v>307.39120000000003</v>
      </c>
      <c r="M1329">
        <v>-6.0398180000000003E-2</v>
      </c>
      <c r="N1329">
        <v>0</v>
      </c>
      <c r="O1329">
        <v>-0.99805969999999999</v>
      </c>
      <c r="P1329">
        <v>-0.17507110000000001</v>
      </c>
      <c r="Q1329">
        <v>-7.5408260000000005E-2</v>
      </c>
      <c r="R1329">
        <v>-0.98166410000000004</v>
      </c>
      <c r="S1329">
        <v>-0.86021419999999904</v>
      </c>
      <c r="T1329">
        <v>-0.30929780000000001</v>
      </c>
      <c r="U1329">
        <v>-2.8813780000000002</v>
      </c>
      <c r="V1329">
        <v>0.11518920000000001</v>
      </c>
      <c r="W1329">
        <v>-6.0910100000000002E-2</v>
      </c>
      <c r="X1329">
        <v>0.99147430000000003</v>
      </c>
      <c r="Y1329">
        <v>0.22614790000000001</v>
      </c>
      <c r="Z1329">
        <v>0.10284210000000001</v>
      </c>
      <c r="AA1329">
        <v>0.96864890000000003</v>
      </c>
      <c r="AB1329">
        <v>30</v>
      </c>
      <c r="AC1329">
        <v>-3.0638000000000098</v>
      </c>
      <c r="AD1329">
        <v>-1.1085974756868</v>
      </c>
      <c r="AE1329">
        <v>-10.032999999999999</v>
      </c>
      <c r="AF1329">
        <v>2.42507835418037</v>
      </c>
      <c r="AG1329">
        <v>-1.1085974756868</v>
      </c>
      <c r="AH1329">
        <v>10.087098102895499</v>
      </c>
      <c r="AI1329">
        <v>96.099354067099398</v>
      </c>
      <c r="AJ1329">
        <v>76.481846967537294</v>
      </c>
      <c r="AK1329">
        <v>10.433577599483799</v>
      </c>
      <c r="AL1329">
        <v>93.492053420602304</v>
      </c>
      <c r="AM1329">
        <v>83.373102207210707</v>
      </c>
      <c r="AN1329">
        <v>0.99999993981956803</v>
      </c>
    </row>
    <row r="1330" spans="1:40" x14ac:dyDescent="0.3">
      <c r="A1330" t="str">
        <f>"20200111160429546"</f>
        <v>20200111160429546</v>
      </c>
      <c r="B1330" t="str">
        <f>"1578729869542330"</f>
        <v>1578729869542330</v>
      </c>
      <c r="C1330" t="s">
        <v>40</v>
      </c>
      <c r="D1330">
        <v>5.7940239999999896</v>
      </c>
      <c r="E1330">
        <v>0.54619759999999995</v>
      </c>
      <c r="F1330" t="s">
        <v>56</v>
      </c>
      <c r="G1330">
        <v>-193.75810000000001</v>
      </c>
      <c r="H1330" s="1">
        <v>1.2956200000000001E-6</v>
      </c>
      <c r="I1330">
        <v>294.99770000000001</v>
      </c>
      <c r="J1330">
        <v>-190.27510000000001</v>
      </c>
      <c r="K1330">
        <v>1.106714</v>
      </c>
      <c r="L1330">
        <v>304.28739999999999</v>
      </c>
      <c r="M1330">
        <v>-0.105674</v>
      </c>
      <c r="N1330">
        <v>0</v>
      </c>
      <c r="O1330">
        <v>-0.99419049999999998</v>
      </c>
      <c r="P1330">
        <v>-0.26275389999999998</v>
      </c>
      <c r="Q1330">
        <v>-7.3418540000000004E-2</v>
      </c>
      <c r="R1330">
        <v>-0.96206610000000004</v>
      </c>
      <c r="S1330">
        <v>-1.0357510000000001</v>
      </c>
      <c r="T1330">
        <v>-0.32613039999999999</v>
      </c>
      <c r="U1330">
        <v>-2.8133539999999999</v>
      </c>
      <c r="V1330">
        <v>0.15902479999999999</v>
      </c>
      <c r="W1330">
        <v>-5.4943829999999999E-2</v>
      </c>
      <c r="X1330">
        <v>0.98574450000000002</v>
      </c>
      <c r="Y1330">
        <v>0.24230370000000001</v>
      </c>
      <c r="Z1330">
        <v>0.1089543</v>
      </c>
      <c r="AA1330">
        <v>0.96406320000000001</v>
      </c>
      <c r="AB1330">
        <v>28</v>
      </c>
      <c r="AC1330">
        <v>-3.4830000000000001</v>
      </c>
      <c r="AD1330">
        <v>-1.10671270438</v>
      </c>
      <c r="AE1330">
        <v>-9.2896999999999803</v>
      </c>
      <c r="AF1330">
        <v>2.4511044224464902</v>
      </c>
      <c r="AG1330">
        <v>-1.10671270438</v>
      </c>
      <c r="AH1330">
        <v>9.4877422046883506</v>
      </c>
      <c r="AI1330">
        <v>96.443600849405698</v>
      </c>
      <c r="AJ1330">
        <v>75.5146756864075</v>
      </c>
      <c r="AK1330">
        <v>9.8615403483633095</v>
      </c>
      <c r="AL1330">
        <v>93.149635735512703</v>
      </c>
      <c r="AM1330">
        <v>80.835740914442098</v>
      </c>
      <c r="AN1330">
        <v>0.99999996537517799</v>
      </c>
    </row>
    <row r="1331" spans="1:40" x14ac:dyDescent="0.3">
      <c r="A1331" t="str">
        <f>"20200111160429570"</f>
        <v>20200111160429570</v>
      </c>
      <c r="B1331" t="str">
        <f>"1578729869561850"</f>
        <v>1578729869561850</v>
      </c>
      <c r="C1331" t="s">
        <v>40</v>
      </c>
      <c r="D1331">
        <v>5.9850719999999997</v>
      </c>
      <c r="E1331">
        <v>0.60217359999999998</v>
      </c>
      <c r="F1331" t="s">
        <v>56</v>
      </c>
      <c r="G1331">
        <v>-194.08539999999999</v>
      </c>
      <c r="H1331" s="1">
        <v>1.295831E-6</v>
      </c>
      <c r="I1331">
        <v>294.91500000000002</v>
      </c>
      <c r="J1331">
        <v>-190.31379999999999</v>
      </c>
      <c r="K1331">
        <v>1.1065469999999999</v>
      </c>
      <c r="L1331">
        <v>303.9957</v>
      </c>
      <c r="M1331">
        <v>-0.11214159999999999</v>
      </c>
      <c r="N1331">
        <v>0</v>
      </c>
      <c r="O1331">
        <v>-0.993475</v>
      </c>
      <c r="P1331">
        <v>-0.27355879999999999</v>
      </c>
      <c r="Q1331">
        <v>-7.2442729999999997E-2</v>
      </c>
      <c r="R1331">
        <v>-0.95912370000000002</v>
      </c>
      <c r="S1331">
        <v>-1.1318509999999999</v>
      </c>
      <c r="T1331">
        <v>-0.32874979999999998</v>
      </c>
      <c r="U1331">
        <v>-2.7840880000000001</v>
      </c>
      <c r="V1331">
        <v>0.16366929999999999</v>
      </c>
      <c r="W1331">
        <v>-5.3787109999999999E-2</v>
      </c>
      <c r="X1331">
        <v>0.98504789999999998</v>
      </c>
      <c r="Y1331">
        <v>0.2680497</v>
      </c>
      <c r="Z1331">
        <v>0.10972750000000001</v>
      </c>
      <c r="AA1331">
        <v>0.95713590000000004</v>
      </c>
      <c r="AB1331">
        <v>27</v>
      </c>
      <c r="AC1331">
        <v>-3.7715999999999998</v>
      </c>
      <c r="AD1331">
        <v>-1.1065457041690001</v>
      </c>
      <c r="AE1331">
        <v>-9.0806999999999807</v>
      </c>
      <c r="AF1331">
        <v>2.6951231873533801</v>
      </c>
      <c r="AG1331">
        <v>-1.1065457041690001</v>
      </c>
      <c r="AH1331">
        <v>9.3283037261157595</v>
      </c>
      <c r="AI1331">
        <v>96.501453323660698</v>
      </c>
      <c r="AJ1331">
        <v>73.884995083629903</v>
      </c>
      <c r="AK1331">
        <v>9.7726855468233396</v>
      </c>
      <c r="AL1331">
        <v>93.083262199384393</v>
      </c>
      <c r="AM1331">
        <v>80.566279661762294</v>
      </c>
      <c r="AN1331">
        <v>1.0000000291295199</v>
      </c>
    </row>
    <row r="1332" spans="1:40" x14ac:dyDescent="0.3">
      <c r="A1332" t="str">
        <f>"20200111160429593"</f>
        <v>20200111160429593</v>
      </c>
      <c r="B1332" t="str">
        <f>"1578729869582346"</f>
        <v>1578729869582346</v>
      </c>
      <c r="C1332" t="s">
        <v>40</v>
      </c>
      <c r="D1332">
        <v>5.8920059999999896</v>
      </c>
      <c r="E1332">
        <v>0.60042779999999996</v>
      </c>
      <c r="F1332" t="s">
        <v>56</v>
      </c>
      <c r="G1332">
        <v>-195.32579999999999</v>
      </c>
      <c r="H1332" s="1">
        <v>9.2236570000000004E-7</v>
      </c>
      <c r="I1332">
        <v>295.66019999999997</v>
      </c>
      <c r="J1332">
        <v>-190.35169999999999</v>
      </c>
      <c r="K1332">
        <v>1.106411</v>
      </c>
      <c r="L1332">
        <v>303.7253</v>
      </c>
      <c r="M1332">
        <v>-0.1184163</v>
      </c>
      <c r="N1332">
        <v>0</v>
      </c>
      <c r="O1332">
        <v>-0.99274099999999998</v>
      </c>
      <c r="P1332">
        <v>-0.28401700000000002</v>
      </c>
      <c r="Q1332">
        <v>-7.161497E-2</v>
      </c>
      <c r="R1332">
        <v>-0.95614109999999997</v>
      </c>
      <c r="S1332">
        <v>-1.5917969999999999</v>
      </c>
      <c r="T1332">
        <v>-0.35143530000000001</v>
      </c>
      <c r="U1332">
        <v>-2.6473080000000002</v>
      </c>
      <c r="V1332">
        <v>0.16818039999999901</v>
      </c>
      <c r="W1332">
        <v>-5.2828670000000001E-2</v>
      </c>
      <c r="X1332">
        <v>0.98433959999999998</v>
      </c>
      <c r="Y1332">
        <v>0.40675709999999998</v>
      </c>
      <c r="Z1332">
        <v>0.1151068</v>
      </c>
      <c r="AA1332">
        <v>0.90625549999999999</v>
      </c>
      <c r="AB1332">
        <v>27</v>
      </c>
      <c r="AC1332">
        <v>-4.9740999999999902</v>
      </c>
      <c r="AD1332">
        <v>-1.1064100776343</v>
      </c>
      <c r="AE1332">
        <v>-8.0651000000000295</v>
      </c>
      <c r="AF1332">
        <v>3.9302518052667899</v>
      </c>
      <c r="AG1332">
        <v>-1.1064100776343</v>
      </c>
      <c r="AH1332">
        <v>8.4818345443993</v>
      </c>
      <c r="AI1332">
        <v>96.749882274054002</v>
      </c>
      <c r="AJ1332">
        <v>65.138274502838399</v>
      </c>
      <c r="AK1332">
        <v>9.4134233810691299</v>
      </c>
      <c r="AL1332">
        <v>93.028269582729394</v>
      </c>
      <c r="AM1332">
        <v>80.304289696174706</v>
      </c>
      <c r="AN1332">
        <v>0.99999998172314397</v>
      </c>
    </row>
    <row r="1333" spans="1:40" x14ac:dyDescent="0.3">
      <c r="A1333" t="str">
        <f>"20200111160429615"</f>
        <v>20200111160429615</v>
      </c>
      <c r="B1333" t="str">
        <f>"1578729869611626"</f>
        <v>1578729869611626</v>
      </c>
      <c r="C1333" t="s">
        <v>40</v>
      </c>
      <c r="D1333">
        <v>5.8934769999999999</v>
      </c>
      <c r="E1333">
        <v>0.59915390000000002</v>
      </c>
      <c r="F1333" t="s">
        <v>56</v>
      </c>
      <c r="G1333">
        <v>-195.55590000000001</v>
      </c>
      <c r="H1333" s="1">
        <v>1.06448E-6</v>
      </c>
      <c r="I1333">
        <v>295.20049999999998</v>
      </c>
      <c r="J1333">
        <v>-190.39169999999999</v>
      </c>
      <c r="K1333">
        <v>1.1062809999999901</v>
      </c>
      <c r="L1333">
        <v>303.4538</v>
      </c>
      <c r="M1333">
        <v>-0.12498869999999999</v>
      </c>
      <c r="N1333">
        <v>0</v>
      </c>
      <c r="O1333">
        <v>-0.99193050000000005</v>
      </c>
      <c r="P1333">
        <v>-0.29427890000000001</v>
      </c>
      <c r="Q1333">
        <v>-7.1552980000000002E-2</v>
      </c>
      <c r="R1333">
        <v>-0.95303720000000003</v>
      </c>
      <c r="S1333">
        <v>-1.6082000000000001</v>
      </c>
      <c r="T1333">
        <v>-0.34190340000000002</v>
      </c>
      <c r="U1333">
        <v>-2.6343380000000001</v>
      </c>
      <c r="V1333">
        <v>0.1722206</v>
      </c>
      <c r="W1333">
        <v>-5.2680959999999999E-2</v>
      </c>
      <c r="X1333">
        <v>0.98364870000000004</v>
      </c>
      <c r="Y1333">
        <v>0.4069796</v>
      </c>
      <c r="Z1333">
        <v>0.1121833</v>
      </c>
      <c r="AA1333">
        <v>0.9065223</v>
      </c>
      <c r="AB1333">
        <v>27</v>
      </c>
      <c r="AC1333">
        <v>-5.1642000000000197</v>
      </c>
      <c r="AD1333">
        <v>-1.1062799355199999</v>
      </c>
      <c r="AE1333">
        <v>-8.2533000000000207</v>
      </c>
      <c r="AF1333">
        <v>4.03972250119467</v>
      </c>
      <c r="AG1333">
        <v>-1.1062799355199999</v>
      </c>
      <c r="AH1333">
        <v>8.7215513155811504</v>
      </c>
      <c r="AI1333">
        <v>96.565692497113105</v>
      </c>
      <c r="AJ1333">
        <v>65.146969085849094</v>
      </c>
      <c r="AK1333">
        <v>9.6751573905910195</v>
      </c>
      <c r="AL1333">
        <v>93.019794591058201</v>
      </c>
      <c r="AM1333">
        <v>80.069115754719803</v>
      </c>
      <c r="AN1333">
        <v>0.99999999181128496</v>
      </c>
    </row>
    <row r="1334" spans="1:40" x14ac:dyDescent="0.3">
      <c r="A1334" t="str">
        <f>"20200111160429637"</f>
        <v>20200111160429637</v>
      </c>
      <c r="B1334" t="str">
        <f>"1578729869632121"</f>
        <v>1578729869632121</v>
      </c>
      <c r="C1334" t="s">
        <v>40</v>
      </c>
      <c r="D1334">
        <v>5.9063169999999996</v>
      </c>
      <c r="E1334">
        <v>0.59804099999999905</v>
      </c>
      <c r="F1334" t="s">
        <v>56</v>
      </c>
      <c r="G1334">
        <v>-195.58500000000001</v>
      </c>
      <c r="H1334" s="1">
        <v>1.102538E-6</v>
      </c>
      <c r="I1334">
        <v>295.08550000000002</v>
      </c>
      <c r="J1334">
        <v>-190.43039999999999</v>
      </c>
      <c r="K1334">
        <v>1.1061529999999999</v>
      </c>
      <c r="L1334">
        <v>303.20460000000003</v>
      </c>
      <c r="M1334">
        <v>-0.1312506</v>
      </c>
      <c r="N1334">
        <v>0</v>
      </c>
      <c r="O1334">
        <v>-0.99111859999999996</v>
      </c>
      <c r="P1334">
        <v>-0.30354740000000002</v>
      </c>
      <c r="Q1334">
        <v>-7.2358199999999998E-2</v>
      </c>
      <c r="R1334">
        <v>-0.95006480000000004</v>
      </c>
      <c r="S1334">
        <v>-1.625839</v>
      </c>
      <c r="T1334">
        <v>-0.3463407</v>
      </c>
      <c r="U1334">
        <v>-2.6198429999999999</v>
      </c>
      <c r="V1334">
        <v>0.17556830000000001</v>
      </c>
      <c r="W1334">
        <v>-5.3450419999999998E-2</v>
      </c>
      <c r="X1334">
        <v>0.98301519999999998</v>
      </c>
      <c r="Y1334">
        <v>0.40776899999999999</v>
      </c>
      <c r="Z1334">
        <v>0.1138006</v>
      </c>
      <c r="AA1334">
        <v>0.90596569999999998</v>
      </c>
      <c r="AB1334">
        <v>27</v>
      </c>
      <c r="AC1334">
        <v>-5.1546000000000101</v>
      </c>
      <c r="AD1334">
        <v>-1.1061518974619999</v>
      </c>
      <c r="AE1334">
        <v>-8.1190999999999995</v>
      </c>
      <c r="AF1334">
        <v>3.9913056760500401</v>
      </c>
      <c r="AG1334">
        <v>-1.1061518974619999</v>
      </c>
      <c r="AH1334">
        <v>8.6116049165093198</v>
      </c>
      <c r="AI1334">
        <v>96.647277585516406</v>
      </c>
      <c r="AJ1334">
        <v>65.133225735896104</v>
      </c>
      <c r="AK1334">
        <v>9.5558271362543792</v>
      </c>
      <c r="AL1334">
        <v>93.063943492673701</v>
      </c>
      <c r="AM1334">
        <v>79.873641078237</v>
      </c>
      <c r="AN1334">
        <v>1.0000000293970499</v>
      </c>
    </row>
    <row r="1335" spans="1:40" x14ac:dyDescent="0.3">
      <c r="A1335" t="str">
        <f>"20200111160429659"</f>
        <v>20200111160429659</v>
      </c>
      <c r="B1335" t="str">
        <f>"1578729869651642"</f>
        <v>1578729869651642</v>
      </c>
      <c r="C1335" t="s">
        <v>40</v>
      </c>
      <c r="D1335">
        <v>5.8280629999999896</v>
      </c>
      <c r="E1335">
        <v>0.59772349999999996</v>
      </c>
      <c r="F1335" t="s">
        <v>56</v>
      </c>
      <c r="G1335">
        <v>-195.6319</v>
      </c>
      <c r="H1335" s="1">
        <v>1.1450320000000001E-6</v>
      </c>
      <c r="I1335">
        <v>294.95359999999999</v>
      </c>
      <c r="J1335">
        <v>-190.47479999999999</v>
      </c>
      <c r="K1335">
        <v>1.10602</v>
      </c>
      <c r="L1335">
        <v>302.9323</v>
      </c>
      <c r="M1335">
        <v>-0.13831959999999999</v>
      </c>
      <c r="N1335">
        <v>0</v>
      </c>
      <c r="O1335">
        <v>-0.99015439999999999</v>
      </c>
      <c r="P1335">
        <v>-0.31298429999999999</v>
      </c>
      <c r="Q1335">
        <v>-7.3321949999999997E-2</v>
      </c>
      <c r="R1335">
        <v>-0.94692399999999999</v>
      </c>
      <c r="S1335">
        <v>-1.642914</v>
      </c>
      <c r="T1335">
        <v>-0.3493868</v>
      </c>
      <c r="U1335">
        <v>-2.6061399999999999</v>
      </c>
      <c r="V1335">
        <v>0.178313</v>
      </c>
      <c r="W1335">
        <v>-5.4404199999999903E-2</v>
      </c>
      <c r="X1335">
        <v>0.98246869999999997</v>
      </c>
      <c r="Y1335">
        <v>0.40758369999999999</v>
      </c>
      <c r="Z1335">
        <v>0.114944699999999</v>
      </c>
      <c r="AA1335">
        <v>0.90590470000000001</v>
      </c>
      <c r="AB1335">
        <v>27</v>
      </c>
      <c r="AC1335">
        <v>-5.1571000000000096</v>
      </c>
      <c r="AD1335">
        <v>-1.1060188549679999</v>
      </c>
      <c r="AE1335">
        <v>-7.9786999999999999</v>
      </c>
      <c r="AF1335">
        <v>3.9501017231682098</v>
      </c>
      <c r="AG1335">
        <v>-1.1060188549679999</v>
      </c>
      <c r="AH1335">
        <v>8.5002547230962904</v>
      </c>
      <c r="AI1335">
        <v>96.729640272930993</v>
      </c>
      <c r="AJ1335">
        <v>65.075521931621793</v>
      </c>
      <c r="AK1335">
        <v>9.4382684687628</v>
      </c>
      <c r="AL1335">
        <v>93.118670649459602</v>
      </c>
      <c r="AM1335">
        <v>79.713087809310295</v>
      </c>
      <c r="AN1335">
        <v>1.0000000447131601</v>
      </c>
    </row>
    <row r="1336" spans="1:40" x14ac:dyDescent="0.3">
      <c r="A1336" t="str">
        <f>"20200111160429680"</f>
        <v>20200111160429680</v>
      </c>
      <c r="B1336" t="str">
        <f>"1578729869672138"</f>
        <v>1578729869672138</v>
      </c>
      <c r="C1336" t="s">
        <v>40</v>
      </c>
      <c r="D1336">
        <v>5.7795059999999996</v>
      </c>
      <c r="E1336">
        <v>0.59743869999999999</v>
      </c>
      <c r="F1336" t="s">
        <v>56</v>
      </c>
      <c r="G1336">
        <v>-195.69659999999999</v>
      </c>
      <c r="H1336" s="1">
        <v>1.188734E-6</v>
      </c>
      <c r="I1336">
        <v>294.81369999999998</v>
      </c>
      <c r="J1336">
        <v>-190.51830000000001</v>
      </c>
      <c r="K1336">
        <v>1.1059060000000001</v>
      </c>
      <c r="L1336">
        <v>302.678</v>
      </c>
      <c r="M1336">
        <v>-0.1451267</v>
      </c>
      <c r="N1336">
        <v>0</v>
      </c>
      <c r="O1336">
        <v>-0.98917820000000001</v>
      </c>
      <c r="P1336">
        <v>-0.32163009999999997</v>
      </c>
      <c r="Q1336">
        <v>-7.4428430000000004E-2</v>
      </c>
      <c r="R1336">
        <v>-0.943936</v>
      </c>
      <c r="S1336">
        <v>-1.6659849999999901</v>
      </c>
      <c r="T1336">
        <v>-0.35286630000000002</v>
      </c>
      <c r="U1336">
        <v>-2.590179</v>
      </c>
      <c r="V1336">
        <v>0.1805224</v>
      </c>
      <c r="W1336">
        <v>-5.5524259999999999E-2</v>
      </c>
      <c r="X1336">
        <v>0.98200240000000005</v>
      </c>
      <c r="Y1336">
        <v>0.40947790000000001</v>
      </c>
      <c r="Z1336">
        <v>0.1161885</v>
      </c>
      <c r="AA1336">
        <v>0.90489120000000001</v>
      </c>
      <c r="AB1336">
        <v>27</v>
      </c>
      <c r="AC1336">
        <v>-5.1782999999999699</v>
      </c>
      <c r="AD1336">
        <v>-1.1059048112659999</v>
      </c>
      <c r="AE1336">
        <v>-7.8643000000000098</v>
      </c>
      <c r="AF1336">
        <v>3.9276874354937998</v>
      </c>
      <c r="AG1336">
        <v>-1.1059048112659999</v>
      </c>
      <c r="AH1336">
        <v>8.4165861808445204</v>
      </c>
      <c r="AI1336">
        <v>96.790183852029898</v>
      </c>
      <c r="AJ1336">
        <v>64.983401579918393</v>
      </c>
      <c r="AK1336">
        <v>9.3535382065879293</v>
      </c>
      <c r="AL1336">
        <v>93.182942671107298</v>
      </c>
      <c r="AM1336">
        <v>79.583562346115997</v>
      </c>
      <c r="AN1336">
        <v>0.99999999697803299</v>
      </c>
    </row>
    <row r="1337" spans="1:40" x14ac:dyDescent="0.3">
      <c r="A1337" t="str">
        <f>"20200111160429705"</f>
        <v>20200111160429705</v>
      </c>
      <c r="B1337" t="str">
        <f>"1578729869702394"</f>
        <v>1578729869702394</v>
      </c>
      <c r="C1337" t="s">
        <v>40</v>
      </c>
      <c r="D1337">
        <v>5.8260959999999997</v>
      </c>
      <c r="E1337">
        <v>0.5962113</v>
      </c>
      <c r="F1337" t="s">
        <v>56</v>
      </c>
      <c r="G1337">
        <v>-195.7457</v>
      </c>
      <c r="H1337" s="1">
        <v>1.224513E-6</v>
      </c>
      <c r="I1337">
        <v>294.7002</v>
      </c>
      <c r="J1337">
        <v>-190.56780000000001</v>
      </c>
      <c r="K1337">
        <v>1.1058059999999901</v>
      </c>
      <c r="L1337">
        <v>302.40210000000002</v>
      </c>
      <c r="M1337">
        <v>-0.1527211</v>
      </c>
      <c r="N1337">
        <v>0</v>
      </c>
      <c r="O1337">
        <v>-0.9880331</v>
      </c>
      <c r="P1337">
        <v>-0.32960729999999999</v>
      </c>
      <c r="Q1337">
        <v>-7.5251579999999998E-2</v>
      </c>
      <c r="R1337">
        <v>-0.94111449999999996</v>
      </c>
      <c r="S1337">
        <v>-1.6873469999999999</v>
      </c>
      <c r="T1337">
        <v>-0.35697129999999999</v>
      </c>
      <c r="U1337">
        <v>-2.5751339999999998</v>
      </c>
      <c r="V1337">
        <v>0.18127740000000001</v>
      </c>
      <c r="W1337">
        <v>-5.6349719999999999E-2</v>
      </c>
      <c r="X1337">
        <v>0.98181629999999998</v>
      </c>
      <c r="Y1337">
        <v>0.4100606</v>
      </c>
      <c r="Z1337">
        <v>0.1176233</v>
      </c>
      <c r="AA1337">
        <v>0.90444179999999996</v>
      </c>
      <c r="AB1337">
        <v>26</v>
      </c>
      <c r="AC1337">
        <v>-5.1778999999999904</v>
      </c>
      <c r="AD1337">
        <v>-1.10580477548699</v>
      </c>
      <c r="AE1337">
        <v>-7.7019000000000197</v>
      </c>
      <c r="AF1337">
        <v>3.88545135348209</v>
      </c>
      <c r="AG1337">
        <v>-1.10580477548699</v>
      </c>
      <c r="AH1337">
        <v>8.2848466452900702</v>
      </c>
      <c r="AI1337">
        <v>96.890420604324902</v>
      </c>
      <c r="AJ1337">
        <v>64.874226079213898</v>
      </c>
      <c r="AK1337">
        <v>9.2172783595668797</v>
      </c>
      <c r="AL1337">
        <v>93.230312149053603</v>
      </c>
      <c r="AM1337">
        <v>79.539018326804495</v>
      </c>
      <c r="AN1337">
        <v>1.0000000168202601</v>
      </c>
    </row>
    <row r="1338" spans="1:40" x14ac:dyDescent="0.3">
      <c r="A1338" t="str">
        <f>"20200111160429725"</f>
        <v>20200111160429725</v>
      </c>
      <c r="B1338" t="str">
        <f>"1578729869721914"</f>
        <v>1578729869721914</v>
      </c>
      <c r="C1338" t="s">
        <v>40</v>
      </c>
      <c r="D1338">
        <v>5.8140839999999896</v>
      </c>
      <c r="E1338">
        <v>0.59579269999999995</v>
      </c>
      <c r="F1338" t="s">
        <v>56</v>
      </c>
      <c r="G1338">
        <v>-195.7028</v>
      </c>
      <c r="H1338" s="1">
        <v>1.244764E-6</v>
      </c>
      <c r="I1338">
        <v>294.65370000000001</v>
      </c>
      <c r="J1338">
        <v>-190.6129</v>
      </c>
      <c r="K1338">
        <v>1.105739</v>
      </c>
      <c r="L1338">
        <v>302.16230000000002</v>
      </c>
      <c r="M1338">
        <v>-0.15949859999999999</v>
      </c>
      <c r="N1338">
        <v>0</v>
      </c>
      <c r="O1338">
        <v>-0.98696119999999998</v>
      </c>
      <c r="P1338">
        <v>-0.338339099999999</v>
      </c>
      <c r="Q1338">
        <v>-7.6289629999999997E-2</v>
      </c>
      <c r="R1338">
        <v>-0.93792690000000001</v>
      </c>
      <c r="S1338">
        <v>-1.6988369999999999</v>
      </c>
      <c r="T1338">
        <v>-0.36584</v>
      </c>
      <c r="U1338">
        <v>-2.5634769999999998</v>
      </c>
      <c r="V1338">
        <v>0.1836518</v>
      </c>
      <c r="W1338">
        <v>-5.7433440000000002E-2</v>
      </c>
      <c r="X1338">
        <v>0.98131210000000002</v>
      </c>
      <c r="Y1338">
        <v>0.40831319999999999</v>
      </c>
      <c r="Z1338">
        <v>0.12066639999999999</v>
      </c>
      <c r="AA1338">
        <v>0.90483150000000001</v>
      </c>
      <c r="AB1338">
        <v>26</v>
      </c>
      <c r="AC1338">
        <v>-5.0899000000000001</v>
      </c>
      <c r="AD1338">
        <v>-1.1057377552359999</v>
      </c>
      <c r="AE1338">
        <v>-7.5086000000000004</v>
      </c>
      <c r="AF1338">
        <v>3.77078919683481</v>
      </c>
      <c r="AG1338">
        <v>-1.1057377552359999</v>
      </c>
      <c r="AH1338">
        <v>8.1040381057058397</v>
      </c>
      <c r="AI1338">
        <v>97.052061194764903</v>
      </c>
      <c r="AJ1338">
        <v>65.047555796697793</v>
      </c>
      <c r="AK1338">
        <v>9.0064943662366694</v>
      </c>
      <c r="AL1338">
        <v>93.292505484257006</v>
      </c>
      <c r="AM1338">
        <v>79.399761256199696</v>
      </c>
      <c r="AN1338">
        <v>1.00000001063994</v>
      </c>
    </row>
    <row r="1339" spans="1:40" x14ac:dyDescent="0.3">
      <c r="A1339" t="str">
        <f>"20200111160429748"</f>
        <v>20200111160429748</v>
      </c>
      <c r="B1339" t="str">
        <f>"1578729869742410"</f>
        <v>1578729869742410</v>
      </c>
      <c r="C1339" t="s">
        <v>40</v>
      </c>
      <c r="D1339">
        <v>5.8150659999999998</v>
      </c>
      <c r="E1339">
        <v>0.59537050000000002</v>
      </c>
      <c r="F1339" t="s">
        <v>56</v>
      </c>
      <c r="G1339">
        <v>-195.74700000000001</v>
      </c>
      <c r="H1339" s="1">
        <v>1.265369E-6</v>
      </c>
      <c r="I1339">
        <v>294.55189999999999</v>
      </c>
      <c r="J1339">
        <v>-190.66419999999999</v>
      </c>
      <c r="K1339">
        <v>1.1057030000000001</v>
      </c>
      <c r="L1339">
        <v>301.90100000000001</v>
      </c>
      <c r="M1339">
        <v>-0.16702359999999999</v>
      </c>
      <c r="N1339">
        <v>0</v>
      </c>
      <c r="O1339">
        <v>-0.98571549999999997</v>
      </c>
      <c r="P1339">
        <v>-0.34940450000000001</v>
      </c>
      <c r="Q1339">
        <v>-7.6150830000000003E-2</v>
      </c>
      <c r="R1339">
        <v>-0.93387240000000005</v>
      </c>
      <c r="S1339">
        <v>-1.719147</v>
      </c>
      <c r="T1339">
        <v>-0.37025140000000001</v>
      </c>
      <c r="U1339">
        <v>-2.548279</v>
      </c>
      <c r="V1339">
        <v>0.1877538</v>
      </c>
      <c r="W1339">
        <v>-5.7377940000000002E-2</v>
      </c>
      <c r="X1339">
        <v>0.98053880000000004</v>
      </c>
      <c r="Y1339">
        <v>0.4087094</v>
      </c>
      <c r="Z1339">
        <v>0.1222039</v>
      </c>
      <c r="AA1339">
        <v>0.90444619999999998</v>
      </c>
      <c r="AB1339">
        <v>26</v>
      </c>
      <c r="AC1339">
        <v>-5.0828000000000104</v>
      </c>
      <c r="AD1339">
        <v>-1.1057017346310001</v>
      </c>
      <c r="AE1339">
        <v>-7.3491000000000204</v>
      </c>
      <c r="AF1339">
        <v>3.7265461870159502</v>
      </c>
      <c r="AG1339">
        <v>-1.1057017346310001</v>
      </c>
      <c r="AH1339">
        <v>7.9728829726962198</v>
      </c>
      <c r="AI1339">
        <v>97.160924660136502</v>
      </c>
      <c r="AJ1339">
        <v>64.948491285837093</v>
      </c>
      <c r="AK1339">
        <v>8.8699822833102893</v>
      </c>
      <c r="AL1339">
        <v>93.289320259271705</v>
      </c>
      <c r="AM1339">
        <v>79.160198963262005</v>
      </c>
      <c r="AN1339">
        <v>1.00000002785926</v>
      </c>
    </row>
    <row r="1340" spans="1:40" x14ac:dyDescent="0.3">
      <c r="A1340" t="str">
        <f>"20200111160429772"</f>
        <v>20200111160429772</v>
      </c>
      <c r="B1340" t="str">
        <f>"1578729869761930"</f>
        <v>1578729869761930</v>
      </c>
      <c r="C1340" t="s">
        <v>40</v>
      </c>
      <c r="D1340">
        <v>6.2040509999999998</v>
      </c>
      <c r="E1340">
        <v>0.59523579999999998</v>
      </c>
      <c r="F1340" t="s">
        <v>56</v>
      </c>
      <c r="G1340">
        <v>-195.9299</v>
      </c>
      <c r="H1340" s="1">
        <v>1.297629E-6</v>
      </c>
      <c r="I1340">
        <v>294.27670000000001</v>
      </c>
      <c r="J1340">
        <v>-190.71860000000001</v>
      </c>
      <c r="K1340">
        <v>1.1056709999999901</v>
      </c>
      <c r="L1340">
        <v>301.63499999999999</v>
      </c>
      <c r="M1340">
        <v>-0.17481079999999999</v>
      </c>
      <c r="N1340">
        <v>0</v>
      </c>
      <c r="O1340">
        <v>-0.98436440000000003</v>
      </c>
      <c r="P1340">
        <v>-0.36127609999999999</v>
      </c>
      <c r="Q1340">
        <v>-7.6653470000000001E-2</v>
      </c>
      <c r="R1340">
        <v>-0.9293032</v>
      </c>
      <c r="S1340">
        <v>-1.746658</v>
      </c>
      <c r="T1340">
        <v>-0.36676700000000001</v>
      </c>
      <c r="U1340">
        <v>-2.5290219999999999</v>
      </c>
      <c r="V1340">
        <v>0.19248509999999999</v>
      </c>
      <c r="W1340">
        <v>-5.7979700000000002E-2</v>
      </c>
      <c r="X1340">
        <v>0.9795855</v>
      </c>
      <c r="Y1340">
        <v>0.41145890000000002</v>
      </c>
      <c r="Z1340">
        <v>0.1211569</v>
      </c>
      <c r="AA1340">
        <v>0.90333969999999997</v>
      </c>
      <c r="AB1340">
        <v>26</v>
      </c>
      <c r="AC1340">
        <v>-5.2112999999999898</v>
      </c>
      <c r="AD1340">
        <v>-1.10566970237099</v>
      </c>
      <c r="AE1340">
        <v>-7.3582999999999803</v>
      </c>
      <c r="AF1340">
        <v>3.7874571046960299</v>
      </c>
      <c r="AG1340">
        <v>-1.10566970237099</v>
      </c>
      <c r="AH1340">
        <v>8.0353248773132293</v>
      </c>
      <c r="AI1340">
        <v>97.094972249444098</v>
      </c>
      <c r="AJ1340">
        <v>64.763114850239702</v>
      </c>
      <c r="AK1340">
        <v>8.9517474659768297</v>
      </c>
      <c r="AL1340">
        <v>93.323856303170601</v>
      </c>
      <c r="AM1340">
        <v>78.883213333482203</v>
      </c>
      <c r="AN1340">
        <v>0.99999995557217403</v>
      </c>
    </row>
    <row r="1341" spans="1:40" x14ac:dyDescent="0.3">
      <c r="A1341" t="str">
        <f>"20200111160429794"</f>
        <v>20200111160429794</v>
      </c>
      <c r="B1341" t="str">
        <f>"1578729869792185"</f>
        <v>1578729869792185</v>
      </c>
      <c r="C1341" t="s">
        <v>40</v>
      </c>
      <c r="D1341">
        <v>5.790311</v>
      </c>
      <c r="E1341">
        <v>0.59439770000000003</v>
      </c>
      <c r="F1341" t="s">
        <v>56</v>
      </c>
      <c r="G1341">
        <v>-196.11580000000001</v>
      </c>
      <c r="H1341" s="1">
        <v>1.324976E-6</v>
      </c>
      <c r="I1341">
        <v>294.02780000000001</v>
      </c>
      <c r="J1341">
        <v>-190.77199999999999</v>
      </c>
      <c r="K1341">
        <v>1.10565</v>
      </c>
      <c r="L1341">
        <v>301.38470000000001</v>
      </c>
      <c r="M1341">
        <v>-0.18225050000000001</v>
      </c>
      <c r="N1341">
        <v>0</v>
      </c>
      <c r="O1341">
        <v>-0.98301470000000002</v>
      </c>
      <c r="P1341">
        <v>-0.37301390000000001</v>
      </c>
      <c r="Q1341">
        <v>-7.793166E-2</v>
      </c>
      <c r="R1341">
        <v>-0.92454740000000002</v>
      </c>
      <c r="S1341">
        <v>-1.7785029999999999</v>
      </c>
      <c r="T1341">
        <v>-0.36434559999999999</v>
      </c>
      <c r="U1341">
        <v>-2.5067750000000002</v>
      </c>
      <c r="V1341">
        <v>0.19747110000000001</v>
      </c>
      <c r="W1341">
        <v>-5.9363350000000002E-2</v>
      </c>
      <c r="X1341">
        <v>0.97850970000000004</v>
      </c>
      <c r="Y1341">
        <v>0.41604000000000002</v>
      </c>
      <c r="Z1341">
        <v>0.1204547</v>
      </c>
      <c r="AA1341">
        <v>0.9013331</v>
      </c>
      <c r="AB1341">
        <v>26</v>
      </c>
      <c r="AC1341">
        <v>-5.3437999999999803</v>
      </c>
      <c r="AD1341">
        <v>-1.105648675024</v>
      </c>
      <c r="AE1341">
        <v>-7.3568999999999898</v>
      </c>
      <c r="AF1341">
        <v>3.8561343272755302</v>
      </c>
      <c r="AG1341">
        <v>-1.105648675024</v>
      </c>
      <c r="AH1341">
        <v>8.0881802764242803</v>
      </c>
      <c r="AI1341">
        <v>97.034342914665899</v>
      </c>
      <c r="AJ1341">
        <v>64.509983260681906</v>
      </c>
      <c r="AK1341">
        <v>9.0283382261916696</v>
      </c>
      <c r="AL1341">
        <v>93.403270141519897</v>
      </c>
      <c r="AM1341">
        <v>78.590494923905993</v>
      </c>
      <c r="AN1341">
        <v>1.0000000378262599</v>
      </c>
    </row>
    <row r="1342" spans="1:40" x14ac:dyDescent="0.3">
      <c r="A1342" t="str">
        <f>"20200111160429815"</f>
        <v>20200111160429815</v>
      </c>
      <c r="B1342" t="str">
        <f>"1578729869811707"</f>
        <v>1578729869811707</v>
      </c>
      <c r="C1342" t="s">
        <v>40</v>
      </c>
      <c r="D1342">
        <v>5.7415440000000002</v>
      </c>
      <c r="E1342">
        <v>0.59412849999999995</v>
      </c>
      <c r="F1342" t="s">
        <v>56</v>
      </c>
      <c r="G1342">
        <v>-196.24379999999999</v>
      </c>
      <c r="H1342" s="1">
        <v>1.3458530000000001E-6</v>
      </c>
      <c r="I1342">
        <v>293.84480000000002</v>
      </c>
      <c r="J1342">
        <v>-190.82509999999999</v>
      </c>
      <c r="K1342">
        <v>1.1056299999999999</v>
      </c>
      <c r="L1342">
        <v>301.14510000000001</v>
      </c>
      <c r="M1342">
        <v>-0.1894709</v>
      </c>
      <c r="N1342">
        <v>0</v>
      </c>
      <c r="O1342">
        <v>-0.98164870000000004</v>
      </c>
      <c r="P1342">
        <v>-0.38379819999999998</v>
      </c>
      <c r="Q1342">
        <v>-7.9505220000000001E-2</v>
      </c>
      <c r="R1342">
        <v>-0.91998820000000003</v>
      </c>
      <c r="S1342">
        <v>-1.8042450000000001</v>
      </c>
      <c r="T1342">
        <v>-0.36457539999999999</v>
      </c>
      <c r="U1342">
        <v>-2.4862060000000001</v>
      </c>
      <c r="V1342">
        <v>0.20171439999999999</v>
      </c>
      <c r="W1342">
        <v>-6.1031710000000003E-2</v>
      </c>
      <c r="X1342">
        <v>0.97754099999999999</v>
      </c>
      <c r="Y1342">
        <v>0.41900320000000002</v>
      </c>
      <c r="Z1342">
        <v>0.1206605</v>
      </c>
      <c r="AA1342">
        <v>0.89993179999999995</v>
      </c>
      <c r="AB1342">
        <v>25</v>
      </c>
      <c r="AC1342">
        <v>-5.4187000000000003</v>
      </c>
      <c r="AD1342">
        <v>-1.105628654147</v>
      </c>
      <c r="AE1342">
        <v>-7.3002999999999902</v>
      </c>
      <c r="AF1342">
        <v>3.8796082621457399</v>
      </c>
      <c r="AG1342">
        <v>-1.105628654147</v>
      </c>
      <c r="AH1342">
        <v>8.0754990644959204</v>
      </c>
      <c r="AI1342">
        <v>97.035231247245704</v>
      </c>
      <c r="AJ1342">
        <v>64.3395719037578</v>
      </c>
      <c r="AK1342">
        <v>9.0270404967107005</v>
      </c>
      <c r="AL1342">
        <v>93.499033980239204</v>
      </c>
      <c r="AM1342">
        <v>78.340730369240603</v>
      </c>
      <c r="AN1342">
        <v>0.99999998773694199</v>
      </c>
    </row>
    <row r="1343" spans="1:40" x14ac:dyDescent="0.3">
      <c r="A1343" t="str">
        <f>"20200111160429838"</f>
        <v>20200111160429838</v>
      </c>
      <c r="B1343" t="str">
        <f>"1578729869832201"</f>
        <v>1578729869832201</v>
      </c>
      <c r="C1343" t="s">
        <v>40</v>
      </c>
      <c r="D1343">
        <v>5.7649619999999997</v>
      </c>
      <c r="E1343">
        <v>0.59361330000000001</v>
      </c>
      <c r="F1343" t="s">
        <v>56</v>
      </c>
      <c r="G1343">
        <v>-196.32040000000001</v>
      </c>
      <c r="H1343" s="1">
        <v>1.3560170000000001E-6</v>
      </c>
      <c r="I1343">
        <v>293.74849999999998</v>
      </c>
      <c r="J1343">
        <v>-190.88030000000001</v>
      </c>
      <c r="K1343">
        <v>1.105618</v>
      </c>
      <c r="L1343">
        <v>300.9049</v>
      </c>
      <c r="M1343">
        <v>-0.1968114</v>
      </c>
      <c r="N1343">
        <v>0</v>
      </c>
      <c r="O1343">
        <v>-0.98020390000000002</v>
      </c>
      <c r="P1343">
        <v>-0.39445839999999999</v>
      </c>
      <c r="Q1343">
        <v>-8.1722089999999997E-2</v>
      </c>
      <c r="R1343">
        <v>-0.91527270000000005</v>
      </c>
      <c r="S1343">
        <v>-1.8314360000000001</v>
      </c>
      <c r="T1343">
        <v>-0.36847609999999997</v>
      </c>
      <c r="U1343">
        <v>-2.4650880000000002</v>
      </c>
      <c r="V1343">
        <v>0.2057532</v>
      </c>
      <c r="W1343">
        <v>-6.3349649999999993E-2</v>
      </c>
      <c r="X1343">
        <v>0.97655130000000001</v>
      </c>
      <c r="Y1343">
        <v>0.4222012</v>
      </c>
      <c r="Z1343">
        <v>0.1220362</v>
      </c>
      <c r="AA1343">
        <v>0.8982502</v>
      </c>
      <c r="AB1343">
        <v>25</v>
      </c>
      <c r="AC1343">
        <v>-5.4401000000000002</v>
      </c>
      <c r="AD1343">
        <v>-1.105616643983</v>
      </c>
      <c r="AE1343">
        <v>-7.1564000000000103</v>
      </c>
      <c r="AF1343">
        <v>3.8663735659072</v>
      </c>
      <c r="AG1343">
        <v>-1.105616643983</v>
      </c>
      <c r="AH1343">
        <v>7.9667749408716801</v>
      </c>
      <c r="AI1343">
        <v>97.116670465997899</v>
      </c>
      <c r="AJ1343">
        <v>64.112132318885003</v>
      </c>
      <c r="AK1343">
        <v>8.9241658250561002</v>
      </c>
      <c r="AL1343">
        <v>93.632099725743998</v>
      </c>
      <c r="AM1343">
        <v>78.102159254341004</v>
      </c>
      <c r="AN1343">
        <v>0.99999999949852603</v>
      </c>
    </row>
    <row r="1344" spans="1:40" x14ac:dyDescent="0.3">
      <c r="A1344" t="str">
        <f>"20200111160429861"</f>
        <v>20200111160429861</v>
      </c>
      <c r="B1344" t="str">
        <f>"1578729869851722"</f>
        <v>1578729869851722</v>
      </c>
      <c r="C1344" t="s">
        <v>40</v>
      </c>
      <c r="D1344">
        <v>5.6847799999999999</v>
      </c>
      <c r="E1344">
        <v>0.59304849999999998</v>
      </c>
      <c r="F1344" t="s">
        <v>56</v>
      </c>
      <c r="G1344">
        <v>-196.3648</v>
      </c>
      <c r="H1344" s="1">
        <v>1.363818E-6</v>
      </c>
      <c r="I1344">
        <v>293.68180000000001</v>
      </c>
      <c r="J1344">
        <v>-190.9417</v>
      </c>
      <c r="K1344">
        <v>1.1055969999999999</v>
      </c>
      <c r="L1344">
        <v>300.64729999999997</v>
      </c>
      <c r="M1344">
        <v>-0.20480309999999999</v>
      </c>
      <c r="N1344">
        <v>0</v>
      </c>
      <c r="O1344">
        <v>-0.97856620000000005</v>
      </c>
      <c r="P1344">
        <v>-0.40510259999999998</v>
      </c>
      <c r="Q1344">
        <v>-8.3536540000000006E-2</v>
      </c>
      <c r="R1344">
        <v>-0.91044709999999995</v>
      </c>
      <c r="S1344">
        <v>-1.856033</v>
      </c>
      <c r="T1344">
        <v>-0.3741546</v>
      </c>
      <c r="U1344">
        <v>-2.4443969999999999</v>
      </c>
      <c r="V1344">
        <v>0.20916960000000001</v>
      </c>
      <c r="W1344">
        <v>-6.5269170000000001E-2</v>
      </c>
      <c r="X1344">
        <v>0.97569870000000003</v>
      </c>
      <c r="Y1344">
        <v>0.42405799999999999</v>
      </c>
      <c r="Z1344">
        <v>0.1240067</v>
      </c>
      <c r="AA1344">
        <v>0.89710489999999998</v>
      </c>
      <c r="AB1344">
        <v>25</v>
      </c>
      <c r="AC1344">
        <v>-5.4230999999999998</v>
      </c>
      <c r="AD1344">
        <v>-1.1055956361820001</v>
      </c>
      <c r="AE1344">
        <v>-6.9654999999999596</v>
      </c>
      <c r="AF1344">
        <v>3.8212682349756601</v>
      </c>
      <c r="AG1344">
        <v>-1.1055956361820001</v>
      </c>
      <c r="AH1344">
        <v>7.8062647137934</v>
      </c>
      <c r="AI1344">
        <v>97.249442777846795</v>
      </c>
      <c r="AJ1344">
        <v>63.917649918236002</v>
      </c>
      <c r="AK1344">
        <v>8.7614040778972502</v>
      </c>
      <c r="AL1344">
        <v>93.742308380382397</v>
      </c>
      <c r="AM1344">
        <v>77.900116605003106</v>
      </c>
      <c r="AN1344">
        <v>0.99999996964916804</v>
      </c>
    </row>
    <row r="1345" spans="1:40" x14ac:dyDescent="0.3">
      <c r="A1345" t="str">
        <f>"20200111160429883"</f>
        <v>20200111160429883</v>
      </c>
      <c r="B1345" t="str">
        <f>"1578729869873194"</f>
        <v>1578729869873194</v>
      </c>
      <c r="C1345" t="s">
        <v>40</v>
      </c>
      <c r="D1345">
        <v>5.7132639999999997</v>
      </c>
      <c r="E1345">
        <v>0.59247709999999998</v>
      </c>
      <c r="F1345" t="s">
        <v>56</v>
      </c>
      <c r="G1345">
        <v>-196.40860000000001</v>
      </c>
      <c r="H1345" s="1">
        <v>1.374555E-6</v>
      </c>
      <c r="I1345">
        <v>293.59879999999998</v>
      </c>
      <c r="J1345">
        <v>-191.00239999999999</v>
      </c>
      <c r="K1345">
        <v>1.1055809999999999</v>
      </c>
      <c r="L1345">
        <v>300.40210000000002</v>
      </c>
      <c r="M1345">
        <v>-0.21253720000000001</v>
      </c>
      <c r="N1345">
        <v>0</v>
      </c>
      <c r="O1345">
        <v>-0.97691640000000002</v>
      </c>
      <c r="P1345">
        <v>-0.4153155</v>
      </c>
      <c r="Q1345">
        <v>-8.4657999999999997E-2</v>
      </c>
      <c r="R1345">
        <v>-0.90572980000000003</v>
      </c>
      <c r="S1345">
        <v>-1.8798680000000001</v>
      </c>
      <c r="T1345">
        <v>-0.3801793</v>
      </c>
      <c r="U1345">
        <v>-2.423737</v>
      </c>
      <c r="V1345">
        <v>0.21242</v>
      </c>
      <c r="W1345">
        <v>-6.6504590000000002E-2</v>
      </c>
      <c r="X1345">
        <v>0.97491280000000002</v>
      </c>
      <c r="Y1345">
        <v>0.42595040000000001</v>
      </c>
      <c r="Z1345">
        <v>0.1260915</v>
      </c>
      <c r="AA1345">
        <v>0.89591690000000002</v>
      </c>
      <c r="AB1345">
        <v>25</v>
      </c>
      <c r="AC1345">
        <v>-5.4062000000000099</v>
      </c>
      <c r="AD1345">
        <v>-1.1055796254450001</v>
      </c>
      <c r="AE1345">
        <v>-6.8033000000000303</v>
      </c>
      <c r="AF1345">
        <v>3.77522856161176</v>
      </c>
      <c r="AG1345">
        <v>-1.1055796254450001</v>
      </c>
      <c r="AH1345">
        <v>7.6728760304508397</v>
      </c>
      <c r="AI1345">
        <v>97.3667541030932</v>
      </c>
      <c r="AJ1345">
        <v>63.801770536830098</v>
      </c>
      <c r="AK1345">
        <v>8.6225102829324207</v>
      </c>
      <c r="AL1345">
        <v>93.813246604157797</v>
      </c>
      <c r="AM1345">
        <v>77.708155743399303</v>
      </c>
      <c r="AN1345">
        <v>1.00000004224745</v>
      </c>
    </row>
    <row r="1346" spans="1:40" x14ac:dyDescent="0.3">
      <c r="A1346" t="str">
        <f>"20200111160429909"</f>
        <v>20200111160429909</v>
      </c>
      <c r="B1346" t="str">
        <f>"1578729869902474"</f>
        <v>1578729869902474</v>
      </c>
      <c r="C1346" t="s">
        <v>40</v>
      </c>
      <c r="D1346">
        <v>5.6713310000000003</v>
      </c>
      <c r="E1346">
        <v>0.58021319999999998</v>
      </c>
      <c r="F1346" t="s">
        <v>56</v>
      </c>
      <c r="G1346">
        <v>-196.47540000000001</v>
      </c>
      <c r="H1346" s="1">
        <v>1.3881159999999999E-6</v>
      </c>
      <c r="I1346">
        <v>293.48820000000001</v>
      </c>
      <c r="J1346">
        <v>-191.07050000000001</v>
      </c>
      <c r="K1346">
        <v>1.10555</v>
      </c>
      <c r="L1346">
        <v>300.13810000000001</v>
      </c>
      <c r="M1346">
        <v>-0.22105810000000001</v>
      </c>
      <c r="N1346">
        <v>0</v>
      </c>
      <c r="O1346">
        <v>-0.97502520000000004</v>
      </c>
      <c r="P1346">
        <v>-0.42577860000000001</v>
      </c>
      <c r="Q1346">
        <v>-8.536059E-2</v>
      </c>
      <c r="R1346">
        <v>-0.90079200000000004</v>
      </c>
      <c r="S1346">
        <v>-1.902817</v>
      </c>
      <c r="T1346">
        <v>-0.38438280000000002</v>
      </c>
      <c r="U1346">
        <v>-2.4038089999999999</v>
      </c>
      <c r="V1346">
        <v>0.21519360000000001</v>
      </c>
      <c r="W1346">
        <v>-6.7355380000000006E-2</v>
      </c>
      <c r="X1346">
        <v>0.97424580000000005</v>
      </c>
      <c r="Y1346">
        <v>0.42681809999999998</v>
      </c>
      <c r="Z1346">
        <v>0.12754679999999999</v>
      </c>
      <c r="AA1346">
        <v>0.89529780000000003</v>
      </c>
      <c r="AB1346">
        <v>25</v>
      </c>
      <c r="AC1346">
        <v>-5.4048999999999898</v>
      </c>
      <c r="AD1346">
        <v>-1.1055486118840001</v>
      </c>
      <c r="AE1346">
        <v>-6.6498999999999997</v>
      </c>
      <c r="AF1346">
        <v>3.7385477497308499</v>
      </c>
      <c r="AG1346">
        <v>-1.1055486118840001</v>
      </c>
      <c r="AH1346">
        <v>7.5546410465268297</v>
      </c>
      <c r="AI1346">
        <v>97.472199880184505</v>
      </c>
      <c r="AJ1346">
        <v>63.670679277540501</v>
      </c>
      <c r="AK1346">
        <v>8.5012692200708706</v>
      </c>
      <c r="AL1346">
        <v>93.862103165942699</v>
      </c>
      <c r="AM1346">
        <v>77.5443750850214</v>
      </c>
      <c r="AN1346">
        <v>0.99999995575677103</v>
      </c>
    </row>
    <row r="1347" spans="1:40" x14ac:dyDescent="0.3">
      <c r="A1347" t="str">
        <f>"20200111160429929"</f>
        <v>20200111160429929</v>
      </c>
      <c r="B1347" t="str">
        <f>"1578729869921994"</f>
        <v>1578729869921994</v>
      </c>
      <c r="C1347" t="s">
        <v>40</v>
      </c>
      <c r="D1347">
        <v>5.7684069999999998</v>
      </c>
      <c r="E1347">
        <v>0.58275969999999999</v>
      </c>
      <c r="F1347" t="s">
        <v>56</v>
      </c>
      <c r="G1347">
        <v>-196.04150000000001</v>
      </c>
      <c r="H1347" s="1">
        <v>1.4091509999999999E-6</v>
      </c>
      <c r="I1347">
        <v>293.5872</v>
      </c>
      <c r="J1347">
        <v>-191.1318</v>
      </c>
      <c r="K1347">
        <v>1.10551</v>
      </c>
      <c r="L1347">
        <v>299.90859999999998</v>
      </c>
      <c r="M1347">
        <v>-0.22861999999999999</v>
      </c>
      <c r="N1347">
        <v>0</v>
      </c>
      <c r="O1347">
        <v>-0.9732828</v>
      </c>
      <c r="P1347">
        <v>-0.43590810000000002</v>
      </c>
      <c r="Q1347">
        <v>-8.5788409999999996E-2</v>
      </c>
      <c r="R1347">
        <v>-0.89589319999999895</v>
      </c>
      <c r="S1347">
        <v>-1.838409</v>
      </c>
      <c r="T1347">
        <v>-0.40886620000000001</v>
      </c>
      <c r="U1347">
        <v>-2.4226990000000002</v>
      </c>
      <c r="V1347">
        <v>0.21860399999999999</v>
      </c>
      <c r="W1347">
        <v>-6.7987069999999997E-2</v>
      </c>
      <c r="X1347">
        <v>0.97344240000000004</v>
      </c>
      <c r="Y1347">
        <v>0.40061439999999998</v>
      </c>
      <c r="Z1347">
        <v>0.13614949999999901</v>
      </c>
      <c r="AA1347">
        <v>0.90607479999999996</v>
      </c>
      <c r="AB1347">
        <v>25</v>
      </c>
      <c r="AC1347">
        <v>-4.9097000000000097</v>
      </c>
      <c r="AD1347">
        <v>-1.1055085908490001</v>
      </c>
      <c r="AE1347">
        <v>-6.3213999999999801</v>
      </c>
      <c r="AF1347">
        <v>3.2716716853764298</v>
      </c>
      <c r="AG1347">
        <v>-1.1055085908490001</v>
      </c>
      <c r="AH1347">
        <v>7.1404008181397103</v>
      </c>
      <c r="AI1347">
        <v>98.011921014187095</v>
      </c>
      <c r="AJ1347">
        <v>65.383146463814896</v>
      </c>
      <c r="AK1347">
        <v>7.9316649390291998</v>
      </c>
      <c r="AL1347">
        <v>93.898379212974504</v>
      </c>
      <c r="AM1347">
        <v>77.343178505983403</v>
      </c>
      <c r="AN1347">
        <v>1.00000002831047</v>
      </c>
    </row>
    <row r="1348" spans="1:40" x14ac:dyDescent="0.3">
      <c r="A1348" t="str">
        <f>"20200111160429951"</f>
        <v>20200111160429951</v>
      </c>
      <c r="B1348" t="str">
        <f>"1578729869942490"</f>
        <v>1578729869942490</v>
      </c>
      <c r="C1348" t="s">
        <v>40</v>
      </c>
      <c r="D1348">
        <v>6.07958</v>
      </c>
      <c r="E1348">
        <v>0.58134390000000002</v>
      </c>
      <c r="F1348" t="s">
        <v>56</v>
      </c>
      <c r="G1348">
        <v>-196.51560000000001</v>
      </c>
      <c r="H1348" s="1">
        <v>1.4563619999999999E-6</v>
      </c>
      <c r="I1348">
        <v>293.0804</v>
      </c>
      <c r="J1348">
        <v>-191.19659999999999</v>
      </c>
      <c r="K1348">
        <v>1.10545</v>
      </c>
      <c r="L1348">
        <v>299.67430000000002</v>
      </c>
      <c r="M1348">
        <v>-0.23648959999999999</v>
      </c>
      <c r="N1348">
        <v>0</v>
      </c>
      <c r="O1348">
        <v>-0.97140470000000001</v>
      </c>
      <c r="P1348">
        <v>-0.44614779999999998</v>
      </c>
      <c r="Q1348">
        <v>-8.54771E-2</v>
      </c>
      <c r="R1348">
        <v>-0.89086810000000005</v>
      </c>
      <c r="S1348">
        <v>-1.887024</v>
      </c>
      <c r="T1348">
        <v>-0.38748460000000001</v>
      </c>
      <c r="U1348">
        <v>-2.3933110000000002</v>
      </c>
      <c r="V1348">
        <v>0.2218637</v>
      </c>
      <c r="W1348">
        <v>-6.7952970000000001E-2</v>
      </c>
      <c r="X1348">
        <v>0.97270699999999999</v>
      </c>
      <c r="Y1348">
        <v>0.4105896</v>
      </c>
      <c r="Z1348">
        <v>0.12901309999999999</v>
      </c>
      <c r="AA1348">
        <v>0.90264710000000004</v>
      </c>
      <c r="AB1348">
        <v>24</v>
      </c>
      <c r="AC1348">
        <v>-5.3190000000000097</v>
      </c>
      <c r="AD1348">
        <v>-1.1054485436379999</v>
      </c>
      <c r="AE1348">
        <v>-6.5939000000000103</v>
      </c>
      <c r="AF1348">
        <v>3.54790821030184</v>
      </c>
      <c r="AG1348">
        <v>-1.1054485436379999</v>
      </c>
      <c r="AH1348">
        <v>7.5366189502293404</v>
      </c>
      <c r="AI1348">
        <v>97.559409373727206</v>
      </c>
      <c r="AJ1348">
        <v>64.791009743395193</v>
      </c>
      <c r="AK1348">
        <v>8.4029931781666196</v>
      </c>
      <c r="AL1348">
        <v>93.896420978591195</v>
      </c>
      <c r="AM1348">
        <v>77.151273653443099</v>
      </c>
      <c r="AN1348">
        <v>1.0000000076792499</v>
      </c>
    </row>
    <row r="1349" spans="1:40" x14ac:dyDescent="0.3">
      <c r="A1349" t="str">
        <f>"20200111160429996"</f>
        <v>20200111160429996</v>
      </c>
      <c r="B1349" t="str">
        <f>"1578729869992266"</f>
        <v>1578729869992266</v>
      </c>
      <c r="C1349" t="s">
        <v>40</v>
      </c>
      <c r="D1349">
        <v>6.0869359999999997</v>
      </c>
      <c r="E1349">
        <v>0.57954969999999995</v>
      </c>
      <c r="F1349" t="s">
        <v>56</v>
      </c>
      <c r="G1349">
        <v>-196.20150000000001</v>
      </c>
      <c r="H1349" s="1">
        <v>1.4252459999999999E-6</v>
      </c>
      <c r="I1349">
        <v>293.4153</v>
      </c>
      <c r="J1349">
        <v>-191.3323</v>
      </c>
      <c r="K1349">
        <v>1.1052740000000001</v>
      </c>
      <c r="L1349">
        <v>299.20710000000003</v>
      </c>
      <c r="M1349">
        <v>-0.25269429999999998</v>
      </c>
      <c r="N1349">
        <v>0</v>
      </c>
      <c r="O1349">
        <v>-0.9673311</v>
      </c>
      <c r="P1349">
        <v>-0.46745370000000003</v>
      </c>
      <c r="Q1349">
        <v>-7.9911460000000004E-2</v>
      </c>
      <c r="R1349">
        <v>-0.88039869999999898</v>
      </c>
      <c r="S1349">
        <v>-1.89978</v>
      </c>
      <c r="T1349">
        <v>-0.41960969999999997</v>
      </c>
      <c r="U1349">
        <v>-2.3758240000000002</v>
      </c>
      <c r="V1349">
        <v>0.22891339999999999</v>
      </c>
      <c r="W1349">
        <v>-6.3247499999999998E-2</v>
      </c>
      <c r="X1349">
        <v>0.97138990000000003</v>
      </c>
      <c r="Y1349">
        <v>0.40063130000000002</v>
      </c>
      <c r="Z1349">
        <v>0.1395158</v>
      </c>
      <c r="AA1349">
        <v>0.905555</v>
      </c>
      <c r="AB1349">
        <v>24</v>
      </c>
      <c r="AC1349">
        <v>-4.8692000000000002</v>
      </c>
      <c r="AD1349">
        <v>-1.10527257475399</v>
      </c>
      <c r="AE1349">
        <v>-5.7918000000000198</v>
      </c>
      <c r="AF1349">
        <v>3.1794105078339499</v>
      </c>
      <c r="AG1349">
        <v>-1.10527257475399</v>
      </c>
      <c r="AH1349">
        <v>6.6916500514824202</v>
      </c>
      <c r="AI1349">
        <v>98.485287152802201</v>
      </c>
      <c r="AJ1349">
        <v>64.5861572972738</v>
      </c>
      <c r="AK1349">
        <v>7.4905579934563598</v>
      </c>
      <c r="AL1349">
        <v>93.626235328831996</v>
      </c>
      <c r="AM1349">
        <v>76.739860650123106</v>
      </c>
      <c r="AN1349">
        <v>0.99999996438890904</v>
      </c>
    </row>
    <row r="1350" spans="1:40" x14ac:dyDescent="0.3">
      <c r="A1350" t="str">
        <f>"20200111160430017"</f>
        <v>20200111160430017</v>
      </c>
      <c r="B1350" t="str">
        <f>"1578729870011787"</f>
        <v>1578729870011787</v>
      </c>
      <c r="C1350" t="s">
        <v>40</v>
      </c>
      <c r="D1350">
        <v>6.0155010000000004</v>
      </c>
      <c r="E1350">
        <v>0.57884880000000005</v>
      </c>
      <c r="F1350" t="s">
        <v>56</v>
      </c>
      <c r="G1350">
        <v>-196.38550000000001</v>
      </c>
      <c r="H1350" s="1">
        <v>1.4610000000000001E-6</v>
      </c>
      <c r="I1350">
        <v>293.11959999999999</v>
      </c>
      <c r="J1350">
        <v>-191.39850000000001</v>
      </c>
      <c r="K1350">
        <v>1.1051439999999999</v>
      </c>
      <c r="L1350">
        <v>298.98970000000003</v>
      </c>
      <c r="M1350">
        <v>-0.26048739999999998</v>
      </c>
      <c r="N1350">
        <v>0</v>
      </c>
      <c r="O1350">
        <v>-0.96527220000000002</v>
      </c>
      <c r="P1350">
        <v>-0.4777595</v>
      </c>
      <c r="Q1350">
        <v>-7.6179739999999996E-2</v>
      </c>
      <c r="R1350">
        <v>-0.87518169999999995</v>
      </c>
      <c r="S1350">
        <v>-1.941071</v>
      </c>
      <c r="T1350">
        <v>-0.42456700000000003</v>
      </c>
      <c r="U1350">
        <v>-2.3383790000000002</v>
      </c>
      <c r="V1350">
        <v>0.2324302</v>
      </c>
      <c r="W1350">
        <v>-6.0094990000000001E-2</v>
      </c>
      <c r="X1350">
        <v>0.97075469999999997</v>
      </c>
      <c r="Y1350">
        <v>0.40964519999999999</v>
      </c>
      <c r="Z1350">
        <v>0.1414</v>
      </c>
      <c r="AA1350">
        <v>0.90121969999999996</v>
      </c>
      <c r="AB1350">
        <v>24</v>
      </c>
      <c r="AC1350">
        <v>-4.9869999999999903</v>
      </c>
      <c r="AD1350">
        <v>-1.105142539</v>
      </c>
      <c r="AE1350">
        <v>-5.8701000000000301</v>
      </c>
      <c r="AF1350">
        <v>3.2191067595209102</v>
      </c>
      <c r="AG1350">
        <v>-1.105142539</v>
      </c>
      <c r="AH1350">
        <v>6.8261500354617199</v>
      </c>
      <c r="AI1350">
        <v>98.330752096255196</v>
      </c>
      <c r="AJ1350">
        <v>64.752160204883594</v>
      </c>
      <c r="AK1350">
        <v>7.6276020260193604</v>
      </c>
      <c r="AL1350">
        <v>93.445265316373707</v>
      </c>
      <c r="AM1350">
        <v>76.5350165285477</v>
      </c>
      <c r="AN1350">
        <v>0.99999994663361302</v>
      </c>
    </row>
    <row r="1351" spans="1:40" x14ac:dyDescent="0.3">
      <c r="A1351" t="str">
        <f>"20200111160430041"</f>
        <v>20200111160430041</v>
      </c>
      <c r="B1351" t="str">
        <f>"1578729870032281"</f>
        <v>1578729870032281</v>
      </c>
      <c r="C1351" t="s">
        <v>40</v>
      </c>
      <c r="D1351">
        <v>5.7258449999999996</v>
      </c>
      <c r="E1351">
        <v>0.59229089999999995</v>
      </c>
      <c r="F1351" t="s">
        <v>56</v>
      </c>
      <c r="G1351">
        <v>-196.5949</v>
      </c>
      <c r="H1351" s="1">
        <v>1.4898919999999999E-6</v>
      </c>
      <c r="I1351">
        <v>292.8501</v>
      </c>
      <c r="J1351">
        <v>-191.47730000000001</v>
      </c>
      <c r="K1351">
        <v>1.1049819999999999</v>
      </c>
      <c r="L1351">
        <v>298.73930000000001</v>
      </c>
      <c r="M1351">
        <v>-0.26962419999999998</v>
      </c>
      <c r="N1351">
        <v>0</v>
      </c>
      <c r="O1351">
        <v>-0.96277219999999997</v>
      </c>
      <c r="P1351">
        <v>-0.48977710000000002</v>
      </c>
      <c r="Q1351">
        <v>-7.3548020000000006E-2</v>
      </c>
      <c r="R1351">
        <v>-0.86874019999999996</v>
      </c>
      <c r="S1351">
        <v>-1.9633640000000001</v>
      </c>
      <c r="T1351">
        <v>-0.41756409999999999</v>
      </c>
      <c r="U1351">
        <v>-2.319763</v>
      </c>
      <c r="V1351">
        <v>0.23656199999999999</v>
      </c>
      <c r="W1351">
        <v>-5.816143E-2</v>
      </c>
      <c r="X1351">
        <v>0.96987400000000001</v>
      </c>
      <c r="Y1351">
        <v>0.40985100000000002</v>
      </c>
      <c r="Z1351">
        <v>0.13903960000000001</v>
      </c>
      <c r="AA1351">
        <v>0.90149330000000005</v>
      </c>
      <c r="AB1351">
        <v>24</v>
      </c>
      <c r="AC1351">
        <v>-5.1175999999999799</v>
      </c>
      <c r="AD1351">
        <v>-1.1049805101079999</v>
      </c>
      <c r="AE1351">
        <v>-5.8892000000000104</v>
      </c>
      <c r="AF1351">
        <v>3.2741610568319199</v>
      </c>
      <c r="AG1351">
        <v>-1.1049805101079999</v>
      </c>
      <c r="AH1351">
        <v>6.91245011133429</v>
      </c>
      <c r="AI1351">
        <v>98.220479766225196</v>
      </c>
      <c r="AJ1351">
        <v>64.654889748068896</v>
      </c>
      <c r="AK1351">
        <v>7.72807085212595</v>
      </c>
      <c r="AL1351">
        <v>93.3342862722387</v>
      </c>
      <c r="AM1351">
        <v>76.292628287661202</v>
      </c>
      <c r="AN1351">
        <v>0.99999995382982099</v>
      </c>
    </row>
    <row r="1352" spans="1:40" x14ac:dyDescent="0.3">
      <c r="A1352" t="str">
        <f>"20200111160430061"</f>
        <v>20200111160430061</v>
      </c>
      <c r="B1352" t="str">
        <f>"1578729870051802"</f>
        <v>1578729870051802</v>
      </c>
      <c r="C1352" t="s">
        <v>40</v>
      </c>
      <c r="D1352">
        <v>5.7582190000000004</v>
      </c>
      <c r="E1352">
        <v>0.59051600000000004</v>
      </c>
      <c r="F1352" t="s">
        <v>56</v>
      </c>
      <c r="G1352">
        <v>-200.83340000000001</v>
      </c>
      <c r="H1352" s="1">
        <v>2.2207799999999999E-6</v>
      </c>
      <c r="I1352">
        <v>288.80029999999999</v>
      </c>
      <c r="J1352">
        <v>-191.54810000000001</v>
      </c>
      <c r="K1352">
        <v>1.104843</v>
      </c>
      <c r="L1352">
        <v>298.52179999999998</v>
      </c>
      <c r="M1352">
        <v>-0.27772580000000002</v>
      </c>
      <c r="N1352">
        <v>0</v>
      </c>
      <c r="O1352">
        <v>-0.96047629999999995</v>
      </c>
      <c r="P1352">
        <v>-0.50023809999999902</v>
      </c>
      <c r="Q1352">
        <v>-7.2503239999999997E-2</v>
      </c>
      <c r="R1352">
        <v>-0.86284729999999998</v>
      </c>
      <c r="S1352">
        <v>-2.1107179999999999</v>
      </c>
      <c r="T1352">
        <v>-0.2492828</v>
      </c>
      <c r="U1352">
        <v>-2.2422490000000002</v>
      </c>
      <c r="V1352">
        <v>0.2400803</v>
      </c>
      <c r="W1352">
        <v>-5.7695080000000003E-2</v>
      </c>
      <c r="X1352">
        <v>0.96903700000000004</v>
      </c>
      <c r="Y1352">
        <v>0.45378610000000003</v>
      </c>
      <c r="Z1352">
        <v>8.2912860000000005E-2</v>
      </c>
      <c r="AA1352">
        <v>0.8872449</v>
      </c>
      <c r="AB1352">
        <v>24</v>
      </c>
      <c r="AC1352">
        <v>-9.2852999999999994</v>
      </c>
      <c r="AD1352">
        <v>-1.1048407792199999</v>
      </c>
      <c r="AE1352">
        <v>-9.72149999999999</v>
      </c>
      <c r="AF1352">
        <v>6.1777723522324104</v>
      </c>
      <c r="AG1352">
        <v>-1.1048407792199999</v>
      </c>
      <c r="AH1352">
        <v>11.838186281395201</v>
      </c>
      <c r="AI1352">
        <v>94.729871861217404</v>
      </c>
      <c r="AJ1352">
        <v>62.442139033169497</v>
      </c>
      <c r="AK1352">
        <v>13.3988133361298</v>
      </c>
      <c r="AL1352">
        <v>93.307521319210494</v>
      </c>
      <c r="AM1352">
        <v>76.085075801163498</v>
      </c>
      <c r="AN1352">
        <v>0.99999999003664797</v>
      </c>
    </row>
    <row r="1353" spans="1:40" x14ac:dyDescent="0.3">
      <c r="A1353" t="str">
        <f>"20200111160430087"</f>
        <v>20200111160430087</v>
      </c>
      <c r="B1353" t="str">
        <f>"1578729870082058"</f>
        <v>1578729870082058</v>
      </c>
      <c r="C1353" t="s">
        <v>40</v>
      </c>
      <c r="D1353">
        <v>5.7991780000000004</v>
      </c>
      <c r="E1353">
        <v>0.5834047</v>
      </c>
      <c r="F1353" t="s">
        <v>56</v>
      </c>
      <c r="G1353">
        <v>-200.8236</v>
      </c>
      <c r="H1353" s="1">
        <v>2.2155549999999998E-6</v>
      </c>
      <c r="I1353">
        <v>288.81060000000002</v>
      </c>
      <c r="J1353">
        <v>-191.6361</v>
      </c>
      <c r="K1353">
        <v>1.104668</v>
      </c>
      <c r="L1353">
        <v>298.26010000000002</v>
      </c>
      <c r="M1353">
        <v>-0.2877152</v>
      </c>
      <c r="N1353">
        <v>0</v>
      </c>
      <c r="O1353">
        <v>-0.95754189999999995</v>
      </c>
      <c r="P1353">
        <v>-0.51188829999999996</v>
      </c>
      <c r="Q1353">
        <v>-7.3463100000000003E-2</v>
      </c>
      <c r="R1353">
        <v>-0.85590519999999903</v>
      </c>
      <c r="S1353">
        <v>-2.1242830000000001</v>
      </c>
      <c r="T1353">
        <v>-0.2530307</v>
      </c>
      <c r="U1353">
        <v>-2.2240600000000001</v>
      </c>
      <c r="V1353">
        <v>0.24310880000000001</v>
      </c>
      <c r="W1353">
        <v>-5.9299060000000001E-2</v>
      </c>
      <c r="X1353">
        <v>0.96818479999999996</v>
      </c>
      <c r="Y1353">
        <v>0.45088279999999997</v>
      </c>
      <c r="Z1353">
        <v>8.4172559999999993E-2</v>
      </c>
      <c r="AA1353">
        <v>0.88860550000000005</v>
      </c>
      <c r="AB1353">
        <v>24</v>
      </c>
      <c r="AC1353">
        <v>-9.1875</v>
      </c>
      <c r="AD1353">
        <v>-1.1046657844450001</v>
      </c>
      <c r="AE1353">
        <v>-9.4495000000000005</v>
      </c>
      <c r="AF1353">
        <v>6.0372527649147303</v>
      </c>
      <c r="AG1353">
        <v>-1.1046657844450001</v>
      </c>
      <c r="AH1353">
        <v>11.61204942092</v>
      </c>
      <c r="AI1353">
        <v>94.824605003340196</v>
      </c>
      <c r="AJ1353">
        <v>62.529502695813498</v>
      </c>
      <c r="AK1353">
        <v>13.1342452846245</v>
      </c>
      <c r="AL1353">
        <v>93.399580098066096</v>
      </c>
      <c r="AM1353">
        <v>75.904587705947904</v>
      </c>
      <c r="AN1353">
        <v>1.00000003705268</v>
      </c>
    </row>
    <row r="1354" spans="1:40" x14ac:dyDescent="0.3">
      <c r="A1354" t="str">
        <f>"20200111160430107"</f>
        <v>20200111160430107</v>
      </c>
      <c r="B1354" t="str">
        <f>"1578729870102553"</f>
        <v>1578729870102553</v>
      </c>
      <c r="C1354" t="s">
        <v>40</v>
      </c>
      <c r="D1354">
        <v>5.7906950000000004</v>
      </c>
      <c r="E1354">
        <v>0.58107050000000005</v>
      </c>
      <c r="F1354" t="s">
        <v>56</v>
      </c>
      <c r="G1354">
        <v>-198.8717</v>
      </c>
      <c r="H1354" s="1">
        <v>1.6864789999999999E-6</v>
      </c>
      <c r="I1354">
        <v>290.5872</v>
      </c>
      <c r="J1354">
        <v>-191.70859999999999</v>
      </c>
      <c r="K1354">
        <v>1.104508</v>
      </c>
      <c r="L1354">
        <v>298.05160000000001</v>
      </c>
      <c r="M1354">
        <v>-0.29585230000000001</v>
      </c>
      <c r="N1354">
        <v>0</v>
      </c>
      <c r="O1354">
        <v>-0.95506679999999999</v>
      </c>
      <c r="P1354">
        <v>-0.52190820000000004</v>
      </c>
      <c r="Q1354">
        <v>-7.5447020000000004E-2</v>
      </c>
      <c r="R1354">
        <v>-0.84965859999999904</v>
      </c>
      <c r="S1354">
        <v>-2.096832</v>
      </c>
      <c r="T1354">
        <v>-0.32012479999999999</v>
      </c>
      <c r="U1354">
        <v>-2.223541</v>
      </c>
      <c r="V1354">
        <v>0.24624450000000001</v>
      </c>
      <c r="W1354">
        <v>-6.1791869999999999E-2</v>
      </c>
      <c r="X1354">
        <v>0.96723599999999998</v>
      </c>
      <c r="Y1354">
        <v>0.43605949999999999</v>
      </c>
      <c r="Z1354">
        <v>0.1066352</v>
      </c>
      <c r="AA1354">
        <v>0.89357770000000003</v>
      </c>
      <c r="AB1354">
        <v>24</v>
      </c>
      <c r="AC1354">
        <v>-7.1631000000000098</v>
      </c>
      <c r="AD1354">
        <v>-1.104506313521</v>
      </c>
      <c r="AE1354">
        <v>-7.4644000000000101</v>
      </c>
      <c r="AF1354">
        <v>4.5813974321837598</v>
      </c>
      <c r="AG1354">
        <v>-1.104506313521</v>
      </c>
      <c r="AH1354">
        <v>9.14545180828061</v>
      </c>
      <c r="AI1354">
        <v>96.162918303905698</v>
      </c>
      <c r="AJ1354">
        <v>63.391503971217702</v>
      </c>
      <c r="AK1354">
        <v>10.288266394578301</v>
      </c>
      <c r="AL1354">
        <v>93.542670139214195</v>
      </c>
      <c r="AM1354">
        <v>75.716736153347199</v>
      </c>
      <c r="AN1354">
        <v>1.00000003433717</v>
      </c>
    </row>
    <row r="1355" spans="1:40" x14ac:dyDescent="0.3">
      <c r="A1355" t="str">
        <f>"20200111160430130"</f>
        <v>20200111160430130</v>
      </c>
      <c r="B1355" t="str">
        <f>"1578729870122074"</f>
        <v>1578729870122074</v>
      </c>
      <c r="C1355" t="s">
        <v>40</v>
      </c>
      <c r="D1355">
        <v>5.8488239999999996</v>
      </c>
      <c r="E1355">
        <v>0.57978099999999999</v>
      </c>
      <c r="F1355" t="s">
        <v>56</v>
      </c>
      <c r="G1355">
        <v>-198.63319999999999</v>
      </c>
      <c r="H1355" s="1">
        <v>1.671874E-6</v>
      </c>
      <c r="I1355">
        <v>290.7903</v>
      </c>
      <c r="J1355">
        <v>-191.79519999999999</v>
      </c>
      <c r="K1355">
        <v>1.104325</v>
      </c>
      <c r="L1355">
        <v>297.81040000000002</v>
      </c>
      <c r="M1355">
        <v>-0.30543310000000001</v>
      </c>
      <c r="N1355">
        <v>0</v>
      </c>
      <c r="O1355">
        <v>-0.95205390000000001</v>
      </c>
      <c r="P1355">
        <v>-0.53279119999999902</v>
      </c>
      <c r="Q1355">
        <v>-7.7980480000000005E-2</v>
      </c>
      <c r="R1355">
        <v>-0.84264669999999897</v>
      </c>
      <c r="S1355">
        <v>-2.1053769999999998</v>
      </c>
      <c r="T1355">
        <v>-0.33581899999999998</v>
      </c>
      <c r="U1355">
        <v>-2.2077640000000001</v>
      </c>
      <c r="V1355">
        <v>0.24897059999999999</v>
      </c>
      <c r="W1355">
        <v>-6.4861539999999995E-2</v>
      </c>
      <c r="X1355">
        <v>0.96633670000000005</v>
      </c>
      <c r="Y1355">
        <v>0.43160949999999998</v>
      </c>
      <c r="Z1355">
        <v>0.111835</v>
      </c>
      <c r="AA1355">
        <v>0.89510119999999904</v>
      </c>
      <c r="AB1355">
        <v>24</v>
      </c>
      <c r="AC1355">
        <v>-6.8379999999999903</v>
      </c>
      <c r="AD1355">
        <v>-1.1043233281260001</v>
      </c>
      <c r="AE1355">
        <v>-7.02010000000001</v>
      </c>
      <c r="AF1355">
        <v>4.3118845118749203</v>
      </c>
      <c r="AG1355">
        <v>-1.1043233281260001</v>
      </c>
      <c r="AH1355">
        <v>8.6633898080320204</v>
      </c>
      <c r="AI1355">
        <v>96.510255550958604</v>
      </c>
      <c r="AJ1355">
        <v>63.539858311327201</v>
      </c>
      <c r="AK1355">
        <v>9.7399281836522391</v>
      </c>
      <c r="AL1355">
        <v>93.718903198583803</v>
      </c>
      <c r="AM1355">
        <v>75.552311655712899</v>
      </c>
      <c r="AN1355">
        <v>0.99999999840121001</v>
      </c>
    </row>
    <row r="1356" spans="1:40" x14ac:dyDescent="0.3">
      <c r="A1356" t="str">
        <f>"20200111160430152"</f>
        <v>20200111160430152</v>
      </c>
      <c r="B1356" t="str">
        <f>"1578729870142570"</f>
        <v>1578729870142570</v>
      </c>
      <c r="C1356" t="s">
        <v>40</v>
      </c>
      <c r="D1356">
        <v>5.8459669999999999</v>
      </c>
      <c r="E1356">
        <v>0.57812489999999905</v>
      </c>
      <c r="F1356" t="s">
        <v>56</v>
      </c>
      <c r="G1356">
        <v>-198.7363</v>
      </c>
      <c r="H1356" s="1">
        <v>1.6832769999999901E-6</v>
      </c>
      <c r="I1356">
        <v>290.67360000000002</v>
      </c>
      <c r="J1356">
        <v>-191.87729999999999</v>
      </c>
      <c r="K1356">
        <v>1.1041669999999999</v>
      </c>
      <c r="L1356">
        <v>297.58909999999997</v>
      </c>
      <c r="M1356">
        <v>-0.31437470000000001</v>
      </c>
      <c r="N1356">
        <v>0</v>
      </c>
      <c r="O1356">
        <v>-0.94914529999999997</v>
      </c>
      <c r="P1356">
        <v>-0.54264239999999997</v>
      </c>
      <c r="Q1356">
        <v>-8.029799E-2</v>
      </c>
      <c r="R1356">
        <v>-0.836117</v>
      </c>
      <c r="S1356">
        <v>-2.1252589999999998</v>
      </c>
      <c r="T1356">
        <v>-0.33813009999999999</v>
      </c>
      <c r="U1356">
        <v>-2.185181</v>
      </c>
      <c r="V1356">
        <v>0.25122929999999999</v>
      </c>
      <c r="W1356">
        <v>-6.7630140000000005E-2</v>
      </c>
      <c r="X1356">
        <v>0.96556200000000003</v>
      </c>
      <c r="Y1356">
        <v>0.43187589999999998</v>
      </c>
      <c r="Z1356">
        <v>0.11259719999999999</v>
      </c>
      <c r="AA1356">
        <v>0.89487709999999998</v>
      </c>
      <c r="AB1356">
        <v>24</v>
      </c>
      <c r="AC1356">
        <v>-6.859</v>
      </c>
      <c r="AD1356">
        <v>-1.1041653167229999</v>
      </c>
      <c r="AE1356">
        <v>-6.91549999999995</v>
      </c>
      <c r="AF1356">
        <v>4.2817371476191202</v>
      </c>
      <c r="AG1356">
        <v>-1.1041653167229999</v>
      </c>
      <c r="AH1356">
        <v>8.6107256860016399</v>
      </c>
      <c r="AI1356">
        <v>96.549982429600703</v>
      </c>
      <c r="AJ1356">
        <v>63.560851123731297</v>
      </c>
      <c r="AK1356">
        <v>9.6797236989246702</v>
      </c>
      <c r="AL1356">
        <v>93.877881614804593</v>
      </c>
      <c r="AM1356">
        <v>75.415602767982605</v>
      </c>
      <c r="AN1356">
        <v>0.99999998642945398</v>
      </c>
    </row>
    <row r="1357" spans="1:40" x14ac:dyDescent="0.3">
      <c r="A1357" t="str">
        <f>"20200111160430173"</f>
        <v>20200111160430173</v>
      </c>
      <c r="B1357" t="str">
        <f>"1578729870162089"</f>
        <v>1578729870162089</v>
      </c>
      <c r="C1357" t="s">
        <v>40</v>
      </c>
      <c r="D1357">
        <v>5.8750099999999996</v>
      </c>
      <c r="E1357">
        <v>0.57647729999999997</v>
      </c>
      <c r="F1357" t="s">
        <v>56</v>
      </c>
      <c r="G1357">
        <v>-198.66120000000001</v>
      </c>
      <c r="H1357" s="1">
        <v>1.6820379999999999E-6</v>
      </c>
      <c r="I1357">
        <v>290.71839999999997</v>
      </c>
      <c r="J1357">
        <v>-191.96019999999999</v>
      </c>
      <c r="K1357">
        <v>1.104026</v>
      </c>
      <c r="L1357">
        <v>297.37209999999999</v>
      </c>
      <c r="M1357">
        <v>-0.32329459999999999</v>
      </c>
      <c r="N1357">
        <v>0</v>
      </c>
      <c r="O1357">
        <v>-0.94614929999999997</v>
      </c>
      <c r="P1357">
        <v>-0.55167129999999998</v>
      </c>
      <c r="Q1357">
        <v>-8.1133499999999997E-2</v>
      </c>
      <c r="R1357">
        <v>-0.83010640000000002</v>
      </c>
      <c r="S1357">
        <v>-2.1390229999999999</v>
      </c>
      <c r="T1357">
        <v>-0.34815200000000002</v>
      </c>
      <c r="U1357">
        <v>-2.1663510000000001</v>
      </c>
      <c r="V1357">
        <v>0.25259389999999998</v>
      </c>
      <c r="W1357">
        <v>-6.8854070000000003E-2</v>
      </c>
      <c r="X1357">
        <v>0.96511939999999996</v>
      </c>
      <c r="Y1357">
        <v>0.42987969999999998</v>
      </c>
      <c r="Z1357">
        <v>0.1158892</v>
      </c>
      <c r="AA1357">
        <v>0.89541789999999999</v>
      </c>
      <c r="AB1357">
        <v>24</v>
      </c>
      <c r="AC1357">
        <v>-6.7010000000000201</v>
      </c>
      <c r="AD1357">
        <v>-1.104024317962</v>
      </c>
      <c r="AE1357">
        <v>-6.6537000000000104</v>
      </c>
      <c r="AF1357">
        <v>4.1331393117080601</v>
      </c>
      <c r="AG1357">
        <v>-1.104024317962</v>
      </c>
      <c r="AH1357">
        <v>8.3488699066133005</v>
      </c>
      <c r="AI1357">
        <v>96.758563289640406</v>
      </c>
      <c r="AJ1357">
        <v>63.6621167272245</v>
      </c>
      <c r="AK1357">
        <v>9.3811160840377195</v>
      </c>
      <c r="AL1357">
        <v>93.948171415789602</v>
      </c>
      <c r="AM1357">
        <v>75.333355474590405</v>
      </c>
      <c r="AN1357">
        <v>1.00000000876456</v>
      </c>
    </row>
    <row r="1358" spans="1:40" x14ac:dyDescent="0.3">
      <c r="A1358" t="str">
        <f>"20200111160430197"</f>
        <v>20200111160430197</v>
      </c>
      <c r="B1358" t="str">
        <f>"1578729870192348"</f>
        <v>1578729870192348</v>
      </c>
      <c r="C1358" t="s">
        <v>40</v>
      </c>
      <c r="D1358">
        <v>5.9155800000000003</v>
      </c>
      <c r="E1358">
        <v>0.5740016</v>
      </c>
      <c r="F1358" t="s">
        <v>56</v>
      </c>
      <c r="G1358">
        <v>-198.73560000000001</v>
      </c>
      <c r="H1358" s="1">
        <v>1.696131E-6</v>
      </c>
      <c r="I1358">
        <v>290.601</v>
      </c>
      <c r="J1358">
        <v>-192.0522</v>
      </c>
      <c r="K1358">
        <v>1.1039019999999999</v>
      </c>
      <c r="L1358">
        <v>297.13889999999998</v>
      </c>
      <c r="M1358">
        <v>-0.33308539999999998</v>
      </c>
      <c r="N1358">
        <v>0</v>
      </c>
      <c r="O1358">
        <v>-0.94275209999999998</v>
      </c>
      <c r="P1358">
        <v>-0.56136730000000001</v>
      </c>
      <c r="Q1358">
        <v>-8.0029980000000001E-2</v>
      </c>
      <c r="R1358">
        <v>-0.82368819999999998</v>
      </c>
      <c r="S1358">
        <v>-2.1513059999999999</v>
      </c>
      <c r="T1358">
        <v>-0.35054790000000002</v>
      </c>
      <c r="U1358">
        <v>-2.1499630000000001</v>
      </c>
      <c r="V1358">
        <v>0.25386180000000003</v>
      </c>
      <c r="W1358">
        <v>-6.8125489999999997E-2</v>
      </c>
      <c r="X1358">
        <v>0.96483839999999998</v>
      </c>
      <c r="Y1358">
        <v>0.4264309</v>
      </c>
      <c r="Z1358">
        <v>0.11658</v>
      </c>
      <c r="AA1358">
        <v>0.89697590000000005</v>
      </c>
      <c r="AB1358">
        <v>24</v>
      </c>
      <c r="AC1358">
        <v>-6.6833999999999998</v>
      </c>
      <c r="AD1358">
        <v>-1.1039003038689901</v>
      </c>
      <c r="AE1358">
        <v>-6.5378999999999703</v>
      </c>
      <c r="AF1358">
        <v>4.06697539838955</v>
      </c>
      <c r="AG1358">
        <v>-1.1039003038689901</v>
      </c>
      <c r="AH1358">
        <v>8.2755377447416301</v>
      </c>
      <c r="AI1358">
        <v>96.826806765402395</v>
      </c>
      <c r="AJ1358">
        <v>63.828400516335897</v>
      </c>
      <c r="AK1358">
        <v>9.2867329958727396</v>
      </c>
      <c r="AL1358">
        <v>93.9063285694142</v>
      </c>
      <c r="AM1358">
        <v>75.258827649631399</v>
      </c>
      <c r="AN1358">
        <v>1.0000000170007699</v>
      </c>
    </row>
    <row r="1359" spans="1:40" x14ac:dyDescent="0.3">
      <c r="A1359" t="str">
        <f>"20200111160430220"</f>
        <v>20200111160430220</v>
      </c>
      <c r="B1359" t="str">
        <f>"1578729870211866"</f>
        <v>1578729870211866</v>
      </c>
      <c r="C1359" t="s">
        <v>40</v>
      </c>
      <c r="D1359">
        <v>5.8862410000000001</v>
      </c>
      <c r="E1359">
        <v>0.56336709999999901</v>
      </c>
      <c r="F1359" t="s">
        <v>56</v>
      </c>
      <c r="G1359">
        <v>-198.9622</v>
      </c>
      <c r="H1359" s="1">
        <v>1.728069E-6</v>
      </c>
      <c r="I1359">
        <v>290.30549999999999</v>
      </c>
      <c r="J1359">
        <v>-192.1472</v>
      </c>
      <c r="K1359">
        <v>1.10378</v>
      </c>
      <c r="L1359">
        <v>296.90559999999999</v>
      </c>
      <c r="M1359">
        <v>-0.34308699999999998</v>
      </c>
      <c r="N1359">
        <v>0</v>
      </c>
      <c r="O1359">
        <v>-0.93916290000000002</v>
      </c>
      <c r="P1359">
        <v>-0.57190830000000004</v>
      </c>
      <c r="Q1359">
        <v>-7.6785039999999999E-2</v>
      </c>
      <c r="R1359">
        <v>-0.81671629999999995</v>
      </c>
      <c r="S1359">
        <v>-2.1602480000000002</v>
      </c>
      <c r="T1359">
        <v>-0.3451108</v>
      </c>
      <c r="U1359">
        <v>-2.1362920000000001</v>
      </c>
      <c r="V1359">
        <v>0.25592559999999998</v>
      </c>
      <c r="W1359">
        <v>-6.5235180000000004E-2</v>
      </c>
      <c r="X1359">
        <v>0.96449289999999999</v>
      </c>
      <c r="Y1359">
        <v>0.42170619999999998</v>
      </c>
      <c r="Z1359">
        <v>0.1146597</v>
      </c>
      <c r="AA1359">
        <v>0.89945379999999997</v>
      </c>
      <c r="AB1359">
        <v>24</v>
      </c>
      <c r="AC1359">
        <v>-6.8149999999999897</v>
      </c>
      <c r="AD1359">
        <v>-1.1037782719310001</v>
      </c>
      <c r="AE1359">
        <v>-6.6000999999999896</v>
      </c>
      <c r="AF1359">
        <v>4.0812886128284296</v>
      </c>
      <c r="AG1359">
        <v>-1.1037782719310001</v>
      </c>
      <c r="AH1359">
        <v>8.4238097992245304</v>
      </c>
      <c r="AI1359">
        <v>96.725245407958994</v>
      </c>
      <c r="AJ1359">
        <v>64.150071970080702</v>
      </c>
      <c r="AK1359">
        <v>9.4252753141911594</v>
      </c>
      <c r="AL1359">
        <v>93.740356444727993</v>
      </c>
      <c r="AM1359">
        <v>75.139180691414595</v>
      </c>
      <c r="AN1359">
        <v>1.0000000477977</v>
      </c>
    </row>
    <row r="1360" spans="1:40" x14ac:dyDescent="0.3">
      <c r="A1360" t="str">
        <f>"20200111160430254"</f>
        <v>20200111160430254</v>
      </c>
      <c r="B1360" t="str">
        <f>"1578729870251884"</f>
        <v>1578729870251884</v>
      </c>
      <c r="C1360" t="s">
        <v>40</v>
      </c>
      <c r="D1360">
        <v>5.9494009999999999</v>
      </c>
      <c r="E1360">
        <v>0.55622450000000001</v>
      </c>
      <c r="F1360" t="s">
        <v>56</v>
      </c>
      <c r="G1360">
        <v>-199.65559999999999</v>
      </c>
      <c r="H1360" s="1">
        <v>1.8454459999999999E-6</v>
      </c>
      <c r="I1360">
        <v>289.26510000000002</v>
      </c>
      <c r="J1360">
        <v>-192.29</v>
      </c>
      <c r="K1360">
        <v>1.103604</v>
      </c>
      <c r="L1360">
        <v>296.56979999999999</v>
      </c>
      <c r="M1360">
        <v>-0.35791580000000001</v>
      </c>
      <c r="N1360">
        <v>0</v>
      </c>
      <c r="O1360">
        <v>-0.93361700000000003</v>
      </c>
      <c r="P1360">
        <v>-0.58645269999999905</v>
      </c>
      <c r="Q1360">
        <v>-6.6180089999999997E-2</v>
      </c>
      <c r="R1360">
        <v>-0.80727539999999998</v>
      </c>
      <c r="S1360">
        <v>-2.1211700000000002</v>
      </c>
      <c r="T1360">
        <v>-0.31182500000000002</v>
      </c>
      <c r="U1360">
        <v>-2.1585079999999999</v>
      </c>
      <c r="V1360">
        <v>0.2577391</v>
      </c>
      <c r="W1360">
        <v>-5.5055680000000003E-2</v>
      </c>
      <c r="X1360">
        <v>0.96464470000000002</v>
      </c>
      <c r="Y1360">
        <v>0.3952118</v>
      </c>
      <c r="Z1360">
        <v>0.1033226</v>
      </c>
      <c r="AA1360">
        <v>0.91276069999999998</v>
      </c>
      <c r="AB1360">
        <v>24</v>
      </c>
      <c r="AC1360">
        <v>-7.3655999999999997</v>
      </c>
      <c r="AD1360">
        <v>-1.103602154554</v>
      </c>
      <c r="AE1360">
        <v>-7.3046999999999596</v>
      </c>
      <c r="AF1360">
        <v>4.2150209961932497</v>
      </c>
      <c r="AG1360">
        <v>-1.103602154554</v>
      </c>
      <c r="AH1360">
        <v>9.3514259085341198</v>
      </c>
      <c r="AI1360">
        <v>96.140839828093306</v>
      </c>
      <c r="AJ1360">
        <v>65.737212856674006</v>
      </c>
      <c r="AK1360">
        <v>10.3166615838986</v>
      </c>
      <c r="AL1360">
        <v>93.156053923427706</v>
      </c>
      <c r="AM1360">
        <v>75.040831719085205</v>
      </c>
      <c r="AN1360">
        <v>0.99999998440358095</v>
      </c>
    </row>
    <row r="1361" spans="1:40" x14ac:dyDescent="0.3">
      <c r="A1361" t="str">
        <f>"20200111160430276"</f>
        <v>20200111160430276</v>
      </c>
      <c r="B1361" t="str">
        <f>"1578729870272378"</f>
        <v>1578729870272378</v>
      </c>
      <c r="C1361" t="s">
        <v>40</v>
      </c>
      <c r="D1361">
        <v>5.9783939999999998</v>
      </c>
      <c r="E1361">
        <v>0.55604889999999996</v>
      </c>
      <c r="F1361" t="s">
        <v>56</v>
      </c>
      <c r="G1361">
        <v>-199.91079999999999</v>
      </c>
      <c r="H1361" s="1">
        <v>1.8427299999999999E-6</v>
      </c>
      <c r="I1361">
        <v>288.77850000000001</v>
      </c>
      <c r="J1361">
        <v>-192.38560000000001</v>
      </c>
      <c r="K1361">
        <v>1.1034870000000001</v>
      </c>
      <c r="L1361">
        <v>296.35340000000002</v>
      </c>
      <c r="M1361">
        <v>-0.36771979999999999</v>
      </c>
      <c r="N1361">
        <v>0</v>
      </c>
      <c r="O1361">
        <v>-0.92980180000000001</v>
      </c>
      <c r="P1361">
        <v>-0.59654739999999995</v>
      </c>
      <c r="Q1361">
        <v>-6.0055890000000001E-2</v>
      </c>
      <c r="R1361">
        <v>-0.80032799999999904</v>
      </c>
      <c r="S1361">
        <v>-2.1106410000000002</v>
      </c>
      <c r="T1361">
        <v>-0.3056527</v>
      </c>
      <c r="U1361">
        <v>-2.157867</v>
      </c>
      <c r="V1361">
        <v>0.25961089999999998</v>
      </c>
      <c r="W1361">
        <v>-4.9189869999999997E-2</v>
      </c>
      <c r="X1361">
        <v>0.96445970000000003</v>
      </c>
      <c r="Y1361">
        <v>0.38354490000000002</v>
      </c>
      <c r="Z1361">
        <v>0.101132</v>
      </c>
      <c r="AA1361">
        <v>0.91796820000000001</v>
      </c>
      <c r="AB1361">
        <v>24</v>
      </c>
      <c r="AC1361">
        <v>-7.5251999999999803</v>
      </c>
      <c r="AD1361">
        <v>-1.10348515727</v>
      </c>
      <c r="AE1361">
        <v>-7.5749000000000102</v>
      </c>
      <c r="AF1361">
        <v>4.1675200127429397</v>
      </c>
      <c r="AG1361">
        <v>-1.10348515727</v>
      </c>
      <c r="AH1361">
        <v>9.7078644205703597</v>
      </c>
      <c r="AI1361">
        <v>95.962988035284695</v>
      </c>
      <c r="AJ1361">
        <v>66.766482077605104</v>
      </c>
      <c r="AK1361">
        <v>10.622077676100099</v>
      </c>
      <c r="AL1361">
        <v>92.819509795313905</v>
      </c>
      <c r="AM1361">
        <v>74.934354980657204</v>
      </c>
      <c r="AN1361">
        <v>0.99999998781675803</v>
      </c>
    </row>
    <row r="1362" spans="1:40" x14ac:dyDescent="0.3">
      <c r="A1362" t="str">
        <f>"20200111160430297"</f>
        <v>20200111160430297</v>
      </c>
      <c r="B1362" t="str">
        <f>"1578729870291897"</f>
        <v>1578729870291897</v>
      </c>
      <c r="C1362" t="s">
        <v>40</v>
      </c>
      <c r="D1362">
        <v>5.144914</v>
      </c>
      <c r="E1362">
        <v>0.55603000000000002</v>
      </c>
      <c r="F1362" t="s">
        <v>56</v>
      </c>
      <c r="G1362">
        <v>-200.4641</v>
      </c>
      <c r="H1362" s="1">
        <v>2.1021460000000002E-6</v>
      </c>
      <c r="I1362">
        <v>288.28410000000002</v>
      </c>
      <c r="J1362">
        <v>-192.4837</v>
      </c>
      <c r="K1362">
        <v>1.10338</v>
      </c>
      <c r="L1362">
        <v>296.1379</v>
      </c>
      <c r="M1362">
        <v>-0.37767060000000002</v>
      </c>
      <c r="N1362">
        <v>0</v>
      </c>
      <c r="O1362">
        <v>-0.92580680000000004</v>
      </c>
      <c r="P1362">
        <v>-0.607817099999999</v>
      </c>
      <c r="Q1362">
        <v>-5.3930619999999999E-2</v>
      </c>
      <c r="R1362">
        <v>-0.79224410000000001</v>
      </c>
      <c r="S1362">
        <v>-2.13652</v>
      </c>
      <c r="T1362">
        <v>-0.29183789999999998</v>
      </c>
      <c r="U1362">
        <v>-2.134064</v>
      </c>
      <c r="V1362">
        <v>0.26283849999999997</v>
      </c>
      <c r="W1362">
        <v>-4.3326719999999999E-2</v>
      </c>
      <c r="X1362">
        <v>0.96386649999999996</v>
      </c>
      <c r="Y1362">
        <v>0.38468089999999999</v>
      </c>
      <c r="Z1362">
        <v>9.6390539999999997E-2</v>
      </c>
      <c r="AA1362">
        <v>0.91800300000000001</v>
      </c>
      <c r="AB1362">
        <v>24</v>
      </c>
      <c r="AC1362">
        <v>-7.9804000000000004</v>
      </c>
      <c r="AD1362">
        <v>-1.1033778978540001</v>
      </c>
      <c r="AE1362">
        <v>-7.8537999999999704</v>
      </c>
      <c r="AF1362">
        <v>4.3801694781680096</v>
      </c>
      <c r="AG1362">
        <v>-1.1033778978540001</v>
      </c>
      <c r="AH1362">
        <v>10.1874040842239</v>
      </c>
      <c r="AI1362">
        <v>95.682269418296002</v>
      </c>
      <c r="AJ1362">
        <v>66.734261607443699</v>
      </c>
      <c r="AK1362">
        <v>11.143900996428901</v>
      </c>
      <c r="AL1362">
        <v>92.483215636926104</v>
      </c>
      <c r="AM1362">
        <v>74.746772537763903</v>
      </c>
      <c r="AN1362">
        <v>0.99999995578522805</v>
      </c>
    </row>
    <row r="1363" spans="1:40" x14ac:dyDescent="0.3">
      <c r="A1363" t="str">
        <f>"20200111160430320"</f>
        <v>20200111160430320</v>
      </c>
      <c r="B1363" t="str">
        <f>"1578729870312394"</f>
        <v>1578729870312394</v>
      </c>
      <c r="C1363" t="s">
        <v>40</v>
      </c>
      <c r="D1363">
        <v>6.1516169999999999</v>
      </c>
      <c r="E1363">
        <v>0.56491769999999997</v>
      </c>
      <c r="F1363" t="s">
        <v>56</v>
      </c>
      <c r="G1363">
        <v>-201.1893</v>
      </c>
      <c r="H1363" s="1">
        <v>2.476672E-6</v>
      </c>
      <c r="I1363">
        <v>287.67860000000002</v>
      </c>
      <c r="J1363">
        <v>-192.58609999999999</v>
      </c>
      <c r="K1363">
        <v>1.1032770000000001</v>
      </c>
      <c r="L1363">
        <v>295.92</v>
      </c>
      <c r="M1363">
        <v>-0.38794889999999999</v>
      </c>
      <c r="N1363">
        <v>0</v>
      </c>
      <c r="O1363">
        <v>-0.92154879999999995</v>
      </c>
      <c r="P1363">
        <v>-0.61973100000000003</v>
      </c>
      <c r="Q1363">
        <v>-4.7655360000000001E-2</v>
      </c>
      <c r="R1363">
        <v>-0.78336649999999997</v>
      </c>
      <c r="S1363">
        <v>-2.1668850000000002</v>
      </c>
      <c r="T1363">
        <v>-0.27463979999999999</v>
      </c>
      <c r="U1363">
        <v>-2.105591</v>
      </c>
      <c r="V1363">
        <v>0.26662540000000001</v>
      </c>
      <c r="W1363">
        <v>-3.7309950000000001E-2</v>
      </c>
      <c r="X1363">
        <v>0.96307779999999998</v>
      </c>
      <c r="Y1363">
        <v>0.38747100000000001</v>
      </c>
      <c r="Z1363">
        <v>9.0561219999999998E-2</v>
      </c>
      <c r="AA1363">
        <v>0.91742299999999999</v>
      </c>
      <c r="AB1363">
        <v>24</v>
      </c>
      <c r="AC1363">
        <v>-8.60320000000001</v>
      </c>
      <c r="AD1363">
        <v>-1.1032745233279999</v>
      </c>
      <c r="AE1363">
        <v>-8.2413999999999898</v>
      </c>
      <c r="AF1363">
        <v>4.6913702564903996</v>
      </c>
      <c r="AG1363">
        <v>-1.1032745233279999</v>
      </c>
      <c r="AH1363">
        <v>10.840816459917599</v>
      </c>
      <c r="AI1363">
        <v>95.335938318639407</v>
      </c>
      <c r="AJ1363">
        <v>66.599421027103304</v>
      </c>
      <c r="AK1363">
        <v>11.863788226149699</v>
      </c>
      <c r="AL1363">
        <v>92.138198954215795</v>
      </c>
      <c r="AM1363">
        <v>74.525399272914598</v>
      </c>
      <c r="AN1363">
        <v>0.99999999257350103</v>
      </c>
    </row>
    <row r="1364" spans="1:40" x14ac:dyDescent="0.3">
      <c r="A1364" t="str">
        <f>"20200111160430341"</f>
        <v>20200111160430341</v>
      </c>
      <c r="B1364" t="str">
        <f>"1578729870331914"</f>
        <v>1578729870331914</v>
      </c>
      <c r="C1364" t="s">
        <v>40</v>
      </c>
      <c r="D1364">
        <v>6.1280510000000001</v>
      </c>
      <c r="E1364">
        <v>0.63306669999999998</v>
      </c>
      <c r="F1364" t="s">
        <v>56</v>
      </c>
      <c r="G1364">
        <v>-202.2158</v>
      </c>
      <c r="H1364" s="1">
        <v>2.9694919999999999E-6</v>
      </c>
      <c r="I1364">
        <v>287.24860000000001</v>
      </c>
      <c r="J1364">
        <v>-192.68950000000001</v>
      </c>
      <c r="K1364">
        <v>1.103178</v>
      </c>
      <c r="L1364">
        <v>295.70650000000001</v>
      </c>
      <c r="M1364">
        <v>-0.39823500000000001</v>
      </c>
      <c r="N1364">
        <v>0</v>
      </c>
      <c r="O1364">
        <v>-0.91715230000000003</v>
      </c>
      <c r="P1364">
        <v>-0.63223240000000003</v>
      </c>
      <c r="Q1364">
        <v>-4.3017850000000003E-2</v>
      </c>
      <c r="R1364">
        <v>-0.77358369999999999</v>
      </c>
      <c r="S1364">
        <v>-2.254623</v>
      </c>
      <c r="T1364">
        <v>-0.25831169999999998</v>
      </c>
      <c r="U1364">
        <v>-2.030243</v>
      </c>
      <c r="V1364">
        <v>0.27127370000000001</v>
      </c>
      <c r="W1364">
        <v>-3.2933459999999998E-2</v>
      </c>
      <c r="X1364">
        <v>0.96193870000000004</v>
      </c>
      <c r="Y1364">
        <v>0.41224230000000001</v>
      </c>
      <c r="Z1364">
        <v>8.5143339999999998E-2</v>
      </c>
      <c r="AA1364">
        <v>0.90708699999999998</v>
      </c>
      <c r="AB1364">
        <v>24</v>
      </c>
      <c r="AC1364">
        <v>-9.5262999999999902</v>
      </c>
      <c r="AD1364">
        <v>-1.1031750305079999</v>
      </c>
      <c r="AE1364">
        <v>-8.4578999999999898</v>
      </c>
      <c r="AF1364">
        <v>5.3295156525839502</v>
      </c>
      <c r="AG1364">
        <v>-1.1031750305079999</v>
      </c>
      <c r="AH1364">
        <v>11.4662916604532</v>
      </c>
      <c r="AI1364">
        <v>94.986229109961798</v>
      </c>
      <c r="AJ1364">
        <v>65.071063638418707</v>
      </c>
      <c r="AK1364">
        <v>12.6923826243008</v>
      </c>
      <c r="AL1364">
        <v>91.887289440424098</v>
      </c>
      <c r="AM1364">
        <v>74.251162611559806</v>
      </c>
      <c r="AN1364">
        <v>1.0000000478284701</v>
      </c>
    </row>
    <row r="1365" spans="1:40" x14ac:dyDescent="0.3">
      <c r="A1365" t="str">
        <f>"20200111160430364"</f>
        <v>20200111160430364</v>
      </c>
      <c r="B1365" t="str">
        <f>"1578729870352410"</f>
        <v>1578729870352410</v>
      </c>
      <c r="C1365" t="s">
        <v>40</v>
      </c>
      <c r="D1365">
        <v>6.0781619999999998</v>
      </c>
      <c r="E1365">
        <v>0.6337429</v>
      </c>
      <c r="F1365" t="s">
        <v>56</v>
      </c>
      <c r="G1365">
        <v>-200.71530000000001</v>
      </c>
      <c r="H1365">
        <v>2.2257000000000002E-3</v>
      </c>
      <c r="I1365">
        <v>290.78550000000001</v>
      </c>
      <c r="J1365">
        <v>-192.79470000000001</v>
      </c>
      <c r="K1365">
        <v>1.10307</v>
      </c>
      <c r="L1365">
        <v>295.49579999999997</v>
      </c>
      <c r="M1365">
        <v>-0.40859649999999997</v>
      </c>
      <c r="N1365">
        <v>0</v>
      </c>
      <c r="O1365">
        <v>-0.91258450000000002</v>
      </c>
      <c r="P1365">
        <v>-0.64652089999999995</v>
      </c>
      <c r="Q1365">
        <v>-3.9173920000000001E-2</v>
      </c>
      <c r="R1365">
        <v>-0.76189019999999996</v>
      </c>
      <c r="S1365">
        <v>-2.696701</v>
      </c>
      <c r="T1365">
        <v>-0.36992449999999999</v>
      </c>
      <c r="U1365">
        <v>-1.653473</v>
      </c>
      <c r="V1365">
        <v>0.27824510000000002</v>
      </c>
      <c r="W1365">
        <v>-2.9390449999999999E-2</v>
      </c>
      <c r="X1365">
        <v>0.96006040000000004</v>
      </c>
      <c r="Y1365">
        <v>0.55788919999999997</v>
      </c>
      <c r="Z1365">
        <v>0.1206347</v>
      </c>
      <c r="AA1365">
        <v>0.82110099999999997</v>
      </c>
      <c r="AB1365">
        <v>24</v>
      </c>
      <c r="AC1365">
        <v>-7.9206000000000003</v>
      </c>
      <c r="AD1365">
        <v>-1.1008443000000001</v>
      </c>
      <c r="AE1365">
        <v>-4.7102999999999602</v>
      </c>
      <c r="AF1365">
        <v>5.2296099685020501</v>
      </c>
      <c r="AG1365">
        <v>-1.1008443000000001</v>
      </c>
      <c r="AH1365">
        <v>7.4297512697806196</v>
      </c>
      <c r="AI1365">
        <v>96.908410523765596</v>
      </c>
      <c r="AJ1365">
        <v>54.859275431658901</v>
      </c>
      <c r="AK1365">
        <v>9.1521517975995899</v>
      </c>
      <c r="AL1365">
        <v>91.684191180173897</v>
      </c>
      <c r="AM1365">
        <v>73.837332884281395</v>
      </c>
      <c r="AN1365">
        <v>1.0000000529366799</v>
      </c>
    </row>
    <row r="1366" spans="1:40" x14ac:dyDescent="0.3">
      <c r="A1366" t="str">
        <f>"20200111160430387"</f>
        <v>20200111160430387</v>
      </c>
      <c r="B1366" t="str">
        <f>"1578729870381690"</f>
        <v>1578729870381690</v>
      </c>
      <c r="C1366" t="s">
        <v>40</v>
      </c>
      <c r="D1366">
        <v>6.0454400000000001</v>
      </c>
      <c r="E1366">
        <v>0.6308184</v>
      </c>
      <c r="F1366" t="s">
        <v>56</v>
      </c>
      <c r="G1366">
        <v>-202.36760000000001</v>
      </c>
      <c r="H1366">
        <v>8.000024E-2</v>
      </c>
      <c r="I1366">
        <v>289.90910000000002</v>
      </c>
      <c r="J1366">
        <v>-192.90960000000001</v>
      </c>
      <c r="K1366">
        <v>1.1029420000000001</v>
      </c>
      <c r="L1366">
        <v>295.27370000000002</v>
      </c>
      <c r="M1366">
        <v>-0.4197787</v>
      </c>
      <c r="N1366">
        <v>0</v>
      </c>
      <c r="O1366">
        <v>-0.90749590000000002</v>
      </c>
      <c r="P1366">
        <v>-0.66200150000000002</v>
      </c>
      <c r="Q1366">
        <v>-3.7159350000000001E-2</v>
      </c>
      <c r="R1366">
        <v>-0.7485811</v>
      </c>
      <c r="S1366">
        <v>-2.738861</v>
      </c>
      <c r="T1366">
        <v>-0.29270639999999998</v>
      </c>
      <c r="U1366">
        <v>-1.598419</v>
      </c>
      <c r="V1366">
        <v>0.28609659999999998</v>
      </c>
      <c r="W1366">
        <v>-2.7695890000000001E-2</v>
      </c>
      <c r="X1366">
        <v>0.9578004</v>
      </c>
      <c r="Y1366">
        <v>0.56806759999999901</v>
      </c>
      <c r="Z1366">
        <v>9.5523570000000002E-2</v>
      </c>
      <c r="AA1366">
        <v>0.81741949999999997</v>
      </c>
      <c r="AB1366">
        <v>24</v>
      </c>
      <c r="AC1366">
        <v>-9.4579999999999895</v>
      </c>
      <c r="AD1366">
        <v>-1.0229417599999999</v>
      </c>
      <c r="AE1366">
        <v>-5.3645999999999896</v>
      </c>
      <c r="AF1366">
        <v>6.2763534845212998</v>
      </c>
      <c r="AG1366">
        <v>-1.0229417599999999</v>
      </c>
      <c r="AH1366">
        <v>8.7621186740312709</v>
      </c>
      <c r="AI1366">
        <v>95.421663718747297</v>
      </c>
      <c r="AJ1366">
        <v>54.385767895077699</v>
      </c>
      <c r="AK1366">
        <v>10.826529756335599</v>
      </c>
      <c r="AL1366">
        <v>91.587060599802101</v>
      </c>
      <c r="AM1366">
        <v>73.369025609101101</v>
      </c>
      <c r="AN1366">
        <v>0.99999996654730505</v>
      </c>
    </row>
    <row r="1367" spans="1:40" x14ac:dyDescent="0.3">
      <c r="A1367" t="str">
        <f>"20200111160430409"</f>
        <v>20200111160430409</v>
      </c>
      <c r="B1367" t="str">
        <f>"1578729870402186"</f>
        <v>1578729870402186</v>
      </c>
      <c r="C1367" t="s">
        <v>40</v>
      </c>
      <c r="D1367">
        <v>6.1086260000000001</v>
      </c>
      <c r="E1367">
        <v>0.62982590000000005</v>
      </c>
      <c r="F1367" t="s">
        <v>56</v>
      </c>
      <c r="G1367">
        <v>-204.5934</v>
      </c>
      <c r="H1367" s="1">
        <v>3.8991599999999996E-6</v>
      </c>
      <c r="I1367">
        <v>288.67489999999998</v>
      </c>
      <c r="J1367">
        <v>-193.0171</v>
      </c>
      <c r="K1367">
        <v>1.1028309999999999</v>
      </c>
      <c r="L1367">
        <v>295.0718</v>
      </c>
      <c r="M1367">
        <v>-0.43010989999999999</v>
      </c>
      <c r="N1367">
        <v>0</v>
      </c>
      <c r="O1367">
        <v>-0.90264580000000005</v>
      </c>
      <c r="P1367">
        <v>-0.67599790000000004</v>
      </c>
      <c r="Q1367">
        <v>-3.8763789999999999E-2</v>
      </c>
      <c r="R1367">
        <v>-0.73588330000000002</v>
      </c>
      <c r="S1367">
        <v>-2.7566069999999998</v>
      </c>
      <c r="T1367">
        <v>-0.26022010000000001</v>
      </c>
      <c r="U1367">
        <v>-1.5568850000000001</v>
      </c>
      <c r="V1367">
        <v>0.29320800000000002</v>
      </c>
      <c r="W1367">
        <v>-2.9579930000000001E-2</v>
      </c>
      <c r="X1367">
        <v>0.95559099999999997</v>
      </c>
      <c r="Y1367">
        <v>0.57114240000000005</v>
      </c>
      <c r="Z1367">
        <v>8.5064650000000006E-2</v>
      </c>
      <c r="AA1367">
        <v>0.81643149999999998</v>
      </c>
      <c r="AB1367">
        <v>24</v>
      </c>
      <c r="AC1367">
        <v>-11.5763</v>
      </c>
      <c r="AD1367">
        <v>-1.1028271008399999</v>
      </c>
      <c r="AE1367">
        <v>-6.3969000000000102</v>
      </c>
      <c r="AF1367">
        <v>7.6456797612717304</v>
      </c>
      <c r="AG1367">
        <v>-1.1028271008399999</v>
      </c>
      <c r="AH1367">
        <v>10.680229950523</v>
      </c>
      <c r="AI1367">
        <v>94.799413935219306</v>
      </c>
      <c r="AJ1367">
        <v>54.402177347150101</v>
      </c>
      <c r="AK1367">
        <v>13.1810454222082</v>
      </c>
      <c r="AL1367">
        <v>91.695052342660404</v>
      </c>
      <c r="AM1367">
        <v>72.942195617066204</v>
      </c>
      <c r="AN1367">
        <v>1.0000000314019</v>
      </c>
    </row>
    <row r="1368" spans="1:40" x14ac:dyDescent="0.3">
      <c r="A1368" t="str">
        <f>"20200111160430431"</f>
        <v>20200111160430431</v>
      </c>
      <c r="B1368" t="str">
        <f>"1578729870421706"</f>
        <v>1578729870421706</v>
      </c>
      <c r="C1368" t="s">
        <v>40</v>
      </c>
      <c r="D1368">
        <v>6.1790190000000003</v>
      </c>
      <c r="E1368">
        <v>0.62773679999999998</v>
      </c>
      <c r="F1368" t="s">
        <v>56</v>
      </c>
      <c r="G1368">
        <v>-203.68010000000001</v>
      </c>
      <c r="H1368" s="1">
        <v>3.4418860000000001E-6</v>
      </c>
      <c r="I1368">
        <v>289.27269999999999</v>
      </c>
      <c r="J1368">
        <v>-193.13470000000001</v>
      </c>
      <c r="K1368">
        <v>1.102725</v>
      </c>
      <c r="L1368">
        <v>294.85770000000002</v>
      </c>
      <c r="M1368">
        <v>-0.44124580000000002</v>
      </c>
      <c r="N1368">
        <v>0</v>
      </c>
      <c r="O1368">
        <v>-0.89725519999999903</v>
      </c>
      <c r="P1368">
        <v>-0.6914361</v>
      </c>
      <c r="Q1368">
        <v>-3.9756930000000003E-2</v>
      </c>
      <c r="R1368">
        <v>-0.7213427</v>
      </c>
      <c r="S1368">
        <v>-2.7772060000000001</v>
      </c>
      <c r="T1368">
        <v>-0.28723530000000003</v>
      </c>
      <c r="U1368">
        <v>-1.5104059999999999</v>
      </c>
      <c r="V1368">
        <v>0.30160930000000002</v>
      </c>
      <c r="W1368">
        <v>-3.0876489999999999E-2</v>
      </c>
      <c r="X1368">
        <v>0.95293150000000004</v>
      </c>
      <c r="Y1368">
        <v>0.57332099999999997</v>
      </c>
      <c r="Z1368">
        <v>9.3864320000000001E-2</v>
      </c>
      <c r="AA1368">
        <v>0.8139364</v>
      </c>
      <c r="AB1368">
        <v>23</v>
      </c>
      <c r="AC1368">
        <v>-10.545400000000001</v>
      </c>
      <c r="AD1368">
        <v>-1.102721558114</v>
      </c>
      <c r="AE1368">
        <v>-5.5850000000000302</v>
      </c>
      <c r="AF1368">
        <v>6.9391242718270503</v>
      </c>
      <c r="AG1368">
        <v>-1.102721558114</v>
      </c>
      <c r="AH1368">
        <v>9.5835823985729096</v>
      </c>
      <c r="AI1368">
        <v>95.324480101354297</v>
      </c>
      <c r="AJ1368">
        <v>54.093066542463603</v>
      </c>
      <c r="AK1368">
        <v>11.883286249385099</v>
      </c>
      <c r="AL1368">
        <v>91.7693738056672</v>
      </c>
      <c r="AM1368">
        <v>72.437066471789805</v>
      </c>
      <c r="AN1368">
        <v>0.99999998558672998</v>
      </c>
    </row>
    <row r="1369" spans="1:40" x14ac:dyDescent="0.3">
      <c r="A1369" t="str">
        <f>"20200111160430453"</f>
        <v>20200111160430453</v>
      </c>
      <c r="B1369" t="str">
        <f>"1578729870442708"</f>
        <v>1578729870442708</v>
      </c>
      <c r="C1369" t="s">
        <v>40</v>
      </c>
      <c r="D1369">
        <v>6.1607770000000004</v>
      </c>
      <c r="E1369">
        <v>0.62512380000000001</v>
      </c>
      <c r="F1369" t="s">
        <v>56</v>
      </c>
      <c r="G1369">
        <v>-202.0591</v>
      </c>
      <c r="H1369">
        <v>8.0000260000000004E-2</v>
      </c>
      <c r="I1369">
        <v>290.18329999999997</v>
      </c>
      <c r="J1369">
        <v>-193.2517</v>
      </c>
      <c r="K1369">
        <v>1.10263</v>
      </c>
      <c r="L1369">
        <v>294.65100000000001</v>
      </c>
      <c r="M1369">
        <v>-0.45217079999999998</v>
      </c>
      <c r="N1369">
        <v>0</v>
      </c>
      <c r="O1369">
        <v>-0.89180009999999998</v>
      </c>
      <c r="P1369">
        <v>-0.70841100000000001</v>
      </c>
      <c r="Q1369">
        <v>-3.9435390000000001E-2</v>
      </c>
      <c r="R1369">
        <v>-0.70469780000000004</v>
      </c>
      <c r="S1369">
        <v>-2.793777</v>
      </c>
      <c r="T1369">
        <v>-0.32016289999999997</v>
      </c>
      <c r="U1369">
        <v>-1.4633179999999999</v>
      </c>
      <c r="V1369">
        <v>0.31261850000000002</v>
      </c>
      <c r="W1369">
        <v>-3.0907879999999999E-2</v>
      </c>
      <c r="X1369">
        <v>0.94937579999999999</v>
      </c>
      <c r="Y1369">
        <v>0.57502279999999995</v>
      </c>
      <c r="Z1369">
        <v>0.10464519999999999</v>
      </c>
      <c r="AA1369">
        <v>0.81141730000000001</v>
      </c>
      <c r="AB1369">
        <v>23</v>
      </c>
      <c r="AC1369">
        <v>-8.8073999999999995</v>
      </c>
      <c r="AD1369">
        <v>-1.02262974</v>
      </c>
      <c r="AE1369">
        <v>-4.46770000000003</v>
      </c>
      <c r="AF1369">
        <v>5.7730583060088403</v>
      </c>
      <c r="AG1369">
        <v>-1.02262974</v>
      </c>
      <c r="AH1369">
        <v>7.8831502546661802</v>
      </c>
      <c r="AI1369">
        <v>95.974811656809294</v>
      </c>
      <c r="AJ1369">
        <v>53.783606310485602</v>
      </c>
      <c r="AK1369">
        <v>9.8243591000814803</v>
      </c>
      <c r="AL1369">
        <v>91.771173124052694</v>
      </c>
      <c r="AM1369">
        <v>71.773882151390197</v>
      </c>
      <c r="AN1369">
        <v>1.00000001660699</v>
      </c>
    </row>
    <row r="1370" spans="1:40" x14ac:dyDescent="0.3">
      <c r="A1370" t="str">
        <f>"20200111160430476"</f>
        <v>20200111160430476</v>
      </c>
      <c r="B1370" t="str">
        <f>"1578729870471988"</f>
        <v>1578729870471988</v>
      </c>
      <c r="C1370" t="s">
        <v>40</v>
      </c>
      <c r="D1370">
        <v>6.2048750000000004</v>
      </c>
      <c r="E1370">
        <v>0.62154529999999997</v>
      </c>
      <c r="F1370" t="s">
        <v>56</v>
      </c>
      <c r="G1370">
        <v>-201.8142</v>
      </c>
      <c r="H1370">
        <v>8.000024E-2</v>
      </c>
      <c r="I1370">
        <v>290.35320000000002</v>
      </c>
      <c r="J1370">
        <v>-193.3741</v>
      </c>
      <c r="K1370">
        <v>1.102536</v>
      </c>
      <c r="L1370">
        <v>294.44139999999999</v>
      </c>
      <c r="M1370">
        <v>-0.46342260000000002</v>
      </c>
      <c r="N1370">
        <v>0</v>
      </c>
      <c r="O1370">
        <v>-0.88600540000000005</v>
      </c>
      <c r="P1370">
        <v>-0.72523789999999999</v>
      </c>
      <c r="Q1370">
        <v>-4.0878989999999997E-2</v>
      </c>
      <c r="R1370">
        <v>-0.68728350000000005</v>
      </c>
      <c r="S1370">
        <v>-2.8120729999999998</v>
      </c>
      <c r="T1370">
        <v>-0.33584920000000001</v>
      </c>
      <c r="U1370">
        <v>-1.4114690000000001</v>
      </c>
      <c r="V1370">
        <v>0.32352690000000001</v>
      </c>
      <c r="W1370">
        <v>-3.269884E-2</v>
      </c>
      <c r="X1370">
        <v>0.94565379999999999</v>
      </c>
      <c r="Y1370">
        <v>0.5781752</v>
      </c>
      <c r="Z1370">
        <v>0.1098571</v>
      </c>
      <c r="AA1370">
        <v>0.80848310000000001</v>
      </c>
      <c r="AB1370">
        <v>23</v>
      </c>
      <c r="AC1370">
        <v>-8.4400999999999993</v>
      </c>
      <c r="AD1370">
        <v>-1.02253576</v>
      </c>
      <c r="AE1370">
        <v>-4.0881999999999703</v>
      </c>
      <c r="AF1370">
        <v>5.5184567902661597</v>
      </c>
      <c r="AG1370">
        <v>-1.02253576</v>
      </c>
      <c r="AH1370">
        <v>7.4458613912898599</v>
      </c>
      <c r="AI1370">
        <v>96.296021425592798</v>
      </c>
      <c r="AJ1370">
        <v>53.456222047707797</v>
      </c>
      <c r="AK1370">
        <v>9.3241512527851302</v>
      </c>
      <c r="AL1370">
        <v>91.873839570854997</v>
      </c>
      <c r="AM1370">
        <v>71.113166399210201</v>
      </c>
      <c r="AN1370">
        <v>0.99999998930769696</v>
      </c>
    </row>
    <row r="1371" spans="1:40" x14ac:dyDescent="0.3">
      <c r="A1371" t="str">
        <f>"20200111160430498"</f>
        <v>20200111160430498</v>
      </c>
      <c r="B1371" t="str">
        <f>"1578729870492485"</f>
        <v>1578729870492485</v>
      </c>
      <c r="C1371" t="s">
        <v>40</v>
      </c>
      <c r="D1371">
        <v>6.1836849999999997</v>
      </c>
      <c r="E1371">
        <v>0.59887539999999995</v>
      </c>
      <c r="F1371" t="s">
        <v>56</v>
      </c>
      <c r="G1371">
        <v>-201.35550000000001</v>
      </c>
      <c r="H1371">
        <v>8.0000160000000001E-2</v>
      </c>
      <c r="I1371">
        <v>290.58850000000001</v>
      </c>
      <c r="J1371">
        <v>-193.49119999999999</v>
      </c>
      <c r="K1371">
        <v>1.1024529999999999</v>
      </c>
      <c r="L1371">
        <v>294.2466</v>
      </c>
      <c r="M1371">
        <v>-0.47402270000000002</v>
      </c>
      <c r="N1371">
        <v>0</v>
      </c>
      <c r="O1371">
        <v>-0.88038019999999995</v>
      </c>
      <c r="P1371">
        <v>-0.73979759999999894</v>
      </c>
      <c r="Q1371">
        <v>-4.1225999999999999E-2</v>
      </c>
      <c r="R1371">
        <v>-0.67156569999999904</v>
      </c>
      <c r="S1371">
        <v>-2.8242029999999998</v>
      </c>
      <c r="T1371">
        <v>-0.36182170000000002</v>
      </c>
      <c r="U1371">
        <v>-1.3633420000000001</v>
      </c>
      <c r="V1371">
        <v>0.33241609999999899</v>
      </c>
      <c r="W1371">
        <v>-3.3333689999999999E-2</v>
      </c>
      <c r="X1371">
        <v>0.94254360000000004</v>
      </c>
      <c r="Y1371">
        <v>0.57992460000000001</v>
      </c>
      <c r="Z1371">
        <v>0.1184713</v>
      </c>
      <c r="AA1371">
        <v>0.80600989999999995</v>
      </c>
      <c r="AB1371">
        <v>23</v>
      </c>
      <c r="AC1371">
        <v>-7.8643000000000098</v>
      </c>
      <c r="AD1371">
        <v>-1.0224528399999999</v>
      </c>
      <c r="AE1371">
        <v>-3.6580999999999899</v>
      </c>
      <c r="AF1371">
        <v>5.1190208536652602</v>
      </c>
      <c r="AG1371">
        <v>-1.0224528399999999</v>
      </c>
      <c r="AH1371">
        <v>6.85394080147893</v>
      </c>
      <c r="AI1371">
        <v>96.815720785756994</v>
      </c>
      <c r="AJ1371">
        <v>53.244952743069597</v>
      </c>
      <c r="AK1371">
        <v>8.6154679977620194</v>
      </c>
      <c r="AL1371">
        <v>91.910233583855799</v>
      </c>
      <c r="AM1371">
        <v>70.573282547920897</v>
      </c>
      <c r="AN1371">
        <v>1.0000000181645901</v>
      </c>
    </row>
    <row r="1372" spans="1:40" x14ac:dyDescent="0.3">
      <c r="A1372" t="str">
        <f>"20200111160430521"</f>
        <v>20200111160430521</v>
      </c>
      <c r="B1372" t="str">
        <f>"1578729870512005"</f>
        <v>1578729870512005</v>
      </c>
      <c r="C1372" t="s">
        <v>40</v>
      </c>
      <c r="D1372">
        <v>6.2069869999999998</v>
      </c>
      <c r="E1372">
        <v>0.59705640000000004</v>
      </c>
      <c r="F1372" t="s">
        <v>56</v>
      </c>
      <c r="G1372">
        <v>-199.53360000000001</v>
      </c>
      <c r="H1372" s="1">
        <v>1.5464069999999999E-6</v>
      </c>
      <c r="I1372">
        <v>291.04919999999998</v>
      </c>
      <c r="J1372">
        <v>-193.62450000000001</v>
      </c>
      <c r="K1372">
        <v>1.1023639999999999</v>
      </c>
      <c r="L1372">
        <v>294.03109999999998</v>
      </c>
      <c r="M1372">
        <v>-0.48590450000000002</v>
      </c>
      <c r="N1372">
        <v>0</v>
      </c>
      <c r="O1372">
        <v>-0.87387859999999995</v>
      </c>
      <c r="P1372">
        <v>-0.75338780000000005</v>
      </c>
      <c r="Q1372">
        <v>-4.0625380000000003E-2</v>
      </c>
      <c r="R1372">
        <v>-0.65632069999999998</v>
      </c>
      <c r="S1372">
        <v>-2.7206570000000001</v>
      </c>
      <c r="T1372">
        <v>-0.49638389999999999</v>
      </c>
      <c r="U1372">
        <v>-1.4396359999999999</v>
      </c>
      <c r="V1372">
        <v>0.33891480000000002</v>
      </c>
      <c r="W1372">
        <v>-3.2964010000000002E-2</v>
      </c>
      <c r="X1372">
        <v>0.94023939999999995</v>
      </c>
      <c r="Y1372">
        <v>0.53236490000000003</v>
      </c>
      <c r="Z1372">
        <v>0.1619305</v>
      </c>
      <c r="AA1372">
        <v>0.83088269999999997</v>
      </c>
      <c r="AB1372">
        <v>23</v>
      </c>
      <c r="AC1372">
        <v>-5.9090999999999898</v>
      </c>
      <c r="AD1372">
        <v>-1.1023624535929999</v>
      </c>
      <c r="AE1372">
        <v>-2.9818999999999898</v>
      </c>
      <c r="AF1372">
        <v>3.6150734288255602</v>
      </c>
      <c r="AG1372">
        <v>-1.1023624535929999</v>
      </c>
      <c r="AH1372">
        <v>5.3298722212713603</v>
      </c>
      <c r="AI1372">
        <v>99.713115430069095</v>
      </c>
      <c r="AJ1372">
        <v>55.852272470835501</v>
      </c>
      <c r="AK1372">
        <v>6.5338730298324803</v>
      </c>
      <c r="AL1372">
        <v>91.8890408705916</v>
      </c>
      <c r="AM1372">
        <v>70.178004873146406</v>
      </c>
      <c r="AN1372">
        <v>0.99999999846333998</v>
      </c>
    </row>
    <row r="1373" spans="1:40" x14ac:dyDescent="0.3">
      <c r="A1373" t="str">
        <f>"20200111160430543"</f>
        <v>20200111160430543</v>
      </c>
      <c r="B1373" t="str">
        <f>"1578729870532033"</f>
        <v>1578729870532033</v>
      </c>
      <c r="C1373" t="s">
        <v>40</v>
      </c>
      <c r="D1373">
        <v>6.2525459999999997</v>
      </c>
      <c r="E1373">
        <v>0.59532359999999995</v>
      </c>
      <c r="F1373" t="s">
        <v>56</v>
      </c>
      <c r="G1373">
        <v>-199.68549999999999</v>
      </c>
      <c r="H1373" s="1">
        <v>1.5507079999999901E-6</v>
      </c>
      <c r="I1373">
        <v>290.94830000000002</v>
      </c>
      <c r="J1373">
        <v>-193.74950000000001</v>
      </c>
      <c r="K1373">
        <v>1.102277</v>
      </c>
      <c r="L1373">
        <v>293.83530000000002</v>
      </c>
      <c r="M1373">
        <v>-0.49683640000000001</v>
      </c>
      <c r="N1373">
        <v>0</v>
      </c>
      <c r="O1373">
        <v>-0.86770979999999998</v>
      </c>
      <c r="P1373">
        <v>-0.7652196</v>
      </c>
      <c r="Q1373">
        <v>-4.1803350000000003E-2</v>
      </c>
      <c r="R1373">
        <v>-0.64241079999999995</v>
      </c>
      <c r="S1373">
        <v>-2.740723</v>
      </c>
      <c r="T1373">
        <v>-0.49847809999999998</v>
      </c>
      <c r="U1373">
        <v>-1.394012</v>
      </c>
      <c r="V1373">
        <v>0.3442404</v>
      </c>
      <c r="W1373">
        <v>-3.4333759999999998E-2</v>
      </c>
      <c r="X1373">
        <v>0.93825360000000002</v>
      </c>
      <c r="Y1373">
        <v>0.53512130000000002</v>
      </c>
      <c r="Z1373">
        <v>0.16244259999999999</v>
      </c>
      <c r="AA1373">
        <v>0.82901000000000002</v>
      </c>
      <c r="AB1373">
        <v>23</v>
      </c>
      <c r="AC1373">
        <v>-5.9359999999999697</v>
      </c>
      <c r="AD1373">
        <v>-1.1022754492919999</v>
      </c>
      <c r="AE1373">
        <v>-2.887</v>
      </c>
      <c r="AF1373">
        <v>3.6159581519711801</v>
      </c>
      <c r="AG1373">
        <v>-1.1022754492919999</v>
      </c>
      <c r="AH1373">
        <v>5.3069466180541101</v>
      </c>
      <c r="AI1373">
        <v>99.739751676818102</v>
      </c>
      <c r="AJ1373">
        <v>55.730922358611899</v>
      </c>
      <c r="AK1373">
        <v>6.5156616647731704</v>
      </c>
      <c r="AL1373">
        <v>91.967566158757407</v>
      </c>
      <c r="AM1373">
        <v>69.852173633786194</v>
      </c>
      <c r="AN1373">
        <v>1.00000003899042</v>
      </c>
    </row>
    <row r="1374" spans="1:40" x14ac:dyDescent="0.3">
      <c r="A1374" t="str">
        <f>"20200111160430566"</f>
        <v>20200111160430566</v>
      </c>
      <c r="B1374" t="str">
        <f>"1578729870562289"</f>
        <v>1578729870562289</v>
      </c>
      <c r="C1374" t="s">
        <v>40</v>
      </c>
      <c r="D1374">
        <v>6.2528079999999999</v>
      </c>
      <c r="E1374">
        <v>0.5834705</v>
      </c>
      <c r="F1374" t="s">
        <v>56</v>
      </c>
      <c r="G1374">
        <v>-199.87729999999999</v>
      </c>
      <c r="H1374" s="1">
        <v>1.5546220000000001E-6</v>
      </c>
      <c r="I1374">
        <v>290.8295</v>
      </c>
      <c r="J1374">
        <v>-193.88220000000001</v>
      </c>
      <c r="K1374">
        <v>1.102193</v>
      </c>
      <c r="L1374">
        <v>293.63389999999998</v>
      </c>
      <c r="M1374">
        <v>-0.50822800000000001</v>
      </c>
      <c r="N1374">
        <v>0</v>
      </c>
      <c r="O1374">
        <v>-0.8610873</v>
      </c>
      <c r="P1374">
        <v>-0.77612139999999996</v>
      </c>
      <c r="Q1374">
        <v>-4.5270489999999997E-2</v>
      </c>
      <c r="R1374">
        <v>-0.62895690000000004</v>
      </c>
      <c r="S1374">
        <v>-2.757736</v>
      </c>
      <c r="T1374">
        <v>-0.496062</v>
      </c>
      <c r="U1374">
        <v>-1.352722</v>
      </c>
      <c r="V1374">
        <v>0.34800429999999999</v>
      </c>
      <c r="W1374">
        <v>-3.7949299999999998E-2</v>
      </c>
      <c r="X1374">
        <v>0.93672449999999996</v>
      </c>
      <c r="Y1374">
        <v>0.53621079999999999</v>
      </c>
      <c r="Z1374">
        <v>0.16138239999999901</v>
      </c>
      <c r="AA1374">
        <v>0.8285129</v>
      </c>
      <c r="AB1374">
        <v>23</v>
      </c>
      <c r="AC1374">
        <v>-5.9950999999999697</v>
      </c>
      <c r="AD1374">
        <v>-1.102191445378</v>
      </c>
      <c r="AE1374">
        <v>-2.8043999999999798</v>
      </c>
      <c r="AF1374">
        <v>3.63661454155966</v>
      </c>
      <c r="AG1374">
        <v>-1.102191445378</v>
      </c>
      <c r="AH1374">
        <v>5.31495278389513</v>
      </c>
      <c r="AI1374">
        <v>99.711936570490593</v>
      </c>
      <c r="AJ1374">
        <v>55.619156711593902</v>
      </c>
      <c r="AK1374">
        <v>6.5336448021898397</v>
      </c>
      <c r="AL1374">
        <v>92.174857033424601</v>
      </c>
      <c r="AM1374">
        <v>69.6193692747608</v>
      </c>
      <c r="AN1374">
        <v>0.99999996554461401</v>
      </c>
    </row>
    <row r="1375" spans="1:40" x14ac:dyDescent="0.3">
      <c r="A1375" t="str">
        <f>"20200111160430587"</f>
        <v>20200111160430587</v>
      </c>
      <c r="B1375" t="str">
        <f>"1578729870581810"</f>
        <v>1578729870581810</v>
      </c>
      <c r="C1375" t="s">
        <v>40</v>
      </c>
      <c r="D1375">
        <v>6.2836339999999904</v>
      </c>
      <c r="E1375">
        <v>0.58195759999999996</v>
      </c>
      <c r="F1375" t="s">
        <v>56</v>
      </c>
      <c r="G1375">
        <v>-199.6165</v>
      </c>
      <c r="H1375" s="1">
        <v>1.595153E-6</v>
      </c>
      <c r="I1375">
        <v>290.73070000000001</v>
      </c>
      <c r="J1375">
        <v>-194.01230000000001</v>
      </c>
      <c r="K1375">
        <v>1.102123</v>
      </c>
      <c r="L1375">
        <v>293.44209999999998</v>
      </c>
      <c r="M1375">
        <v>-0.51918409999999904</v>
      </c>
      <c r="N1375">
        <v>0</v>
      </c>
      <c r="O1375">
        <v>-0.85452589999999995</v>
      </c>
      <c r="P1375">
        <v>-0.78506219999999904</v>
      </c>
      <c r="Q1375">
        <v>-4.7000889999999997E-2</v>
      </c>
      <c r="R1375">
        <v>-0.61763140000000005</v>
      </c>
      <c r="S1375">
        <v>-2.7192379999999998</v>
      </c>
      <c r="T1375">
        <v>-0.52266809999999997</v>
      </c>
      <c r="U1375">
        <v>-1.3766780000000001</v>
      </c>
      <c r="V1375">
        <v>0.34950160000000002</v>
      </c>
      <c r="W1375">
        <v>-3.9757599999999997E-2</v>
      </c>
      <c r="X1375">
        <v>0.93609180000000003</v>
      </c>
      <c r="Y1375">
        <v>0.51344559999999995</v>
      </c>
      <c r="Z1375">
        <v>0.16930680000000001</v>
      </c>
      <c r="AA1375">
        <v>0.84125430000000001</v>
      </c>
      <c r="AB1375">
        <v>23</v>
      </c>
      <c r="AC1375">
        <v>-5.6041999999999899</v>
      </c>
      <c r="AD1375">
        <v>-1.1021214048470001</v>
      </c>
      <c r="AE1375">
        <v>-2.7113999999999598</v>
      </c>
      <c r="AF1375">
        <v>3.2788558527445</v>
      </c>
      <c r="AG1375">
        <v>-1.1021214048470001</v>
      </c>
      <c r="AH1375">
        <v>5.0683446743908496</v>
      </c>
      <c r="AI1375">
        <v>100.346928175291</v>
      </c>
      <c r="AJ1375">
        <v>57.100026802027003</v>
      </c>
      <c r="AK1375">
        <v>6.1362598569914697</v>
      </c>
      <c r="AL1375">
        <v>92.278543343962497</v>
      </c>
      <c r="AM1375">
        <v>69.526252432644895</v>
      </c>
      <c r="AN1375">
        <v>0.999999946593778</v>
      </c>
    </row>
    <row r="1376" spans="1:40" x14ac:dyDescent="0.3">
      <c r="A1376" t="str">
        <f>"20200111160430610"</f>
        <v>20200111160430610</v>
      </c>
      <c r="B1376" t="str">
        <f>"1578729870602305"</f>
        <v>1578729870602305</v>
      </c>
      <c r="C1376" t="s">
        <v>40</v>
      </c>
      <c r="D1376">
        <v>6.2495820000000002</v>
      </c>
      <c r="E1376">
        <v>0.58287690000000003</v>
      </c>
      <c r="F1376" t="s">
        <v>56</v>
      </c>
      <c r="G1376">
        <v>-199.7647</v>
      </c>
      <c r="H1376" s="1">
        <v>1.603593E-6</v>
      </c>
      <c r="I1376">
        <v>290.60820000000001</v>
      </c>
      <c r="J1376">
        <v>-194.14660000000001</v>
      </c>
      <c r="K1376">
        <v>1.1020730000000001</v>
      </c>
      <c r="L1376">
        <v>293.24950000000001</v>
      </c>
      <c r="M1376">
        <v>-0.53028039999999999</v>
      </c>
      <c r="N1376">
        <v>0</v>
      </c>
      <c r="O1376">
        <v>-0.8476844</v>
      </c>
      <c r="P1376">
        <v>-0.79328750000000003</v>
      </c>
      <c r="Q1376">
        <v>-4.5994409999999999E-2</v>
      </c>
      <c r="R1376">
        <v>-0.60710730000000002</v>
      </c>
      <c r="S1376">
        <v>-2.7313999999999998</v>
      </c>
      <c r="T1376">
        <v>-0.52331499999999997</v>
      </c>
      <c r="U1376">
        <v>-1.345612</v>
      </c>
      <c r="V1376">
        <v>0.34984759999999998</v>
      </c>
      <c r="W1376">
        <v>-3.8784890000000002E-2</v>
      </c>
      <c r="X1376">
        <v>0.93600340000000004</v>
      </c>
      <c r="Y1376">
        <v>0.5115111</v>
      </c>
      <c r="Z1376">
        <v>0.168942799999999</v>
      </c>
      <c r="AA1376">
        <v>0.84250509999999901</v>
      </c>
      <c r="AB1376">
        <v>23</v>
      </c>
      <c r="AC1376">
        <v>-5.6180999999999903</v>
      </c>
      <c r="AD1376">
        <v>-1.1020713964069999</v>
      </c>
      <c r="AE1376">
        <v>-2.6413000000000002</v>
      </c>
      <c r="AF1376">
        <v>3.25941961223291</v>
      </c>
      <c r="AG1376">
        <v>-1.1020713964069999</v>
      </c>
      <c r="AH1376">
        <v>5.0593242671561196</v>
      </c>
      <c r="AI1376">
        <v>100.376944350171</v>
      </c>
      <c r="AJ1376">
        <v>57.208741626572298</v>
      </c>
      <c r="AK1376">
        <v>6.1184262365106497</v>
      </c>
      <c r="AL1376">
        <v>92.222768043584196</v>
      </c>
      <c r="AM1376">
        <v>69.505893418863394</v>
      </c>
      <c r="AN1376">
        <v>0.99999998786481503</v>
      </c>
    </row>
    <row r="1377" spans="1:40" x14ac:dyDescent="0.3">
      <c r="A1377" t="str">
        <f>"20200111160430633"</f>
        <v>20200111160430633</v>
      </c>
      <c r="B1377" t="str">
        <f>"1578729870621825"</f>
        <v>1578729870621825</v>
      </c>
      <c r="C1377" t="s">
        <v>40</v>
      </c>
      <c r="D1377">
        <v>6.1686449999999997</v>
      </c>
      <c r="E1377">
        <v>0.59035190000000004</v>
      </c>
      <c r="F1377" t="s">
        <v>56</v>
      </c>
      <c r="G1377">
        <v>-200.0361</v>
      </c>
      <c r="H1377" s="1">
        <v>1.650303E-6</v>
      </c>
      <c r="I1377">
        <v>290.46260000000001</v>
      </c>
      <c r="J1377">
        <v>-194.2868</v>
      </c>
      <c r="K1377">
        <v>1.1020540000000001</v>
      </c>
      <c r="L1377">
        <v>293.05430000000001</v>
      </c>
      <c r="M1377">
        <v>-0.54162270000000001</v>
      </c>
      <c r="N1377">
        <v>0</v>
      </c>
      <c r="O1377">
        <v>-0.84048279999999997</v>
      </c>
      <c r="P1377">
        <v>-0.80046709999999999</v>
      </c>
      <c r="Q1377">
        <v>-4.2746579999999999E-2</v>
      </c>
      <c r="R1377">
        <v>-0.59785059999999901</v>
      </c>
      <c r="S1377">
        <v>-2.7543950000000001</v>
      </c>
      <c r="T1377">
        <v>-0.51541009999999998</v>
      </c>
      <c r="U1377">
        <v>-1.303345</v>
      </c>
      <c r="V1377">
        <v>0.34836060000000002</v>
      </c>
      <c r="W1377">
        <v>-3.5512910000000002E-2</v>
      </c>
      <c r="X1377">
        <v>0.93668759999999995</v>
      </c>
      <c r="Y1377">
        <v>0.51383199999999996</v>
      </c>
      <c r="Z1377">
        <v>0.16579079999999999</v>
      </c>
      <c r="AA1377">
        <v>0.84171859999999998</v>
      </c>
      <c r="AB1377">
        <v>23</v>
      </c>
      <c r="AC1377">
        <v>-5.7492999999999999</v>
      </c>
      <c r="AD1377">
        <v>-1.1020523496969901</v>
      </c>
      <c r="AE1377">
        <v>-2.5916999999999999</v>
      </c>
      <c r="AF1377">
        <v>3.3272583019187398</v>
      </c>
      <c r="AG1377">
        <v>-1.1020523496969901</v>
      </c>
      <c r="AH1377">
        <v>5.1360076478863599</v>
      </c>
      <c r="AI1377">
        <v>100.208766493512</v>
      </c>
      <c r="AJ1377">
        <v>57.063634926770199</v>
      </c>
      <c r="AK1377">
        <v>6.2180175094886199</v>
      </c>
      <c r="AL1377">
        <v>92.0351678619664</v>
      </c>
      <c r="AM1377">
        <v>69.599483909544603</v>
      </c>
      <c r="AN1377">
        <v>0.99999996720139295</v>
      </c>
    </row>
    <row r="1378" spans="1:40" x14ac:dyDescent="0.3">
      <c r="A1378" t="str">
        <f>"20200111160430656"</f>
        <v>20200111160430656</v>
      </c>
      <c r="B1378" t="str">
        <f>"1578729870652576"</f>
        <v>1578729870652576</v>
      </c>
      <c r="C1378" t="s">
        <v>40</v>
      </c>
      <c r="D1378">
        <v>6.1986829999999999</v>
      </c>
      <c r="E1378">
        <v>0.64411529999999995</v>
      </c>
      <c r="F1378" t="s">
        <v>56</v>
      </c>
      <c r="G1378">
        <v>-200.804</v>
      </c>
      <c r="H1378" s="1">
        <v>2.0574380000000002E-6</v>
      </c>
      <c r="I1378">
        <v>290.21359999999999</v>
      </c>
      <c r="J1378">
        <v>-194.43260000000001</v>
      </c>
      <c r="K1378">
        <v>1.1020490000000001</v>
      </c>
      <c r="L1378">
        <v>292.8571</v>
      </c>
      <c r="M1378">
        <v>-0.55316619999999905</v>
      </c>
      <c r="N1378">
        <v>0</v>
      </c>
      <c r="O1378">
        <v>-0.83293059999999997</v>
      </c>
      <c r="P1378">
        <v>-0.80723990000000001</v>
      </c>
      <c r="Q1378">
        <v>-3.7277970000000001E-2</v>
      </c>
      <c r="R1378">
        <v>-0.58904519999999905</v>
      </c>
      <c r="S1378">
        <v>-2.8082579999999999</v>
      </c>
      <c r="T1378">
        <v>-0.4748734</v>
      </c>
      <c r="U1378">
        <v>-1.22403</v>
      </c>
      <c r="V1378">
        <v>0.34603650000000002</v>
      </c>
      <c r="W1378">
        <v>-2.999222E-2</v>
      </c>
      <c r="X1378">
        <v>0.93774150000000001</v>
      </c>
      <c r="Y1378">
        <v>0.53027819999999903</v>
      </c>
      <c r="Z1378">
        <v>0.152436299999999</v>
      </c>
      <c r="AA1378">
        <v>0.83400730000000001</v>
      </c>
      <c r="AB1378">
        <v>23</v>
      </c>
      <c r="AC1378">
        <v>-6.3713999999999897</v>
      </c>
      <c r="AD1378">
        <v>-1.1020469425620001</v>
      </c>
      <c r="AE1378">
        <v>-2.6435000000000102</v>
      </c>
      <c r="AF1378">
        <v>3.7493889714989201</v>
      </c>
      <c r="AG1378">
        <v>-1.1020469425620001</v>
      </c>
      <c r="AH1378">
        <v>5.5844272951414702</v>
      </c>
      <c r="AI1378">
        <v>99.304689935443093</v>
      </c>
      <c r="AJ1378">
        <v>56.122556833655501</v>
      </c>
      <c r="AK1378">
        <v>6.8160291473796599</v>
      </c>
      <c r="AL1378">
        <v>91.718685433465694</v>
      </c>
      <c r="AM1378">
        <v>69.745407514331404</v>
      </c>
      <c r="AN1378">
        <v>0.99999995670751296</v>
      </c>
    </row>
    <row r="1379" spans="1:40" x14ac:dyDescent="0.3">
      <c r="A1379" t="str">
        <f>"20200111160430677"</f>
        <v>20200111160430677</v>
      </c>
      <c r="B1379" t="str">
        <f>"1578729870672096"</f>
        <v>1578729870672096</v>
      </c>
      <c r="C1379" t="s">
        <v>40</v>
      </c>
      <c r="D1379">
        <v>6.223617</v>
      </c>
      <c r="E1379">
        <v>0.64265410000000001</v>
      </c>
      <c r="F1379" t="s">
        <v>57</v>
      </c>
      <c r="G1379">
        <v>-212.38829999999999</v>
      </c>
      <c r="H1379" s="1">
        <v>-2.6585950000000001E-7</v>
      </c>
      <c r="I1379">
        <v>287.98860000000002</v>
      </c>
      <c r="J1379">
        <v>-194.57210000000001</v>
      </c>
      <c r="K1379">
        <v>1.102039</v>
      </c>
      <c r="L1379">
        <v>292.6737</v>
      </c>
      <c r="M1379">
        <v>-0.56399160000000004</v>
      </c>
      <c r="N1379">
        <v>0</v>
      </c>
      <c r="O1379">
        <v>-0.82563889999999995</v>
      </c>
      <c r="P1379">
        <v>-0.81361810000000001</v>
      </c>
      <c r="Q1379">
        <v>-3.4615989999999999E-2</v>
      </c>
      <c r="R1379">
        <v>-0.58036840000000001</v>
      </c>
      <c r="S1379">
        <v>-3.0951840000000002</v>
      </c>
      <c r="T1379">
        <v>-0.1899699</v>
      </c>
      <c r="U1379">
        <v>-0.83923340000000002</v>
      </c>
      <c r="V1379">
        <v>0.34398689999999998</v>
      </c>
      <c r="W1379">
        <v>-2.7285719999999999E-2</v>
      </c>
      <c r="X1379">
        <v>0.93857800000000002</v>
      </c>
      <c r="Y1379">
        <v>0.64728779999999997</v>
      </c>
      <c r="Z1379">
        <v>6.1119060000000003E-2</v>
      </c>
      <c r="AA1379">
        <v>0.75979140000000001</v>
      </c>
      <c r="AB1379">
        <v>23</v>
      </c>
      <c r="AC1379">
        <v>-17.816199999999899</v>
      </c>
      <c r="AD1379">
        <v>-1.1020392658595</v>
      </c>
      <c r="AE1379">
        <v>-4.6850999999999701</v>
      </c>
      <c r="AF1379">
        <v>12.0257656316221</v>
      </c>
      <c r="AG1379">
        <v>-1.1020392658595</v>
      </c>
      <c r="AH1379">
        <v>13.8683849550237</v>
      </c>
      <c r="AI1379">
        <v>93.435700244069906</v>
      </c>
      <c r="AJ1379">
        <v>49.070288026315801</v>
      </c>
      <c r="AK1379">
        <v>18.389280323898699</v>
      </c>
      <c r="AL1379">
        <v>91.563550526141597</v>
      </c>
      <c r="AM1379">
        <v>69.872218865259896</v>
      </c>
      <c r="AN1379">
        <v>1.00000007998576</v>
      </c>
    </row>
    <row r="1380" spans="1:40" x14ac:dyDescent="0.3">
      <c r="A1380" t="str">
        <f>"20200111160430699"</f>
        <v>20200111160430699</v>
      </c>
      <c r="B1380" t="str">
        <f>"1578729870692593"</f>
        <v>1578729870692593</v>
      </c>
      <c r="C1380" t="s">
        <v>40</v>
      </c>
      <c r="D1380">
        <v>6.2154569999999998</v>
      </c>
      <c r="E1380">
        <v>0.64046139999999996</v>
      </c>
      <c r="F1380" t="s">
        <v>57</v>
      </c>
      <c r="G1380">
        <v>-212.715</v>
      </c>
      <c r="H1380" s="1">
        <v>-9.2025090000000001E-8</v>
      </c>
      <c r="I1380">
        <v>287.89589999999998</v>
      </c>
      <c r="J1380">
        <v>-194.70939999999999</v>
      </c>
      <c r="K1380">
        <v>1.102025</v>
      </c>
      <c r="L1380">
        <v>292.4982</v>
      </c>
      <c r="M1380">
        <v>-0.57443140000000004</v>
      </c>
      <c r="N1380">
        <v>0</v>
      </c>
      <c r="O1380">
        <v>-0.81840970000000002</v>
      </c>
      <c r="P1380">
        <v>-0.82006190000000001</v>
      </c>
      <c r="Q1380">
        <v>-3.4991420000000002E-2</v>
      </c>
      <c r="R1380">
        <v>-0.57120409999999999</v>
      </c>
      <c r="S1380">
        <v>-3.0974119999999998</v>
      </c>
      <c r="T1380">
        <v>-0.18814429999999999</v>
      </c>
      <c r="U1380">
        <v>-0.8156738</v>
      </c>
      <c r="V1380">
        <v>0.34257530000000003</v>
      </c>
      <c r="W1380">
        <v>-2.7636999999999998E-2</v>
      </c>
      <c r="X1380">
        <v>0.93908380000000002</v>
      </c>
      <c r="Y1380">
        <v>0.64319179999999998</v>
      </c>
      <c r="Z1380">
        <v>6.0306140000000001E-2</v>
      </c>
      <c r="AA1380">
        <v>0.76332650000000002</v>
      </c>
      <c r="AB1380">
        <v>23</v>
      </c>
      <c r="AC1380">
        <v>-18.005600000000001</v>
      </c>
      <c r="AD1380">
        <v>-1.10202509202509</v>
      </c>
      <c r="AE1380">
        <v>-4.6023000000000103</v>
      </c>
      <c r="AF1380">
        <v>12.0512922857222</v>
      </c>
      <c r="AG1380">
        <v>-1.10202509202509</v>
      </c>
      <c r="AH1380">
        <v>14.061756063482999</v>
      </c>
      <c r="AI1380">
        <v>93.4054644374623</v>
      </c>
      <c r="AJ1380">
        <v>49.402561218579201</v>
      </c>
      <c r="AK1380">
        <v>18.552118171471999</v>
      </c>
      <c r="AL1380">
        <v>91.583685087654999</v>
      </c>
      <c r="AM1380">
        <v>69.958163505806596</v>
      </c>
      <c r="AN1380">
        <v>1.0000000116807599</v>
      </c>
    </row>
    <row r="1381" spans="1:40" x14ac:dyDescent="0.3">
      <c r="A1381" t="str">
        <f>"20200111160430722"</f>
        <v>20200111160430722</v>
      </c>
      <c r="B1381" t="str">
        <f>"1578729870712113"</f>
        <v>1578729870712113</v>
      </c>
      <c r="C1381" t="s">
        <v>40</v>
      </c>
      <c r="D1381">
        <v>6.0311519999999996</v>
      </c>
      <c r="E1381">
        <v>0.63857069999999905</v>
      </c>
      <c r="F1381" t="s">
        <v>57</v>
      </c>
      <c r="G1381">
        <v>-212.87549999999999</v>
      </c>
      <c r="H1381" s="1">
        <v>-6.6033009999999996E-9</v>
      </c>
      <c r="I1381">
        <v>287.83179999999999</v>
      </c>
      <c r="J1381">
        <v>-194.86600000000001</v>
      </c>
      <c r="K1381">
        <v>1.1020030000000001</v>
      </c>
      <c r="L1381">
        <v>292.30329999999998</v>
      </c>
      <c r="M1381">
        <v>-0.58611049999999998</v>
      </c>
      <c r="N1381">
        <v>0</v>
      </c>
      <c r="O1381">
        <v>-0.81008649999999904</v>
      </c>
      <c r="P1381">
        <v>-0.82720239999999901</v>
      </c>
      <c r="Q1381">
        <v>-3.692815E-2</v>
      </c>
      <c r="R1381">
        <v>-0.56068969999999996</v>
      </c>
      <c r="S1381">
        <v>-3.0962369999999999</v>
      </c>
      <c r="T1381">
        <v>-0.18782989999999999</v>
      </c>
      <c r="U1381">
        <v>-0.79534910000000003</v>
      </c>
      <c r="V1381">
        <v>0.34098430000000002</v>
      </c>
      <c r="W1381">
        <v>-2.9551350000000001E-2</v>
      </c>
      <c r="X1381">
        <v>0.93960440000000001</v>
      </c>
      <c r="Y1381">
        <v>0.63684079999999998</v>
      </c>
      <c r="Z1381">
        <v>5.9924070000000003E-2</v>
      </c>
      <c r="AA1381">
        <v>0.76866299999999999</v>
      </c>
      <c r="AB1381">
        <v>23</v>
      </c>
      <c r="AC1381">
        <v>-18.009499999999999</v>
      </c>
      <c r="AD1381">
        <v>-1.1020030066033</v>
      </c>
      <c r="AE1381">
        <v>-4.47149999999999</v>
      </c>
      <c r="AF1381">
        <v>11.927795216283201</v>
      </c>
      <c r="AG1381">
        <v>-1.1020030066033</v>
      </c>
      <c r="AH1381">
        <v>14.1296875893365</v>
      </c>
      <c r="AI1381">
        <v>93.410590261524504</v>
      </c>
      <c r="AJ1381">
        <v>49.830095906773998</v>
      </c>
      <c r="AK1381">
        <v>18.5238975574904</v>
      </c>
      <c r="AL1381">
        <v>91.693414163281602</v>
      </c>
      <c r="AM1381">
        <v>70.054065059136406</v>
      </c>
      <c r="AN1381">
        <v>1.00000000181633</v>
      </c>
    </row>
    <row r="1382" spans="1:40" x14ac:dyDescent="0.3">
      <c r="A1382" t="str">
        <f>"20200111160430744"</f>
        <v>20200111160430744</v>
      </c>
      <c r="B1382" t="str">
        <f>"1578729870741900"</f>
        <v>1578729870741900</v>
      </c>
      <c r="C1382" t="s">
        <v>40</v>
      </c>
      <c r="D1382">
        <v>6.0606540000000004</v>
      </c>
      <c r="E1382">
        <v>0.63627919999999905</v>
      </c>
      <c r="F1382" t="s">
        <v>56</v>
      </c>
      <c r="G1382">
        <v>-209.48070000000001</v>
      </c>
      <c r="H1382" s="1">
        <v>6.0669049999999998E-6</v>
      </c>
      <c r="I1382">
        <v>288.66980000000001</v>
      </c>
      <c r="J1382">
        <v>-195.0119</v>
      </c>
      <c r="K1382">
        <v>1.1019600000000001</v>
      </c>
      <c r="L1382">
        <v>292.12729999999999</v>
      </c>
      <c r="M1382">
        <v>-0.59676680000000004</v>
      </c>
      <c r="N1382">
        <v>0</v>
      </c>
      <c r="O1382">
        <v>-0.80226839999999999</v>
      </c>
      <c r="P1382">
        <v>-0.83328199999999997</v>
      </c>
      <c r="Q1382">
        <v>-3.9481990000000002E-2</v>
      </c>
      <c r="R1382">
        <v>-0.55143679999999995</v>
      </c>
      <c r="S1382">
        <v>-3.0947420000000001</v>
      </c>
      <c r="T1382">
        <v>-0.23335500000000001</v>
      </c>
      <c r="U1382">
        <v>-0.76940920000000002</v>
      </c>
      <c r="V1382">
        <v>0.33888699999999999</v>
      </c>
      <c r="W1382">
        <v>-3.20731E-2</v>
      </c>
      <c r="X1382">
        <v>0.94028020000000001</v>
      </c>
      <c r="Y1382">
        <v>0.631525</v>
      </c>
      <c r="Z1382">
        <v>7.4127289999999998E-2</v>
      </c>
      <c r="AA1382">
        <v>0.77180400000000005</v>
      </c>
      <c r="AB1382">
        <v>23</v>
      </c>
      <c r="AC1382">
        <v>-14.4688</v>
      </c>
      <c r="AD1382">
        <v>-1.1019539330949999</v>
      </c>
      <c r="AE1382">
        <v>-3.45749999999998</v>
      </c>
      <c r="AF1382">
        <v>9.4935681892641703</v>
      </c>
      <c r="AG1382">
        <v>-1.1019539330949999</v>
      </c>
      <c r="AH1382">
        <v>11.347417398281101</v>
      </c>
      <c r="AI1382">
        <v>94.259614011338797</v>
      </c>
      <c r="AJ1382">
        <v>50.083200564167797</v>
      </c>
      <c r="AK1382">
        <v>14.8359705124297</v>
      </c>
      <c r="AL1382">
        <v>91.837968530401099</v>
      </c>
      <c r="AM1382">
        <v>70.180297202565299</v>
      </c>
      <c r="AN1382">
        <v>0.99999996851232398</v>
      </c>
    </row>
    <row r="1383" spans="1:40" x14ac:dyDescent="0.3">
      <c r="A1383" t="str">
        <f>"20200111160430767"</f>
        <v>20200111160430767</v>
      </c>
      <c r="B1383" t="str">
        <f>"1578729870762396"</f>
        <v>1578729870762396</v>
      </c>
      <c r="C1383" t="s">
        <v>40</v>
      </c>
      <c r="D1383">
        <v>5.9777570000000004</v>
      </c>
      <c r="E1383">
        <v>0.63490089999999999</v>
      </c>
      <c r="F1383" t="s">
        <v>56</v>
      </c>
      <c r="G1383">
        <v>-208.83410000000001</v>
      </c>
      <c r="H1383" s="1">
        <v>5.7711560000000004E-6</v>
      </c>
      <c r="I1383">
        <v>288.77319999999997</v>
      </c>
      <c r="J1383">
        <v>-195.16</v>
      </c>
      <c r="K1383">
        <v>1.101918</v>
      </c>
      <c r="L1383">
        <v>291.9538</v>
      </c>
      <c r="M1383">
        <v>-0.60738459999999905</v>
      </c>
      <c r="N1383">
        <v>0</v>
      </c>
      <c r="O1383">
        <v>-0.79425979999999996</v>
      </c>
      <c r="P1383">
        <v>-0.83996349999999997</v>
      </c>
      <c r="Q1383">
        <v>-3.9506520000000003E-2</v>
      </c>
      <c r="R1383">
        <v>-0.54120290000000004</v>
      </c>
      <c r="S1383">
        <v>-3.092041</v>
      </c>
      <c r="T1383">
        <v>-0.2465079</v>
      </c>
      <c r="U1383">
        <v>-0.75030520000000001</v>
      </c>
      <c r="V1383">
        <v>0.33787800000000001</v>
      </c>
      <c r="W1383">
        <v>-3.2095140000000001E-2</v>
      </c>
      <c r="X1383">
        <v>0.94064250000000005</v>
      </c>
      <c r="Y1383">
        <v>0.62520469999999995</v>
      </c>
      <c r="Z1383">
        <v>7.7925820000000007E-2</v>
      </c>
      <c r="AA1383">
        <v>0.77656080000000005</v>
      </c>
      <c r="AB1383">
        <v>23</v>
      </c>
      <c r="AC1383">
        <v>-13.674099999999999</v>
      </c>
      <c r="AD1383">
        <v>-1.101912228844</v>
      </c>
      <c r="AE1383">
        <v>-3.1806000000000201</v>
      </c>
      <c r="AF1383">
        <v>8.87531515915075</v>
      </c>
      <c r="AG1383">
        <v>-1.101912228844</v>
      </c>
      <c r="AH1383">
        <v>10.766607834678499</v>
      </c>
      <c r="AI1383">
        <v>94.515399875867999</v>
      </c>
      <c r="AJ1383">
        <v>50.499972848374597</v>
      </c>
      <c r="AK1383">
        <v>13.9966165197196</v>
      </c>
      <c r="AL1383">
        <v>91.839231964538499</v>
      </c>
      <c r="AM1383">
        <v>70.241754139476299</v>
      </c>
      <c r="AN1383">
        <v>0.999999976850934</v>
      </c>
    </row>
    <row r="1384" spans="1:40" x14ac:dyDescent="0.3">
      <c r="A1384" t="str">
        <f>"20200111160430788"</f>
        <v>20200111160430788</v>
      </c>
      <c r="B1384" t="str">
        <f>"1578729870781916"</f>
        <v>1578729870781916</v>
      </c>
      <c r="C1384" t="s">
        <v>40</v>
      </c>
      <c r="D1384">
        <v>5.9319579999999998</v>
      </c>
      <c r="E1384">
        <v>0.63364390000000004</v>
      </c>
      <c r="F1384" t="s">
        <v>56</v>
      </c>
      <c r="G1384">
        <v>-209.11770000000001</v>
      </c>
      <c r="H1384" s="1">
        <v>5.9033870000000004E-6</v>
      </c>
      <c r="I1384">
        <v>288.69920000000002</v>
      </c>
      <c r="J1384">
        <v>-195.31450000000001</v>
      </c>
      <c r="K1384">
        <v>1.1018859999999999</v>
      </c>
      <c r="L1384">
        <v>291.77769999999998</v>
      </c>
      <c r="M1384">
        <v>-0.61825669999999899</v>
      </c>
      <c r="N1384">
        <v>0</v>
      </c>
      <c r="O1384">
        <v>-0.78582659999999904</v>
      </c>
      <c r="P1384">
        <v>-0.84763129999999998</v>
      </c>
      <c r="Q1384">
        <v>-3.6661449999999998E-2</v>
      </c>
      <c r="R1384">
        <v>-0.52931819999999996</v>
      </c>
      <c r="S1384">
        <v>-3.0950929999999999</v>
      </c>
      <c r="T1384">
        <v>-0.2443457</v>
      </c>
      <c r="U1384">
        <v>-0.72167969999999904</v>
      </c>
      <c r="V1384">
        <v>0.33833990000000003</v>
      </c>
      <c r="W1384">
        <v>-2.928159E-2</v>
      </c>
      <c r="X1384">
        <v>0.94056830000000002</v>
      </c>
      <c r="Y1384">
        <v>0.62153449999999999</v>
      </c>
      <c r="Z1384">
        <v>7.6855720000000002E-2</v>
      </c>
      <c r="AA1384">
        <v>0.77960769999999902</v>
      </c>
      <c r="AB1384">
        <v>23</v>
      </c>
      <c r="AC1384">
        <v>-13.8032</v>
      </c>
      <c r="AD1384">
        <v>-1.101880096613</v>
      </c>
      <c r="AE1384">
        <v>-3.07849999999996</v>
      </c>
      <c r="AF1384">
        <v>8.8906991892847191</v>
      </c>
      <c r="AG1384">
        <v>-1.101880096613</v>
      </c>
      <c r="AH1384">
        <v>10.8882787767911</v>
      </c>
      <c r="AI1384">
        <v>94.482056185046801</v>
      </c>
      <c r="AJ1384">
        <v>50.767037308502402</v>
      </c>
      <c r="AK1384">
        <v>14.1001165435886</v>
      </c>
      <c r="AL1384">
        <v>91.677951343015494</v>
      </c>
      <c r="AM1384">
        <v>70.215398799607101</v>
      </c>
      <c r="AN1384">
        <v>1.0000000132049101</v>
      </c>
    </row>
    <row r="1385" spans="1:40" x14ac:dyDescent="0.3">
      <c r="A1385" t="str">
        <f>"20200111160430812"</f>
        <v>20200111160430812</v>
      </c>
      <c r="B1385" t="str">
        <f>"1578729870802411"</f>
        <v>1578729870802411</v>
      </c>
      <c r="C1385" t="s">
        <v>40</v>
      </c>
      <c r="D1385">
        <v>6.4417280000000003</v>
      </c>
      <c r="E1385">
        <v>0.6332856</v>
      </c>
      <c r="F1385" t="s">
        <v>56</v>
      </c>
      <c r="G1385">
        <v>-209.5925</v>
      </c>
      <c r="H1385" s="1">
        <v>6.1212940000000004E-6</v>
      </c>
      <c r="I1385">
        <v>288.61509999999998</v>
      </c>
      <c r="J1385">
        <v>-195.47399999999999</v>
      </c>
      <c r="K1385">
        <v>1.101847</v>
      </c>
      <c r="L1385">
        <v>291.60109999999997</v>
      </c>
      <c r="M1385">
        <v>-0.62926689999999996</v>
      </c>
      <c r="N1385">
        <v>0</v>
      </c>
      <c r="O1385">
        <v>-0.77703739999999999</v>
      </c>
      <c r="P1385">
        <v>-0.85515680000000005</v>
      </c>
      <c r="Q1385">
        <v>-3.4396860000000001E-2</v>
      </c>
      <c r="R1385">
        <v>-0.51722749999999995</v>
      </c>
      <c r="S1385">
        <v>-3.1001280000000002</v>
      </c>
      <c r="T1385">
        <v>-0.23924609999999999</v>
      </c>
      <c r="U1385">
        <v>-0.68667599999999995</v>
      </c>
      <c r="V1385">
        <v>0.3385628</v>
      </c>
      <c r="W1385">
        <v>-2.7040979999999999E-2</v>
      </c>
      <c r="X1385">
        <v>0.94055520000000004</v>
      </c>
      <c r="Y1385">
        <v>0.61932889999999996</v>
      </c>
      <c r="Z1385">
        <v>7.4879280000000006E-2</v>
      </c>
      <c r="AA1385">
        <v>0.78155289999999999</v>
      </c>
      <c r="AB1385">
        <v>23</v>
      </c>
      <c r="AC1385">
        <v>-14.1184999999999</v>
      </c>
      <c r="AD1385">
        <v>-1.1018408787059999</v>
      </c>
      <c r="AE1385">
        <v>-2.98599999999999</v>
      </c>
      <c r="AF1385">
        <v>9.0399831549883594</v>
      </c>
      <c r="AG1385">
        <v>-1.1018408787059999</v>
      </c>
      <c r="AH1385">
        <v>11.140911341062001</v>
      </c>
      <c r="AI1385">
        <v>94.3916094381063</v>
      </c>
      <c r="AJ1385">
        <v>50.943356946125398</v>
      </c>
      <c r="AK1385">
        <v>14.389414660571299</v>
      </c>
      <c r="AL1385">
        <v>91.549522852998294</v>
      </c>
      <c r="AM1385">
        <v>70.203122886391796</v>
      </c>
      <c r="AN1385">
        <v>1.0000000341951101</v>
      </c>
    </row>
    <row r="1386" spans="1:40" x14ac:dyDescent="0.3">
      <c r="A1386" t="str">
        <f>"20200111160430834"</f>
        <v>20200111160430834</v>
      </c>
      <c r="B1386" t="str">
        <f>"1578729870821932"</f>
        <v>1578729870821932</v>
      </c>
      <c r="C1386" t="s">
        <v>40</v>
      </c>
      <c r="D1386">
        <v>5.8807260000000001</v>
      </c>
      <c r="E1386">
        <v>0.61226930000000002</v>
      </c>
      <c r="F1386" t="s">
        <v>57</v>
      </c>
      <c r="G1386">
        <v>-210.0771</v>
      </c>
      <c r="H1386" s="1">
        <v>-1.4957440000000001E-6</v>
      </c>
      <c r="I1386">
        <v>288.56920000000002</v>
      </c>
      <c r="J1386">
        <v>-195.6284</v>
      </c>
      <c r="K1386">
        <v>1.1017999999999999</v>
      </c>
      <c r="L1386">
        <v>291.435</v>
      </c>
      <c r="M1386">
        <v>-0.63973049999999998</v>
      </c>
      <c r="N1386">
        <v>0</v>
      </c>
      <c r="O1386">
        <v>-0.7684455</v>
      </c>
      <c r="P1386">
        <v>-0.86195710000000003</v>
      </c>
      <c r="Q1386">
        <v>-3.3534460000000002E-2</v>
      </c>
      <c r="R1386">
        <v>-0.50587119999999997</v>
      </c>
      <c r="S1386">
        <v>-3.1083530000000001</v>
      </c>
      <c r="T1386">
        <v>-0.23453489999999999</v>
      </c>
      <c r="U1386">
        <v>-0.64535520000000002</v>
      </c>
      <c r="V1386">
        <v>0.3383099</v>
      </c>
      <c r="W1386">
        <v>-2.618972E-2</v>
      </c>
      <c r="X1386">
        <v>0.94067029999999996</v>
      </c>
      <c r="Y1386">
        <v>0.6192358</v>
      </c>
      <c r="Z1386">
        <v>7.3056860000000001E-2</v>
      </c>
      <c r="AA1386">
        <v>0.78179909999999997</v>
      </c>
      <c r="AB1386">
        <v>23</v>
      </c>
      <c r="AC1386">
        <v>-14.448700000000001</v>
      </c>
      <c r="AD1386">
        <v>-1.1018014957440001</v>
      </c>
      <c r="AE1386">
        <v>-2.8657999999999699</v>
      </c>
      <c r="AF1386">
        <v>9.2192142188969406</v>
      </c>
      <c r="AG1386">
        <v>-1.1018014957440001</v>
      </c>
      <c r="AH1386">
        <v>11.383150817086401</v>
      </c>
      <c r="AI1386">
        <v>94.301544549084397</v>
      </c>
      <c r="AJ1386">
        <v>50.995986167094003</v>
      </c>
      <c r="AK1386">
        <v>14.689588145161499</v>
      </c>
      <c r="AL1386">
        <v>91.500731937585996</v>
      </c>
      <c r="AM1386">
        <v>70.218995608436202</v>
      </c>
      <c r="AN1386">
        <v>1.0000000515868801</v>
      </c>
    </row>
    <row r="1387" spans="1:40" x14ac:dyDescent="0.3">
      <c r="A1387" t="str">
        <f>"20200111160430856"</f>
        <v>20200111160430856</v>
      </c>
      <c r="B1387" t="str">
        <f>"1578729870851720"</f>
        <v>1578729870851720</v>
      </c>
      <c r="C1387" t="s">
        <v>40</v>
      </c>
      <c r="D1387">
        <v>5.9019890000000004</v>
      </c>
      <c r="E1387">
        <v>0.61152569999999995</v>
      </c>
      <c r="F1387" t="s">
        <v>56</v>
      </c>
      <c r="G1387">
        <v>-209.3905</v>
      </c>
      <c r="H1387" s="1">
        <v>6.0827729999999999E-6</v>
      </c>
      <c r="I1387">
        <v>288.03089999999997</v>
      </c>
      <c r="J1387">
        <v>-195.7936</v>
      </c>
      <c r="K1387">
        <v>1.1017539999999999</v>
      </c>
      <c r="L1387">
        <v>291.26229999999998</v>
      </c>
      <c r="M1387">
        <v>-0.65072010000000002</v>
      </c>
      <c r="N1387">
        <v>0</v>
      </c>
      <c r="O1387">
        <v>-0.75916169999999905</v>
      </c>
      <c r="P1387">
        <v>-0.86855380000000004</v>
      </c>
      <c r="Q1387">
        <v>-3.5206969999999997E-2</v>
      </c>
      <c r="R1387">
        <v>-0.49434299999999998</v>
      </c>
      <c r="S1387">
        <v>-3.0309910000000002</v>
      </c>
      <c r="T1387">
        <v>-0.24266199999999999</v>
      </c>
      <c r="U1387">
        <v>-0.74972530000000004</v>
      </c>
      <c r="V1387">
        <v>0.33722049999999998</v>
      </c>
      <c r="W1387">
        <v>-2.7853969999999999E-2</v>
      </c>
      <c r="X1387">
        <v>0.94101360000000001</v>
      </c>
      <c r="Y1387">
        <v>0.57738819999999902</v>
      </c>
      <c r="Z1387">
        <v>7.4947390000000003E-2</v>
      </c>
      <c r="AA1387">
        <v>0.81302269999999999</v>
      </c>
      <c r="AB1387">
        <v>23</v>
      </c>
      <c r="AC1387">
        <v>-13.5969</v>
      </c>
      <c r="AD1387">
        <v>-1.1017479172269999</v>
      </c>
      <c r="AE1387">
        <v>-3.2313999999999998</v>
      </c>
      <c r="AF1387">
        <v>8.1697097878286797</v>
      </c>
      <c r="AG1387">
        <v>-1.1017479172269999</v>
      </c>
      <c r="AH1387">
        <v>11.2324630328058</v>
      </c>
      <c r="AI1387">
        <v>94.5354083761505</v>
      </c>
      <c r="AJ1387">
        <v>53.970472230426502</v>
      </c>
      <c r="AK1387">
        <v>13.9329190148298</v>
      </c>
      <c r="AL1387">
        <v>91.596121275634701</v>
      </c>
      <c r="AM1387">
        <v>70.284412641405694</v>
      </c>
      <c r="AN1387">
        <v>1.0000000523249799</v>
      </c>
    </row>
    <row r="1388" spans="1:40" x14ac:dyDescent="0.3">
      <c r="A1388" t="str">
        <f>"20200111160430879"</f>
        <v>20200111160430879</v>
      </c>
      <c r="B1388" t="str">
        <f>"1578729870872215"</f>
        <v>1578729870872215</v>
      </c>
      <c r="C1388" t="s">
        <v>40</v>
      </c>
      <c r="D1388">
        <v>5.8378350000000001</v>
      </c>
      <c r="E1388">
        <v>0.61028879999999996</v>
      </c>
      <c r="F1388" t="s">
        <v>56</v>
      </c>
      <c r="G1388">
        <v>-208.7689</v>
      </c>
      <c r="H1388" s="1">
        <v>5.7915759999999999E-6</v>
      </c>
      <c r="I1388">
        <v>288.2088</v>
      </c>
      <c r="J1388">
        <v>-195.9573</v>
      </c>
      <c r="K1388">
        <v>1.101693</v>
      </c>
      <c r="L1388">
        <v>291.09609999999998</v>
      </c>
      <c r="M1388">
        <v>-0.66141049999999901</v>
      </c>
      <c r="N1388">
        <v>0</v>
      </c>
      <c r="O1388">
        <v>-0.74986560000000002</v>
      </c>
      <c r="P1388">
        <v>-0.87479030000000002</v>
      </c>
      <c r="Q1388">
        <v>-3.7356830000000001E-2</v>
      </c>
      <c r="R1388">
        <v>-0.48305979999999998</v>
      </c>
      <c r="S1388">
        <v>-3.0368189999999999</v>
      </c>
      <c r="T1388">
        <v>-0.25785960000000002</v>
      </c>
      <c r="U1388">
        <v>-0.71466059999999998</v>
      </c>
      <c r="V1388">
        <v>0.33595330000000001</v>
      </c>
      <c r="W1388">
        <v>-2.999013E-2</v>
      </c>
      <c r="X1388">
        <v>0.94140109999999999</v>
      </c>
      <c r="Y1388">
        <v>0.5746599</v>
      </c>
      <c r="Z1388">
        <v>7.9103019999999996E-2</v>
      </c>
      <c r="AA1388">
        <v>0.81456039999999996</v>
      </c>
      <c r="AB1388">
        <v>23</v>
      </c>
      <c r="AC1388">
        <v>-12.8116</v>
      </c>
      <c r="AD1388">
        <v>-1.1016872084239999</v>
      </c>
      <c r="AE1388">
        <v>-2.8872999999999802</v>
      </c>
      <c r="AF1388">
        <v>7.6444081961314003</v>
      </c>
      <c r="AG1388">
        <v>-1.1016872084239999</v>
      </c>
      <c r="AH1388">
        <v>10.565726409589301</v>
      </c>
      <c r="AI1388">
        <v>94.828754995211398</v>
      </c>
      <c r="AJ1388">
        <v>54.1138874673332</v>
      </c>
      <c r="AK1388">
        <v>13.0875997011132</v>
      </c>
      <c r="AL1388">
        <v>91.718565506460493</v>
      </c>
      <c r="AM1388">
        <v>70.3602857106534</v>
      </c>
      <c r="AN1388">
        <v>1.00000002937975</v>
      </c>
    </row>
    <row r="1389" spans="1:40" x14ac:dyDescent="0.3">
      <c r="A1389" t="str">
        <f>"20200111160430902"</f>
        <v>20200111160430902</v>
      </c>
      <c r="B1389" t="str">
        <f>"1578729870891735"</f>
        <v>1578729870891735</v>
      </c>
      <c r="C1389" t="s">
        <v>40</v>
      </c>
      <c r="D1389">
        <v>5.8097969999999997</v>
      </c>
      <c r="E1389">
        <v>0.60853880000000005</v>
      </c>
      <c r="F1389" t="s">
        <v>56</v>
      </c>
      <c r="G1389">
        <v>-208.3305</v>
      </c>
      <c r="H1389" s="1">
        <v>5.5880539999999999E-6</v>
      </c>
      <c r="I1389">
        <v>288.31279999999998</v>
      </c>
      <c r="J1389">
        <v>-196.1259</v>
      </c>
      <c r="K1389">
        <v>1.101631</v>
      </c>
      <c r="L1389">
        <v>290.92989999999998</v>
      </c>
      <c r="M1389">
        <v>-0.67220239999999998</v>
      </c>
      <c r="N1389">
        <v>0</v>
      </c>
      <c r="O1389">
        <v>-0.740206699999999</v>
      </c>
      <c r="P1389">
        <v>-0.88077059999999996</v>
      </c>
      <c r="Q1389">
        <v>-3.9127950000000002E-2</v>
      </c>
      <c r="R1389">
        <v>-0.47192440000000002</v>
      </c>
      <c r="S1389">
        <v>-3.0401760000000002</v>
      </c>
      <c r="T1389">
        <v>-0.27069270000000001</v>
      </c>
      <c r="U1389">
        <v>-0.68386840000000004</v>
      </c>
      <c r="V1389">
        <v>0.33416240000000003</v>
      </c>
      <c r="W1389">
        <v>-3.173086E-2</v>
      </c>
      <c r="X1389">
        <v>0.94198130000000002</v>
      </c>
      <c r="Y1389">
        <v>0.57049910000000004</v>
      </c>
      <c r="Z1389">
        <v>8.2417069999999995E-2</v>
      </c>
      <c r="AA1389">
        <v>0.81715249999999995</v>
      </c>
      <c r="AB1389">
        <v>23</v>
      </c>
      <c r="AC1389">
        <v>-12.204599999999999</v>
      </c>
      <c r="AD1389">
        <v>-1.1016254119460001</v>
      </c>
      <c r="AE1389">
        <v>-2.61709999999999</v>
      </c>
      <c r="AF1389">
        <v>7.2193382230696503</v>
      </c>
      <c r="AG1389">
        <v>-1.1016254119460001</v>
      </c>
      <c r="AH1389">
        <v>10.0639723298814</v>
      </c>
      <c r="AI1389">
        <v>95.082755105106799</v>
      </c>
      <c r="AJ1389">
        <v>54.346431076321799</v>
      </c>
      <c r="AK1389">
        <v>12.434466694793899</v>
      </c>
      <c r="AL1389">
        <v>91.8183494637194</v>
      </c>
      <c r="AM1389">
        <v>70.468154795951193</v>
      </c>
      <c r="AN1389">
        <v>1.00000006329989</v>
      </c>
    </row>
    <row r="1390" spans="1:40" x14ac:dyDescent="0.3">
      <c r="A1390" t="str">
        <f>"20200111160430924"</f>
        <v>20200111160430924</v>
      </c>
      <c r="B1390" t="str">
        <f>"1578729870921991"</f>
        <v>1578729870921991</v>
      </c>
      <c r="C1390" t="s">
        <v>40</v>
      </c>
      <c r="D1390">
        <v>5.9680900000000001</v>
      </c>
      <c r="E1390">
        <v>0.60728349999999998</v>
      </c>
      <c r="F1390" t="s">
        <v>56</v>
      </c>
      <c r="G1390">
        <v>-208.07929999999999</v>
      </c>
      <c r="H1390" s="1">
        <v>5.4738029999999999E-6</v>
      </c>
      <c r="I1390">
        <v>288.34559999999999</v>
      </c>
      <c r="J1390">
        <v>-196.29329999999999</v>
      </c>
      <c r="K1390">
        <v>1.1015870000000001</v>
      </c>
      <c r="L1390">
        <v>290.76960000000003</v>
      </c>
      <c r="M1390">
        <v>-0.68270129999999996</v>
      </c>
      <c r="N1390">
        <v>0</v>
      </c>
      <c r="O1390">
        <v>-0.73053440000000003</v>
      </c>
      <c r="P1390">
        <v>-0.88620489999999996</v>
      </c>
      <c r="Q1390">
        <v>-4.1659439999999999E-2</v>
      </c>
      <c r="R1390">
        <v>-0.46141700000000002</v>
      </c>
      <c r="S1390">
        <v>-3.0413359999999998</v>
      </c>
      <c r="T1390">
        <v>-0.28028930000000002</v>
      </c>
      <c r="U1390">
        <v>-0.65753169999999905</v>
      </c>
      <c r="V1390">
        <v>0.33177630000000002</v>
      </c>
      <c r="W1390">
        <v>-3.4211320000000003E-2</v>
      </c>
      <c r="X1390">
        <v>0.94273750000000001</v>
      </c>
      <c r="Y1390">
        <v>0.56533350000000004</v>
      </c>
      <c r="Z1390">
        <v>8.4666320000000003E-2</v>
      </c>
      <c r="AA1390">
        <v>0.82050569999999901</v>
      </c>
      <c r="AB1390">
        <v>23</v>
      </c>
      <c r="AC1390">
        <v>-11.786</v>
      </c>
      <c r="AD1390">
        <v>-1.1015815261969999</v>
      </c>
      <c r="AE1390">
        <v>-2.4240000000000301</v>
      </c>
      <c r="AF1390">
        <v>6.8982241493513303</v>
      </c>
      <c r="AG1390">
        <v>-1.1015815261969999</v>
      </c>
      <c r="AH1390">
        <v>9.7366978934495894</v>
      </c>
      <c r="AI1390">
        <v>95.274389398205003</v>
      </c>
      <c r="AJ1390">
        <v>54.683314875917297</v>
      </c>
      <c r="AK1390">
        <v>11.9834162133282</v>
      </c>
      <c r="AL1390">
        <v>91.9605468934339</v>
      </c>
      <c r="AM1390">
        <v>70.6115708692395</v>
      </c>
      <c r="AN1390">
        <v>0.99999996078204001</v>
      </c>
    </row>
    <row r="1391" spans="1:40" x14ac:dyDescent="0.3">
      <c r="A1391" t="str">
        <f>"20200111160430945"</f>
        <v>20200111160430945</v>
      </c>
      <c r="B1391" t="str">
        <f>"1578729870942017"</f>
        <v>1578729870942017</v>
      </c>
      <c r="C1391" t="s">
        <v>40</v>
      </c>
      <c r="D1391">
        <v>5.825615</v>
      </c>
      <c r="E1391">
        <v>0.59126559999999995</v>
      </c>
      <c r="F1391" t="s">
        <v>56</v>
      </c>
      <c r="G1391">
        <v>-207.83250000000001</v>
      </c>
      <c r="H1391" s="1">
        <v>5.3612280000000004E-6</v>
      </c>
      <c r="I1391">
        <v>288.38150000000002</v>
      </c>
      <c r="J1391">
        <v>-196.45699999999999</v>
      </c>
      <c r="K1391">
        <v>1.1015520000000001</v>
      </c>
      <c r="L1391">
        <v>290.61770000000001</v>
      </c>
      <c r="M1391">
        <v>-0.69274209999999903</v>
      </c>
      <c r="N1391">
        <v>0</v>
      </c>
      <c r="O1391">
        <v>-0.72101979999999999</v>
      </c>
      <c r="P1391">
        <v>-0.89144690000000004</v>
      </c>
      <c r="Q1391">
        <v>-4.4312560000000001E-2</v>
      </c>
      <c r="R1391">
        <v>-0.45095400000000002</v>
      </c>
      <c r="S1391">
        <v>-3.0436100000000001</v>
      </c>
      <c r="T1391">
        <v>-0.29055520000000001</v>
      </c>
      <c r="U1391">
        <v>-0.62988279999999996</v>
      </c>
      <c r="V1391">
        <v>0.32968120000000001</v>
      </c>
      <c r="W1391">
        <v>-3.6813850000000002E-2</v>
      </c>
      <c r="X1391">
        <v>0.9433743</v>
      </c>
      <c r="Y1391">
        <v>0.56090319999999905</v>
      </c>
      <c r="Z1391">
        <v>8.7065699999999996E-2</v>
      </c>
      <c r="AA1391">
        <v>0.82329050000000004</v>
      </c>
      <c r="AB1391">
        <v>23</v>
      </c>
      <c r="AC1391">
        <v>-11.375500000000001</v>
      </c>
      <c r="AD1391">
        <v>-1.1015466387720001</v>
      </c>
      <c r="AE1391">
        <v>-2.23619999999999</v>
      </c>
      <c r="AF1391">
        <v>6.5941128920155503</v>
      </c>
      <c r="AG1391">
        <v>-1.1015466387720001</v>
      </c>
      <c r="AH1391">
        <v>9.4088218727675503</v>
      </c>
      <c r="AI1391">
        <v>95.476455806312799</v>
      </c>
      <c r="AJ1391">
        <v>54.975552026324998</v>
      </c>
      <c r="AK1391">
        <v>11.5421687244427</v>
      </c>
      <c r="AL1391">
        <v>92.109754935640197</v>
      </c>
      <c r="AM1391">
        <v>70.737001120513895</v>
      </c>
      <c r="AN1391">
        <v>1.00000001154287</v>
      </c>
    </row>
    <row r="1392" spans="1:40" x14ac:dyDescent="0.3">
      <c r="A1392" t="str">
        <f>"20200111160430967"</f>
        <v>20200111160430967</v>
      </c>
      <c r="B1392" t="str">
        <f>"1578729870962514"</f>
        <v>1578729870962514</v>
      </c>
      <c r="C1392" t="s">
        <v>40</v>
      </c>
      <c r="D1392">
        <v>5.8045140000000002</v>
      </c>
      <c r="E1392">
        <v>0.59068050000000005</v>
      </c>
      <c r="F1392" t="s">
        <v>56</v>
      </c>
      <c r="G1392">
        <v>-203.85059999999999</v>
      </c>
      <c r="H1392" s="1">
        <v>3.5545049999999999E-6</v>
      </c>
      <c r="I1392">
        <v>288.8494</v>
      </c>
      <c r="J1392">
        <v>-196.62459999999999</v>
      </c>
      <c r="K1392">
        <v>1.1015239999999999</v>
      </c>
      <c r="L1392">
        <v>290.46660000000003</v>
      </c>
      <c r="M1392">
        <v>-0.702800599999999</v>
      </c>
      <c r="N1392">
        <v>0</v>
      </c>
      <c r="O1392">
        <v>-0.71121849999999998</v>
      </c>
      <c r="P1392">
        <v>-0.89662679999999995</v>
      </c>
      <c r="Q1392">
        <v>-4.83033E-2</v>
      </c>
      <c r="R1392">
        <v>-0.44014439999999999</v>
      </c>
      <c r="S1392">
        <v>-2.9823909999999998</v>
      </c>
      <c r="T1392">
        <v>-0.4443357</v>
      </c>
      <c r="U1392">
        <v>-0.71328740000000002</v>
      </c>
      <c r="V1392">
        <v>0.32760339999999999</v>
      </c>
      <c r="W1392">
        <v>-4.0747150000000003E-2</v>
      </c>
      <c r="X1392">
        <v>0.94393629999999995</v>
      </c>
      <c r="Y1392">
        <v>0.51725109999999996</v>
      </c>
      <c r="Z1392">
        <v>0.13063920000000001</v>
      </c>
      <c r="AA1392">
        <v>0.84580419999999901</v>
      </c>
      <c r="AB1392">
        <v>22</v>
      </c>
      <c r="AC1392">
        <v>-7.2259999999999902</v>
      </c>
      <c r="AD1392">
        <v>-1.1015204454950001</v>
      </c>
      <c r="AE1392">
        <v>-1.61720000000002</v>
      </c>
      <c r="AF1392">
        <v>3.9165065453146002</v>
      </c>
      <c r="AG1392">
        <v>-1.1015204454950001</v>
      </c>
      <c r="AH1392">
        <v>6.0945001365389899</v>
      </c>
      <c r="AI1392">
        <v>98.645624889092701</v>
      </c>
      <c r="AJ1392">
        <v>57.273997195073797</v>
      </c>
      <c r="AK1392">
        <v>7.32770787665621</v>
      </c>
      <c r="AL1392">
        <v>92.335286184970698</v>
      </c>
      <c r="AM1392">
        <v>70.860110573329806</v>
      </c>
      <c r="AN1392">
        <v>1.0000000281911801</v>
      </c>
    </row>
    <row r="1393" spans="1:40" x14ac:dyDescent="0.3">
      <c r="A1393" t="str">
        <f>"20200111160430990"</f>
        <v>20200111160430990</v>
      </c>
      <c r="B1393" t="str">
        <f>"1578729870982033"</f>
        <v>1578729870982033</v>
      </c>
      <c r="C1393" t="s">
        <v>40</v>
      </c>
      <c r="D1393">
        <v>5.8066329999999997</v>
      </c>
      <c r="E1393">
        <v>0.58935649999999995</v>
      </c>
      <c r="F1393" t="s">
        <v>56</v>
      </c>
      <c r="G1393">
        <v>-203.85159999999999</v>
      </c>
      <c r="H1393" s="1">
        <v>3.5574750000000002E-6</v>
      </c>
      <c r="I1393">
        <v>288.82060000000001</v>
      </c>
      <c r="J1393">
        <v>-196.80439999999999</v>
      </c>
      <c r="K1393">
        <v>1.101507</v>
      </c>
      <c r="L1393">
        <v>290.30919999999998</v>
      </c>
      <c r="M1393">
        <v>-0.7133313</v>
      </c>
      <c r="N1393">
        <v>0</v>
      </c>
      <c r="O1393">
        <v>-0.7006561</v>
      </c>
      <c r="P1393">
        <v>-0.90215769999999995</v>
      </c>
      <c r="Q1393">
        <v>-5.2570289999999999E-2</v>
      </c>
      <c r="R1393">
        <v>-0.42819170000000001</v>
      </c>
      <c r="S1393">
        <v>-2.9873349999999999</v>
      </c>
      <c r="T1393">
        <v>-0.45532230000000001</v>
      </c>
      <c r="U1393">
        <v>-0.68038940000000003</v>
      </c>
      <c r="V1393">
        <v>0.32580890000000001</v>
      </c>
      <c r="W1393">
        <v>-4.4955969999999998E-2</v>
      </c>
      <c r="X1393">
        <v>0.94436620000000004</v>
      </c>
      <c r="Y1393">
        <v>0.51324809999999998</v>
      </c>
      <c r="Z1393">
        <v>0.13256200000000001</v>
      </c>
      <c r="AA1393">
        <v>0.8479409</v>
      </c>
      <c r="AB1393">
        <v>22</v>
      </c>
      <c r="AC1393">
        <v>-7.0472000000000001</v>
      </c>
      <c r="AD1393">
        <v>-1.1015034425249901</v>
      </c>
      <c r="AE1393">
        <v>-1.48859999999996</v>
      </c>
      <c r="AF1393">
        <v>3.7876792087157898</v>
      </c>
      <c r="AG1393">
        <v>-1.1015034425249901</v>
      </c>
      <c r="AH1393">
        <v>5.9319788828398998</v>
      </c>
      <c r="AI1393">
        <v>98.894962185922097</v>
      </c>
      <c r="AJ1393">
        <v>57.441009205221903</v>
      </c>
      <c r="AK1393">
        <v>7.1237768836826199</v>
      </c>
      <c r="AL1393">
        <v>92.576655765072005</v>
      </c>
      <c r="AM1393">
        <v>70.965426793329698</v>
      </c>
      <c r="AN1393">
        <v>0.99999999913014503</v>
      </c>
    </row>
    <row r="1394" spans="1:40" x14ac:dyDescent="0.3">
      <c r="A1394" t="str">
        <f>"20200111160431012"</f>
        <v>20200111160431012</v>
      </c>
      <c r="B1394" t="str">
        <f>"1578729871002530"</f>
        <v>1578729871002530</v>
      </c>
      <c r="C1394" t="s">
        <v>40</v>
      </c>
      <c r="D1394">
        <v>5.7880799999999999</v>
      </c>
      <c r="E1394">
        <v>0.58854890000000004</v>
      </c>
      <c r="F1394" t="s">
        <v>56</v>
      </c>
      <c r="G1394">
        <v>-203.8758</v>
      </c>
      <c r="H1394" s="1">
        <v>3.5721960000000002E-6</v>
      </c>
      <c r="I1394">
        <v>288.7747</v>
      </c>
      <c r="J1394">
        <v>-196.97550000000001</v>
      </c>
      <c r="K1394">
        <v>1.101504</v>
      </c>
      <c r="L1394">
        <v>290.16370000000001</v>
      </c>
      <c r="M1394">
        <v>-0.72310350000000001</v>
      </c>
      <c r="N1394">
        <v>0</v>
      </c>
      <c r="O1394">
        <v>-0.69056609999999996</v>
      </c>
      <c r="P1394">
        <v>-0.90714439999999996</v>
      </c>
      <c r="Q1394">
        <v>-5.5597279999999999E-2</v>
      </c>
      <c r="R1394">
        <v>-0.41713119999999998</v>
      </c>
      <c r="S1394">
        <v>-2.9902340000000001</v>
      </c>
      <c r="T1394">
        <v>-0.46579039999999999</v>
      </c>
      <c r="U1394">
        <v>-0.64889529999999995</v>
      </c>
      <c r="V1394">
        <v>0.32390099999999999</v>
      </c>
      <c r="W1394">
        <v>-4.7915350000000002E-2</v>
      </c>
      <c r="X1394">
        <v>0.94487679999999996</v>
      </c>
      <c r="Y1394">
        <v>0.50949709999999904</v>
      </c>
      <c r="Z1394">
        <v>0.13438020000000001</v>
      </c>
      <c r="AA1394">
        <v>0.84991450000000002</v>
      </c>
      <c r="AB1394">
        <v>22</v>
      </c>
      <c r="AC1394">
        <v>-6.9002999999999801</v>
      </c>
      <c r="AD1394">
        <v>-1.1015004278039999</v>
      </c>
      <c r="AE1394">
        <v>-1.38900000000001</v>
      </c>
      <c r="AF1394">
        <v>3.6712653799643999</v>
      </c>
      <c r="AG1394">
        <v>-1.1015004278039999</v>
      </c>
      <c r="AH1394">
        <v>5.8073213518122699</v>
      </c>
      <c r="AI1394">
        <v>99.108387688263306</v>
      </c>
      <c r="AJ1394">
        <v>57.699794038189701</v>
      </c>
      <c r="AK1394">
        <v>6.9581947346845796</v>
      </c>
      <c r="AL1394">
        <v>92.746399043581107</v>
      </c>
      <c r="AM1394">
        <v>71.078435440418204</v>
      </c>
      <c r="AN1394">
        <v>0.99999995287243004</v>
      </c>
    </row>
    <row r="1395" spans="1:40" x14ac:dyDescent="0.3">
      <c r="A1395" t="str">
        <f>"20200111160431035"</f>
        <v>20200111160431035</v>
      </c>
      <c r="B1395" t="str">
        <f>"1578729871032317"</f>
        <v>1578729871032317</v>
      </c>
      <c r="C1395" t="s">
        <v>40</v>
      </c>
      <c r="D1395">
        <v>5.7994640000000004</v>
      </c>
      <c r="E1395">
        <v>0.58728440000000004</v>
      </c>
      <c r="F1395" t="s">
        <v>56</v>
      </c>
      <c r="G1395">
        <v>-204.00649999999999</v>
      </c>
      <c r="H1395" s="1">
        <v>3.6354820000000001E-6</v>
      </c>
      <c r="I1395">
        <v>288.71390000000002</v>
      </c>
      <c r="J1395">
        <v>-197.1515</v>
      </c>
      <c r="K1395">
        <v>1.101515</v>
      </c>
      <c r="L1395">
        <v>290.01839999999999</v>
      </c>
      <c r="M1395">
        <v>-0.73290069999999996</v>
      </c>
      <c r="N1395">
        <v>0</v>
      </c>
      <c r="O1395">
        <v>-0.68015919999999996</v>
      </c>
      <c r="P1395">
        <v>-0.91195939999999998</v>
      </c>
      <c r="Q1395">
        <v>-5.766545E-2</v>
      </c>
      <c r="R1395">
        <v>-0.40620800000000001</v>
      </c>
      <c r="S1395">
        <v>-2.994415</v>
      </c>
      <c r="T1395">
        <v>-0.46911449999999999</v>
      </c>
      <c r="U1395">
        <v>-0.61743159999999997</v>
      </c>
      <c r="V1395">
        <v>0.3216136</v>
      </c>
      <c r="W1395">
        <v>-4.9900670000000001E-2</v>
      </c>
      <c r="X1395">
        <v>0.94555520000000004</v>
      </c>
      <c r="Y1395">
        <v>0.50599249999999996</v>
      </c>
      <c r="Z1395">
        <v>0.13402120000000001</v>
      </c>
      <c r="AA1395">
        <v>0.85206219999999999</v>
      </c>
      <c r="AB1395">
        <v>22</v>
      </c>
      <c r="AC1395">
        <v>-6.8549999999999898</v>
      </c>
      <c r="AD1395">
        <v>-1.1015113645179999</v>
      </c>
      <c r="AE1395">
        <v>-1.30449999999996</v>
      </c>
      <c r="AF1395">
        <v>3.6167450903046099</v>
      </c>
      <c r="AG1395">
        <v>-1.1015113645179999</v>
      </c>
      <c r="AH1395">
        <v>5.7682774275812596</v>
      </c>
      <c r="AI1395">
        <v>99.190130012666401</v>
      </c>
      <c r="AJ1395">
        <v>57.912037365360199</v>
      </c>
      <c r="AK1395">
        <v>6.8968976225508998</v>
      </c>
      <c r="AL1395">
        <v>92.860285649844201</v>
      </c>
      <c r="AM1395">
        <v>71.215186683907902</v>
      </c>
      <c r="AN1395">
        <v>1.0000000104092199</v>
      </c>
    </row>
    <row r="1396" spans="1:40" x14ac:dyDescent="0.3">
      <c r="A1396" t="str">
        <f>"20200111160431057"</f>
        <v>20200111160431057</v>
      </c>
      <c r="B1396" t="str">
        <f>"1578729871051837"</f>
        <v>1578729871051837</v>
      </c>
      <c r="C1396" t="s">
        <v>40</v>
      </c>
      <c r="D1396">
        <v>5.7558210000000001</v>
      </c>
      <c r="E1396">
        <v>0.58637950000000005</v>
      </c>
      <c r="F1396" t="s">
        <v>56</v>
      </c>
      <c r="G1396">
        <v>-204.29640000000001</v>
      </c>
      <c r="H1396" s="1">
        <v>3.7729610000000001E-6</v>
      </c>
      <c r="I1396">
        <v>288.61200000000002</v>
      </c>
      <c r="J1396">
        <v>-197.33009999999999</v>
      </c>
      <c r="K1396">
        <v>1.101539</v>
      </c>
      <c r="L1396">
        <v>289.87509999999997</v>
      </c>
      <c r="M1396">
        <v>-0.74258150000000001</v>
      </c>
      <c r="N1396">
        <v>0</v>
      </c>
      <c r="O1396">
        <v>-0.66957659999999997</v>
      </c>
      <c r="P1396">
        <v>-0.91667310000000002</v>
      </c>
      <c r="Q1396">
        <v>-5.9485240000000002E-2</v>
      </c>
      <c r="R1396">
        <v>-0.39518639999999999</v>
      </c>
      <c r="S1396">
        <v>-2.9975890000000001</v>
      </c>
      <c r="T1396">
        <v>-0.46212880000000001</v>
      </c>
      <c r="U1396">
        <v>-0.59002690000000002</v>
      </c>
      <c r="V1396">
        <v>0.31933640000000002</v>
      </c>
      <c r="W1396">
        <v>-5.163616E-2</v>
      </c>
      <c r="X1396">
        <v>0.94623360000000001</v>
      </c>
      <c r="Y1396">
        <v>0.50182320000000002</v>
      </c>
      <c r="Z1396">
        <v>0.13067419999999999</v>
      </c>
      <c r="AA1396">
        <v>0.85504259999999999</v>
      </c>
      <c r="AB1396">
        <v>22</v>
      </c>
      <c r="AC1396">
        <v>-6.9663000000000102</v>
      </c>
      <c r="AD1396">
        <v>-1.101535227039</v>
      </c>
      <c r="AE1396">
        <v>-1.2630999999999499</v>
      </c>
      <c r="AF1396">
        <v>3.6388768312511099</v>
      </c>
      <c r="AG1396">
        <v>-1.101535227039</v>
      </c>
      <c r="AH1396">
        <v>5.8772383047779604</v>
      </c>
      <c r="AI1396">
        <v>99.054124697531705</v>
      </c>
      <c r="AJ1396">
        <v>58.236386859664101</v>
      </c>
      <c r="AK1396">
        <v>6.9997667490119397</v>
      </c>
      <c r="AL1396">
        <v>92.959850256292995</v>
      </c>
      <c r="AM1396">
        <v>71.351409281299894</v>
      </c>
      <c r="AN1396">
        <v>1.00000002757673</v>
      </c>
    </row>
    <row r="1397" spans="1:40" x14ac:dyDescent="0.3">
      <c r="A1397" t="str">
        <f>"20200111160431079"</f>
        <v>20200111160431079</v>
      </c>
      <c r="B1397" t="str">
        <f>"1578729871072332"</f>
        <v>1578729871072332</v>
      </c>
      <c r="C1397" t="s">
        <v>40</v>
      </c>
      <c r="D1397">
        <v>5.5419419999999997</v>
      </c>
      <c r="E1397">
        <v>0.58627229999999997</v>
      </c>
      <c r="F1397" t="s">
        <v>56</v>
      </c>
      <c r="G1397">
        <v>-204.42910000000001</v>
      </c>
      <c r="H1397" s="1">
        <v>3.8373399999999999E-6</v>
      </c>
      <c r="I1397">
        <v>288.54860000000002</v>
      </c>
      <c r="J1397">
        <v>-197.50829999999999</v>
      </c>
      <c r="K1397">
        <v>1.1015710000000001</v>
      </c>
      <c r="L1397">
        <v>289.73610000000002</v>
      </c>
      <c r="M1397">
        <v>-0.75198640000000005</v>
      </c>
      <c r="N1397">
        <v>0</v>
      </c>
      <c r="O1397">
        <v>-0.65899659999999904</v>
      </c>
      <c r="P1397">
        <v>-0.92076000000000002</v>
      </c>
      <c r="Q1397">
        <v>-6.0381280000000002E-2</v>
      </c>
      <c r="R1397">
        <v>-0.38542890000000002</v>
      </c>
      <c r="S1397">
        <v>-3.0007320000000002</v>
      </c>
      <c r="T1397">
        <v>-0.46561399999999997</v>
      </c>
      <c r="U1397">
        <v>-0.56069950000000002</v>
      </c>
      <c r="V1397">
        <v>0.315938</v>
      </c>
      <c r="W1397">
        <v>-5.2417760000000001E-2</v>
      </c>
      <c r="X1397">
        <v>0.94733069999999997</v>
      </c>
      <c r="Y1397">
        <v>0.49780740000000001</v>
      </c>
      <c r="Z1397">
        <v>0.13025680000000001</v>
      </c>
      <c r="AA1397">
        <v>0.8574503</v>
      </c>
      <c r="AB1397">
        <v>22</v>
      </c>
      <c r="AC1397">
        <v>-6.9208000000000096</v>
      </c>
      <c r="AD1397">
        <v>-1.1015671626600001</v>
      </c>
      <c r="AE1397">
        <v>-1.1875</v>
      </c>
      <c r="AF1397">
        <v>3.58013359305806</v>
      </c>
      <c r="AG1397">
        <v>-1.1015671626600001</v>
      </c>
      <c r="AH1397">
        <v>5.8438094031860004</v>
      </c>
      <c r="AI1397">
        <v>99.131374098177304</v>
      </c>
      <c r="AJ1397">
        <v>58.506824802166598</v>
      </c>
      <c r="AK1397">
        <v>6.9412473734019002</v>
      </c>
      <c r="AL1397">
        <v>93.004693607837396</v>
      </c>
      <c r="AM1397">
        <v>71.556282442766005</v>
      </c>
      <c r="AN1397">
        <v>0.99999994828495198</v>
      </c>
    </row>
    <row r="1398" spans="1:40" x14ac:dyDescent="0.3">
      <c r="A1398" t="str">
        <f>"20200111160431100"</f>
        <v>20200111160431100</v>
      </c>
      <c r="B1398" t="str">
        <f>"1578729871091853"</f>
        <v>1578729871091853</v>
      </c>
      <c r="C1398" t="s">
        <v>40</v>
      </c>
      <c r="D1398">
        <v>5.5739049999999999</v>
      </c>
      <c r="E1398">
        <v>0.58653900000000003</v>
      </c>
      <c r="F1398" t="s">
        <v>56</v>
      </c>
      <c r="G1398">
        <v>-204.81489999999999</v>
      </c>
      <c r="H1398" s="1">
        <v>4.0170529999999998E-6</v>
      </c>
      <c r="I1398">
        <v>288.45</v>
      </c>
      <c r="J1398">
        <v>-197.6884</v>
      </c>
      <c r="K1398">
        <v>1.1016049999999999</v>
      </c>
      <c r="L1398">
        <v>289.59989999999999</v>
      </c>
      <c r="M1398">
        <v>-0.76123130000000006</v>
      </c>
      <c r="N1398">
        <v>0</v>
      </c>
      <c r="O1398">
        <v>-0.64829550000000002</v>
      </c>
      <c r="P1398">
        <v>-0.92454550000000002</v>
      </c>
      <c r="Q1398">
        <v>-5.9691059999999997E-2</v>
      </c>
      <c r="R1398">
        <v>-0.37636809999999998</v>
      </c>
      <c r="S1398">
        <v>-3.0068820000000001</v>
      </c>
      <c r="T1398">
        <v>-0.45332869999999997</v>
      </c>
      <c r="U1398">
        <v>-0.52929689999999996</v>
      </c>
      <c r="V1398">
        <v>0.31189280000000003</v>
      </c>
      <c r="W1398">
        <v>-5.1595960000000003E-2</v>
      </c>
      <c r="X1398">
        <v>0.94871530000000004</v>
      </c>
      <c r="Y1398">
        <v>0.4953302</v>
      </c>
      <c r="Z1398">
        <v>0.1254661</v>
      </c>
      <c r="AA1398">
        <v>0.85959660000000004</v>
      </c>
      <c r="AB1398">
        <v>22</v>
      </c>
      <c r="AC1398">
        <v>-7.1264999999999903</v>
      </c>
      <c r="AD1398">
        <v>-1.1016009829469999</v>
      </c>
      <c r="AE1398">
        <v>-1.1498999999999999</v>
      </c>
      <c r="AF1398">
        <v>3.6599538954331599</v>
      </c>
      <c r="AG1398">
        <v>-1.1016009829469999</v>
      </c>
      <c r="AH1398">
        <v>6.0306868817605102</v>
      </c>
      <c r="AI1398">
        <v>98.875523273432293</v>
      </c>
      <c r="AJ1398">
        <v>58.7469221780525</v>
      </c>
      <c r="AK1398">
        <v>7.1398859590447596</v>
      </c>
      <c r="AL1398">
        <v>92.957543999569097</v>
      </c>
      <c r="AM1398">
        <v>71.801576177489395</v>
      </c>
      <c r="AN1398">
        <v>0.99999999111712501</v>
      </c>
    </row>
    <row r="1399" spans="1:40" x14ac:dyDescent="0.3">
      <c r="A1399" t="str">
        <f>"20200111160431125"</f>
        <v>20200111160431125</v>
      </c>
      <c r="B1399" t="str">
        <f>"1578729871122109"</f>
        <v>1578729871122109</v>
      </c>
      <c r="C1399" t="s">
        <v>40</v>
      </c>
      <c r="D1399">
        <v>5.9336209999999996</v>
      </c>
      <c r="E1399">
        <v>0.58657469999999901</v>
      </c>
      <c r="F1399" t="s">
        <v>56</v>
      </c>
      <c r="G1399">
        <v>-205.2681</v>
      </c>
      <c r="H1399" s="1">
        <v>4.2267929999999999E-6</v>
      </c>
      <c r="I1399">
        <v>288.34960000000001</v>
      </c>
      <c r="J1399">
        <v>-197.8768</v>
      </c>
      <c r="K1399">
        <v>1.1016330000000001</v>
      </c>
      <c r="L1399">
        <v>289.4615</v>
      </c>
      <c r="M1399">
        <v>-0.77063740000000003</v>
      </c>
      <c r="N1399">
        <v>0</v>
      </c>
      <c r="O1399">
        <v>-0.63708560000000003</v>
      </c>
      <c r="P1399">
        <v>-0.92867339999999998</v>
      </c>
      <c r="Q1399">
        <v>-5.8907420000000002E-2</v>
      </c>
      <c r="R1399">
        <v>-0.36619089999999999</v>
      </c>
      <c r="S1399">
        <v>-3.01416</v>
      </c>
      <c r="T1399">
        <v>-0.43806679999999998</v>
      </c>
      <c r="U1399">
        <v>-0.49716189999999999</v>
      </c>
      <c r="V1399">
        <v>0.30848309999999901</v>
      </c>
      <c r="W1399">
        <v>-5.0698750000000001E-2</v>
      </c>
      <c r="X1399">
        <v>0.94987779999999999</v>
      </c>
      <c r="Y1399">
        <v>0.49280829999999998</v>
      </c>
      <c r="Z1399">
        <v>0.1198157</v>
      </c>
      <c r="AA1399">
        <v>0.86184930000000004</v>
      </c>
      <c r="AB1399">
        <v>22</v>
      </c>
      <c r="AC1399">
        <v>-7.3913000000000002</v>
      </c>
      <c r="AD1399">
        <v>-1.101628773207</v>
      </c>
      <c r="AE1399">
        <v>-1.1118999999999899</v>
      </c>
      <c r="AF1399">
        <v>3.7705748784387598</v>
      </c>
      <c r="AG1399">
        <v>-1.101628773207</v>
      </c>
      <c r="AH1399">
        <v>6.2689781404974498</v>
      </c>
      <c r="AI1399">
        <v>98.563667034614298</v>
      </c>
      <c r="AJ1399">
        <v>58.974537554467297</v>
      </c>
      <c r="AK1399">
        <v>7.3980340492529502</v>
      </c>
      <c r="AL1399">
        <v>92.906070221352493</v>
      </c>
      <c r="AM1399">
        <v>72.008233699310907</v>
      </c>
      <c r="AN1399">
        <v>1.000000010585</v>
      </c>
    </row>
    <row r="1400" spans="1:40" x14ac:dyDescent="0.3">
      <c r="A1400" t="str">
        <f>"20200111160431147"</f>
        <v>20200111160431147</v>
      </c>
      <c r="B1400" t="str">
        <f>"1578729871142605"</f>
        <v>1578729871142605</v>
      </c>
      <c r="C1400" t="s">
        <v>40</v>
      </c>
      <c r="D1400">
        <v>5.6128119999999999</v>
      </c>
      <c r="E1400">
        <v>0.58776649999999997</v>
      </c>
      <c r="F1400" t="s">
        <v>56</v>
      </c>
      <c r="G1400">
        <v>-205.68559999999999</v>
      </c>
      <c r="H1400" s="1">
        <v>4.4195940000000003E-6</v>
      </c>
      <c r="I1400">
        <v>288.26229999999998</v>
      </c>
      <c r="J1400">
        <v>-198.0641</v>
      </c>
      <c r="K1400">
        <v>1.101672</v>
      </c>
      <c r="L1400">
        <v>289.32839999999999</v>
      </c>
      <c r="M1400">
        <v>-0.77971639999999998</v>
      </c>
      <c r="N1400">
        <v>0</v>
      </c>
      <c r="O1400">
        <v>-0.62594139999999998</v>
      </c>
      <c r="P1400">
        <v>-0.93318060000000003</v>
      </c>
      <c r="Q1400">
        <v>-5.7835280000000003E-2</v>
      </c>
      <c r="R1400">
        <v>-0.354724599999999</v>
      </c>
      <c r="S1400">
        <v>-3.0204770000000001</v>
      </c>
      <c r="T1400">
        <v>-0.42611399999999999</v>
      </c>
      <c r="U1400">
        <v>-0.46383669999999999</v>
      </c>
      <c r="V1400">
        <v>0.30659769999999997</v>
      </c>
      <c r="W1400">
        <v>-4.9555290000000002E-2</v>
      </c>
      <c r="X1400">
        <v>0.95054839999999996</v>
      </c>
      <c r="Y1400">
        <v>0.49059229999999998</v>
      </c>
      <c r="Z1400">
        <v>0.11519</v>
      </c>
      <c r="AA1400">
        <v>0.86374209999999996</v>
      </c>
      <c r="AB1400">
        <v>22</v>
      </c>
      <c r="AC1400">
        <v>-7.6214999999999904</v>
      </c>
      <c r="AD1400">
        <v>-1.1016675804060001</v>
      </c>
      <c r="AE1400">
        <v>-1.0661</v>
      </c>
      <c r="AF1400">
        <v>3.8607115441775699</v>
      </c>
      <c r="AG1400">
        <v>-1.1016675804060001</v>
      </c>
      <c r="AH1400">
        <v>6.4779643609011703</v>
      </c>
      <c r="AI1400">
        <v>98.311390168812295</v>
      </c>
      <c r="AJ1400">
        <v>59.206070896341402</v>
      </c>
      <c r="AK1400">
        <v>7.6212064232750798</v>
      </c>
      <c r="AL1400">
        <v>92.840472155185196</v>
      </c>
      <c r="AM1400">
        <v>72.122985840336497</v>
      </c>
      <c r="AN1400">
        <v>1.00000006857741</v>
      </c>
    </row>
    <row r="1401" spans="1:40" x14ac:dyDescent="0.3">
      <c r="A1401" t="str">
        <f>"20200111160431167"</f>
        <v>20200111160431167</v>
      </c>
      <c r="B1401" t="str">
        <f>"1578729871162125"</f>
        <v>1578729871162125</v>
      </c>
      <c r="C1401" t="s">
        <v>40</v>
      </c>
      <c r="D1401">
        <v>5.663964</v>
      </c>
      <c r="E1401">
        <v>0.62250260000000002</v>
      </c>
      <c r="F1401" t="s">
        <v>56</v>
      </c>
      <c r="G1401">
        <v>-205.9306</v>
      </c>
      <c r="H1401" s="1">
        <v>4.5301129999999998E-6</v>
      </c>
      <c r="I1401">
        <v>288.24059999999997</v>
      </c>
      <c r="J1401">
        <v>-198.2364</v>
      </c>
      <c r="K1401">
        <v>1.101715</v>
      </c>
      <c r="L1401">
        <v>289.20929999999998</v>
      </c>
      <c r="M1401">
        <v>-0.78784869999999996</v>
      </c>
      <c r="N1401">
        <v>0</v>
      </c>
      <c r="O1401">
        <v>-0.61567439999999996</v>
      </c>
      <c r="P1401">
        <v>-0.93764049999999999</v>
      </c>
      <c r="Q1401">
        <v>-5.6212310000000001E-2</v>
      </c>
      <c r="R1401">
        <v>-0.34303119999999998</v>
      </c>
      <c r="S1401">
        <v>-3.0293269999999999</v>
      </c>
      <c r="T1401">
        <v>-0.42424600000000001</v>
      </c>
      <c r="U1401">
        <v>-0.41888429999999999</v>
      </c>
      <c r="V1401">
        <v>0.3061277</v>
      </c>
      <c r="W1401">
        <v>-4.7900459999999999E-2</v>
      </c>
      <c r="X1401">
        <v>0.95078459999999998</v>
      </c>
      <c r="Y1401">
        <v>0.49232150000000002</v>
      </c>
      <c r="Z1401">
        <v>0.11360779999999999</v>
      </c>
      <c r="AA1401">
        <v>0.86296740000000005</v>
      </c>
      <c r="AB1401">
        <v>22</v>
      </c>
      <c r="AC1401">
        <v>-7.6941999999999897</v>
      </c>
      <c r="AD1401">
        <v>-1.1017104698869999</v>
      </c>
      <c r="AE1401">
        <v>-0.968700000000012</v>
      </c>
      <c r="AF1401">
        <v>3.8957816384069499</v>
      </c>
      <c r="AG1401">
        <v>-1.1017104698869999</v>
      </c>
      <c r="AH1401">
        <v>6.5273278539880302</v>
      </c>
      <c r="AI1401">
        <v>98.246621578029007</v>
      </c>
      <c r="AJ1401">
        <v>59.169484491522503</v>
      </c>
      <c r="AK1401">
        <v>7.6809432654495904</v>
      </c>
      <c r="AL1401">
        <v>92.7455448288746</v>
      </c>
      <c r="AM1401">
        <v>72.152803259892906</v>
      </c>
      <c r="AN1401">
        <v>0.99999998918633004</v>
      </c>
    </row>
    <row r="1402" spans="1:40" x14ac:dyDescent="0.3">
      <c r="A1402" t="str">
        <f>"20200111160431192"</f>
        <v>20200111160431192</v>
      </c>
      <c r="B1402" t="str">
        <f>"1578729871182620"</f>
        <v>1578729871182620</v>
      </c>
      <c r="C1402" t="s">
        <v>40</v>
      </c>
      <c r="D1402">
        <v>5.7599130000000001</v>
      </c>
      <c r="E1402">
        <v>0.62020450000000005</v>
      </c>
      <c r="F1402" t="s">
        <v>56</v>
      </c>
      <c r="G1402">
        <v>-208.68940000000001</v>
      </c>
      <c r="H1402" s="1">
        <v>5.7029430000000002E-6</v>
      </c>
      <c r="I1402">
        <v>288.81950000000001</v>
      </c>
      <c r="J1402">
        <v>-198.44450000000001</v>
      </c>
      <c r="K1402">
        <v>1.1017729999999999</v>
      </c>
      <c r="L1402">
        <v>289.07010000000002</v>
      </c>
      <c r="M1402">
        <v>-0.79739269999999995</v>
      </c>
      <c r="N1402">
        <v>0</v>
      </c>
      <c r="O1402">
        <v>-0.60326239999999998</v>
      </c>
      <c r="P1402">
        <v>-0.94292560000000003</v>
      </c>
      <c r="Q1402">
        <v>-5.41699E-2</v>
      </c>
      <c r="R1402">
        <v>-0.32856839999999998</v>
      </c>
      <c r="S1402">
        <v>-3.136917</v>
      </c>
      <c r="T1402">
        <v>-0.33061859999999998</v>
      </c>
      <c r="U1402">
        <v>-0.11697390000000001</v>
      </c>
      <c r="V1402">
        <v>0.30598340000000002</v>
      </c>
      <c r="W1402">
        <v>-4.5832199999999997E-2</v>
      </c>
      <c r="X1402">
        <v>0.95093300000000003</v>
      </c>
      <c r="Y1402">
        <v>0.5671368</v>
      </c>
      <c r="Z1402">
        <v>8.9431860000000002E-2</v>
      </c>
      <c r="AA1402">
        <v>0.81875379999999998</v>
      </c>
      <c r="AB1402">
        <v>22</v>
      </c>
      <c r="AC1402">
        <v>-10.244899999999999</v>
      </c>
      <c r="AD1402">
        <v>-1.1017672970569901</v>
      </c>
      <c r="AE1402">
        <v>-0.25060000000001897</v>
      </c>
      <c r="AF1402">
        <v>5.9129074057698903</v>
      </c>
      <c r="AG1402">
        <v>-1.1017672970569901</v>
      </c>
      <c r="AH1402">
        <v>8.22629765711938</v>
      </c>
      <c r="AI1402">
        <v>96.206724481813396</v>
      </c>
      <c r="AJ1402">
        <v>54.292133105411601</v>
      </c>
      <c r="AK1402">
        <v>10.1906004881754</v>
      </c>
      <c r="AL1402">
        <v>92.626911848669806</v>
      </c>
      <c r="AM1402">
        <v>72.163290094050495</v>
      </c>
      <c r="AN1402">
        <v>1.0000000010607</v>
      </c>
    </row>
    <row r="1403" spans="1:40" x14ac:dyDescent="0.3">
      <c r="A1403" t="str">
        <f>"20200111160431213"</f>
        <v>20200111160431213</v>
      </c>
      <c r="B1403" t="str">
        <f>"1578729871202141"</f>
        <v>1578729871202141</v>
      </c>
      <c r="C1403" t="s">
        <v>40</v>
      </c>
      <c r="D1403">
        <v>5.7311529999999999</v>
      </c>
      <c r="E1403">
        <v>0.61828359999999905</v>
      </c>
      <c r="F1403" t="s">
        <v>56</v>
      </c>
      <c r="G1403">
        <v>-208.66239999999999</v>
      </c>
      <c r="H1403" s="1">
        <v>5.69381999999999E-6</v>
      </c>
      <c r="I1403">
        <v>288.7869</v>
      </c>
      <c r="J1403">
        <v>-198.6311</v>
      </c>
      <c r="K1403">
        <v>1.10182</v>
      </c>
      <c r="L1403">
        <v>288.94900000000001</v>
      </c>
      <c r="M1403">
        <v>-0.80570769999999903</v>
      </c>
      <c r="N1403">
        <v>0</v>
      </c>
      <c r="O1403">
        <v>-0.59211150000000001</v>
      </c>
      <c r="P1403">
        <v>-0.94724640000000004</v>
      </c>
      <c r="Q1403">
        <v>-5.2300939999999997E-2</v>
      </c>
      <c r="R1403">
        <v>-0.31621080000000001</v>
      </c>
      <c r="S1403">
        <v>-3.1319270000000001</v>
      </c>
      <c r="T1403">
        <v>-0.337705599999999</v>
      </c>
      <c r="U1403">
        <v>-8.6791989999999999E-2</v>
      </c>
      <c r="V1403">
        <v>0.30529400000000001</v>
      </c>
      <c r="W1403">
        <v>-4.3926659999999999E-2</v>
      </c>
      <c r="X1403">
        <v>0.95124450000000005</v>
      </c>
      <c r="Y1403">
        <v>0.56333710000000004</v>
      </c>
      <c r="Z1403">
        <v>9.0374750000000004E-2</v>
      </c>
      <c r="AA1403">
        <v>0.82126960000000004</v>
      </c>
      <c r="AB1403">
        <v>22</v>
      </c>
      <c r="AC1403">
        <v>-10.0312999999999</v>
      </c>
      <c r="AD1403">
        <v>-1.1018143061799901</v>
      </c>
      <c r="AE1403">
        <v>-0.16210000000000899</v>
      </c>
      <c r="AF1403">
        <v>5.7405003132125696</v>
      </c>
      <c r="AG1403">
        <v>-1.1018143061799901</v>
      </c>
      <c r="AH1403">
        <v>8.0817790962583604</v>
      </c>
      <c r="AI1403">
        <v>96.342273707733597</v>
      </c>
      <c r="AJ1403">
        <v>54.613762382570499</v>
      </c>
      <c r="AK1403">
        <v>9.9740910348770697</v>
      </c>
      <c r="AL1403">
        <v>92.517622219572004</v>
      </c>
      <c r="AM1403">
        <v>72.206399623575507</v>
      </c>
      <c r="AN1403">
        <v>1.0000000383375001</v>
      </c>
    </row>
    <row r="1404" spans="1:40" x14ac:dyDescent="0.3">
      <c r="A1404" t="str">
        <f>"20200111160431236"</f>
        <v>20200111160431236</v>
      </c>
      <c r="B1404" t="str">
        <f>"1578729871232206"</f>
        <v>1578729871232206</v>
      </c>
      <c r="C1404" t="s">
        <v>40</v>
      </c>
      <c r="D1404">
        <v>5.7890569999999997</v>
      </c>
      <c r="E1404">
        <v>0.61556709999999903</v>
      </c>
      <c r="F1404" t="s">
        <v>56</v>
      </c>
      <c r="G1404">
        <v>-208.179</v>
      </c>
      <c r="H1404" s="1">
        <v>5.481787E-6</v>
      </c>
      <c r="I1404">
        <v>288.76</v>
      </c>
      <c r="J1404">
        <v>-198.81229999999999</v>
      </c>
      <c r="K1404">
        <v>1.1018559999999999</v>
      </c>
      <c r="L1404">
        <v>288.83499999999998</v>
      </c>
      <c r="M1404">
        <v>-0.81356319999999904</v>
      </c>
      <c r="N1404">
        <v>0</v>
      </c>
      <c r="O1404">
        <v>-0.58127099999999998</v>
      </c>
      <c r="P1404">
        <v>-0.95144039999999996</v>
      </c>
      <c r="Q1404">
        <v>-5.1299709999999998E-2</v>
      </c>
      <c r="R1404">
        <v>-0.3035292</v>
      </c>
      <c r="S1404">
        <v>-3.1265109999999998</v>
      </c>
      <c r="T1404">
        <v>-0.36079529999999999</v>
      </c>
      <c r="U1404">
        <v>-6.1889649999999997E-2</v>
      </c>
      <c r="V1404">
        <v>0.30532009999999998</v>
      </c>
      <c r="W1404">
        <v>-4.2909679999999999E-2</v>
      </c>
      <c r="X1404">
        <v>0.95128250000000003</v>
      </c>
      <c r="Y1404">
        <v>0.55798409999999998</v>
      </c>
      <c r="Z1404">
        <v>9.5404169999999996E-2</v>
      </c>
      <c r="AA1404">
        <v>0.82434929999999995</v>
      </c>
      <c r="AB1404">
        <v>22</v>
      </c>
      <c r="AC1404">
        <v>-9.3666999999999998</v>
      </c>
      <c r="AD1404">
        <v>-1.1018505182129901</v>
      </c>
      <c r="AE1404">
        <v>-7.4999999999988604E-2</v>
      </c>
      <c r="AF1404">
        <v>5.3107321386999002</v>
      </c>
      <c r="AG1404">
        <v>-1.1018505182129901</v>
      </c>
      <c r="AH1404">
        <v>7.5603010948382696</v>
      </c>
      <c r="AI1404">
        <v>96.800903135265202</v>
      </c>
      <c r="AJ1404">
        <v>54.913883946634598</v>
      </c>
      <c r="AK1404">
        <v>9.3046280451245895</v>
      </c>
      <c r="AL1404">
        <v>92.459298653122005</v>
      </c>
      <c r="AM1404">
        <v>72.205640380419396</v>
      </c>
      <c r="AN1404">
        <v>0.99999999945398099</v>
      </c>
    </row>
    <row r="1405" spans="1:40" x14ac:dyDescent="0.3">
      <c r="A1405" t="str">
        <f>"20200111160431257"</f>
        <v>20200111160431257</v>
      </c>
      <c r="B1405" t="str">
        <f>"1578729871251725"</f>
        <v>1578729871251725</v>
      </c>
      <c r="C1405" t="s">
        <v>40</v>
      </c>
      <c r="D1405">
        <v>5.8424069999999997</v>
      </c>
      <c r="E1405">
        <v>0.61407860000000003</v>
      </c>
      <c r="F1405" t="s">
        <v>56</v>
      </c>
      <c r="G1405">
        <v>-208.14840000000001</v>
      </c>
      <c r="H1405" s="1">
        <v>5.472494E-6</v>
      </c>
      <c r="I1405">
        <v>288.71120000000002</v>
      </c>
      <c r="J1405">
        <v>-199.00479999999999</v>
      </c>
      <c r="K1405">
        <v>1.1018870000000001</v>
      </c>
      <c r="L1405">
        <v>288.7174</v>
      </c>
      <c r="M1405">
        <v>-0.82168259999999904</v>
      </c>
      <c r="N1405">
        <v>0</v>
      </c>
      <c r="O1405">
        <v>-0.56973609999999997</v>
      </c>
      <c r="P1405">
        <v>-0.9556578</v>
      </c>
      <c r="Q1405">
        <v>-5.0832700000000001E-2</v>
      </c>
      <c r="R1405">
        <v>-0.29006009999999999</v>
      </c>
      <c r="S1405">
        <v>-3.1200410000000001</v>
      </c>
      <c r="T1405">
        <v>-0.36822719999999998</v>
      </c>
      <c r="U1405">
        <v>-4.1381840000000003E-2</v>
      </c>
      <c r="V1405">
        <v>0.30536340000000001</v>
      </c>
      <c r="W1405">
        <v>-4.2427670000000001E-2</v>
      </c>
      <c r="X1405">
        <v>0.95129019999999997</v>
      </c>
      <c r="Y1405">
        <v>0.55147729999999995</v>
      </c>
      <c r="Z1405">
        <v>9.6091170000000004E-2</v>
      </c>
      <c r="AA1405">
        <v>0.82863699999999996</v>
      </c>
      <c r="AB1405">
        <v>22</v>
      </c>
      <c r="AC1405">
        <v>-9.1436000000000099</v>
      </c>
      <c r="AD1405">
        <v>-1.1018815275059901</v>
      </c>
      <c r="AE1405">
        <v>-6.1999999999784398E-3</v>
      </c>
      <c r="AF1405">
        <v>5.1304592247118697</v>
      </c>
      <c r="AG1405">
        <v>-1.1018815275059901</v>
      </c>
      <c r="AH1405">
        <v>7.4099562882461996</v>
      </c>
      <c r="AI1405">
        <v>96.970306525971793</v>
      </c>
      <c r="AJ1405">
        <v>55.3022879939425</v>
      </c>
      <c r="AK1405">
        <v>9.0798241695976394</v>
      </c>
      <c r="AL1405">
        <v>92.431656389615</v>
      </c>
      <c r="AM1405">
        <v>72.203410978060703</v>
      </c>
      <c r="AN1405">
        <v>0.99999997892861403</v>
      </c>
    </row>
    <row r="1406" spans="1:40" x14ac:dyDescent="0.3">
      <c r="A1406" t="str">
        <f>"20200111160431281"</f>
        <v>20200111160431281</v>
      </c>
      <c r="B1406" t="str">
        <f>"1578729871272222"</f>
        <v>1578729871272222</v>
      </c>
      <c r="C1406" t="s">
        <v>40</v>
      </c>
      <c r="D1406">
        <v>5.8196879999999904</v>
      </c>
      <c r="E1406">
        <v>0.61321289999999995</v>
      </c>
      <c r="F1406" t="s">
        <v>56</v>
      </c>
      <c r="G1406">
        <v>-208.2929</v>
      </c>
      <c r="H1406" s="1">
        <v>5.5383589999999997E-6</v>
      </c>
      <c r="I1406">
        <v>288.69060000000002</v>
      </c>
      <c r="J1406">
        <v>-199.20529999999999</v>
      </c>
      <c r="K1406">
        <v>1.1019159999999999</v>
      </c>
      <c r="L1406">
        <v>288.59879999999998</v>
      </c>
      <c r="M1406">
        <v>-0.82990039999999998</v>
      </c>
      <c r="N1406">
        <v>0</v>
      </c>
      <c r="O1406">
        <v>-0.55769769999999996</v>
      </c>
      <c r="P1406">
        <v>-0.95912640000000005</v>
      </c>
      <c r="Q1406">
        <v>-5.1939720000000002E-2</v>
      </c>
      <c r="R1406">
        <v>-0.278171</v>
      </c>
      <c r="S1406">
        <v>-3.1168209999999998</v>
      </c>
      <c r="T1406">
        <v>-0.36975930000000001</v>
      </c>
      <c r="U1406">
        <v>-9.0026859999999993E-3</v>
      </c>
      <c r="V1406">
        <v>0.303257</v>
      </c>
      <c r="W1406">
        <v>-4.3466669999999999E-2</v>
      </c>
      <c r="X1406">
        <v>0.95191689999999995</v>
      </c>
      <c r="Y1406">
        <v>0.54797839999999998</v>
      </c>
      <c r="Z1406">
        <v>9.5243320000000006E-2</v>
      </c>
      <c r="AA1406">
        <v>0.83105260000000003</v>
      </c>
      <c r="AB1406">
        <v>22</v>
      </c>
      <c r="AC1406">
        <v>-9.0876000000000001</v>
      </c>
      <c r="AD1406">
        <v>-1.10191046164099</v>
      </c>
      <c r="AE1406">
        <v>9.1800000000034701E-2</v>
      </c>
      <c r="AF1406">
        <v>5.0703919565839897</v>
      </c>
      <c r="AG1406">
        <v>-1.10191046164099</v>
      </c>
      <c r="AH1406">
        <v>7.3829623383472303</v>
      </c>
      <c r="AI1406">
        <v>97.013886195728801</v>
      </c>
      <c r="AJ1406">
        <v>55.519915211124001</v>
      </c>
      <c r="AK1406">
        <v>9.0239245424770207</v>
      </c>
      <c r="AL1406">
        <v>92.491241702502293</v>
      </c>
      <c r="AM1406">
        <v>72.329417448022795</v>
      </c>
      <c r="AN1406">
        <v>0.99999997197774804</v>
      </c>
    </row>
    <row r="1407" spans="1:40" x14ac:dyDescent="0.3">
      <c r="A1407" t="str">
        <f>"20200111160431301"</f>
        <v>20200111160431301</v>
      </c>
      <c r="B1407" t="str">
        <f>"1578729871291742"</f>
        <v>1578729871291742</v>
      </c>
      <c r="C1407" t="s">
        <v>40</v>
      </c>
      <c r="D1407">
        <v>5.9316519999999997</v>
      </c>
      <c r="E1407">
        <v>0.59955829999999999</v>
      </c>
      <c r="F1407" t="s">
        <v>56</v>
      </c>
      <c r="G1407">
        <v>-208.4401</v>
      </c>
      <c r="H1407" s="1">
        <v>5.6057149999999997E-6</v>
      </c>
      <c r="I1407">
        <v>288.66680000000002</v>
      </c>
      <c r="J1407">
        <v>-199.38829999999999</v>
      </c>
      <c r="K1407">
        <v>1.1019380000000001</v>
      </c>
      <c r="L1407">
        <v>288.4941</v>
      </c>
      <c r="M1407">
        <v>-0.8371847</v>
      </c>
      <c r="N1407">
        <v>0</v>
      </c>
      <c r="O1407">
        <v>-0.54670229999999997</v>
      </c>
      <c r="P1407">
        <v>-0.96169249999999995</v>
      </c>
      <c r="Q1407">
        <v>-5.3495099999999997E-2</v>
      </c>
      <c r="R1407">
        <v>-0.26886100000000002</v>
      </c>
      <c r="S1407">
        <v>-3.114395</v>
      </c>
      <c r="T1407">
        <v>-0.37161529999999998</v>
      </c>
      <c r="U1407">
        <v>2.29187E-2</v>
      </c>
      <c r="V1407">
        <v>0.29985329999999999</v>
      </c>
      <c r="W1407">
        <v>-4.4924190000000003E-2</v>
      </c>
      <c r="X1407">
        <v>0.95292699999999997</v>
      </c>
      <c r="Y1407">
        <v>0.54550310000000002</v>
      </c>
      <c r="Z1407">
        <v>9.4583940000000005E-2</v>
      </c>
      <c r="AA1407">
        <v>0.83275460000000001</v>
      </c>
      <c r="AB1407">
        <v>22</v>
      </c>
      <c r="AC1407">
        <v>-9.0518000000000107</v>
      </c>
      <c r="AD1407">
        <v>-1.1019323942849999</v>
      </c>
      <c r="AE1407">
        <v>0.17270000000002</v>
      </c>
      <c r="AF1407">
        <v>5.0194687748117897</v>
      </c>
      <c r="AG1407">
        <v>-1.1019323942849999</v>
      </c>
      <c r="AH1407">
        <v>7.3752457797046898</v>
      </c>
      <c r="AI1407">
        <v>97.041351984577105</v>
      </c>
      <c r="AJ1407">
        <v>55.761452576628301</v>
      </c>
      <c r="AK1407">
        <v>8.9890807146191101</v>
      </c>
      <c r="AL1407">
        <v>92.574832994851803</v>
      </c>
      <c r="AM1407">
        <v>72.533007072205606</v>
      </c>
      <c r="AN1407">
        <v>1.00000002584852</v>
      </c>
    </row>
    <row r="1408" spans="1:40" x14ac:dyDescent="0.3">
      <c r="A1408" t="str">
        <f>"20200111160431324"</f>
        <v>20200111160431324</v>
      </c>
      <c r="B1408" t="str">
        <f>"1578729871321997"</f>
        <v>1578729871321997</v>
      </c>
      <c r="C1408" t="s">
        <v>40</v>
      </c>
      <c r="D1408">
        <v>5.8935259999999996</v>
      </c>
      <c r="E1408">
        <v>0.59422330000000001</v>
      </c>
      <c r="F1408" t="s">
        <v>57</v>
      </c>
      <c r="G1408">
        <v>-210.9479</v>
      </c>
      <c r="H1408" s="1">
        <v>-1.032352E-6</v>
      </c>
      <c r="I1408">
        <v>288.3175</v>
      </c>
      <c r="J1408">
        <v>-199.58750000000001</v>
      </c>
      <c r="K1408">
        <v>1.1019600000000001</v>
      </c>
      <c r="L1408">
        <v>288.3836</v>
      </c>
      <c r="M1408">
        <v>-0.84489699999999901</v>
      </c>
      <c r="N1408">
        <v>0</v>
      </c>
      <c r="O1408">
        <v>-0.53470649999999997</v>
      </c>
      <c r="P1408">
        <v>-0.96414350000000004</v>
      </c>
      <c r="Q1408">
        <v>-5.5334849999999998E-2</v>
      </c>
      <c r="R1408">
        <v>-0.25954870000000002</v>
      </c>
      <c r="S1408">
        <v>-3.0899200000000002</v>
      </c>
      <c r="T1408">
        <v>-0.2945508</v>
      </c>
      <c r="U1408">
        <v>-4.721069E-2</v>
      </c>
      <c r="V1408">
        <v>0.29538809999999999</v>
      </c>
      <c r="W1408">
        <v>-4.6639630000000001E-2</v>
      </c>
      <c r="X1408">
        <v>0.95423820000000004</v>
      </c>
      <c r="Y1408">
        <v>0.51724429999999999</v>
      </c>
      <c r="Z1408">
        <v>7.3263629999999996E-2</v>
      </c>
      <c r="AA1408">
        <v>0.85269619999999902</v>
      </c>
      <c r="AB1408">
        <v>22</v>
      </c>
      <c r="AC1408">
        <v>-11.360399999999901</v>
      </c>
      <c r="AD1408">
        <v>-1.1019610323519999</v>
      </c>
      <c r="AE1408">
        <v>-6.6100000000005807E-2</v>
      </c>
      <c r="AF1408">
        <v>5.9632419594461998</v>
      </c>
      <c r="AG1408">
        <v>-1.1019610323519999</v>
      </c>
      <c r="AH1408">
        <v>9.5450519653254204</v>
      </c>
      <c r="AI1408">
        <v>95.592073566953303</v>
      </c>
      <c r="AJ1408">
        <v>58.005044626485699</v>
      </c>
      <c r="AK1408">
        <v>11.3085184619597</v>
      </c>
      <c r="AL1408">
        <v>92.673223809860104</v>
      </c>
      <c r="AM1408">
        <v>72.799888555375503</v>
      </c>
      <c r="AN1408">
        <v>0.99999996352369203</v>
      </c>
    </row>
    <row r="1409" spans="1:40" x14ac:dyDescent="0.3">
      <c r="A1409" t="str">
        <f>"20200111160431348"</f>
        <v>20200111160431348</v>
      </c>
      <c r="B1409" t="str">
        <f>"1578729871342574"</f>
        <v>1578729871342574</v>
      </c>
      <c r="C1409" t="s">
        <v>40</v>
      </c>
      <c r="D1409">
        <v>5.9017900000000001</v>
      </c>
      <c r="E1409">
        <v>0.59167029999999998</v>
      </c>
      <c r="F1409" t="s">
        <v>56</v>
      </c>
      <c r="G1409">
        <v>-207.18180000000001</v>
      </c>
      <c r="H1409" s="1">
        <v>5.0867769999999997E-6</v>
      </c>
      <c r="I1409">
        <v>288.2201</v>
      </c>
      <c r="J1409">
        <v>-199.79419999999999</v>
      </c>
      <c r="K1409">
        <v>1.1019779999999999</v>
      </c>
      <c r="L1409">
        <v>288.27319999999997</v>
      </c>
      <c r="M1409">
        <v>-0.85264980000000001</v>
      </c>
      <c r="N1409">
        <v>0</v>
      </c>
      <c r="O1409">
        <v>-0.52225519999999903</v>
      </c>
      <c r="P1409">
        <v>-0.96640499999999996</v>
      </c>
      <c r="Q1409">
        <v>-5.9021480000000001E-2</v>
      </c>
      <c r="R1409">
        <v>-0.2501563</v>
      </c>
      <c r="S1409">
        <v>-3.0682369999999999</v>
      </c>
      <c r="T1409">
        <v>-0.44521070000000001</v>
      </c>
      <c r="U1409">
        <v>-6.607056E-2</v>
      </c>
      <c r="V1409">
        <v>0.29048970000000002</v>
      </c>
      <c r="W1409">
        <v>-5.0194030000000001E-2</v>
      </c>
      <c r="X1409">
        <v>0.95556070000000004</v>
      </c>
      <c r="Y1409">
        <v>0.49366890000000002</v>
      </c>
      <c r="Z1409">
        <v>0.1078979</v>
      </c>
      <c r="AA1409">
        <v>0.86293050000000004</v>
      </c>
      <c r="AB1409">
        <v>22</v>
      </c>
      <c r="AC1409">
        <v>-7.3876000000000097</v>
      </c>
      <c r="AD1409">
        <v>-1.1019729132230001</v>
      </c>
      <c r="AE1409">
        <v>-5.30999999999721E-2</v>
      </c>
      <c r="AF1409">
        <v>3.7303923839698898</v>
      </c>
      <c r="AG1409">
        <v>-1.1019729132230001</v>
      </c>
      <c r="AH1409">
        <v>6.1898022820330398</v>
      </c>
      <c r="AI1409">
        <v>98.669685251587197</v>
      </c>
      <c r="AJ1409">
        <v>58.923997855993299</v>
      </c>
      <c r="AK1409">
        <v>7.3105282935311298</v>
      </c>
      <c r="AL1409">
        <v>92.877115120085804</v>
      </c>
      <c r="AM1409">
        <v>73.090769509049395</v>
      </c>
      <c r="AN1409">
        <v>0.99999997891910997</v>
      </c>
    </row>
    <row r="1410" spans="1:40" x14ac:dyDescent="0.3">
      <c r="A1410" t="str">
        <f>"20200111160431368"</f>
        <v>20200111160431368</v>
      </c>
      <c r="B1410" t="str">
        <f>"1578729871362094"</f>
        <v>1578729871362094</v>
      </c>
      <c r="C1410" t="s">
        <v>40</v>
      </c>
      <c r="D1410">
        <v>5.9252089999999997</v>
      </c>
      <c r="E1410">
        <v>0.59057950000000003</v>
      </c>
      <c r="F1410" t="s">
        <v>56</v>
      </c>
      <c r="G1410">
        <v>-207.3287</v>
      </c>
      <c r="H1410" s="1">
        <v>5.1591240000000001E-6</v>
      </c>
      <c r="I1410">
        <v>288.13740000000001</v>
      </c>
      <c r="J1410">
        <v>-199.9795</v>
      </c>
      <c r="K1410">
        <v>1.10199</v>
      </c>
      <c r="L1410">
        <v>288.17720000000003</v>
      </c>
      <c r="M1410">
        <v>-0.85940190000000005</v>
      </c>
      <c r="N1410">
        <v>0</v>
      </c>
      <c r="O1410">
        <v>-0.51106819999999997</v>
      </c>
      <c r="P1410">
        <v>-0.96773290000000001</v>
      </c>
      <c r="Q1410">
        <v>-6.3635919999999999E-2</v>
      </c>
      <c r="R1410">
        <v>-0.24381050000000001</v>
      </c>
      <c r="S1410">
        <v>-3.0626220000000002</v>
      </c>
      <c r="T1410">
        <v>-0.4479301</v>
      </c>
      <c r="U1410">
        <v>-5.5175780000000001E-2</v>
      </c>
      <c r="V1410">
        <v>0.28403240000000002</v>
      </c>
      <c r="W1410">
        <v>-5.4641530000000001E-2</v>
      </c>
      <c r="X1410">
        <v>0.95725640000000001</v>
      </c>
      <c r="Y1410">
        <v>0.48540230000000001</v>
      </c>
      <c r="Z1410">
        <v>0.1067538</v>
      </c>
      <c r="AA1410">
        <v>0.86774899999999999</v>
      </c>
      <c r="AB1410">
        <v>22</v>
      </c>
      <c r="AC1410">
        <v>-7.34919999999999</v>
      </c>
      <c r="AD1410">
        <v>-1.101984840876</v>
      </c>
      <c r="AE1410">
        <v>-3.9800000000013797E-2</v>
      </c>
      <c r="AF1410">
        <v>3.6403341623608698</v>
      </c>
      <c r="AG1410">
        <v>-1.101984840876</v>
      </c>
      <c r="AH1410">
        <v>6.1976666016658699</v>
      </c>
      <c r="AI1410">
        <v>98.7164449883755</v>
      </c>
      <c r="AJ1410">
        <v>59.571228044581602</v>
      </c>
      <c r="AK1410">
        <v>7.2716899486004403</v>
      </c>
      <c r="AL1410">
        <v>93.132289184365305</v>
      </c>
      <c r="AM1410">
        <v>73.4735836159511</v>
      </c>
      <c r="AN1410">
        <v>0.99999995819572896</v>
      </c>
    </row>
    <row r="1411" spans="1:40" x14ac:dyDescent="0.3">
      <c r="A1411" t="str">
        <f>"20200111160431391"</f>
        <v>20200111160431391</v>
      </c>
      <c r="B1411" t="str">
        <f>"1578729871382589"</f>
        <v>1578729871382589</v>
      </c>
      <c r="C1411" t="s">
        <v>40</v>
      </c>
      <c r="D1411">
        <v>5.9058330000000003</v>
      </c>
      <c r="E1411">
        <v>0.58953929999999999</v>
      </c>
      <c r="F1411" t="s">
        <v>56</v>
      </c>
      <c r="G1411">
        <v>-207.23140000000001</v>
      </c>
      <c r="H1411" s="1">
        <v>5.1214819999999999E-6</v>
      </c>
      <c r="I1411">
        <v>288.07429999999999</v>
      </c>
      <c r="J1411">
        <v>-200.1841</v>
      </c>
      <c r="K1411">
        <v>1.1020110000000001</v>
      </c>
      <c r="L1411">
        <v>288.07499999999999</v>
      </c>
      <c r="M1411">
        <v>-0.86662830000000002</v>
      </c>
      <c r="N1411">
        <v>0</v>
      </c>
      <c r="O1411">
        <v>-0.49871650000000001</v>
      </c>
      <c r="P1411">
        <v>-0.96932850000000004</v>
      </c>
      <c r="Q1411">
        <v>-6.5486420000000004E-2</v>
      </c>
      <c r="R1411">
        <v>-0.2368847</v>
      </c>
      <c r="S1411">
        <v>-3.0585330000000002</v>
      </c>
      <c r="T1411">
        <v>-0.46477429999999997</v>
      </c>
      <c r="U1411">
        <v>-4.3395999999999997E-2</v>
      </c>
      <c r="V1411">
        <v>0.27708300000000002</v>
      </c>
      <c r="W1411">
        <v>-5.630922E-2</v>
      </c>
      <c r="X1411">
        <v>0.95919460000000001</v>
      </c>
      <c r="Y1411">
        <v>0.47567520000000002</v>
      </c>
      <c r="Z1411">
        <v>0.1085214</v>
      </c>
      <c r="AA1411">
        <v>0.87290100000000004</v>
      </c>
      <c r="AB1411">
        <v>22</v>
      </c>
      <c r="AC1411">
        <v>-7.0472999999999999</v>
      </c>
      <c r="AD1411">
        <v>-1.102005878518</v>
      </c>
      <c r="AE1411">
        <v>-6.9999999999481501E-4</v>
      </c>
      <c r="AF1411">
        <v>3.4305302064815302</v>
      </c>
      <c r="AG1411">
        <v>-1.102005878518</v>
      </c>
      <c r="AH1411">
        <v>5.9626616960287802</v>
      </c>
      <c r="AI1411">
        <v>99.101252728981805</v>
      </c>
      <c r="AJ1411">
        <v>60.086659215921998</v>
      </c>
      <c r="AK1411">
        <v>6.9667990465607197</v>
      </c>
      <c r="AL1411">
        <v>93.227988037670698</v>
      </c>
      <c r="AM1411">
        <v>73.887555526591797</v>
      </c>
      <c r="AN1411">
        <v>0.99999999890758395</v>
      </c>
    </row>
    <row r="1412" spans="1:40" x14ac:dyDescent="0.3">
      <c r="A1412" t="str">
        <f>"20200111160431413"</f>
        <v>20200111160431413</v>
      </c>
      <c r="B1412" t="str">
        <f>"1578729871402110"</f>
        <v>1578729871402110</v>
      </c>
      <c r="C1412" t="s">
        <v>40</v>
      </c>
      <c r="D1412">
        <v>6.1208099999999996</v>
      </c>
      <c r="E1412">
        <v>0.58879429999999999</v>
      </c>
      <c r="F1412" t="s">
        <v>56</v>
      </c>
      <c r="G1412">
        <v>-207.35730000000001</v>
      </c>
      <c r="H1412" s="1">
        <v>5.183286E-6</v>
      </c>
      <c r="I1412">
        <v>288.0061</v>
      </c>
      <c r="J1412">
        <v>-200.3852</v>
      </c>
      <c r="K1412">
        <v>1.102052</v>
      </c>
      <c r="L1412">
        <v>287.97800000000001</v>
      </c>
      <c r="M1412">
        <v>-0.87350759999999905</v>
      </c>
      <c r="N1412">
        <v>0</v>
      </c>
      <c r="O1412">
        <v>-0.48656680000000002</v>
      </c>
      <c r="P1412">
        <v>-0.97138190000000002</v>
      </c>
      <c r="Q1412">
        <v>-6.5012669999999995E-2</v>
      </c>
      <c r="R1412">
        <v>-0.2284535</v>
      </c>
      <c r="S1412">
        <v>-3.0560299999999998</v>
      </c>
      <c r="T1412">
        <v>-0.46949209999999902</v>
      </c>
      <c r="U1412">
        <v>-2.938843E-2</v>
      </c>
      <c r="V1412">
        <v>0.2720552</v>
      </c>
      <c r="W1412">
        <v>-5.5696250000000003E-2</v>
      </c>
      <c r="X1412">
        <v>0.96066839999999998</v>
      </c>
      <c r="Y1412">
        <v>0.46740989999999999</v>
      </c>
      <c r="Z1412">
        <v>0.1074517</v>
      </c>
      <c r="AA1412">
        <v>0.87748619999999899</v>
      </c>
      <c r="AB1412">
        <v>22</v>
      </c>
      <c r="AC1412">
        <v>-6.97210000000001</v>
      </c>
      <c r="AD1412">
        <v>-1.1020468167140001</v>
      </c>
      <c r="AE1412">
        <v>2.80999999999949E-2</v>
      </c>
      <c r="AF1412">
        <v>3.3340447949545799</v>
      </c>
      <c r="AG1412">
        <v>-1.1020468167140001</v>
      </c>
      <c r="AH1412">
        <v>5.9290968123678196</v>
      </c>
      <c r="AI1412">
        <v>99.202703663205696</v>
      </c>
      <c r="AJ1412">
        <v>60.650117606012401</v>
      </c>
      <c r="AK1412">
        <v>6.8909034887613601</v>
      </c>
      <c r="AL1412">
        <v>93.192812428830607</v>
      </c>
      <c r="AM1412">
        <v>74.188214332352402</v>
      </c>
      <c r="AN1412">
        <v>0.99999993943482901</v>
      </c>
    </row>
    <row r="1413" spans="1:40" x14ac:dyDescent="0.3">
      <c r="A1413" t="str">
        <f>"20200111160431435"</f>
        <v>20200111160431435</v>
      </c>
      <c r="B1413" t="str">
        <f>"1578729871432366"</f>
        <v>1578729871432366</v>
      </c>
      <c r="C1413" t="s">
        <v>40</v>
      </c>
      <c r="D1413">
        <v>5.7566600000000001</v>
      </c>
      <c r="E1413">
        <v>0.57545919999999995</v>
      </c>
      <c r="F1413" t="s">
        <v>56</v>
      </c>
      <c r="G1413">
        <v>-207.52170000000001</v>
      </c>
      <c r="H1413" s="1">
        <v>5.2603960000000004E-6</v>
      </c>
      <c r="I1413">
        <v>287.9581</v>
      </c>
      <c r="J1413">
        <v>-200.58510000000001</v>
      </c>
      <c r="K1413">
        <v>1.1021080000000001</v>
      </c>
      <c r="L1413">
        <v>287.88490000000002</v>
      </c>
      <c r="M1413">
        <v>-0.88011899999999998</v>
      </c>
      <c r="N1413">
        <v>0</v>
      </c>
      <c r="O1413">
        <v>-0.47450330000000002</v>
      </c>
      <c r="P1413">
        <v>-0.9727131</v>
      </c>
      <c r="Q1413">
        <v>-6.2750600000000004E-2</v>
      </c>
      <c r="R1413">
        <v>-0.22336420000000001</v>
      </c>
      <c r="S1413">
        <v>-3.0548099999999998</v>
      </c>
      <c r="T1413">
        <v>-0.47173540000000003</v>
      </c>
      <c r="U1413">
        <v>-8.5144039999999997E-3</v>
      </c>
      <c r="V1413">
        <v>0.26399</v>
      </c>
      <c r="W1413">
        <v>-5.321559E-2</v>
      </c>
      <c r="X1413">
        <v>0.96305629999999998</v>
      </c>
      <c r="Y1413">
        <v>0.46137470000000003</v>
      </c>
      <c r="Z1413">
        <v>0.105919899999999</v>
      </c>
      <c r="AA1413">
        <v>0.88085999999999998</v>
      </c>
      <c r="AB1413">
        <v>22</v>
      </c>
      <c r="AC1413">
        <v>-6.9365999999999897</v>
      </c>
      <c r="AD1413">
        <v>-1.102102739604</v>
      </c>
      <c r="AE1413">
        <v>7.3199999999985693E-2</v>
      </c>
      <c r="AF1413">
        <v>3.2736333110547</v>
      </c>
      <c r="AG1413">
        <v>-1.102102739604</v>
      </c>
      <c r="AH1413">
        <v>5.9215551920021996</v>
      </c>
      <c r="AI1413">
        <v>99.251293063935904</v>
      </c>
      <c r="AJ1413">
        <v>61.064718059422603</v>
      </c>
      <c r="AK1413">
        <v>6.8553717182817904</v>
      </c>
      <c r="AL1413">
        <v>93.050469552913796</v>
      </c>
      <c r="AM1413">
        <v>74.670800245223901</v>
      </c>
      <c r="AN1413">
        <v>1.0000000280443599</v>
      </c>
    </row>
    <row r="1414" spans="1:40" x14ac:dyDescent="0.3">
      <c r="A1414" t="str">
        <f>"20200111160431457"</f>
        <v>20200111160431457</v>
      </c>
      <c r="B1414" t="str">
        <f>"1578729871451886"</f>
        <v>1578729871451886</v>
      </c>
      <c r="C1414" t="s">
        <v>40</v>
      </c>
      <c r="D1414">
        <v>5.6956959999999999</v>
      </c>
      <c r="E1414">
        <v>0.56639209999999995</v>
      </c>
      <c r="F1414" t="s">
        <v>57</v>
      </c>
      <c r="G1414">
        <v>-213.10740000000001</v>
      </c>
      <c r="H1414" s="1">
        <v>1.16812899999999E-7</v>
      </c>
      <c r="I1414">
        <v>287.52980000000002</v>
      </c>
      <c r="J1414">
        <v>-200.78579999999999</v>
      </c>
      <c r="K1414">
        <v>1.1021749999999999</v>
      </c>
      <c r="L1414">
        <v>287.7946</v>
      </c>
      <c r="M1414">
        <v>-0.88651869999999999</v>
      </c>
      <c r="N1414">
        <v>0</v>
      </c>
      <c r="O1414">
        <v>-0.4624375</v>
      </c>
      <c r="P1414">
        <v>-0.9739466</v>
      </c>
      <c r="Q1414">
        <v>-5.937605E-2</v>
      </c>
      <c r="R1414">
        <v>-0.21886700000000001</v>
      </c>
      <c r="S1414">
        <v>-3.0470120000000001</v>
      </c>
      <c r="T1414">
        <v>-0.26817269999999999</v>
      </c>
      <c r="U1414">
        <v>-8.6395260000000001E-2</v>
      </c>
      <c r="V1414">
        <v>0.25545760000000001</v>
      </c>
      <c r="W1414">
        <v>-4.9604820000000001E-2</v>
      </c>
      <c r="X1414">
        <v>0.96554689999999999</v>
      </c>
      <c r="Y1414">
        <v>0.43383369999999999</v>
      </c>
      <c r="Z1414">
        <v>5.8380029999999999E-2</v>
      </c>
      <c r="AA1414">
        <v>0.899099599999999</v>
      </c>
      <c r="AB1414">
        <v>22</v>
      </c>
      <c r="AC1414">
        <v>-12.3216</v>
      </c>
      <c r="AD1414">
        <v>-1.1021748831871001</v>
      </c>
      <c r="AE1414">
        <v>-0.264799999999979</v>
      </c>
      <c r="AF1414">
        <v>5.4205131861353903</v>
      </c>
      <c r="AG1414">
        <v>-1.1021748831871001</v>
      </c>
      <c r="AH1414">
        <v>10.959436224773301</v>
      </c>
      <c r="AI1414">
        <v>95.151017910482594</v>
      </c>
      <c r="AJ1414">
        <v>63.6831015235866</v>
      </c>
      <c r="AK1414">
        <v>12.2762370064719</v>
      </c>
      <c r="AL1414">
        <v>92.843313648092604</v>
      </c>
      <c r="AM1414">
        <v>75.180637532334401</v>
      </c>
      <c r="AN1414">
        <v>1.0000000198323</v>
      </c>
    </row>
    <row r="1415" spans="1:40" x14ac:dyDescent="0.3">
      <c r="A1415" t="str">
        <f>"20200111160431481"</f>
        <v>20200111160431481</v>
      </c>
      <c r="B1415" t="str">
        <f>"1578729871472381"</f>
        <v>1578729871472381</v>
      </c>
      <c r="C1415" t="s">
        <v>40</v>
      </c>
      <c r="D1415">
        <v>5.7023109999999999</v>
      </c>
      <c r="E1415">
        <v>0.56229079999999998</v>
      </c>
      <c r="F1415" t="s">
        <v>57</v>
      </c>
      <c r="G1415">
        <v>-214.8939</v>
      </c>
      <c r="H1415" s="1">
        <v>1.067486E-6</v>
      </c>
      <c r="I1415">
        <v>287.13389999999998</v>
      </c>
      <c r="J1415">
        <v>-201.00149999999999</v>
      </c>
      <c r="K1415">
        <v>1.102277</v>
      </c>
      <c r="L1415">
        <v>287.7011</v>
      </c>
      <c r="M1415">
        <v>-0.89312400000000003</v>
      </c>
      <c r="N1415">
        <v>0</v>
      </c>
      <c r="O1415">
        <v>-0.44954830000000001</v>
      </c>
      <c r="P1415">
        <v>-0.97525030000000001</v>
      </c>
      <c r="Q1415">
        <v>-5.5734690000000003E-2</v>
      </c>
      <c r="R1415">
        <v>-0.2139643</v>
      </c>
      <c r="S1415">
        <v>-3.03389</v>
      </c>
      <c r="T1415">
        <v>-0.23701829999999999</v>
      </c>
      <c r="U1415">
        <v>-0.14208979999999999</v>
      </c>
      <c r="V1415">
        <v>0.24650749999999999</v>
      </c>
      <c r="W1415">
        <v>-4.5707619999999997E-2</v>
      </c>
      <c r="X1415">
        <v>0.96806250000000005</v>
      </c>
      <c r="Y1415">
        <v>0.40481420000000001</v>
      </c>
      <c r="Z1415">
        <v>4.9750950000000002E-2</v>
      </c>
      <c r="AA1415">
        <v>0.91304459999999998</v>
      </c>
      <c r="AB1415">
        <v>22</v>
      </c>
      <c r="AC1415">
        <v>-13.8924</v>
      </c>
      <c r="AD1415">
        <v>-1.1022759325139999</v>
      </c>
      <c r="AE1415">
        <v>-0.56720000000001303</v>
      </c>
      <c r="AF1415">
        <v>5.7035550841049396</v>
      </c>
      <c r="AG1415">
        <v>-1.1022759325139999</v>
      </c>
      <c r="AH1415">
        <v>12.585016765318199</v>
      </c>
      <c r="AI1415">
        <v>94.561169479869903</v>
      </c>
      <c r="AJ1415">
        <v>65.619870050468407</v>
      </c>
      <c r="AK1415">
        <v>13.861031700856801</v>
      </c>
      <c r="AL1415">
        <v>92.619766274052196</v>
      </c>
      <c r="AM1415">
        <v>75.713813342120105</v>
      </c>
      <c r="AN1415">
        <v>1.0000000689942701</v>
      </c>
    </row>
    <row r="1416" spans="1:40" x14ac:dyDescent="0.3">
      <c r="A1416" t="str">
        <f>"20200111160431503"</f>
        <v>20200111160431503</v>
      </c>
      <c r="B1416" t="str">
        <f>"1578729871491901"</f>
        <v>1578729871491901</v>
      </c>
      <c r="C1416" t="s">
        <v>40</v>
      </c>
      <c r="D1416">
        <v>5.7361089999999999</v>
      </c>
      <c r="E1416">
        <v>0.55919830000000004</v>
      </c>
      <c r="F1416" t="s">
        <v>57</v>
      </c>
      <c r="G1416">
        <v>-215.51300000000001</v>
      </c>
      <c r="H1416" s="1">
        <v>1.39695E-6</v>
      </c>
      <c r="I1416">
        <v>286.93990000000002</v>
      </c>
      <c r="J1416">
        <v>-201.2004</v>
      </c>
      <c r="K1416">
        <v>1.1024020000000001</v>
      </c>
      <c r="L1416">
        <v>287.61799999999999</v>
      </c>
      <c r="M1416">
        <v>-0.89895020000000003</v>
      </c>
      <c r="N1416">
        <v>0</v>
      </c>
      <c r="O1416">
        <v>-0.43778270000000002</v>
      </c>
      <c r="P1416">
        <v>-0.9763271</v>
      </c>
      <c r="Q1416">
        <v>-5.183985E-2</v>
      </c>
      <c r="R1416">
        <v>-0.2099954</v>
      </c>
      <c r="S1416">
        <v>-3.0281220000000002</v>
      </c>
      <c r="T1416">
        <v>-0.2300123</v>
      </c>
      <c r="U1416">
        <v>-0.15884400000000001</v>
      </c>
      <c r="V1416">
        <v>0.2379155</v>
      </c>
      <c r="W1416">
        <v>-4.1561439999999998E-2</v>
      </c>
      <c r="X1416">
        <v>0.97039620000000004</v>
      </c>
      <c r="Y1416">
        <v>0.387845</v>
      </c>
      <c r="Z1416">
        <v>4.6908199999999997E-2</v>
      </c>
      <c r="AA1416">
        <v>0.92053019999999997</v>
      </c>
      <c r="AB1416">
        <v>22</v>
      </c>
      <c r="AC1416">
        <v>-14.3126</v>
      </c>
      <c r="AD1416">
        <v>-1.10240060305</v>
      </c>
      <c r="AE1416">
        <v>-0.67809999999997195</v>
      </c>
      <c r="AF1416">
        <v>5.6236071857379004</v>
      </c>
      <c r="AG1416">
        <v>-1.10240060305</v>
      </c>
      <c r="AH1416">
        <v>13.087254034823699</v>
      </c>
      <c r="AI1416">
        <v>94.4254247289728</v>
      </c>
      <c r="AJ1416">
        <v>66.746751046073797</v>
      </c>
      <c r="AK1416">
        <v>14.2869332972859</v>
      </c>
      <c r="AL1416">
        <v>92.3819812835184</v>
      </c>
      <c r="AM1416">
        <v>76.224318035827594</v>
      </c>
      <c r="AN1416">
        <v>0.999999961704781</v>
      </c>
    </row>
    <row r="1417" spans="1:40" x14ac:dyDescent="0.3">
      <c r="A1417" t="str">
        <f>"20200111160431526"</f>
        <v>20200111160431526</v>
      </c>
      <c r="B1417" t="str">
        <f>"1578729871522158"</f>
        <v>1578729871522158</v>
      </c>
      <c r="C1417" t="s">
        <v>40</v>
      </c>
      <c r="D1417">
        <v>5.7202089999999997</v>
      </c>
      <c r="E1417">
        <v>0.55659890000000001</v>
      </c>
      <c r="F1417" t="s">
        <v>57</v>
      </c>
      <c r="G1417">
        <v>-217.34100000000001</v>
      </c>
      <c r="H1417" s="1">
        <v>2.3697229999999999E-6</v>
      </c>
      <c r="I1417">
        <v>286.7097</v>
      </c>
      <c r="J1417">
        <v>-201.40459999999999</v>
      </c>
      <c r="K1417">
        <v>1.1025799999999999</v>
      </c>
      <c r="L1417">
        <v>287.53570000000002</v>
      </c>
      <c r="M1417">
        <v>-0.90464469999999997</v>
      </c>
      <c r="N1417">
        <v>0</v>
      </c>
      <c r="O1417">
        <v>-0.42589260000000001</v>
      </c>
      <c r="P1417">
        <v>-0.97742700000000005</v>
      </c>
      <c r="Q1417">
        <v>-4.938762E-2</v>
      </c>
      <c r="R1417">
        <v>-0.20542099999999999</v>
      </c>
      <c r="S1417">
        <v>-3.0251619999999999</v>
      </c>
      <c r="T1417">
        <v>-0.2066183</v>
      </c>
      <c r="U1417">
        <v>-0.17022709999999999</v>
      </c>
      <c r="V1417">
        <v>0.2297814</v>
      </c>
      <c r="W1417">
        <v>-3.8861189999999997E-2</v>
      </c>
      <c r="X1417">
        <v>0.9724661</v>
      </c>
      <c r="Y1417">
        <v>0.37264520000000001</v>
      </c>
      <c r="Z1417">
        <v>4.0923279999999999E-2</v>
      </c>
      <c r="AA1417">
        <v>0.92707110000000004</v>
      </c>
      <c r="AB1417">
        <v>22</v>
      </c>
      <c r="AC1417">
        <v>-15.9363999999999</v>
      </c>
      <c r="AD1417">
        <v>-1.1025776302769901</v>
      </c>
      <c r="AE1417">
        <v>-0.82600000000002105</v>
      </c>
      <c r="AF1417">
        <v>6.0119630028744</v>
      </c>
      <c r="AG1417">
        <v>-1.1025776302769901</v>
      </c>
      <c r="AH1417">
        <v>14.7001145346477</v>
      </c>
      <c r="AI1417">
        <v>93.971285432962603</v>
      </c>
      <c r="AJ1417">
        <v>67.756720146371507</v>
      </c>
      <c r="AK1417">
        <v>15.9201992421727</v>
      </c>
      <c r="AL1417">
        <v>92.227142983385903</v>
      </c>
      <c r="AM1417">
        <v>76.705571461419495</v>
      </c>
      <c r="AN1417">
        <v>0.99999999976169296</v>
      </c>
    </row>
    <row r="1418" spans="1:40" x14ac:dyDescent="0.3">
      <c r="A1418" t="str">
        <f>"20200111160431549"</f>
        <v>20200111160431549</v>
      </c>
      <c r="B1418" t="str">
        <f>"1578729871542232"</f>
        <v>1578729871542232</v>
      </c>
      <c r="C1418" t="s">
        <v>40</v>
      </c>
      <c r="D1418">
        <v>5.7509550000000003</v>
      </c>
      <c r="E1418">
        <v>0.55539799999999995</v>
      </c>
      <c r="F1418" t="s">
        <v>57</v>
      </c>
      <c r="G1418">
        <v>-218.64400000000001</v>
      </c>
      <c r="H1418" s="1">
        <v>3.063132E-6</v>
      </c>
      <c r="I1418">
        <v>286.53050000000002</v>
      </c>
      <c r="J1418">
        <v>-201.6172</v>
      </c>
      <c r="K1418">
        <v>1.102792</v>
      </c>
      <c r="L1418">
        <v>287.45319999999998</v>
      </c>
      <c r="M1418">
        <v>-0.9102654</v>
      </c>
      <c r="N1418">
        <v>0</v>
      </c>
      <c r="O1418">
        <v>-0.41374450000000002</v>
      </c>
      <c r="P1418">
        <v>-0.97839710000000002</v>
      </c>
      <c r="Q1418">
        <v>-4.8373239999999998E-2</v>
      </c>
      <c r="R1418">
        <v>-0.2009958</v>
      </c>
      <c r="S1418">
        <v>-3.022491</v>
      </c>
      <c r="T1418">
        <v>-0.19330820000000001</v>
      </c>
      <c r="U1418">
        <v>-0.17623900000000001</v>
      </c>
      <c r="V1418">
        <v>0.2212208</v>
      </c>
      <c r="W1418">
        <v>-3.7586420000000002E-2</v>
      </c>
      <c r="X1418">
        <v>0.97449920000000001</v>
      </c>
      <c r="Y1418">
        <v>0.35857420000000001</v>
      </c>
      <c r="Z1418">
        <v>3.7161479999999997E-2</v>
      </c>
      <c r="AA1418">
        <v>0.93276130000000002</v>
      </c>
      <c r="AB1418">
        <v>22</v>
      </c>
      <c r="AC1418">
        <v>-17.026800000000001</v>
      </c>
      <c r="AD1418">
        <v>-1.1027889368679999</v>
      </c>
      <c r="AE1418">
        <v>-0.92269999999996299</v>
      </c>
      <c r="AF1418">
        <v>6.1797168487641603</v>
      </c>
      <c r="AG1418">
        <v>-1.1027889368679999</v>
      </c>
      <c r="AH1418">
        <v>15.816361198067399</v>
      </c>
      <c r="AI1418">
        <v>93.715767022699893</v>
      </c>
      <c r="AJ1418">
        <v>68.658581149503405</v>
      </c>
      <c r="AK1418">
        <v>17.016530942525002</v>
      </c>
      <c r="AL1418">
        <v>92.154050543663004</v>
      </c>
      <c r="AM1418">
        <v>77.210063288379899</v>
      </c>
      <c r="AN1418">
        <v>1.0000000360608401</v>
      </c>
    </row>
    <row r="1419" spans="1:40" x14ac:dyDescent="0.3">
      <c r="A1419" t="str">
        <f>"20200111160431570"</f>
        <v>20200111160431570</v>
      </c>
      <c r="B1419" t="str">
        <f>"1578729871561752"</f>
        <v>1578729871561752</v>
      </c>
      <c r="C1419" t="s">
        <v>40</v>
      </c>
      <c r="D1419">
        <v>5.7536389999999997</v>
      </c>
      <c r="E1419">
        <v>0.55425249999999904</v>
      </c>
      <c r="F1419" t="s">
        <v>57</v>
      </c>
      <c r="G1419">
        <v>-219.3749</v>
      </c>
      <c r="H1419" s="1">
        <v>3.4520830000000001E-6</v>
      </c>
      <c r="I1419">
        <v>286.44400000000002</v>
      </c>
      <c r="J1419">
        <v>-201.82069999999999</v>
      </c>
      <c r="K1419">
        <v>1.1029979999999999</v>
      </c>
      <c r="L1419">
        <v>287.3768</v>
      </c>
      <c r="M1419">
        <v>-0.91537270000000004</v>
      </c>
      <c r="N1419">
        <v>0</v>
      </c>
      <c r="O1419">
        <v>-0.40232099999999998</v>
      </c>
      <c r="P1419">
        <v>-0.97897449999999997</v>
      </c>
      <c r="Q1419">
        <v>-4.8669440000000001E-2</v>
      </c>
      <c r="R1419">
        <v>-0.19809280000000001</v>
      </c>
      <c r="S1419">
        <v>-3.0217130000000001</v>
      </c>
      <c r="T1419">
        <v>-0.18765399999999999</v>
      </c>
      <c r="U1419">
        <v>-0.1717224</v>
      </c>
      <c r="V1419">
        <v>0.21192059999999999</v>
      </c>
      <c r="W1419">
        <v>-3.7622650000000001E-2</v>
      </c>
      <c r="X1419">
        <v>0.97656240000000005</v>
      </c>
      <c r="Y1419">
        <v>0.34837750000000001</v>
      </c>
      <c r="Z1419">
        <v>3.5120569999999997E-2</v>
      </c>
      <c r="AA1419">
        <v>0.93669619999999998</v>
      </c>
      <c r="AB1419">
        <v>22</v>
      </c>
      <c r="AC1419">
        <v>-17.554200000000002</v>
      </c>
      <c r="AD1419">
        <v>-1.102994547917</v>
      </c>
      <c r="AE1419">
        <v>-0.93279999999998597</v>
      </c>
      <c r="AF1419">
        <v>6.1849299480715398</v>
      </c>
      <c r="AG1419">
        <v>-1.102994547917</v>
      </c>
      <c r="AH1419">
        <v>16.381324582107599</v>
      </c>
      <c r="AI1419">
        <v>93.604422256486302</v>
      </c>
      <c r="AJ1419">
        <v>69.315478493983207</v>
      </c>
      <c r="AK1419">
        <v>17.544735691928999</v>
      </c>
      <c r="AL1419">
        <v>92.156127996996204</v>
      </c>
      <c r="AM1419">
        <v>77.756268833979604</v>
      </c>
      <c r="AN1419">
        <v>0.99999996279557002</v>
      </c>
    </row>
    <row r="1420" spans="1:40" x14ac:dyDescent="0.3">
      <c r="A1420" t="str">
        <f>"20200111160431592"</f>
        <v>20200111160431592</v>
      </c>
      <c r="B1420" t="str">
        <f>"1578729871582249"</f>
        <v>1578729871582249</v>
      </c>
      <c r="C1420" t="s">
        <v>40</v>
      </c>
      <c r="D1420">
        <v>5.7570069999999998</v>
      </c>
      <c r="E1420">
        <v>0.55320859999999905</v>
      </c>
      <c r="F1420" t="s">
        <v>57</v>
      </c>
      <c r="G1420">
        <v>-219.37809999999999</v>
      </c>
      <c r="H1420" s="1">
        <v>3.4537500000000002E-6</v>
      </c>
      <c r="I1420">
        <v>286.37759999999997</v>
      </c>
      <c r="J1420">
        <v>-202.02260000000001</v>
      </c>
      <c r="K1420">
        <v>1.103199</v>
      </c>
      <c r="L1420">
        <v>287.30349999999999</v>
      </c>
      <c r="M1420">
        <v>-0.92017110000000002</v>
      </c>
      <c r="N1420">
        <v>0</v>
      </c>
      <c r="O1420">
        <v>-0.3912234</v>
      </c>
      <c r="P1420">
        <v>-0.97945910000000003</v>
      </c>
      <c r="Q1420">
        <v>-4.8587289999999998E-2</v>
      </c>
      <c r="R1420">
        <v>-0.1957016</v>
      </c>
      <c r="S1420">
        <v>-3.0202179999999998</v>
      </c>
      <c r="T1420">
        <v>-0.1897374</v>
      </c>
      <c r="U1420">
        <v>-0.171875</v>
      </c>
      <c r="V1420">
        <v>0.2025159</v>
      </c>
      <c r="W1420">
        <v>-3.729039E-2</v>
      </c>
      <c r="X1420">
        <v>0.97856869999999996</v>
      </c>
      <c r="Y1420">
        <v>0.33695839999999999</v>
      </c>
      <c r="Z1420">
        <v>3.4524289999999999E-2</v>
      </c>
      <c r="AA1420">
        <v>0.94088629999999995</v>
      </c>
      <c r="AB1420">
        <v>22</v>
      </c>
      <c r="AC1420">
        <v>-17.3554999999999</v>
      </c>
      <c r="AD1420">
        <v>-1.10319554625</v>
      </c>
      <c r="AE1420">
        <v>-0.92590000000001205</v>
      </c>
      <c r="AF1420">
        <v>5.91474203443346</v>
      </c>
      <c r="AG1420">
        <v>-1.10319554625</v>
      </c>
      <c r="AH1420">
        <v>16.268590861266201</v>
      </c>
      <c r="AI1420">
        <v>93.646533202664202</v>
      </c>
      <c r="AJ1420">
        <v>70.020343740374102</v>
      </c>
      <c r="AK1420">
        <v>17.3455545416811</v>
      </c>
      <c r="AL1420">
        <v>92.137077491404</v>
      </c>
      <c r="AM1420">
        <v>78.307632018410402</v>
      </c>
      <c r="AN1420">
        <v>0.99999998177942495</v>
      </c>
    </row>
    <row r="1421" spans="1:40" x14ac:dyDescent="0.3">
      <c r="A1421" t="str">
        <f>"20200111160431614"</f>
        <v>20200111160431614</v>
      </c>
      <c r="B1421" t="str">
        <f>"1578729871601767"</f>
        <v>1578729871601767</v>
      </c>
      <c r="C1421" t="s">
        <v>40</v>
      </c>
      <c r="D1421">
        <v>5.7061159999999997</v>
      </c>
      <c r="E1421">
        <v>0.55228889999999997</v>
      </c>
      <c r="F1421" t="s">
        <v>57</v>
      </c>
      <c r="G1421">
        <v>-219.43819999999999</v>
      </c>
      <c r="H1421" s="1">
        <v>3.4857630000000002E-6</v>
      </c>
      <c r="I1421">
        <v>286.30630000000002</v>
      </c>
      <c r="J1421">
        <v>-202.2243</v>
      </c>
      <c r="K1421">
        <v>1.103418</v>
      </c>
      <c r="L1421">
        <v>287.23270000000002</v>
      </c>
      <c r="M1421">
        <v>-0.92469259999999998</v>
      </c>
      <c r="N1421">
        <v>0</v>
      </c>
      <c r="O1421">
        <v>-0.38041570000000002</v>
      </c>
      <c r="P1421">
        <v>-0.98010600000000003</v>
      </c>
      <c r="Q1421">
        <v>-4.6223109999999998E-2</v>
      </c>
      <c r="R1421">
        <v>-0.1930173</v>
      </c>
      <c r="S1421">
        <v>-3.0188899999999999</v>
      </c>
      <c r="T1421">
        <v>-0.1912326</v>
      </c>
      <c r="U1421">
        <v>-0.17285159999999999</v>
      </c>
      <c r="V1421">
        <v>0.19383220000000001</v>
      </c>
      <c r="W1421">
        <v>-3.4699569999999999E-2</v>
      </c>
      <c r="X1421">
        <v>0.98042079999999998</v>
      </c>
      <c r="Y1421">
        <v>0.32559939999999998</v>
      </c>
      <c r="Z1421">
        <v>3.3815079999999997E-2</v>
      </c>
      <c r="AA1421">
        <v>0.94490300000000005</v>
      </c>
      <c r="AB1421">
        <v>21</v>
      </c>
      <c r="AC1421">
        <v>-17.213899999999899</v>
      </c>
      <c r="AD1421">
        <v>-1.103414514237</v>
      </c>
      <c r="AE1421">
        <v>-0.926400000000001</v>
      </c>
      <c r="AF1421">
        <v>5.6692234797657202</v>
      </c>
      <c r="AG1421">
        <v>-1.103414514237</v>
      </c>
      <c r="AH1421">
        <v>16.2054407922564</v>
      </c>
      <c r="AI1421">
        <v>93.677331645089495</v>
      </c>
      <c r="AJ1421">
        <v>70.718398045666106</v>
      </c>
      <c r="AK1421">
        <v>17.203892865426798</v>
      </c>
      <c r="AL1421">
        <v>91.988538174013399</v>
      </c>
      <c r="AM1421">
        <v>78.816666043494607</v>
      </c>
      <c r="AN1421">
        <v>0.99999996349383102</v>
      </c>
    </row>
    <row r="1422" spans="1:40" x14ac:dyDescent="0.3">
      <c r="A1422" t="str">
        <f>"20200111160431636"</f>
        <v>20200111160431636</v>
      </c>
      <c r="B1422" t="str">
        <f>"1578729871631942"</f>
        <v>1578729871631942</v>
      </c>
      <c r="C1422" t="s">
        <v>40</v>
      </c>
      <c r="D1422">
        <v>5.7891940000000002</v>
      </c>
      <c r="E1422">
        <v>0.55103310000000005</v>
      </c>
      <c r="F1422" t="s">
        <v>57</v>
      </c>
      <c r="G1422">
        <v>-219.9127</v>
      </c>
      <c r="H1422" s="1">
        <v>3.738235E-6</v>
      </c>
      <c r="I1422">
        <v>286.22430000000003</v>
      </c>
      <c r="J1422">
        <v>-202.4332</v>
      </c>
      <c r="K1422">
        <v>1.103658</v>
      </c>
      <c r="L1422">
        <v>287.1617</v>
      </c>
      <c r="M1422">
        <v>-0.92909419999999998</v>
      </c>
      <c r="N1422">
        <v>0</v>
      </c>
      <c r="O1422">
        <v>-0.36953789999999997</v>
      </c>
      <c r="P1422">
        <v>-0.98080369999999995</v>
      </c>
      <c r="Q1422">
        <v>-4.3403160000000003E-2</v>
      </c>
      <c r="R1422">
        <v>-0.19010679999999999</v>
      </c>
      <c r="S1422">
        <v>-3.0181269999999998</v>
      </c>
      <c r="T1422">
        <v>-0.18827340000000001</v>
      </c>
      <c r="U1422">
        <v>-0.17205809999999999</v>
      </c>
      <c r="V1422">
        <v>0.1853485</v>
      </c>
      <c r="W1422">
        <v>-3.1665140000000001E-2</v>
      </c>
      <c r="X1422">
        <v>0.98216250000000005</v>
      </c>
      <c r="Y1422">
        <v>0.31480170000000002</v>
      </c>
      <c r="Z1422">
        <v>3.2332239999999998E-2</v>
      </c>
      <c r="AA1422">
        <v>0.94860659999999997</v>
      </c>
      <c r="AB1422">
        <v>21</v>
      </c>
      <c r="AC1422">
        <v>-17.479500000000002</v>
      </c>
      <c r="AD1422">
        <v>-1.103654261765</v>
      </c>
      <c r="AE1422">
        <v>-0.93739999999996804</v>
      </c>
      <c r="AF1422">
        <v>5.5669059419113101</v>
      </c>
      <c r="AG1422">
        <v>-1.103654261765</v>
      </c>
      <c r="AH1422">
        <v>16.522697759285499</v>
      </c>
      <c r="AI1422">
        <v>93.621987851202505</v>
      </c>
      <c r="AJ1422">
        <v>71.3800550189966</v>
      </c>
      <c r="AK1422">
        <v>17.470204227206299</v>
      </c>
      <c r="AL1422">
        <v>91.814582276118003</v>
      </c>
      <c r="AM1422">
        <v>79.313126125451603</v>
      </c>
      <c r="AN1422">
        <v>0.99999996197485896</v>
      </c>
    </row>
    <row r="1423" spans="1:40" x14ac:dyDescent="0.3">
      <c r="A1423" t="str">
        <f>"20200111160431838"</f>
        <v>20200111160431838</v>
      </c>
      <c r="B1423" t="str">
        <f>"1578729871832355"</f>
        <v>1578729871832355</v>
      </c>
      <c r="C1423" t="s">
        <v>40</v>
      </c>
      <c r="D1423">
        <v>5.6971610000000004</v>
      </c>
      <c r="E1423">
        <v>0.53533409999999904</v>
      </c>
      <c r="F1423" t="s">
        <v>57</v>
      </c>
      <c r="G1423">
        <v>-220.86410000000001</v>
      </c>
      <c r="H1423" s="1">
        <v>-1.0769739999999999E-6</v>
      </c>
      <c r="I1423">
        <v>286.10340000000002</v>
      </c>
      <c r="J1423">
        <v>-204.309</v>
      </c>
      <c r="K1423">
        <v>1.1057319999999999</v>
      </c>
      <c r="L1423">
        <v>286.61290000000002</v>
      </c>
      <c r="M1423">
        <v>-0.95768229999999999</v>
      </c>
      <c r="N1423">
        <v>0</v>
      </c>
      <c r="O1423">
        <v>-0.28751870000000002</v>
      </c>
      <c r="P1423">
        <v>-0.98568529999999999</v>
      </c>
      <c r="Q1423">
        <v>-1.0352139999999999E-2</v>
      </c>
      <c r="R1423">
        <v>-0.16827710000000001</v>
      </c>
      <c r="S1423">
        <v>-3.0171359999999998</v>
      </c>
      <c r="T1423">
        <v>-0.180669</v>
      </c>
      <c r="U1423">
        <v>-0.17324829999999999</v>
      </c>
      <c r="V1423">
        <v>0.12228219999999999</v>
      </c>
      <c r="W1423">
        <v>1.5395319999999999E-3</v>
      </c>
      <c r="X1423">
        <v>0.99249419999999999</v>
      </c>
      <c r="Y1423">
        <v>0.23125409999999999</v>
      </c>
      <c r="Z1423">
        <v>2.3880080000000001E-2</v>
      </c>
      <c r="AA1423">
        <v>0.97260029999999997</v>
      </c>
      <c r="AB1423">
        <v>21</v>
      </c>
      <c r="AC1423">
        <v>-16.5550999999999</v>
      </c>
      <c r="AD1423">
        <v>-1.1057330769739999</v>
      </c>
      <c r="AE1423">
        <v>-0.50950000000000195</v>
      </c>
      <c r="AF1423">
        <v>4.2533845179583603</v>
      </c>
      <c r="AG1423">
        <v>-1.1057330769739999</v>
      </c>
      <c r="AH1423">
        <v>15.9314345206226</v>
      </c>
      <c r="AI1423">
        <v>93.836340380632507</v>
      </c>
      <c r="AJ1423">
        <v>75.051789324840499</v>
      </c>
      <c r="AK1423">
        <v>16.526479703191701</v>
      </c>
      <c r="AL1423">
        <v>89.911791281054093</v>
      </c>
      <c r="AM1423">
        <v>82.976158594007501</v>
      </c>
      <c r="AN1423">
        <v>1.0000000218146201</v>
      </c>
    </row>
    <row r="1424" spans="1:40" x14ac:dyDescent="0.3">
      <c r="A1424" t="str">
        <f>"20200111160431860"</f>
        <v>20200111160431860</v>
      </c>
      <c r="B1424" t="str">
        <f>"1578729871851874"</f>
        <v>1578729871851874</v>
      </c>
      <c r="C1424" t="s">
        <v>40</v>
      </c>
      <c r="D1424">
        <v>6.7108729999999897</v>
      </c>
      <c r="E1424">
        <v>0.53433140000000001</v>
      </c>
      <c r="F1424" t="s">
        <v>42</v>
      </c>
      <c r="G1424">
        <v>-205.1086</v>
      </c>
      <c r="H1424">
        <v>1.020672</v>
      </c>
      <c r="I1424">
        <v>286.54579999999999</v>
      </c>
      <c r="J1424">
        <v>-204.52690000000001</v>
      </c>
      <c r="K1424">
        <v>1.105866</v>
      </c>
      <c r="L1424">
        <v>286.55739999999997</v>
      </c>
      <c r="M1424">
        <v>-0.95997370000000004</v>
      </c>
      <c r="N1424">
        <v>0</v>
      </c>
      <c r="O1424">
        <v>-0.279808099999999</v>
      </c>
      <c r="P1424">
        <v>-0.98572910000000002</v>
      </c>
      <c r="Q1424">
        <v>-5.5918919999999898E-3</v>
      </c>
      <c r="R1424">
        <v>-0.16824610000000001</v>
      </c>
      <c r="S1424">
        <v>-2.9972690000000002</v>
      </c>
      <c r="T1424">
        <v>-0.31895230000000002</v>
      </c>
      <c r="U1424">
        <v>-0.25170900000000002</v>
      </c>
      <c r="V1424">
        <v>0.1143774</v>
      </c>
      <c r="W1424">
        <v>5.7094420000000003E-3</v>
      </c>
      <c r="X1424">
        <v>0.993421</v>
      </c>
      <c r="Y1424">
        <v>0.19588739999999999</v>
      </c>
      <c r="Z1424">
        <v>3.9628509999999999E-2</v>
      </c>
      <c r="AA1424">
        <v>0.97982539999999996</v>
      </c>
      <c r="AB1424">
        <v>21</v>
      </c>
      <c r="AC1424">
        <v>-0.58169999999998301</v>
      </c>
      <c r="AD1424">
        <v>-8.5193999999999895E-2</v>
      </c>
      <c r="AE1424">
        <v>-1.15999999999871E-2</v>
      </c>
      <c r="AF1424">
        <v>0.14845755657072099</v>
      </c>
      <c r="AG1424">
        <v>-8.5193999999999895E-2</v>
      </c>
      <c r="AH1424">
        <v>0.54991602133123396</v>
      </c>
      <c r="AI1424">
        <v>98.506523313167506</v>
      </c>
      <c r="AJ1424">
        <v>74.892344694471007</v>
      </c>
      <c r="AK1424">
        <v>0.57593862021549003</v>
      </c>
      <c r="AL1424">
        <v>89.672871304281102</v>
      </c>
      <c r="AM1424">
        <v>83.432176965008907</v>
      </c>
      <c r="AN1424">
        <v>1.0000000352998499</v>
      </c>
    </row>
    <row r="1425" spans="1:40" x14ac:dyDescent="0.3">
      <c r="A1425" t="str">
        <f>"20200111160431882"</f>
        <v>20200111160431882</v>
      </c>
      <c r="B1425" t="str">
        <f>"1578729871872371"</f>
        <v>1578729871872371</v>
      </c>
      <c r="C1425" t="s">
        <v>40</v>
      </c>
      <c r="D1425">
        <v>5.7628589999999997</v>
      </c>
      <c r="E1425">
        <v>0.53141329999999998</v>
      </c>
      <c r="F1425" t="s">
        <v>57</v>
      </c>
      <c r="G1425">
        <v>-216.5925</v>
      </c>
      <c r="H1425" s="1">
        <v>1.9714350000000002E-6</v>
      </c>
      <c r="I1425">
        <v>285.52510000000001</v>
      </c>
      <c r="J1425">
        <v>-204.73679999999999</v>
      </c>
      <c r="K1425">
        <v>1.1060270000000001</v>
      </c>
      <c r="L1425">
        <v>286.505</v>
      </c>
      <c r="M1425">
        <v>-0.96200189999999997</v>
      </c>
      <c r="N1425">
        <v>0</v>
      </c>
      <c r="O1425">
        <v>-0.27279109999999901</v>
      </c>
      <c r="P1425">
        <v>-0.98554260000000005</v>
      </c>
      <c r="Q1425">
        <v>1.044236E-4</v>
      </c>
      <c r="R1425">
        <v>-0.1694291</v>
      </c>
      <c r="S1425">
        <v>-2.9980929999999999</v>
      </c>
      <c r="T1425">
        <v>-0.27478649999999999</v>
      </c>
      <c r="U1425">
        <v>-0.25650020000000001</v>
      </c>
      <c r="V1425">
        <v>0.1059721</v>
      </c>
      <c r="W1425">
        <v>1.0748010000000001E-2</v>
      </c>
      <c r="X1425">
        <v>0.99431099999999994</v>
      </c>
      <c r="Y1425">
        <v>0.18792320000000001</v>
      </c>
      <c r="Z1425">
        <v>3.3171730000000003E-2</v>
      </c>
      <c r="AA1425">
        <v>0.98162340000000003</v>
      </c>
      <c r="AB1425">
        <v>22</v>
      </c>
      <c r="AC1425">
        <v>-11.855700000000001</v>
      </c>
      <c r="AD1425">
        <v>-1.106025028565</v>
      </c>
      <c r="AE1425">
        <v>-0.979899999999986</v>
      </c>
      <c r="AF1425">
        <v>2.2719819833656398</v>
      </c>
      <c r="AG1425">
        <v>-1.106025028565</v>
      </c>
      <c r="AH1425">
        <v>11.573275362475099</v>
      </c>
      <c r="AI1425">
        <v>95.357370669401803</v>
      </c>
      <c r="AJ1425">
        <v>78.893346905068498</v>
      </c>
      <c r="AK1425">
        <v>11.8459231853082</v>
      </c>
      <c r="AL1425">
        <v>89.384172522635893</v>
      </c>
      <c r="AM1425">
        <v>83.916470909291405</v>
      </c>
      <c r="AN1425">
        <v>0.99999998520918498</v>
      </c>
    </row>
    <row r="1426" spans="1:40" x14ac:dyDescent="0.3">
      <c r="A1426" t="str">
        <f>"20200111160431906"</f>
        <v>20200111160431906</v>
      </c>
      <c r="B1426" t="str">
        <f>"1578729871902628"</f>
        <v>1578729871902628</v>
      </c>
      <c r="C1426" t="s">
        <v>40</v>
      </c>
      <c r="D1426">
        <v>6.4956050000000003</v>
      </c>
      <c r="E1426">
        <v>0.53079679999999996</v>
      </c>
      <c r="F1426" t="s">
        <v>57</v>
      </c>
      <c r="G1426">
        <v>-222.32759999999999</v>
      </c>
      <c r="H1426" s="1">
        <v>-2.98167E-7</v>
      </c>
      <c r="I1426">
        <v>284.87950000000001</v>
      </c>
      <c r="J1426">
        <v>-204.9649</v>
      </c>
      <c r="K1426">
        <v>1.1062110000000001</v>
      </c>
      <c r="L1426">
        <v>286.44900000000001</v>
      </c>
      <c r="M1426">
        <v>-0.9639993</v>
      </c>
      <c r="N1426">
        <v>0</v>
      </c>
      <c r="O1426">
        <v>-0.26568920000000001</v>
      </c>
      <c r="P1426">
        <v>-0.98526420000000003</v>
      </c>
      <c r="Q1426">
        <v>5.7103750000000002E-3</v>
      </c>
      <c r="R1426">
        <v>-0.17094489999999901</v>
      </c>
      <c r="S1426">
        <v>-2.996445</v>
      </c>
      <c r="T1426">
        <v>-0.1884024</v>
      </c>
      <c r="U1426">
        <v>-0.27688600000000002</v>
      </c>
      <c r="V1426">
        <v>9.7129699999999999E-2</v>
      </c>
      <c r="W1426">
        <v>1.5519299999999899E-2</v>
      </c>
      <c r="X1426">
        <v>0.99515070000000005</v>
      </c>
      <c r="Y1426">
        <v>0.1750237</v>
      </c>
      <c r="Z1426">
        <v>2.1936489999999999E-2</v>
      </c>
      <c r="AA1426">
        <v>0.98431979999999997</v>
      </c>
      <c r="AB1426">
        <v>22</v>
      </c>
      <c r="AC1426">
        <v>-17.362699999999901</v>
      </c>
      <c r="AD1426">
        <v>-1.106211298167</v>
      </c>
      <c r="AE1426">
        <v>-1.5694999999999999</v>
      </c>
      <c r="AF1426">
        <v>3.0878300543816199</v>
      </c>
      <c r="AG1426">
        <v>-1.106211298167</v>
      </c>
      <c r="AH1426">
        <v>17.086816037593401</v>
      </c>
      <c r="AI1426">
        <v>93.645313312502594</v>
      </c>
      <c r="AJ1426">
        <v>79.756395561649597</v>
      </c>
      <c r="AK1426">
        <v>17.398783870819699</v>
      </c>
      <c r="AL1426">
        <v>89.110773886403194</v>
      </c>
      <c r="AM1426">
        <v>84.425416732238304</v>
      </c>
      <c r="AN1426">
        <v>0.99999997150253395</v>
      </c>
    </row>
    <row r="1427" spans="1:40" x14ac:dyDescent="0.3">
      <c r="A1427" t="str">
        <f>"20200111160431927"</f>
        <v>20200111160431927</v>
      </c>
      <c r="B1427" t="str">
        <f>"1578729871922148"</f>
        <v>1578729871922148</v>
      </c>
      <c r="C1427" t="s">
        <v>40</v>
      </c>
      <c r="D1427">
        <v>5.8718199999999996</v>
      </c>
      <c r="E1427">
        <v>0.53020749999999905</v>
      </c>
      <c r="F1427" t="s">
        <v>57</v>
      </c>
      <c r="G1427">
        <v>-226.43899999999999</v>
      </c>
      <c r="H1427" s="1">
        <v>1.889749E-6</v>
      </c>
      <c r="I1427">
        <v>284.4076</v>
      </c>
      <c r="J1427">
        <v>-205.17089999999999</v>
      </c>
      <c r="K1427">
        <v>1.106374</v>
      </c>
      <c r="L1427">
        <v>286.39929999999998</v>
      </c>
      <c r="M1427">
        <v>-0.96562029999999999</v>
      </c>
      <c r="N1427">
        <v>0</v>
      </c>
      <c r="O1427">
        <v>-0.25977470000000003</v>
      </c>
      <c r="P1427">
        <v>-0.98318490000000003</v>
      </c>
      <c r="Q1427">
        <v>1.0658610000000001E-2</v>
      </c>
      <c r="R1427">
        <v>-0.1823022</v>
      </c>
      <c r="S1427">
        <v>-2.9963380000000002</v>
      </c>
      <c r="T1427">
        <v>-0.15435209999999999</v>
      </c>
      <c r="U1427">
        <v>-0.28485110000000002</v>
      </c>
      <c r="V1427">
        <v>7.9538460000000005E-2</v>
      </c>
      <c r="W1427">
        <v>1.9721490000000001E-2</v>
      </c>
      <c r="X1427">
        <v>0.99663670000000004</v>
      </c>
      <c r="Y1427">
        <v>0.16667960000000001</v>
      </c>
      <c r="Z1427">
        <v>1.7466909999999999E-2</v>
      </c>
      <c r="AA1427">
        <v>0.98585639999999997</v>
      </c>
      <c r="AB1427">
        <v>22</v>
      </c>
      <c r="AC1427">
        <v>-21.2681</v>
      </c>
      <c r="AD1427">
        <v>-1.106372110251</v>
      </c>
      <c r="AE1427">
        <v>-1.99169999999998</v>
      </c>
      <c r="AF1427">
        <v>3.5922221822595999</v>
      </c>
      <c r="AG1427">
        <v>-1.106372110251</v>
      </c>
      <c r="AH1427">
        <v>20.998966250770401</v>
      </c>
      <c r="AI1427">
        <v>92.972847387943105</v>
      </c>
      <c r="AJ1427">
        <v>80.292568892828299</v>
      </c>
      <c r="AK1427">
        <v>21.3327143855172</v>
      </c>
      <c r="AL1427">
        <v>88.869968606148404</v>
      </c>
      <c r="AM1427">
        <v>85.437073819636794</v>
      </c>
      <c r="AN1427">
        <v>1.00000000778694</v>
      </c>
    </row>
    <row r="1428" spans="1:40" x14ac:dyDescent="0.3">
      <c r="A1428" t="str">
        <f>"20200111160431960"</f>
        <v>20200111160431960</v>
      </c>
      <c r="B1428" t="str">
        <f>"1578729871951935"</f>
        <v>1578729871951935</v>
      </c>
      <c r="C1428" t="s">
        <v>40</v>
      </c>
      <c r="D1428">
        <v>5.7808570000000001</v>
      </c>
      <c r="E1428">
        <v>0.53072519999999901</v>
      </c>
      <c r="F1428" t="s">
        <v>57</v>
      </c>
      <c r="G1428">
        <v>-236.4666</v>
      </c>
      <c r="H1428" s="1">
        <v>1.973276E-6</v>
      </c>
      <c r="I1428">
        <v>283.041</v>
      </c>
      <c r="J1428">
        <v>-205.5034</v>
      </c>
      <c r="K1428">
        <v>1.1065510000000001</v>
      </c>
      <c r="L1428">
        <v>286.32040000000001</v>
      </c>
      <c r="M1428">
        <v>-0.96791769999999999</v>
      </c>
      <c r="N1428">
        <v>0</v>
      </c>
      <c r="O1428">
        <v>-0.25113410000000003</v>
      </c>
      <c r="P1428">
        <v>-0.98017200000000004</v>
      </c>
      <c r="Q1428">
        <v>1.2586099999999999E-2</v>
      </c>
      <c r="R1428">
        <v>-0.19774849999999999</v>
      </c>
      <c r="S1428">
        <v>-2.9929350000000001</v>
      </c>
      <c r="T1428">
        <v>-0.1058067</v>
      </c>
      <c r="U1428">
        <v>-0.32116699999999998</v>
      </c>
      <c r="V1428">
        <v>5.4901249999999999E-2</v>
      </c>
      <c r="W1428">
        <v>2.0356030000000001E-2</v>
      </c>
      <c r="X1428">
        <v>0.99828430000000001</v>
      </c>
      <c r="Y1428">
        <v>0.1461914</v>
      </c>
      <c r="Z1428">
        <v>1.1324570000000001E-2</v>
      </c>
      <c r="AA1428">
        <v>0.9891915</v>
      </c>
      <c r="AB1428">
        <v>22</v>
      </c>
      <c r="AC1428">
        <v>-30.963200000000001</v>
      </c>
      <c r="AD1428">
        <v>-1.1065490267239999</v>
      </c>
      <c r="AE1428">
        <v>-3.2793999999999999</v>
      </c>
      <c r="AF1428">
        <v>4.5960753359850104</v>
      </c>
      <c r="AG1428">
        <v>-1.1065490267239999</v>
      </c>
      <c r="AH1428">
        <v>30.755585513373099</v>
      </c>
      <c r="AI1428">
        <v>92.037934072646294</v>
      </c>
      <c r="AJ1428">
        <v>81.500688289884707</v>
      </c>
      <c r="AK1428">
        <v>31.116786458646398</v>
      </c>
      <c r="AL1428">
        <v>88.833604865419204</v>
      </c>
      <c r="AM1428">
        <v>86.852154901102097</v>
      </c>
      <c r="AN1428">
        <v>1.0000000294177001</v>
      </c>
    </row>
    <row r="1429" spans="1:40" x14ac:dyDescent="0.3">
      <c r="A1429" t="str">
        <f>"20200111160431984"</f>
        <v>20200111160431984</v>
      </c>
      <c r="B1429" t="str">
        <f>"1578729871972431"</f>
        <v>1578729871972431</v>
      </c>
      <c r="C1429" t="s">
        <v>40</v>
      </c>
      <c r="D1429">
        <v>6.10114</v>
      </c>
      <c r="E1429">
        <v>0.5318235</v>
      </c>
      <c r="F1429" t="s">
        <v>57</v>
      </c>
      <c r="G1429">
        <v>-233.51339999999999</v>
      </c>
      <c r="H1429" s="1">
        <v>4.077248E-7</v>
      </c>
      <c r="I1429">
        <v>282.90339999999998</v>
      </c>
      <c r="J1429">
        <v>-205.7328</v>
      </c>
      <c r="K1429">
        <v>1.1066290000000001</v>
      </c>
      <c r="L1429">
        <v>286.267</v>
      </c>
      <c r="M1429">
        <v>-0.96928639999999999</v>
      </c>
      <c r="N1429">
        <v>0</v>
      </c>
      <c r="O1429">
        <v>-0.24582989999999999</v>
      </c>
      <c r="P1429">
        <v>-0.97832019999999997</v>
      </c>
      <c r="Q1429">
        <v>1.1850009999999999E-2</v>
      </c>
      <c r="R1429">
        <v>-0.20675930000000001</v>
      </c>
      <c r="S1429">
        <v>-2.9886469999999998</v>
      </c>
      <c r="T1429">
        <v>-0.1180682</v>
      </c>
      <c r="U1429">
        <v>-0.36459350000000001</v>
      </c>
      <c r="V1429">
        <v>4.0220449999999998E-2</v>
      </c>
      <c r="W1429">
        <v>1.8747960000000001E-2</v>
      </c>
      <c r="X1429">
        <v>0.99901490000000004</v>
      </c>
      <c r="Y1429">
        <v>0.12636729999999999</v>
      </c>
      <c r="Z1429">
        <v>1.204701E-2</v>
      </c>
      <c r="AA1429">
        <v>0.99191039999999997</v>
      </c>
      <c r="AB1429">
        <v>22</v>
      </c>
      <c r="AC1429">
        <v>-27.7806</v>
      </c>
      <c r="AD1429">
        <v>-1.1066285922751999</v>
      </c>
      <c r="AE1429">
        <v>-3.3636000000000101</v>
      </c>
      <c r="AF1429">
        <v>3.5635294630329799</v>
      </c>
      <c r="AG1429">
        <v>-1.1066285922751999</v>
      </c>
      <c r="AH1429">
        <v>27.711609100000999</v>
      </c>
      <c r="AI1429">
        <v>92.268163675609003</v>
      </c>
      <c r="AJ1429">
        <v>82.672356105212998</v>
      </c>
      <c r="AK1429">
        <v>27.961699661973402</v>
      </c>
      <c r="AL1429">
        <v>88.925758049404294</v>
      </c>
      <c r="AM1429">
        <v>87.694510700666797</v>
      </c>
      <c r="AN1429">
        <v>0.99999997051218603</v>
      </c>
    </row>
    <row r="1430" spans="1:40" x14ac:dyDescent="0.3">
      <c r="A1430" t="str">
        <f>"20200111160432005"</f>
        <v>20200111160432005</v>
      </c>
      <c r="B1430" t="str">
        <f>"1578729872001711"</f>
        <v>1578729872001711</v>
      </c>
      <c r="C1430" t="s">
        <v>40</v>
      </c>
      <c r="D1430">
        <v>5.8303240000000001</v>
      </c>
      <c r="E1430">
        <v>0.53366400000000003</v>
      </c>
      <c r="F1430" t="s">
        <v>57</v>
      </c>
      <c r="G1430">
        <v>-233.52350000000001</v>
      </c>
      <c r="H1430" s="1">
        <v>4.2191079999999999E-7</v>
      </c>
      <c r="I1430">
        <v>282.7022</v>
      </c>
      <c r="J1430">
        <v>-205.95490000000001</v>
      </c>
      <c r="K1430">
        <v>1.106716</v>
      </c>
      <c r="L1430">
        <v>286.21609999999998</v>
      </c>
      <c r="M1430">
        <v>-0.97043029999999997</v>
      </c>
      <c r="N1430">
        <v>0</v>
      </c>
      <c r="O1430">
        <v>-0.24129999999999999</v>
      </c>
      <c r="P1430">
        <v>-0.97686980000000001</v>
      </c>
      <c r="Q1430">
        <v>7.7380169999999998E-3</v>
      </c>
      <c r="R1430">
        <v>-0.21369550000000001</v>
      </c>
      <c r="S1430">
        <v>-2.9869539999999999</v>
      </c>
      <c r="T1430">
        <v>-0.11894059999999999</v>
      </c>
      <c r="U1430">
        <v>-0.38314819999999999</v>
      </c>
      <c r="V1430">
        <v>2.8430359999999998E-2</v>
      </c>
      <c r="W1430">
        <v>1.38434E-2</v>
      </c>
      <c r="X1430">
        <v>0.9994999</v>
      </c>
      <c r="Y1430">
        <v>0.1155987</v>
      </c>
      <c r="Z1430">
        <v>1.174879E-2</v>
      </c>
      <c r="AA1430">
        <v>0.99322650000000001</v>
      </c>
      <c r="AB1430">
        <v>23</v>
      </c>
      <c r="AC1430">
        <v>-27.5686</v>
      </c>
      <c r="AD1430">
        <v>-1.1067155780892</v>
      </c>
      <c r="AE1430">
        <v>-3.5138999999999698</v>
      </c>
      <c r="AF1430">
        <v>3.2372383743154698</v>
      </c>
      <c r="AG1430">
        <v>-1.1067155780892</v>
      </c>
      <c r="AH1430">
        <v>27.558150568084098</v>
      </c>
      <c r="AI1430">
        <v>92.284033718773301</v>
      </c>
      <c r="AJ1430">
        <v>83.300205664850196</v>
      </c>
      <c r="AK1430">
        <v>27.769699213281399</v>
      </c>
      <c r="AL1430">
        <v>89.206806260102695</v>
      </c>
      <c r="AM1430">
        <v>88.370684650199905</v>
      </c>
      <c r="AN1430">
        <v>0.99999998759664899</v>
      </c>
    </row>
    <row r="1431" spans="1:40" x14ac:dyDescent="0.3">
      <c r="A1431" t="str">
        <f>"20200111160432028"</f>
        <v>20200111160432028</v>
      </c>
      <c r="B1431" t="str">
        <f>"1578729872022207"</f>
        <v>1578729872022207</v>
      </c>
      <c r="C1431" t="s">
        <v>40</v>
      </c>
      <c r="D1431">
        <v>6.5380140000000004</v>
      </c>
      <c r="E1431">
        <v>0.53482980000000002</v>
      </c>
      <c r="F1431" t="s">
        <v>57</v>
      </c>
      <c r="G1431">
        <v>-226.3357</v>
      </c>
      <c r="H1431" s="1">
        <v>1.834753E-6</v>
      </c>
      <c r="I1431">
        <v>283.53440000000001</v>
      </c>
      <c r="J1431">
        <v>-206.185</v>
      </c>
      <c r="K1431">
        <v>1.1068370000000001</v>
      </c>
      <c r="L1431">
        <v>286.16390000000001</v>
      </c>
      <c r="M1431">
        <v>-0.97145119999999896</v>
      </c>
      <c r="N1431">
        <v>0</v>
      </c>
      <c r="O1431">
        <v>-0.2371771</v>
      </c>
      <c r="P1431">
        <v>-0.97585889999999997</v>
      </c>
      <c r="Q1431">
        <v>1.550645E-3</v>
      </c>
      <c r="R1431">
        <v>-0.2183968</v>
      </c>
      <c r="S1431">
        <v>-2.9863740000000001</v>
      </c>
      <c r="T1431">
        <v>-0.16216520000000001</v>
      </c>
      <c r="U1431">
        <v>-0.39294430000000002</v>
      </c>
      <c r="V1431">
        <v>1.9330050000000001E-2</v>
      </c>
      <c r="W1431">
        <v>6.8943590000000001E-3</v>
      </c>
      <c r="X1431">
        <v>0.99978940000000005</v>
      </c>
      <c r="Y1431">
        <v>0.1079306</v>
      </c>
      <c r="Z1431">
        <v>1.5588289999999999E-2</v>
      </c>
      <c r="AA1431">
        <v>0.99403620000000004</v>
      </c>
      <c r="AB1431">
        <v>23</v>
      </c>
      <c r="AC1431">
        <v>-20.150700000000001</v>
      </c>
      <c r="AD1431">
        <v>-1.1068351652470001</v>
      </c>
      <c r="AE1431">
        <v>-2.6295000000000002</v>
      </c>
      <c r="AF1431">
        <v>2.2183058448317499</v>
      </c>
      <c r="AG1431">
        <v>-1.1068351652470001</v>
      </c>
      <c r="AH1431">
        <v>20.1396323608828</v>
      </c>
      <c r="AI1431">
        <v>93.126827862808597</v>
      </c>
      <c r="AJ1431">
        <v>83.714419885895694</v>
      </c>
      <c r="AK1431">
        <v>20.291642529272</v>
      </c>
      <c r="AL1431">
        <v>89.604979202848995</v>
      </c>
      <c r="AM1431">
        <v>88.892374421657195</v>
      </c>
      <c r="AN1431">
        <v>1.0000000136856899</v>
      </c>
    </row>
    <row r="1432" spans="1:40" x14ac:dyDescent="0.3">
      <c r="A1432" t="str">
        <f>"20200111160432050"</f>
        <v>20200111160432050</v>
      </c>
      <c r="B1432" t="str">
        <f>"1578729872042236"</f>
        <v>1578729872042236</v>
      </c>
      <c r="C1432" t="s">
        <v>40</v>
      </c>
      <c r="D1432">
        <v>5.869472</v>
      </c>
      <c r="E1432">
        <v>0.53610040000000003</v>
      </c>
      <c r="F1432" t="s">
        <v>42</v>
      </c>
      <c r="G1432">
        <v>-207.0866</v>
      </c>
      <c r="H1432">
        <v>1.0520940000000001</v>
      </c>
      <c r="I1432">
        <v>286.04340000000002</v>
      </c>
      <c r="J1432">
        <v>-206.4144</v>
      </c>
      <c r="K1432">
        <v>1.106978</v>
      </c>
      <c r="L1432">
        <v>286.11239999999998</v>
      </c>
      <c r="M1432">
        <v>-0.97234259999999995</v>
      </c>
      <c r="N1432">
        <v>0</v>
      </c>
      <c r="O1432">
        <v>-0.23351169999999999</v>
      </c>
      <c r="P1432">
        <v>-0.97530930000000005</v>
      </c>
      <c r="Q1432">
        <v>-3.053114E-3</v>
      </c>
      <c r="R1432">
        <v>-0.22082289999999999</v>
      </c>
      <c r="S1432">
        <v>-2.9852289999999999</v>
      </c>
      <c r="T1432">
        <v>-0.1812858</v>
      </c>
      <c r="U1432">
        <v>-0.39889530000000001</v>
      </c>
      <c r="V1432">
        <v>1.303941E-2</v>
      </c>
      <c r="W1432">
        <v>1.5948449999999999E-3</v>
      </c>
      <c r="X1432">
        <v>0.99991370000000002</v>
      </c>
      <c r="Y1432">
        <v>0.10207620000000001</v>
      </c>
      <c r="Z1432">
        <v>1.7034879999999999E-2</v>
      </c>
      <c r="AA1432">
        <v>0.99463069999999998</v>
      </c>
      <c r="AB1432">
        <v>23</v>
      </c>
      <c r="AC1432">
        <v>-0.67220000000000302</v>
      </c>
      <c r="AD1432">
        <v>-5.4883999999999898E-2</v>
      </c>
      <c r="AE1432">
        <v>-6.8999999999959899E-2</v>
      </c>
      <c r="AF1432">
        <v>8.92869007098583E-2</v>
      </c>
      <c r="AG1432">
        <v>-5.4883999999999898E-2</v>
      </c>
      <c r="AH1432">
        <v>0.66533921974022303</v>
      </c>
      <c r="AI1432">
        <v>94.673955818129897</v>
      </c>
      <c r="AJ1432">
        <v>82.356710456114499</v>
      </c>
      <c r="AK1432">
        <v>0.673543377533252</v>
      </c>
      <c r="AL1432">
        <v>89.908622072743199</v>
      </c>
      <c r="AM1432">
        <v>89.252874708109005</v>
      </c>
      <c r="AN1432">
        <v>0.99999998859570605</v>
      </c>
    </row>
    <row r="1433" spans="1:40" x14ac:dyDescent="0.3">
      <c r="A1433" t="str">
        <f>"20200111160432071"</f>
        <v>20200111160432071</v>
      </c>
      <c r="B1433" t="str">
        <f>"1578729872061756"</f>
        <v>1578729872061756</v>
      </c>
      <c r="C1433" t="s">
        <v>40</v>
      </c>
      <c r="D1433">
        <v>5.8910030000000004</v>
      </c>
      <c r="E1433">
        <v>0.53697280000000003</v>
      </c>
      <c r="F1433" t="s">
        <v>42</v>
      </c>
      <c r="G1433">
        <v>-207.29130000000001</v>
      </c>
      <c r="H1433">
        <v>1.0497110000000001</v>
      </c>
      <c r="I1433">
        <v>285.99610000000001</v>
      </c>
      <c r="J1433">
        <v>-206.64259999999999</v>
      </c>
      <c r="K1433">
        <v>1.107127</v>
      </c>
      <c r="L1433">
        <v>286.0616</v>
      </c>
      <c r="M1433">
        <v>-0.97312710000000002</v>
      </c>
      <c r="N1433">
        <v>0</v>
      </c>
      <c r="O1433">
        <v>-0.23023250000000001</v>
      </c>
      <c r="P1433">
        <v>-0.97508839999999997</v>
      </c>
      <c r="Q1433">
        <v>-4.0877650000000001E-3</v>
      </c>
      <c r="R1433">
        <v>-0.22177910000000001</v>
      </c>
      <c r="S1433">
        <v>-2.985474</v>
      </c>
      <c r="T1433">
        <v>-0.1951116</v>
      </c>
      <c r="U1433">
        <v>-0.39688109999999999</v>
      </c>
      <c r="V1433">
        <v>8.6776449999999995E-3</v>
      </c>
      <c r="W1433" s="1">
        <v>-6.2160459999999898E-5</v>
      </c>
      <c r="X1433">
        <v>0.99996229999999997</v>
      </c>
      <c r="Y1433">
        <v>9.9309709999999995E-2</v>
      </c>
      <c r="Z1433">
        <v>1.8034049999999999E-2</v>
      </c>
      <c r="AA1433">
        <v>0.99489309999999997</v>
      </c>
      <c r="AB1433">
        <v>24</v>
      </c>
      <c r="AC1433">
        <v>-0.64870000000001904</v>
      </c>
      <c r="AD1433">
        <v>-5.7415999999999898E-2</v>
      </c>
      <c r="AE1433">
        <v>-6.5499999999985903E-2</v>
      </c>
      <c r="AF1433">
        <v>8.4953906281074201E-2</v>
      </c>
      <c r="AG1433">
        <v>-5.7415999999999898E-2</v>
      </c>
      <c r="AH1433">
        <v>0.64137936360008796</v>
      </c>
      <c r="AI1433">
        <v>95.071397819032796</v>
      </c>
      <c r="AJ1433">
        <v>82.454807831724395</v>
      </c>
      <c r="AK1433">
        <v>0.64952386507384596</v>
      </c>
      <c r="AL1433">
        <v>90.003561532178793</v>
      </c>
      <c r="AM1433">
        <v>89.502801301155799</v>
      </c>
      <c r="AN1433">
        <v>0.99999995340397796</v>
      </c>
    </row>
    <row r="1434" spans="1:40" x14ac:dyDescent="0.3">
      <c r="A1434" t="str">
        <f>"20200111160432093"</f>
        <v>20200111160432093</v>
      </c>
      <c r="B1434" t="str">
        <f>"1578729872092012"</f>
        <v>1578729872092012</v>
      </c>
      <c r="C1434" t="s">
        <v>40</v>
      </c>
      <c r="D1434">
        <v>5.9177629999999999</v>
      </c>
      <c r="E1434">
        <v>0.53865209999999997</v>
      </c>
      <c r="F1434" t="s">
        <v>42</v>
      </c>
      <c r="G1434">
        <v>-207.50489999999999</v>
      </c>
      <c r="H1434">
        <v>1.054935</v>
      </c>
      <c r="I1434">
        <v>285.94850000000002</v>
      </c>
      <c r="J1434">
        <v>-206.87950000000001</v>
      </c>
      <c r="K1434">
        <v>1.1072900000000001</v>
      </c>
      <c r="L1434">
        <v>286.0093</v>
      </c>
      <c r="M1434">
        <v>-0.97385010000000005</v>
      </c>
      <c r="N1434">
        <v>0</v>
      </c>
      <c r="O1434">
        <v>-0.22716510000000001</v>
      </c>
      <c r="P1434">
        <v>-0.97525269999999997</v>
      </c>
      <c r="Q1434">
        <v>-3.9618279999999997E-3</v>
      </c>
      <c r="R1434">
        <v>-0.22105849999999999</v>
      </c>
      <c r="S1434">
        <v>-2.9867859999999999</v>
      </c>
      <c r="T1434">
        <v>-0.18082860000000001</v>
      </c>
      <c r="U1434">
        <v>-0.3917542</v>
      </c>
      <c r="V1434">
        <v>6.2634209999999999E-3</v>
      </c>
      <c r="W1434">
        <v>-5.1181939999999997E-4</v>
      </c>
      <c r="X1434">
        <v>0.99998030000000004</v>
      </c>
      <c r="Y1434">
        <v>9.8013030000000001E-2</v>
      </c>
      <c r="Z1434">
        <v>1.6492960000000001E-2</v>
      </c>
      <c r="AA1434">
        <v>0.9950485</v>
      </c>
      <c r="AB1434">
        <v>24</v>
      </c>
      <c r="AC1434">
        <v>-0.62539999999998397</v>
      </c>
      <c r="AD1434">
        <v>-5.2354999999999902E-2</v>
      </c>
      <c r="AE1434">
        <v>-6.0799999999971897E-2</v>
      </c>
      <c r="AF1434">
        <v>8.2288179833471906E-2</v>
      </c>
      <c r="AG1434">
        <v>-5.2354999999999902E-2</v>
      </c>
      <c r="AH1434">
        <v>0.61856683434402904</v>
      </c>
      <c r="AI1434">
        <v>94.795887252413607</v>
      </c>
      <c r="AJ1434">
        <v>82.422412168343797</v>
      </c>
      <c r="AK1434">
        <v>0.62620868655401096</v>
      </c>
      <c r="AL1434">
        <v>90.029325091412701</v>
      </c>
      <c r="AM1434">
        <v>89.641130034567297</v>
      </c>
      <c r="AN1434">
        <v>1.0000000463948999</v>
      </c>
    </row>
    <row r="1435" spans="1:40" x14ac:dyDescent="0.3">
      <c r="A1435" t="str">
        <f>"20200111160432117"</f>
        <v>20200111160432117</v>
      </c>
      <c r="B1435" t="str">
        <f>"1578729872112509"</f>
        <v>1578729872112509</v>
      </c>
      <c r="C1435" t="s">
        <v>40</v>
      </c>
      <c r="D1435">
        <v>5.8965480000000001</v>
      </c>
      <c r="E1435">
        <v>0.53978380000000004</v>
      </c>
      <c r="F1435" t="s">
        <v>57</v>
      </c>
      <c r="G1435">
        <v>-227.7045</v>
      </c>
      <c r="H1435" s="1">
        <v>2.5631640000000001E-6</v>
      </c>
      <c r="I1435">
        <v>283.40269999999998</v>
      </c>
      <c r="J1435">
        <v>-207.12100000000001</v>
      </c>
      <c r="K1435">
        <v>1.107426</v>
      </c>
      <c r="L1435">
        <v>285.95650000000001</v>
      </c>
      <c r="M1435">
        <v>-0.97450599999999998</v>
      </c>
      <c r="N1435">
        <v>0</v>
      </c>
      <c r="O1435">
        <v>-0.22434219999999999</v>
      </c>
      <c r="P1435">
        <v>-0.97567959999999998</v>
      </c>
      <c r="Q1435">
        <v>-4.8878230000000003E-3</v>
      </c>
      <c r="R1435">
        <v>-0.2191478</v>
      </c>
      <c r="S1435">
        <v>-2.990631</v>
      </c>
      <c r="T1435">
        <v>-0.15901460000000001</v>
      </c>
      <c r="U1435">
        <v>-0.37432860000000001</v>
      </c>
      <c r="V1435">
        <v>5.317558E-3</v>
      </c>
      <c r="W1435">
        <v>-1.9550850000000001E-3</v>
      </c>
      <c r="X1435">
        <v>0.99998399999999998</v>
      </c>
      <c r="Y1435">
        <v>0.1011285</v>
      </c>
      <c r="Z1435">
        <v>1.4432240000000001E-2</v>
      </c>
      <c r="AA1435">
        <v>0.99476869999999995</v>
      </c>
      <c r="AB1435">
        <v>24</v>
      </c>
      <c r="AC1435">
        <v>-20.583500000000001</v>
      </c>
      <c r="AD1435">
        <v>-1.1074234368359901</v>
      </c>
      <c r="AE1435">
        <v>-2.5538000000000198</v>
      </c>
      <c r="AF1435">
        <v>2.12301132956802</v>
      </c>
      <c r="AG1435">
        <v>-1.1074234368359901</v>
      </c>
      <c r="AH1435">
        <v>20.573110235943201</v>
      </c>
      <c r="AI1435">
        <v>93.064938118278107</v>
      </c>
      <c r="AJ1435">
        <v>84.108302065415103</v>
      </c>
      <c r="AK1435">
        <v>20.711987556827999</v>
      </c>
      <c r="AL1435">
        <v>90.112018184904699</v>
      </c>
      <c r="AM1435">
        <v>89.6953243662105</v>
      </c>
      <c r="AN1435">
        <v>1.00000004951821</v>
      </c>
    </row>
    <row r="1436" spans="1:40" x14ac:dyDescent="0.3">
      <c r="A1436" t="str">
        <f>"20200111160432139"</f>
        <v>20200111160432139</v>
      </c>
      <c r="B1436" t="str">
        <f>"1578729872132028"</f>
        <v>1578729872132028</v>
      </c>
      <c r="C1436" t="s">
        <v>40</v>
      </c>
      <c r="D1436">
        <v>5.9480069999999996</v>
      </c>
      <c r="E1436">
        <v>0.54096909999999998</v>
      </c>
      <c r="F1436" t="s">
        <v>57</v>
      </c>
      <c r="G1436">
        <v>-226.5882</v>
      </c>
      <c r="H1436" s="1">
        <v>1.9691100000000002E-6</v>
      </c>
      <c r="I1436">
        <v>283.61669999999998</v>
      </c>
      <c r="J1436">
        <v>-207.36410000000001</v>
      </c>
      <c r="K1436">
        <v>1.107548</v>
      </c>
      <c r="L1436">
        <v>285.90359999999998</v>
      </c>
      <c r="M1436">
        <v>-0.97509429999999997</v>
      </c>
      <c r="N1436">
        <v>0</v>
      </c>
      <c r="O1436">
        <v>-0.22177669999999999</v>
      </c>
      <c r="P1436">
        <v>-0.97575230000000002</v>
      </c>
      <c r="Q1436">
        <v>-7.6524169999999999E-3</v>
      </c>
      <c r="R1436">
        <v>-0.2187441</v>
      </c>
      <c r="S1436">
        <v>-2.9931489999999998</v>
      </c>
      <c r="T1436">
        <v>-0.17027010000000001</v>
      </c>
      <c r="U1436">
        <v>-0.35974119999999998</v>
      </c>
      <c r="V1436">
        <v>3.0845600000000001E-3</v>
      </c>
      <c r="W1436">
        <v>-5.1665799999999996E-3</v>
      </c>
      <c r="X1436">
        <v>0.99998189999999998</v>
      </c>
      <c r="Y1436">
        <v>0.10332470000000001</v>
      </c>
      <c r="Z1436">
        <v>1.536628E-2</v>
      </c>
      <c r="AA1436">
        <v>0.994529</v>
      </c>
      <c r="AB1436">
        <v>24</v>
      </c>
      <c r="AC1436">
        <v>-19.2241</v>
      </c>
      <c r="AD1436">
        <v>-1.10754603089</v>
      </c>
      <c r="AE1436">
        <v>-2.2869000000000002</v>
      </c>
      <c r="AF1436">
        <v>2.0268868727795102</v>
      </c>
      <c r="AG1436">
        <v>-1.10754603089</v>
      </c>
      <c r="AH1436">
        <v>19.189745629811402</v>
      </c>
      <c r="AI1436">
        <v>93.284958050019796</v>
      </c>
      <c r="AJ1436">
        <v>83.970578602464002</v>
      </c>
      <c r="AK1436">
        <v>19.328250462534101</v>
      </c>
      <c r="AL1436">
        <v>90.296024544276193</v>
      </c>
      <c r="AM1436">
        <v>89.823265091967301</v>
      </c>
      <c r="AN1436">
        <v>1.00000000419345</v>
      </c>
    </row>
    <row r="1437" spans="1:40" x14ac:dyDescent="0.3">
      <c r="A1437" t="str">
        <f>"20200111160432162"</f>
        <v>20200111160432162</v>
      </c>
      <c r="B1437" t="str">
        <f>"1578729872152525"</f>
        <v>1578729872152525</v>
      </c>
      <c r="C1437" t="s">
        <v>40</v>
      </c>
      <c r="D1437">
        <v>5.8908519999999998</v>
      </c>
      <c r="E1437">
        <v>0.54200579999999998</v>
      </c>
      <c r="F1437" t="s">
        <v>42</v>
      </c>
      <c r="G1437">
        <v>-208.1559</v>
      </c>
      <c r="H1437">
        <v>1.0589309999999901</v>
      </c>
      <c r="I1437">
        <v>285.81150000000002</v>
      </c>
      <c r="J1437">
        <v>-207.6044</v>
      </c>
      <c r="K1437">
        <v>1.107648</v>
      </c>
      <c r="L1437">
        <v>285.85160000000002</v>
      </c>
      <c r="M1437">
        <v>-0.97561310000000001</v>
      </c>
      <c r="N1437">
        <v>0</v>
      </c>
      <c r="O1437">
        <v>-0.21948770000000001</v>
      </c>
      <c r="P1437">
        <v>-0.9758483</v>
      </c>
      <c r="Q1437">
        <v>-9.8114570000000009E-3</v>
      </c>
      <c r="R1437">
        <v>-0.2182288</v>
      </c>
      <c r="S1437">
        <v>-2.9949189999999999</v>
      </c>
      <c r="T1437">
        <v>-0.18396219999999999</v>
      </c>
      <c r="U1437">
        <v>-0.34875489999999998</v>
      </c>
      <c r="V1437">
        <v>1.25449E-3</v>
      </c>
      <c r="W1437">
        <v>-7.708571E-3</v>
      </c>
      <c r="X1437">
        <v>0.99996949999999996</v>
      </c>
      <c r="Y1437">
        <v>0.1045745</v>
      </c>
      <c r="Z1437">
        <v>1.649668E-2</v>
      </c>
      <c r="AA1437">
        <v>0.99438020000000005</v>
      </c>
      <c r="AB1437">
        <v>24</v>
      </c>
      <c r="AC1437">
        <v>-0.55150000000000399</v>
      </c>
      <c r="AD1437">
        <v>-4.8717000000000101E-2</v>
      </c>
      <c r="AE1437">
        <v>-4.0099999999995299E-2</v>
      </c>
      <c r="AF1437">
        <v>8.1294536969147194E-2</v>
      </c>
      <c r="AG1437">
        <v>-4.8717000000000101E-2</v>
      </c>
      <c r="AH1437">
        <v>0.54264119466733596</v>
      </c>
      <c r="AI1437">
        <v>95.073800225340193</v>
      </c>
      <c r="AJ1437">
        <v>81.479730603972101</v>
      </c>
      <c r="AK1437">
        <v>0.55085534760045896</v>
      </c>
      <c r="AL1437">
        <v>90.441672959356694</v>
      </c>
      <c r="AM1437">
        <v>89.928120862952497</v>
      </c>
      <c r="AN1437">
        <v>0.99999999837113596</v>
      </c>
    </row>
    <row r="1438" spans="1:40" x14ac:dyDescent="0.3">
      <c r="A1438" t="str">
        <f>"20200111160432183"</f>
        <v>20200111160432183</v>
      </c>
      <c r="B1438" t="str">
        <f>"1578729872172044"</f>
        <v>1578729872172044</v>
      </c>
      <c r="C1438" t="s">
        <v>40</v>
      </c>
      <c r="D1438">
        <v>6.1226260000000003</v>
      </c>
      <c r="E1438">
        <v>0.54225669999999904</v>
      </c>
      <c r="F1438" t="s">
        <v>42</v>
      </c>
      <c r="G1438">
        <v>-208.36449999999999</v>
      </c>
      <c r="H1438">
        <v>1.058692</v>
      </c>
      <c r="I1438">
        <v>285.76589999999999</v>
      </c>
      <c r="J1438">
        <v>-207.84119999999999</v>
      </c>
      <c r="K1438">
        <v>1.107734</v>
      </c>
      <c r="L1438">
        <v>285.80070000000001</v>
      </c>
      <c r="M1438">
        <v>-0.97607149999999998</v>
      </c>
      <c r="N1438">
        <v>0</v>
      </c>
      <c r="O1438">
        <v>-0.21744169999999999</v>
      </c>
      <c r="P1438">
        <v>-0.97594550000000002</v>
      </c>
      <c r="Q1438">
        <v>-1.0398630000000001E-2</v>
      </c>
      <c r="R1438">
        <v>-0.21776670000000001</v>
      </c>
      <c r="S1438">
        <v>-2.9967039999999998</v>
      </c>
      <c r="T1438">
        <v>-0.1930548</v>
      </c>
      <c r="U1438">
        <v>-0.33804319999999999</v>
      </c>
      <c r="V1438">
        <v>-3.7031390000000003E-4</v>
      </c>
      <c r="W1438">
        <v>-8.6219090000000005E-3</v>
      </c>
      <c r="X1438">
        <v>0.99996269999999998</v>
      </c>
      <c r="Y1438">
        <v>0.106007</v>
      </c>
      <c r="Z1438">
        <v>1.7222999999999999E-2</v>
      </c>
      <c r="AA1438">
        <v>0.99421619999999999</v>
      </c>
      <c r="AB1438">
        <v>25</v>
      </c>
      <c r="AC1438">
        <v>-0.52330000000000598</v>
      </c>
      <c r="AD1438">
        <v>-4.9042000000000002E-2</v>
      </c>
      <c r="AE1438">
        <v>-3.4800000000018302E-2</v>
      </c>
      <c r="AF1438">
        <v>7.9128184317149602E-2</v>
      </c>
      <c r="AG1438">
        <v>-4.9042000000000002E-2</v>
      </c>
      <c r="AH1438">
        <v>0.51385288707044396</v>
      </c>
      <c r="AI1438">
        <v>95.388647464980593</v>
      </c>
      <c r="AJ1438">
        <v>81.245789065760803</v>
      </c>
      <c r="AK1438">
        <v>0.52221755702768002</v>
      </c>
      <c r="AL1438">
        <v>90.494005148346005</v>
      </c>
      <c r="AM1438">
        <v>90.021218214034405</v>
      </c>
      <c r="AN1438">
        <v>0.99999993791923703</v>
      </c>
    </row>
    <row r="1439" spans="1:40" x14ac:dyDescent="0.3">
      <c r="A1439" t="str">
        <f>"20200111160432206"</f>
        <v>20200111160432206</v>
      </c>
      <c r="B1439" t="str">
        <f>"1578729872202301"</f>
        <v>1578729872202301</v>
      </c>
      <c r="C1439" t="s">
        <v>40</v>
      </c>
      <c r="D1439">
        <v>5.9884149999999998</v>
      </c>
      <c r="E1439">
        <v>0.54332389999999997</v>
      </c>
      <c r="F1439" t="s">
        <v>42</v>
      </c>
      <c r="G1439">
        <v>-208.58330000000001</v>
      </c>
      <c r="H1439">
        <v>1.0592999999999999</v>
      </c>
      <c r="I1439">
        <v>285.71809999999999</v>
      </c>
      <c r="J1439">
        <v>-208.0849</v>
      </c>
      <c r="K1439">
        <v>1.1077980000000001</v>
      </c>
      <c r="L1439">
        <v>285.74869999999999</v>
      </c>
      <c r="M1439">
        <v>-0.97649929999999996</v>
      </c>
      <c r="N1439">
        <v>0</v>
      </c>
      <c r="O1439">
        <v>-0.21551580000000001</v>
      </c>
      <c r="P1439">
        <v>-0.97618819999999995</v>
      </c>
      <c r="Q1439">
        <v>-9.3810279999999996E-3</v>
      </c>
      <c r="R1439">
        <v>-0.21672330000000001</v>
      </c>
      <c r="S1439">
        <v>-2.9972989999999999</v>
      </c>
      <c r="T1439">
        <v>-0.1957236</v>
      </c>
      <c r="U1439">
        <v>-0.33404539999999999</v>
      </c>
      <c r="V1439">
        <v>-1.2681719999999999E-3</v>
      </c>
      <c r="W1439">
        <v>-7.8923550000000002E-3</v>
      </c>
      <c r="X1439">
        <v>0.99996810000000003</v>
      </c>
      <c r="Y1439">
        <v>0.1053641</v>
      </c>
      <c r="Z1439">
        <v>1.7315830000000001E-2</v>
      </c>
      <c r="AA1439">
        <v>0.99428300000000003</v>
      </c>
      <c r="AB1439">
        <v>25</v>
      </c>
      <c r="AC1439">
        <v>-0.49840000000000301</v>
      </c>
      <c r="AD1439">
        <v>-4.8498000000000097E-2</v>
      </c>
      <c r="AE1439">
        <v>-3.0599999999992598E-2</v>
      </c>
      <c r="AF1439">
        <v>7.6807735584979497E-2</v>
      </c>
      <c r="AG1439">
        <v>-4.8498000000000097E-2</v>
      </c>
      <c r="AH1439">
        <v>0.48867280908642802</v>
      </c>
      <c r="AI1439">
        <v>95.599423054308403</v>
      </c>
      <c r="AJ1439">
        <v>81.067545495713205</v>
      </c>
      <c r="AK1439">
        <v>0.49704385982538102</v>
      </c>
      <c r="AL1439">
        <v>90.4522033042891</v>
      </c>
      <c r="AM1439">
        <v>90.072663182297106</v>
      </c>
      <c r="AN1439">
        <v>1.00000004927263</v>
      </c>
    </row>
    <row r="1440" spans="1:40" x14ac:dyDescent="0.3">
      <c r="A1440" t="str">
        <f>"20200111160432227"</f>
        <v>20200111160432227</v>
      </c>
      <c r="B1440" t="str">
        <f>"1578729872221820"</f>
        <v>1578729872221820</v>
      </c>
      <c r="C1440" t="s">
        <v>40</v>
      </c>
      <c r="D1440">
        <v>5.8654960000000003</v>
      </c>
      <c r="E1440">
        <v>0.54364659999999998</v>
      </c>
      <c r="F1440" t="s">
        <v>42</v>
      </c>
      <c r="G1440">
        <v>-209.02199999999999</v>
      </c>
      <c r="H1440">
        <v>1.0474220000000001</v>
      </c>
      <c r="I1440">
        <v>285.64819999999997</v>
      </c>
      <c r="J1440">
        <v>-208.32730000000001</v>
      </c>
      <c r="K1440">
        <v>1.107823</v>
      </c>
      <c r="L1440">
        <v>285.69720000000001</v>
      </c>
      <c r="M1440">
        <v>-0.97689539999999997</v>
      </c>
      <c r="N1440">
        <v>0</v>
      </c>
      <c r="O1440">
        <v>-0.2137153</v>
      </c>
      <c r="P1440">
        <v>-0.97662139999999997</v>
      </c>
      <c r="Q1440">
        <v>-7.2837419999999898E-3</v>
      </c>
      <c r="R1440">
        <v>-0.2148439</v>
      </c>
      <c r="S1440">
        <v>-2.9998019999999999</v>
      </c>
      <c r="T1440">
        <v>-0.1933531</v>
      </c>
      <c r="U1440">
        <v>-0.32214359999999997</v>
      </c>
      <c r="V1440">
        <v>-1.1771139999999999E-3</v>
      </c>
      <c r="W1440">
        <v>-6.0416970000000004E-3</v>
      </c>
      <c r="X1440">
        <v>0.99998100000000001</v>
      </c>
      <c r="Y1440">
        <v>0.1075361</v>
      </c>
      <c r="Z1440">
        <v>1.7054400000000001E-2</v>
      </c>
      <c r="AA1440">
        <v>0.99405489999999996</v>
      </c>
      <c r="AB1440">
        <v>25</v>
      </c>
      <c r="AC1440">
        <v>-0.69470000000001098</v>
      </c>
      <c r="AD1440">
        <v>-6.04010000000001E-2</v>
      </c>
      <c r="AE1440">
        <v>-4.9000000000035002E-2</v>
      </c>
      <c r="AF1440">
        <v>9.9849128178310903E-2</v>
      </c>
      <c r="AG1440">
        <v>-6.04010000000001E-2</v>
      </c>
      <c r="AH1440">
        <v>0.68397674671814501</v>
      </c>
      <c r="AI1440">
        <v>94.993955417669696</v>
      </c>
      <c r="AJ1440">
        <v>81.694446151225804</v>
      </c>
      <c r="AK1440">
        <v>0.69386044652372703</v>
      </c>
      <c r="AL1440">
        <v>90.346165864557094</v>
      </c>
      <c r="AM1440">
        <v>90.067444914508002</v>
      </c>
      <c r="AN1440">
        <v>0.99999994403050196</v>
      </c>
    </row>
    <row r="1441" spans="1:40" x14ac:dyDescent="0.3">
      <c r="A1441" t="str">
        <f>"20200111160432252"</f>
        <v>20200111160432252</v>
      </c>
      <c r="B1441" t="str">
        <f>"1578729872242316"</f>
        <v>1578729872242316</v>
      </c>
      <c r="C1441" t="s">
        <v>40</v>
      </c>
      <c r="D1441">
        <v>5.8590479999999996</v>
      </c>
      <c r="E1441">
        <v>0.54426030000000003</v>
      </c>
      <c r="F1441" t="s">
        <v>42</v>
      </c>
      <c r="G1441">
        <v>-209.24770000000001</v>
      </c>
      <c r="H1441">
        <v>1.0497129999999999</v>
      </c>
      <c r="I1441">
        <v>285.60079999999999</v>
      </c>
      <c r="J1441">
        <v>-208.5941</v>
      </c>
      <c r="K1441">
        <v>1.1078209999999999</v>
      </c>
      <c r="L1441">
        <v>285.64100000000002</v>
      </c>
      <c r="M1441">
        <v>-0.97730980000000001</v>
      </c>
      <c r="N1441">
        <v>0</v>
      </c>
      <c r="O1441">
        <v>-0.2118128</v>
      </c>
      <c r="P1441">
        <v>-0.97752510000000004</v>
      </c>
      <c r="Q1441">
        <v>-4.6349540000000002E-3</v>
      </c>
      <c r="R1441">
        <v>-0.2107686</v>
      </c>
      <c r="S1441">
        <v>-3.0012210000000001</v>
      </c>
      <c r="T1441">
        <v>-0.18949759999999999</v>
      </c>
      <c r="U1441">
        <v>-0.31445309999999999</v>
      </c>
      <c r="V1441">
        <v>1.056609E-3</v>
      </c>
      <c r="W1441">
        <v>-3.62861E-3</v>
      </c>
      <c r="X1441">
        <v>0.99999280000000002</v>
      </c>
      <c r="Y1441">
        <v>0.1081974</v>
      </c>
      <c r="Z1441">
        <v>1.6614219999999999E-2</v>
      </c>
      <c r="AA1441">
        <v>0.99399059999999995</v>
      </c>
      <c r="AB1441">
        <v>25</v>
      </c>
      <c r="AC1441">
        <v>-0.65360000000001095</v>
      </c>
      <c r="AD1441">
        <v>-5.8108E-2</v>
      </c>
      <c r="AE1441">
        <v>-4.0199999999970197E-2</v>
      </c>
      <c r="AF1441">
        <v>9.8378382595334504E-2</v>
      </c>
      <c r="AG1441">
        <v>-5.8108E-2</v>
      </c>
      <c r="AH1441">
        <v>0.64222780084039299</v>
      </c>
      <c r="AI1441">
        <v>95.110683831997306</v>
      </c>
      <c r="AJ1441">
        <v>81.290958709942998</v>
      </c>
      <c r="AK1441">
        <v>0.65231234389543902</v>
      </c>
      <c r="AL1441">
        <v>90.207904506873305</v>
      </c>
      <c r="AM1441">
        <v>89.939460350348398</v>
      </c>
      <c r="AN1441">
        <v>0.99999994164247297</v>
      </c>
    </row>
    <row r="1442" spans="1:40" x14ac:dyDescent="0.3">
      <c r="A1442" t="str">
        <f>"20200111160432272"</f>
        <v>20200111160432272</v>
      </c>
      <c r="B1442" t="str">
        <f>"1578729872261839"</f>
        <v>1578729872261839</v>
      </c>
      <c r="C1442" t="s">
        <v>40</v>
      </c>
      <c r="D1442">
        <v>5.8942399999999999</v>
      </c>
      <c r="E1442">
        <v>0.54473729999999998</v>
      </c>
      <c r="F1442" t="s">
        <v>42</v>
      </c>
      <c r="G1442">
        <v>-209.477</v>
      </c>
      <c r="H1442">
        <v>1.053375</v>
      </c>
      <c r="I1442">
        <v>285.55369999999999</v>
      </c>
      <c r="J1442">
        <v>-208.83940000000001</v>
      </c>
      <c r="K1442">
        <v>1.1077680000000001</v>
      </c>
      <c r="L1442">
        <v>285.58969999999999</v>
      </c>
      <c r="M1442">
        <v>-0.9776821</v>
      </c>
      <c r="N1442">
        <v>0</v>
      </c>
      <c r="O1442">
        <v>-0.210089</v>
      </c>
      <c r="P1442">
        <v>-0.97889590000000004</v>
      </c>
      <c r="Q1442">
        <v>-3.3147519999999998E-3</v>
      </c>
      <c r="R1442">
        <v>-0.2043333</v>
      </c>
      <c r="S1442">
        <v>-3.003952</v>
      </c>
      <c r="T1442">
        <v>-0.185306</v>
      </c>
      <c r="U1442">
        <v>-0.29748540000000001</v>
      </c>
      <c r="V1442">
        <v>5.8755269999999898E-3</v>
      </c>
      <c r="W1442">
        <v>-2.5002790000000002E-3</v>
      </c>
      <c r="X1442">
        <v>0.99997959999999997</v>
      </c>
      <c r="Y1442">
        <v>0.1121176</v>
      </c>
      <c r="Z1442">
        <v>1.625623E-2</v>
      </c>
      <c r="AA1442">
        <v>0.99356199999999995</v>
      </c>
      <c r="AB1442">
        <v>26</v>
      </c>
      <c r="AC1442">
        <v>-0.63759999999999195</v>
      </c>
      <c r="AD1442">
        <v>-5.4393000000000101E-2</v>
      </c>
      <c r="AE1442">
        <v>-3.6000000000001302E-2</v>
      </c>
      <c r="AF1442">
        <v>9.80449403617559E-2</v>
      </c>
      <c r="AG1442">
        <v>-5.4393000000000101E-2</v>
      </c>
      <c r="AH1442">
        <v>0.62638927589458504</v>
      </c>
      <c r="AI1442">
        <v>94.903467449603696</v>
      </c>
      <c r="AJ1442">
        <v>81.104017898507706</v>
      </c>
      <c r="AK1442">
        <v>0.63634498012892604</v>
      </c>
      <c r="AL1442">
        <v>90.143255585452195</v>
      </c>
      <c r="AM1442">
        <v>89.663354106827995</v>
      </c>
      <c r="AN1442">
        <v>0.99999998681438196</v>
      </c>
    </row>
    <row r="1443" spans="1:40" x14ac:dyDescent="0.3">
      <c r="A1443" t="str">
        <f>"20200111160432318"</f>
        <v>20200111160432318</v>
      </c>
      <c r="B1443" t="str">
        <f>"1578729872312590"</f>
        <v>1578729872312590</v>
      </c>
      <c r="C1443" t="s">
        <v>40</v>
      </c>
      <c r="D1443">
        <v>5.8798760000000003</v>
      </c>
      <c r="E1443">
        <v>0.5453441</v>
      </c>
      <c r="F1443" t="s">
        <v>42</v>
      </c>
      <c r="G1443">
        <v>-209.70689999999999</v>
      </c>
      <c r="H1443">
        <v>1.054176</v>
      </c>
      <c r="I1443">
        <v>285.51049999999998</v>
      </c>
      <c r="J1443">
        <v>-209.3587</v>
      </c>
      <c r="K1443">
        <v>1.107567</v>
      </c>
      <c r="L1443">
        <v>285.48250000000002</v>
      </c>
      <c r="M1443">
        <v>-0.97848080000000004</v>
      </c>
      <c r="N1443">
        <v>0</v>
      </c>
      <c r="O1443">
        <v>-0.2063382</v>
      </c>
      <c r="P1443">
        <v>-0.98222120000000002</v>
      </c>
      <c r="Q1443">
        <v>-1.1234610000000001E-2</v>
      </c>
      <c r="R1443">
        <v>-0.1873918</v>
      </c>
      <c r="S1443">
        <v>-3.0067140000000001</v>
      </c>
      <c r="T1443">
        <v>-0.18573990000000001</v>
      </c>
      <c r="U1443">
        <v>-0.27478029999999998</v>
      </c>
      <c r="V1443">
        <v>1.927825E-2</v>
      </c>
      <c r="W1443">
        <v>-1.0753479999999999E-2</v>
      </c>
      <c r="X1443">
        <v>0.99975630000000004</v>
      </c>
      <c r="Y1443">
        <v>0.1158288</v>
      </c>
      <c r="Z1443">
        <v>1.6175970000000001E-2</v>
      </c>
      <c r="AA1443">
        <v>0.99313750000000001</v>
      </c>
      <c r="AB1443">
        <v>26</v>
      </c>
      <c r="AC1443">
        <v>-0.34819999999999102</v>
      </c>
      <c r="AD1443">
        <v>-5.3390999999999897E-2</v>
      </c>
      <c r="AE1443">
        <v>2.79999999999631E-2</v>
      </c>
      <c r="AF1443">
        <v>9.6978955041925399E-2</v>
      </c>
      <c r="AG1443">
        <v>-5.3390999999999897E-2</v>
      </c>
      <c r="AH1443">
        <v>0.327284053769337</v>
      </c>
      <c r="AI1443">
        <v>98.889682921391895</v>
      </c>
      <c r="AJ1443">
        <v>73.4946887692046</v>
      </c>
      <c r="AK1443">
        <v>0.34550017142356698</v>
      </c>
      <c r="AL1443">
        <v>90.616140910412</v>
      </c>
      <c r="AM1443">
        <v>88.895305297893799</v>
      </c>
      <c r="AN1443">
        <v>0.999999973822431</v>
      </c>
    </row>
    <row r="1444" spans="1:40" x14ac:dyDescent="0.3">
      <c r="A1444" t="str">
        <f>"20200111160432339"</f>
        <v>20200111160432339</v>
      </c>
      <c r="B1444" t="str">
        <f>"1578729872332109"</f>
        <v>1578729872332109</v>
      </c>
      <c r="C1444" t="s">
        <v>40</v>
      </c>
      <c r="D1444">
        <v>5.8906320000000001</v>
      </c>
      <c r="E1444">
        <v>0.54557939999999905</v>
      </c>
      <c r="F1444" t="s">
        <v>42</v>
      </c>
      <c r="G1444">
        <v>-210.16650000000001</v>
      </c>
      <c r="H1444">
        <v>1.049237</v>
      </c>
      <c r="I1444">
        <v>285.42399999999998</v>
      </c>
      <c r="J1444">
        <v>-209.6183</v>
      </c>
      <c r="K1444">
        <v>1.10744</v>
      </c>
      <c r="L1444">
        <v>285.4298</v>
      </c>
      <c r="M1444">
        <v>-0.97889519999999997</v>
      </c>
      <c r="N1444">
        <v>0</v>
      </c>
      <c r="O1444">
        <v>-0.2043624</v>
      </c>
      <c r="P1444">
        <v>-0.9834813</v>
      </c>
      <c r="Q1444">
        <v>-1.622703E-2</v>
      </c>
      <c r="R1444">
        <v>-0.1802811</v>
      </c>
      <c r="S1444">
        <v>-3.0101170000000002</v>
      </c>
      <c r="T1444">
        <v>-0.21743199999999999</v>
      </c>
      <c r="U1444">
        <v>-0.21847530000000001</v>
      </c>
      <c r="V1444">
        <v>2.4459270000000002E-2</v>
      </c>
      <c r="W1444">
        <v>-1.587585E-2</v>
      </c>
      <c r="X1444">
        <v>0.99957479999999999</v>
      </c>
      <c r="Y1444">
        <v>0.13210089999999999</v>
      </c>
      <c r="Z1444">
        <v>1.9376270000000001E-2</v>
      </c>
      <c r="AA1444">
        <v>0.99104689999999995</v>
      </c>
      <c r="AB1444">
        <v>26</v>
      </c>
      <c r="AC1444">
        <v>-0.54820000000000801</v>
      </c>
      <c r="AD1444">
        <v>-5.8202999999999998E-2</v>
      </c>
      <c r="AE1444">
        <v>-5.7999999999651603E-3</v>
      </c>
      <c r="AF1444">
        <v>0.105168527106688</v>
      </c>
      <c r="AG1444">
        <v>-5.8202999999999998E-2</v>
      </c>
      <c r="AH1444">
        <v>0.53182152082145295</v>
      </c>
      <c r="AI1444">
        <v>96.127902896868093</v>
      </c>
      <c r="AJ1444">
        <v>78.813993046710095</v>
      </c>
      <c r="AK1444">
        <v>0.54523585567315103</v>
      </c>
      <c r="AL1444">
        <v>90.909657379914293</v>
      </c>
      <c r="AM1444">
        <v>88.598270648924498</v>
      </c>
      <c r="AN1444">
        <v>1.00000003964859</v>
      </c>
    </row>
    <row r="1445" spans="1:40" x14ac:dyDescent="0.3">
      <c r="A1445" t="str">
        <f>"20200111160432361"</f>
        <v>20200111160432361</v>
      </c>
      <c r="B1445" t="str">
        <f>"1578729872352605"</f>
        <v>1578729872352605</v>
      </c>
      <c r="C1445" t="s">
        <v>40</v>
      </c>
      <c r="D1445">
        <v>5.8501500000000002</v>
      </c>
      <c r="E1445">
        <v>0.54564489999999999</v>
      </c>
      <c r="F1445" t="s">
        <v>42</v>
      </c>
      <c r="G1445">
        <v>-210.39850000000001</v>
      </c>
      <c r="H1445">
        <v>1.046254</v>
      </c>
      <c r="I1445">
        <v>285.37950000000001</v>
      </c>
      <c r="J1445">
        <v>-209.87200000000001</v>
      </c>
      <c r="K1445">
        <v>1.107321</v>
      </c>
      <c r="L1445">
        <v>285.37880000000001</v>
      </c>
      <c r="M1445">
        <v>-0.97931159999999995</v>
      </c>
      <c r="N1445">
        <v>0</v>
      </c>
      <c r="O1445">
        <v>-0.20235810000000001</v>
      </c>
      <c r="P1445">
        <v>-0.98440620000000001</v>
      </c>
      <c r="Q1445">
        <v>-1.7806829999999999E-2</v>
      </c>
      <c r="R1445">
        <v>-0.175007</v>
      </c>
      <c r="S1445">
        <v>-3.010834</v>
      </c>
      <c r="T1445">
        <v>-0.2361935</v>
      </c>
      <c r="U1445">
        <v>-0.1944275</v>
      </c>
      <c r="V1445">
        <v>2.7756039999999999E-2</v>
      </c>
      <c r="W1445">
        <v>-1.7554259999999999E-2</v>
      </c>
      <c r="X1445">
        <v>0.99946060000000003</v>
      </c>
      <c r="Y1445">
        <v>0.13779810000000001</v>
      </c>
      <c r="Z1445">
        <v>2.1116329999999999E-2</v>
      </c>
      <c r="AA1445">
        <v>0.99023519999999998</v>
      </c>
      <c r="AB1445">
        <v>26</v>
      </c>
      <c r="AC1445">
        <v>-0.52649999999999797</v>
      </c>
      <c r="AD1445">
        <v>-6.1066999999999899E-2</v>
      </c>
      <c r="AE1445">
        <v>6.9999999999481501E-4</v>
      </c>
      <c r="AF1445">
        <v>0.105803691582475</v>
      </c>
      <c r="AG1445">
        <v>-6.1066999999999899E-2</v>
      </c>
      <c r="AH1445">
        <v>0.508623447767523</v>
      </c>
      <c r="AI1445">
        <v>96.704179649454204</v>
      </c>
      <c r="AJ1445">
        <v>78.248935100609302</v>
      </c>
      <c r="AK1445">
        <v>0.52308833982454706</v>
      </c>
      <c r="AL1445">
        <v>91.005836652926604</v>
      </c>
      <c r="AM1445">
        <v>88.409246640355803</v>
      </c>
      <c r="AN1445">
        <v>1.0000000203764901</v>
      </c>
    </row>
    <row r="1446" spans="1:40" x14ac:dyDescent="0.3">
      <c r="A1446" t="str">
        <f>"20200111160432384"</f>
        <v>20200111160432384</v>
      </c>
      <c r="B1446" t="str">
        <f>"1578729872372124"</f>
        <v>1578729872372124</v>
      </c>
      <c r="C1446" t="s">
        <v>40</v>
      </c>
      <c r="D1446">
        <v>6.0768040000000001</v>
      </c>
      <c r="E1446">
        <v>0.54557939999999905</v>
      </c>
      <c r="F1446" t="s">
        <v>42</v>
      </c>
      <c r="G1446">
        <v>-210.63419999999999</v>
      </c>
      <c r="H1446">
        <v>1.0457780000000001</v>
      </c>
      <c r="I1446">
        <v>285.334</v>
      </c>
      <c r="J1446">
        <v>-210.14330000000001</v>
      </c>
      <c r="K1446">
        <v>1.107227</v>
      </c>
      <c r="L1446">
        <v>285.32499999999999</v>
      </c>
      <c r="M1446">
        <v>-0.97976730000000001</v>
      </c>
      <c r="N1446">
        <v>0</v>
      </c>
      <c r="O1446">
        <v>-0.20014080000000001</v>
      </c>
      <c r="P1446">
        <v>-0.9851818</v>
      </c>
      <c r="Q1446">
        <v>-1.559927E-2</v>
      </c>
      <c r="R1446">
        <v>-0.1708035</v>
      </c>
      <c r="S1446">
        <v>-3.0115509999999999</v>
      </c>
      <c r="T1446">
        <v>-0.2432542</v>
      </c>
      <c r="U1446">
        <v>-0.177612299999999</v>
      </c>
      <c r="V1446">
        <v>2.9771059999999998E-2</v>
      </c>
      <c r="W1446">
        <v>-1.5413420000000001E-2</v>
      </c>
      <c r="X1446">
        <v>0.99943789999999999</v>
      </c>
      <c r="Y1446">
        <v>0.14101269999999999</v>
      </c>
      <c r="Z1446">
        <v>2.1700580000000001E-2</v>
      </c>
      <c r="AA1446">
        <v>0.98976989999999998</v>
      </c>
      <c r="AB1446">
        <v>27</v>
      </c>
      <c r="AC1446">
        <v>-0.49089999999998202</v>
      </c>
      <c r="AD1446">
        <v>-6.1448999999999802E-2</v>
      </c>
      <c r="AE1446">
        <v>9.0000000000145502E-3</v>
      </c>
      <c r="AF1446">
        <v>0.105415794455391</v>
      </c>
      <c r="AG1446">
        <v>-6.1448999999999802E-2</v>
      </c>
      <c r="AH1446">
        <v>0.47177660522963599</v>
      </c>
      <c r="AI1446">
        <v>97.244334243346202</v>
      </c>
      <c r="AJ1446">
        <v>77.404484607335206</v>
      </c>
      <c r="AK1446">
        <v>0.48730035354354201</v>
      </c>
      <c r="AL1446">
        <v>90.883158882987502</v>
      </c>
      <c r="AM1446">
        <v>88.293789094119305</v>
      </c>
      <c r="AN1446">
        <v>1.00000000274301</v>
      </c>
    </row>
    <row r="1447" spans="1:40" x14ac:dyDescent="0.3">
      <c r="A1447" t="str">
        <f>"20200111160432407"</f>
        <v>20200111160432407</v>
      </c>
      <c r="B1447" t="str">
        <f>"1578729872402381"</f>
        <v>1578729872402381</v>
      </c>
      <c r="C1447" t="s">
        <v>40</v>
      </c>
      <c r="D1447">
        <v>6.1433710000000001</v>
      </c>
      <c r="E1447">
        <v>0.54559230000000003</v>
      </c>
      <c r="F1447" t="s">
        <v>42</v>
      </c>
      <c r="G1447">
        <v>-211.1105</v>
      </c>
      <c r="H1447">
        <v>1.0308820000000001</v>
      </c>
      <c r="I1447">
        <v>285.27190000000002</v>
      </c>
      <c r="J1447">
        <v>-210.40430000000001</v>
      </c>
      <c r="K1447">
        <v>1.1071690000000001</v>
      </c>
      <c r="L1447">
        <v>285.27390000000003</v>
      </c>
      <c r="M1447">
        <v>-0.98021340000000001</v>
      </c>
      <c r="N1447">
        <v>0</v>
      </c>
      <c r="O1447">
        <v>-0.19794429999999999</v>
      </c>
      <c r="P1447">
        <v>-0.98583719999999997</v>
      </c>
      <c r="Q1447">
        <v>-1.0505820000000001E-2</v>
      </c>
      <c r="R1447">
        <v>-0.1673771</v>
      </c>
      <c r="S1447">
        <v>-3.01268</v>
      </c>
      <c r="T1447">
        <v>-0.23787159999999999</v>
      </c>
      <c r="U1447">
        <v>-0.16555790000000001</v>
      </c>
      <c r="V1447">
        <v>3.1035690000000001E-2</v>
      </c>
      <c r="W1447">
        <v>-1.03272E-2</v>
      </c>
      <c r="X1447">
        <v>0.99946489999999999</v>
      </c>
      <c r="Y1447">
        <v>0.14281259999999901</v>
      </c>
      <c r="Z1447">
        <v>2.1118979999999999E-2</v>
      </c>
      <c r="AA1447">
        <v>0.98952439999999997</v>
      </c>
      <c r="AB1447">
        <v>27</v>
      </c>
      <c r="AC1447">
        <v>-0.70619999999999505</v>
      </c>
      <c r="AD1447">
        <v>-7.6286999999999994E-2</v>
      </c>
      <c r="AE1447">
        <v>-2.0000000000095402E-3</v>
      </c>
      <c r="AF1447">
        <v>0.13623802751241601</v>
      </c>
      <c r="AG1447">
        <v>-7.6286999999999994E-2</v>
      </c>
      <c r="AH1447">
        <v>0.684633359748965</v>
      </c>
      <c r="AI1447">
        <v>96.236805325402997</v>
      </c>
      <c r="AJ1447">
        <v>78.745493094951598</v>
      </c>
      <c r="AK1447">
        <v>0.70221317546072104</v>
      </c>
      <c r="AL1447">
        <v>90.591715506718401</v>
      </c>
      <c r="AM1447">
        <v>88.221405437426995</v>
      </c>
      <c r="AN1447">
        <v>0.99999997572281196</v>
      </c>
    </row>
    <row r="1448" spans="1:40" x14ac:dyDescent="0.3">
      <c r="A1448" t="str">
        <f>"20200111160432428"</f>
        <v>20200111160432428</v>
      </c>
      <c r="B1448" t="str">
        <f>"1578729872421901"</f>
        <v>1578729872421901</v>
      </c>
      <c r="C1448" t="s">
        <v>40</v>
      </c>
      <c r="D1448">
        <v>5.8048229999999998</v>
      </c>
      <c r="E1448">
        <v>0.54550549999999998</v>
      </c>
      <c r="F1448" t="s">
        <v>42</v>
      </c>
      <c r="G1448">
        <v>-211.35329999999999</v>
      </c>
      <c r="H1448">
        <v>1.0352859999999999</v>
      </c>
      <c r="I1448">
        <v>285.22489999999999</v>
      </c>
      <c r="J1448">
        <v>-210.66669999999999</v>
      </c>
      <c r="K1448">
        <v>1.1071329999999999</v>
      </c>
      <c r="L1448">
        <v>285.22320000000002</v>
      </c>
      <c r="M1448">
        <v>-0.98066529999999996</v>
      </c>
      <c r="N1448">
        <v>0</v>
      </c>
      <c r="O1448">
        <v>-0.19569249999999999</v>
      </c>
      <c r="P1448">
        <v>-0.98621970000000003</v>
      </c>
      <c r="Q1448">
        <v>-4.8850589999999998E-3</v>
      </c>
      <c r="R1448">
        <v>-0.1653695</v>
      </c>
      <c r="S1448">
        <v>-3.0142060000000002</v>
      </c>
      <c r="T1448">
        <v>-0.2283751</v>
      </c>
      <c r="U1448">
        <v>-0.15582279999999901</v>
      </c>
      <c r="V1448">
        <v>3.0804930000000001E-2</v>
      </c>
      <c r="W1448">
        <v>-4.6556660000000001E-3</v>
      </c>
      <c r="X1448">
        <v>0.99951460000000003</v>
      </c>
      <c r="Y1448">
        <v>0.14383989999999999</v>
      </c>
      <c r="Z1448">
        <v>2.0142589999999998E-2</v>
      </c>
      <c r="AA1448">
        <v>0.98939600000000005</v>
      </c>
      <c r="AB1448">
        <v>27</v>
      </c>
      <c r="AC1448">
        <v>-0.68659999999999799</v>
      </c>
      <c r="AD1448">
        <v>-7.1846999999999703E-2</v>
      </c>
      <c r="AE1448">
        <v>1.6999999999711599E-3</v>
      </c>
      <c r="AF1448">
        <v>0.13455623583081699</v>
      </c>
      <c r="AG1448">
        <v>-7.1846999999999703E-2</v>
      </c>
      <c r="AH1448">
        <v>0.66570279630585705</v>
      </c>
      <c r="AI1448">
        <v>96.038700494407806</v>
      </c>
      <c r="AJ1448">
        <v>78.572957310839598</v>
      </c>
      <c r="AK1448">
        <v>0.68295503879786701</v>
      </c>
      <c r="AL1448">
        <v>90.266750969000498</v>
      </c>
      <c r="AM1448">
        <v>88.234709167582295</v>
      </c>
      <c r="AN1448">
        <v>1.0000000272756799</v>
      </c>
    </row>
    <row r="1449" spans="1:40" x14ac:dyDescent="0.3">
      <c r="A1449" t="str">
        <f>"20200111160432452"</f>
        <v>20200111160432452</v>
      </c>
      <c r="B1449" t="str">
        <f>"1578729872442396"</f>
        <v>1578729872442396</v>
      </c>
      <c r="C1449" t="s">
        <v>40</v>
      </c>
      <c r="D1449">
        <v>5.8089060000000003</v>
      </c>
      <c r="E1449">
        <v>0.54518610000000001</v>
      </c>
      <c r="F1449" t="s">
        <v>42</v>
      </c>
      <c r="G1449">
        <v>-211.59819999999999</v>
      </c>
      <c r="H1449">
        <v>1.040548</v>
      </c>
      <c r="I1449">
        <v>285.17649999999998</v>
      </c>
      <c r="J1449">
        <v>-210.95689999999999</v>
      </c>
      <c r="K1449">
        <v>1.107102</v>
      </c>
      <c r="L1449">
        <v>285.16789999999997</v>
      </c>
      <c r="M1449">
        <v>-0.98116460000000005</v>
      </c>
      <c r="N1449">
        <v>0</v>
      </c>
      <c r="O1449">
        <v>-0.1931734</v>
      </c>
      <c r="P1449">
        <v>-0.98645249999999995</v>
      </c>
      <c r="Q1449">
        <v>-1.86111E-3</v>
      </c>
      <c r="R1449">
        <v>-0.16403719999999999</v>
      </c>
      <c r="S1449">
        <v>-3.0155180000000001</v>
      </c>
      <c r="T1449">
        <v>-0.21560979999999999</v>
      </c>
      <c r="U1449">
        <v>-0.15109249999999999</v>
      </c>
      <c r="V1449">
        <v>2.9602839999999998E-2</v>
      </c>
      <c r="W1449">
        <v>-1.4721580000000001E-3</v>
      </c>
      <c r="X1449">
        <v>0.99956069999999997</v>
      </c>
      <c r="Y1449">
        <v>0.14298239999999901</v>
      </c>
      <c r="Z1449">
        <v>1.88054E-2</v>
      </c>
      <c r="AA1449">
        <v>0.9895465</v>
      </c>
      <c r="AB1449">
        <v>27</v>
      </c>
      <c r="AC1449">
        <v>-0.64130000000000098</v>
      </c>
      <c r="AD1449">
        <v>-6.6554000000000002E-2</v>
      </c>
      <c r="AE1449">
        <v>8.6000000000012698E-3</v>
      </c>
      <c r="AF1449">
        <v>0.130910436481701</v>
      </c>
      <c r="AG1449">
        <v>-6.6554000000000002E-2</v>
      </c>
      <c r="AH1449">
        <v>0.62087382232754396</v>
      </c>
      <c r="AI1449">
        <v>95.987741486823694</v>
      </c>
      <c r="AJ1449">
        <v>78.093655942452102</v>
      </c>
      <c r="AK1449">
        <v>0.63800570573267101</v>
      </c>
      <c r="AL1449">
        <v>90.084348466916794</v>
      </c>
      <c r="AM1449">
        <v>88.303632618912403</v>
      </c>
      <c r="AN1449">
        <v>1.00000004418486</v>
      </c>
    </row>
    <row r="1450" spans="1:40" x14ac:dyDescent="0.3">
      <c r="A1450" t="str">
        <f>"20200111160432473"</f>
        <v>20200111160432473</v>
      </c>
      <c r="B1450" t="str">
        <f>"1578729872461916"</f>
        <v>1578729872461916</v>
      </c>
      <c r="C1450" t="s">
        <v>40</v>
      </c>
      <c r="D1450">
        <v>5.8067299999999999</v>
      </c>
      <c r="E1450">
        <v>0.54487779999999997</v>
      </c>
      <c r="F1450" t="s">
        <v>42</v>
      </c>
      <c r="G1450">
        <v>-211.8443</v>
      </c>
      <c r="H1450">
        <v>1.0458130000000001</v>
      </c>
      <c r="I1450">
        <v>285.12400000000002</v>
      </c>
      <c r="J1450">
        <v>-211.22329999999999</v>
      </c>
      <c r="K1450">
        <v>1.1071040000000001</v>
      </c>
      <c r="L1450">
        <v>285.11799999999999</v>
      </c>
      <c r="M1450">
        <v>-0.98161920000000003</v>
      </c>
      <c r="N1450">
        <v>0</v>
      </c>
      <c r="O1450">
        <v>-0.19084880000000001</v>
      </c>
      <c r="P1450">
        <v>-0.98671299999999995</v>
      </c>
      <c r="Q1450">
        <v>5.8505679999999998E-4</v>
      </c>
      <c r="R1450">
        <v>-0.16247239999999999</v>
      </c>
      <c r="S1450">
        <v>-3.015854</v>
      </c>
      <c r="T1450">
        <v>-0.20838219999999999</v>
      </c>
      <c r="U1450">
        <v>-0.14999390000000001</v>
      </c>
      <c r="V1450">
        <v>2.8832759999999999E-2</v>
      </c>
      <c r="W1450">
        <v>1.251046E-3</v>
      </c>
      <c r="X1450">
        <v>0.99958349999999996</v>
      </c>
      <c r="Y1450">
        <v>0.14106920000000001</v>
      </c>
      <c r="Z1450">
        <v>1.7951180000000001E-2</v>
      </c>
      <c r="AA1450">
        <v>0.98983699999999997</v>
      </c>
      <c r="AB1450">
        <v>28</v>
      </c>
      <c r="AC1450">
        <v>-0.62100000000000899</v>
      </c>
      <c r="AD1450">
        <v>-6.1291000000000199E-2</v>
      </c>
      <c r="AE1450">
        <v>6.0000000000286404E-3</v>
      </c>
      <c r="AF1450">
        <v>0.12320678625329699</v>
      </c>
      <c r="AG1450">
        <v>-6.1291000000000199E-2</v>
      </c>
      <c r="AH1450">
        <v>0.60257138681094502</v>
      </c>
      <c r="AI1450">
        <v>95.690961357153995</v>
      </c>
      <c r="AJ1450">
        <v>78.444108798907095</v>
      </c>
      <c r="AK1450">
        <v>0.61808476365554499</v>
      </c>
      <c r="AL1450">
        <v>89.928320327913696</v>
      </c>
      <c r="AM1450">
        <v>88.347774324666204</v>
      </c>
      <c r="AN1450">
        <v>1.00000003331878</v>
      </c>
    </row>
    <row r="1451" spans="1:40" x14ac:dyDescent="0.3">
      <c r="A1451" t="str">
        <f>"20200111160432495"</f>
        <v>20200111160432495</v>
      </c>
      <c r="B1451" t="str">
        <f>"1578729872492173"</f>
        <v>1578729872492173</v>
      </c>
      <c r="C1451" t="s">
        <v>40</v>
      </c>
      <c r="D1451">
        <v>5.7922060000000002</v>
      </c>
      <c r="E1451">
        <v>0.54440500000000003</v>
      </c>
      <c r="F1451" t="s">
        <v>42</v>
      </c>
      <c r="G1451">
        <v>-212.09049999999999</v>
      </c>
      <c r="H1451">
        <v>1.0486040000000001</v>
      </c>
      <c r="I1451">
        <v>285.0754</v>
      </c>
      <c r="J1451">
        <v>-211.4821</v>
      </c>
      <c r="K1451">
        <v>1.1071260000000001</v>
      </c>
      <c r="L1451">
        <v>285.07</v>
      </c>
      <c r="M1451">
        <v>-0.98205909999999996</v>
      </c>
      <c r="N1451">
        <v>0</v>
      </c>
      <c r="O1451">
        <v>-0.18857019999999999</v>
      </c>
      <c r="P1451">
        <v>-0.98688439999999999</v>
      </c>
      <c r="Q1451">
        <v>5.4169820000000003E-4</v>
      </c>
      <c r="R1451">
        <v>-0.16142889999999999</v>
      </c>
      <c r="S1451">
        <v>-3.0161129999999998</v>
      </c>
      <c r="T1451">
        <v>-0.2034821</v>
      </c>
      <c r="U1451">
        <v>-0.14831539999999999</v>
      </c>
      <c r="V1451">
        <v>2.757192E-2</v>
      </c>
      <c r="W1451">
        <v>1.6153490000000001E-3</v>
      </c>
      <c r="X1451">
        <v>0.99961849999999997</v>
      </c>
      <c r="Y1451">
        <v>0.13937079999999999</v>
      </c>
      <c r="Z1451">
        <v>1.7320769999999999E-2</v>
      </c>
      <c r="AA1451">
        <v>0.99008879999999999</v>
      </c>
      <c r="AB1451">
        <v>28</v>
      </c>
      <c r="AC1451">
        <v>-0.60839999999998895</v>
      </c>
      <c r="AD1451">
        <v>-5.85219999999999E-2</v>
      </c>
      <c r="AE1451">
        <v>5.4000000000087303E-3</v>
      </c>
      <c r="AF1451">
        <v>0.118928995152314</v>
      </c>
      <c r="AG1451">
        <v>-5.85219999999999E-2</v>
      </c>
      <c r="AH1451">
        <v>0.59099903824958999</v>
      </c>
      <c r="AI1451">
        <v>95.544677832430907</v>
      </c>
      <c r="AJ1451">
        <v>78.622109853252994</v>
      </c>
      <c r="AK1451">
        <v>0.60568043850192099</v>
      </c>
      <c r="AL1451">
        <v>89.907447278020001</v>
      </c>
      <c r="AM1451">
        <v>88.420043035687996</v>
      </c>
      <c r="AN1451">
        <v>0.99999998283356395</v>
      </c>
    </row>
    <row r="1452" spans="1:40" x14ac:dyDescent="0.3">
      <c r="A1452" t="str">
        <f>"20200111160432518"</f>
        <v>20200111160432518</v>
      </c>
      <c r="B1452" t="str">
        <f>"1578729872512668"</f>
        <v>1578729872512668</v>
      </c>
      <c r="C1452" t="s">
        <v>40</v>
      </c>
      <c r="D1452">
        <v>5.7672230000000004</v>
      </c>
      <c r="E1452">
        <v>0.5304082</v>
      </c>
      <c r="F1452" t="s">
        <v>42</v>
      </c>
      <c r="G1452">
        <v>-212.33519999999999</v>
      </c>
      <c r="H1452">
        <v>1.0485</v>
      </c>
      <c r="I1452">
        <v>285.02800000000002</v>
      </c>
      <c r="J1452">
        <v>-211.76300000000001</v>
      </c>
      <c r="K1452">
        <v>1.1071629999999999</v>
      </c>
      <c r="L1452">
        <v>285.0188</v>
      </c>
      <c r="M1452">
        <v>-0.98253740000000001</v>
      </c>
      <c r="N1452">
        <v>0</v>
      </c>
      <c r="O1452">
        <v>-0.186057</v>
      </c>
      <c r="P1452">
        <v>-0.98708980000000002</v>
      </c>
      <c r="Q1452">
        <v>-3.0166099999999999E-3</v>
      </c>
      <c r="R1452">
        <v>-0.16014030000000001</v>
      </c>
      <c r="S1452">
        <v>-3.0155940000000001</v>
      </c>
      <c r="T1452">
        <v>-0.20732030000000001</v>
      </c>
      <c r="U1452">
        <v>-0.14913940000000001</v>
      </c>
      <c r="V1452">
        <v>2.6305060000000002E-2</v>
      </c>
      <c r="W1452">
        <v>-1.3724329999999999E-3</v>
      </c>
      <c r="X1452">
        <v>0.99965300000000001</v>
      </c>
      <c r="Y1452">
        <v>0.13654289999999999</v>
      </c>
      <c r="Z1452">
        <v>1.7382789999999999E-2</v>
      </c>
      <c r="AA1452">
        <v>0.99048159999999996</v>
      </c>
      <c r="AB1452">
        <v>28</v>
      </c>
      <c r="AC1452">
        <v>-0.57219999999998095</v>
      </c>
      <c r="AD1452">
        <v>-5.8662999999999903E-2</v>
      </c>
      <c r="AE1452">
        <v>9.2000000000211895E-3</v>
      </c>
      <c r="AF1452">
        <v>0.114300267020972</v>
      </c>
      <c r="AG1452">
        <v>-5.8662999999999903E-2</v>
      </c>
      <c r="AH1452">
        <v>0.55466856658178298</v>
      </c>
      <c r="AI1452">
        <v>95.913934752980794</v>
      </c>
      <c r="AJ1452">
        <v>78.3560803825698</v>
      </c>
      <c r="AK1452">
        <v>0.56935324479970795</v>
      </c>
      <c r="AL1452">
        <v>90.078634644816404</v>
      </c>
      <c r="AM1452">
        <v>88.492655762252895</v>
      </c>
      <c r="AN1452">
        <v>0.99999998008147095</v>
      </c>
    </row>
    <row r="1453" spans="1:40" x14ac:dyDescent="0.3">
      <c r="A1453" t="str">
        <f>"20200111160432540"</f>
        <v>20200111160432540</v>
      </c>
      <c r="B1453" t="str">
        <f>"1578729872532189"</f>
        <v>1578729872532189</v>
      </c>
      <c r="C1453" t="s">
        <v>40</v>
      </c>
      <c r="D1453">
        <v>5.8130459999999999</v>
      </c>
      <c r="E1453">
        <v>0.5318058</v>
      </c>
      <c r="F1453" t="s">
        <v>58</v>
      </c>
      <c r="G1453">
        <v>-440.6841</v>
      </c>
      <c r="H1453">
        <v>0.62521740000000003</v>
      </c>
      <c r="I1453">
        <v>266.67689999999999</v>
      </c>
      <c r="J1453">
        <v>-212.04830000000001</v>
      </c>
      <c r="K1453">
        <v>1.1071979999999999</v>
      </c>
      <c r="L1453">
        <v>284.9676</v>
      </c>
      <c r="M1453">
        <v>-0.98302750000000005</v>
      </c>
      <c r="N1453">
        <v>0</v>
      </c>
      <c r="O1453">
        <v>-0.18344299999999999</v>
      </c>
      <c r="P1453">
        <v>-0.98743199999999998</v>
      </c>
      <c r="Q1453">
        <v>-9.1687139999999997E-3</v>
      </c>
      <c r="R1453">
        <v>-0.157778799999999</v>
      </c>
      <c r="S1453">
        <v>-3.0002140000000002</v>
      </c>
      <c r="T1453">
        <v>-6.3161850000000002E-3</v>
      </c>
      <c r="U1453">
        <v>-0.24038699999999999</v>
      </c>
      <c r="V1453">
        <v>2.6004389999999999E-2</v>
      </c>
      <c r="W1453">
        <v>-6.8626529999999998E-3</v>
      </c>
      <c r="X1453">
        <v>0.99963829999999998</v>
      </c>
      <c r="Y1453">
        <v>0.1043449</v>
      </c>
      <c r="Z1453">
        <v>4.9288089999999999E-4</v>
      </c>
      <c r="AA1453">
        <v>0.99454100000000001</v>
      </c>
      <c r="AB1453">
        <v>28</v>
      </c>
      <c r="AC1453">
        <v>-228.63579999999999</v>
      </c>
      <c r="AD1453">
        <v>-0.48198059999999898</v>
      </c>
      <c r="AE1453">
        <v>-18.290700000000001</v>
      </c>
      <c r="AF1453">
        <v>23.9613372510203</v>
      </c>
      <c r="AG1453">
        <v>-0.48198059999999898</v>
      </c>
      <c r="AH1453">
        <v>228.110211208864</v>
      </c>
      <c r="AI1453">
        <v>90.120399295570607</v>
      </c>
      <c r="AJ1453">
        <v>84.003481057448397</v>
      </c>
      <c r="AK1453">
        <v>229.36574819686601</v>
      </c>
      <c r="AL1453">
        <v>90.3932041287554</v>
      </c>
      <c r="AM1453">
        <v>88.509855172425802</v>
      </c>
      <c r="AN1453">
        <v>1.00000002756617</v>
      </c>
    </row>
    <row r="1454" spans="1:40" x14ac:dyDescent="0.3">
      <c r="A1454" t="str">
        <f>"20200111160432563"</f>
        <v>20200111160432563</v>
      </c>
      <c r="B1454" t="str">
        <f>"1578729872552684"</f>
        <v>1578729872552684</v>
      </c>
      <c r="C1454" t="s">
        <v>40</v>
      </c>
      <c r="D1454">
        <v>5.8021469999999997</v>
      </c>
      <c r="E1454">
        <v>0.53271869999999999</v>
      </c>
      <c r="F1454" t="s">
        <v>57</v>
      </c>
      <c r="G1454">
        <v>-268.99970000000002</v>
      </c>
      <c r="H1454" s="1">
        <v>3.2523900000000001E-6</v>
      </c>
      <c r="I1454">
        <v>280.71140000000003</v>
      </c>
      <c r="J1454">
        <v>-212.32040000000001</v>
      </c>
      <c r="K1454">
        <v>1.107235</v>
      </c>
      <c r="L1454">
        <v>284.9196</v>
      </c>
      <c r="M1454">
        <v>-0.98350139999999997</v>
      </c>
      <c r="N1454">
        <v>0</v>
      </c>
      <c r="O1454">
        <v>-0.1808736</v>
      </c>
      <c r="P1454">
        <v>-0.98786799999999997</v>
      </c>
      <c r="Q1454">
        <v>-1.409564E-2</v>
      </c>
      <c r="R1454">
        <v>-0.15465680000000001</v>
      </c>
      <c r="S1454">
        <v>-3.0018009999999999</v>
      </c>
      <c r="T1454">
        <v>-5.8358189999999997E-2</v>
      </c>
      <c r="U1454">
        <v>-0.2243347</v>
      </c>
      <c r="V1454">
        <v>2.6520169999999999E-2</v>
      </c>
      <c r="W1454">
        <v>-1.11086E-2</v>
      </c>
      <c r="X1454">
        <v>0.99958659999999999</v>
      </c>
      <c r="Y1454">
        <v>0.10702159999999999</v>
      </c>
      <c r="Z1454">
        <v>4.5294230000000003E-3</v>
      </c>
      <c r="AA1454">
        <v>0.99424639999999997</v>
      </c>
      <c r="AB1454">
        <v>28</v>
      </c>
      <c r="AC1454">
        <v>-56.679299999999998</v>
      </c>
      <c r="AD1454">
        <v>-1.10723174761</v>
      </c>
      <c r="AE1454">
        <v>-4.2081999999999704</v>
      </c>
      <c r="AF1454">
        <v>6.1107290306499298</v>
      </c>
      <c r="AG1454">
        <v>-1.10723174761</v>
      </c>
      <c r="AH1454">
        <v>56.484161118873203</v>
      </c>
      <c r="AI1454">
        <v>91.116484711187695</v>
      </c>
      <c r="AJ1454">
        <v>83.825480220851006</v>
      </c>
      <c r="AK1454">
        <v>56.8245319270804</v>
      </c>
      <c r="AL1454">
        <v>90.636488958258795</v>
      </c>
      <c r="AM1454">
        <v>88.480234289934501</v>
      </c>
      <c r="AN1454">
        <v>1.0000000456551701</v>
      </c>
    </row>
    <row r="1455" spans="1:40" x14ac:dyDescent="0.3">
      <c r="A1455" t="str">
        <f>"20200111160432608"</f>
        <v>20200111160432608</v>
      </c>
      <c r="B1455" t="str">
        <f>"1578729872602461"</f>
        <v>1578729872602461</v>
      </c>
      <c r="C1455" t="s">
        <v>40</v>
      </c>
      <c r="D1455">
        <v>5.8408179999999996</v>
      </c>
      <c r="E1455">
        <v>0.53138299999999905</v>
      </c>
      <c r="F1455" t="s">
        <v>57</v>
      </c>
      <c r="G1455">
        <v>-265.36770000000001</v>
      </c>
      <c r="H1455" s="1">
        <v>1.3196419999999999E-6</v>
      </c>
      <c r="I1455">
        <v>281.26310000000001</v>
      </c>
      <c r="J1455">
        <v>-212.87809999999999</v>
      </c>
      <c r="K1455">
        <v>1.107291</v>
      </c>
      <c r="L1455">
        <v>284.82389999999998</v>
      </c>
      <c r="M1455">
        <v>-0.98450780000000004</v>
      </c>
      <c r="N1455">
        <v>0</v>
      </c>
      <c r="O1455">
        <v>-0.17527760000000001</v>
      </c>
      <c r="P1455">
        <v>-0.98906079999999996</v>
      </c>
      <c r="Q1455">
        <v>-1.4705019999999999E-2</v>
      </c>
      <c r="R1455">
        <v>-0.14677499999999999</v>
      </c>
      <c r="S1455">
        <v>-3.0035400000000001</v>
      </c>
      <c r="T1455">
        <v>-6.2691570000000002E-2</v>
      </c>
      <c r="U1455">
        <v>-0.2070313</v>
      </c>
      <c r="V1455">
        <v>2.8805629999999999E-2</v>
      </c>
      <c r="W1455">
        <v>-1.0141519999999999E-2</v>
      </c>
      <c r="X1455">
        <v>0.99953360000000002</v>
      </c>
      <c r="Y1455">
        <v>0.1071025</v>
      </c>
      <c r="Z1455">
        <v>4.7503600000000003E-3</v>
      </c>
      <c r="AA1455">
        <v>0.99423660000000003</v>
      </c>
      <c r="AB1455">
        <v>28</v>
      </c>
      <c r="AC1455">
        <v>-52.489600000000003</v>
      </c>
      <c r="AD1455">
        <v>-1.1072896803579999</v>
      </c>
      <c r="AE1455">
        <v>-3.5607999999999702</v>
      </c>
      <c r="AF1455">
        <v>5.6921573218090398</v>
      </c>
      <c r="AG1455">
        <v>-1.1072896803579999</v>
      </c>
      <c r="AH1455">
        <v>52.277970478796199</v>
      </c>
      <c r="AI1455">
        <v>91.206262330812294</v>
      </c>
      <c r="AJ1455">
        <v>83.785970424848898</v>
      </c>
      <c r="AK1455">
        <v>52.598602099241603</v>
      </c>
      <c r="AL1455">
        <v>90.581076245416796</v>
      </c>
      <c r="AM1455">
        <v>88.349245753918296</v>
      </c>
      <c r="AN1455">
        <v>1.00000001613828</v>
      </c>
    </row>
    <row r="1456" spans="1:40" x14ac:dyDescent="0.3">
      <c r="A1456" t="str">
        <f>"20200111160432629"</f>
        <v>20200111160432629</v>
      </c>
      <c r="B1456" t="str">
        <f>"1578729872621980"</f>
        <v>1578729872621980</v>
      </c>
      <c r="C1456" t="s">
        <v>40</v>
      </c>
      <c r="D1456">
        <v>5.7919479999999997</v>
      </c>
      <c r="E1456">
        <v>0.52917169999999902</v>
      </c>
      <c r="F1456" t="s">
        <v>42</v>
      </c>
      <c r="G1456">
        <v>-213.79509999999999</v>
      </c>
      <c r="H1456">
        <v>1.006883</v>
      </c>
      <c r="I1456">
        <v>284.75920000000002</v>
      </c>
      <c r="J1456">
        <v>-213.1463</v>
      </c>
      <c r="K1456">
        <v>1.1073090000000001</v>
      </c>
      <c r="L1456">
        <v>284.77929999999998</v>
      </c>
      <c r="M1456">
        <v>-0.98500940000000003</v>
      </c>
      <c r="N1456">
        <v>0</v>
      </c>
      <c r="O1456">
        <v>-0.17241210000000001</v>
      </c>
      <c r="P1456">
        <v>-0.98960040000000005</v>
      </c>
      <c r="Q1456">
        <v>-1.2901620000000001E-2</v>
      </c>
      <c r="R1456">
        <v>-0.14326510000000001</v>
      </c>
      <c r="S1456">
        <v>-2.9968870000000001</v>
      </c>
      <c r="T1456">
        <v>-0.32818979999999998</v>
      </c>
      <c r="U1456">
        <v>-0.2115784</v>
      </c>
      <c r="V1456">
        <v>2.946031E-2</v>
      </c>
      <c r="W1456">
        <v>-7.519581E-3</v>
      </c>
      <c r="X1456">
        <v>0.99953760000000003</v>
      </c>
      <c r="Y1456">
        <v>0.10100339999999999</v>
      </c>
      <c r="Z1456">
        <v>2.4209359999999999E-2</v>
      </c>
      <c r="AA1456">
        <v>0.99459149999999996</v>
      </c>
      <c r="AB1456">
        <v>28</v>
      </c>
      <c r="AC1456">
        <v>-0.64879999999999405</v>
      </c>
      <c r="AD1456">
        <v>-0.100426</v>
      </c>
      <c r="AE1456">
        <v>-2.0099999999956701E-2</v>
      </c>
      <c r="AF1456">
        <v>8.9911552764751004E-2</v>
      </c>
      <c r="AG1456">
        <v>-0.100426</v>
      </c>
      <c r="AH1456">
        <v>0.62752878331623496</v>
      </c>
      <c r="AI1456">
        <v>99.001781043732706</v>
      </c>
      <c r="AJ1456">
        <v>81.846224688502701</v>
      </c>
      <c r="AK1456">
        <v>0.641842537299393</v>
      </c>
      <c r="AL1456">
        <v>90.430844343839894</v>
      </c>
      <c r="AM1456">
        <v>88.311756457249203</v>
      </c>
      <c r="AN1456">
        <v>0.99999993388873298</v>
      </c>
    </row>
    <row r="1457" spans="1:40" x14ac:dyDescent="0.3">
      <c r="A1457" t="str">
        <f>"20200111160432653"</f>
        <v>20200111160432653</v>
      </c>
      <c r="B1457" t="str">
        <f>"1578729872642476"</f>
        <v>1578729872642476</v>
      </c>
      <c r="C1457" t="s">
        <v>40</v>
      </c>
      <c r="D1457">
        <v>5.8007710000000001</v>
      </c>
      <c r="E1457">
        <v>0.52857719999999997</v>
      </c>
      <c r="F1457" t="s">
        <v>42</v>
      </c>
      <c r="G1457">
        <v>-214.04570000000001</v>
      </c>
      <c r="H1457">
        <v>1.014373</v>
      </c>
      <c r="I1457">
        <v>284.714</v>
      </c>
      <c r="J1457">
        <v>-213.43620000000001</v>
      </c>
      <c r="K1457">
        <v>1.107316</v>
      </c>
      <c r="L1457">
        <v>284.73219999999998</v>
      </c>
      <c r="M1457">
        <v>-0.98556699999999997</v>
      </c>
      <c r="N1457">
        <v>0</v>
      </c>
      <c r="O1457">
        <v>-0.1691617</v>
      </c>
      <c r="P1457">
        <v>-0.9902183</v>
      </c>
      <c r="Q1457">
        <v>-1.220503E-2</v>
      </c>
      <c r="R1457">
        <v>-0.1389918</v>
      </c>
      <c r="S1457">
        <v>-2.9959560000000001</v>
      </c>
      <c r="T1457">
        <v>-0.30954100000000001</v>
      </c>
      <c r="U1457">
        <v>-0.217804</v>
      </c>
      <c r="V1457">
        <v>3.0487630000000002E-2</v>
      </c>
      <c r="W1457">
        <v>-5.8991010000000003E-3</v>
      </c>
      <c r="X1457">
        <v>0.99951769999999995</v>
      </c>
      <c r="Y1457">
        <v>9.5864450000000004E-2</v>
      </c>
      <c r="Z1457">
        <v>2.2251719999999999E-2</v>
      </c>
      <c r="AA1457">
        <v>0.99514570000000002</v>
      </c>
      <c r="AB1457">
        <v>28</v>
      </c>
      <c r="AC1457">
        <v>-0.60949999999999704</v>
      </c>
      <c r="AD1457">
        <v>-9.2942999999999998E-2</v>
      </c>
      <c r="AE1457">
        <v>-1.81999999999789E-2</v>
      </c>
      <c r="AF1457">
        <v>8.3234760962688101E-2</v>
      </c>
      <c r="AG1457">
        <v>-9.2942999999999998E-2</v>
      </c>
      <c r="AH1457">
        <v>0.59008526291857</v>
      </c>
      <c r="AI1457">
        <v>98.864651754375799</v>
      </c>
      <c r="AJ1457">
        <v>81.971086096530598</v>
      </c>
      <c r="AK1457">
        <v>0.60313103401764501</v>
      </c>
      <c r="AL1457">
        <v>90.337995562818094</v>
      </c>
      <c r="AM1457">
        <v>88.252886279090703</v>
      </c>
      <c r="AN1457">
        <v>0.99999996379445599</v>
      </c>
    </row>
    <row r="1458" spans="1:40" x14ac:dyDescent="0.3">
      <c r="A1458" t="str">
        <f>"20200111160432675"</f>
        <v>20200111160432675</v>
      </c>
      <c r="B1458" t="str">
        <f>"1578729872672732"</f>
        <v>1578729872672732</v>
      </c>
      <c r="C1458" t="s">
        <v>40</v>
      </c>
      <c r="D1458">
        <v>5.7976299999999998</v>
      </c>
      <c r="E1458">
        <v>0.52694819999999998</v>
      </c>
      <c r="F1458" t="s">
        <v>42</v>
      </c>
      <c r="G1458">
        <v>-214.29509999999999</v>
      </c>
      <c r="H1458">
        <v>1.018718</v>
      </c>
      <c r="I1458">
        <v>284.67230000000001</v>
      </c>
      <c r="J1458">
        <v>-213.70920000000001</v>
      </c>
      <c r="K1458">
        <v>1.1072949999999999</v>
      </c>
      <c r="L1458">
        <v>284.68900000000002</v>
      </c>
      <c r="M1458">
        <v>-0.98611280000000001</v>
      </c>
      <c r="N1458">
        <v>0</v>
      </c>
      <c r="O1458">
        <v>-0.1659137</v>
      </c>
      <c r="P1458">
        <v>-0.99083580000000004</v>
      </c>
      <c r="Q1458">
        <v>-1.2845260000000001E-2</v>
      </c>
      <c r="R1458">
        <v>-0.13446079999999999</v>
      </c>
      <c r="S1458">
        <v>-2.996429</v>
      </c>
      <c r="T1458">
        <v>-0.30902669999999999</v>
      </c>
      <c r="U1458">
        <v>-0.20956420000000001</v>
      </c>
      <c r="V1458">
        <v>3.1766000000000003E-2</v>
      </c>
      <c r="W1458">
        <v>-5.688327E-3</v>
      </c>
      <c r="X1458">
        <v>0.99947920000000001</v>
      </c>
      <c r="Y1458">
        <v>9.5344460000000006E-2</v>
      </c>
      <c r="Z1458">
        <v>2.1858889999999999E-2</v>
      </c>
      <c r="AA1458">
        <v>0.99520430000000004</v>
      </c>
      <c r="AB1458">
        <v>28</v>
      </c>
      <c r="AC1458">
        <v>-0.58589999999997999</v>
      </c>
      <c r="AD1458">
        <v>-8.85770000000001E-2</v>
      </c>
      <c r="AE1458">
        <v>-1.6700000000014301E-2</v>
      </c>
      <c r="AF1458">
        <v>7.8940170874694293E-2</v>
      </c>
      <c r="AG1458">
        <v>-8.85770000000001E-2</v>
      </c>
      <c r="AH1458">
        <v>0.56758787870706295</v>
      </c>
      <c r="AI1458">
        <v>98.786720415904696</v>
      </c>
      <c r="AJ1458">
        <v>82.082090120352802</v>
      </c>
      <c r="AK1458">
        <v>0.57985639218854002</v>
      </c>
      <c r="AL1458">
        <v>90.325918869790698</v>
      </c>
      <c r="AM1458">
        <v>88.179606668007295</v>
      </c>
      <c r="AN1458">
        <v>1.00000005352634</v>
      </c>
    </row>
    <row r="1459" spans="1:40" x14ac:dyDescent="0.3">
      <c r="A1459" t="str">
        <f>"20200111160432696"</f>
        <v>20200111160432696</v>
      </c>
      <c r="B1459" t="str">
        <f>"1578729872692252"</f>
        <v>1578729872692252</v>
      </c>
      <c r="C1459" t="s">
        <v>40</v>
      </c>
      <c r="D1459">
        <v>5.798451</v>
      </c>
      <c r="E1459">
        <v>0.52627669999999904</v>
      </c>
      <c r="F1459" t="s">
        <v>42</v>
      </c>
      <c r="G1459">
        <v>-214.54499999999999</v>
      </c>
      <c r="H1459">
        <v>1.0243610000000001</v>
      </c>
      <c r="I1459">
        <v>284.63099999999997</v>
      </c>
      <c r="J1459">
        <v>-213.9683</v>
      </c>
      <c r="K1459">
        <v>1.107229</v>
      </c>
      <c r="L1459">
        <v>284.64890000000003</v>
      </c>
      <c r="M1459">
        <v>-0.98665150000000001</v>
      </c>
      <c r="N1459">
        <v>0</v>
      </c>
      <c r="O1459">
        <v>-0.16264319999999999</v>
      </c>
      <c r="P1459">
        <v>-0.9913554</v>
      </c>
      <c r="Q1459">
        <v>-1.402611E-2</v>
      </c>
      <c r="R1459">
        <v>-0.13045229999999999</v>
      </c>
      <c r="S1459">
        <v>-2.9956360000000002</v>
      </c>
      <c r="T1459">
        <v>-0.29722859999999901</v>
      </c>
      <c r="U1459">
        <v>-0.2081604</v>
      </c>
      <c r="V1459">
        <v>3.248819E-2</v>
      </c>
      <c r="W1459">
        <v>-6.1183660000000001E-3</v>
      </c>
      <c r="X1459">
        <v>0.99945340000000005</v>
      </c>
      <c r="Y1459">
        <v>9.2621090000000003E-2</v>
      </c>
      <c r="Z1459">
        <v>2.0580950000000001E-2</v>
      </c>
      <c r="AA1459">
        <v>0.9954887</v>
      </c>
      <c r="AB1459">
        <v>28</v>
      </c>
      <c r="AC1459">
        <v>-0.576699999999988</v>
      </c>
      <c r="AD1459">
        <v>-8.28679999999999E-2</v>
      </c>
      <c r="AE1459">
        <v>-1.7900000000054199E-2</v>
      </c>
      <c r="AF1459">
        <v>7.45989623941858E-2</v>
      </c>
      <c r="AG1459">
        <v>-8.28679999999999E-2</v>
      </c>
      <c r="AH1459">
        <v>0.56037277985564404</v>
      </c>
      <c r="AI1459">
        <v>98.339419277227904</v>
      </c>
      <c r="AJ1459">
        <v>82.417151773531202</v>
      </c>
      <c r="AK1459">
        <v>0.57135782397498602</v>
      </c>
      <c r="AL1459">
        <v>90.350558733753402</v>
      </c>
      <c r="AM1459">
        <v>88.138201375470899</v>
      </c>
      <c r="AN1459">
        <v>1.0000000078317699</v>
      </c>
    </row>
    <row r="1460" spans="1:40" x14ac:dyDescent="0.3">
      <c r="A1460" t="str">
        <f>"20200111160432743"</f>
        <v>20200111160432743</v>
      </c>
      <c r="B1460" t="str">
        <f>"1578729872732269"</f>
        <v>1578729872732269</v>
      </c>
      <c r="C1460" t="s">
        <v>40</v>
      </c>
      <c r="D1460">
        <v>5.8206499999999997</v>
      </c>
      <c r="E1460">
        <v>0.52595599999999998</v>
      </c>
      <c r="F1460" t="s">
        <v>42</v>
      </c>
      <c r="G1460">
        <v>-214.79169999999999</v>
      </c>
      <c r="H1460">
        <v>1.0228539999999999</v>
      </c>
      <c r="I1460">
        <v>284.59359999999998</v>
      </c>
      <c r="J1460">
        <v>-214.54990000000001</v>
      </c>
      <c r="K1460">
        <v>1.1069929999999999</v>
      </c>
      <c r="L1460">
        <v>284.56299999999999</v>
      </c>
      <c r="M1460">
        <v>-0.98792179999999996</v>
      </c>
      <c r="N1460">
        <v>0</v>
      </c>
      <c r="O1460">
        <v>-0.15465619999999999</v>
      </c>
      <c r="P1460">
        <v>-0.99250139999999998</v>
      </c>
      <c r="Q1460">
        <v>-1.7255240000000002E-2</v>
      </c>
      <c r="R1460">
        <v>-0.1210107</v>
      </c>
      <c r="S1460">
        <v>-2.9952549999999998</v>
      </c>
      <c r="T1460">
        <v>-0.30691089999999999</v>
      </c>
      <c r="U1460">
        <v>-0.20190430000000001</v>
      </c>
      <c r="V1460">
        <v>3.3892150000000003E-2</v>
      </c>
      <c r="W1460">
        <v>-7.8973250000000002E-3</v>
      </c>
      <c r="X1460">
        <v>0.99939429999999996</v>
      </c>
      <c r="Y1460">
        <v>8.6617459999999993E-2</v>
      </c>
      <c r="Z1460">
        <v>2.0141280000000001E-2</v>
      </c>
      <c r="AA1460">
        <v>0.99603799999999998</v>
      </c>
      <c r="AB1460">
        <v>28</v>
      </c>
      <c r="AC1460">
        <v>-0.241799999999983</v>
      </c>
      <c r="AD1460">
        <v>-8.4138999999999894E-2</v>
      </c>
      <c r="AE1460">
        <v>3.0599999999992598E-2</v>
      </c>
      <c r="AF1460">
        <v>6.0427940312824099E-2</v>
      </c>
      <c r="AG1460">
        <v>-8.4138999999999894E-2</v>
      </c>
      <c r="AH1460">
        <v>0.20922372816069501</v>
      </c>
      <c r="AI1460">
        <v>111.124380954144</v>
      </c>
      <c r="AJ1460">
        <v>73.890239213404698</v>
      </c>
      <c r="AK1460">
        <v>0.23346407800111499</v>
      </c>
      <c r="AL1460">
        <v>90.452488092653795</v>
      </c>
      <c r="AM1460">
        <v>88.057690308071699</v>
      </c>
      <c r="AN1460">
        <v>1.00000000622313</v>
      </c>
    </row>
    <row r="1461" spans="1:40" x14ac:dyDescent="0.3">
      <c r="A1461" t="str">
        <f>"20200111160432766"</f>
        <v>20200111160432766</v>
      </c>
      <c r="B1461" t="str">
        <f>"1578729872762524"</f>
        <v>1578729872762524</v>
      </c>
      <c r="C1461" t="s">
        <v>40</v>
      </c>
      <c r="D1461">
        <v>5.7773079999999997</v>
      </c>
      <c r="E1461">
        <v>0.50565130000000003</v>
      </c>
      <c r="F1461" t="s">
        <v>42</v>
      </c>
      <c r="G1461">
        <v>-215.2884</v>
      </c>
      <c r="H1461">
        <v>1.0279100000000001</v>
      </c>
      <c r="I1461">
        <v>284.51990000000001</v>
      </c>
      <c r="J1461">
        <v>-214.81819999999999</v>
      </c>
      <c r="K1461">
        <v>1.1068659999999999</v>
      </c>
      <c r="L1461">
        <v>284.52550000000002</v>
      </c>
      <c r="M1461">
        <v>-0.98853570000000002</v>
      </c>
      <c r="N1461">
        <v>0</v>
      </c>
      <c r="O1461">
        <v>-0.15064259999999999</v>
      </c>
      <c r="P1461">
        <v>-0.99302319999999999</v>
      </c>
      <c r="Q1461">
        <v>-1.8825870000000001E-2</v>
      </c>
      <c r="R1461">
        <v>-0.1164076</v>
      </c>
      <c r="S1461">
        <v>-2.9956670000000001</v>
      </c>
      <c r="T1461">
        <v>-0.32078329999999999</v>
      </c>
      <c r="U1461">
        <v>-0.17596439999999999</v>
      </c>
      <c r="V1461">
        <v>3.4452990000000003E-2</v>
      </c>
      <c r="W1461">
        <v>-8.9037200000000004E-3</v>
      </c>
      <c r="X1461">
        <v>0.99936659999999999</v>
      </c>
      <c r="Y1461">
        <v>9.105278E-2</v>
      </c>
      <c r="Z1461">
        <v>2.0865399999999999E-2</v>
      </c>
      <c r="AA1461">
        <v>0.9956275</v>
      </c>
      <c r="AB1461">
        <v>28</v>
      </c>
      <c r="AC1461">
        <v>-0.470200000000005</v>
      </c>
      <c r="AD1461">
        <v>-7.8955999999999804E-2</v>
      </c>
      <c r="AE1461">
        <v>-5.6000000000153696E-3</v>
      </c>
      <c r="AF1461">
        <v>6.3509221231117699E-2</v>
      </c>
      <c r="AG1461">
        <v>-7.8955999999999804E-2</v>
      </c>
      <c r="AH1461">
        <v>0.45290838617207002</v>
      </c>
      <c r="AI1461">
        <v>99.795103440348498</v>
      </c>
      <c r="AJ1461">
        <v>82.017728548999301</v>
      </c>
      <c r="AK1461">
        <v>0.464105028395914</v>
      </c>
      <c r="AL1461">
        <v>90.510152347703098</v>
      </c>
      <c r="AM1461">
        <v>88.025519934818405</v>
      </c>
      <c r="AN1461">
        <v>0.99999994297266703</v>
      </c>
    </row>
    <row r="1462" spans="1:40" x14ac:dyDescent="0.3">
      <c r="A1462" t="str">
        <f>"20200111160432785"</f>
        <v>20200111160432785</v>
      </c>
      <c r="B1462" t="str">
        <f>"1578729872782044"</f>
        <v>1578729872782044</v>
      </c>
      <c r="C1462" t="s">
        <v>40</v>
      </c>
      <c r="D1462">
        <v>5.8088030000000002</v>
      </c>
      <c r="E1462">
        <v>0.50509970000000004</v>
      </c>
      <c r="F1462" t="s">
        <v>42</v>
      </c>
      <c r="G1462">
        <v>-215.76169999999999</v>
      </c>
      <c r="H1462">
        <v>0.9944558</v>
      </c>
      <c r="I1462">
        <v>284.42259999999999</v>
      </c>
      <c r="J1462">
        <v>-215.0848</v>
      </c>
      <c r="K1462">
        <v>1.1067450000000001</v>
      </c>
      <c r="L1462">
        <v>284.4896</v>
      </c>
      <c r="M1462">
        <v>-0.98916130000000002</v>
      </c>
      <c r="N1462">
        <v>0</v>
      </c>
      <c r="O1462">
        <v>-0.14644270000000001</v>
      </c>
      <c r="P1462">
        <v>-0.9935486</v>
      </c>
      <c r="Q1462">
        <v>-2.0389689999999999E-2</v>
      </c>
      <c r="R1462">
        <v>-0.11155959999999999</v>
      </c>
      <c r="S1462">
        <v>-2.9762119999999999</v>
      </c>
      <c r="T1462">
        <v>-0.35446329999999998</v>
      </c>
      <c r="U1462">
        <v>-0.32562259999999998</v>
      </c>
      <c r="V1462">
        <v>3.5070400000000002E-2</v>
      </c>
      <c r="W1462">
        <v>-9.9710670000000001E-3</v>
      </c>
      <c r="X1462">
        <v>0.99933510000000003</v>
      </c>
      <c r="Y1462">
        <v>3.6726960000000003E-2</v>
      </c>
      <c r="Z1462">
        <v>1.9421049999999999E-2</v>
      </c>
      <c r="AA1462">
        <v>0.99913660000000004</v>
      </c>
      <c r="AB1462">
        <v>28</v>
      </c>
      <c r="AC1462">
        <v>-0.67689999999998895</v>
      </c>
      <c r="AD1462">
        <v>-0.11228919999999901</v>
      </c>
      <c r="AE1462">
        <v>-6.7000000000007207E-2</v>
      </c>
      <c r="AF1462">
        <v>3.1983532819292497E-2</v>
      </c>
      <c r="AG1462">
        <v>-0.11228919999999901</v>
      </c>
      <c r="AH1462">
        <v>0.66138986331593896</v>
      </c>
      <c r="AI1462">
        <v>99.624625287145804</v>
      </c>
      <c r="AJ1462">
        <v>87.231443819917402</v>
      </c>
      <c r="AK1462">
        <v>0.67161623127000103</v>
      </c>
      <c r="AL1462">
        <v>90.571309524207607</v>
      </c>
      <c r="AM1462">
        <v>87.990102003872096</v>
      </c>
      <c r="AN1462">
        <v>0.99999999861264399</v>
      </c>
    </row>
    <row r="1463" spans="1:40" x14ac:dyDescent="0.3">
      <c r="A1463" t="str">
        <f>"20200111160432808"</f>
        <v>20200111160432808</v>
      </c>
      <c r="B1463" t="str">
        <f>"1578729872802541"</f>
        <v>1578729872802541</v>
      </c>
      <c r="C1463" t="s">
        <v>40</v>
      </c>
      <c r="D1463">
        <v>5.7566129999999998</v>
      </c>
      <c r="E1463">
        <v>0.50511740000000005</v>
      </c>
      <c r="F1463" t="s">
        <v>42</v>
      </c>
      <c r="G1463">
        <v>-216.0095</v>
      </c>
      <c r="H1463">
        <v>0.99606450000000002</v>
      </c>
      <c r="I1463">
        <v>284.39159999999998</v>
      </c>
      <c r="J1463">
        <v>-215.35749999999999</v>
      </c>
      <c r="K1463">
        <v>1.1066499999999999</v>
      </c>
      <c r="L1463">
        <v>284.45420000000001</v>
      </c>
      <c r="M1463">
        <v>-0.98980659999999998</v>
      </c>
      <c r="N1463">
        <v>0</v>
      </c>
      <c r="O1463">
        <v>-0.14197989999999999</v>
      </c>
      <c r="P1463">
        <v>-0.99409890000000001</v>
      </c>
      <c r="Q1463">
        <v>-2.088398E-2</v>
      </c>
      <c r="R1463">
        <v>-0.1064503</v>
      </c>
      <c r="S1463">
        <v>-2.9767610000000002</v>
      </c>
      <c r="T1463">
        <v>-0.35623120000000003</v>
      </c>
      <c r="U1463">
        <v>-0.3153687</v>
      </c>
      <c r="V1463">
        <v>3.5697140000000002E-2</v>
      </c>
      <c r="W1463">
        <v>-1.0016860000000001E-2</v>
      </c>
      <c r="X1463">
        <v>0.99931250000000005</v>
      </c>
      <c r="Y1463">
        <v>3.5668209999999999E-2</v>
      </c>
      <c r="Z1463">
        <v>1.893094E-2</v>
      </c>
      <c r="AA1463">
        <v>0.99918439999999997</v>
      </c>
      <c r="AB1463">
        <v>28</v>
      </c>
      <c r="AC1463">
        <v>-0.65200000000001501</v>
      </c>
      <c r="AD1463">
        <v>-0.110585499999999</v>
      </c>
      <c r="AE1463">
        <v>-6.26000000000317E-2</v>
      </c>
      <c r="AF1463">
        <v>2.9762537447774601E-2</v>
      </c>
      <c r="AG1463">
        <v>-0.110585499999999</v>
      </c>
      <c r="AH1463">
        <v>0.63614937981189001</v>
      </c>
      <c r="AI1463">
        <v>99.850943981185793</v>
      </c>
      <c r="AJ1463">
        <v>87.321344230094894</v>
      </c>
      <c r="AK1463">
        <v>0.64637527403253303</v>
      </c>
      <c r="AL1463">
        <v>90.573933372551295</v>
      </c>
      <c r="AM1463">
        <v>87.954167321331397</v>
      </c>
      <c r="AN1463">
        <v>1.0000000479723401</v>
      </c>
    </row>
    <row r="1464" spans="1:40" x14ac:dyDescent="0.3">
      <c r="A1464" t="str">
        <f>"20200111160432831"</f>
        <v>20200111160432831</v>
      </c>
      <c r="B1464" t="str">
        <f>"1578729872822061"</f>
        <v>1578729872822061</v>
      </c>
      <c r="C1464" t="s">
        <v>40</v>
      </c>
      <c r="D1464">
        <v>5.8448880000000001</v>
      </c>
      <c r="E1464">
        <v>0.50485839999999904</v>
      </c>
      <c r="F1464" t="s">
        <v>42</v>
      </c>
      <c r="G1464">
        <v>-216.2586</v>
      </c>
      <c r="H1464">
        <v>0.9999844</v>
      </c>
      <c r="I1464">
        <v>284.36380000000003</v>
      </c>
      <c r="J1464">
        <v>-215.6431</v>
      </c>
      <c r="K1464">
        <v>1.1065689999999999</v>
      </c>
      <c r="L1464">
        <v>284.41860000000003</v>
      </c>
      <c r="M1464">
        <v>-0.99048400000000003</v>
      </c>
      <c r="N1464">
        <v>0</v>
      </c>
      <c r="O1464">
        <v>-0.13713739999999999</v>
      </c>
      <c r="P1464">
        <v>-0.99465049999999999</v>
      </c>
      <c r="Q1464">
        <v>-2.08021E-2</v>
      </c>
      <c r="R1464">
        <v>-0.1011802</v>
      </c>
      <c r="S1464">
        <v>-2.9783629999999999</v>
      </c>
      <c r="T1464">
        <v>-0.35238229999999998</v>
      </c>
      <c r="U1464">
        <v>-0.29946899999999999</v>
      </c>
      <c r="V1464">
        <v>3.6108429999999997E-2</v>
      </c>
      <c r="W1464">
        <v>-9.5219699999999994E-3</v>
      </c>
      <c r="X1464">
        <v>0.99930249999999998</v>
      </c>
      <c r="Y1464">
        <v>3.617194E-2</v>
      </c>
      <c r="Z1464">
        <v>1.819086E-2</v>
      </c>
      <c r="AA1464">
        <v>0.99917999999999996</v>
      </c>
      <c r="AB1464">
        <v>28</v>
      </c>
      <c r="AC1464">
        <v>-0.61549999999999705</v>
      </c>
      <c r="AD1464">
        <v>-0.1065846</v>
      </c>
      <c r="AE1464">
        <v>-5.4800000000000099E-2</v>
      </c>
      <c r="AF1464">
        <v>2.9261027897284301E-2</v>
      </c>
      <c r="AG1464">
        <v>-0.1065846</v>
      </c>
      <c r="AH1464">
        <v>0.59936774612057497</v>
      </c>
      <c r="AI1464">
        <v>100.07165974115399</v>
      </c>
      <c r="AJ1464">
        <v>87.205049188946006</v>
      </c>
      <c r="AK1464">
        <v>0.60947369081890901</v>
      </c>
      <c r="AL1464">
        <v>90.545576945577395</v>
      </c>
      <c r="AM1464">
        <v>87.930595637272503</v>
      </c>
      <c r="AN1464">
        <v>0.99999998656799705</v>
      </c>
    </row>
    <row r="1465" spans="1:40" x14ac:dyDescent="0.3">
      <c r="A1465" t="str">
        <f>"20200111160432853"</f>
        <v>20200111160432853</v>
      </c>
      <c r="B1465" t="str">
        <f>"1578729872842556"</f>
        <v>1578729872842556</v>
      </c>
      <c r="C1465" t="s">
        <v>40</v>
      </c>
      <c r="D1465">
        <v>5.7197809999999896</v>
      </c>
      <c r="E1465">
        <v>0.50461509999999998</v>
      </c>
      <c r="F1465" t="s">
        <v>42</v>
      </c>
      <c r="G1465">
        <v>-216.50829999999999</v>
      </c>
      <c r="H1465">
        <v>1.0058640000000001</v>
      </c>
      <c r="I1465">
        <v>284.33580000000001</v>
      </c>
      <c r="J1465">
        <v>-215.91319999999999</v>
      </c>
      <c r="K1465">
        <v>1.106503</v>
      </c>
      <c r="L1465">
        <v>284.38650000000001</v>
      </c>
      <c r="M1465">
        <v>-0.99112330000000004</v>
      </c>
      <c r="N1465">
        <v>0</v>
      </c>
      <c r="O1465">
        <v>-0.13240739999999901</v>
      </c>
      <c r="P1465">
        <v>-0.99510200000000004</v>
      </c>
      <c r="Q1465">
        <v>-2.0659139999999999E-2</v>
      </c>
      <c r="R1465">
        <v>-9.6670190000000003E-2</v>
      </c>
      <c r="S1465">
        <v>-2.9798740000000001</v>
      </c>
      <c r="T1465">
        <v>-0.346883099999999</v>
      </c>
      <c r="U1465">
        <v>-0.28521729999999901</v>
      </c>
      <c r="V1465">
        <v>3.5871180000000003E-2</v>
      </c>
      <c r="W1465">
        <v>-9.0319969999999999E-3</v>
      </c>
      <c r="X1465">
        <v>0.99931559999999997</v>
      </c>
      <c r="Y1465">
        <v>3.6253140000000003E-2</v>
      </c>
      <c r="Z1465">
        <v>1.7368089999999999E-2</v>
      </c>
      <c r="AA1465">
        <v>0.99919170000000002</v>
      </c>
      <c r="AB1465">
        <v>28</v>
      </c>
      <c r="AC1465">
        <v>-0.59510000000000196</v>
      </c>
      <c r="AD1465">
        <v>-0.10063900000000001</v>
      </c>
      <c r="AE1465">
        <v>-5.0700000000006101E-2</v>
      </c>
      <c r="AF1465">
        <v>2.77595539511502E-2</v>
      </c>
      <c r="AG1465">
        <v>-0.10063900000000001</v>
      </c>
      <c r="AH1465">
        <v>0.58010228687536802</v>
      </c>
      <c r="AI1465">
        <v>99.830966161111107</v>
      </c>
      <c r="AJ1465">
        <v>87.260322958394696</v>
      </c>
      <c r="AK1465">
        <v>0.58942129618346795</v>
      </c>
      <c r="AL1465">
        <v>90.517502348265495</v>
      </c>
      <c r="AM1465">
        <v>87.944207854340704</v>
      </c>
      <c r="AN1465">
        <v>0.99999999346388002</v>
      </c>
    </row>
    <row r="1466" spans="1:40" x14ac:dyDescent="0.3">
      <c r="A1466" t="str">
        <f>"20200111160432876"</f>
        <v>20200111160432876</v>
      </c>
      <c r="B1466" t="str">
        <f>"1578729872871837"</f>
        <v>1578729872871837</v>
      </c>
      <c r="C1466" t="s">
        <v>40</v>
      </c>
      <c r="D1466">
        <v>5.7087399999999997</v>
      </c>
      <c r="E1466">
        <v>0.50439089999999998</v>
      </c>
      <c r="F1466" t="s">
        <v>42</v>
      </c>
      <c r="G1466">
        <v>-216.7568</v>
      </c>
      <c r="H1466">
        <v>1.0096369999999999</v>
      </c>
      <c r="I1466">
        <v>284.30950000000001</v>
      </c>
      <c r="J1466">
        <v>-216.1969</v>
      </c>
      <c r="K1466">
        <v>1.106428</v>
      </c>
      <c r="L1466">
        <v>284.35430000000002</v>
      </c>
      <c r="M1466">
        <v>-0.99179059999999997</v>
      </c>
      <c r="N1466">
        <v>0</v>
      </c>
      <c r="O1466">
        <v>-0.12728239999999999</v>
      </c>
      <c r="P1466">
        <v>-0.99553919999999996</v>
      </c>
      <c r="Q1466">
        <v>-2.0352950000000002E-2</v>
      </c>
      <c r="R1466">
        <v>-9.2127410000000007E-2</v>
      </c>
      <c r="S1466">
        <v>-2.9811860000000001</v>
      </c>
      <c r="T1466">
        <v>-0.34214679999999997</v>
      </c>
      <c r="U1466">
        <v>-0.27276610000000001</v>
      </c>
      <c r="V1466">
        <v>3.527164E-2</v>
      </c>
      <c r="W1466">
        <v>-8.403977E-3</v>
      </c>
      <c r="X1466">
        <v>0.99934239999999996</v>
      </c>
      <c r="Y1466">
        <v>3.5336190000000003E-2</v>
      </c>
      <c r="Z1466">
        <v>1.6497479999999998E-2</v>
      </c>
      <c r="AA1466">
        <v>0.99923930000000005</v>
      </c>
      <c r="AB1466">
        <v>28</v>
      </c>
      <c r="AC1466">
        <v>-0.55989999999999895</v>
      </c>
      <c r="AD1466">
        <v>-9.6790999999999794E-2</v>
      </c>
      <c r="AE1466">
        <v>-4.4800000000009201E-2</v>
      </c>
      <c r="AF1466">
        <v>2.6061336763720699E-2</v>
      </c>
      <c r="AG1466">
        <v>-9.6790999999999794E-2</v>
      </c>
      <c r="AH1466">
        <v>0.54486840930913805</v>
      </c>
      <c r="AI1466">
        <v>100.061736856842</v>
      </c>
      <c r="AJ1466">
        <v>87.261600336878899</v>
      </c>
      <c r="AK1466">
        <v>0.55401198039210497</v>
      </c>
      <c r="AL1466">
        <v>90.481518093908903</v>
      </c>
      <c r="AM1466">
        <v>87.978593157223202</v>
      </c>
      <c r="AN1466">
        <v>0.99999997392773199</v>
      </c>
    </row>
    <row r="1467" spans="1:40" x14ac:dyDescent="0.3">
      <c r="A1467" t="str">
        <f>"20200111160432899"</f>
        <v>20200111160432899</v>
      </c>
      <c r="B1467" t="str">
        <f>"1578729872892333"</f>
        <v>1578729872892333</v>
      </c>
      <c r="C1467" t="s">
        <v>40</v>
      </c>
      <c r="D1467">
        <v>5.6980199999999996</v>
      </c>
      <c r="E1467">
        <v>0.50437520000000002</v>
      </c>
      <c r="F1467" t="s">
        <v>42</v>
      </c>
      <c r="G1467">
        <v>-217.00630000000001</v>
      </c>
      <c r="H1467">
        <v>1.0158430000000001</v>
      </c>
      <c r="I1467">
        <v>284.28379999999999</v>
      </c>
      <c r="J1467">
        <v>-216.47049999999999</v>
      </c>
      <c r="K1467">
        <v>1.1063499999999999</v>
      </c>
      <c r="L1467">
        <v>284.32479999999998</v>
      </c>
      <c r="M1467">
        <v>-0.99242850000000005</v>
      </c>
      <c r="N1467">
        <v>0</v>
      </c>
      <c r="O1467">
        <v>-0.1221817</v>
      </c>
      <c r="P1467">
        <v>-0.99591419999999997</v>
      </c>
      <c r="Q1467">
        <v>-1.9010610000000001E-2</v>
      </c>
      <c r="R1467">
        <v>-8.8280310000000001E-2</v>
      </c>
      <c r="S1467">
        <v>-2.9825900000000001</v>
      </c>
      <c r="T1467">
        <v>-0.33380500000000002</v>
      </c>
      <c r="U1467">
        <v>-0.2598877</v>
      </c>
      <c r="V1467">
        <v>3.4011550000000002E-2</v>
      </c>
      <c r="W1467">
        <v>-6.7838330000000004E-3</v>
      </c>
      <c r="X1467">
        <v>0.99939840000000002</v>
      </c>
      <c r="Y1467">
        <v>3.4608409999999999E-2</v>
      </c>
      <c r="Z1467">
        <v>1.549066E-2</v>
      </c>
      <c r="AA1467">
        <v>0.99928090000000003</v>
      </c>
      <c r="AB1467">
        <v>28</v>
      </c>
      <c r="AC1467">
        <v>-0.53580000000002304</v>
      </c>
      <c r="AD1467">
        <v>-9.0506999999999893E-2</v>
      </c>
      <c r="AE1467">
        <v>-4.0999999999996803E-2</v>
      </c>
      <c r="AF1467">
        <v>2.4093849382302399E-2</v>
      </c>
      <c r="AG1467">
        <v>-9.0506999999999893E-2</v>
      </c>
      <c r="AH1467">
        <v>0.52198730933173698</v>
      </c>
      <c r="AI1467">
        <v>99.826417529582699</v>
      </c>
      <c r="AJ1467">
        <v>87.357221687487694</v>
      </c>
      <c r="AK1467">
        <v>0.53032328039644205</v>
      </c>
      <c r="AL1467">
        <v>90.388687987371497</v>
      </c>
      <c r="AM1467">
        <v>88.050860927162603</v>
      </c>
      <c r="AN1467">
        <v>0.99999998392306699</v>
      </c>
    </row>
    <row r="1468" spans="1:40" x14ac:dyDescent="0.3">
      <c r="A1468" t="str">
        <f>"20200111160432923"</f>
        <v>20200111160432923</v>
      </c>
      <c r="B1468" t="str">
        <f>"1578729872911853"</f>
        <v>1578729872911853</v>
      </c>
      <c r="C1468" t="s">
        <v>40</v>
      </c>
      <c r="D1468">
        <v>5.6885089999999998</v>
      </c>
      <c r="E1468">
        <v>0.50433419999999995</v>
      </c>
      <c r="F1468" t="s">
        <v>42</v>
      </c>
      <c r="G1468">
        <v>-217.25489999999999</v>
      </c>
      <c r="H1468">
        <v>1.0202599999999999</v>
      </c>
      <c r="I1468">
        <v>284.25979999999998</v>
      </c>
      <c r="J1468">
        <v>-216.7704</v>
      </c>
      <c r="K1468">
        <v>1.10625</v>
      </c>
      <c r="L1468">
        <v>284.29419999999999</v>
      </c>
      <c r="M1468">
        <v>-0.99311830000000001</v>
      </c>
      <c r="N1468">
        <v>0</v>
      </c>
      <c r="O1468">
        <v>-0.116413</v>
      </c>
      <c r="P1468">
        <v>-0.99637940000000003</v>
      </c>
      <c r="Q1468">
        <v>-1.650679E-2</v>
      </c>
      <c r="R1468">
        <v>-8.3402329999999997E-2</v>
      </c>
      <c r="S1468">
        <v>-2.9841000000000002</v>
      </c>
      <c r="T1468">
        <v>-0.32745659999999999</v>
      </c>
      <c r="U1468">
        <v>-0.24780269999999999</v>
      </c>
      <c r="V1468">
        <v>3.3128730000000002E-2</v>
      </c>
      <c r="W1468">
        <v>-4.0182689999999997E-3</v>
      </c>
      <c r="X1468">
        <v>0.99944299999999997</v>
      </c>
      <c r="Y1468">
        <v>3.2943890000000003E-2</v>
      </c>
      <c r="Z1468">
        <v>1.447761E-2</v>
      </c>
      <c r="AA1468">
        <v>0.99935229999999997</v>
      </c>
      <c r="AB1468">
        <v>27</v>
      </c>
      <c r="AC1468">
        <v>-0.48449999999999699</v>
      </c>
      <c r="AD1468">
        <v>-8.5989999999999997E-2</v>
      </c>
      <c r="AE1468">
        <v>-3.4400000000005003E-2</v>
      </c>
      <c r="AF1468">
        <v>2.1564773713944E-2</v>
      </c>
      <c r="AG1468">
        <v>-8.5989999999999997E-2</v>
      </c>
      <c r="AH1468">
        <v>0.47046498743103399</v>
      </c>
      <c r="AI1468">
        <v>100.34736527990501</v>
      </c>
      <c r="AJ1468">
        <v>87.375561810682001</v>
      </c>
      <c r="AK1468">
        <v>0.47874484223207697</v>
      </c>
      <c r="AL1468">
        <v>90.230230477732505</v>
      </c>
      <c r="AM1468">
        <v>88.101500852268302</v>
      </c>
      <c r="AN1468">
        <v>0.99999998474308405</v>
      </c>
    </row>
    <row r="1469" spans="1:40" x14ac:dyDescent="0.3">
      <c r="A1469" t="str">
        <f>"20200111160432943"</f>
        <v>20200111160432943</v>
      </c>
      <c r="B1469" t="str">
        <f>"1578729872932348"</f>
        <v>1578729872932348</v>
      </c>
      <c r="C1469" t="s">
        <v>40</v>
      </c>
      <c r="D1469">
        <v>5.6538930000000001</v>
      </c>
      <c r="E1469">
        <v>0.50420489999999996</v>
      </c>
      <c r="F1469" t="s">
        <v>42</v>
      </c>
      <c r="G1469">
        <v>-217.50540000000001</v>
      </c>
      <c r="H1469">
        <v>1.029018</v>
      </c>
      <c r="I1469">
        <v>284.23680000000002</v>
      </c>
      <c r="J1469">
        <v>-217.0138</v>
      </c>
      <c r="K1469">
        <v>1.106163</v>
      </c>
      <c r="L1469">
        <v>284.27089999999998</v>
      </c>
      <c r="M1469">
        <v>-0.993672</v>
      </c>
      <c r="N1469">
        <v>0</v>
      </c>
      <c r="O1469">
        <v>-0.111567</v>
      </c>
      <c r="P1469">
        <v>-0.99672530000000004</v>
      </c>
      <c r="Q1469">
        <v>-1.269882E-2</v>
      </c>
      <c r="R1469">
        <v>-7.9862749999999996E-2</v>
      </c>
      <c r="S1469">
        <v>-2.986237</v>
      </c>
      <c r="T1469">
        <v>-0.31387759999999998</v>
      </c>
      <c r="U1469">
        <v>-0.23260500000000001</v>
      </c>
      <c r="V1469">
        <v>3.1848500000000002E-2</v>
      </c>
      <c r="W1469" s="1">
        <v>-1.991948E-5</v>
      </c>
      <c r="X1469">
        <v>0.99949270000000001</v>
      </c>
      <c r="Y1469">
        <v>3.3277760000000003E-2</v>
      </c>
      <c r="Z1469">
        <v>1.338835E-2</v>
      </c>
      <c r="AA1469">
        <v>0.99935640000000003</v>
      </c>
      <c r="AB1469">
        <v>27</v>
      </c>
      <c r="AC1469">
        <v>-0.49160000000000498</v>
      </c>
      <c r="AD1469">
        <v>-7.7145000000000005E-2</v>
      </c>
      <c r="AE1469">
        <v>-3.4099999999966699E-2</v>
      </c>
      <c r="AF1469">
        <v>2.04623993110245E-2</v>
      </c>
      <c r="AG1469">
        <v>-7.7145000000000005E-2</v>
      </c>
      <c r="AH1469">
        <v>0.48055764653861799</v>
      </c>
      <c r="AI1469">
        <v>99.111890941587802</v>
      </c>
      <c r="AJ1469">
        <v>87.561788201886699</v>
      </c>
      <c r="AK1469">
        <v>0.487140341644273</v>
      </c>
      <c r="AL1469">
        <v>90.001141302142898</v>
      </c>
      <c r="AM1469">
        <v>88.174906722917896</v>
      </c>
      <c r="AN1469">
        <v>0.99999999235116199</v>
      </c>
    </row>
    <row r="1470" spans="1:40" x14ac:dyDescent="0.3">
      <c r="A1470" t="str">
        <f>"20200111160432964"</f>
        <v>20200111160432964</v>
      </c>
      <c r="B1470" t="str">
        <f>"1578729872962604"</f>
        <v>1578729872962604</v>
      </c>
      <c r="C1470" t="s">
        <v>40</v>
      </c>
      <c r="D1470">
        <v>5.6505780000000003</v>
      </c>
      <c r="E1470">
        <v>0.50386900000000001</v>
      </c>
      <c r="F1470" t="s">
        <v>42</v>
      </c>
      <c r="G1470">
        <v>-217.7533</v>
      </c>
      <c r="H1470">
        <v>1.0327839999999999</v>
      </c>
      <c r="I1470">
        <v>284.21589999999998</v>
      </c>
      <c r="J1470">
        <v>-217.27809999999999</v>
      </c>
      <c r="K1470">
        <v>1.1060829999999999</v>
      </c>
      <c r="L1470">
        <v>284.24709999999999</v>
      </c>
      <c r="M1470">
        <v>-0.99426429999999999</v>
      </c>
      <c r="N1470">
        <v>0</v>
      </c>
      <c r="O1470">
        <v>-0.1061373</v>
      </c>
      <c r="P1470">
        <v>-0.99708379999999996</v>
      </c>
      <c r="Q1470">
        <v>-5.7899730000000003E-3</v>
      </c>
      <c r="R1470">
        <v>-7.6098760000000001E-2</v>
      </c>
      <c r="S1470">
        <v>-2.9882810000000002</v>
      </c>
      <c r="T1470">
        <v>-0.29643920000000001</v>
      </c>
      <c r="U1470">
        <v>-0.22238160000000001</v>
      </c>
      <c r="V1470">
        <v>3.024193E-2</v>
      </c>
      <c r="W1470">
        <v>7.076031E-3</v>
      </c>
      <c r="X1470">
        <v>0.99951760000000001</v>
      </c>
      <c r="Y1470">
        <v>3.1391809999999999E-2</v>
      </c>
      <c r="Z1470">
        <v>1.201553E-2</v>
      </c>
      <c r="AA1470">
        <v>0.99943490000000001</v>
      </c>
      <c r="AB1470">
        <v>27</v>
      </c>
      <c r="AC1470">
        <v>-0.47520000000000101</v>
      </c>
      <c r="AD1470">
        <v>-7.3299000000000003E-2</v>
      </c>
      <c r="AE1470">
        <v>-3.1200000000012499E-2</v>
      </c>
      <c r="AF1470">
        <v>1.8967726262161901E-2</v>
      </c>
      <c r="AG1470">
        <v>-7.3299000000000003E-2</v>
      </c>
      <c r="AH1470">
        <v>0.46481539769124097</v>
      </c>
      <c r="AI1470">
        <v>98.954121587225799</v>
      </c>
      <c r="AJ1470">
        <v>87.663227090476298</v>
      </c>
      <c r="AK1470">
        <v>0.47094147404048298</v>
      </c>
      <c r="AL1470">
        <v>89.594569920280506</v>
      </c>
      <c r="AM1470">
        <v>88.266957485038901</v>
      </c>
      <c r="AN1470">
        <v>1.00000003862729</v>
      </c>
    </row>
    <row r="1471" spans="1:40" x14ac:dyDescent="0.3">
      <c r="A1471" t="str">
        <f>"20200111160432997"</f>
        <v>20200111160432997</v>
      </c>
      <c r="B1471" t="str">
        <f>"1578729872991886"</f>
        <v>1578729872991886</v>
      </c>
      <c r="C1471" t="s">
        <v>40</v>
      </c>
      <c r="D1471">
        <v>5.6947650000000003</v>
      </c>
      <c r="E1471">
        <v>0.50304870000000002</v>
      </c>
      <c r="F1471" t="s">
        <v>42</v>
      </c>
      <c r="G1471">
        <v>-218.23830000000001</v>
      </c>
      <c r="H1471">
        <v>1.0188200000000001</v>
      </c>
      <c r="I1471">
        <v>284.17880000000002</v>
      </c>
      <c r="J1471">
        <v>-217.6858</v>
      </c>
      <c r="K1471">
        <v>1.1059589999999999</v>
      </c>
      <c r="L1471">
        <v>284.214</v>
      </c>
      <c r="M1471">
        <v>-0.99515489999999995</v>
      </c>
      <c r="N1471">
        <v>0</v>
      </c>
      <c r="O1471">
        <v>-9.7401169999999995E-2</v>
      </c>
      <c r="P1471">
        <v>-0.99767839999999997</v>
      </c>
      <c r="Q1471">
        <v>2.5557840000000002E-3</v>
      </c>
      <c r="R1471">
        <v>-6.8056430000000001E-2</v>
      </c>
      <c r="S1471">
        <v>-2.990936</v>
      </c>
      <c r="T1471">
        <v>-0.27179189999999998</v>
      </c>
      <c r="U1471">
        <v>-0.2130737</v>
      </c>
      <c r="V1471">
        <v>2.9619570000000001E-2</v>
      </c>
      <c r="W1471">
        <v>1.5648499999999999E-2</v>
      </c>
      <c r="X1471">
        <v>0.99943879999999996</v>
      </c>
      <c r="Y1471">
        <v>2.5938050000000001E-2</v>
      </c>
      <c r="Z1471">
        <v>9.9789790000000007E-3</v>
      </c>
      <c r="AA1471">
        <v>0.9996138</v>
      </c>
      <c r="AB1471">
        <v>27</v>
      </c>
      <c r="AC1471">
        <v>-0.55250000000000898</v>
      </c>
      <c r="AD1471">
        <v>-8.71389999999998E-2</v>
      </c>
      <c r="AE1471">
        <v>-3.51999999999748E-2</v>
      </c>
      <c r="AF1471">
        <v>1.8332214597959799E-2</v>
      </c>
      <c r="AG1471">
        <v>-8.71389999999998E-2</v>
      </c>
      <c r="AH1471">
        <v>0.53992506614690905</v>
      </c>
      <c r="AI1471">
        <v>99.162773926009095</v>
      </c>
      <c r="AJ1471">
        <v>88.055368708877197</v>
      </c>
      <c r="AK1471">
        <v>0.547218742795612</v>
      </c>
      <c r="AL1471">
        <v>89.103370447032802</v>
      </c>
      <c r="AM1471">
        <v>88.302467581056206</v>
      </c>
      <c r="AN1471">
        <v>1.00000005471233</v>
      </c>
    </row>
    <row r="1472" spans="1:40" x14ac:dyDescent="0.3">
      <c r="A1472" t="str">
        <f>"20200111160433020"</f>
        <v>20200111160433020</v>
      </c>
      <c r="B1472" t="str">
        <f>"1578729873012380"</f>
        <v>1578729873012380</v>
      </c>
      <c r="C1472" t="s">
        <v>40</v>
      </c>
      <c r="D1472">
        <v>5.6803929999999996</v>
      </c>
      <c r="E1472">
        <v>0.50276089999999996</v>
      </c>
      <c r="F1472" t="s">
        <v>42</v>
      </c>
      <c r="G1472">
        <v>-218.49420000000001</v>
      </c>
      <c r="H1472">
        <v>1.0387820000000001</v>
      </c>
      <c r="I1472">
        <v>284.16109999999998</v>
      </c>
      <c r="J1472">
        <v>-217.9665</v>
      </c>
      <c r="K1472">
        <v>1.105885</v>
      </c>
      <c r="L1472">
        <v>284.19330000000002</v>
      </c>
      <c r="M1472">
        <v>-0.99574059999999998</v>
      </c>
      <c r="N1472">
        <v>0</v>
      </c>
      <c r="O1472">
        <v>-9.1199139999999998E-2</v>
      </c>
      <c r="P1472">
        <v>-0.9980424</v>
      </c>
      <c r="Q1472">
        <v>7.2340349999999998E-3</v>
      </c>
      <c r="R1472">
        <v>-6.2123820000000003E-2</v>
      </c>
      <c r="S1472">
        <v>-2.9942319999999998</v>
      </c>
      <c r="T1472">
        <v>-0.2487289</v>
      </c>
      <c r="U1472">
        <v>-0.19616700000000001</v>
      </c>
      <c r="V1472">
        <v>2.938928E-2</v>
      </c>
      <c r="W1472">
        <v>2.0458049999999998E-2</v>
      </c>
      <c r="X1472">
        <v>0.99935870000000004</v>
      </c>
      <c r="Y1472">
        <v>2.5511019999999999E-2</v>
      </c>
      <c r="Z1472">
        <v>8.5985850000000006E-3</v>
      </c>
      <c r="AA1472">
        <v>0.99963749999999996</v>
      </c>
      <c r="AB1472">
        <v>27</v>
      </c>
      <c r="AC1472">
        <v>-0.52770000000000905</v>
      </c>
      <c r="AD1472">
        <v>-6.7103000000000093E-2</v>
      </c>
      <c r="AE1472">
        <v>-3.2200000000045699E-2</v>
      </c>
      <c r="AF1472">
        <v>1.58097172210039E-2</v>
      </c>
      <c r="AG1472">
        <v>-6.7103000000000093E-2</v>
      </c>
      <c r="AH1472">
        <v>0.52005922398841298</v>
      </c>
      <c r="AI1472">
        <v>97.348868103552206</v>
      </c>
      <c r="AJ1472">
        <v>88.258753726737297</v>
      </c>
      <c r="AK1472">
        <v>0.52460876491251895</v>
      </c>
      <c r="AL1472">
        <v>88.827758340867604</v>
      </c>
      <c r="AM1472">
        <v>88.315523215043896</v>
      </c>
      <c r="AN1472">
        <v>1.0000000364271999</v>
      </c>
    </row>
    <row r="1473" spans="1:40" x14ac:dyDescent="0.3">
      <c r="A1473" t="str">
        <f>"20200111160433043"</f>
        <v>20200111160433043</v>
      </c>
      <c r="B1473" t="str">
        <f>"1578729873031900"</f>
        <v>1578729873031900</v>
      </c>
      <c r="C1473" t="s">
        <v>40</v>
      </c>
      <c r="D1473">
        <v>5.6660380000000004</v>
      </c>
      <c r="E1473">
        <v>0.4969672</v>
      </c>
      <c r="F1473" t="s">
        <v>42</v>
      </c>
      <c r="G1473">
        <v>-218.74469999999999</v>
      </c>
      <c r="H1473">
        <v>1.0443530000000001</v>
      </c>
      <c r="I1473">
        <v>284.14620000000002</v>
      </c>
      <c r="J1473">
        <v>-218.24809999999999</v>
      </c>
      <c r="K1473">
        <v>1.1058220000000001</v>
      </c>
      <c r="L1473">
        <v>284.17450000000002</v>
      </c>
      <c r="M1473">
        <v>-0.99630359999999996</v>
      </c>
      <c r="N1473">
        <v>0</v>
      </c>
      <c r="O1473">
        <v>-8.4808040000000001E-2</v>
      </c>
      <c r="P1473">
        <v>-0.9983398</v>
      </c>
      <c r="Q1473">
        <v>1.130102E-2</v>
      </c>
      <c r="R1473">
        <v>-5.6481539999999997E-2</v>
      </c>
      <c r="S1473">
        <v>-2.9963229999999998</v>
      </c>
      <c r="T1473">
        <v>-0.2369204</v>
      </c>
      <c r="U1473">
        <v>-0.181366</v>
      </c>
      <c r="V1473">
        <v>2.8674180000000001E-2</v>
      </c>
      <c r="W1473">
        <v>2.464409E-2</v>
      </c>
      <c r="X1473">
        <v>0.99928499999999998</v>
      </c>
      <c r="Y1473">
        <v>2.4121920000000002E-2</v>
      </c>
      <c r="Z1473">
        <v>7.6308749999999996E-3</v>
      </c>
      <c r="AA1473">
        <v>0.99967989999999995</v>
      </c>
      <c r="AB1473">
        <v>27</v>
      </c>
      <c r="AC1473">
        <v>-0.49659999999999999</v>
      </c>
      <c r="AD1473">
        <v>-6.1468999999999697E-2</v>
      </c>
      <c r="AE1473">
        <v>-2.8300000000001501E-2</v>
      </c>
      <c r="AF1473">
        <v>1.37121708728636E-2</v>
      </c>
      <c r="AG1473">
        <v>-6.1468999999999697E-2</v>
      </c>
      <c r="AH1473">
        <v>0.48973176578960398</v>
      </c>
      <c r="AI1473">
        <v>97.151330824088305</v>
      </c>
      <c r="AJ1473">
        <v>88.396174470404503</v>
      </c>
      <c r="AK1473">
        <v>0.49376478612234997</v>
      </c>
      <c r="AL1473">
        <v>88.587854724491095</v>
      </c>
      <c r="AM1473">
        <v>88.356366000073095</v>
      </c>
      <c r="AN1473">
        <v>1.0000000254977901</v>
      </c>
    </row>
    <row r="1474" spans="1:40" x14ac:dyDescent="0.3">
      <c r="A1474" t="str">
        <f>"20200111160433066"</f>
        <v>20200111160433066</v>
      </c>
      <c r="B1474" t="str">
        <f>"1578729873062157"</f>
        <v>1578729873062157</v>
      </c>
      <c r="C1474" t="s">
        <v>40</v>
      </c>
      <c r="D1474">
        <v>6.6386500000000002</v>
      </c>
      <c r="E1474">
        <v>0.4974481</v>
      </c>
      <c r="F1474" t="s">
        <v>42</v>
      </c>
      <c r="G1474">
        <v>-218.98480000000001</v>
      </c>
      <c r="H1474">
        <v>1.037631</v>
      </c>
      <c r="I1474">
        <v>284.12180000000001</v>
      </c>
      <c r="J1474">
        <v>-218.51310000000001</v>
      </c>
      <c r="K1474">
        <v>1.105761</v>
      </c>
      <c r="L1474">
        <v>284.15870000000001</v>
      </c>
      <c r="M1474">
        <v>-0.99680840000000004</v>
      </c>
      <c r="N1474">
        <v>0</v>
      </c>
      <c r="O1474">
        <v>-7.8637730000000003E-2</v>
      </c>
      <c r="P1474">
        <v>-0.99863049999999998</v>
      </c>
      <c r="Q1474">
        <v>1.3850670000000001E-2</v>
      </c>
      <c r="R1474">
        <v>-5.0453989999999997E-2</v>
      </c>
      <c r="S1474">
        <v>-2.995987</v>
      </c>
      <c r="T1474">
        <v>-0.27726659999999997</v>
      </c>
      <c r="U1474">
        <v>-0.21450810000000001</v>
      </c>
      <c r="V1474">
        <v>2.8552310000000001E-2</v>
      </c>
      <c r="W1474">
        <v>2.7286310000000001E-2</v>
      </c>
      <c r="X1474">
        <v>0.99921979999999999</v>
      </c>
      <c r="Y1474">
        <v>6.8872999999999998E-3</v>
      </c>
      <c r="Z1474">
        <v>7.560448E-3</v>
      </c>
      <c r="AA1474">
        <v>0.99994769999999999</v>
      </c>
      <c r="AB1474">
        <v>27</v>
      </c>
      <c r="AC1474">
        <v>-0.47169999999999801</v>
      </c>
      <c r="AD1474">
        <v>-6.8129999999999996E-2</v>
      </c>
      <c r="AE1474">
        <v>-3.6900000000002799E-2</v>
      </c>
      <c r="AF1474">
        <v>3.04894842016949E-4</v>
      </c>
      <c r="AG1474">
        <v>-6.8129999999999996E-2</v>
      </c>
      <c r="AH1474">
        <v>0.46352989530164501</v>
      </c>
      <c r="AI1474">
        <v>98.361509129652504</v>
      </c>
      <c r="AJ1474">
        <v>89.9623127110019</v>
      </c>
      <c r="AK1474">
        <v>0.46851014257881202</v>
      </c>
      <c r="AL1474">
        <v>88.436415520585001</v>
      </c>
      <c r="AM1474">
        <v>88.363241173527896</v>
      </c>
      <c r="AN1474">
        <v>0.99999999291589603</v>
      </c>
    </row>
    <row r="1475" spans="1:40" x14ac:dyDescent="0.3">
      <c r="A1475" t="str">
        <f>"20200111160433088"</f>
        <v>20200111160433088</v>
      </c>
      <c r="B1475" t="str">
        <f>"1578729873082653"</f>
        <v>1578729873082653</v>
      </c>
      <c r="C1475" t="s">
        <v>40</v>
      </c>
      <c r="D1475">
        <v>5.8557459999999999</v>
      </c>
      <c r="E1475">
        <v>0.53131890000000004</v>
      </c>
      <c r="F1475" t="s">
        <v>42</v>
      </c>
      <c r="G1475">
        <v>-219.46530000000001</v>
      </c>
      <c r="H1475">
        <v>1.021801</v>
      </c>
      <c r="I1475">
        <v>284.09739999999999</v>
      </c>
      <c r="J1475">
        <v>-218.79939999999999</v>
      </c>
      <c r="K1475">
        <v>1.1056950000000001</v>
      </c>
      <c r="L1475">
        <v>284.1438</v>
      </c>
      <c r="M1475">
        <v>-0.99732010000000004</v>
      </c>
      <c r="N1475">
        <v>0</v>
      </c>
      <c r="O1475">
        <v>-7.1837999999999999E-2</v>
      </c>
      <c r="P1475">
        <v>-0.99892099999999995</v>
      </c>
      <c r="Q1475">
        <v>1.6020119999999999E-2</v>
      </c>
      <c r="R1475">
        <v>-4.3590480000000001E-2</v>
      </c>
      <c r="S1475">
        <v>-2.9980159999999998</v>
      </c>
      <c r="T1475">
        <v>-0.26449660000000003</v>
      </c>
      <c r="U1475">
        <v>-0.19290160000000001</v>
      </c>
      <c r="V1475">
        <v>2.8633990000000002E-2</v>
      </c>
      <c r="W1475">
        <v>2.9540360000000002E-2</v>
      </c>
      <c r="X1475">
        <v>0.99915339999999997</v>
      </c>
      <c r="Y1475">
        <v>7.3466499999999997E-3</v>
      </c>
      <c r="Z1475">
        <v>6.6350339999999997E-3</v>
      </c>
      <c r="AA1475">
        <v>0.99995100000000003</v>
      </c>
      <c r="AB1475">
        <v>27</v>
      </c>
      <c r="AC1475">
        <v>-0.66590000000002103</v>
      </c>
      <c r="AD1475">
        <v>-8.3894000000000093E-2</v>
      </c>
      <c r="AE1475">
        <v>-4.6400000000005499E-2</v>
      </c>
      <c r="AF1475">
        <v>1.53714110528893E-3</v>
      </c>
      <c r="AG1475">
        <v>-8.3894000000000093E-2</v>
      </c>
      <c r="AH1475">
        <v>0.65713288886967403</v>
      </c>
      <c r="AI1475">
        <v>97.275388065061094</v>
      </c>
      <c r="AJ1475">
        <v>89.865976062516594</v>
      </c>
      <c r="AK1475">
        <v>0.66246826314396501</v>
      </c>
      <c r="AL1475">
        <v>88.307215835832196</v>
      </c>
      <c r="AM1475">
        <v>88.358452407931907</v>
      </c>
      <c r="AN1475">
        <v>1.0000000274919001</v>
      </c>
    </row>
    <row r="1476" spans="1:40" x14ac:dyDescent="0.3">
      <c r="A1476" t="str">
        <f>"20200111160433109"</f>
        <v>20200111160433109</v>
      </c>
      <c r="B1476" t="str">
        <f>"1578729873102173"</f>
        <v>1578729873102173</v>
      </c>
      <c r="C1476" t="s">
        <v>40</v>
      </c>
      <c r="D1476">
        <v>5.8424050000000003</v>
      </c>
      <c r="E1476">
        <v>0.54538980000000004</v>
      </c>
      <c r="F1476" t="s">
        <v>59</v>
      </c>
      <c r="G1476">
        <v>-510.07100000000003</v>
      </c>
      <c r="H1476">
        <v>7.0115729999999896</v>
      </c>
      <c r="I1476">
        <v>295.77690000000001</v>
      </c>
      <c r="J1476">
        <v>-219.06460000000001</v>
      </c>
      <c r="K1476">
        <v>1.1056410000000001</v>
      </c>
      <c r="L1476">
        <v>284.13170000000002</v>
      </c>
      <c r="M1476">
        <v>-0.99775800000000003</v>
      </c>
      <c r="N1476">
        <v>0</v>
      </c>
      <c r="O1476">
        <v>-6.5457669999999996E-2</v>
      </c>
      <c r="P1476">
        <v>-0.99918689999999999</v>
      </c>
      <c r="Q1476">
        <v>1.7516919999999998E-2</v>
      </c>
      <c r="R1476">
        <v>-3.6313280000000003E-2</v>
      </c>
      <c r="S1476">
        <v>-3.0075069999999999</v>
      </c>
      <c r="T1476">
        <v>6.0981630000000002E-2</v>
      </c>
      <c r="U1476">
        <v>0.12011719999999999</v>
      </c>
      <c r="V1476">
        <v>2.9542990000000002E-2</v>
      </c>
      <c r="W1476">
        <v>3.1095560000000001E-2</v>
      </c>
      <c r="X1476">
        <v>0.99907970000000001</v>
      </c>
      <c r="Y1476">
        <v>0.1051986</v>
      </c>
      <c r="Z1476">
        <v>-2.3924290000000002E-3</v>
      </c>
      <c r="AA1476">
        <v>0.99444840000000001</v>
      </c>
      <c r="AB1476">
        <v>27</v>
      </c>
      <c r="AC1476">
        <v>-291.00639999999999</v>
      </c>
      <c r="AD1476">
        <v>5.9059319999999902</v>
      </c>
      <c r="AE1476">
        <v>11.6451999999999</v>
      </c>
      <c r="AF1476">
        <v>30.6580643664166</v>
      </c>
      <c r="AG1476">
        <v>5.9059319999999902</v>
      </c>
      <c r="AH1476">
        <v>289.500779885844</v>
      </c>
      <c r="AI1476">
        <v>88.837802149978202</v>
      </c>
      <c r="AJ1476">
        <v>83.954921300004798</v>
      </c>
      <c r="AK1476">
        <v>291.17949532546999</v>
      </c>
      <c r="AL1476">
        <v>88.218068375786999</v>
      </c>
      <c r="AM1476">
        <v>88.306245698630207</v>
      </c>
      <c r="AN1476">
        <v>0.99999998453097105</v>
      </c>
    </row>
    <row r="1477" spans="1:40" x14ac:dyDescent="0.3">
      <c r="A1477" t="str">
        <f>"20200111160433132"</f>
        <v>20200111160433132</v>
      </c>
      <c r="B1477" t="str">
        <f>"1578729873122669"</f>
        <v>1578729873122669</v>
      </c>
      <c r="C1477" t="s">
        <v>40</v>
      </c>
      <c r="D1477">
        <v>5.8645659999999999</v>
      </c>
      <c r="E1477">
        <v>0.54425009999999996</v>
      </c>
      <c r="F1477" t="s">
        <v>42</v>
      </c>
      <c r="G1477">
        <v>-219.95939999999999</v>
      </c>
      <c r="H1477">
        <v>1.0171889999999999</v>
      </c>
      <c r="I1477">
        <v>284.19940000000003</v>
      </c>
      <c r="J1477">
        <v>-219.3365</v>
      </c>
      <c r="K1477">
        <v>1.1056079999999999</v>
      </c>
      <c r="L1477">
        <v>284.12119999999999</v>
      </c>
      <c r="M1477">
        <v>-0.99816819999999895</v>
      </c>
      <c r="N1477">
        <v>0</v>
      </c>
      <c r="O1477">
        <v>-5.8859229999999998E-2</v>
      </c>
      <c r="P1477">
        <v>-0.99938199999999999</v>
      </c>
      <c r="Q1477">
        <v>1.9528259999999999E-2</v>
      </c>
      <c r="R1477">
        <v>-2.9230849999999999E-2</v>
      </c>
      <c r="S1477">
        <v>-3.0159760000000002</v>
      </c>
      <c r="T1477">
        <v>-0.29817660000000001</v>
      </c>
      <c r="U1477">
        <v>0.2283936</v>
      </c>
      <c r="V1477">
        <v>3.0043609999999998E-2</v>
      </c>
      <c r="W1477">
        <v>3.3161589999999998E-2</v>
      </c>
      <c r="X1477">
        <v>0.99899830000000001</v>
      </c>
      <c r="Y1477">
        <v>0.13314609999999999</v>
      </c>
      <c r="Z1477">
        <v>1.2354510000000001E-2</v>
      </c>
      <c r="AA1477">
        <v>0.99101939999999999</v>
      </c>
      <c r="AB1477">
        <v>27</v>
      </c>
      <c r="AC1477">
        <v>-0.62289999999998702</v>
      </c>
      <c r="AD1477">
        <v>-8.8418999999999998E-2</v>
      </c>
      <c r="AE1477">
        <v>7.8200000000038003E-2</v>
      </c>
      <c r="AF1477">
        <v>0.11249980987753699</v>
      </c>
      <c r="AG1477">
        <v>-8.8418999999999998E-2</v>
      </c>
      <c r="AH1477">
        <v>0.60521139710932004</v>
      </c>
      <c r="AI1477">
        <v>98.173807387718199</v>
      </c>
      <c r="AJ1477">
        <v>79.469752698389399</v>
      </c>
      <c r="AK1477">
        <v>0.62189626303307</v>
      </c>
      <c r="AL1477">
        <v>88.099632356866607</v>
      </c>
      <c r="AM1477">
        <v>88.277421110195306</v>
      </c>
      <c r="AN1477">
        <v>0.99999995647802398</v>
      </c>
    </row>
    <row r="1478" spans="1:40" x14ac:dyDescent="0.3">
      <c r="A1478" t="str">
        <f>"20200111160433153"</f>
        <v>20200111160433153</v>
      </c>
      <c r="B1478" t="str">
        <f>"1578729873142188"</f>
        <v>1578729873142188</v>
      </c>
      <c r="C1478" t="s">
        <v>40</v>
      </c>
      <c r="D1478">
        <v>5.8899269999999904</v>
      </c>
      <c r="E1478">
        <v>0.54325869999999998</v>
      </c>
      <c r="F1478" t="s">
        <v>42</v>
      </c>
      <c r="G1478">
        <v>-220.2038</v>
      </c>
      <c r="H1478">
        <v>1.01963</v>
      </c>
      <c r="I1478">
        <v>284.19040000000001</v>
      </c>
      <c r="J1478">
        <v>-219.60339999999999</v>
      </c>
      <c r="K1478">
        <v>1.1056049999999999</v>
      </c>
      <c r="L1478">
        <v>284.11259999999999</v>
      </c>
      <c r="M1478">
        <v>-0.99852980000000002</v>
      </c>
      <c r="N1478">
        <v>0</v>
      </c>
      <c r="O1478">
        <v>-5.2354049999999999E-2</v>
      </c>
      <c r="P1478">
        <v>-0.99954240000000005</v>
      </c>
      <c r="Q1478">
        <v>2.1373799999999998E-2</v>
      </c>
      <c r="R1478">
        <v>-2.140976E-2</v>
      </c>
      <c r="S1478">
        <v>-3.0147089999999999</v>
      </c>
      <c r="T1478">
        <v>-0.29865249999999999</v>
      </c>
      <c r="U1478">
        <v>0.23989869999999999</v>
      </c>
      <c r="V1478">
        <v>3.1373659999999998E-2</v>
      </c>
      <c r="W1478">
        <v>3.5042089999999998E-2</v>
      </c>
      <c r="X1478">
        <v>0.99889329999999998</v>
      </c>
      <c r="Y1478">
        <v>0.13052040000000001</v>
      </c>
      <c r="Z1478">
        <v>1.160623E-2</v>
      </c>
      <c r="AA1478">
        <v>0.99137770000000003</v>
      </c>
      <c r="AB1478">
        <v>27</v>
      </c>
      <c r="AC1478">
        <v>-0.60040000000000704</v>
      </c>
      <c r="AD1478">
        <v>-8.5974999999999899E-2</v>
      </c>
      <c r="AE1478">
        <v>7.7800000000024697E-2</v>
      </c>
      <c r="AF1478">
        <v>0.106972491297862</v>
      </c>
      <c r="AG1478">
        <v>-8.5974999999999899E-2</v>
      </c>
      <c r="AH1478">
        <v>0.583731060744764</v>
      </c>
      <c r="AI1478">
        <v>98.243246586255296</v>
      </c>
      <c r="AJ1478">
        <v>79.615403199781696</v>
      </c>
      <c r="AK1478">
        <v>0.59964720110885095</v>
      </c>
      <c r="AL1478">
        <v>87.991825085254803</v>
      </c>
      <c r="AM1478">
        <v>88.201021511980898</v>
      </c>
      <c r="AN1478">
        <v>1.00000003969912</v>
      </c>
    </row>
    <row r="1479" spans="1:40" x14ac:dyDescent="0.3">
      <c r="A1479" t="str">
        <f>"20200111160433176"</f>
        <v>20200111160433176</v>
      </c>
      <c r="B1479" t="str">
        <f>"1578729873172444"</f>
        <v>1578729873172444</v>
      </c>
      <c r="C1479" t="s">
        <v>40</v>
      </c>
      <c r="D1479">
        <v>5.9513030000000002</v>
      </c>
      <c r="E1479">
        <v>0.53615400000000002</v>
      </c>
      <c r="F1479" t="s">
        <v>42</v>
      </c>
      <c r="G1479">
        <v>-220.4485</v>
      </c>
      <c r="H1479">
        <v>1.022689</v>
      </c>
      <c r="I1479">
        <v>284.18430000000001</v>
      </c>
      <c r="J1479">
        <v>-219.8656</v>
      </c>
      <c r="K1479">
        <v>1.1056280000000001</v>
      </c>
      <c r="L1479">
        <v>284.10590000000002</v>
      </c>
      <c r="M1479">
        <v>-0.99884329999999999</v>
      </c>
      <c r="N1479">
        <v>0</v>
      </c>
      <c r="O1479">
        <v>-4.5972789999999999E-2</v>
      </c>
      <c r="P1479">
        <v>-0.99963020000000002</v>
      </c>
      <c r="Q1479">
        <v>2.3544679999999998E-2</v>
      </c>
      <c r="R1479">
        <v>-1.361221E-2</v>
      </c>
      <c r="S1479">
        <v>-3.0131380000000001</v>
      </c>
      <c r="T1479">
        <v>-0.29539379999999998</v>
      </c>
      <c r="U1479">
        <v>0.25469969999999997</v>
      </c>
      <c r="V1479">
        <v>3.2806340000000003E-2</v>
      </c>
      <c r="W1479">
        <v>3.7239349999999997E-2</v>
      </c>
      <c r="X1479">
        <v>0.99876770000000004</v>
      </c>
      <c r="Y1479">
        <v>0.12912009999999999</v>
      </c>
      <c r="Z1479">
        <v>1.079253E-2</v>
      </c>
      <c r="AA1479">
        <v>0.99157019999999996</v>
      </c>
      <c r="AB1479">
        <v>27</v>
      </c>
      <c r="AC1479">
        <v>-0.58289999999999498</v>
      </c>
      <c r="AD1479">
        <v>-8.2939000000000096E-2</v>
      </c>
      <c r="AE1479">
        <v>7.8399999999987799E-2</v>
      </c>
      <c r="AF1479">
        <v>0.10306770634637499</v>
      </c>
      <c r="AG1479">
        <v>-8.2939000000000096E-2</v>
      </c>
      <c r="AH1479">
        <v>0.56739582466126703</v>
      </c>
      <c r="AI1479">
        <v>98.184231265019093</v>
      </c>
      <c r="AJ1479">
        <v>79.704456652602602</v>
      </c>
      <c r="AK1479">
        <v>0.58261466824612496</v>
      </c>
      <c r="AL1479">
        <v>87.865848896646</v>
      </c>
      <c r="AM1479">
        <v>88.118692402626294</v>
      </c>
      <c r="AN1479">
        <v>0.99999997184795297</v>
      </c>
    </row>
    <row r="1480" spans="1:40" x14ac:dyDescent="0.3">
      <c r="A1480" t="str">
        <f>"20200111160433198"</f>
        <v>20200111160433198</v>
      </c>
      <c r="B1480" t="str">
        <f>"1578729873191964"</f>
        <v>1578729873191964</v>
      </c>
      <c r="C1480" t="s">
        <v>40</v>
      </c>
      <c r="D1480">
        <v>5.8950979999999999</v>
      </c>
      <c r="E1480">
        <v>0.53422019999999903</v>
      </c>
      <c r="F1480" t="s">
        <v>60</v>
      </c>
      <c r="G1480">
        <v>-440.87310000000002</v>
      </c>
      <c r="H1480">
        <v>6.007174</v>
      </c>
      <c r="I1480">
        <v>302.36160000000001</v>
      </c>
      <c r="J1480">
        <v>-220.1448</v>
      </c>
      <c r="K1480">
        <v>1.10568</v>
      </c>
      <c r="L1480">
        <v>284.10050000000001</v>
      </c>
      <c r="M1480">
        <v>-0.99912999999999996</v>
      </c>
      <c r="N1480">
        <v>0</v>
      </c>
      <c r="O1480">
        <v>-3.9238269999999999E-2</v>
      </c>
      <c r="P1480">
        <v>-0.99969799999999998</v>
      </c>
      <c r="Q1480">
        <v>2.3831640000000001E-2</v>
      </c>
      <c r="R1480">
        <v>-5.9987840000000001E-3</v>
      </c>
      <c r="S1480">
        <v>-3.0029140000000001</v>
      </c>
      <c r="T1480">
        <v>6.6599370000000005E-2</v>
      </c>
      <c r="U1480">
        <v>0.24804689999999999</v>
      </c>
      <c r="V1480">
        <v>3.3679059999999997E-2</v>
      </c>
      <c r="W1480">
        <v>3.7557649999999998E-2</v>
      </c>
      <c r="X1480">
        <v>0.99872680000000003</v>
      </c>
      <c r="Y1480">
        <v>0.12132800000000001</v>
      </c>
      <c r="Z1480">
        <v>-2.2118910000000001E-3</v>
      </c>
      <c r="AA1480">
        <v>0.99260999999999999</v>
      </c>
      <c r="AB1480">
        <v>27</v>
      </c>
      <c r="AC1480">
        <v>-220.72829999999999</v>
      </c>
      <c r="AD1480">
        <v>4.9014939999999996</v>
      </c>
      <c r="AE1480">
        <v>18.261099999999999</v>
      </c>
      <c r="AF1480">
        <v>26.8957228294354</v>
      </c>
      <c r="AG1480">
        <v>4.9014939999999996</v>
      </c>
      <c r="AH1480">
        <v>219.73405807070901</v>
      </c>
      <c r="AI1480">
        <v>88.731607709800599</v>
      </c>
      <c r="AJ1480">
        <v>83.021637055355001</v>
      </c>
      <c r="AK1480">
        <v>221.42822951505499</v>
      </c>
      <c r="AL1480">
        <v>87.847599026037003</v>
      </c>
      <c r="AM1480">
        <v>88.068603907264006</v>
      </c>
      <c r="AN1480">
        <v>1.0000000385971199</v>
      </c>
    </row>
    <row r="1481" spans="1:40" x14ac:dyDescent="0.3">
      <c r="A1481" t="str">
        <f>"20200111160433221"</f>
        <v>20200111160433221</v>
      </c>
      <c r="B1481" t="str">
        <f>"1578729873212460"</f>
        <v>1578729873212460</v>
      </c>
      <c r="C1481" t="s">
        <v>40</v>
      </c>
      <c r="D1481">
        <v>5.8687579999999997</v>
      </c>
      <c r="E1481">
        <v>0.53313330000000003</v>
      </c>
      <c r="F1481" t="s">
        <v>42</v>
      </c>
      <c r="G1481">
        <v>-220.93450000000001</v>
      </c>
      <c r="H1481">
        <v>1.0252870000000001</v>
      </c>
      <c r="I1481">
        <v>284.16000000000003</v>
      </c>
      <c r="J1481">
        <v>-220.4162</v>
      </c>
      <c r="K1481">
        <v>1.105775</v>
      </c>
      <c r="L1481">
        <v>284.09699999999998</v>
      </c>
      <c r="M1481">
        <v>-0.99936130000000001</v>
      </c>
      <c r="N1481">
        <v>0</v>
      </c>
      <c r="O1481">
        <v>-3.2810489999999998E-2</v>
      </c>
      <c r="P1481">
        <v>-0.99974459999999998</v>
      </c>
      <c r="Q1481">
        <v>2.2570010000000001E-2</v>
      </c>
      <c r="R1481">
        <v>1.155685E-3</v>
      </c>
      <c r="S1481">
        <v>-3.0095830000000001</v>
      </c>
      <c r="T1481">
        <v>-0.30628040000000001</v>
      </c>
      <c r="U1481">
        <v>0.22637940000000001</v>
      </c>
      <c r="V1481">
        <v>3.4381099999999998E-2</v>
      </c>
      <c r="W1481">
        <v>3.6323010000000003E-2</v>
      </c>
      <c r="X1481">
        <v>0.99874850000000004</v>
      </c>
      <c r="Y1481">
        <v>0.1069703</v>
      </c>
      <c r="Z1481">
        <v>8.7481899999999994E-3</v>
      </c>
      <c r="AA1481">
        <v>0.99422370000000004</v>
      </c>
      <c r="AB1481">
        <v>27</v>
      </c>
      <c r="AC1481">
        <v>-0.51830000000000997</v>
      </c>
      <c r="AD1481">
        <v>-8.0487999999999796E-2</v>
      </c>
      <c r="AE1481">
        <v>6.3000000000045006E-2</v>
      </c>
      <c r="AF1481">
        <v>7.8117036261387995E-2</v>
      </c>
      <c r="AG1481">
        <v>-8.0487999999999796E-2</v>
      </c>
      <c r="AH1481">
        <v>0.50397681889163903</v>
      </c>
      <c r="AI1481">
        <v>98.968513104961403</v>
      </c>
      <c r="AJ1481">
        <v>81.189197145411697</v>
      </c>
      <c r="AK1481">
        <v>0.51630729558897204</v>
      </c>
      <c r="AL1481">
        <v>87.918386910181397</v>
      </c>
      <c r="AM1481">
        <v>88.028418210848997</v>
      </c>
      <c r="AN1481">
        <v>0.99999999367245995</v>
      </c>
    </row>
    <row r="1482" spans="1:40" x14ac:dyDescent="0.3">
      <c r="A1482" t="str">
        <f>"20200111160433243"</f>
        <v>20200111160433243</v>
      </c>
      <c r="B1482" t="str">
        <f>"1578729873231980"</f>
        <v>1578729873231980</v>
      </c>
      <c r="C1482" t="s">
        <v>40</v>
      </c>
      <c r="D1482">
        <v>5.9215330000000002</v>
      </c>
      <c r="E1482">
        <v>0.52673419999999904</v>
      </c>
      <c r="F1482" t="s">
        <v>42</v>
      </c>
      <c r="G1482">
        <v>-221.1773</v>
      </c>
      <c r="H1482">
        <v>1.0261129999999901</v>
      </c>
      <c r="I1482">
        <v>284.15750000000003</v>
      </c>
      <c r="J1482">
        <v>-220.69</v>
      </c>
      <c r="K1482">
        <v>1.1059030000000001</v>
      </c>
      <c r="L1482">
        <v>284.0949</v>
      </c>
      <c r="M1482">
        <v>-0.99954810000000005</v>
      </c>
      <c r="N1482">
        <v>0</v>
      </c>
      <c r="O1482">
        <v>-2.6507099999999902E-2</v>
      </c>
      <c r="P1482">
        <v>-0.99971069999999995</v>
      </c>
      <c r="Q1482">
        <v>2.2632940000000001E-2</v>
      </c>
      <c r="R1482">
        <v>8.1534229999999999E-3</v>
      </c>
      <c r="S1482">
        <v>-3.0075989999999999</v>
      </c>
      <c r="T1482">
        <v>-0.31474679999999999</v>
      </c>
      <c r="U1482">
        <v>0.23898320000000001</v>
      </c>
      <c r="V1482">
        <v>3.5062509999999998E-2</v>
      </c>
      <c r="W1482">
        <v>3.6407839999999997E-2</v>
      </c>
      <c r="X1482">
        <v>0.99872169999999905</v>
      </c>
      <c r="Y1482">
        <v>0.1048953</v>
      </c>
      <c r="Z1482">
        <v>8.2280559999999992E-3</v>
      </c>
      <c r="AA1482">
        <v>0.99444929999999998</v>
      </c>
      <c r="AB1482">
        <v>27</v>
      </c>
      <c r="AC1482">
        <v>-0.48730000000000401</v>
      </c>
      <c r="AD1482">
        <v>-7.9790000000000194E-2</v>
      </c>
      <c r="AE1482">
        <v>6.26000000000317E-2</v>
      </c>
      <c r="AF1482">
        <v>7.3556150225508501E-2</v>
      </c>
      <c r="AG1482">
        <v>-7.9790000000000194E-2</v>
      </c>
      <c r="AH1482">
        <v>0.47299392583544803</v>
      </c>
      <c r="AI1482">
        <v>99.463502649845495</v>
      </c>
      <c r="AJ1482">
        <v>81.160631646150193</v>
      </c>
      <c r="AK1482">
        <v>0.48528363377846001</v>
      </c>
      <c r="AL1482">
        <v>87.913523247430902</v>
      </c>
      <c r="AM1482">
        <v>87.989320652816701</v>
      </c>
      <c r="AN1482">
        <v>0.99999997223592696</v>
      </c>
    </row>
    <row r="1483" spans="1:40" x14ac:dyDescent="0.3">
      <c r="A1483" t="str">
        <f>"20200111160433266"</f>
        <v>20200111160433266</v>
      </c>
      <c r="B1483" t="str">
        <f>"1578729873262236"</f>
        <v>1578729873262236</v>
      </c>
      <c r="C1483" t="s">
        <v>40</v>
      </c>
      <c r="D1483">
        <v>5.8773030000000004</v>
      </c>
      <c r="E1483">
        <v>0.52870729999999999</v>
      </c>
      <c r="F1483" t="s">
        <v>60</v>
      </c>
      <c r="G1483">
        <v>-440.20049999999998</v>
      </c>
      <c r="H1483">
        <v>7.6984669999999999</v>
      </c>
      <c r="I1483">
        <v>301.67110000000002</v>
      </c>
      <c r="J1483">
        <v>-220.95330000000001</v>
      </c>
      <c r="K1483">
        <v>1.106093</v>
      </c>
      <c r="L1483">
        <v>284.09449999999998</v>
      </c>
      <c r="M1483">
        <v>-0.99968489999999999</v>
      </c>
      <c r="N1483">
        <v>0</v>
      </c>
      <c r="O1483">
        <v>-2.0708580000000001E-2</v>
      </c>
      <c r="P1483">
        <v>-0.99959779999999998</v>
      </c>
      <c r="Q1483">
        <v>2.41941E-2</v>
      </c>
      <c r="R1483">
        <v>1.4802940000000001E-2</v>
      </c>
      <c r="S1483">
        <v>-2.9968720000000002</v>
      </c>
      <c r="T1483">
        <v>9.0005279999999993E-2</v>
      </c>
      <c r="U1483">
        <v>0.2399597</v>
      </c>
      <c r="V1483">
        <v>3.5912800000000002E-2</v>
      </c>
      <c r="W1483">
        <v>3.7984120000000003E-2</v>
      </c>
      <c r="X1483">
        <v>0.99863279999999999</v>
      </c>
      <c r="Y1483">
        <v>0.1003878</v>
      </c>
      <c r="Z1483">
        <v>-2.125699E-3</v>
      </c>
      <c r="AA1483">
        <v>0.99494610000000006</v>
      </c>
      <c r="AB1483">
        <v>27</v>
      </c>
      <c r="AC1483">
        <v>-219.24719999999999</v>
      </c>
      <c r="AD1483">
        <v>6.5923740000000004</v>
      </c>
      <c r="AE1483">
        <v>17.576599999999999</v>
      </c>
      <c r="AF1483">
        <v>22.093737796027298</v>
      </c>
      <c r="AG1483">
        <v>6.5923740000000004</v>
      </c>
      <c r="AH1483">
        <v>218.639741395523</v>
      </c>
      <c r="AI1483">
        <v>88.281699843121302</v>
      </c>
      <c r="AJ1483">
        <v>84.229798368975196</v>
      </c>
      <c r="AK1483">
        <v>219.852061992279</v>
      </c>
      <c r="AL1483">
        <v>87.823146554135704</v>
      </c>
      <c r="AM1483">
        <v>87.940418610567406</v>
      </c>
      <c r="AN1483">
        <v>0.99999999590592703</v>
      </c>
    </row>
    <row r="1484" spans="1:40" x14ac:dyDescent="0.3">
      <c r="A1484" t="str">
        <f>"20200111160433287"</f>
        <v>20200111160433287</v>
      </c>
      <c r="B1484" t="str">
        <f>"1578729873281756"</f>
        <v>1578729873281756</v>
      </c>
      <c r="C1484" t="s">
        <v>40</v>
      </c>
      <c r="D1484">
        <v>5.8601130000000001</v>
      </c>
      <c r="E1484">
        <v>0.5271306</v>
      </c>
      <c r="F1484" t="s">
        <v>57</v>
      </c>
      <c r="G1484">
        <v>-260.69479999999999</v>
      </c>
      <c r="H1484" s="1">
        <v>-1.1670330000000001E-6</v>
      </c>
      <c r="I1484">
        <v>287.5643</v>
      </c>
      <c r="J1484">
        <v>-221.22630000000001</v>
      </c>
      <c r="K1484">
        <v>1.106344</v>
      </c>
      <c r="L1484">
        <v>284.09530000000001</v>
      </c>
      <c r="M1484">
        <v>-0.99978639999999996</v>
      </c>
      <c r="N1484">
        <v>0</v>
      </c>
      <c r="O1484">
        <v>-1.5027860000000001E-2</v>
      </c>
      <c r="P1484">
        <v>-0.99940910000000005</v>
      </c>
      <c r="Q1484">
        <v>2.7062969999999999E-2</v>
      </c>
      <c r="R1484">
        <v>2.1199329999999999E-2</v>
      </c>
      <c r="S1484">
        <v>-2.9993439999999998</v>
      </c>
      <c r="T1484">
        <v>-8.3478209999999997E-2</v>
      </c>
      <c r="U1484">
        <v>0.26187129999999997</v>
      </c>
      <c r="V1484">
        <v>3.663512E-2</v>
      </c>
      <c r="W1484">
        <v>4.0867220000000003E-2</v>
      </c>
      <c r="X1484">
        <v>0.99849270000000001</v>
      </c>
      <c r="Y1484">
        <v>0.1018963</v>
      </c>
      <c r="Z1484">
        <v>1.8325139999999999E-3</v>
      </c>
      <c r="AA1484">
        <v>0.99479340000000005</v>
      </c>
      <c r="AB1484">
        <v>27</v>
      </c>
      <c r="AC1484">
        <v>-39.468499999999899</v>
      </c>
      <c r="AD1484">
        <v>-1.106345167033</v>
      </c>
      <c r="AE1484">
        <v>3.4689999999999901</v>
      </c>
      <c r="AF1484">
        <v>4.0586304004381297</v>
      </c>
      <c r="AG1484">
        <v>-1.106345167033</v>
      </c>
      <c r="AH1484">
        <v>39.381198984005898</v>
      </c>
      <c r="AI1484">
        <v>91.600726318704702</v>
      </c>
      <c r="AJ1484">
        <v>84.115864970046999</v>
      </c>
      <c r="AK1484">
        <v>39.605243513628899</v>
      </c>
      <c r="AL1484">
        <v>87.657828432023194</v>
      </c>
      <c r="AM1484">
        <v>87.898736146221395</v>
      </c>
      <c r="AN1484">
        <v>0.99999996682061498</v>
      </c>
    </row>
    <row r="1485" spans="1:40" x14ac:dyDescent="0.3">
      <c r="A1485" t="str">
        <f>"20200111160433310"</f>
        <v>20200111160433310</v>
      </c>
      <c r="B1485" t="str">
        <f>"1578729873302253"</f>
        <v>1578729873302253</v>
      </c>
      <c r="C1485" t="s">
        <v>40</v>
      </c>
      <c r="D1485">
        <v>5.8403729999999996</v>
      </c>
      <c r="E1485">
        <v>0.52589609999999998</v>
      </c>
      <c r="F1485" t="s">
        <v>57</v>
      </c>
      <c r="G1485">
        <v>-244.63640000000001</v>
      </c>
      <c r="H1485" s="1">
        <v>9.3049880000000002E-7</v>
      </c>
      <c r="I1485">
        <v>286.15069999999997</v>
      </c>
      <c r="J1485">
        <v>-221.4941</v>
      </c>
      <c r="K1485">
        <v>1.1066069999999999</v>
      </c>
      <c r="L1485">
        <v>284.09730000000002</v>
      </c>
      <c r="M1485">
        <v>-0.99985190000000002</v>
      </c>
      <c r="N1485">
        <v>0</v>
      </c>
      <c r="O1485">
        <v>-9.7540000000000005E-3</v>
      </c>
      <c r="P1485">
        <v>-0.99918379999999996</v>
      </c>
      <c r="Q1485">
        <v>3.056615E-2</v>
      </c>
      <c r="R1485">
        <v>2.6416180000000001E-2</v>
      </c>
      <c r="S1485">
        <v>-3.0000460000000002</v>
      </c>
      <c r="T1485">
        <v>-0.14177919999999999</v>
      </c>
      <c r="U1485">
        <v>0.2633972</v>
      </c>
      <c r="V1485">
        <v>3.6588519999999999E-2</v>
      </c>
      <c r="W1485">
        <v>4.4388789999999997E-2</v>
      </c>
      <c r="X1485">
        <v>0.99834409999999896</v>
      </c>
      <c r="Y1485">
        <v>9.7056400000000001E-2</v>
      </c>
      <c r="Z1485">
        <v>2.7476380000000002E-3</v>
      </c>
      <c r="AA1485">
        <v>0.99527509999999997</v>
      </c>
      <c r="AB1485">
        <v>27</v>
      </c>
      <c r="AC1485">
        <v>-23.142299999999999</v>
      </c>
      <c r="AD1485">
        <v>-1.1066060695012001</v>
      </c>
      <c r="AE1485">
        <v>2.0533999999999502</v>
      </c>
      <c r="AF1485">
        <v>2.27389631255391</v>
      </c>
      <c r="AG1485">
        <v>-1.1066060695012001</v>
      </c>
      <c r="AH1485">
        <v>23.068832906983801</v>
      </c>
      <c r="AI1485">
        <v>92.733133456926893</v>
      </c>
      <c r="AJ1485">
        <v>84.370536468826302</v>
      </c>
      <c r="AK1485">
        <v>23.207029821233899</v>
      </c>
      <c r="AL1485">
        <v>87.455873766028503</v>
      </c>
      <c r="AM1485">
        <v>87.901094480896305</v>
      </c>
      <c r="AN1485">
        <v>1.00000001323913</v>
      </c>
    </row>
    <row r="1486" spans="1:40" x14ac:dyDescent="0.3">
      <c r="A1486" t="str">
        <f>"20200111160433333"</f>
        <v>20200111160433333</v>
      </c>
      <c r="B1486" t="str">
        <f>"1578729873321772"</f>
        <v>1578729873321772</v>
      </c>
      <c r="C1486" t="s">
        <v>40</v>
      </c>
      <c r="D1486">
        <v>5.8365780000000003</v>
      </c>
      <c r="E1486">
        <v>0.52498610000000001</v>
      </c>
      <c r="F1486" t="s">
        <v>57</v>
      </c>
      <c r="G1486">
        <v>-260.04390000000001</v>
      </c>
      <c r="H1486" s="1">
        <v>-1.513408E-6</v>
      </c>
      <c r="I1486">
        <v>287.60599999999999</v>
      </c>
      <c r="J1486">
        <v>-221.76849999999999</v>
      </c>
      <c r="K1486">
        <v>1.1068849999999999</v>
      </c>
      <c r="L1486">
        <v>284.10039999999998</v>
      </c>
      <c r="M1486">
        <v>-0.99988840000000001</v>
      </c>
      <c r="N1486">
        <v>0</v>
      </c>
      <c r="O1486">
        <v>-4.7019089999999998E-3</v>
      </c>
      <c r="P1486">
        <v>-0.998919</v>
      </c>
      <c r="Q1486">
        <v>3.5388929999999999E-2</v>
      </c>
      <c r="R1486">
        <v>3.014323E-2</v>
      </c>
      <c r="S1486">
        <v>-2.9978790000000002</v>
      </c>
      <c r="T1486">
        <v>-8.6056830000000001E-2</v>
      </c>
      <c r="U1486">
        <v>0.27285769999999998</v>
      </c>
      <c r="V1486">
        <v>3.5281840000000002E-2</v>
      </c>
      <c r="W1486">
        <v>4.9239570000000003E-2</v>
      </c>
      <c r="X1486">
        <v>0.99816360000000004</v>
      </c>
      <c r="Y1486">
        <v>9.5283409999999999E-2</v>
      </c>
      <c r="Z1486">
        <v>1.4991850000000001E-3</v>
      </c>
      <c r="AA1486">
        <v>0.99544909999999998</v>
      </c>
      <c r="AB1486">
        <v>27</v>
      </c>
      <c r="AC1486">
        <v>-38.275399999999998</v>
      </c>
      <c r="AD1486">
        <v>-1.1068865134079999</v>
      </c>
      <c r="AE1486">
        <v>3.50560000000001</v>
      </c>
      <c r="AF1486">
        <v>3.6824927033604302</v>
      </c>
      <c r="AG1486">
        <v>-1.1068865134079999</v>
      </c>
      <c r="AH1486">
        <v>38.226788689285499</v>
      </c>
      <c r="AI1486">
        <v>91.650942170729905</v>
      </c>
      <c r="AJ1486">
        <v>84.497517561061002</v>
      </c>
      <c r="AK1486">
        <v>38.419699683354601</v>
      </c>
      <c r="AL1486">
        <v>87.1776390651317</v>
      </c>
      <c r="AM1486">
        <v>87.975623161101794</v>
      </c>
      <c r="AN1486">
        <v>0.99999995792626395</v>
      </c>
    </row>
    <row r="1487" spans="1:40" x14ac:dyDescent="0.3">
      <c r="A1487" t="str">
        <f>"20200111160433353"</f>
        <v>20200111160433353</v>
      </c>
      <c r="B1487" t="str">
        <f>"1578729873342268"</f>
        <v>1578729873342268</v>
      </c>
      <c r="C1487" t="s">
        <v>40</v>
      </c>
      <c r="D1487">
        <v>5.7106339999999998</v>
      </c>
      <c r="E1487">
        <v>0.52417360000000002</v>
      </c>
      <c r="F1487" t="s">
        <v>57</v>
      </c>
      <c r="G1487">
        <v>-277.52089999999998</v>
      </c>
      <c r="H1487" s="1">
        <v>2.262056E-6</v>
      </c>
      <c r="I1487">
        <v>289.26949999999999</v>
      </c>
      <c r="J1487">
        <v>-222.0179</v>
      </c>
      <c r="K1487">
        <v>1.1071519999999999</v>
      </c>
      <c r="L1487">
        <v>284.10410000000002</v>
      </c>
      <c r="M1487">
        <v>-0.99989939999999999</v>
      </c>
      <c r="N1487">
        <v>0</v>
      </c>
      <c r="O1487">
        <v>-4.5731960000000002E-4</v>
      </c>
      <c r="P1487">
        <v>-0.99855680000000002</v>
      </c>
      <c r="Q1487">
        <v>4.2488079999999998E-2</v>
      </c>
      <c r="R1487">
        <v>3.2852369999999999E-2</v>
      </c>
      <c r="S1487">
        <v>-2.9969480000000002</v>
      </c>
      <c r="T1487">
        <v>-5.95001E-2</v>
      </c>
      <c r="U1487">
        <v>0.27786250000000001</v>
      </c>
      <c r="V1487">
        <v>3.3780570000000003E-2</v>
      </c>
      <c r="W1487">
        <v>5.6361179999999997E-2</v>
      </c>
      <c r="X1487">
        <v>0.99783880000000003</v>
      </c>
      <c r="Y1487">
        <v>9.2756409999999997E-2</v>
      </c>
      <c r="Z1487">
        <v>9.2777249999999995E-4</v>
      </c>
      <c r="AA1487">
        <v>0.99568840000000003</v>
      </c>
      <c r="AB1487">
        <v>27</v>
      </c>
      <c r="AC1487">
        <v>-55.502999999999901</v>
      </c>
      <c r="AD1487">
        <v>-1.1071497379440001</v>
      </c>
      <c r="AE1487">
        <v>5.1653999999999698</v>
      </c>
      <c r="AF1487">
        <v>5.1887377224254196</v>
      </c>
      <c r="AG1487">
        <v>-1.1071497379440001</v>
      </c>
      <c r="AH1487">
        <v>55.478745982856502</v>
      </c>
      <c r="AI1487">
        <v>91.138292930909699</v>
      </c>
      <c r="AJ1487">
        <v>84.656864358476398</v>
      </c>
      <c r="AK1487">
        <v>55.731858353410999</v>
      </c>
      <c r="AL1487">
        <v>86.769030109905998</v>
      </c>
      <c r="AM1487">
        <v>88.061064377291601</v>
      </c>
      <c r="AN1487">
        <v>0.99999999015297802</v>
      </c>
    </row>
    <row r="1488" spans="1:40" x14ac:dyDescent="0.3">
      <c r="A1488" t="str">
        <f>"20200111160433645"</f>
        <v>20200111160433645</v>
      </c>
      <c r="B1488" t="str">
        <f>"1578729873642307"</f>
        <v>1578729873642307</v>
      </c>
      <c r="C1488" t="s">
        <v>40</v>
      </c>
      <c r="D1488">
        <v>5.3339280000000002</v>
      </c>
      <c r="E1488">
        <v>0.52436169999999904</v>
      </c>
      <c r="F1488" t="s">
        <v>61</v>
      </c>
      <c r="G1488">
        <v>-280.21710000000002</v>
      </c>
      <c r="H1488" s="1">
        <v>7.297592E-6</v>
      </c>
      <c r="I1488">
        <v>289.49639999999999</v>
      </c>
      <c r="J1488">
        <v>-225.4693</v>
      </c>
      <c r="K1488">
        <v>1.1097809999999999</v>
      </c>
      <c r="L1488">
        <v>284.19740000000002</v>
      </c>
      <c r="M1488">
        <v>-0.99948970000000004</v>
      </c>
      <c r="N1488">
        <v>0</v>
      </c>
      <c r="O1488">
        <v>2.8709129999999999E-2</v>
      </c>
      <c r="P1488">
        <v>-0.99972050000000001</v>
      </c>
      <c r="Q1488">
        <v>7.6152829999999996E-3</v>
      </c>
      <c r="R1488">
        <v>2.2393079999999999E-2</v>
      </c>
      <c r="S1488">
        <v>-2.99762</v>
      </c>
      <c r="T1488">
        <v>-5.702484E-2</v>
      </c>
      <c r="U1488">
        <v>0.2777405</v>
      </c>
      <c r="V1488">
        <v>-6.2873190000000004E-3</v>
      </c>
      <c r="W1488">
        <v>2.1633199999999998E-2</v>
      </c>
      <c r="X1488">
        <v>0.99974620000000003</v>
      </c>
      <c r="Y1488">
        <v>6.3624730000000004E-2</v>
      </c>
      <c r="Z1488" s="1">
        <v>5.9085900000000003E-5</v>
      </c>
      <c r="AA1488">
        <v>0.99797389999999997</v>
      </c>
      <c r="AB1488">
        <v>26</v>
      </c>
      <c r="AC1488">
        <v>-54.747799999999998</v>
      </c>
      <c r="AD1488">
        <v>-1.1097737024080001</v>
      </c>
      <c r="AE1488">
        <v>5.2989999999999702</v>
      </c>
      <c r="AF1488">
        <v>3.7233837680762498</v>
      </c>
      <c r="AG1488">
        <v>-1.1097737024080001</v>
      </c>
      <c r="AH1488">
        <v>54.855042859304703</v>
      </c>
      <c r="AI1488">
        <v>91.156334220124094</v>
      </c>
      <c r="AJ1488">
        <v>86.116903049670995</v>
      </c>
      <c r="AK1488">
        <v>54.992462314858102</v>
      </c>
      <c r="AL1488">
        <v>88.760412236817103</v>
      </c>
      <c r="AM1488">
        <v>90.360323544203794</v>
      </c>
      <c r="AN1488">
        <v>0.99999999506844395</v>
      </c>
    </row>
    <row r="1489" spans="1:40" x14ac:dyDescent="0.3">
      <c r="A1489" t="str">
        <f>"20200111160433658"</f>
        <v>20200111160433658</v>
      </c>
      <c r="B1489" t="str">
        <f>"1578729873652067"</f>
        <v>1578729873652067</v>
      </c>
      <c r="C1489" t="s">
        <v>40</v>
      </c>
      <c r="D1489">
        <v>5.1089979999999997</v>
      </c>
      <c r="E1489">
        <v>0.43262719999999999</v>
      </c>
      <c r="F1489" t="s">
        <v>42</v>
      </c>
      <c r="G1489">
        <v>-226.44049999999999</v>
      </c>
      <c r="H1489">
        <v>1.0522530000000001</v>
      </c>
      <c r="I1489">
        <v>284.27710000000002</v>
      </c>
      <c r="J1489">
        <v>-225.6431</v>
      </c>
      <c r="K1489">
        <v>1.1098509999999999</v>
      </c>
      <c r="L1489">
        <v>284.20299999999997</v>
      </c>
      <c r="M1489">
        <v>-0.99947629999999998</v>
      </c>
      <c r="N1489">
        <v>0</v>
      </c>
      <c r="O1489">
        <v>2.9172400000000001E-2</v>
      </c>
      <c r="P1489">
        <v>-0.99979119999999999</v>
      </c>
      <c r="Q1489">
        <v>5.5262820000000004E-3</v>
      </c>
      <c r="R1489">
        <v>1.9674839999999999E-2</v>
      </c>
      <c r="S1489">
        <v>-2.9967039999999998</v>
      </c>
      <c r="T1489">
        <v>-0.17772170000000001</v>
      </c>
      <c r="U1489">
        <v>0.24499509999999999</v>
      </c>
      <c r="V1489">
        <v>-9.4773960000000008E-3</v>
      </c>
      <c r="W1489">
        <v>1.9541280000000001E-2</v>
      </c>
      <c r="X1489">
        <v>0.99976410000000004</v>
      </c>
      <c r="Y1489">
        <v>5.2329670000000002E-2</v>
      </c>
      <c r="Z1489">
        <v>-1.7738629999999999E-4</v>
      </c>
      <c r="AA1489">
        <v>0.99862989999999996</v>
      </c>
      <c r="AB1489">
        <v>26</v>
      </c>
      <c r="AC1489">
        <v>-0.79739999999998101</v>
      </c>
      <c r="AD1489">
        <v>-5.7597999999999802E-2</v>
      </c>
      <c r="AE1489">
        <v>7.4100000000044006E-2</v>
      </c>
      <c r="AF1489">
        <v>5.0542655062096403E-2</v>
      </c>
      <c r="AG1489">
        <v>-5.7597999999999802E-2</v>
      </c>
      <c r="AH1489">
        <v>0.79510947739887095</v>
      </c>
      <c r="AI1489">
        <v>94.134971614965494</v>
      </c>
      <c r="AJ1489">
        <v>86.3627779324176</v>
      </c>
      <c r="AK1489">
        <v>0.79879357197853795</v>
      </c>
      <c r="AL1489">
        <v>88.880295825455093</v>
      </c>
      <c r="AM1489">
        <v>90.543126650304401</v>
      </c>
      <c r="AN1489">
        <v>0.999999969153894</v>
      </c>
    </row>
    <row r="1490" spans="1:40" x14ac:dyDescent="0.3">
      <c r="A1490" t="str">
        <f>"20200111160433679"</f>
        <v>20200111160433679</v>
      </c>
      <c r="B1490" t="str">
        <f>"1578729873672562"</f>
        <v>1578729873672562</v>
      </c>
      <c r="C1490" t="s">
        <v>40</v>
      </c>
      <c r="D1490">
        <v>5.5923420000000004</v>
      </c>
      <c r="E1490">
        <v>0.44788929999999999</v>
      </c>
      <c r="F1490" t="s">
        <v>57</v>
      </c>
      <c r="G1490">
        <v>-248.91</v>
      </c>
      <c r="H1490" s="1">
        <v>3.2046530000000002E-6</v>
      </c>
      <c r="I1490">
        <v>280.3904</v>
      </c>
      <c r="J1490">
        <v>-225.87479999999999</v>
      </c>
      <c r="K1490">
        <v>1.1099220000000001</v>
      </c>
      <c r="L1490">
        <v>284.21039999999999</v>
      </c>
      <c r="M1490">
        <v>-0.99946049999999997</v>
      </c>
      <c r="N1490">
        <v>0</v>
      </c>
      <c r="O1490">
        <v>2.9715459999999999E-2</v>
      </c>
      <c r="P1490">
        <v>-0.9999034</v>
      </c>
      <c r="Q1490">
        <v>1.2203979999999999E-3</v>
      </c>
      <c r="R1490">
        <v>1.3859359999999999E-2</v>
      </c>
      <c r="S1490">
        <v>-3.0111240000000001</v>
      </c>
      <c r="T1490">
        <v>-0.14363290000000001</v>
      </c>
      <c r="U1490">
        <v>-0.49340820000000002</v>
      </c>
      <c r="V1490">
        <v>-1.5845479999999999E-2</v>
      </c>
      <c r="W1490">
        <v>1.5232280000000001E-2</v>
      </c>
      <c r="X1490">
        <v>0.99975840000000005</v>
      </c>
      <c r="Y1490">
        <v>-0.19071669999999999</v>
      </c>
      <c r="Z1490">
        <v>-5.9241290000000002E-3</v>
      </c>
      <c r="AA1490">
        <v>0.98162720000000003</v>
      </c>
      <c r="AB1490">
        <v>26</v>
      </c>
      <c r="AC1490">
        <v>-23.0352</v>
      </c>
      <c r="AD1490">
        <v>-1.10991879534699</v>
      </c>
      <c r="AE1490">
        <v>-3.8199999999999901</v>
      </c>
      <c r="AF1490">
        <v>-4.4927298870541597</v>
      </c>
      <c r="AG1490">
        <v>-1.10991879534699</v>
      </c>
      <c r="AH1490">
        <v>22.859849152936601</v>
      </c>
      <c r="AI1490">
        <v>92.727612896749605</v>
      </c>
      <c r="AJ1490">
        <v>101.118838021973</v>
      </c>
      <c r="AK1490">
        <v>23.323577016943901</v>
      </c>
      <c r="AL1490">
        <v>89.127220873234805</v>
      </c>
      <c r="AM1490">
        <v>90.908022498122307</v>
      </c>
      <c r="AN1490">
        <v>0.99999997998049395</v>
      </c>
    </row>
    <row r="1491" spans="1:40" x14ac:dyDescent="0.3">
      <c r="A1491" t="str">
        <f>"20200111160433701"</f>
        <v>20200111160433701</v>
      </c>
      <c r="B1491" t="str">
        <f>"1578729873692082"</f>
        <v>1578729873692082</v>
      </c>
      <c r="C1491" t="s">
        <v>40</v>
      </c>
      <c r="D1491">
        <v>5.5610400000000002</v>
      </c>
      <c r="E1491">
        <v>0.45213029999999998</v>
      </c>
      <c r="F1491" t="s">
        <v>57</v>
      </c>
      <c r="G1491">
        <v>-242.5933</v>
      </c>
      <c r="H1491" s="1">
        <v>-1.5678260000000001E-7</v>
      </c>
      <c r="I1491">
        <v>282.03089999999997</v>
      </c>
      <c r="J1491">
        <v>-226.13939999999999</v>
      </c>
      <c r="K1491">
        <v>1.109982</v>
      </c>
      <c r="L1491">
        <v>284.21890000000002</v>
      </c>
      <c r="M1491">
        <v>-0.99944469999999996</v>
      </c>
      <c r="N1491">
        <v>0</v>
      </c>
      <c r="O1491">
        <v>3.0243320000000001E-2</v>
      </c>
      <c r="P1491">
        <v>-0.9999593</v>
      </c>
      <c r="Q1491">
        <v>-2.672851E-3</v>
      </c>
      <c r="R1491">
        <v>8.6089449999999998E-3</v>
      </c>
      <c r="S1491">
        <v>-3.0059659999999999</v>
      </c>
      <c r="T1491">
        <v>-0.19956360000000001</v>
      </c>
      <c r="U1491">
        <v>-0.39187620000000001</v>
      </c>
      <c r="V1491">
        <v>-2.1629900000000001E-2</v>
      </c>
      <c r="W1491">
        <v>1.133257E-2</v>
      </c>
      <c r="X1491">
        <v>0.99970179999999997</v>
      </c>
      <c r="Y1491">
        <v>-0.15879599999999999</v>
      </c>
      <c r="Z1491">
        <v>-7.2414089999999999E-3</v>
      </c>
      <c r="AA1491">
        <v>0.98728479999999996</v>
      </c>
      <c r="AB1491">
        <v>26</v>
      </c>
      <c r="AC1491">
        <v>-16.453900000000001</v>
      </c>
      <c r="AD1491">
        <v>-1.1099821567826</v>
      </c>
      <c r="AE1491">
        <v>-2.1880000000000401</v>
      </c>
      <c r="AF1491">
        <v>-2.6727163486688701</v>
      </c>
      <c r="AG1491">
        <v>-1.1099821567826</v>
      </c>
      <c r="AH1491">
        <v>16.3072703512975</v>
      </c>
      <c r="AI1491">
        <v>93.842814017649502</v>
      </c>
      <c r="AJ1491">
        <v>99.307864440753505</v>
      </c>
      <c r="AK1491">
        <v>16.562081372192399</v>
      </c>
      <c r="AL1491">
        <v>89.350677658840496</v>
      </c>
      <c r="AM1491">
        <v>91.239478262482393</v>
      </c>
      <c r="AN1491">
        <v>0.99999998432002701</v>
      </c>
    </row>
    <row r="1492" spans="1:40" x14ac:dyDescent="0.3">
      <c r="A1492" t="str">
        <f>"20200111160433724"</f>
        <v>20200111160433724</v>
      </c>
      <c r="B1492" t="str">
        <f>"1578729873712578"</f>
        <v>1578729873712578</v>
      </c>
      <c r="C1492" t="s">
        <v>40</v>
      </c>
      <c r="D1492">
        <v>5.6091509999999998</v>
      </c>
      <c r="E1492">
        <v>0.45532840000000002</v>
      </c>
      <c r="F1492" t="s">
        <v>57</v>
      </c>
      <c r="G1492">
        <v>-240.4247</v>
      </c>
      <c r="H1492" s="1">
        <v>-1.3107800000000001E-6</v>
      </c>
      <c r="I1492">
        <v>282.43520000000001</v>
      </c>
      <c r="J1492">
        <v>-226.39510000000001</v>
      </c>
      <c r="K1492">
        <v>1.110015</v>
      </c>
      <c r="L1492">
        <v>284.22719999999998</v>
      </c>
      <c r="M1492">
        <v>-0.99943130000000002</v>
      </c>
      <c r="N1492">
        <v>0</v>
      </c>
      <c r="O1492">
        <v>3.068914E-2</v>
      </c>
      <c r="P1492">
        <v>-0.99997550000000002</v>
      </c>
      <c r="Q1492">
        <v>-5.6816339999999996E-3</v>
      </c>
      <c r="R1492">
        <v>4.1413960000000003E-3</v>
      </c>
      <c r="S1492">
        <v>-3.0027309999999998</v>
      </c>
      <c r="T1492">
        <v>-0.23331479999999999</v>
      </c>
      <c r="U1492">
        <v>-0.37493900000000002</v>
      </c>
      <c r="V1492">
        <v>-2.654513E-2</v>
      </c>
      <c r="W1492">
        <v>8.3172009999999998E-3</v>
      </c>
      <c r="X1492">
        <v>0.99961299999999997</v>
      </c>
      <c r="Y1492">
        <v>-0.1537531</v>
      </c>
      <c r="Z1492">
        <v>-8.3143219999999903E-3</v>
      </c>
      <c r="AA1492">
        <v>0.98807429999999996</v>
      </c>
      <c r="AB1492">
        <v>26</v>
      </c>
      <c r="AC1492">
        <v>-14.029599999999901</v>
      </c>
      <c r="AD1492">
        <v>-1.1100163107799901</v>
      </c>
      <c r="AE1492">
        <v>-1.7919999999999701</v>
      </c>
      <c r="AF1492">
        <v>-2.2081532175502301</v>
      </c>
      <c r="AG1492">
        <v>-1.1100163107799901</v>
      </c>
      <c r="AH1492">
        <v>13.8824821011636</v>
      </c>
      <c r="AI1492">
        <v>94.515013895972402</v>
      </c>
      <c r="AJ1492">
        <v>99.0377781515473</v>
      </c>
      <c r="AK1492">
        <v>14.100758353063901</v>
      </c>
      <c r="AL1492">
        <v>89.523453983725005</v>
      </c>
      <c r="AM1492">
        <v>91.521155240635096</v>
      </c>
      <c r="AN1492">
        <v>0.99999998476409502</v>
      </c>
    </row>
    <row r="1493" spans="1:40" x14ac:dyDescent="0.3">
      <c r="A1493" t="str">
        <f>"20200111160433745"</f>
        <v>20200111160433745</v>
      </c>
      <c r="B1493" t="str">
        <f>"1578729873741858"</f>
        <v>1578729873741858</v>
      </c>
      <c r="C1493" t="s">
        <v>40</v>
      </c>
      <c r="D1493">
        <v>5.6265140000000002</v>
      </c>
      <c r="E1493">
        <v>0.45896779999999998</v>
      </c>
      <c r="F1493" t="s">
        <v>57</v>
      </c>
      <c r="G1493">
        <v>-239.82380000000001</v>
      </c>
      <c r="H1493" s="1">
        <v>3.7789680000000001E-6</v>
      </c>
      <c r="I1493">
        <v>282.60289999999998</v>
      </c>
      <c r="J1493">
        <v>-226.6465</v>
      </c>
      <c r="K1493">
        <v>1.110033</v>
      </c>
      <c r="L1493">
        <v>284.2355</v>
      </c>
      <c r="M1493">
        <v>-0.99941869999999999</v>
      </c>
      <c r="N1493">
        <v>0</v>
      </c>
      <c r="O1493">
        <v>3.109891E-2</v>
      </c>
      <c r="P1493">
        <v>-0.99996879999999999</v>
      </c>
      <c r="Q1493">
        <v>-7.9156119999999903E-3</v>
      </c>
      <c r="R1493">
        <v>2.7240279999999999E-4</v>
      </c>
      <c r="S1493">
        <v>-3.0001829999999998</v>
      </c>
      <c r="T1493">
        <v>-0.2479932</v>
      </c>
      <c r="U1493">
        <v>-0.3628845</v>
      </c>
      <c r="V1493">
        <v>-3.0824290000000001E-2</v>
      </c>
      <c r="W1493">
        <v>6.0765999999999997E-3</v>
      </c>
      <c r="X1493">
        <v>0.99950640000000002</v>
      </c>
      <c r="Y1493">
        <v>-0.15028749999999999</v>
      </c>
      <c r="Z1493">
        <v>-8.7364650000000005E-3</v>
      </c>
      <c r="AA1493">
        <v>0.98860369999999997</v>
      </c>
      <c r="AB1493">
        <v>26</v>
      </c>
      <c r="AC1493">
        <v>-13.177300000000001</v>
      </c>
      <c r="AD1493">
        <v>-1.110029221032</v>
      </c>
      <c r="AE1493">
        <v>-1.63260000000002</v>
      </c>
      <c r="AF1493">
        <v>-2.0274802537608401</v>
      </c>
      <c r="AG1493">
        <v>-1.110029221032</v>
      </c>
      <c r="AH1493">
        <v>13.0290908125675</v>
      </c>
      <c r="AI1493">
        <v>94.811988484458894</v>
      </c>
      <c r="AJ1493">
        <v>98.844960881039299</v>
      </c>
      <c r="AK1493">
        <v>13.2325374910886</v>
      </c>
      <c r="AL1493">
        <v>89.6518343418917</v>
      </c>
      <c r="AM1493">
        <v>91.766414046039699</v>
      </c>
      <c r="AN1493">
        <v>1.00000005278126</v>
      </c>
    </row>
    <row r="1494" spans="1:40" x14ac:dyDescent="0.3">
      <c r="A1494" t="str">
        <f>"20200111160433768"</f>
        <v>20200111160433768</v>
      </c>
      <c r="B1494" t="str">
        <f>"1578729873762355"</f>
        <v>1578729873762355</v>
      </c>
      <c r="C1494" t="s">
        <v>40</v>
      </c>
      <c r="D1494">
        <v>5.7348309999999998</v>
      </c>
      <c r="E1494">
        <v>0.46062920000000002</v>
      </c>
      <c r="F1494" t="s">
        <v>57</v>
      </c>
      <c r="G1494">
        <v>-239.3938</v>
      </c>
      <c r="H1494" s="1">
        <v>3.5429150000000002E-6</v>
      </c>
      <c r="I1494">
        <v>282.76819999999998</v>
      </c>
      <c r="J1494">
        <v>-226.9127</v>
      </c>
      <c r="K1494">
        <v>1.110039</v>
      </c>
      <c r="L1494">
        <v>284.24430000000001</v>
      </c>
      <c r="M1494">
        <v>-0.99940510000000005</v>
      </c>
      <c r="N1494">
        <v>0</v>
      </c>
      <c r="O1494">
        <v>3.1529889999999998E-2</v>
      </c>
      <c r="P1494">
        <v>-0.9999593</v>
      </c>
      <c r="Q1494">
        <v>-8.676652E-3</v>
      </c>
      <c r="R1494">
        <v>-2.493327E-3</v>
      </c>
      <c r="S1494">
        <v>-2.9981230000000001</v>
      </c>
      <c r="T1494">
        <v>-0.26107469999999999</v>
      </c>
      <c r="U1494">
        <v>-0.34509279999999998</v>
      </c>
      <c r="V1494">
        <v>-3.4019880000000002E-2</v>
      </c>
      <c r="W1494">
        <v>5.3103359999999997E-3</v>
      </c>
      <c r="X1494">
        <v>0.99940709999999999</v>
      </c>
      <c r="Y1494">
        <v>-0.14495749999999999</v>
      </c>
      <c r="Z1494">
        <v>-9.0114849999999996E-3</v>
      </c>
      <c r="AA1494">
        <v>0.98939690000000002</v>
      </c>
      <c r="AB1494">
        <v>26</v>
      </c>
      <c r="AC1494">
        <v>-12.4810999999999</v>
      </c>
      <c r="AD1494">
        <v>-1.110035457085</v>
      </c>
      <c r="AE1494">
        <v>-1.4761000000000299</v>
      </c>
      <c r="AF1494">
        <v>-1.8544659009985101</v>
      </c>
      <c r="AG1494">
        <v>-1.110035457085</v>
      </c>
      <c r="AH1494">
        <v>12.332147659265299</v>
      </c>
      <c r="AI1494">
        <v>95.0865351435897</v>
      </c>
      <c r="AJ1494">
        <v>98.551864791944894</v>
      </c>
      <c r="AK1494">
        <v>12.520107363113</v>
      </c>
      <c r="AL1494">
        <v>89.6957387451166</v>
      </c>
      <c r="AM1494">
        <v>91.949599122759906</v>
      </c>
      <c r="AN1494">
        <v>1.00000005171702</v>
      </c>
    </row>
    <row r="1495" spans="1:40" x14ac:dyDescent="0.3">
      <c r="A1495" t="str">
        <f>"20200111160433791"</f>
        <v>20200111160433791</v>
      </c>
      <c r="B1495" t="str">
        <f>"1578729873781874"</f>
        <v>1578729873781874</v>
      </c>
      <c r="C1495" t="s">
        <v>40</v>
      </c>
      <c r="D1495">
        <v>5.6021169999999998</v>
      </c>
      <c r="E1495">
        <v>0.46189629999999998</v>
      </c>
      <c r="F1495" t="s">
        <v>57</v>
      </c>
      <c r="G1495">
        <v>-239.49520000000001</v>
      </c>
      <c r="H1495" s="1">
        <v>3.5946439999999998E-6</v>
      </c>
      <c r="I1495">
        <v>282.81959999999998</v>
      </c>
      <c r="J1495">
        <v>-227.18379999999999</v>
      </c>
      <c r="K1495">
        <v>1.110042</v>
      </c>
      <c r="L1495">
        <v>284.2534</v>
      </c>
      <c r="M1495">
        <v>-0.99939100000000003</v>
      </c>
      <c r="N1495">
        <v>0</v>
      </c>
      <c r="O1495">
        <v>3.1981990000000002E-2</v>
      </c>
      <c r="P1495">
        <v>-0.99994249999999996</v>
      </c>
      <c r="Q1495">
        <v>-9.6539350000000006E-3</v>
      </c>
      <c r="R1495">
        <v>-4.6968139999999997E-3</v>
      </c>
      <c r="S1495">
        <v>-2.9969939999999999</v>
      </c>
      <c r="T1495">
        <v>-0.26439629999999997</v>
      </c>
      <c r="U1495">
        <v>-0.33932499999999999</v>
      </c>
      <c r="V1495">
        <v>-3.667434E-2</v>
      </c>
      <c r="W1495">
        <v>4.328063E-3</v>
      </c>
      <c r="X1495">
        <v>0.99931789999999998</v>
      </c>
      <c r="Y1495">
        <v>-0.14355370000000001</v>
      </c>
      <c r="Z1495">
        <v>-9.1081700000000005E-3</v>
      </c>
      <c r="AA1495">
        <v>0.98960060000000005</v>
      </c>
      <c r="AB1495">
        <v>26</v>
      </c>
      <c r="AC1495">
        <v>-12.311400000000001</v>
      </c>
      <c r="AD1495">
        <v>-1.110038405356</v>
      </c>
      <c r="AE1495">
        <v>-1.43380000000001</v>
      </c>
      <c r="AF1495">
        <v>-1.81231187068624</v>
      </c>
      <c r="AG1495">
        <v>-1.110038405356</v>
      </c>
      <c r="AH1495">
        <v>12.161695706925499</v>
      </c>
      <c r="AI1495">
        <v>95.158477588609401</v>
      </c>
      <c r="AJ1495">
        <v>98.475732718247002</v>
      </c>
      <c r="AK1495">
        <v>12.345991335079001</v>
      </c>
      <c r="AL1495">
        <v>89.752019482999501</v>
      </c>
      <c r="AM1495">
        <v>92.101775913768094</v>
      </c>
      <c r="AN1495">
        <v>1.0000000023020801</v>
      </c>
    </row>
    <row r="1496" spans="1:40" x14ac:dyDescent="0.3">
      <c r="A1496" t="str">
        <f>"20200111160433813"</f>
        <v>20200111160433813</v>
      </c>
      <c r="B1496" t="str">
        <f>"1578729873802370"</f>
        <v>1578729873802370</v>
      </c>
      <c r="C1496" t="s">
        <v>40</v>
      </c>
      <c r="D1496">
        <v>5.6674879999999996</v>
      </c>
      <c r="E1496">
        <v>0.46287990000000001</v>
      </c>
      <c r="F1496" t="s">
        <v>57</v>
      </c>
      <c r="G1496">
        <v>-239.6454</v>
      </c>
      <c r="H1496" s="1">
        <v>3.672815E-6</v>
      </c>
      <c r="I1496">
        <v>282.85939999999999</v>
      </c>
      <c r="J1496">
        <v>-227.4341</v>
      </c>
      <c r="K1496">
        <v>1.1100429999999999</v>
      </c>
      <c r="L1496">
        <v>284.26190000000003</v>
      </c>
      <c r="M1496">
        <v>-0.99937690000000001</v>
      </c>
      <c r="N1496">
        <v>0</v>
      </c>
      <c r="O1496">
        <v>3.2419499999999997E-2</v>
      </c>
      <c r="P1496">
        <v>-0.99993379999999998</v>
      </c>
      <c r="Q1496">
        <v>-9.9247190000000002E-3</v>
      </c>
      <c r="R1496">
        <v>-5.8299220000000004E-3</v>
      </c>
      <c r="S1496">
        <v>-2.9960330000000002</v>
      </c>
      <c r="T1496">
        <v>-0.26687739999999999</v>
      </c>
      <c r="U1496">
        <v>-0.335144</v>
      </c>
      <c r="V1496">
        <v>-3.8243970000000002E-2</v>
      </c>
      <c r="W1496">
        <v>4.0538839999999998E-3</v>
      </c>
      <c r="X1496">
        <v>0.99926020000000004</v>
      </c>
      <c r="Y1496">
        <v>-0.1426473</v>
      </c>
      <c r="Z1496">
        <v>-9.1955539999999999E-3</v>
      </c>
      <c r="AA1496">
        <v>0.98973089999999997</v>
      </c>
      <c r="AB1496">
        <v>26</v>
      </c>
      <c r="AC1496">
        <v>-12.2112999999999</v>
      </c>
      <c r="AD1496">
        <v>-1.110039327185</v>
      </c>
      <c r="AE1496">
        <v>-1.4025000000000301</v>
      </c>
      <c r="AF1496">
        <v>-1.7831426478596299</v>
      </c>
      <c r="AG1496">
        <v>-1.110039327185</v>
      </c>
      <c r="AH1496">
        <v>12.0610407993876</v>
      </c>
      <c r="AI1496">
        <v>95.202179254856105</v>
      </c>
      <c r="AJ1496">
        <v>98.409870247786401</v>
      </c>
      <c r="AK1496">
        <v>12.242568773545999</v>
      </c>
      <c r="AL1496">
        <v>89.767728917941895</v>
      </c>
      <c r="AM1496">
        <v>92.191770608850305</v>
      </c>
      <c r="AN1496">
        <v>0.99999999126044303</v>
      </c>
    </row>
    <row r="1497" spans="1:40" x14ac:dyDescent="0.3">
      <c r="A1497" t="str">
        <f>"20200111160433880"</f>
        <v>20200111160433880</v>
      </c>
      <c r="B1497" t="str">
        <f>"1578729873872644"</f>
        <v>1578729873872644</v>
      </c>
      <c r="C1497" t="s">
        <v>40</v>
      </c>
      <c r="D1497">
        <v>5.7077790000000004</v>
      </c>
      <c r="E1497">
        <v>0.46287990000000001</v>
      </c>
      <c r="F1497" t="s">
        <v>57</v>
      </c>
      <c r="G1497">
        <v>-239.7756</v>
      </c>
      <c r="H1497" s="1">
        <v>3.74024E-6</v>
      </c>
      <c r="I1497">
        <v>282.90159999999997</v>
      </c>
      <c r="J1497">
        <v>-228.2199</v>
      </c>
      <c r="K1497">
        <v>1.1099380000000001</v>
      </c>
      <c r="L1497">
        <v>284.28960000000001</v>
      </c>
      <c r="M1497">
        <v>-0.99932220000000005</v>
      </c>
      <c r="N1497">
        <v>0</v>
      </c>
      <c r="O1497">
        <v>3.4073050000000001E-2</v>
      </c>
      <c r="P1497">
        <v>-0.9998629</v>
      </c>
      <c r="Q1497">
        <v>-1.4250219999999999E-2</v>
      </c>
      <c r="R1497">
        <v>-8.4654599999999993E-3</v>
      </c>
      <c r="S1497">
        <v>-2.9956209999999999</v>
      </c>
      <c r="T1497">
        <v>-0.26943699999999998</v>
      </c>
      <c r="U1497">
        <v>-0.33016970000000001</v>
      </c>
      <c r="V1497">
        <v>-4.2532309999999997E-2</v>
      </c>
      <c r="W1497">
        <v>-2.7357329999999998E-4</v>
      </c>
      <c r="X1497">
        <v>0.99909510000000001</v>
      </c>
      <c r="Y1497">
        <v>-0.14265620000000001</v>
      </c>
      <c r="Z1497">
        <v>-9.4339550000000008E-3</v>
      </c>
      <c r="AA1497">
        <v>0.98972729999999998</v>
      </c>
      <c r="AB1497">
        <v>26</v>
      </c>
      <c r="AC1497">
        <v>-11.5557</v>
      </c>
      <c r="AD1497">
        <v>-1.1099342597599999</v>
      </c>
      <c r="AE1497">
        <v>-1.3880000000000301</v>
      </c>
      <c r="AF1497">
        <v>-1.76491893210702</v>
      </c>
      <c r="AG1497">
        <v>-1.1099342597599999</v>
      </c>
      <c r="AH1497">
        <v>11.398030914224501</v>
      </c>
      <c r="AI1497">
        <v>95.496797512172506</v>
      </c>
      <c r="AJ1497">
        <v>98.802015302277496</v>
      </c>
      <c r="AK1497">
        <v>11.587148122791699</v>
      </c>
      <c r="AL1497">
        <v>90.015674594959094</v>
      </c>
      <c r="AM1497">
        <v>92.437657165771597</v>
      </c>
      <c r="AN1497">
        <v>1.0000000455401401</v>
      </c>
    </row>
    <row r="1498" spans="1:40" x14ac:dyDescent="0.3">
      <c r="A1498" t="str">
        <f>"20200111160433903"</f>
        <v>20200111160433903</v>
      </c>
      <c r="B1498" t="str">
        <f>"1578729873892162"</f>
        <v>1578729873892162</v>
      </c>
      <c r="C1498" t="s">
        <v>40</v>
      </c>
      <c r="D1498">
        <v>5.7061299999999999</v>
      </c>
      <c r="E1498">
        <v>0.47562080000000001</v>
      </c>
      <c r="F1498" t="s">
        <v>57</v>
      </c>
      <c r="G1498">
        <v>-239.9639</v>
      </c>
      <c r="H1498" s="1">
        <v>-1.5560250000000001E-6</v>
      </c>
      <c r="I1498">
        <v>282.96480000000003</v>
      </c>
      <c r="J1498">
        <v>-228.4811</v>
      </c>
      <c r="K1498">
        <v>1.10988</v>
      </c>
      <c r="L1498">
        <v>284.29930000000002</v>
      </c>
      <c r="M1498">
        <v>-0.99929860000000004</v>
      </c>
      <c r="N1498">
        <v>0</v>
      </c>
      <c r="O1498">
        <v>3.4756160000000001E-2</v>
      </c>
      <c r="P1498">
        <v>-0.9998435</v>
      </c>
      <c r="Q1498">
        <v>-1.527214E-2</v>
      </c>
      <c r="R1498">
        <v>-8.9489589999999994E-3</v>
      </c>
      <c r="S1498">
        <v>-2.9935299999999998</v>
      </c>
      <c r="T1498">
        <v>-0.28292339999999999</v>
      </c>
      <c r="U1498">
        <v>-0.33770749999999999</v>
      </c>
      <c r="V1498">
        <v>-4.3699439999999999E-2</v>
      </c>
      <c r="W1498">
        <v>-1.292056E-3</v>
      </c>
      <c r="X1498">
        <v>0.99904389999999998</v>
      </c>
      <c r="Y1498">
        <v>-0.14577889999999999</v>
      </c>
      <c r="Z1498">
        <v>-1.012068E-2</v>
      </c>
      <c r="AA1498">
        <v>0.98926539999999996</v>
      </c>
      <c r="AB1498">
        <v>26</v>
      </c>
      <c r="AC1498">
        <v>-11.4827999999999</v>
      </c>
      <c r="AD1498">
        <v>-1.1098815560249999</v>
      </c>
      <c r="AE1498">
        <v>-1.33449999999999</v>
      </c>
      <c r="AF1498">
        <v>-1.71700325004319</v>
      </c>
      <c r="AG1498">
        <v>-1.1098815560249999</v>
      </c>
      <c r="AH1498">
        <v>11.3250811333349</v>
      </c>
      <c r="AI1498">
        <v>95.534386696888703</v>
      </c>
      <c r="AJ1498">
        <v>98.620998647688197</v>
      </c>
      <c r="AK1498">
        <v>11.508144937637899</v>
      </c>
      <c r="AL1498">
        <v>90.074029375381798</v>
      </c>
      <c r="AM1498">
        <v>92.504593116913</v>
      </c>
      <c r="AN1498">
        <v>1.0000000122961099</v>
      </c>
    </row>
    <row r="1499" spans="1:40" x14ac:dyDescent="0.3">
      <c r="A1499" t="str">
        <f>"20200111160433926"</f>
        <v>20200111160433926</v>
      </c>
      <c r="B1499" t="str">
        <f>"1578729873922418"</f>
        <v>1578729873922418</v>
      </c>
      <c r="C1499" t="s">
        <v>40</v>
      </c>
      <c r="D1499">
        <v>5.8387599999999997</v>
      </c>
      <c r="E1499">
        <v>0.47561870000000001</v>
      </c>
      <c r="F1499" t="s">
        <v>57</v>
      </c>
      <c r="G1499">
        <v>-244.9281</v>
      </c>
      <c r="H1499" s="1">
        <v>1.0856879999999999E-6</v>
      </c>
      <c r="I1499">
        <v>283.02550000000002</v>
      </c>
      <c r="J1499">
        <v>-228.72970000000001</v>
      </c>
      <c r="K1499">
        <v>1.109829</v>
      </c>
      <c r="L1499">
        <v>284.30869999999999</v>
      </c>
      <c r="M1499">
        <v>-0.99927370000000004</v>
      </c>
      <c r="N1499">
        <v>0</v>
      </c>
      <c r="O1499">
        <v>3.546817E-2</v>
      </c>
      <c r="P1499">
        <v>-0.99985020000000002</v>
      </c>
      <c r="Q1499">
        <v>-1.5089750000000001E-2</v>
      </c>
      <c r="R1499">
        <v>-8.5115150000000007E-3</v>
      </c>
      <c r="S1499">
        <v>-2.9952999999999999</v>
      </c>
      <c r="T1499">
        <v>-0.20212920000000001</v>
      </c>
      <c r="U1499">
        <v>-0.23196410000000001</v>
      </c>
      <c r="V1499">
        <v>-4.397384E-2</v>
      </c>
      <c r="W1499">
        <v>-1.106908E-3</v>
      </c>
      <c r="X1499">
        <v>0.99903209999999998</v>
      </c>
      <c r="Y1499">
        <v>-0.11219460000000001</v>
      </c>
      <c r="Z1499">
        <v>-6.1634929999999999E-3</v>
      </c>
      <c r="AA1499">
        <v>0.99366710000000003</v>
      </c>
      <c r="AB1499">
        <v>26</v>
      </c>
      <c r="AC1499">
        <v>-16.1983999999999</v>
      </c>
      <c r="AD1499">
        <v>-1.109827914312</v>
      </c>
      <c r="AE1499">
        <v>-1.2831999999999599</v>
      </c>
      <c r="AF1499">
        <v>-1.8483532889090999</v>
      </c>
      <c r="AG1499">
        <v>-1.109827914312</v>
      </c>
      <c r="AH1499">
        <v>16.067733199126</v>
      </c>
      <c r="AI1499">
        <v>93.925443506120402</v>
      </c>
      <c r="AJ1499">
        <v>96.562181202501094</v>
      </c>
      <c r="AK1499">
        <v>16.211729643634701</v>
      </c>
      <c r="AL1499">
        <v>90.063421167736095</v>
      </c>
      <c r="AM1499">
        <v>92.5203296141094</v>
      </c>
      <c r="AN1499">
        <v>1.00000003034003</v>
      </c>
    </row>
    <row r="1500" spans="1:40" x14ac:dyDescent="0.3">
      <c r="A1500" t="str">
        <f>"20200111160433946"</f>
        <v>20200111160433946</v>
      </c>
      <c r="B1500" t="str">
        <f>"1578729873942609"</f>
        <v>1578729873942609</v>
      </c>
      <c r="C1500" t="s">
        <v>40</v>
      </c>
      <c r="D1500">
        <v>5.8303960000000004</v>
      </c>
      <c r="E1500">
        <v>0.47496929999999998</v>
      </c>
      <c r="F1500" t="s">
        <v>57</v>
      </c>
      <c r="G1500">
        <v>-245.69470000000001</v>
      </c>
      <c r="H1500" s="1">
        <v>1.4936599999999999E-6</v>
      </c>
      <c r="I1500">
        <v>283.0043</v>
      </c>
      <c r="J1500">
        <v>-228.97640000000001</v>
      </c>
      <c r="K1500">
        <v>1.1097900000000001</v>
      </c>
      <c r="L1500">
        <v>284.31830000000002</v>
      </c>
      <c r="M1500">
        <v>-0.99924659999999998</v>
      </c>
      <c r="N1500">
        <v>0</v>
      </c>
      <c r="O1500">
        <v>3.6221969999999999E-2</v>
      </c>
      <c r="P1500">
        <v>-0.99986569999999997</v>
      </c>
      <c r="Q1500">
        <v>-1.468941E-2</v>
      </c>
      <c r="R1500">
        <v>-7.265273E-3</v>
      </c>
      <c r="S1500">
        <v>-2.9955599999999998</v>
      </c>
      <c r="T1500">
        <v>-0.1959649</v>
      </c>
      <c r="U1500">
        <v>-0.2303162</v>
      </c>
      <c r="V1500">
        <v>-4.3482229999999997E-2</v>
      </c>
      <c r="W1500">
        <v>-7.0608089999999997E-4</v>
      </c>
      <c r="X1500">
        <v>0.999054</v>
      </c>
      <c r="Y1500">
        <v>-0.1124121</v>
      </c>
      <c r="Z1500">
        <v>-6.0318359999999996E-3</v>
      </c>
      <c r="AA1500">
        <v>0.99364330000000001</v>
      </c>
      <c r="AB1500">
        <v>26</v>
      </c>
      <c r="AC1500">
        <v>-16.718299999999999</v>
      </c>
      <c r="AD1500">
        <v>-1.1097885063399999</v>
      </c>
      <c r="AE1500">
        <v>-1.31400000000002</v>
      </c>
      <c r="AF1500">
        <v>-1.91039957638631</v>
      </c>
      <c r="AG1500">
        <v>-1.1097885063399999</v>
      </c>
      <c r="AH1500">
        <v>16.587083860235101</v>
      </c>
      <c r="AI1500">
        <v>93.802707745133503</v>
      </c>
      <c r="AJ1500">
        <v>96.570031387066393</v>
      </c>
      <c r="AK1500">
        <v>16.733577264193499</v>
      </c>
      <c r="AL1500">
        <v>90.040455456948195</v>
      </c>
      <c r="AM1500">
        <v>92.492134498361395</v>
      </c>
      <c r="AN1500">
        <v>1.0000000488959999</v>
      </c>
    </row>
    <row r="1501" spans="1:40" x14ac:dyDescent="0.3">
      <c r="A1501" t="str">
        <f>"20200111160433970"</f>
        <v>20200111160433970</v>
      </c>
      <c r="B1501" t="str">
        <f>"1578729873962130"</f>
        <v>1578729873962130</v>
      </c>
      <c r="C1501" t="s">
        <v>40</v>
      </c>
      <c r="D1501">
        <v>5.7407190000000003</v>
      </c>
      <c r="E1501">
        <v>0.47547289999999998</v>
      </c>
      <c r="F1501" t="s">
        <v>57</v>
      </c>
      <c r="G1501">
        <v>-245.59399999999999</v>
      </c>
      <c r="H1501" s="1">
        <v>1.4400439999999999E-6</v>
      </c>
      <c r="I1501">
        <v>283.03039999999999</v>
      </c>
      <c r="J1501">
        <v>-229.2544</v>
      </c>
      <c r="K1501">
        <v>1.109756</v>
      </c>
      <c r="L1501">
        <v>284.3295</v>
      </c>
      <c r="M1501">
        <v>-0.99921409999999999</v>
      </c>
      <c r="N1501">
        <v>0</v>
      </c>
      <c r="O1501">
        <v>3.7112800000000001E-2</v>
      </c>
      <c r="P1501">
        <v>-0.99987389999999998</v>
      </c>
      <c r="Q1501">
        <v>-1.497924E-2</v>
      </c>
      <c r="R1501">
        <v>-5.3004580000000001E-3</v>
      </c>
      <c r="S1501">
        <v>-2.9957729999999998</v>
      </c>
      <c r="T1501">
        <v>-0.20007030000000001</v>
      </c>
      <c r="U1501">
        <v>-0.23217769999999999</v>
      </c>
      <c r="V1501">
        <v>-4.2409860000000001E-2</v>
      </c>
      <c r="W1501">
        <v>-9.977835999999999E-4</v>
      </c>
      <c r="X1501">
        <v>0.99909979999999998</v>
      </c>
      <c r="Y1501">
        <v>-0.11388769999999999</v>
      </c>
      <c r="Z1501">
        <v>-6.2658469999999997E-3</v>
      </c>
      <c r="AA1501">
        <v>0.99347390000000002</v>
      </c>
      <c r="AB1501">
        <v>26</v>
      </c>
      <c r="AC1501">
        <v>-16.339600000000001</v>
      </c>
      <c r="AD1501">
        <v>-1.1097545599559999</v>
      </c>
      <c r="AE1501">
        <v>-1.2991000000000099</v>
      </c>
      <c r="AF1501">
        <v>-1.8959809648592101</v>
      </c>
      <c r="AG1501">
        <v>-1.1097545599559999</v>
      </c>
      <c r="AH1501">
        <v>16.205837461006698</v>
      </c>
      <c r="AI1501">
        <v>93.890968323661994</v>
      </c>
      <c r="AJ1501">
        <v>96.672910638589201</v>
      </c>
      <c r="AK1501">
        <v>16.3540657579398</v>
      </c>
      <c r="AL1501">
        <v>90.057168798571595</v>
      </c>
      <c r="AM1501">
        <v>92.430636189248602</v>
      </c>
      <c r="AN1501">
        <v>1.00000000107868</v>
      </c>
    </row>
    <row r="1502" spans="1:40" x14ac:dyDescent="0.3">
      <c r="A1502" t="str">
        <f>"20200111160433993"</f>
        <v>20200111160433993</v>
      </c>
      <c r="B1502" t="str">
        <f>"1578729873982625"</f>
        <v>1578729873982625</v>
      </c>
      <c r="C1502" t="s">
        <v>40</v>
      </c>
      <c r="D1502">
        <v>5.8203870000000002</v>
      </c>
      <c r="E1502">
        <v>0.47565499999999999</v>
      </c>
      <c r="F1502" t="s">
        <v>57</v>
      </c>
      <c r="G1502">
        <v>-245.41499999999999</v>
      </c>
      <c r="H1502" s="1">
        <v>1.344823E-6</v>
      </c>
      <c r="I1502">
        <v>283.12779999999998</v>
      </c>
      <c r="J1502">
        <v>-229.51050000000001</v>
      </c>
      <c r="K1502">
        <v>1.1097349999999999</v>
      </c>
      <c r="L1502">
        <v>284.3399</v>
      </c>
      <c r="M1502">
        <v>-0.99918249999999997</v>
      </c>
      <c r="N1502">
        <v>0</v>
      </c>
      <c r="O1502">
        <v>3.7950749999999998E-2</v>
      </c>
      <c r="P1502">
        <v>-0.9998475</v>
      </c>
      <c r="Q1502">
        <v>-1.733109E-2</v>
      </c>
      <c r="R1502">
        <v>-2.0943680000000001E-3</v>
      </c>
      <c r="S1502">
        <v>-2.996124</v>
      </c>
      <c r="T1502">
        <v>-0.20574500000000001</v>
      </c>
      <c r="U1502">
        <v>-0.22277830000000001</v>
      </c>
      <c r="V1502">
        <v>-4.004655E-2</v>
      </c>
      <c r="W1502">
        <v>-3.354208E-3</v>
      </c>
      <c r="X1502">
        <v>0.99919219999999997</v>
      </c>
      <c r="Y1502">
        <v>-0.1115969</v>
      </c>
      <c r="Z1502">
        <v>-6.4220880000000003E-3</v>
      </c>
      <c r="AA1502">
        <v>0.99373279999999997</v>
      </c>
      <c r="AB1502">
        <v>26</v>
      </c>
      <c r="AC1502">
        <v>-15.904499999999899</v>
      </c>
      <c r="AD1502">
        <v>-1.1097336551770001</v>
      </c>
      <c r="AE1502">
        <v>-1.2121000000000199</v>
      </c>
      <c r="AF1502">
        <v>-1.8061305126218801</v>
      </c>
      <c r="AG1502">
        <v>-1.1097336551770001</v>
      </c>
      <c r="AH1502">
        <v>15.770699095776299</v>
      </c>
      <c r="AI1502">
        <v>93.999031842366307</v>
      </c>
      <c r="AJ1502">
        <v>96.533303124443705</v>
      </c>
      <c r="AK1502">
        <v>15.9125285917598</v>
      </c>
      <c r="AL1502">
        <v>90.192182319547896</v>
      </c>
      <c r="AM1502">
        <v>92.295124917302701</v>
      </c>
      <c r="AN1502">
        <v>1.00000001470952</v>
      </c>
    </row>
    <row r="1503" spans="1:40" x14ac:dyDescent="0.3">
      <c r="A1503" t="str">
        <f>"20200111160434024"</f>
        <v>20200111160434024</v>
      </c>
      <c r="B1503" t="str">
        <f>"1578729874022641"</f>
        <v>1578729874022641</v>
      </c>
      <c r="C1503" t="s">
        <v>40</v>
      </c>
      <c r="D1503">
        <v>5.4564570000000003</v>
      </c>
      <c r="E1503">
        <v>0.44678780000000001</v>
      </c>
      <c r="F1503" t="s">
        <v>57</v>
      </c>
      <c r="G1503">
        <v>-245.1491</v>
      </c>
      <c r="H1503" s="1">
        <v>1.20331E-6</v>
      </c>
      <c r="I1503">
        <v>283.23340000000002</v>
      </c>
      <c r="J1503">
        <v>-229.87180000000001</v>
      </c>
      <c r="K1503">
        <v>1.109726</v>
      </c>
      <c r="L1503">
        <v>284.35500000000002</v>
      </c>
      <c r="M1503">
        <v>-0.99913779999999996</v>
      </c>
      <c r="N1503">
        <v>0</v>
      </c>
      <c r="O1503">
        <v>3.9111630000000001E-2</v>
      </c>
      <c r="P1503">
        <v>-0.99975000000000003</v>
      </c>
      <c r="Q1503">
        <v>-2.2239169999999999E-2</v>
      </c>
      <c r="R1503">
        <v>2.390587E-3</v>
      </c>
      <c r="S1503">
        <v>-2.9963229999999998</v>
      </c>
      <c r="T1503">
        <v>-0.21262229999999999</v>
      </c>
      <c r="U1503">
        <v>-0.21200559999999999</v>
      </c>
      <c r="V1503">
        <v>-3.6728230000000001E-2</v>
      </c>
      <c r="W1503">
        <v>-8.2713939999999996E-3</v>
      </c>
      <c r="X1503">
        <v>0.99929109999999999</v>
      </c>
      <c r="Y1503">
        <v>-0.1091715</v>
      </c>
      <c r="Z1503">
        <v>-6.6329519999999897E-3</v>
      </c>
      <c r="AA1503">
        <v>0.99400080000000002</v>
      </c>
      <c r="AB1503">
        <v>26</v>
      </c>
      <c r="AC1503">
        <v>-15.277299999999901</v>
      </c>
      <c r="AD1503">
        <v>-1.1097247966899999</v>
      </c>
      <c r="AE1503">
        <v>-1.1215999999999999</v>
      </c>
      <c r="AF1503">
        <v>-1.70934884358073</v>
      </c>
      <c r="AG1503">
        <v>-1.1097247966899999</v>
      </c>
      <c r="AH1503">
        <v>15.142268136241601</v>
      </c>
      <c r="AI1503">
        <v>94.165156631340096</v>
      </c>
      <c r="AJ1503">
        <v>96.440620931468303</v>
      </c>
      <c r="AK1503">
        <v>15.278797298978599</v>
      </c>
      <c r="AL1503">
        <v>90.473921351675102</v>
      </c>
      <c r="AM1503">
        <v>92.104917928439704</v>
      </c>
      <c r="AN1503">
        <v>1.00000004068842</v>
      </c>
    </row>
    <row r="1504" spans="1:40" x14ac:dyDescent="0.3">
      <c r="A1504" t="str">
        <f>"20200111160434047"</f>
        <v>20200111160434047</v>
      </c>
      <c r="B1504" t="str">
        <f>"1578729874042718"</f>
        <v>1578729874042718</v>
      </c>
      <c r="C1504" t="s">
        <v>40</v>
      </c>
      <c r="D1504">
        <v>5.4833730000000003</v>
      </c>
      <c r="E1504">
        <v>0.44402429999999898</v>
      </c>
      <c r="F1504" t="s">
        <v>57</v>
      </c>
      <c r="G1504">
        <v>-243.0942</v>
      </c>
      <c r="H1504" s="1">
        <v>1.098119E-7</v>
      </c>
      <c r="I1504">
        <v>282.45229999999998</v>
      </c>
      <c r="J1504">
        <v>-230.1377</v>
      </c>
      <c r="K1504">
        <v>1.1097520000000001</v>
      </c>
      <c r="L1504">
        <v>284.3664</v>
      </c>
      <c r="M1504">
        <v>-0.99910679999999996</v>
      </c>
      <c r="N1504">
        <v>0</v>
      </c>
      <c r="O1504">
        <v>3.9898749999999997E-2</v>
      </c>
      <c r="P1504">
        <v>-0.99968679999999999</v>
      </c>
      <c r="Q1504">
        <v>-2.4414180000000001E-2</v>
      </c>
      <c r="R1504">
        <v>5.5428450000000002E-3</v>
      </c>
      <c r="S1504">
        <v>-2.9962010000000001</v>
      </c>
      <c r="T1504">
        <v>-0.25146390000000002</v>
      </c>
      <c r="U1504">
        <v>-0.43115229999999999</v>
      </c>
      <c r="V1504">
        <v>-3.4365890000000003E-2</v>
      </c>
      <c r="W1504">
        <v>-1.0454949999999999E-2</v>
      </c>
      <c r="X1504">
        <v>0.99935469999999904</v>
      </c>
      <c r="Y1504">
        <v>-0.18105280000000001</v>
      </c>
      <c r="Z1504">
        <v>-1.08734E-2</v>
      </c>
      <c r="AA1504">
        <v>0.98341330000000005</v>
      </c>
      <c r="AB1504">
        <v>26</v>
      </c>
      <c r="AC1504">
        <v>-12.9565</v>
      </c>
      <c r="AD1504">
        <v>-1.1097518901881001</v>
      </c>
      <c r="AE1504">
        <v>-1.9141000000000099</v>
      </c>
      <c r="AF1504">
        <v>-2.4122547766866398</v>
      </c>
      <c r="AG1504">
        <v>-1.1097518901881001</v>
      </c>
      <c r="AH1504">
        <v>12.778062209812701</v>
      </c>
      <c r="AI1504">
        <v>94.877850314034504</v>
      </c>
      <c r="AJ1504">
        <v>100.69053946063499</v>
      </c>
      <c r="AK1504">
        <v>13.0510304651881</v>
      </c>
      <c r="AL1504">
        <v>90.599035382412197</v>
      </c>
      <c r="AM1504">
        <v>91.9695157864371</v>
      </c>
      <c r="AN1504">
        <v>1.00000006839353</v>
      </c>
    </row>
    <row r="1505" spans="1:40" x14ac:dyDescent="0.3">
      <c r="A1505" t="str">
        <f>"20200111160434071"</f>
        <v>20200111160434071</v>
      </c>
      <c r="B1505" t="str">
        <f>"1578729874062238"</f>
        <v>1578729874062238</v>
      </c>
      <c r="C1505" t="s">
        <v>40</v>
      </c>
      <c r="D1505">
        <v>5.5507689999999998</v>
      </c>
      <c r="E1505">
        <v>0.44201459999999998</v>
      </c>
      <c r="F1505" t="s">
        <v>57</v>
      </c>
      <c r="G1505">
        <v>-244.28899999999999</v>
      </c>
      <c r="H1505" s="1">
        <v>7.4559429999999998E-7</v>
      </c>
      <c r="I1505">
        <v>282.27719999999999</v>
      </c>
      <c r="J1505">
        <v>-230.39609999999999</v>
      </c>
      <c r="K1505">
        <v>1.1097900000000001</v>
      </c>
      <c r="L1505">
        <v>284.37759999999997</v>
      </c>
      <c r="M1505">
        <v>-0.99907860000000004</v>
      </c>
      <c r="N1505">
        <v>0</v>
      </c>
      <c r="O1505">
        <v>4.060047E-2</v>
      </c>
      <c r="P1505">
        <v>-0.99959310000000001</v>
      </c>
      <c r="Q1505">
        <v>-2.7144060000000001E-2</v>
      </c>
      <c r="R1505">
        <v>8.7584369999999905E-3</v>
      </c>
      <c r="S1505">
        <v>-2.997681</v>
      </c>
      <c r="T1505">
        <v>-0.23507910000000001</v>
      </c>
      <c r="U1505">
        <v>-0.44256590000000001</v>
      </c>
      <c r="V1505">
        <v>-3.1853439999999997E-2</v>
      </c>
      <c r="W1505">
        <v>-1.319423E-2</v>
      </c>
      <c r="X1505">
        <v>0.9994054</v>
      </c>
      <c r="Y1505">
        <v>-0.18542139999999999</v>
      </c>
      <c r="Z1505">
        <v>-1.0384279999999999E-2</v>
      </c>
      <c r="AA1505">
        <v>0.98260420000000004</v>
      </c>
      <c r="AB1505">
        <v>26</v>
      </c>
      <c r="AC1505">
        <v>-13.892899999999999</v>
      </c>
      <c r="AD1505">
        <v>-1.1097892544057</v>
      </c>
      <c r="AE1505">
        <v>-2.1003999999999698</v>
      </c>
      <c r="AF1505">
        <v>-2.64627189568743</v>
      </c>
      <c r="AG1505">
        <v>-1.1097892544057</v>
      </c>
      <c r="AH1505">
        <v>13.7106233123798</v>
      </c>
      <c r="AI1505">
        <v>94.544140950713398</v>
      </c>
      <c r="AJ1505">
        <v>100.924263708778</v>
      </c>
      <c r="AK1505">
        <v>14.007697125119201</v>
      </c>
      <c r="AL1505">
        <v>90.755995673199195</v>
      </c>
      <c r="AM1505">
        <v>91.825535516869905</v>
      </c>
      <c r="AN1505">
        <v>0.99999994144714099</v>
      </c>
    </row>
    <row r="1506" spans="1:40" x14ac:dyDescent="0.3">
      <c r="A1506" t="str">
        <f>"20200111160434093"</f>
        <v>20200111160434093</v>
      </c>
      <c r="B1506" t="str">
        <f>"1578729874082734"</f>
        <v>1578729874082734</v>
      </c>
      <c r="C1506" t="s">
        <v>40</v>
      </c>
      <c r="D1506">
        <v>5.5629600000000003</v>
      </c>
      <c r="E1506">
        <v>0.44028139999999999</v>
      </c>
      <c r="F1506" t="s">
        <v>57</v>
      </c>
      <c r="G1506">
        <v>-245.23439999999999</v>
      </c>
      <c r="H1506" s="1">
        <v>1.248676E-6</v>
      </c>
      <c r="I1506">
        <v>282.15890000000002</v>
      </c>
      <c r="J1506">
        <v>-230.66</v>
      </c>
      <c r="K1506">
        <v>1.1098440000000001</v>
      </c>
      <c r="L1506">
        <v>284.38909999999998</v>
      </c>
      <c r="M1506">
        <v>-0.99905350000000004</v>
      </c>
      <c r="N1506">
        <v>0</v>
      </c>
      <c r="O1506">
        <v>4.1213680000000003E-2</v>
      </c>
      <c r="P1506">
        <v>-0.99945870000000003</v>
      </c>
      <c r="Q1506">
        <v>-2.9874410000000001E-2</v>
      </c>
      <c r="R1506">
        <v>1.3780280000000001E-2</v>
      </c>
      <c r="S1506">
        <v>-2.9990389999999998</v>
      </c>
      <c r="T1506">
        <v>-0.224305</v>
      </c>
      <c r="U1506">
        <v>-0.44842530000000003</v>
      </c>
      <c r="V1506">
        <v>-2.7443929999999998E-2</v>
      </c>
      <c r="W1506">
        <v>-1.5936539999999999E-2</v>
      </c>
      <c r="X1506">
        <v>0.9994963</v>
      </c>
      <c r="Y1506">
        <v>-0.18789110000000001</v>
      </c>
      <c r="Z1506">
        <v>-1.004119E-2</v>
      </c>
      <c r="AA1506">
        <v>0.98213859999999997</v>
      </c>
      <c r="AB1506">
        <v>26</v>
      </c>
      <c r="AC1506">
        <v>-14.574399999999899</v>
      </c>
      <c r="AD1506">
        <v>-1.1098427513239999</v>
      </c>
      <c r="AE1506">
        <v>-2.23019999999996</v>
      </c>
      <c r="AF1506">
        <v>-2.8130881161796299</v>
      </c>
      <c r="AG1506">
        <v>-1.1098427513239999</v>
      </c>
      <c r="AH1506">
        <v>14.3885628760786</v>
      </c>
      <c r="AI1506">
        <v>94.329060743002003</v>
      </c>
      <c r="AJ1506">
        <v>101.062280745283</v>
      </c>
      <c r="AK1506">
        <v>14.702923427703899</v>
      </c>
      <c r="AL1506">
        <v>90.913135138497594</v>
      </c>
      <c r="AM1506">
        <v>91.572818605159</v>
      </c>
      <c r="AN1506">
        <v>0.99999999815735297</v>
      </c>
    </row>
    <row r="1507" spans="1:40" x14ac:dyDescent="0.3">
      <c r="A1507" t="str">
        <f>"20200111160434116"</f>
        <v>20200111160434116</v>
      </c>
      <c r="B1507" t="str">
        <f>"1578729874112014"</f>
        <v>1578729874112014</v>
      </c>
      <c r="C1507" t="s">
        <v>40</v>
      </c>
      <c r="D1507">
        <v>5.2103129999999904</v>
      </c>
      <c r="E1507">
        <v>0.43753969999999998</v>
      </c>
      <c r="F1507" t="s">
        <v>57</v>
      </c>
      <c r="G1507">
        <v>-246.50280000000001</v>
      </c>
      <c r="H1507" s="1">
        <v>1.9237019999999999E-6</v>
      </c>
      <c r="I1507">
        <v>282.03379999999999</v>
      </c>
      <c r="J1507">
        <v>-230.90710000000001</v>
      </c>
      <c r="K1507">
        <v>1.1099110000000001</v>
      </c>
      <c r="L1507">
        <v>284.39999999999998</v>
      </c>
      <c r="M1507">
        <v>-0.99903509999999995</v>
      </c>
      <c r="N1507">
        <v>0</v>
      </c>
      <c r="O1507">
        <v>4.1660099999999999E-2</v>
      </c>
      <c r="P1507">
        <v>-0.99925359999999996</v>
      </c>
      <c r="Q1507">
        <v>-3.3650569999999998E-2</v>
      </c>
      <c r="R1507">
        <v>1.8976219999999999E-2</v>
      </c>
      <c r="S1507">
        <v>-3.0014949999999998</v>
      </c>
      <c r="T1507">
        <v>-0.21026439999999999</v>
      </c>
      <c r="U1507">
        <v>-0.44622800000000001</v>
      </c>
      <c r="V1507">
        <v>-2.2690910000000002E-2</v>
      </c>
      <c r="W1507">
        <v>-1.9725179999999998E-2</v>
      </c>
      <c r="X1507">
        <v>0.99954790000000004</v>
      </c>
      <c r="Y1507">
        <v>-0.18758540000000001</v>
      </c>
      <c r="Z1507">
        <v>-9.4275669999999995E-3</v>
      </c>
      <c r="AA1507">
        <v>0.9822031</v>
      </c>
      <c r="AB1507">
        <v>26</v>
      </c>
      <c r="AC1507">
        <v>-15.5956999999999</v>
      </c>
      <c r="AD1507">
        <v>-1.109909076298</v>
      </c>
      <c r="AE1507">
        <v>-2.3661999999999899</v>
      </c>
      <c r="AF1507">
        <v>-2.9990785555000499</v>
      </c>
      <c r="AG1507">
        <v>-1.109909076298</v>
      </c>
      <c r="AH1507">
        <v>15.407292730548299</v>
      </c>
      <c r="AI1507">
        <v>94.044695244600007</v>
      </c>
      <c r="AJ1507">
        <v>101.015064470566</v>
      </c>
      <c r="AK1507">
        <v>15.735661397746</v>
      </c>
      <c r="AL1507">
        <v>91.130242885267904</v>
      </c>
      <c r="AM1507">
        <v>91.300458050971002</v>
      </c>
      <c r="AN1507">
        <v>0.99999998225853504</v>
      </c>
    </row>
    <row r="1508" spans="1:40" x14ac:dyDescent="0.3">
      <c r="A1508" t="str">
        <f>"20200111160434136"</f>
        <v>20200111160434136</v>
      </c>
      <c r="B1508" t="str">
        <f>"1578729874132511"</f>
        <v>1578729874132511</v>
      </c>
      <c r="C1508" t="s">
        <v>40</v>
      </c>
      <c r="D1508">
        <v>5.2193300000000002</v>
      </c>
      <c r="E1508">
        <v>0.43640069999999997</v>
      </c>
      <c r="F1508" t="s">
        <v>57</v>
      </c>
      <c r="G1508">
        <v>-246.6875</v>
      </c>
      <c r="H1508" s="1">
        <v>2.021983E-6</v>
      </c>
      <c r="I1508">
        <v>282.0231</v>
      </c>
      <c r="J1508">
        <v>-231.14519999999999</v>
      </c>
      <c r="K1508">
        <v>1.110004</v>
      </c>
      <c r="L1508">
        <v>284.41030000000001</v>
      </c>
      <c r="M1508">
        <v>-0.99902270000000004</v>
      </c>
      <c r="N1508">
        <v>0</v>
      </c>
      <c r="O1508">
        <v>4.195538E-2</v>
      </c>
      <c r="P1508">
        <v>-0.9990734</v>
      </c>
      <c r="Q1508">
        <v>-3.6084770000000002E-2</v>
      </c>
      <c r="R1508">
        <v>2.3462179999999999E-2</v>
      </c>
      <c r="S1508">
        <v>-3.0037229999999999</v>
      </c>
      <c r="T1508">
        <v>-0.21126500000000001</v>
      </c>
      <c r="U1508">
        <v>-0.45242310000000002</v>
      </c>
      <c r="V1508">
        <v>-1.8492649999999999E-2</v>
      </c>
      <c r="W1508">
        <v>-2.2170160000000001E-2</v>
      </c>
      <c r="X1508">
        <v>0.99958320000000001</v>
      </c>
      <c r="Y1508">
        <v>-0.18974050000000001</v>
      </c>
      <c r="Z1508">
        <v>-9.559906E-3</v>
      </c>
      <c r="AA1508">
        <v>0.98178770000000004</v>
      </c>
      <c r="AB1508">
        <v>26</v>
      </c>
      <c r="AC1508">
        <v>-15.542299999999999</v>
      </c>
      <c r="AD1508">
        <v>-1.1100019780170001</v>
      </c>
      <c r="AE1508">
        <v>-2.3872</v>
      </c>
      <c r="AF1508">
        <v>-3.0221842647466102</v>
      </c>
      <c r="AG1508">
        <v>-1.1100019780170001</v>
      </c>
      <c r="AH1508">
        <v>15.351947880047</v>
      </c>
      <c r="AI1508">
        <v>94.057883628533403</v>
      </c>
      <c r="AJ1508">
        <v>101.13683859786499</v>
      </c>
      <c r="AK1508">
        <v>15.685917436763599</v>
      </c>
      <c r="AL1508">
        <v>91.270360637639499</v>
      </c>
      <c r="AM1508">
        <v>91.059871694549201</v>
      </c>
      <c r="AN1508">
        <v>1.0000000339103401</v>
      </c>
    </row>
    <row r="1509" spans="1:40" x14ac:dyDescent="0.3">
      <c r="A1509" t="str">
        <f>"20200111160434159"</f>
        <v>20200111160434159</v>
      </c>
      <c r="B1509" t="str">
        <f>"1578729874151833"</f>
        <v>1578729874151833</v>
      </c>
      <c r="C1509" t="s">
        <v>40</v>
      </c>
      <c r="D1509">
        <v>5.185378</v>
      </c>
      <c r="E1509">
        <v>0.4352839</v>
      </c>
      <c r="F1509" t="s">
        <v>57</v>
      </c>
      <c r="G1509">
        <v>-246.4255</v>
      </c>
      <c r="H1509" s="1">
        <v>1.8825650000000001E-6</v>
      </c>
      <c r="I1509">
        <v>282.12939999999998</v>
      </c>
      <c r="J1509">
        <v>-231.40950000000001</v>
      </c>
      <c r="K1509">
        <v>1.110115</v>
      </c>
      <c r="L1509">
        <v>284.42180000000002</v>
      </c>
      <c r="M1509">
        <v>-0.99901549999999995</v>
      </c>
      <c r="N1509">
        <v>0</v>
      </c>
      <c r="O1509">
        <v>4.2125469999999998E-2</v>
      </c>
      <c r="P1509">
        <v>-0.99891450000000004</v>
      </c>
      <c r="Q1509">
        <v>-3.756193E-2</v>
      </c>
      <c r="R1509">
        <v>2.7545710000000001E-2</v>
      </c>
      <c r="S1509">
        <v>-3.0054319999999999</v>
      </c>
      <c r="T1509">
        <v>-0.21832280000000001</v>
      </c>
      <c r="U1509">
        <v>-0.44863890000000001</v>
      </c>
      <c r="V1509">
        <v>-1.457024E-2</v>
      </c>
      <c r="W1509">
        <v>-2.3656980000000001E-2</v>
      </c>
      <c r="X1509">
        <v>0.99961390000000006</v>
      </c>
      <c r="Y1509">
        <v>-0.18858130000000001</v>
      </c>
      <c r="Z1509">
        <v>-9.8442819999999993E-3</v>
      </c>
      <c r="AA1509">
        <v>0.9820082</v>
      </c>
      <c r="AB1509">
        <v>25</v>
      </c>
      <c r="AC1509">
        <v>-15.015999999999901</v>
      </c>
      <c r="AD1509">
        <v>-1.1101131174350001</v>
      </c>
      <c r="AE1509">
        <v>-2.2924000000000402</v>
      </c>
      <c r="AF1509">
        <v>-2.9074533384016199</v>
      </c>
      <c r="AG1509">
        <v>-1.1101131174350001</v>
      </c>
      <c r="AH1509">
        <v>14.826900308375601</v>
      </c>
      <c r="AI1509">
        <v>94.202101453447497</v>
      </c>
      <c r="AJ1509">
        <v>101.094534180067</v>
      </c>
      <c r="AK1509">
        <v>15.1500035908574</v>
      </c>
      <c r="AL1509">
        <v>91.355571643712395</v>
      </c>
      <c r="AM1509">
        <v>90.835076568751205</v>
      </c>
      <c r="AN1509">
        <v>0.99999994683479199</v>
      </c>
    </row>
    <row r="1510" spans="1:40" x14ac:dyDescent="0.3">
      <c r="A1510" t="str">
        <f>"20200111160434203"</f>
        <v>20200111160434203</v>
      </c>
      <c r="B1510" t="str">
        <f>"1578729874191848"</f>
        <v>1578729874191848</v>
      </c>
      <c r="C1510" t="s">
        <v>40</v>
      </c>
      <c r="D1510">
        <v>5.3570510000000002</v>
      </c>
      <c r="E1510">
        <v>0.43391659999999999</v>
      </c>
      <c r="F1510" t="s">
        <v>57</v>
      </c>
      <c r="G1510">
        <v>-246.6293</v>
      </c>
      <c r="H1510" s="1">
        <v>1.9910020000000001E-6</v>
      </c>
      <c r="I1510">
        <v>282.1669</v>
      </c>
      <c r="J1510">
        <v>-231.90459999999999</v>
      </c>
      <c r="K1510">
        <v>1.1103259999999999</v>
      </c>
      <c r="L1510">
        <v>284.44279999999998</v>
      </c>
      <c r="M1510">
        <v>-0.99902259999999998</v>
      </c>
      <c r="N1510">
        <v>0</v>
      </c>
      <c r="O1510">
        <v>4.1959799999999998E-2</v>
      </c>
      <c r="P1510">
        <v>-0.9986256</v>
      </c>
      <c r="Q1510">
        <v>-3.9294679999999998E-2</v>
      </c>
      <c r="R1510">
        <v>3.4684810000000003E-2</v>
      </c>
      <c r="S1510">
        <v>-3.0072779999999999</v>
      </c>
      <c r="T1510">
        <v>-0.21934680000000001</v>
      </c>
      <c r="U1510">
        <v>-0.44555660000000002</v>
      </c>
      <c r="V1510">
        <v>-7.2462999999999998E-3</v>
      </c>
      <c r="W1510">
        <v>-2.5401130000000001E-2</v>
      </c>
      <c r="X1510">
        <v>0.99965110000000001</v>
      </c>
      <c r="Y1510">
        <v>-0.18734419999999999</v>
      </c>
      <c r="Z1510">
        <v>-9.8282409999999997E-3</v>
      </c>
      <c r="AA1510">
        <v>0.98224509999999998</v>
      </c>
      <c r="AB1510">
        <v>25</v>
      </c>
      <c r="AC1510">
        <v>-14.7247</v>
      </c>
      <c r="AD1510">
        <v>-1.110324008998</v>
      </c>
      <c r="AE1510">
        <v>-2.2758999999999698</v>
      </c>
      <c r="AF1510">
        <v>-2.8758299659285602</v>
      </c>
      <c r="AG1510">
        <v>-1.110324008998</v>
      </c>
      <c r="AH1510">
        <v>14.5355034938224</v>
      </c>
      <c r="AI1510">
        <v>94.285420940068207</v>
      </c>
      <c r="AJ1510">
        <v>101.191362052131</v>
      </c>
      <c r="AK1510">
        <v>14.8588047708022</v>
      </c>
      <c r="AL1510">
        <v>91.4555340602016</v>
      </c>
      <c r="AM1510">
        <v>90.415320040484701</v>
      </c>
      <c r="AN1510">
        <v>1.0000000240000799</v>
      </c>
    </row>
    <row r="1511" spans="1:40" x14ac:dyDescent="0.3">
      <c r="A1511" t="str">
        <f>"20200111160434226"</f>
        <v>20200111160434226</v>
      </c>
      <c r="B1511" t="str">
        <f>"1578729874222105"</f>
        <v>1578729874222105</v>
      </c>
      <c r="C1511" t="s">
        <v>40</v>
      </c>
      <c r="D1511">
        <v>5.6191709999999997</v>
      </c>
      <c r="E1511">
        <v>0.47659780000000002</v>
      </c>
      <c r="F1511" t="s">
        <v>57</v>
      </c>
      <c r="G1511">
        <v>-247.0779</v>
      </c>
      <c r="H1511" s="1">
        <v>2.2296919999999998E-6</v>
      </c>
      <c r="I1511">
        <v>282.24849999999998</v>
      </c>
      <c r="J1511">
        <v>-232.15190000000001</v>
      </c>
      <c r="K1511">
        <v>1.1104419999999999</v>
      </c>
      <c r="L1511">
        <v>284.4529</v>
      </c>
      <c r="M1511">
        <v>-0.99903629999999999</v>
      </c>
      <c r="N1511">
        <v>0</v>
      </c>
      <c r="O1511">
        <v>4.1637769999999998E-2</v>
      </c>
      <c r="P1511">
        <v>-0.99856109999999998</v>
      </c>
      <c r="Q1511">
        <v>-3.8309610000000001E-2</v>
      </c>
      <c r="R1511">
        <v>3.7531490000000001E-2</v>
      </c>
      <c r="S1511">
        <v>-3.0105590000000002</v>
      </c>
      <c r="T1511">
        <v>-0.22030169999999999</v>
      </c>
      <c r="U1511">
        <v>-0.43536380000000002</v>
      </c>
      <c r="V1511">
        <v>-4.0707900000000003E-3</v>
      </c>
      <c r="W1511">
        <v>-2.4419429999999999E-2</v>
      </c>
      <c r="X1511">
        <v>0.99969350000000001</v>
      </c>
      <c r="Y1511">
        <v>-0.1836216</v>
      </c>
      <c r="Z1511">
        <v>-9.703883E-3</v>
      </c>
      <c r="AA1511">
        <v>0.98294910000000002</v>
      </c>
      <c r="AB1511">
        <v>25</v>
      </c>
      <c r="AC1511">
        <v>-14.925999999999901</v>
      </c>
      <c r="AD1511">
        <v>-1.110439770308</v>
      </c>
      <c r="AE1511">
        <v>-2.2044000000000201</v>
      </c>
      <c r="AF1511">
        <v>-2.8088187414983299</v>
      </c>
      <c r="AG1511">
        <v>-1.110439770308</v>
      </c>
      <c r="AH1511">
        <v>14.7414088005363</v>
      </c>
      <c r="AI1511">
        <v>94.231983972337801</v>
      </c>
      <c r="AJ1511">
        <v>100.787790994242</v>
      </c>
      <c r="AK1511">
        <v>15.0476467472692</v>
      </c>
      <c r="AL1511">
        <v>91.399269384978197</v>
      </c>
      <c r="AM1511">
        <v>90.233309306448405</v>
      </c>
      <c r="AN1511">
        <v>0.99999998691749903</v>
      </c>
    </row>
    <row r="1512" spans="1:40" x14ac:dyDescent="0.3">
      <c r="A1512" t="str">
        <f>"20200111160434293"</f>
        <v>20200111160434293</v>
      </c>
      <c r="B1512" t="str">
        <f>"1578729874282532"</f>
        <v>1578729874282532</v>
      </c>
      <c r="C1512" t="s">
        <v>40</v>
      </c>
      <c r="D1512">
        <v>5.7628259999999996</v>
      </c>
      <c r="E1512">
        <v>0.4851857</v>
      </c>
      <c r="F1512" t="s">
        <v>57</v>
      </c>
      <c r="G1512">
        <v>-245.59020000000001</v>
      </c>
      <c r="H1512" s="1">
        <v>1.438052E-6</v>
      </c>
      <c r="I1512">
        <v>284.05759999999998</v>
      </c>
      <c r="J1512">
        <v>-232.9248</v>
      </c>
      <c r="K1512">
        <v>1.110638</v>
      </c>
      <c r="L1512">
        <v>284.48320000000001</v>
      </c>
      <c r="M1512">
        <v>-0.99910589999999999</v>
      </c>
      <c r="N1512">
        <v>0</v>
      </c>
      <c r="O1512">
        <v>4.0003709999999998E-2</v>
      </c>
      <c r="P1512">
        <v>-0.99863230000000003</v>
      </c>
      <c r="Q1512">
        <v>-3.5286909999999998E-2</v>
      </c>
      <c r="R1512">
        <v>3.857903E-2</v>
      </c>
      <c r="S1512">
        <v>-2.998138</v>
      </c>
      <c r="T1512">
        <v>-0.2477424</v>
      </c>
      <c r="U1512">
        <v>-8.8195800000000005E-2</v>
      </c>
      <c r="V1512">
        <v>-1.38233E-3</v>
      </c>
      <c r="W1512">
        <v>-2.161244E-2</v>
      </c>
      <c r="X1512">
        <v>0.99976549999999997</v>
      </c>
      <c r="Y1512">
        <v>-6.8999480000000002E-2</v>
      </c>
      <c r="Z1512">
        <v>-6.1447100000000003E-3</v>
      </c>
      <c r="AA1512">
        <v>0.99759779999999998</v>
      </c>
      <c r="AB1512">
        <v>25</v>
      </c>
      <c r="AC1512">
        <v>-12.6654</v>
      </c>
      <c r="AD1512">
        <v>-1.1106365619480001</v>
      </c>
      <c r="AE1512">
        <v>-0.42560000000003101</v>
      </c>
      <c r="AF1512">
        <v>-0.92486578621177395</v>
      </c>
      <c r="AG1512">
        <v>-1.1106365619480001</v>
      </c>
      <c r="AH1512">
        <v>12.5418987423209</v>
      </c>
      <c r="AI1512">
        <v>95.046943004724596</v>
      </c>
      <c r="AJ1512">
        <v>94.217476670410406</v>
      </c>
      <c r="AK1512">
        <v>12.624900568237001</v>
      </c>
      <c r="AL1512">
        <v>91.238397979267901</v>
      </c>
      <c r="AM1512">
        <v>90.079220201560801</v>
      </c>
      <c r="AN1512">
        <v>1.00000003169461</v>
      </c>
    </row>
    <row r="1513" spans="1:40" x14ac:dyDescent="0.3">
      <c r="A1513" t="str">
        <f>"20200111160434314"</f>
        <v>20200111160434314</v>
      </c>
      <c r="B1513" t="str">
        <f>"1578729874312788"</f>
        <v>1578729874312788</v>
      </c>
      <c r="C1513" t="s">
        <v>40</v>
      </c>
      <c r="D1513">
        <v>5.6228410000000002</v>
      </c>
      <c r="E1513">
        <v>0.48699779999999998</v>
      </c>
      <c r="F1513" t="s">
        <v>57</v>
      </c>
      <c r="G1513">
        <v>-247.3092</v>
      </c>
      <c r="H1513" s="1">
        <v>2.352808E-6</v>
      </c>
      <c r="I1513">
        <v>284.4101</v>
      </c>
      <c r="J1513">
        <v>-233.1584</v>
      </c>
      <c r="K1513">
        <v>1.1106320000000001</v>
      </c>
      <c r="L1513">
        <v>284.49180000000001</v>
      </c>
      <c r="M1513">
        <v>-0.99913079999999999</v>
      </c>
      <c r="N1513">
        <v>0</v>
      </c>
      <c r="O1513">
        <v>3.942408E-2</v>
      </c>
      <c r="P1513">
        <v>-0.99877819999999995</v>
      </c>
      <c r="Q1513">
        <v>-3.4872449999999999E-2</v>
      </c>
      <c r="R1513">
        <v>3.5017100000000002E-2</v>
      </c>
      <c r="S1513">
        <v>-2.996521</v>
      </c>
      <c r="T1513">
        <v>-0.2313646</v>
      </c>
      <c r="U1513">
        <v>-1.522827E-2</v>
      </c>
      <c r="V1513">
        <v>-4.3666460000000001E-3</v>
      </c>
      <c r="W1513">
        <v>-2.1336770000000001E-2</v>
      </c>
      <c r="X1513">
        <v>0.99976279999999995</v>
      </c>
      <c r="Y1513">
        <v>-4.4256110000000001E-2</v>
      </c>
      <c r="Z1513">
        <v>-4.7451759999999898E-3</v>
      </c>
      <c r="AA1513">
        <v>0.99900900000000004</v>
      </c>
      <c r="AB1513">
        <v>25</v>
      </c>
      <c r="AC1513">
        <v>-14.1508</v>
      </c>
      <c r="AD1513">
        <v>-1.1106296471920001</v>
      </c>
      <c r="AE1513">
        <v>-8.1700000000012096E-2</v>
      </c>
      <c r="AF1513">
        <v>-0.63565444131077697</v>
      </c>
      <c r="AG1513">
        <v>-1.1106296471920001</v>
      </c>
      <c r="AH1513">
        <v>14.0500309902342</v>
      </c>
      <c r="AI1513">
        <v>94.515130375453793</v>
      </c>
      <c r="AJ1513">
        <v>92.590421198931395</v>
      </c>
      <c r="AK1513">
        <v>14.108186474828001</v>
      </c>
      <c r="AL1513">
        <v>91.222599658978694</v>
      </c>
      <c r="AM1513">
        <v>90.250248154376905</v>
      </c>
      <c r="AN1513">
        <v>0.99999999080758095</v>
      </c>
    </row>
    <row r="1514" spans="1:40" x14ac:dyDescent="0.3">
      <c r="A1514" t="str">
        <f>"20200111160434337"</f>
        <v>20200111160434337</v>
      </c>
      <c r="B1514" t="str">
        <f>"1578729874332308"</f>
        <v>1578729874332308</v>
      </c>
      <c r="C1514" t="s">
        <v>40</v>
      </c>
      <c r="D1514">
        <v>5.5594669999999997</v>
      </c>
      <c r="E1514">
        <v>0.48772159999999898</v>
      </c>
      <c r="F1514" t="s">
        <v>57</v>
      </c>
      <c r="G1514">
        <v>-247.43190000000001</v>
      </c>
      <c r="H1514" s="1">
        <v>2.4181120000000001E-6</v>
      </c>
      <c r="I1514">
        <v>284.43759999999997</v>
      </c>
      <c r="J1514">
        <v>-233.41589999999999</v>
      </c>
      <c r="K1514">
        <v>1.1106009999999999</v>
      </c>
      <c r="L1514">
        <v>284.50130000000001</v>
      </c>
      <c r="M1514">
        <v>-0.99915810000000005</v>
      </c>
      <c r="N1514">
        <v>0</v>
      </c>
      <c r="O1514">
        <v>3.8780599999999998E-2</v>
      </c>
      <c r="P1514">
        <v>-0.99905290000000002</v>
      </c>
      <c r="Q1514">
        <v>-3.2122459999999999E-2</v>
      </c>
      <c r="R1514">
        <v>2.9352139999999999E-2</v>
      </c>
      <c r="S1514">
        <v>-2.9959259999999999</v>
      </c>
      <c r="T1514">
        <v>-0.23311509999999999</v>
      </c>
      <c r="U1514">
        <v>-1.138306E-2</v>
      </c>
      <c r="V1514">
        <v>-9.3974490000000004E-3</v>
      </c>
      <c r="W1514">
        <v>-1.8751710000000001E-2</v>
      </c>
      <c r="X1514">
        <v>0.99978</v>
      </c>
      <c r="Y1514">
        <v>-4.233526E-2</v>
      </c>
      <c r="Z1514">
        <v>-4.6573159999999999E-3</v>
      </c>
      <c r="AA1514">
        <v>0.9990926</v>
      </c>
      <c r="AB1514">
        <v>25</v>
      </c>
      <c r="AC1514">
        <v>-14.016</v>
      </c>
      <c r="AD1514">
        <v>-1.110598581888</v>
      </c>
      <c r="AE1514">
        <v>-6.3700000000039794E-2</v>
      </c>
      <c r="AF1514">
        <v>-0.60346082022132896</v>
      </c>
      <c r="AG1514">
        <v>-1.110598581888</v>
      </c>
      <c r="AH1514">
        <v>13.9156145985847</v>
      </c>
      <c r="AI1514">
        <v>94.558810525676705</v>
      </c>
      <c r="AJ1514">
        <v>92.483117654716494</v>
      </c>
      <c r="AK1514">
        <v>13.9728996213376</v>
      </c>
      <c r="AL1514">
        <v>91.074456822809694</v>
      </c>
      <c r="AM1514">
        <v>90.538536787772301</v>
      </c>
      <c r="AN1514">
        <v>0.99999999353781499</v>
      </c>
    </row>
    <row r="1515" spans="1:40" x14ac:dyDescent="0.3">
      <c r="A1515" t="str">
        <f>"20200111160434360"</f>
        <v>20200111160434360</v>
      </c>
      <c r="B1515" t="str">
        <f>"1578729874352335"</f>
        <v>1578729874352335</v>
      </c>
      <c r="C1515" t="s">
        <v>40</v>
      </c>
      <c r="D1515">
        <v>5.684437</v>
      </c>
      <c r="E1515">
        <v>0.48262159999999898</v>
      </c>
      <c r="F1515" t="s">
        <v>57</v>
      </c>
      <c r="G1515">
        <v>-248.26490000000001</v>
      </c>
      <c r="H1515" s="1">
        <v>2.8613870000000001E-6</v>
      </c>
      <c r="I1515">
        <v>284.3929</v>
      </c>
      <c r="J1515">
        <v>-233.67599999999999</v>
      </c>
      <c r="K1515">
        <v>1.1105689999999999</v>
      </c>
      <c r="L1515">
        <v>284.51069999999999</v>
      </c>
      <c r="M1515">
        <v>-0.99918419999999997</v>
      </c>
      <c r="N1515">
        <v>0</v>
      </c>
      <c r="O1515">
        <v>3.8156130000000003E-2</v>
      </c>
      <c r="P1515">
        <v>-0.99939009999999995</v>
      </c>
      <c r="Q1515">
        <v>-2.8304470000000002E-2</v>
      </c>
      <c r="R1515">
        <v>2.0454460000000001E-2</v>
      </c>
      <c r="S1515">
        <v>-2.9962770000000001</v>
      </c>
      <c r="T1515">
        <v>-0.2240992</v>
      </c>
      <c r="U1515">
        <v>-2.1881100000000001E-2</v>
      </c>
      <c r="V1515">
        <v>-1.7681349999999998E-2</v>
      </c>
      <c r="W1515">
        <v>-1.509519E-2</v>
      </c>
      <c r="X1515">
        <v>0.99972969999999906</v>
      </c>
      <c r="Y1515">
        <v>-4.5222859999999997E-2</v>
      </c>
      <c r="Z1515">
        <v>-4.5383910000000001E-3</v>
      </c>
      <c r="AA1515">
        <v>0.99896660000000004</v>
      </c>
      <c r="AB1515">
        <v>25</v>
      </c>
      <c r="AC1515">
        <v>-14.588900000000001</v>
      </c>
      <c r="AD1515">
        <v>-1.1105661386129999</v>
      </c>
      <c r="AE1515">
        <v>-0.117799999999988</v>
      </c>
      <c r="AF1515">
        <v>-0.67053349121565897</v>
      </c>
      <c r="AG1515">
        <v>-1.1105661386129999</v>
      </c>
      <c r="AH1515">
        <v>14.489818017314301</v>
      </c>
      <c r="AI1515">
        <v>94.378175517914599</v>
      </c>
      <c r="AJ1515">
        <v>92.649539822988203</v>
      </c>
      <c r="AK1515">
        <v>14.5477764103646</v>
      </c>
      <c r="AL1515">
        <v>90.864923541524504</v>
      </c>
      <c r="AM1515">
        <v>91.0132349995081</v>
      </c>
      <c r="AN1515">
        <v>0.99999998398052303</v>
      </c>
    </row>
    <row r="1516" spans="1:40" x14ac:dyDescent="0.3">
      <c r="A1516" t="str">
        <f>"20200111160434382"</f>
        <v>20200111160434382</v>
      </c>
      <c r="B1516" t="str">
        <f>"1578729874371857"</f>
        <v>1578729874371857</v>
      </c>
      <c r="C1516" t="s">
        <v>40</v>
      </c>
      <c r="D1516">
        <v>5.5943529999999999</v>
      </c>
      <c r="E1516">
        <v>0.4877051</v>
      </c>
      <c r="F1516" t="s">
        <v>57</v>
      </c>
      <c r="G1516">
        <v>-267.18979999999999</v>
      </c>
      <c r="H1516" s="1">
        <v>2.2892699999999999E-6</v>
      </c>
      <c r="I1516">
        <v>283.62849999999997</v>
      </c>
      <c r="J1516">
        <v>-233.929</v>
      </c>
      <c r="K1516">
        <v>1.110547</v>
      </c>
      <c r="L1516">
        <v>284.5197</v>
      </c>
      <c r="M1516">
        <v>-0.99920710000000001</v>
      </c>
      <c r="N1516">
        <v>0</v>
      </c>
      <c r="O1516">
        <v>3.7602469999999999E-2</v>
      </c>
      <c r="P1516">
        <v>-0.99968310000000005</v>
      </c>
      <c r="Q1516">
        <v>-2.3085499999999998E-2</v>
      </c>
      <c r="R1516">
        <v>1.0053899999999999E-2</v>
      </c>
      <c r="S1516">
        <v>-3.000626</v>
      </c>
      <c r="T1516">
        <v>-9.9433419999999995E-2</v>
      </c>
      <c r="U1516">
        <v>-7.8979489999999999E-2</v>
      </c>
      <c r="V1516">
        <v>-2.7537550000000001E-2</v>
      </c>
      <c r="W1516">
        <v>-1.0024089999999999E-2</v>
      </c>
      <c r="X1516">
        <v>0.99957050000000003</v>
      </c>
      <c r="Y1516">
        <v>-6.3830319999999996E-2</v>
      </c>
      <c r="Z1516">
        <v>-2.3026549999999998E-3</v>
      </c>
      <c r="AA1516">
        <v>0.99795809999999996</v>
      </c>
      <c r="AB1516">
        <v>25</v>
      </c>
      <c r="AC1516">
        <v>-33.260799999999897</v>
      </c>
      <c r="AD1516">
        <v>-1.1105447107299999</v>
      </c>
      <c r="AE1516">
        <v>-0.89120000000002597</v>
      </c>
      <c r="AF1516">
        <v>-2.1389820577455398</v>
      </c>
      <c r="AG1516">
        <v>-1.1105447107299999</v>
      </c>
      <c r="AH1516">
        <v>33.166810314343003</v>
      </c>
      <c r="AI1516">
        <v>91.913780568502801</v>
      </c>
      <c r="AJ1516">
        <v>93.689988797365501</v>
      </c>
      <c r="AK1516">
        <v>33.254260783025899</v>
      </c>
      <c r="AL1516">
        <v>90.574347674105397</v>
      </c>
      <c r="AM1516">
        <v>91.578064190248995</v>
      </c>
      <c r="AN1516">
        <v>0.99999999175528997</v>
      </c>
    </row>
    <row r="1517" spans="1:40" x14ac:dyDescent="0.3">
      <c r="A1517" t="str">
        <f>"20200111160434404"</f>
        <v>20200111160434404</v>
      </c>
      <c r="B1517" t="str">
        <f>"1578729874392350"</f>
        <v>1578729874392350</v>
      </c>
      <c r="C1517" t="s">
        <v>40</v>
      </c>
      <c r="D1517">
        <v>6.6353790000000004</v>
      </c>
      <c r="E1517">
        <v>0.48869659999999898</v>
      </c>
      <c r="F1517" t="s">
        <v>57</v>
      </c>
      <c r="G1517">
        <v>-256.31670000000003</v>
      </c>
      <c r="H1517" s="1">
        <v>1.8246409999999999E-6</v>
      </c>
      <c r="I1517">
        <v>283.96370000000002</v>
      </c>
      <c r="J1517">
        <v>-234.16900000000001</v>
      </c>
      <c r="K1517">
        <v>1.110514</v>
      </c>
      <c r="L1517">
        <v>284.52800000000002</v>
      </c>
      <c r="M1517">
        <v>-0.99922599999999995</v>
      </c>
      <c r="N1517">
        <v>0</v>
      </c>
      <c r="O1517">
        <v>3.7142059999999998E-2</v>
      </c>
      <c r="P1517">
        <v>-0.9998629</v>
      </c>
      <c r="Q1517">
        <v>-1.6533869999999999E-2</v>
      </c>
      <c r="R1517">
        <v>9.2480869999999997E-4</v>
      </c>
      <c r="S1517">
        <v>-2.9982600000000001</v>
      </c>
      <c r="T1517">
        <v>-0.14872929999999901</v>
      </c>
      <c r="U1517">
        <v>-7.4462890000000004E-2</v>
      </c>
      <c r="V1517">
        <v>-3.6213179999999998E-2</v>
      </c>
      <c r="W1517">
        <v>-3.6073590000000001E-3</v>
      </c>
      <c r="X1517">
        <v>0.99933760000000005</v>
      </c>
      <c r="Y1517">
        <v>-6.1822679999999998E-2</v>
      </c>
      <c r="Z1517">
        <v>-3.373259E-3</v>
      </c>
      <c r="AA1517">
        <v>0.99808140000000001</v>
      </c>
      <c r="AB1517">
        <v>25</v>
      </c>
      <c r="AC1517">
        <v>-22.1477</v>
      </c>
      <c r="AD1517">
        <v>-1.1105121753589999</v>
      </c>
      <c r="AE1517">
        <v>-0.56430000000000202</v>
      </c>
      <c r="AF1517">
        <v>-1.38311573122</v>
      </c>
      <c r="AG1517">
        <v>-1.1105121753589999</v>
      </c>
      <c r="AH1517">
        <v>22.056038415492399</v>
      </c>
      <c r="AI1517">
        <v>92.876742901124501</v>
      </c>
      <c r="AJ1517">
        <v>93.588271805290205</v>
      </c>
      <c r="AK1517">
        <v>22.1272473887568</v>
      </c>
      <c r="AL1517">
        <v>90.2066868893845</v>
      </c>
      <c r="AM1517">
        <v>92.075329599538904</v>
      </c>
      <c r="AN1517">
        <v>1.0000000231092101</v>
      </c>
    </row>
    <row r="1518" spans="1:40" x14ac:dyDescent="0.3">
      <c r="A1518" t="str">
        <f>"20200111160434426"</f>
        <v>20200111160434426</v>
      </c>
      <c r="B1518" t="str">
        <f>"1578729874422606"</f>
        <v>1578729874422606</v>
      </c>
      <c r="C1518" t="s">
        <v>40</v>
      </c>
      <c r="D1518">
        <v>5.6019040000000002</v>
      </c>
      <c r="E1518">
        <v>0.48664540000000001</v>
      </c>
      <c r="F1518" t="s">
        <v>57</v>
      </c>
      <c r="G1518">
        <v>-257.38869999999997</v>
      </c>
      <c r="H1518" s="1">
        <v>2.3951000000000002E-6</v>
      </c>
      <c r="I1518">
        <v>283.79820000000001</v>
      </c>
      <c r="J1518">
        <v>-234.42089999999999</v>
      </c>
      <c r="K1518">
        <v>1.110463</v>
      </c>
      <c r="L1518">
        <v>284.5369</v>
      </c>
      <c r="M1518">
        <v>-0.99924310000000005</v>
      </c>
      <c r="N1518">
        <v>0</v>
      </c>
      <c r="O1518">
        <v>3.6723020000000002E-2</v>
      </c>
      <c r="P1518">
        <v>-0.99989499999999998</v>
      </c>
      <c r="Q1518">
        <v>-1.352766E-2</v>
      </c>
      <c r="R1518">
        <v>-5.2167539999999997E-3</v>
      </c>
      <c r="S1518">
        <v>-2.9981230000000001</v>
      </c>
      <c r="T1518">
        <v>-0.14338919999999999</v>
      </c>
      <c r="U1518">
        <v>-9.4238279999999994E-2</v>
      </c>
      <c r="V1518">
        <v>-4.1934890000000002E-2</v>
      </c>
      <c r="W1518">
        <v>-7.3286339999999997E-4</v>
      </c>
      <c r="X1518">
        <v>0.99912009999999996</v>
      </c>
      <c r="Y1518">
        <v>-6.7984039999999996E-2</v>
      </c>
      <c r="Z1518">
        <v>-3.3793769999999998E-3</v>
      </c>
      <c r="AA1518">
        <v>0.99768069999999998</v>
      </c>
      <c r="AB1518">
        <v>25</v>
      </c>
      <c r="AC1518">
        <v>-22.967799999999901</v>
      </c>
      <c r="AD1518">
        <v>-1.1104606049000001</v>
      </c>
      <c r="AE1518">
        <v>-0.73869999999999403</v>
      </c>
      <c r="AF1518">
        <v>-1.57803309900444</v>
      </c>
      <c r="AG1518">
        <v>-1.1104606049000001</v>
      </c>
      <c r="AH1518">
        <v>22.871766271837</v>
      </c>
      <c r="AI1518">
        <v>92.773036384207003</v>
      </c>
      <c r="AJ1518">
        <v>93.946856459515303</v>
      </c>
      <c r="AK1518">
        <v>22.953017309498399</v>
      </c>
      <c r="AL1518">
        <v>90.041989982565994</v>
      </c>
      <c r="AM1518">
        <v>92.403397562363594</v>
      </c>
      <c r="AN1518">
        <v>1.00000002315604</v>
      </c>
    </row>
    <row r="1519" spans="1:40" x14ac:dyDescent="0.3">
      <c r="A1519" t="str">
        <f>"20200111160434448"</f>
        <v>20200111160434448</v>
      </c>
      <c r="B1519" t="str">
        <f>"1578729874442126"</f>
        <v>1578729874442126</v>
      </c>
      <c r="C1519" t="s">
        <v>40</v>
      </c>
      <c r="D1519">
        <v>5.5802690000000004</v>
      </c>
      <c r="E1519">
        <v>0.48771629999999999</v>
      </c>
      <c r="F1519" t="s">
        <v>62</v>
      </c>
      <c r="G1519">
        <v>-511.07580000000002</v>
      </c>
      <c r="H1519">
        <v>6.2352049999999997</v>
      </c>
      <c r="I1519">
        <v>273.80759999999998</v>
      </c>
      <c r="J1519">
        <v>-234.68029999999999</v>
      </c>
      <c r="K1519">
        <v>1.1104229999999999</v>
      </c>
      <c r="L1519">
        <v>284.54579999999999</v>
      </c>
      <c r="M1519">
        <v>-0.9992586</v>
      </c>
      <c r="N1519">
        <v>0</v>
      </c>
      <c r="O1519">
        <v>3.6340129999999998E-2</v>
      </c>
      <c r="P1519">
        <v>-0.99988940000000004</v>
      </c>
      <c r="Q1519">
        <v>-1.2193280000000001E-2</v>
      </c>
      <c r="R1519">
        <v>-8.5316419999999903E-3</v>
      </c>
      <c r="S1519">
        <v>-3.0004430000000002</v>
      </c>
      <c r="T1519">
        <v>5.5580850000000001E-2</v>
      </c>
      <c r="U1519">
        <v>-0.11636349999999999</v>
      </c>
      <c r="V1519">
        <v>-4.4865620000000002E-2</v>
      </c>
      <c r="W1519">
        <v>4.8190759999999999E-4</v>
      </c>
      <c r="X1519">
        <v>0.99899289999999996</v>
      </c>
      <c r="Y1519">
        <v>-7.5024080000000007E-2</v>
      </c>
      <c r="Z1519">
        <v>1.367484E-3</v>
      </c>
      <c r="AA1519">
        <v>0.99718079999999998</v>
      </c>
      <c r="AB1519">
        <v>25</v>
      </c>
      <c r="AC1519">
        <v>-276.39550000000003</v>
      </c>
      <c r="AD1519">
        <v>5.1247819999999997</v>
      </c>
      <c r="AE1519">
        <v>-10.738200000000001</v>
      </c>
      <c r="AF1519">
        <v>-20.769036998201798</v>
      </c>
      <c r="AG1519">
        <v>5.1247819999999997</v>
      </c>
      <c r="AH1519">
        <v>275.727997697668</v>
      </c>
      <c r="AI1519">
        <v>88.9382093859479</v>
      </c>
      <c r="AJ1519">
        <v>94.307633808333094</v>
      </c>
      <c r="AK1519">
        <v>276.55658553494101</v>
      </c>
      <c r="AL1519">
        <v>89.972388726926496</v>
      </c>
      <c r="AM1519">
        <v>92.571474197565394</v>
      </c>
      <c r="AN1519">
        <v>0.999999985171664</v>
      </c>
    </row>
    <row r="1520" spans="1:40" x14ac:dyDescent="0.3">
      <c r="A1520" t="str">
        <f>"20200111160434472"</f>
        <v>20200111160434472</v>
      </c>
      <c r="B1520" t="str">
        <f>"1578729874462622"</f>
        <v>1578729874462622</v>
      </c>
      <c r="C1520" t="s">
        <v>40</v>
      </c>
      <c r="D1520">
        <v>5.5804169999999997</v>
      </c>
      <c r="E1520">
        <v>0.49755729999999998</v>
      </c>
      <c r="F1520" t="s">
        <v>62</v>
      </c>
      <c r="G1520">
        <v>-512.82669999999996</v>
      </c>
      <c r="H1520">
        <v>4.6570960000000001</v>
      </c>
      <c r="I1520">
        <v>273.46769999999998</v>
      </c>
      <c r="J1520">
        <v>-234.94200000000001</v>
      </c>
      <c r="K1520">
        <v>1.1104000000000001</v>
      </c>
      <c r="L1520">
        <v>284.55489999999998</v>
      </c>
      <c r="M1520">
        <v>-0.99927290000000002</v>
      </c>
      <c r="N1520">
        <v>0</v>
      </c>
      <c r="O1520">
        <v>3.5985629999999998E-2</v>
      </c>
      <c r="P1520">
        <v>-0.99989689999999998</v>
      </c>
      <c r="Q1520">
        <v>-9.8137729999999996E-3</v>
      </c>
      <c r="R1520">
        <v>-1.050768E-2</v>
      </c>
      <c r="S1520">
        <v>-2.9997859999999998</v>
      </c>
      <c r="T1520">
        <v>3.8251399999999998E-2</v>
      </c>
      <c r="U1520">
        <v>-0.11947629999999999</v>
      </c>
      <c r="V1520">
        <v>-4.6487390000000003E-2</v>
      </c>
      <c r="W1520">
        <v>2.7559400000000001E-3</v>
      </c>
      <c r="X1520">
        <v>0.99891509999999994</v>
      </c>
      <c r="Y1520">
        <v>-7.5721860000000002E-2</v>
      </c>
      <c r="Z1520">
        <v>9.412782E-4</v>
      </c>
      <c r="AA1520">
        <v>0.99712849999999997</v>
      </c>
      <c r="AB1520">
        <v>25</v>
      </c>
      <c r="AC1520">
        <v>-277.88469999999899</v>
      </c>
      <c r="AD1520">
        <v>3.5466959999999998</v>
      </c>
      <c r="AE1520">
        <v>-11.0871999999999</v>
      </c>
      <c r="AF1520">
        <v>-21.077239365685301</v>
      </c>
      <c r="AG1520">
        <v>3.5466959999999998</v>
      </c>
      <c r="AH1520">
        <v>277.260582322598</v>
      </c>
      <c r="AI1520">
        <v>89.269225072639699</v>
      </c>
      <c r="AJ1520">
        <v>94.347241065775506</v>
      </c>
      <c r="AK1520">
        <v>278.08318823988799</v>
      </c>
      <c r="AL1520">
        <v>89.842096073442093</v>
      </c>
      <c r="AM1520">
        <v>92.664501591131099</v>
      </c>
      <c r="AN1520">
        <v>1.00000002482115</v>
      </c>
    </row>
    <row r="1521" spans="1:40" x14ac:dyDescent="0.3">
      <c r="A1521" t="str">
        <f>"20200111160434493"</f>
        <v>20200111160434493</v>
      </c>
      <c r="B1521" t="str">
        <f>"1578729874482142"</f>
        <v>1578729874482142</v>
      </c>
      <c r="C1521" t="s">
        <v>40</v>
      </c>
      <c r="D1521">
        <v>6.4265730000000003</v>
      </c>
      <c r="E1521">
        <v>0.49779190000000001</v>
      </c>
      <c r="F1521" t="s">
        <v>57</v>
      </c>
      <c r="G1521">
        <v>-249.98220000000001</v>
      </c>
      <c r="H1521" s="1">
        <v>-1.5462619999999999E-6</v>
      </c>
      <c r="I1521">
        <v>284.24540000000002</v>
      </c>
      <c r="J1521">
        <v>-235.18610000000001</v>
      </c>
      <c r="K1521">
        <v>1.1103879999999999</v>
      </c>
      <c r="L1521">
        <v>284.56330000000003</v>
      </c>
      <c r="M1521">
        <v>-0.99928510000000004</v>
      </c>
      <c r="N1521">
        <v>0</v>
      </c>
      <c r="O1521">
        <v>3.5672019999999999E-2</v>
      </c>
      <c r="P1521">
        <v>-0.99989030000000001</v>
      </c>
      <c r="Q1521">
        <v>-9.7464679999999995E-3</v>
      </c>
      <c r="R1521">
        <v>-1.1156569999999999E-2</v>
      </c>
      <c r="S1521">
        <v>-2.9974980000000002</v>
      </c>
      <c r="T1521">
        <v>-0.2213022</v>
      </c>
      <c r="U1521">
        <v>-6.167603E-2</v>
      </c>
      <c r="V1521">
        <v>-4.6821769999999999E-2</v>
      </c>
      <c r="W1521">
        <v>2.7354369999999999E-3</v>
      </c>
      <c r="X1521">
        <v>0.99889950000000005</v>
      </c>
      <c r="Y1521">
        <v>-5.5976310000000001E-2</v>
      </c>
      <c r="Z1521">
        <v>-4.6931120000000002E-3</v>
      </c>
      <c r="AA1521">
        <v>0.99842109999999995</v>
      </c>
      <c r="AB1521">
        <v>25</v>
      </c>
      <c r="AC1521">
        <v>-14.7960999999999</v>
      </c>
      <c r="AD1521">
        <v>-1.1103895462619999</v>
      </c>
      <c r="AE1521">
        <v>-0.31790000000000801</v>
      </c>
      <c r="AF1521">
        <v>-0.84081259860811597</v>
      </c>
      <c r="AG1521">
        <v>-1.1103895462619999</v>
      </c>
      <c r="AH1521">
        <v>14.692631043002701</v>
      </c>
      <c r="AI1521">
        <v>94.3148563956711</v>
      </c>
      <c r="AJ1521">
        <v>93.275283141318994</v>
      </c>
      <c r="AK1521">
        <v>14.7585005246547</v>
      </c>
      <c r="AL1521">
        <v>89.8432708071132</v>
      </c>
      <c r="AM1521">
        <v>92.683681064591696</v>
      </c>
      <c r="AN1521">
        <v>0.99999998593088102</v>
      </c>
    </row>
    <row r="1522" spans="1:40" x14ac:dyDescent="0.3">
      <c r="A1522" t="str">
        <f>"20200111160434516"</f>
        <v>20200111160434516</v>
      </c>
      <c r="B1522" t="str">
        <f>"1578729874512398"</f>
        <v>1578729874512398</v>
      </c>
      <c r="C1522" t="s">
        <v>40</v>
      </c>
      <c r="D1522">
        <v>5.5037050000000001</v>
      </c>
      <c r="E1522">
        <v>0.4993088</v>
      </c>
      <c r="F1522" t="s">
        <v>57</v>
      </c>
      <c r="G1522">
        <v>-249.7465</v>
      </c>
      <c r="H1522" s="1">
        <v>3.6498199999999999E-6</v>
      </c>
      <c r="I1522">
        <v>284.26100000000002</v>
      </c>
      <c r="J1522">
        <v>-235.43860000000001</v>
      </c>
      <c r="K1522">
        <v>1.1103700000000001</v>
      </c>
      <c r="L1522">
        <v>284.57190000000003</v>
      </c>
      <c r="M1522">
        <v>-0.99929769999999896</v>
      </c>
      <c r="N1522">
        <v>0</v>
      </c>
      <c r="O1522">
        <v>3.5348650000000002E-2</v>
      </c>
      <c r="P1522">
        <v>-0.99987749999999997</v>
      </c>
      <c r="Q1522">
        <v>-1.25922E-2</v>
      </c>
      <c r="R1522">
        <v>-9.3178940000000002E-3</v>
      </c>
      <c r="S1522">
        <v>-2.9974059999999998</v>
      </c>
      <c r="T1522">
        <v>-0.22858319999999999</v>
      </c>
      <c r="U1522">
        <v>-6.2225339999999997E-2</v>
      </c>
      <c r="V1522">
        <v>-4.4659369999999997E-2</v>
      </c>
      <c r="W1522">
        <v>-1.8909189999999999E-4</v>
      </c>
      <c r="X1522">
        <v>0.99900230000000001</v>
      </c>
      <c r="Y1522">
        <v>-5.5821419999999997E-2</v>
      </c>
      <c r="Z1522">
        <v>-4.8167030000000003E-3</v>
      </c>
      <c r="AA1522">
        <v>0.99842920000000002</v>
      </c>
      <c r="AB1522">
        <v>25</v>
      </c>
      <c r="AC1522">
        <v>-14.307899999999901</v>
      </c>
      <c r="AD1522">
        <v>-1.1103663501799901</v>
      </c>
      <c r="AE1522">
        <v>-0.31090000000006002</v>
      </c>
      <c r="AF1522">
        <v>-0.81162397128417596</v>
      </c>
      <c r="AG1522">
        <v>-1.1103663501799901</v>
      </c>
      <c r="AH1522">
        <v>14.2024712239777</v>
      </c>
      <c r="AI1522">
        <v>94.463107717338204</v>
      </c>
      <c r="AJ1522">
        <v>93.270705813730501</v>
      </c>
      <c r="AK1522">
        <v>14.2689115131565</v>
      </c>
      <c r="AL1522">
        <v>90.010834167384502</v>
      </c>
      <c r="AM1522">
        <v>92.559644679148207</v>
      </c>
      <c r="AN1522">
        <v>1.00000004524491</v>
      </c>
    </row>
    <row r="1523" spans="1:40" x14ac:dyDescent="0.3">
      <c r="A1523" t="str">
        <f>"20200111160434539"</f>
        <v>20200111160434539</v>
      </c>
      <c r="B1523" t="str">
        <f>"1578729874531918"</f>
        <v>1578729874531918</v>
      </c>
      <c r="C1523" t="s">
        <v>40</v>
      </c>
      <c r="D1523">
        <v>5.450755</v>
      </c>
      <c r="E1523">
        <v>0.50052289999999999</v>
      </c>
      <c r="F1523" t="s">
        <v>57</v>
      </c>
      <c r="G1523">
        <v>-248.5943</v>
      </c>
      <c r="H1523" s="1">
        <v>3.0366439999999998E-6</v>
      </c>
      <c r="I1523">
        <v>284.36950000000002</v>
      </c>
      <c r="J1523">
        <v>-235.70429999999999</v>
      </c>
      <c r="K1523">
        <v>1.1103689999999999</v>
      </c>
      <c r="L1523">
        <v>284.58089999999999</v>
      </c>
      <c r="M1523">
        <v>-0.99931139999999996</v>
      </c>
      <c r="N1523">
        <v>0</v>
      </c>
      <c r="O1523">
        <v>3.4982630000000001E-2</v>
      </c>
      <c r="P1523">
        <v>-0.99985679999999999</v>
      </c>
      <c r="Q1523">
        <v>-1.473819E-2</v>
      </c>
      <c r="R1523">
        <v>-8.3241249999999999E-3</v>
      </c>
      <c r="S1523">
        <v>-2.99675</v>
      </c>
      <c r="T1523">
        <v>-0.25293199999999999</v>
      </c>
      <c r="U1523">
        <v>-4.6112060000000003E-2</v>
      </c>
      <c r="V1523">
        <v>-4.3297759999999998E-2</v>
      </c>
      <c r="W1523">
        <v>-2.4070680000000001E-3</v>
      </c>
      <c r="X1523">
        <v>0.99905929999999998</v>
      </c>
      <c r="Y1523">
        <v>-5.0054990000000001E-2</v>
      </c>
      <c r="Z1523">
        <v>-5.0556669999999998E-3</v>
      </c>
      <c r="AA1523">
        <v>0.9987336</v>
      </c>
      <c r="AB1523">
        <v>25</v>
      </c>
      <c r="AC1523">
        <v>-12.89</v>
      </c>
      <c r="AD1523">
        <v>-1.1103659633559999</v>
      </c>
      <c r="AE1523">
        <v>-0.211399999999969</v>
      </c>
      <c r="AF1523">
        <v>-0.65735466077221905</v>
      </c>
      <c r="AG1523">
        <v>-1.1103659633559999</v>
      </c>
      <c r="AH1523">
        <v>12.779906863369201</v>
      </c>
      <c r="AI1523">
        <v>94.959078200142898</v>
      </c>
      <c r="AJ1523">
        <v>92.9445038133927</v>
      </c>
      <c r="AK1523">
        <v>12.8448840850749</v>
      </c>
      <c r="AL1523">
        <v>90.137914972310398</v>
      </c>
      <c r="AM1523">
        <v>92.481561907436401</v>
      </c>
      <c r="AN1523">
        <v>0.99999998745693197</v>
      </c>
    </row>
    <row r="1524" spans="1:40" x14ac:dyDescent="0.3">
      <c r="A1524" t="str">
        <f>"20200111160434561"</f>
        <v>20200111160434561</v>
      </c>
      <c r="B1524" t="str">
        <f>"1578729874552415"</f>
        <v>1578729874552415</v>
      </c>
      <c r="C1524" t="s">
        <v>40</v>
      </c>
      <c r="D1524">
        <v>5.4068569999999996</v>
      </c>
      <c r="E1524">
        <v>0.50141049999999998</v>
      </c>
      <c r="F1524" t="s">
        <v>57</v>
      </c>
      <c r="G1524">
        <v>-248.4752</v>
      </c>
      <c r="H1524" s="1">
        <v>2.9732990000000002E-6</v>
      </c>
      <c r="I1524">
        <v>284.4375</v>
      </c>
      <c r="J1524">
        <v>-235.94980000000001</v>
      </c>
      <c r="K1524">
        <v>1.110385</v>
      </c>
      <c r="L1524">
        <v>284.58909999999997</v>
      </c>
      <c r="M1524">
        <v>-0.99932560000000004</v>
      </c>
      <c r="N1524">
        <v>0</v>
      </c>
      <c r="O1524">
        <v>3.4594970000000003E-2</v>
      </c>
      <c r="P1524">
        <v>-0.99983690000000003</v>
      </c>
      <c r="Q1524">
        <v>-1.699552E-2</v>
      </c>
      <c r="R1524">
        <v>-6.1274659999999998E-3</v>
      </c>
      <c r="S1524">
        <v>-2.996292</v>
      </c>
      <c r="T1524">
        <v>-0.26051149999999901</v>
      </c>
      <c r="U1524">
        <v>-3.363037E-2</v>
      </c>
      <c r="V1524">
        <v>-4.0712869999999998E-2</v>
      </c>
      <c r="W1524">
        <v>-4.7127740000000003E-3</v>
      </c>
      <c r="X1524">
        <v>0.99915980000000004</v>
      </c>
      <c r="Y1524">
        <v>-4.5509830000000001E-2</v>
      </c>
      <c r="Z1524">
        <v>-4.9766439999999997E-3</v>
      </c>
      <c r="AA1524">
        <v>0.99895149999999999</v>
      </c>
      <c r="AB1524">
        <v>25</v>
      </c>
      <c r="AC1524">
        <v>-12.5253999999999</v>
      </c>
      <c r="AD1524">
        <v>-1.1103820267010001</v>
      </c>
      <c r="AE1524">
        <v>-0.15159999999997301</v>
      </c>
      <c r="AF1524">
        <v>-0.58029807730455496</v>
      </c>
      <c r="AG1524">
        <v>-1.1103820267010001</v>
      </c>
      <c r="AH1524">
        <v>12.415101627025599</v>
      </c>
      <c r="AI1524">
        <v>95.105277891694101</v>
      </c>
      <c r="AJ1524">
        <v>92.6761318646342</v>
      </c>
      <c r="AK1524">
        <v>12.4781586186872</v>
      </c>
      <c r="AL1524">
        <v>90.270023052266296</v>
      </c>
      <c r="AM1524">
        <v>92.333346383915796</v>
      </c>
      <c r="AN1524">
        <v>1.00000002697922</v>
      </c>
    </row>
    <row r="1525" spans="1:40" x14ac:dyDescent="0.3">
      <c r="A1525" t="str">
        <f>"20200111160434583"</f>
        <v>20200111160434583</v>
      </c>
      <c r="B1525" t="str">
        <f>"1578729874571934"</f>
        <v>1578729874571934</v>
      </c>
      <c r="C1525" t="s">
        <v>40</v>
      </c>
      <c r="D1525">
        <v>5.451117</v>
      </c>
      <c r="E1525">
        <v>0.50199329999999998</v>
      </c>
      <c r="F1525" t="s">
        <v>57</v>
      </c>
      <c r="G1525">
        <v>-248.34530000000001</v>
      </c>
      <c r="H1525" s="1">
        <v>2.904168E-6</v>
      </c>
      <c r="I1525">
        <v>284.5052</v>
      </c>
      <c r="J1525">
        <v>-236.19300000000001</v>
      </c>
      <c r="K1525">
        <v>1.1104160000000001</v>
      </c>
      <c r="L1525">
        <v>284.59699999999998</v>
      </c>
      <c r="M1525">
        <v>-0.99934129999999999</v>
      </c>
      <c r="N1525">
        <v>0</v>
      </c>
      <c r="O1525">
        <v>3.4148530000000003E-2</v>
      </c>
      <c r="P1525">
        <v>-0.99981160000000002</v>
      </c>
      <c r="Q1525">
        <v>-1.8897009999999999E-2</v>
      </c>
      <c r="R1525">
        <v>-4.4655700000000003E-3</v>
      </c>
      <c r="S1525">
        <v>-2.995819</v>
      </c>
      <c r="T1525">
        <v>-0.26836259999999901</v>
      </c>
      <c r="U1525">
        <v>-2.0263670000000001E-2</v>
      </c>
      <c r="V1525">
        <v>-3.8602699999999997E-2</v>
      </c>
      <c r="W1525">
        <v>-6.6501750000000004E-3</v>
      </c>
      <c r="X1525">
        <v>0.99923249999999997</v>
      </c>
      <c r="Y1525">
        <v>-4.0610889999999997E-2</v>
      </c>
      <c r="Z1525">
        <v>-4.8680069999999997E-3</v>
      </c>
      <c r="AA1525">
        <v>0.99916320000000003</v>
      </c>
      <c r="AB1525">
        <v>25</v>
      </c>
      <c r="AC1525">
        <v>-12.1523</v>
      </c>
      <c r="AD1525">
        <v>-1.110413095832</v>
      </c>
      <c r="AE1525">
        <v>-9.1799999999977899E-2</v>
      </c>
      <c r="AF1525">
        <v>-0.50256508710199399</v>
      </c>
      <c r="AG1525">
        <v>-1.110413095832</v>
      </c>
      <c r="AH1525">
        <v>12.0415430500809</v>
      </c>
      <c r="AI1525">
        <v>95.264083351426194</v>
      </c>
      <c r="AJ1525">
        <v>92.3899060618661</v>
      </c>
      <c r="AK1525">
        <v>12.103071838881201</v>
      </c>
      <c r="AL1525">
        <v>90.381029772420803</v>
      </c>
      <c r="AM1525">
        <v>92.212370440525703</v>
      </c>
      <c r="AN1525">
        <v>0.99999999116553495</v>
      </c>
    </row>
    <row r="1526" spans="1:40" x14ac:dyDescent="0.3">
      <c r="A1526" t="str">
        <f>"20200111160434605"</f>
        <v>20200111160434605</v>
      </c>
      <c r="B1526" t="str">
        <f>"1578729874602190"</f>
        <v>1578729874602190</v>
      </c>
      <c r="C1526" t="s">
        <v>40</v>
      </c>
      <c r="D1526">
        <v>5.4298570000000002</v>
      </c>
      <c r="E1526">
        <v>0.5023147</v>
      </c>
      <c r="F1526" t="s">
        <v>57</v>
      </c>
      <c r="G1526">
        <v>-248.2492</v>
      </c>
      <c r="H1526" s="1">
        <v>2.8530180000000001E-6</v>
      </c>
      <c r="I1526">
        <v>284.55349999999999</v>
      </c>
      <c r="J1526">
        <v>-236.43680000000001</v>
      </c>
      <c r="K1526">
        <v>1.11046</v>
      </c>
      <c r="L1526">
        <v>284.60469999999998</v>
      </c>
      <c r="M1526">
        <v>-0.99935949999999996</v>
      </c>
      <c r="N1526">
        <v>0</v>
      </c>
      <c r="O1526">
        <v>3.3621209999999999E-2</v>
      </c>
      <c r="P1526">
        <v>-0.99979750000000001</v>
      </c>
      <c r="Q1526">
        <v>-1.9849220000000001E-2</v>
      </c>
      <c r="R1526">
        <v>-3.375547E-3</v>
      </c>
      <c r="S1526">
        <v>-2.995285</v>
      </c>
      <c r="T1526">
        <v>-0.27587450000000002</v>
      </c>
      <c r="U1526">
        <v>-1.0803220000000001E-2</v>
      </c>
      <c r="V1526">
        <v>-3.6983820000000001E-2</v>
      </c>
      <c r="W1526">
        <v>-7.6325380000000003E-3</v>
      </c>
      <c r="X1526">
        <v>0.99928669999999997</v>
      </c>
      <c r="Y1526">
        <v>-3.6929610000000002E-2</v>
      </c>
      <c r="Z1526">
        <v>-4.786968E-3</v>
      </c>
      <c r="AA1526">
        <v>0.99930640000000004</v>
      </c>
      <c r="AB1526">
        <v>25</v>
      </c>
      <c r="AC1526">
        <v>-11.812399999999901</v>
      </c>
      <c r="AD1526">
        <v>-1.1104571469819999</v>
      </c>
      <c r="AE1526">
        <v>-5.1199999999994299E-2</v>
      </c>
      <c r="AF1526">
        <v>-0.44442058643510701</v>
      </c>
      <c r="AG1526">
        <v>-1.1104571469819999</v>
      </c>
      <c r="AH1526">
        <v>11.700597701784201</v>
      </c>
      <c r="AI1526">
        <v>95.417592625216002</v>
      </c>
      <c r="AJ1526">
        <v>92.175204200262002</v>
      </c>
      <c r="AK1526">
        <v>11.7615735049324</v>
      </c>
      <c r="AL1526">
        <v>90.437316467601903</v>
      </c>
      <c r="AM1526">
        <v>92.119561961965502</v>
      </c>
      <c r="AN1526">
        <v>0.99999998368750098</v>
      </c>
    </row>
    <row r="1527" spans="1:40" x14ac:dyDescent="0.3">
      <c r="A1527" t="str">
        <f>"20200111160434628"</f>
        <v>20200111160434628</v>
      </c>
      <c r="B1527" t="str">
        <f>"1578729874622686"</f>
        <v>1578729874622686</v>
      </c>
      <c r="C1527" t="s">
        <v>40</v>
      </c>
      <c r="D1527">
        <v>5.4039469999999996</v>
      </c>
      <c r="E1527">
        <v>0.5024942</v>
      </c>
      <c r="F1527" t="s">
        <v>42</v>
      </c>
      <c r="G1527">
        <v>-237.3777</v>
      </c>
      <c r="H1527">
        <v>1.0229569999999999</v>
      </c>
      <c r="I1527">
        <v>284.6035</v>
      </c>
      <c r="J1527">
        <v>-236.7072</v>
      </c>
      <c r="K1527">
        <v>1.110525</v>
      </c>
      <c r="L1527">
        <v>284.613</v>
      </c>
      <c r="M1527">
        <v>-0.99938280000000002</v>
      </c>
      <c r="N1527">
        <v>0</v>
      </c>
      <c r="O1527">
        <v>3.293194E-2</v>
      </c>
      <c r="P1527">
        <v>-0.99978469999999997</v>
      </c>
      <c r="Q1527">
        <v>-2.055011E-2</v>
      </c>
      <c r="R1527">
        <v>-2.901196E-3</v>
      </c>
      <c r="S1527">
        <v>-2.9950709999999998</v>
      </c>
      <c r="T1527">
        <v>-0.27876230000000002</v>
      </c>
      <c r="U1527">
        <v>-4.7302250000000002E-3</v>
      </c>
      <c r="V1527">
        <v>-3.581807E-2</v>
      </c>
      <c r="W1527">
        <v>-8.362586E-3</v>
      </c>
      <c r="X1527">
        <v>0.99932330000000003</v>
      </c>
      <c r="Y1527">
        <v>-3.4222620000000002E-2</v>
      </c>
      <c r="Z1527">
        <v>-4.6474960000000001E-3</v>
      </c>
      <c r="AA1527">
        <v>0.99940340000000005</v>
      </c>
      <c r="AB1527">
        <v>25</v>
      </c>
      <c r="AC1527">
        <v>-0.67050000000000398</v>
      </c>
      <c r="AD1527">
        <v>-8.7567999999999993E-2</v>
      </c>
      <c r="AE1527">
        <v>-9.5000000000027198E-3</v>
      </c>
      <c r="AF1527">
        <v>-3.1047896686278699E-2</v>
      </c>
      <c r="AG1527">
        <v>-8.7567999999999993E-2</v>
      </c>
      <c r="AH1527">
        <v>0.65859227536030396</v>
      </c>
      <c r="AI1527">
        <v>97.565455096440402</v>
      </c>
      <c r="AJ1527">
        <v>92.699086244851699</v>
      </c>
      <c r="AK1527">
        <v>0.66511345774755204</v>
      </c>
      <c r="AL1527">
        <v>90.479146486396004</v>
      </c>
      <c r="AM1527">
        <v>92.052735192150905</v>
      </c>
      <c r="AN1527">
        <v>0.99999996245301004</v>
      </c>
    </row>
    <row r="1528" spans="1:40" x14ac:dyDescent="0.3">
      <c r="A1528" t="str">
        <f>"20200111160434650"</f>
        <v>20200111160434650</v>
      </c>
      <c r="B1528" t="str">
        <f>"1578729874642206"</f>
        <v>1578729874642206</v>
      </c>
      <c r="C1528" t="s">
        <v>40</v>
      </c>
      <c r="D1528">
        <v>5.4490410000000002</v>
      </c>
      <c r="E1528">
        <v>0.50247580000000003</v>
      </c>
      <c r="F1528" t="s">
        <v>42</v>
      </c>
      <c r="G1528">
        <v>-237.60560000000001</v>
      </c>
      <c r="H1528">
        <v>1.0266</v>
      </c>
      <c r="I1528">
        <v>284.61250000000001</v>
      </c>
      <c r="J1528">
        <v>-236.9545</v>
      </c>
      <c r="K1528">
        <v>1.11059</v>
      </c>
      <c r="L1528">
        <v>284.62040000000002</v>
      </c>
      <c r="M1528">
        <v>-0.99940609999999996</v>
      </c>
      <c r="N1528">
        <v>0</v>
      </c>
      <c r="O1528">
        <v>3.222415E-2</v>
      </c>
      <c r="P1528">
        <v>-0.99977689999999997</v>
      </c>
      <c r="Q1528">
        <v>-2.0953329999999999E-2</v>
      </c>
      <c r="R1528">
        <v>-2.6802969999999999E-3</v>
      </c>
      <c r="S1528">
        <v>-2.9948730000000001</v>
      </c>
      <c r="T1528">
        <v>-0.27977940000000001</v>
      </c>
      <c r="U1528">
        <v>-1.8615719999999999E-3</v>
      </c>
      <c r="V1528">
        <v>-3.4888250000000003E-2</v>
      </c>
      <c r="W1528">
        <v>-8.7874119999999997E-3</v>
      </c>
      <c r="X1528">
        <v>0.99935260000000004</v>
      </c>
      <c r="Y1528">
        <v>-3.2565730000000001E-2</v>
      </c>
      <c r="Z1528">
        <v>-4.5214950000000004E-3</v>
      </c>
      <c r="AA1528">
        <v>0.9994594</v>
      </c>
      <c r="AB1528">
        <v>25</v>
      </c>
      <c r="AC1528">
        <v>-0.651100000000013</v>
      </c>
      <c r="AD1528">
        <v>-8.3989999999999995E-2</v>
      </c>
      <c r="AE1528">
        <v>-7.9000000000064505E-3</v>
      </c>
      <c r="AF1528">
        <v>-2.84059913940851E-2</v>
      </c>
      <c r="AG1528">
        <v>-8.3989999999999995E-2</v>
      </c>
      <c r="AH1528">
        <v>0.63986133870443496</v>
      </c>
      <c r="AI1528">
        <v>97.470777132739101</v>
      </c>
      <c r="AJ1528">
        <v>92.541918666749197</v>
      </c>
      <c r="AK1528">
        <v>0.64597504070645995</v>
      </c>
      <c r="AL1528">
        <v>90.5034880933799</v>
      </c>
      <c r="AM1528">
        <v>91.999432420563906</v>
      </c>
      <c r="AN1528">
        <v>1.00000001386224</v>
      </c>
    </row>
    <row r="1529" spans="1:40" x14ac:dyDescent="0.3">
      <c r="A1529" t="str">
        <f>"20200111160434674"</f>
        <v>20200111160434674</v>
      </c>
      <c r="B1529" t="str">
        <f>"1578729874662702"</f>
        <v>1578729874662702</v>
      </c>
      <c r="C1529" t="s">
        <v>40</v>
      </c>
      <c r="D1529">
        <v>5.3925869999999998</v>
      </c>
      <c r="E1529">
        <v>0.50249670000000002</v>
      </c>
      <c r="F1529" t="s">
        <v>42</v>
      </c>
      <c r="G1529">
        <v>-237.8322</v>
      </c>
      <c r="H1529">
        <v>1.0285550000000001</v>
      </c>
      <c r="I1529">
        <v>284.62020000000001</v>
      </c>
      <c r="J1529">
        <v>-237.21260000000001</v>
      </c>
      <c r="K1529">
        <v>1.1106469999999999</v>
      </c>
      <c r="L1529">
        <v>284.6277</v>
      </c>
      <c r="M1529">
        <v>-0.99943219999999999</v>
      </c>
      <c r="N1529">
        <v>0</v>
      </c>
      <c r="O1529">
        <v>3.1409489999999998E-2</v>
      </c>
      <c r="P1529">
        <v>-0.99977210000000005</v>
      </c>
      <c r="Q1529">
        <v>-2.1135899999999999E-2</v>
      </c>
      <c r="R1529">
        <v>-3.0097779999999998E-3</v>
      </c>
      <c r="S1529">
        <v>-2.9947970000000002</v>
      </c>
      <c r="T1529">
        <v>-0.27996759999999998</v>
      </c>
      <c r="U1529">
        <v>-9.4604490000000003E-4</v>
      </c>
      <c r="V1529">
        <v>-3.4401639999999997E-2</v>
      </c>
      <c r="W1529">
        <v>-8.9883250000000001E-3</v>
      </c>
      <c r="X1529">
        <v>0.99936769999999997</v>
      </c>
      <c r="Y1529">
        <v>-3.1453500000000002E-2</v>
      </c>
      <c r="Z1529">
        <v>-4.3967900000000002E-3</v>
      </c>
      <c r="AA1529">
        <v>0.99949560000000004</v>
      </c>
      <c r="AB1529">
        <v>25</v>
      </c>
      <c r="AC1529">
        <v>-0.61959999999999105</v>
      </c>
      <c r="AD1529">
        <v>-8.2091999999999998E-2</v>
      </c>
      <c r="AE1529">
        <v>-7.4999999999931797E-3</v>
      </c>
      <c r="AF1529">
        <v>-2.6494054814739001E-2</v>
      </c>
      <c r="AG1529">
        <v>-8.2091999999999998E-2</v>
      </c>
      <c r="AH1529">
        <v>0.60838063827574895</v>
      </c>
      <c r="AI1529">
        <v>97.677615018461395</v>
      </c>
      <c r="AJ1529">
        <v>92.493568837614205</v>
      </c>
      <c r="AK1529">
        <v>0.614465647887116</v>
      </c>
      <c r="AL1529">
        <v>90.5150000058986</v>
      </c>
      <c r="AM1529">
        <v>91.971537383452997</v>
      </c>
      <c r="AN1529">
        <v>1.00000003131214</v>
      </c>
    </row>
    <row r="1530" spans="1:40" x14ac:dyDescent="0.3">
      <c r="A1530" t="str">
        <f>"20200111160434693"</f>
        <v>20200111160434693</v>
      </c>
      <c r="B1530" t="str">
        <f>"1578729874682222"</f>
        <v>1578729874682222</v>
      </c>
      <c r="C1530" t="s">
        <v>40</v>
      </c>
      <c r="D1530">
        <v>5.4078439999999999</v>
      </c>
      <c r="E1530">
        <v>0.50242790000000004</v>
      </c>
      <c r="F1530" t="s">
        <v>57</v>
      </c>
      <c r="G1530">
        <v>-249.1977</v>
      </c>
      <c r="H1530" s="1">
        <v>3.357774E-6</v>
      </c>
      <c r="I1530">
        <v>284.62119999999999</v>
      </c>
      <c r="J1530">
        <v>-237.44399999999999</v>
      </c>
      <c r="K1530">
        <v>1.11069</v>
      </c>
      <c r="L1530">
        <v>284.63420000000002</v>
      </c>
      <c r="M1530">
        <v>-0.99945700000000004</v>
      </c>
      <c r="N1530">
        <v>0</v>
      </c>
      <c r="O1530">
        <v>3.061703E-2</v>
      </c>
      <c r="P1530">
        <v>-0.99975210000000003</v>
      </c>
      <c r="Q1530">
        <v>-2.204037E-2</v>
      </c>
      <c r="R1530">
        <v>-3.227803E-3</v>
      </c>
      <c r="S1530">
        <v>-2.9948269999999999</v>
      </c>
      <c r="T1530">
        <v>-0.27752539999999998</v>
      </c>
      <c r="U1530">
        <v>-1.6479489999999999E-3</v>
      </c>
      <c r="V1530">
        <v>-3.3824260000000002E-2</v>
      </c>
      <c r="W1530">
        <v>-9.9060469999999994E-3</v>
      </c>
      <c r="X1530">
        <v>0.99937869999999995</v>
      </c>
      <c r="Y1530">
        <v>-3.0905729999999999E-2</v>
      </c>
      <c r="Z1530">
        <v>-4.2599719999999999E-3</v>
      </c>
      <c r="AA1530">
        <v>0.99951319999999999</v>
      </c>
      <c r="AB1530">
        <v>25</v>
      </c>
      <c r="AC1530">
        <v>-11.753699999999901</v>
      </c>
      <c r="AD1530">
        <v>-1.110686642226</v>
      </c>
      <c r="AE1530">
        <v>-1.3000000000033599E-2</v>
      </c>
      <c r="AF1530">
        <v>-0.36958373215907298</v>
      </c>
      <c r="AG1530">
        <v>-1.110686642226</v>
      </c>
      <c r="AH1530">
        <v>11.643815922166</v>
      </c>
      <c r="AI1530">
        <v>95.4461482395388</v>
      </c>
      <c r="AJ1530">
        <v>91.818002033209495</v>
      </c>
      <c r="AK1530">
        <v>11.7025068332209</v>
      </c>
      <c r="AL1530">
        <v>90.567583968867197</v>
      </c>
      <c r="AM1530">
        <v>91.938452221255105</v>
      </c>
      <c r="AN1530">
        <v>0.99999999817270102</v>
      </c>
    </row>
    <row r="1531" spans="1:40" x14ac:dyDescent="0.3">
      <c r="A1531" t="str">
        <f>"20200111160434717"</f>
        <v>20200111160434717</v>
      </c>
      <c r="B1531" t="str">
        <f>"1578729874712478"</f>
        <v>1578729874712478</v>
      </c>
      <c r="C1531" t="s">
        <v>40</v>
      </c>
      <c r="D1531">
        <v>5.4361930000000003</v>
      </c>
      <c r="E1531">
        <v>0.50227529999999998</v>
      </c>
      <c r="F1531" t="s">
        <v>57</v>
      </c>
      <c r="G1531">
        <v>-249.4263</v>
      </c>
      <c r="H1531" s="1">
        <v>3.479403E-6</v>
      </c>
      <c r="I1531">
        <v>284.62220000000002</v>
      </c>
      <c r="J1531">
        <v>-237.70070000000001</v>
      </c>
      <c r="K1531">
        <v>1.1107260000000001</v>
      </c>
      <c r="L1531">
        <v>284.64100000000002</v>
      </c>
      <c r="M1531">
        <v>-0.99948530000000002</v>
      </c>
      <c r="N1531">
        <v>0</v>
      </c>
      <c r="O1531">
        <v>2.96826E-2</v>
      </c>
      <c r="P1531">
        <v>-0.99973579999999995</v>
      </c>
      <c r="Q1531">
        <v>-2.2708760000000001E-2</v>
      </c>
      <c r="R1531">
        <v>-3.5572020000000002E-3</v>
      </c>
      <c r="S1531">
        <v>-2.9945979999999999</v>
      </c>
      <c r="T1531">
        <v>-0.27758260000000001</v>
      </c>
      <c r="U1531">
        <v>-2.9907229999999998E-3</v>
      </c>
      <c r="V1531">
        <v>-3.3216910000000002E-2</v>
      </c>
      <c r="W1531">
        <v>-1.058654E-2</v>
      </c>
      <c r="X1531">
        <v>0.99939210000000001</v>
      </c>
      <c r="Y1531">
        <v>-3.0425379999999998E-2</v>
      </c>
      <c r="Z1531">
        <v>-4.1525520000000003E-3</v>
      </c>
      <c r="AA1531">
        <v>0.99952839999999998</v>
      </c>
      <c r="AB1531">
        <v>25</v>
      </c>
      <c r="AC1531">
        <v>-11.725599999999901</v>
      </c>
      <c r="AD1531">
        <v>-1.1107225205969999</v>
      </c>
      <c r="AE1531">
        <v>-1.8799999999941901E-2</v>
      </c>
      <c r="AF1531">
        <v>-0.36360117149693</v>
      </c>
      <c r="AG1531">
        <v>-1.1107225205969999</v>
      </c>
      <c r="AH1531">
        <v>11.615646830625</v>
      </c>
      <c r="AI1531">
        <v>95.459526133359304</v>
      </c>
      <c r="AJ1531">
        <v>91.792927457697999</v>
      </c>
      <c r="AK1531">
        <v>11.6742949090506</v>
      </c>
      <c r="AL1531">
        <v>90.606575390042593</v>
      </c>
      <c r="AM1531">
        <v>91.903645620573798</v>
      </c>
      <c r="AN1531">
        <v>1.0000000037407599</v>
      </c>
    </row>
    <row r="1532" spans="1:40" x14ac:dyDescent="0.3">
      <c r="A1532" t="str">
        <f>"20200111160434739"</f>
        <v>20200111160434739</v>
      </c>
      <c r="B1532" t="str">
        <f>"1578729874731998"</f>
        <v>1578729874731998</v>
      </c>
      <c r="C1532" t="s">
        <v>40</v>
      </c>
      <c r="D1532">
        <v>5.4586259999999998</v>
      </c>
      <c r="E1532">
        <v>0.48588730000000002</v>
      </c>
      <c r="F1532" t="s">
        <v>57</v>
      </c>
      <c r="G1532">
        <v>-249.75720000000001</v>
      </c>
      <c r="H1532" s="1">
        <v>3.6555099999999998E-6</v>
      </c>
      <c r="I1532">
        <v>284.62040000000002</v>
      </c>
      <c r="J1532">
        <v>-237.9649</v>
      </c>
      <c r="K1532">
        <v>1.110751</v>
      </c>
      <c r="L1532">
        <v>284.64780000000002</v>
      </c>
      <c r="M1532">
        <v>-0.99951480000000004</v>
      </c>
      <c r="N1532">
        <v>0</v>
      </c>
      <c r="O1532">
        <v>2.8676009999999998E-2</v>
      </c>
      <c r="P1532">
        <v>-0.9997201</v>
      </c>
      <c r="Q1532">
        <v>-2.3449950000000001E-2</v>
      </c>
      <c r="R1532">
        <v>-3.164203E-3</v>
      </c>
      <c r="S1532">
        <v>-2.994507</v>
      </c>
      <c r="T1532">
        <v>-0.27587209999999901</v>
      </c>
      <c r="U1532">
        <v>-5.1269530000000001E-3</v>
      </c>
      <c r="V1532">
        <v>-3.1815089999999997E-2</v>
      </c>
      <c r="W1532">
        <v>-1.1336260000000001E-2</v>
      </c>
      <c r="X1532">
        <v>0.99942949999999997</v>
      </c>
      <c r="Y1532">
        <v>-3.0140440000000001E-2</v>
      </c>
      <c r="Z1532">
        <v>-4.0215880000000004E-3</v>
      </c>
      <c r="AA1532">
        <v>0.99953760000000003</v>
      </c>
      <c r="AB1532">
        <v>25</v>
      </c>
      <c r="AC1532">
        <v>-11.792299999999999</v>
      </c>
      <c r="AD1532">
        <v>-1.11074734449</v>
      </c>
      <c r="AE1532">
        <v>-2.7400000000000001E-2</v>
      </c>
      <c r="AF1532">
        <v>-0.362354959539674</v>
      </c>
      <c r="AG1532">
        <v>-1.11074734449</v>
      </c>
      <c r="AH1532">
        <v>11.6830100522299</v>
      </c>
      <c r="AI1532">
        <v>95.428404374993704</v>
      </c>
      <c r="AJ1532">
        <v>91.776490507991198</v>
      </c>
      <c r="AK1532">
        <v>11.7412854773444</v>
      </c>
      <c r="AL1532">
        <v>90.649533754224606</v>
      </c>
      <c r="AM1532">
        <v>91.823295207056105</v>
      </c>
      <c r="AN1532">
        <v>1.00000001810637</v>
      </c>
    </row>
    <row r="1533" spans="1:40" x14ac:dyDescent="0.3">
      <c r="A1533" t="str">
        <f>"20200111160434761"</f>
        <v>20200111160434761</v>
      </c>
      <c r="B1533" t="str">
        <f>"1578729874752493"</f>
        <v>1578729874752493</v>
      </c>
      <c r="C1533" t="s">
        <v>40</v>
      </c>
      <c r="D1533">
        <v>5.4308589999999999</v>
      </c>
      <c r="E1533">
        <v>0.4912127</v>
      </c>
      <c r="F1533" t="s">
        <v>57</v>
      </c>
      <c r="G1533">
        <v>-274.31279999999998</v>
      </c>
      <c r="H1533" s="1">
        <v>8.2233840000000001E-7</v>
      </c>
      <c r="I1533">
        <v>283.15019999999998</v>
      </c>
      <c r="J1533">
        <v>-238.20830000000001</v>
      </c>
      <c r="K1533">
        <v>1.110765</v>
      </c>
      <c r="L1533">
        <v>284.65370000000001</v>
      </c>
      <c r="M1533">
        <v>-0.99954160000000003</v>
      </c>
      <c r="N1533">
        <v>0</v>
      </c>
      <c r="O1533">
        <v>2.7725799999999998E-2</v>
      </c>
      <c r="P1533">
        <v>-0.99970550000000002</v>
      </c>
      <c r="Q1533">
        <v>-2.4121989999999999E-2</v>
      </c>
      <c r="R1533">
        <v>-2.6372959999999999E-3</v>
      </c>
      <c r="S1533">
        <v>-2.9983219999999999</v>
      </c>
      <c r="T1533">
        <v>-9.1625330000000005E-2</v>
      </c>
      <c r="U1533">
        <v>-0.123535199999999</v>
      </c>
      <c r="V1533">
        <v>-3.0336510000000001E-2</v>
      </c>
      <c r="W1533">
        <v>-1.201356E-2</v>
      </c>
      <c r="X1533">
        <v>0.99946760000000001</v>
      </c>
      <c r="Y1533">
        <v>-6.8810049999999998E-2</v>
      </c>
      <c r="Z1533">
        <v>-1.897503E-3</v>
      </c>
      <c r="AA1533">
        <v>0.99762799999999996</v>
      </c>
      <c r="AB1533">
        <v>25</v>
      </c>
      <c r="AC1533">
        <v>-36.104499999999902</v>
      </c>
      <c r="AD1533">
        <v>-1.1107641776616</v>
      </c>
      <c r="AE1533">
        <v>-1.50350000000003</v>
      </c>
      <c r="AF1533">
        <v>-2.50165836024965</v>
      </c>
      <c r="AG1533">
        <v>-1.1107641776616</v>
      </c>
      <c r="AH1533">
        <v>36.014900204451003</v>
      </c>
      <c r="AI1533">
        <v>91.762301028135397</v>
      </c>
      <c r="AJ1533">
        <v>93.9734832955331</v>
      </c>
      <c r="AK1533">
        <v>36.118764213997501</v>
      </c>
      <c r="AL1533">
        <v>90.688342804326197</v>
      </c>
      <c r="AM1533">
        <v>91.738546106821502</v>
      </c>
      <c r="AN1533">
        <v>1.0000000564563001</v>
      </c>
    </row>
    <row r="1534" spans="1:40" x14ac:dyDescent="0.3">
      <c r="A1534" t="str">
        <f>"20200111160434874"</f>
        <v>20200111160434874</v>
      </c>
      <c r="B1534" t="str">
        <f>"1578729874862782"</f>
        <v>1578729874862782</v>
      </c>
      <c r="C1534" t="s">
        <v>40</v>
      </c>
      <c r="D1534">
        <v>5.4688980000000003</v>
      </c>
      <c r="E1534">
        <v>0.53761979999999998</v>
      </c>
      <c r="F1534" t="s">
        <v>57</v>
      </c>
      <c r="G1534">
        <v>-253.458</v>
      </c>
      <c r="H1534" s="1">
        <v>3.034092E-7</v>
      </c>
      <c r="I1534">
        <v>284.21030000000002</v>
      </c>
      <c r="J1534">
        <v>-239.47329999999999</v>
      </c>
      <c r="K1534">
        <v>1.1107389999999999</v>
      </c>
      <c r="L1534">
        <v>284.68049999999999</v>
      </c>
      <c r="M1534">
        <v>-0.99966809999999995</v>
      </c>
      <c r="N1534">
        <v>0</v>
      </c>
      <c r="O1534">
        <v>2.2722989999999998E-2</v>
      </c>
      <c r="P1534">
        <v>-0.99951000000000001</v>
      </c>
      <c r="Q1534">
        <v>-3.115132E-2</v>
      </c>
      <c r="R1534">
        <v>3.1266100000000002E-3</v>
      </c>
      <c r="S1534">
        <v>-2.995377</v>
      </c>
      <c r="T1534">
        <v>-0.2181776</v>
      </c>
      <c r="U1534">
        <v>-8.7097170000000002E-2</v>
      </c>
      <c r="V1534">
        <v>-1.9556799999999999E-2</v>
      </c>
      <c r="W1534">
        <v>-1.90455E-2</v>
      </c>
      <c r="X1534">
        <v>0.99962740000000005</v>
      </c>
      <c r="Y1534">
        <v>-5.1575790000000003E-2</v>
      </c>
      <c r="Z1534">
        <v>-3.5281760000000001E-3</v>
      </c>
      <c r="AA1534">
        <v>0.99866279999999996</v>
      </c>
      <c r="AB1534">
        <v>25</v>
      </c>
      <c r="AC1534">
        <v>-13.9847</v>
      </c>
      <c r="AD1534">
        <v>-1.1107386965907999</v>
      </c>
      <c r="AE1534">
        <v>-0.47019999999997703</v>
      </c>
      <c r="AF1534">
        <v>-0.78294267127016004</v>
      </c>
      <c r="AG1534">
        <v>-1.1107386965907999</v>
      </c>
      <c r="AH1534">
        <v>13.8829236802412</v>
      </c>
      <c r="AI1534">
        <v>94.567124660862802</v>
      </c>
      <c r="AJ1534">
        <v>93.227839006474596</v>
      </c>
      <c r="AK1534">
        <v>13.949276310619201</v>
      </c>
      <c r="AL1534">
        <v>91.091292674309003</v>
      </c>
      <c r="AM1534">
        <v>91.120796781194798</v>
      </c>
      <c r="AN1534">
        <v>1.0000000691636199</v>
      </c>
    </row>
    <row r="1535" spans="1:40" x14ac:dyDescent="0.3">
      <c r="A1535" t="str">
        <f>"20200111160434896"</f>
        <v>20200111160434896</v>
      </c>
      <c r="B1535" t="str">
        <f>"1578729874892062"</f>
        <v>1578729874892062</v>
      </c>
      <c r="C1535" t="s">
        <v>40</v>
      </c>
      <c r="D1535">
        <v>5.3730219999999997</v>
      </c>
      <c r="E1535">
        <v>0.53663590000000005</v>
      </c>
      <c r="F1535" t="s">
        <v>42</v>
      </c>
      <c r="G1535">
        <v>-240.31540000000001</v>
      </c>
      <c r="H1535">
        <v>1.0487979999999999</v>
      </c>
      <c r="I1535">
        <v>284.76560000000001</v>
      </c>
      <c r="J1535">
        <v>-239.7235</v>
      </c>
      <c r="K1535">
        <v>1.110725</v>
      </c>
      <c r="L1535">
        <v>284.685</v>
      </c>
      <c r="M1535">
        <v>-0.99968959999999996</v>
      </c>
      <c r="N1535">
        <v>0</v>
      </c>
      <c r="O1535">
        <v>2.1758489999999998E-2</v>
      </c>
      <c r="P1535">
        <v>-0.9994693</v>
      </c>
      <c r="Q1535">
        <v>-3.2291649999999998E-2</v>
      </c>
      <c r="R1535">
        <v>4.2787249999999997E-3</v>
      </c>
      <c r="S1535">
        <v>-2.993668</v>
      </c>
      <c r="T1535">
        <v>-0.22042390000000001</v>
      </c>
      <c r="U1535">
        <v>0.30175780000000002</v>
      </c>
      <c r="V1535">
        <v>-1.743857E-2</v>
      </c>
      <c r="W1535">
        <v>-2.0184290000000001E-2</v>
      </c>
      <c r="X1535">
        <v>0.99964419999999998</v>
      </c>
      <c r="Y1535">
        <v>7.8464489999999998E-2</v>
      </c>
      <c r="Z1535">
        <v>1.2820329999999999E-3</v>
      </c>
      <c r="AA1535">
        <v>0.99691609999999997</v>
      </c>
      <c r="AB1535">
        <v>25</v>
      </c>
      <c r="AC1535">
        <v>-0.59190000000000897</v>
      </c>
      <c r="AD1535">
        <v>-6.1927000000000003E-2</v>
      </c>
      <c r="AE1535">
        <v>8.0600000000004002E-2</v>
      </c>
      <c r="AF1535">
        <v>6.6981274317562706E-2</v>
      </c>
      <c r="AG1535">
        <v>-6.1927000000000003E-2</v>
      </c>
      <c r="AH1535">
        <v>0.58720308742947402</v>
      </c>
      <c r="AI1535">
        <v>95.981708611124603</v>
      </c>
      <c r="AJ1535">
        <v>83.492493288078293</v>
      </c>
      <c r="AK1535">
        <v>0.59424650636323595</v>
      </c>
      <c r="AL1535">
        <v>91.156553148816002</v>
      </c>
      <c r="AM1535">
        <v>90.999410716067501</v>
      </c>
      <c r="AN1535">
        <v>1.0000000179400399</v>
      </c>
    </row>
    <row r="1536" spans="1:40" x14ac:dyDescent="0.3">
      <c r="A1536" t="str">
        <f>"20200111160434919"</f>
        <v>20200111160434919</v>
      </c>
      <c r="B1536" t="str">
        <f>"1578729874912558"</f>
        <v>1578729874912558</v>
      </c>
      <c r="C1536" t="s">
        <v>40</v>
      </c>
      <c r="D1536">
        <v>5.3411339999999896</v>
      </c>
      <c r="E1536">
        <v>0.53674299999999997</v>
      </c>
      <c r="F1536" t="s">
        <v>42</v>
      </c>
      <c r="G1536">
        <v>-240.54499999999999</v>
      </c>
      <c r="H1536">
        <v>1.0535190000000001</v>
      </c>
      <c r="I1536">
        <v>284.76729999999998</v>
      </c>
      <c r="J1536">
        <v>-239.98159999999999</v>
      </c>
      <c r="K1536">
        <v>1.110716</v>
      </c>
      <c r="L1536">
        <v>284.68950000000001</v>
      </c>
      <c r="M1536">
        <v>-0.9997104</v>
      </c>
      <c r="N1536">
        <v>0</v>
      </c>
      <c r="O1536">
        <v>2.078377E-2</v>
      </c>
      <c r="P1536">
        <v>-0.99947739999999996</v>
      </c>
      <c r="Q1536">
        <v>-3.2034670000000001E-2</v>
      </c>
      <c r="R1536">
        <v>4.3658669999999998E-3</v>
      </c>
      <c r="S1536">
        <v>-2.993576</v>
      </c>
      <c r="T1536">
        <v>-0.2087405</v>
      </c>
      <c r="U1536">
        <v>0.2986145</v>
      </c>
      <c r="V1536">
        <v>-1.6378050000000002E-2</v>
      </c>
      <c r="W1536">
        <v>-1.9930670000000001E-2</v>
      </c>
      <c r="X1536">
        <v>0.99966719999999998</v>
      </c>
      <c r="Y1536">
        <v>7.8416570000000005E-2</v>
      </c>
      <c r="Z1536">
        <v>1.280354E-3</v>
      </c>
      <c r="AA1536">
        <v>0.99691989999999997</v>
      </c>
      <c r="AB1536">
        <v>25</v>
      </c>
      <c r="AC1536">
        <v>-0.56340000000000101</v>
      </c>
      <c r="AD1536">
        <v>-5.7196999999999901E-2</v>
      </c>
      <c r="AE1536">
        <v>7.7799999999967895E-2</v>
      </c>
      <c r="AF1536">
        <v>6.5411206512550196E-2</v>
      </c>
      <c r="AG1536">
        <v>-5.7196999999999901E-2</v>
      </c>
      <c r="AH1536">
        <v>0.559239411408466</v>
      </c>
      <c r="AI1536">
        <v>95.800431321970706</v>
      </c>
      <c r="AJ1536">
        <v>83.328735198221096</v>
      </c>
      <c r="AK1536">
        <v>0.56594950483140705</v>
      </c>
      <c r="AL1536">
        <v>91.142018899820201</v>
      </c>
      <c r="AM1536">
        <v>90.938621567534199</v>
      </c>
      <c r="AN1536">
        <v>0.99999999144214502</v>
      </c>
    </row>
    <row r="1537" spans="1:40" x14ac:dyDescent="0.3">
      <c r="A1537" t="str">
        <f>"20200111160434941"</f>
        <v>20200111160434941</v>
      </c>
      <c r="B1537" t="str">
        <f>"1578729874932079"</f>
        <v>1578729874932079</v>
      </c>
      <c r="C1537" t="s">
        <v>40</v>
      </c>
      <c r="D1537">
        <v>5.4091259999999997</v>
      </c>
      <c r="E1537">
        <v>0.53660399999999997</v>
      </c>
      <c r="F1537" t="s">
        <v>57</v>
      </c>
      <c r="G1537">
        <v>-256.80439999999999</v>
      </c>
      <c r="H1537" s="1">
        <v>2.084174E-6</v>
      </c>
      <c r="I1537">
        <v>286.37650000000002</v>
      </c>
      <c r="J1537">
        <v>-240.23429999999999</v>
      </c>
      <c r="K1537">
        <v>1.110703</v>
      </c>
      <c r="L1537">
        <v>284.69369999999998</v>
      </c>
      <c r="M1537">
        <v>-0.99972930000000004</v>
      </c>
      <c r="N1537">
        <v>0</v>
      </c>
      <c r="O1537">
        <v>1.985495E-2</v>
      </c>
      <c r="P1537">
        <v>-0.99951889999999999</v>
      </c>
      <c r="Q1537">
        <v>-3.0793000000000001E-2</v>
      </c>
      <c r="R1537">
        <v>3.699005E-3</v>
      </c>
      <c r="S1537">
        <v>-2.9939269999999998</v>
      </c>
      <c r="T1537">
        <v>-0.1976724</v>
      </c>
      <c r="U1537">
        <v>0.3002319</v>
      </c>
      <c r="V1537">
        <v>-1.6120559999999999E-2</v>
      </c>
      <c r="W1537">
        <v>-1.8698409999999999E-2</v>
      </c>
      <c r="X1537">
        <v>0.99969520000000001</v>
      </c>
      <c r="Y1537">
        <v>7.9873570000000005E-2</v>
      </c>
      <c r="Z1537">
        <v>1.3214399999999999E-3</v>
      </c>
      <c r="AA1537">
        <v>0.99680409999999997</v>
      </c>
      <c r="AB1537">
        <v>25</v>
      </c>
      <c r="AC1537">
        <v>-16.570099999999901</v>
      </c>
      <c r="AD1537">
        <v>-1.1107009158259999</v>
      </c>
      <c r="AE1537">
        <v>1.68280000000004</v>
      </c>
      <c r="AF1537">
        <v>1.34745310525819</v>
      </c>
      <c r="AG1537">
        <v>-1.1107009158259999</v>
      </c>
      <c r="AH1537">
        <v>16.526749494920502</v>
      </c>
      <c r="AI1537">
        <v>93.832175135228596</v>
      </c>
      <c r="AJ1537">
        <v>85.338890588665706</v>
      </c>
      <c r="AK1537">
        <v>16.618746500959201</v>
      </c>
      <c r="AL1537">
        <v>91.071402417490901</v>
      </c>
      <c r="AM1537">
        <v>90.923841592461102</v>
      </c>
      <c r="AN1537">
        <v>0.99999999794714001</v>
      </c>
    </row>
    <row r="1538" spans="1:40" x14ac:dyDescent="0.3">
      <c r="A1538" t="str">
        <f>"20200111160434963"</f>
        <v>20200111160434963</v>
      </c>
      <c r="B1538" t="str">
        <f>"1578729874952573"</f>
        <v>1578729874952573</v>
      </c>
      <c r="C1538" t="s">
        <v>40</v>
      </c>
      <c r="D1538">
        <v>5.3733079999999998</v>
      </c>
      <c r="E1538">
        <v>0.53700680000000001</v>
      </c>
      <c r="F1538" t="s">
        <v>57</v>
      </c>
      <c r="G1538">
        <v>-257.98309999999998</v>
      </c>
      <c r="H1538" s="1">
        <v>2.7114180000000001E-6</v>
      </c>
      <c r="I1538">
        <v>286.45710000000003</v>
      </c>
      <c r="J1538">
        <v>-240.47540000000001</v>
      </c>
      <c r="K1538">
        <v>1.110681</v>
      </c>
      <c r="L1538">
        <v>284.69740000000002</v>
      </c>
      <c r="M1538">
        <v>-0.99974629999999998</v>
      </c>
      <c r="N1538">
        <v>0</v>
      </c>
      <c r="O1538">
        <v>1.8995709999999999E-2</v>
      </c>
      <c r="P1538">
        <v>-0.9995636</v>
      </c>
      <c r="Q1538">
        <v>-2.9488130000000001E-2</v>
      </c>
      <c r="R1538">
        <v>1.7958710000000001E-3</v>
      </c>
      <c r="S1538">
        <v>-2.9945529999999998</v>
      </c>
      <c r="T1538">
        <v>-0.1873958</v>
      </c>
      <c r="U1538">
        <v>0.2975159</v>
      </c>
      <c r="V1538">
        <v>-1.7168240000000001E-2</v>
      </c>
      <c r="W1538">
        <v>-1.7405750000000001E-2</v>
      </c>
      <c r="X1538">
        <v>0.99970110000000001</v>
      </c>
      <c r="Y1538">
        <v>7.9825960000000001E-2</v>
      </c>
      <c r="Z1538">
        <v>1.304744E-3</v>
      </c>
      <c r="AA1538">
        <v>0.99680789999999997</v>
      </c>
      <c r="AB1538">
        <v>25</v>
      </c>
      <c r="AC1538">
        <v>-17.5076999999999</v>
      </c>
      <c r="AD1538">
        <v>-1.1106782885819999</v>
      </c>
      <c r="AE1538">
        <v>1.7597</v>
      </c>
      <c r="AF1538">
        <v>1.4211246871040999</v>
      </c>
      <c r="AG1538">
        <v>-1.1106782885819999</v>
      </c>
      <c r="AH1538">
        <v>17.4683703516924</v>
      </c>
      <c r="AI1538">
        <v>93.626149339269801</v>
      </c>
      <c r="AJ1538">
        <v>85.348992539728698</v>
      </c>
      <c r="AK1538">
        <v>17.561240399838201</v>
      </c>
      <c r="AL1538">
        <v>90.997326377966303</v>
      </c>
      <c r="AM1538">
        <v>90.9838650854024</v>
      </c>
      <c r="AN1538">
        <v>0.99999999896948499</v>
      </c>
    </row>
    <row r="1539" spans="1:40" x14ac:dyDescent="0.3">
      <c r="A1539" t="str">
        <f>"20200111160434985"</f>
        <v>20200111160434985</v>
      </c>
      <c r="B1539" t="str">
        <f>"1578729874982831"</f>
        <v>1578729874982831</v>
      </c>
      <c r="C1539" t="s">
        <v>40</v>
      </c>
      <c r="D1539">
        <v>5.4600939999999998</v>
      </c>
      <c r="E1539">
        <v>0.53688319999999901</v>
      </c>
      <c r="F1539" t="s">
        <v>57</v>
      </c>
      <c r="G1539">
        <v>-259.34339999999997</v>
      </c>
      <c r="H1539" s="1">
        <v>3.4352729999999998E-6</v>
      </c>
      <c r="I1539">
        <v>286.55970000000002</v>
      </c>
      <c r="J1539">
        <v>-240.72030000000001</v>
      </c>
      <c r="K1539">
        <v>1.1106579999999999</v>
      </c>
      <c r="L1539">
        <v>284.70100000000002</v>
      </c>
      <c r="M1539">
        <v>-0.99976209999999999</v>
      </c>
      <c r="N1539">
        <v>0</v>
      </c>
      <c r="O1539">
        <v>1.815655E-2</v>
      </c>
      <c r="P1539">
        <v>-0.99958369999999996</v>
      </c>
      <c r="Q1539">
        <v>-2.8851539999999998E-2</v>
      </c>
      <c r="R1539">
        <v>2.723704E-4</v>
      </c>
      <c r="S1539">
        <v>-2.9955599999999998</v>
      </c>
      <c r="T1539">
        <v>-0.17633599999999999</v>
      </c>
      <c r="U1539">
        <v>0.29565429999999998</v>
      </c>
      <c r="V1539">
        <v>-1.7854869999999998E-2</v>
      </c>
      <c r="W1539">
        <v>-1.677973E-2</v>
      </c>
      <c r="X1539">
        <v>0.99969980000000003</v>
      </c>
      <c r="Y1539">
        <v>8.0027979999999999E-2</v>
      </c>
      <c r="Z1539">
        <v>1.2826389999999999E-3</v>
      </c>
      <c r="AA1539">
        <v>0.99679180000000001</v>
      </c>
      <c r="AB1539">
        <v>25</v>
      </c>
      <c r="AC1539">
        <v>-18.623099999999901</v>
      </c>
      <c r="AD1539">
        <v>-1.1106545647270001</v>
      </c>
      <c r="AE1539">
        <v>1.85870000000005</v>
      </c>
      <c r="AF1539">
        <v>1.51490261802034</v>
      </c>
      <c r="AG1539">
        <v>-1.1106545647270001</v>
      </c>
      <c r="AH1539">
        <v>18.588317670865599</v>
      </c>
      <c r="AI1539">
        <v>93.408092992419199</v>
      </c>
      <c r="AJ1539">
        <v>85.340830481003707</v>
      </c>
      <c r="AK1539">
        <v>18.6829879124633</v>
      </c>
      <c r="AL1539">
        <v>90.961452809600104</v>
      </c>
      <c r="AM1539">
        <v>91.023207106552604</v>
      </c>
      <c r="AN1539">
        <v>1.0000000229208099</v>
      </c>
    </row>
    <row r="1540" spans="1:40" x14ac:dyDescent="0.3">
      <c r="A1540" t="str">
        <f>"20200111160435007"</f>
        <v>20200111160435007</v>
      </c>
      <c r="B1540" t="str">
        <f>"1578729875002351"</f>
        <v>1578729875002351</v>
      </c>
      <c r="C1540" t="s">
        <v>40</v>
      </c>
      <c r="D1540">
        <v>5.3671980000000001</v>
      </c>
      <c r="E1540">
        <v>0.53689750000000003</v>
      </c>
      <c r="F1540" t="s">
        <v>57</v>
      </c>
      <c r="G1540">
        <v>-260.42099999999999</v>
      </c>
      <c r="H1540" s="1">
        <v>-1.3127759999999999E-6</v>
      </c>
      <c r="I1540">
        <v>286.6105</v>
      </c>
      <c r="J1540">
        <v>-240.97219999999999</v>
      </c>
      <c r="K1540">
        <v>1.110636</v>
      </c>
      <c r="L1540">
        <v>284.7047</v>
      </c>
      <c r="M1540">
        <v>-0.99977660000000002</v>
      </c>
      <c r="N1540">
        <v>0</v>
      </c>
      <c r="O1540">
        <v>1.733693E-2</v>
      </c>
      <c r="P1540">
        <v>-0.99962779999999996</v>
      </c>
      <c r="Q1540">
        <v>-2.720067E-2</v>
      </c>
      <c r="R1540">
        <v>-2.0361630000000001E-3</v>
      </c>
      <c r="S1540">
        <v>-2.9962770000000001</v>
      </c>
      <c r="T1540">
        <v>-0.16892070000000001</v>
      </c>
      <c r="U1540">
        <v>0.29040529999999998</v>
      </c>
      <c r="V1540">
        <v>-1.9347880000000001E-2</v>
      </c>
      <c r="W1540">
        <v>-1.5139440000000001E-2</v>
      </c>
      <c r="X1540">
        <v>0.99969819999999998</v>
      </c>
      <c r="Y1540">
        <v>7.9101039999999997E-2</v>
      </c>
      <c r="Z1540">
        <v>1.2485899999999999E-3</v>
      </c>
      <c r="AA1540">
        <v>0.99686580000000002</v>
      </c>
      <c r="AB1540">
        <v>25</v>
      </c>
      <c r="AC1540">
        <v>-19.448799999999999</v>
      </c>
      <c r="AD1540">
        <v>-1.1106373127760001</v>
      </c>
      <c r="AE1540">
        <v>1.9057999999999899</v>
      </c>
      <c r="AF1540">
        <v>1.5632570014515099</v>
      </c>
      <c r="AG1540">
        <v>-1.1106373127760001</v>
      </c>
      <c r="AH1540">
        <v>19.416204412966099</v>
      </c>
      <c r="AI1540">
        <v>93.263303865126204</v>
      </c>
      <c r="AJ1540">
        <v>85.396873718484102</v>
      </c>
      <c r="AK1540">
        <v>19.510670964864399</v>
      </c>
      <c r="AL1540">
        <v>90.867459140836502</v>
      </c>
      <c r="AM1540">
        <v>91.108748108999507</v>
      </c>
      <c r="AN1540">
        <v>1.0000000170936201</v>
      </c>
    </row>
    <row r="1541" spans="1:40" x14ac:dyDescent="0.3">
      <c r="A1541" t="str">
        <f>"20200111160435029"</f>
        <v>20200111160435029</v>
      </c>
      <c r="B1541" t="str">
        <f>"1578729875022846"</f>
        <v>1578729875022846</v>
      </c>
      <c r="C1541" t="s">
        <v>40</v>
      </c>
      <c r="D1541">
        <v>5.5377229999999997</v>
      </c>
      <c r="E1541">
        <v>0.53715880000000005</v>
      </c>
      <c r="F1541" t="s">
        <v>57</v>
      </c>
      <c r="G1541">
        <v>-261.37639999999999</v>
      </c>
      <c r="H1541" s="1">
        <v>-8.0433309999999902E-7</v>
      </c>
      <c r="I1541">
        <v>286.6345</v>
      </c>
      <c r="J1541">
        <v>-241.22739999999999</v>
      </c>
      <c r="K1541">
        <v>1.1106199999999999</v>
      </c>
      <c r="L1541">
        <v>284.7081</v>
      </c>
      <c r="M1541">
        <v>-0.99979010000000001</v>
      </c>
      <c r="N1541">
        <v>0</v>
      </c>
      <c r="O1541">
        <v>1.6544389999999999E-2</v>
      </c>
      <c r="P1541">
        <v>-0.99966730000000004</v>
      </c>
      <c r="Q1541">
        <v>-2.551807E-2</v>
      </c>
      <c r="R1541">
        <v>-3.7269859999999998E-3</v>
      </c>
      <c r="S1541">
        <v>-2.9972690000000002</v>
      </c>
      <c r="T1541">
        <v>-0.1631466</v>
      </c>
      <c r="U1541">
        <v>0.2834778</v>
      </c>
      <c r="V1541">
        <v>-2.024979E-2</v>
      </c>
      <c r="W1541">
        <v>-1.3466209999999999E-2</v>
      </c>
      <c r="X1541">
        <v>0.99970420000000004</v>
      </c>
      <c r="Y1541">
        <v>7.7584009999999995E-2</v>
      </c>
      <c r="Z1541">
        <v>1.207533E-3</v>
      </c>
      <c r="AA1541">
        <v>0.99698509999999996</v>
      </c>
      <c r="AB1541">
        <v>25</v>
      </c>
      <c r="AC1541">
        <v>-20.149000000000001</v>
      </c>
      <c r="AD1541">
        <v>-1.1106208043331001</v>
      </c>
      <c r="AE1541">
        <v>1.9263999999999999</v>
      </c>
      <c r="AF1541">
        <v>1.58797805687599</v>
      </c>
      <c r="AG1541">
        <v>-1.1106208043331001</v>
      </c>
      <c r="AH1541">
        <v>20.1175466444591</v>
      </c>
      <c r="AI1541">
        <v>93.150117322225896</v>
      </c>
      <c r="AJ1541">
        <v>85.486717191359901</v>
      </c>
      <c r="AK1541">
        <v>20.210661440737798</v>
      </c>
      <c r="AL1541">
        <v>90.771580365991696</v>
      </c>
      <c r="AM1541">
        <v>91.160412112812693</v>
      </c>
      <c r="AN1541">
        <v>0.99999994015222204</v>
      </c>
    </row>
    <row r="1542" spans="1:40" x14ac:dyDescent="0.3">
      <c r="A1542" t="str">
        <f>"20200111160435063"</f>
        <v>20200111160435063</v>
      </c>
      <c r="B1542" t="str">
        <f>"1578729875052126"</f>
        <v>1578729875052126</v>
      </c>
      <c r="C1542" t="s">
        <v>40</v>
      </c>
      <c r="D1542">
        <v>5.6045920000000002</v>
      </c>
      <c r="E1542">
        <v>0.53737679999999999</v>
      </c>
      <c r="F1542" t="s">
        <v>57</v>
      </c>
      <c r="G1542">
        <v>-262.51679999999999</v>
      </c>
      <c r="H1542" s="1">
        <v>-1.9747259999999999E-7</v>
      </c>
      <c r="I1542">
        <v>286.70159999999998</v>
      </c>
      <c r="J1542">
        <v>-241.60679999999999</v>
      </c>
      <c r="K1542">
        <v>1.1106</v>
      </c>
      <c r="L1542">
        <v>284.71300000000002</v>
      </c>
      <c r="M1542">
        <v>-0.99980820000000004</v>
      </c>
      <c r="N1542">
        <v>0</v>
      </c>
      <c r="O1542">
        <v>1.543946E-2</v>
      </c>
      <c r="P1542">
        <v>-0.99970599999999998</v>
      </c>
      <c r="Q1542">
        <v>-2.3403E-2</v>
      </c>
      <c r="R1542">
        <v>-6.3672900000000003E-3</v>
      </c>
      <c r="S1542">
        <v>-2.9980470000000001</v>
      </c>
      <c r="T1542">
        <v>-0.1564015</v>
      </c>
      <c r="U1542">
        <v>0.28073120000000001</v>
      </c>
      <c r="V1542">
        <v>-2.1789579999999999E-2</v>
      </c>
      <c r="W1542">
        <v>-1.1369300000000001E-2</v>
      </c>
      <c r="X1542">
        <v>0.99969790000000003</v>
      </c>
      <c r="Y1542">
        <v>7.7761780000000003E-2</v>
      </c>
      <c r="Z1542">
        <v>1.219506E-3</v>
      </c>
      <c r="AA1542">
        <v>0.99697119999999995</v>
      </c>
      <c r="AB1542">
        <v>25</v>
      </c>
      <c r="AC1542">
        <v>-20.91</v>
      </c>
      <c r="AD1542">
        <v>-1.1106001974726001</v>
      </c>
      <c r="AE1542">
        <v>1.9886000000000199</v>
      </c>
      <c r="AF1542">
        <v>1.6608570584198299</v>
      </c>
      <c r="AG1542">
        <v>-1.1106001974726001</v>
      </c>
      <c r="AH1542">
        <v>20.879837759073101</v>
      </c>
      <c r="AI1542">
        <v>93.035129046920801</v>
      </c>
      <c r="AJ1542">
        <v>85.452064282998904</v>
      </c>
      <c r="AK1542">
        <v>20.975211651193099</v>
      </c>
      <c r="AL1542">
        <v>90.651426960727406</v>
      </c>
      <c r="AM1542">
        <v>91.248630537286104</v>
      </c>
      <c r="AN1542">
        <v>0.99999996902173705</v>
      </c>
    </row>
    <row r="1543" spans="1:40" x14ac:dyDescent="0.3">
      <c r="A1543" t="str">
        <f>"20200111160435085"</f>
        <v>20200111160435085</v>
      </c>
      <c r="B1543" t="str">
        <f>"1578729875082382"</f>
        <v>1578729875082382</v>
      </c>
      <c r="C1543" t="s">
        <v>40</v>
      </c>
      <c r="D1543">
        <v>5.5052789999999998</v>
      </c>
      <c r="E1543">
        <v>0.53786650000000003</v>
      </c>
      <c r="F1543" t="s">
        <v>57</v>
      </c>
      <c r="G1543">
        <v>-263.61689999999999</v>
      </c>
      <c r="H1543" s="1">
        <v>3.8796819999999998E-7</v>
      </c>
      <c r="I1543">
        <v>286.7278</v>
      </c>
      <c r="J1543">
        <v>-241.8502</v>
      </c>
      <c r="K1543">
        <v>1.1105780000000001</v>
      </c>
      <c r="L1543">
        <v>284.71589999999998</v>
      </c>
      <c r="M1543">
        <v>-0.99981810000000004</v>
      </c>
      <c r="N1543">
        <v>0</v>
      </c>
      <c r="O1543">
        <v>1.4783839999999999E-2</v>
      </c>
      <c r="P1543">
        <v>-0.99973219999999996</v>
      </c>
      <c r="Q1543">
        <v>-2.198437E-2</v>
      </c>
      <c r="R1543">
        <v>-7.2238809999999997E-3</v>
      </c>
      <c r="S1543">
        <v>-2.9990839999999999</v>
      </c>
      <c r="T1543">
        <v>-0.1513292</v>
      </c>
      <c r="U1543">
        <v>0.27453610000000001</v>
      </c>
      <c r="V1543">
        <v>-2.1993459999999999E-2</v>
      </c>
      <c r="W1543">
        <v>-9.9663080000000001E-3</v>
      </c>
      <c r="X1543">
        <v>0.99970840000000005</v>
      </c>
      <c r="Y1543">
        <v>7.6347890000000002E-2</v>
      </c>
      <c r="Z1543">
        <v>1.1771139999999999E-3</v>
      </c>
      <c r="AA1543">
        <v>0.99708059999999998</v>
      </c>
      <c r="AB1543">
        <v>25</v>
      </c>
      <c r="AC1543">
        <v>-21.766699999999901</v>
      </c>
      <c r="AD1543">
        <v>-1.1105776120318001</v>
      </c>
      <c r="AE1543">
        <v>2.0119000000000198</v>
      </c>
      <c r="AF1543">
        <v>1.6855107134318299</v>
      </c>
      <c r="AG1543">
        <v>-1.1105776120318001</v>
      </c>
      <c r="AH1543">
        <v>21.737957053262399</v>
      </c>
      <c r="AI1543">
        <v>92.915922964894193</v>
      </c>
      <c r="AJ1543">
        <v>85.566289390702195</v>
      </c>
      <c r="AK1543">
        <v>21.831470537893701</v>
      </c>
      <c r="AL1543">
        <v>90.571036860777298</v>
      </c>
      <c r="AM1543">
        <v>91.260296697364694</v>
      </c>
      <c r="AN1543">
        <v>0.99999996230424004</v>
      </c>
    </row>
    <row r="1544" spans="1:40" x14ac:dyDescent="0.3">
      <c r="A1544" t="str">
        <f>"20200111160435108"</f>
        <v>20200111160435108</v>
      </c>
      <c r="B1544" t="str">
        <f>"1578729875101903"</f>
        <v>1578729875101903</v>
      </c>
      <c r="C1544" t="s">
        <v>40</v>
      </c>
      <c r="D1544">
        <v>5.5494089999999998</v>
      </c>
      <c r="E1544">
        <v>0.53828379999999998</v>
      </c>
      <c r="F1544" t="s">
        <v>57</v>
      </c>
      <c r="G1544">
        <v>-263.2328</v>
      </c>
      <c r="H1544" s="1">
        <v>1.8355109999999999E-7</v>
      </c>
      <c r="I1544">
        <v>286.67809999999997</v>
      </c>
      <c r="J1544">
        <v>-242.11429999999999</v>
      </c>
      <c r="K1544">
        <v>1.1105529999999999</v>
      </c>
      <c r="L1544">
        <v>284.71899999999999</v>
      </c>
      <c r="M1544">
        <v>-0.99982819999999994</v>
      </c>
      <c r="N1544">
        <v>0</v>
      </c>
      <c r="O1544">
        <v>1.411301E-2</v>
      </c>
      <c r="P1544">
        <v>-0.99974470000000004</v>
      </c>
      <c r="Q1544">
        <v>-2.1166150000000002E-2</v>
      </c>
      <c r="R1544">
        <v>-7.9155219999999995E-3</v>
      </c>
      <c r="S1544">
        <v>-2.9993590000000001</v>
      </c>
      <c r="T1544">
        <v>-0.1557817</v>
      </c>
      <c r="U1544">
        <v>0.27523799999999998</v>
      </c>
      <c r="V1544">
        <v>-2.2016029999999999E-2</v>
      </c>
      <c r="W1544">
        <v>-9.164508E-3</v>
      </c>
      <c r="X1544">
        <v>0.99971560000000004</v>
      </c>
      <c r="Y1544">
        <v>7.7233259999999998E-2</v>
      </c>
      <c r="Z1544">
        <v>1.269243E-3</v>
      </c>
      <c r="AA1544">
        <v>0.99701229999999996</v>
      </c>
      <c r="AB1544">
        <v>25</v>
      </c>
      <c r="AC1544">
        <v>-21.118500000000001</v>
      </c>
      <c r="AD1544">
        <v>-1.1105528164489</v>
      </c>
      <c r="AE1544">
        <v>1.9590999999999701</v>
      </c>
      <c r="AF1544">
        <v>1.65629655362039</v>
      </c>
      <c r="AG1544">
        <v>-1.1105528164489</v>
      </c>
      <c r="AH1544">
        <v>21.086233642114099</v>
      </c>
      <c r="AI1544">
        <v>93.005581853974206</v>
      </c>
      <c r="AJ1544">
        <v>85.508711937877493</v>
      </c>
      <c r="AK1544">
        <v>21.180318577431301</v>
      </c>
      <c r="AL1544">
        <v>90.525094986837601</v>
      </c>
      <c r="AM1544">
        <v>91.261580530805801</v>
      </c>
      <c r="AN1544">
        <v>0.99999998733360096</v>
      </c>
    </row>
    <row r="1545" spans="1:40" x14ac:dyDescent="0.3">
      <c r="A1545" t="str">
        <f>"20200111160435174"</f>
        <v>20200111160435174</v>
      </c>
      <c r="B1545" t="str">
        <f>"1578729875162414"</f>
        <v>1578729875162414</v>
      </c>
      <c r="C1545" t="s">
        <v>40</v>
      </c>
      <c r="D1545">
        <v>5.6248259999999997</v>
      </c>
      <c r="E1545">
        <v>0.53834300000000002</v>
      </c>
      <c r="F1545" t="s">
        <v>57</v>
      </c>
      <c r="G1545">
        <v>-263.47199999999998</v>
      </c>
      <c r="H1545" s="1">
        <v>3.1083160000000002E-7</v>
      </c>
      <c r="I1545">
        <v>286.68770000000001</v>
      </c>
      <c r="J1545">
        <v>-242.8571</v>
      </c>
      <c r="K1545">
        <v>1.110509</v>
      </c>
      <c r="L1545">
        <v>284.7269</v>
      </c>
      <c r="M1545">
        <v>-0.99985179999999996</v>
      </c>
      <c r="N1545">
        <v>0</v>
      </c>
      <c r="O1545">
        <v>1.2368199999999999E-2</v>
      </c>
      <c r="P1545">
        <v>-0.99980449999999998</v>
      </c>
      <c r="Q1545">
        <v>-1.8661290000000001E-2</v>
      </c>
      <c r="R1545">
        <v>-6.5496840000000001E-3</v>
      </c>
      <c r="S1545">
        <v>-2.9996489999999998</v>
      </c>
      <c r="T1545">
        <v>-0.155974799999999</v>
      </c>
      <c r="U1545">
        <v>0.27648929999999999</v>
      </c>
      <c r="V1545">
        <v>-1.8910110000000001E-2</v>
      </c>
      <c r="W1545">
        <v>-6.694663E-3</v>
      </c>
      <c r="X1545">
        <v>0.99979879999999999</v>
      </c>
      <c r="Y1545">
        <v>7.937118E-2</v>
      </c>
      <c r="Z1545">
        <v>1.416544E-3</v>
      </c>
      <c r="AA1545">
        <v>0.99684410000000001</v>
      </c>
      <c r="AB1545">
        <v>25</v>
      </c>
      <c r="AC1545">
        <v>-20.614899999999899</v>
      </c>
      <c r="AD1545">
        <v>-1.1105086891684</v>
      </c>
      <c r="AE1545">
        <v>1.9608000000000001</v>
      </c>
      <c r="AF1545">
        <v>1.70077130213137</v>
      </c>
      <c r="AG1545">
        <v>-1.1105086891684</v>
      </c>
      <c r="AH1545">
        <v>20.578395363138601</v>
      </c>
      <c r="AI1545">
        <v>93.078482221419705</v>
      </c>
      <c r="AJ1545">
        <v>85.2753340675646</v>
      </c>
      <c r="AK1545">
        <v>20.678399558295499</v>
      </c>
      <c r="AL1545">
        <v>90.383578790607103</v>
      </c>
      <c r="AM1545">
        <v>91.083558334036596</v>
      </c>
      <c r="AN1545">
        <v>1.0000000256271599</v>
      </c>
    </row>
    <row r="1546" spans="1:40" x14ac:dyDescent="0.3">
      <c r="A1546" t="str">
        <f>"20200111160435197"</f>
        <v>20200111160435197</v>
      </c>
      <c r="B1546" t="str">
        <f>"1578729875192670"</f>
        <v>1578729875192670</v>
      </c>
      <c r="C1546" t="s">
        <v>40</v>
      </c>
      <c r="D1546">
        <v>5.7178420000000001</v>
      </c>
      <c r="E1546">
        <v>0.47518840000000001</v>
      </c>
      <c r="F1546" t="s">
        <v>57</v>
      </c>
      <c r="G1546">
        <v>-265.13310000000001</v>
      </c>
      <c r="H1546" s="1">
        <v>1.1948040000000001E-6</v>
      </c>
      <c r="I1546">
        <v>286.81099999999998</v>
      </c>
      <c r="J1546">
        <v>-243.1131</v>
      </c>
      <c r="K1546">
        <v>1.1105050000000001</v>
      </c>
      <c r="L1546">
        <v>284.7294</v>
      </c>
      <c r="M1546">
        <v>-0.99985880000000005</v>
      </c>
      <c r="N1546">
        <v>0</v>
      </c>
      <c r="O1546">
        <v>1.1800369999999999E-2</v>
      </c>
      <c r="P1546">
        <v>-0.9998186</v>
      </c>
      <c r="Q1546">
        <v>-1.7903309999999999E-2</v>
      </c>
      <c r="R1546">
        <v>-6.5391909999999998E-3</v>
      </c>
      <c r="S1546">
        <v>-2.999619</v>
      </c>
      <c r="T1546">
        <v>-0.14953759999999999</v>
      </c>
      <c r="U1546">
        <v>0.28063959999999999</v>
      </c>
      <c r="V1546">
        <v>-1.833239E-2</v>
      </c>
      <c r="W1546">
        <v>-5.9478350000000003E-3</v>
      </c>
      <c r="X1546">
        <v>0.99981430000000004</v>
      </c>
      <c r="Y1546">
        <v>8.1309729999999997E-2</v>
      </c>
      <c r="Z1546">
        <v>1.434491E-3</v>
      </c>
      <c r="AA1546">
        <v>0.99668780000000001</v>
      </c>
      <c r="AB1546">
        <v>25</v>
      </c>
      <c r="AC1546">
        <v>-22.02</v>
      </c>
      <c r="AD1546">
        <v>-1.1105038051959999</v>
      </c>
      <c r="AE1546">
        <v>2.0815999999999799</v>
      </c>
      <c r="AF1546">
        <v>1.8170119401422</v>
      </c>
      <c r="AG1546">
        <v>-1.1105038051959999</v>
      </c>
      <c r="AH1546">
        <v>21.987605228477101</v>
      </c>
      <c r="AI1546">
        <v>92.881512577540505</v>
      </c>
      <c r="AJ1546">
        <v>85.2759249214064</v>
      </c>
      <c r="AK1546">
        <v>22.090485163873801</v>
      </c>
      <c r="AL1546">
        <v>90.340787837135494</v>
      </c>
      <c r="AM1546">
        <v>91.050445955153805</v>
      </c>
      <c r="AN1546">
        <v>1.0000000438743899</v>
      </c>
    </row>
    <row r="1547" spans="1:40" x14ac:dyDescent="0.3">
      <c r="A1547" t="str">
        <f>"20200111160435220"</f>
        <v>20200111160435220</v>
      </c>
      <c r="B1547" t="str">
        <f>"1578729875212190"</f>
        <v>1578729875212190</v>
      </c>
      <c r="C1547" t="s">
        <v>40</v>
      </c>
      <c r="D1547">
        <v>6.2447470000000003</v>
      </c>
      <c r="E1547">
        <v>0.46831479999999998</v>
      </c>
      <c r="F1547" t="s">
        <v>57</v>
      </c>
      <c r="G1547">
        <v>-258.19909999999999</v>
      </c>
      <c r="H1547" s="1">
        <v>2.8263680000000001E-6</v>
      </c>
      <c r="I1547">
        <v>283.5804</v>
      </c>
      <c r="J1547">
        <v>-243.3783</v>
      </c>
      <c r="K1547">
        <v>1.1105069999999999</v>
      </c>
      <c r="L1547">
        <v>284.7319</v>
      </c>
      <c r="M1547">
        <v>-0.99986549999999996</v>
      </c>
      <c r="N1547">
        <v>0</v>
      </c>
      <c r="O1547">
        <v>1.1218769999999999E-2</v>
      </c>
      <c r="P1547">
        <v>-0.99982990000000005</v>
      </c>
      <c r="Q1547">
        <v>-1.7066290000000001E-2</v>
      </c>
      <c r="R1547">
        <v>-6.9890430000000003E-3</v>
      </c>
      <c r="S1547">
        <v>-2.9951020000000002</v>
      </c>
      <c r="T1547">
        <v>-0.220474</v>
      </c>
      <c r="U1547">
        <v>-0.22811890000000001</v>
      </c>
      <c r="V1547">
        <v>-1.820184E-2</v>
      </c>
      <c r="W1547">
        <v>-5.1216100000000004E-3</v>
      </c>
      <c r="X1547">
        <v>0.99982119999999997</v>
      </c>
      <c r="Y1547">
        <v>-8.6862510000000004E-2</v>
      </c>
      <c r="Z1547">
        <v>-4.0117850000000004E-3</v>
      </c>
      <c r="AA1547">
        <v>0.99621219999999999</v>
      </c>
      <c r="AB1547">
        <v>25</v>
      </c>
      <c r="AC1547">
        <v>-14.820799999999901</v>
      </c>
      <c r="AD1547">
        <v>-1.1105041736319901</v>
      </c>
      <c r="AE1547">
        <v>-1.15149999999999</v>
      </c>
      <c r="AF1547">
        <v>-1.3103977220531999</v>
      </c>
      <c r="AG1547">
        <v>-1.1105041736319901</v>
      </c>
      <c r="AH1547">
        <v>14.7247742777372</v>
      </c>
      <c r="AI1547">
        <v>94.296019887795396</v>
      </c>
      <c r="AJ1547">
        <v>95.085510283461701</v>
      </c>
      <c r="AK1547">
        <v>14.824619362396</v>
      </c>
      <c r="AL1547">
        <v>90.293447924646998</v>
      </c>
      <c r="AM1547">
        <v>91.042959902219707</v>
      </c>
      <c r="AN1547">
        <v>0.99999998491890796</v>
      </c>
    </row>
    <row r="1548" spans="1:40" x14ac:dyDescent="0.3">
      <c r="A1548" t="str">
        <f>"20200111160435243"</f>
        <v>20200111160435243</v>
      </c>
      <c r="B1548" t="str">
        <f>"1578729875232686"</f>
        <v>1578729875232686</v>
      </c>
      <c r="C1548" t="s">
        <v>40</v>
      </c>
      <c r="D1548">
        <v>5.5969959999999999</v>
      </c>
      <c r="E1548">
        <v>0.46827200000000002</v>
      </c>
      <c r="F1548" t="s">
        <v>57</v>
      </c>
      <c r="G1548">
        <v>-261.02670000000001</v>
      </c>
      <c r="H1548" s="1">
        <v>-9.9042900000000003E-7</v>
      </c>
      <c r="I1548">
        <v>283.06630000000001</v>
      </c>
      <c r="J1548">
        <v>-243.6336</v>
      </c>
      <c r="K1548">
        <v>1.110511</v>
      </c>
      <c r="L1548">
        <v>284.73410000000001</v>
      </c>
      <c r="M1548">
        <v>-0.99987170000000003</v>
      </c>
      <c r="N1548">
        <v>0</v>
      </c>
      <c r="O1548">
        <v>1.065953E-2</v>
      </c>
      <c r="P1548">
        <v>-0.99984099999999998</v>
      </c>
      <c r="Q1548">
        <v>-1.6244120000000001E-2</v>
      </c>
      <c r="R1548">
        <v>-7.3639029999999998E-3</v>
      </c>
      <c r="S1548">
        <v>-2.9953310000000002</v>
      </c>
      <c r="T1548">
        <v>-0.18847820000000001</v>
      </c>
      <c r="U1548">
        <v>-0.2826843</v>
      </c>
      <c r="V1548">
        <v>-1.8018360000000001E-2</v>
      </c>
      <c r="W1548">
        <v>-4.3085210000000001E-3</v>
      </c>
      <c r="X1548">
        <v>0.99982839999999995</v>
      </c>
      <c r="Y1548">
        <v>-0.1043398</v>
      </c>
      <c r="Z1548">
        <v>-3.9409659999999997E-3</v>
      </c>
      <c r="AA1548">
        <v>0.99453389999999997</v>
      </c>
      <c r="AB1548">
        <v>25</v>
      </c>
      <c r="AC1548">
        <v>-17.3931</v>
      </c>
      <c r="AD1548">
        <v>-1.110511990429</v>
      </c>
      <c r="AE1548">
        <v>-1.66779999999999</v>
      </c>
      <c r="AF1548">
        <v>-1.8456653632685001</v>
      </c>
      <c r="AG1548">
        <v>-1.110511990429</v>
      </c>
      <c r="AH1548">
        <v>17.304432802196899</v>
      </c>
      <c r="AI1548">
        <v>93.651268116328495</v>
      </c>
      <c r="AJ1548">
        <v>96.088067195537903</v>
      </c>
      <c r="AK1548">
        <v>17.437979014777</v>
      </c>
      <c r="AL1548">
        <v>90.246860826331002</v>
      </c>
      <c r="AM1548">
        <v>91.032441407937597</v>
      </c>
      <c r="AN1548">
        <v>1.0000000270484199</v>
      </c>
    </row>
    <row r="1549" spans="1:40" x14ac:dyDescent="0.3">
      <c r="A1549" t="str">
        <f>"20200111160435263"</f>
        <v>20200111160435263</v>
      </c>
      <c r="B1549" t="str">
        <f>"1578729875252205"</f>
        <v>1578729875252205</v>
      </c>
      <c r="C1549" t="s">
        <v>40</v>
      </c>
      <c r="D1549">
        <v>5.6106199999999999</v>
      </c>
      <c r="E1549">
        <v>0.469362</v>
      </c>
      <c r="F1549" t="s">
        <v>57</v>
      </c>
      <c r="G1549">
        <v>-262.89030000000002</v>
      </c>
      <c r="H1549" s="1">
        <v>1.2834680000000001E-9</v>
      </c>
      <c r="I1549">
        <v>282.91340000000002</v>
      </c>
      <c r="J1549">
        <v>-243.86279999999999</v>
      </c>
      <c r="K1549">
        <v>1.11052</v>
      </c>
      <c r="L1549">
        <v>284.73590000000002</v>
      </c>
      <c r="M1549">
        <v>-0.99987720000000002</v>
      </c>
      <c r="N1549">
        <v>0</v>
      </c>
      <c r="O1549">
        <v>1.0154440000000001E-2</v>
      </c>
      <c r="P1549">
        <v>-0.99985069999999998</v>
      </c>
      <c r="Q1549">
        <v>-1.522021E-2</v>
      </c>
      <c r="R1549">
        <v>-8.1940609999999903E-3</v>
      </c>
      <c r="S1549">
        <v>-2.9956049999999999</v>
      </c>
      <c r="T1549">
        <v>-0.17275270000000001</v>
      </c>
      <c r="U1549">
        <v>-0.28323359999999997</v>
      </c>
      <c r="V1549">
        <v>-1.8344530000000001E-2</v>
      </c>
      <c r="W1549">
        <v>-3.29225E-3</v>
      </c>
      <c r="X1549">
        <v>0.99982629999999995</v>
      </c>
      <c r="Y1549">
        <v>-0.104047</v>
      </c>
      <c r="Z1549">
        <v>-3.574898E-3</v>
      </c>
      <c r="AA1549">
        <v>0.99456599999999995</v>
      </c>
      <c r="AB1549">
        <v>25</v>
      </c>
      <c r="AC1549">
        <v>-19.0275</v>
      </c>
      <c r="AD1549">
        <v>-1.11051999871653</v>
      </c>
      <c r="AE1549">
        <v>-1.82249999999999</v>
      </c>
      <c r="AF1549">
        <v>-2.0088527465207502</v>
      </c>
      <c r="AG1549">
        <v>-1.11051999871653</v>
      </c>
      <c r="AH1549">
        <v>18.944067566488702</v>
      </c>
      <c r="AI1549">
        <v>93.336233389687294</v>
      </c>
      <c r="AJ1549">
        <v>96.053095631505201</v>
      </c>
      <c r="AK1549">
        <v>19.082621412909798</v>
      </c>
      <c r="AL1549">
        <v>90.1886323717263</v>
      </c>
      <c r="AM1549">
        <v>91.051128808079199</v>
      </c>
      <c r="AN1549">
        <v>0.999999995431336</v>
      </c>
    </row>
    <row r="1550" spans="1:40" x14ac:dyDescent="0.3">
      <c r="A1550" t="str">
        <f>"20200111160435286"</f>
        <v>20200111160435286</v>
      </c>
      <c r="B1550" t="str">
        <f>"1578729875282462"</f>
        <v>1578729875282462</v>
      </c>
      <c r="C1550" t="s">
        <v>40</v>
      </c>
      <c r="D1550">
        <v>5.6066760000000002</v>
      </c>
      <c r="E1550">
        <v>0.4705838</v>
      </c>
      <c r="F1550" t="s">
        <v>57</v>
      </c>
      <c r="G1550">
        <v>-261.11169999999998</v>
      </c>
      <c r="H1550" s="1">
        <v>-9.4519699999999999E-7</v>
      </c>
      <c r="I1550">
        <v>283.13240000000002</v>
      </c>
      <c r="J1550">
        <v>-244.11179999999999</v>
      </c>
      <c r="K1550">
        <v>1.110525</v>
      </c>
      <c r="L1550">
        <v>284.73779999999999</v>
      </c>
      <c r="M1550">
        <v>-0.99988259999999995</v>
      </c>
      <c r="N1550">
        <v>0</v>
      </c>
      <c r="O1550">
        <v>9.60278E-3</v>
      </c>
      <c r="P1550">
        <v>-0.99986520000000001</v>
      </c>
      <c r="Q1550">
        <v>-1.358097E-2</v>
      </c>
      <c r="R1550">
        <v>-9.2242130000000002E-3</v>
      </c>
      <c r="S1550">
        <v>-2.9952239999999999</v>
      </c>
      <c r="T1550">
        <v>-0.19283839999999999</v>
      </c>
      <c r="U1550">
        <v>-0.27844239999999998</v>
      </c>
      <c r="V1550">
        <v>-1.8824690000000002E-2</v>
      </c>
      <c r="W1550">
        <v>-1.6604930000000001E-3</v>
      </c>
      <c r="X1550">
        <v>0.99982139999999997</v>
      </c>
      <c r="Y1550">
        <v>-0.1018921</v>
      </c>
      <c r="Z1550">
        <v>-3.8859760000000002E-3</v>
      </c>
      <c r="AA1550">
        <v>0.99478789999999995</v>
      </c>
      <c r="AB1550">
        <v>25</v>
      </c>
      <c r="AC1550">
        <v>-16.999899999999901</v>
      </c>
      <c r="AD1550">
        <v>-1.110525945197</v>
      </c>
      <c r="AE1550">
        <v>-1.60539999999997</v>
      </c>
      <c r="AF1550">
        <v>-1.76113484802251</v>
      </c>
      <c r="AG1550">
        <v>-1.110525945197</v>
      </c>
      <c r="AH1550">
        <v>16.912165405638099</v>
      </c>
      <c r="AI1550">
        <v>93.736747108647805</v>
      </c>
      <c r="AJ1550">
        <v>95.945022924071296</v>
      </c>
      <c r="AK1550">
        <v>17.039841622959401</v>
      </c>
      <c r="AL1550">
        <v>90.095139286524997</v>
      </c>
      <c r="AM1550">
        <v>91.078640509885503</v>
      </c>
      <c r="AN1550">
        <v>0.99999997904427895</v>
      </c>
    </row>
    <row r="1551" spans="1:40" x14ac:dyDescent="0.3">
      <c r="A1551" t="str">
        <f>"20200111160435310"</f>
        <v>20200111160435310</v>
      </c>
      <c r="B1551" t="str">
        <f>"1578729875301982"</f>
        <v>1578729875301982</v>
      </c>
      <c r="C1551" t="s">
        <v>40</v>
      </c>
      <c r="D1551">
        <v>5.629569</v>
      </c>
      <c r="E1551">
        <v>0.47118769999999999</v>
      </c>
      <c r="F1551" t="s">
        <v>57</v>
      </c>
      <c r="G1551">
        <v>-259.89060000000001</v>
      </c>
      <c r="H1551" s="1">
        <v>3.7264859999999998E-6</v>
      </c>
      <c r="I1551">
        <v>283.29899999999998</v>
      </c>
      <c r="J1551">
        <v>-244.39009999999999</v>
      </c>
      <c r="K1551">
        <v>1.110541</v>
      </c>
      <c r="L1551">
        <v>284.73970000000003</v>
      </c>
      <c r="M1551">
        <v>-0.99988849999999996</v>
      </c>
      <c r="N1551">
        <v>0</v>
      </c>
      <c r="O1551">
        <v>8.9832809999999992E-3</v>
      </c>
      <c r="P1551">
        <v>-0.99987199999999998</v>
      </c>
      <c r="Q1551">
        <v>-1.2557749999999999E-2</v>
      </c>
      <c r="R1551">
        <v>-9.9304900000000002E-3</v>
      </c>
      <c r="S1551">
        <v>-2.9950100000000002</v>
      </c>
      <c r="T1551">
        <v>-0.21079030000000001</v>
      </c>
      <c r="U1551">
        <v>-0.27310180000000001</v>
      </c>
      <c r="V1551">
        <v>-1.8911959999999998E-2</v>
      </c>
      <c r="W1551">
        <v>-6.4420570000000004E-4</v>
      </c>
      <c r="X1551">
        <v>0.99982090000000001</v>
      </c>
      <c r="Y1551">
        <v>-9.9485829999999997E-2</v>
      </c>
      <c r="Z1551">
        <v>-4.1196610000000002E-3</v>
      </c>
      <c r="AA1551">
        <v>0.99503050000000004</v>
      </c>
      <c r="AB1551">
        <v>25</v>
      </c>
      <c r="AC1551">
        <v>-15.500500000000001</v>
      </c>
      <c r="AD1551">
        <v>-1.110537273514</v>
      </c>
      <c r="AE1551">
        <v>-1.4406999999999901</v>
      </c>
      <c r="AF1551">
        <v>-1.57189760272941</v>
      </c>
      <c r="AG1551">
        <v>-1.110537273514</v>
      </c>
      <c r="AH1551">
        <v>15.4085161717807</v>
      </c>
      <c r="AI1551">
        <v>94.101136168136307</v>
      </c>
      <c r="AJ1551">
        <v>95.824870099427699</v>
      </c>
      <c r="AK1551">
        <v>15.528249280757899</v>
      </c>
      <c r="AL1551">
        <v>90.036910271974904</v>
      </c>
      <c r="AM1551">
        <v>91.083640367083206</v>
      </c>
      <c r="AN1551">
        <v>0.99999995465441605</v>
      </c>
    </row>
    <row r="1552" spans="1:40" x14ac:dyDescent="0.3">
      <c r="A1552" t="str">
        <f>"20200111160435332"</f>
        <v>20200111160435332</v>
      </c>
      <c r="B1552" t="str">
        <f>"1578729875322478"</f>
        <v>1578729875322478</v>
      </c>
      <c r="C1552" t="s">
        <v>40</v>
      </c>
      <c r="D1552">
        <v>5.6499420000000002</v>
      </c>
      <c r="E1552">
        <v>0.47159620000000002</v>
      </c>
      <c r="F1552" t="s">
        <v>57</v>
      </c>
      <c r="G1552">
        <v>-259.73790000000002</v>
      </c>
      <c r="H1552" s="1">
        <v>3.6452089999999999E-6</v>
      </c>
      <c r="I1552">
        <v>283.35230000000001</v>
      </c>
      <c r="J1552">
        <v>-244.6396</v>
      </c>
      <c r="K1552">
        <v>1.110549</v>
      </c>
      <c r="L1552">
        <v>284.74130000000002</v>
      </c>
      <c r="M1552">
        <v>-0.99989340000000004</v>
      </c>
      <c r="N1552">
        <v>0</v>
      </c>
      <c r="O1552">
        <v>8.4265309999999993E-3</v>
      </c>
      <c r="P1552">
        <v>-0.99986830000000004</v>
      </c>
      <c r="Q1552">
        <v>-1.175374E-2</v>
      </c>
      <c r="R1552">
        <v>-1.120554E-2</v>
      </c>
      <c r="S1552">
        <v>-2.9949650000000001</v>
      </c>
      <c r="T1552">
        <v>-0.21671029999999999</v>
      </c>
      <c r="U1552">
        <v>-0.27075199999999999</v>
      </c>
      <c r="V1552">
        <v>-1.96309E-2</v>
      </c>
      <c r="W1552">
        <v>1.5336669999999999E-4</v>
      </c>
      <c r="X1552">
        <v>0.99980729999999995</v>
      </c>
      <c r="Y1552">
        <v>-9.8148520000000003E-2</v>
      </c>
      <c r="Z1552">
        <v>-4.1468970000000001E-3</v>
      </c>
      <c r="AA1552">
        <v>0.99516309999999997</v>
      </c>
      <c r="AB1552">
        <v>25</v>
      </c>
      <c r="AC1552">
        <v>-15.0983</v>
      </c>
      <c r="AD1552">
        <v>-1.110545354791</v>
      </c>
      <c r="AE1552">
        <v>-1.38900000000001</v>
      </c>
      <c r="AF1552">
        <v>-1.5080953349011299</v>
      </c>
      <c r="AG1552">
        <v>-1.110545354791</v>
      </c>
      <c r="AH1552">
        <v>15.005556266558299</v>
      </c>
      <c r="AI1552">
        <v>94.211543886817694</v>
      </c>
      <c r="AJ1552">
        <v>95.739095578736496</v>
      </c>
      <c r="AK1552">
        <v>15.1219833815887</v>
      </c>
      <c r="AL1552">
        <v>89.991212735482193</v>
      </c>
      <c r="AM1552">
        <v>91.124839967679705</v>
      </c>
      <c r="AN1552">
        <v>1.00000001644472</v>
      </c>
    </row>
    <row r="1553" spans="1:40" x14ac:dyDescent="0.3">
      <c r="A1553" t="str">
        <f>"20200111160435353"</f>
        <v>20200111160435353</v>
      </c>
      <c r="B1553" t="str">
        <f>"1578729875341997"</f>
        <v>1578729875341997</v>
      </c>
      <c r="C1553" t="s">
        <v>40</v>
      </c>
      <c r="D1553">
        <v>5.7193160000000001</v>
      </c>
      <c r="E1553">
        <v>0.4717711</v>
      </c>
      <c r="F1553" t="s">
        <v>57</v>
      </c>
      <c r="G1553">
        <v>-259.64609999999999</v>
      </c>
      <c r="H1553" s="1">
        <v>3.5963990000000002E-6</v>
      </c>
      <c r="I1553">
        <v>283.37939999999998</v>
      </c>
      <c r="J1553">
        <v>-244.8826</v>
      </c>
      <c r="K1553">
        <v>1.110554</v>
      </c>
      <c r="L1553">
        <v>284.74270000000001</v>
      </c>
      <c r="M1553">
        <v>-0.99989799999999995</v>
      </c>
      <c r="N1553">
        <v>0</v>
      </c>
      <c r="O1553">
        <v>7.8838060000000001E-3</v>
      </c>
      <c r="P1553">
        <v>-0.99986889999999995</v>
      </c>
      <c r="Q1553">
        <v>-1.029268E-2</v>
      </c>
      <c r="R1553">
        <v>-1.251268E-2</v>
      </c>
      <c r="S1553">
        <v>-2.9947659999999998</v>
      </c>
      <c r="T1553">
        <v>-0.2216254</v>
      </c>
      <c r="U1553">
        <v>-0.27178960000000002</v>
      </c>
      <c r="V1553">
        <v>-2.0396999999999998E-2</v>
      </c>
      <c r="W1553">
        <v>1.6067659999999999E-3</v>
      </c>
      <c r="X1553">
        <v>0.99979070000000003</v>
      </c>
      <c r="Y1553">
        <v>-9.7945589999999999E-2</v>
      </c>
      <c r="Z1553">
        <v>-4.1933910000000003E-3</v>
      </c>
      <c r="AA1553">
        <v>0.99518289999999998</v>
      </c>
      <c r="AB1553">
        <v>25</v>
      </c>
      <c r="AC1553">
        <v>-14.763499999999899</v>
      </c>
      <c r="AD1553">
        <v>-1.1105504036010001</v>
      </c>
      <c r="AE1553">
        <v>-1.3633000000000299</v>
      </c>
      <c r="AF1553">
        <v>-1.4714029785015299</v>
      </c>
      <c r="AG1553">
        <v>-1.1105504036010001</v>
      </c>
      <c r="AH1553">
        <v>14.6699847608557</v>
      </c>
      <c r="AI1553">
        <v>94.307628893697597</v>
      </c>
      <c r="AJ1553">
        <v>95.727624740516802</v>
      </c>
      <c r="AK1553">
        <v>14.785357682782699</v>
      </c>
      <c r="AL1553">
        <v>89.9079390528277</v>
      </c>
      <c r="AM1553">
        <v>91.168744536457496</v>
      </c>
      <c r="AN1553">
        <v>1.0000000315562301</v>
      </c>
    </row>
    <row r="1554" spans="1:40" x14ac:dyDescent="0.3">
      <c r="A1554" t="str">
        <f>"20200111160435376"</f>
        <v>20200111160435376</v>
      </c>
      <c r="B1554" t="str">
        <f>"1578729875372255"</f>
        <v>1578729875372255</v>
      </c>
      <c r="C1554" t="s">
        <v>40</v>
      </c>
      <c r="D1554">
        <v>5.6549310000000004</v>
      </c>
      <c r="E1554">
        <v>0.45770840000000002</v>
      </c>
      <c r="F1554" t="s">
        <v>57</v>
      </c>
      <c r="G1554">
        <v>-259.726</v>
      </c>
      <c r="H1554" s="1">
        <v>3.638907E-6</v>
      </c>
      <c r="I1554">
        <v>283.38229999999999</v>
      </c>
      <c r="J1554">
        <v>-245.12469999999999</v>
      </c>
      <c r="K1554">
        <v>1.1105560000000001</v>
      </c>
      <c r="L1554">
        <v>284.74400000000003</v>
      </c>
      <c r="M1554">
        <v>-0.99990230000000002</v>
      </c>
      <c r="N1554">
        <v>0</v>
      </c>
      <c r="O1554">
        <v>7.3439919999999997E-3</v>
      </c>
      <c r="P1554">
        <v>-0.9998631</v>
      </c>
      <c r="Q1554">
        <v>-9.5567550000000001E-3</v>
      </c>
      <c r="R1554">
        <v>-1.3514760000000001E-2</v>
      </c>
      <c r="S1554">
        <v>-2.994659</v>
      </c>
      <c r="T1554">
        <v>-0.22405410000000001</v>
      </c>
      <c r="U1554">
        <v>-0.27447510000000003</v>
      </c>
      <c r="V1554">
        <v>-2.0859880000000001E-2</v>
      </c>
      <c r="W1554">
        <v>2.3229739999999998E-3</v>
      </c>
      <c r="X1554">
        <v>0.99977969999999905</v>
      </c>
      <c r="Y1554">
        <v>-9.8290870000000002E-2</v>
      </c>
      <c r="Z1554">
        <v>-4.211813E-3</v>
      </c>
      <c r="AA1554">
        <v>0.99514879999999994</v>
      </c>
      <c r="AB1554">
        <v>25</v>
      </c>
      <c r="AC1554">
        <v>-14.6013</v>
      </c>
      <c r="AD1554">
        <v>-1.1105523610929999</v>
      </c>
      <c r="AE1554">
        <v>-1.3617000000000401</v>
      </c>
      <c r="AF1554">
        <v>-1.46052655366313</v>
      </c>
      <c r="AG1554">
        <v>-1.1105523610929999</v>
      </c>
      <c r="AH1554">
        <v>14.5077033327659</v>
      </c>
      <c r="AI1554">
        <v>94.355476080925797</v>
      </c>
      <c r="AJ1554">
        <v>95.748739683000096</v>
      </c>
      <c r="AK1554">
        <v>14.623266405021599</v>
      </c>
      <c r="AL1554">
        <v>89.866903272802901</v>
      </c>
      <c r="AM1554">
        <v>91.195273017506395</v>
      </c>
      <c r="AN1554">
        <v>0.99999998966695403</v>
      </c>
    </row>
    <row r="1555" spans="1:40" x14ac:dyDescent="0.3">
      <c r="A1555" t="str">
        <f>"20200111160435398"</f>
        <v>20200111160435398</v>
      </c>
      <c r="B1555" t="str">
        <f>"1578729875392751"</f>
        <v>1578729875392751</v>
      </c>
      <c r="C1555" t="s">
        <v>40</v>
      </c>
      <c r="D1555">
        <v>5.5993240000000002</v>
      </c>
      <c r="E1555">
        <v>0.47369650000000002</v>
      </c>
      <c r="F1555" t="s">
        <v>63</v>
      </c>
      <c r="G1555">
        <v>-372.57810000000001</v>
      </c>
      <c r="H1555">
        <v>7.0304659999999997</v>
      </c>
      <c r="I1555">
        <v>269.07819999999998</v>
      </c>
      <c r="J1555">
        <v>-245.38730000000001</v>
      </c>
      <c r="K1555">
        <v>1.1105419999999999</v>
      </c>
      <c r="L1555">
        <v>284.74529999999999</v>
      </c>
      <c r="M1555">
        <v>-0.99990730000000005</v>
      </c>
      <c r="N1555">
        <v>0</v>
      </c>
      <c r="O1555">
        <v>6.7598619999999898E-3</v>
      </c>
      <c r="P1555">
        <v>-0.99985369999999996</v>
      </c>
      <c r="Q1555">
        <v>-1.009904E-2</v>
      </c>
      <c r="R1555">
        <v>-1.381479E-2</v>
      </c>
      <c r="S1555">
        <v>-2.9967800000000002</v>
      </c>
      <c r="T1555">
        <v>0.13919509999999999</v>
      </c>
      <c r="U1555">
        <v>-0.36834719999999999</v>
      </c>
      <c r="V1555">
        <v>-2.0575300000000001E-2</v>
      </c>
      <c r="W1555">
        <v>1.715961E-3</v>
      </c>
      <c r="X1555">
        <v>0.99978690000000003</v>
      </c>
      <c r="Y1555">
        <v>-0.12855949999999999</v>
      </c>
      <c r="Z1555">
        <v>3.2855950000000001E-3</v>
      </c>
      <c r="AA1555">
        <v>0.99169640000000003</v>
      </c>
      <c r="AB1555">
        <v>25</v>
      </c>
      <c r="AC1555">
        <v>-127.1908</v>
      </c>
      <c r="AD1555">
        <v>5.919924</v>
      </c>
      <c r="AE1555">
        <v>-15.6671</v>
      </c>
      <c r="AF1555">
        <v>-16.491402745169701</v>
      </c>
      <c r="AG1555">
        <v>5.919924</v>
      </c>
      <c r="AH1555">
        <v>126.811371650477</v>
      </c>
      <c r="AI1555">
        <v>87.349493369216901</v>
      </c>
      <c r="AJ1555">
        <v>97.409544397123597</v>
      </c>
      <c r="AK1555">
        <v>128.016154623331</v>
      </c>
      <c r="AL1555">
        <v>89.901682635174694</v>
      </c>
      <c r="AM1555">
        <v>91.178962703972203</v>
      </c>
      <c r="AN1555">
        <v>1.00000006645192</v>
      </c>
    </row>
    <row r="1556" spans="1:40" x14ac:dyDescent="0.3">
      <c r="A1556" t="str">
        <f>"20200111160435421"</f>
        <v>20200111160435421</v>
      </c>
      <c r="B1556" t="str">
        <f>"1578729875412269"</f>
        <v>1578729875412269</v>
      </c>
      <c r="C1556" t="s">
        <v>40</v>
      </c>
      <c r="D1556">
        <v>4.6995690000000003</v>
      </c>
      <c r="E1556">
        <v>0.47278320000000001</v>
      </c>
      <c r="F1556" t="s">
        <v>57</v>
      </c>
      <c r="G1556">
        <v>-257.58760000000001</v>
      </c>
      <c r="H1556" s="1">
        <v>2.500983E-6</v>
      </c>
      <c r="I1556">
        <v>283.6601</v>
      </c>
      <c r="J1556">
        <v>-245.64320000000001</v>
      </c>
      <c r="K1556">
        <v>1.1105039999999999</v>
      </c>
      <c r="L1556">
        <v>284.74630000000002</v>
      </c>
      <c r="M1556">
        <v>-0.99991249999999998</v>
      </c>
      <c r="N1556">
        <v>0</v>
      </c>
      <c r="O1556">
        <v>6.1918800000000003E-3</v>
      </c>
      <c r="P1556">
        <v>-0.99984629999999997</v>
      </c>
      <c r="Q1556">
        <v>-9.7507159999999996E-3</v>
      </c>
      <c r="R1556">
        <v>-1.45802E-2</v>
      </c>
      <c r="S1556">
        <v>-2.9940030000000002</v>
      </c>
      <c r="T1556">
        <v>-0.27252870000000001</v>
      </c>
      <c r="U1556">
        <v>-0.26629639999999999</v>
      </c>
      <c r="V1556">
        <v>-2.0772659999999998E-2</v>
      </c>
      <c r="W1556">
        <v>1.9214779999999999E-3</v>
      </c>
      <c r="X1556">
        <v>0.99978239999999996</v>
      </c>
      <c r="Y1556">
        <v>-9.4347310000000004E-2</v>
      </c>
      <c r="Z1556">
        <v>-4.8381530000000004E-3</v>
      </c>
      <c r="AA1556">
        <v>0.99552759999999996</v>
      </c>
      <c r="AB1556">
        <v>25</v>
      </c>
      <c r="AC1556">
        <v>-11.9444</v>
      </c>
      <c r="AD1556">
        <v>-1.1105014990169999</v>
      </c>
      <c r="AE1556">
        <v>-1.08620000000001</v>
      </c>
      <c r="AF1556">
        <v>-1.1502811581547701</v>
      </c>
      <c r="AG1556">
        <v>-1.1105014990169999</v>
      </c>
      <c r="AH1556">
        <v>11.8359750854149</v>
      </c>
      <c r="AI1556">
        <v>95.335052823362503</v>
      </c>
      <c r="AJ1556">
        <v>95.550867523771998</v>
      </c>
      <c r="AK1556">
        <v>11.9434779919706</v>
      </c>
      <c r="AL1556">
        <v>89.889907354785194</v>
      </c>
      <c r="AM1556">
        <v>91.190273530867103</v>
      </c>
      <c r="AN1556">
        <v>1.0000000214154601</v>
      </c>
    </row>
    <row r="1557" spans="1:40" x14ac:dyDescent="0.3">
      <c r="A1557" t="str">
        <f>"20200111160435442"</f>
        <v>20200111160435442</v>
      </c>
      <c r="B1557" t="str">
        <f>"1578729875432766"</f>
        <v>1578729875432766</v>
      </c>
      <c r="C1557" t="s">
        <v>40</v>
      </c>
      <c r="D1557">
        <v>5.607647</v>
      </c>
      <c r="E1557">
        <v>0.45799529999999999</v>
      </c>
      <c r="F1557" t="s">
        <v>57</v>
      </c>
      <c r="G1557">
        <v>-259.91919999999999</v>
      </c>
      <c r="H1557" s="1">
        <v>3.7416939999999999E-6</v>
      </c>
      <c r="I1557">
        <v>283.44229999999999</v>
      </c>
      <c r="J1557">
        <v>-245.8887</v>
      </c>
      <c r="K1557">
        <v>1.110444</v>
      </c>
      <c r="L1557">
        <v>284.7473</v>
      </c>
      <c r="M1557">
        <v>-0.99991850000000004</v>
      </c>
      <c r="N1557">
        <v>0</v>
      </c>
      <c r="O1557">
        <v>5.6494419999999898E-3</v>
      </c>
      <c r="P1557">
        <v>-0.99985060000000003</v>
      </c>
      <c r="Q1557">
        <v>-8.6049270000000001E-3</v>
      </c>
      <c r="R1557">
        <v>-1.499581E-2</v>
      </c>
      <c r="S1557">
        <v>-2.994186</v>
      </c>
      <c r="T1557">
        <v>-0.23291239999999999</v>
      </c>
      <c r="U1557">
        <v>-0.27349849999999998</v>
      </c>
      <c r="V1557">
        <v>-2.0647229999999999E-2</v>
      </c>
      <c r="W1557">
        <v>2.8226969999999999E-3</v>
      </c>
      <c r="X1557">
        <v>0.99978290000000003</v>
      </c>
      <c r="Y1557">
        <v>-9.6284019999999998E-2</v>
      </c>
      <c r="Z1557">
        <v>-4.1694449999999999E-3</v>
      </c>
      <c r="AA1557">
        <v>0.99534520000000004</v>
      </c>
      <c r="AB1557">
        <v>25</v>
      </c>
      <c r="AC1557">
        <v>-14.0304999999999</v>
      </c>
      <c r="AD1557">
        <v>-1.110440258306</v>
      </c>
      <c r="AE1557">
        <v>-1.3049999999999999</v>
      </c>
      <c r="AF1557">
        <v>-1.3757055056507701</v>
      </c>
      <c r="AG1557">
        <v>-1.110440258306</v>
      </c>
      <c r="AH1557">
        <v>13.936356000273101</v>
      </c>
      <c r="AI1557">
        <v>94.533724662590203</v>
      </c>
      <c r="AJ1557">
        <v>95.637598712344897</v>
      </c>
      <c r="AK1557">
        <v>14.048048326080499</v>
      </c>
      <c r="AL1557">
        <v>89.838271170224402</v>
      </c>
      <c r="AM1557">
        <v>91.183087848641193</v>
      </c>
      <c r="AN1557">
        <v>1.0000000614287099</v>
      </c>
    </row>
    <row r="1558" spans="1:40" x14ac:dyDescent="0.3">
      <c r="A1558" t="str">
        <f>"20200111160435464"</f>
        <v>20200111160435464</v>
      </c>
      <c r="B1558" t="str">
        <f>"1578729875462046"</f>
        <v>1578729875462046</v>
      </c>
      <c r="C1558" t="s">
        <v>40</v>
      </c>
      <c r="D1558">
        <v>5.573226</v>
      </c>
      <c r="E1558">
        <v>0.46875859999999903</v>
      </c>
      <c r="F1558" t="s">
        <v>63</v>
      </c>
      <c r="G1558">
        <v>-379.63920000000002</v>
      </c>
      <c r="H1558">
        <v>1.6037619999999999</v>
      </c>
      <c r="I1558">
        <v>267.85000000000002</v>
      </c>
      <c r="J1558">
        <v>-246.13749999999999</v>
      </c>
      <c r="K1558">
        <v>1.11036</v>
      </c>
      <c r="L1558">
        <v>284.74799999999999</v>
      </c>
      <c r="M1558">
        <v>-0.99992579999999998</v>
      </c>
      <c r="N1558">
        <v>0</v>
      </c>
      <c r="O1558">
        <v>5.106078E-3</v>
      </c>
      <c r="P1558">
        <v>-0.99985020000000002</v>
      </c>
      <c r="Q1558">
        <v>-7.2726179999999998E-3</v>
      </c>
      <c r="R1558">
        <v>-1.5725090000000001E-2</v>
      </c>
      <c r="S1558">
        <v>-2.994888</v>
      </c>
      <c r="T1558">
        <v>1.1047599999999999E-2</v>
      </c>
      <c r="U1558">
        <v>-0.3783569</v>
      </c>
      <c r="V1558">
        <v>-2.0833569999999999E-2</v>
      </c>
      <c r="W1558">
        <v>3.7806580000000001E-3</v>
      </c>
      <c r="X1558">
        <v>0.99977579999999999</v>
      </c>
      <c r="Y1558">
        <v>-0.13040160000000001</v>
      </c>
      <c r="Z1558">
        <v>2.5832429999999998E-4</v>
      </c>
      <c r="AA1558">
        <v>0.99146120000000004</v>
      </c>
      <c r="AB1558">
        <v>25</v>
      </c>
      <c r="AC1558">
        <v>-133.5017</v>
      </c>
      <c r="AD1558">
        <v>0.49340200000000001</v>
      </c>
      <c r="AE1558">
        <v>-16.8979999999999</v>
      </c>
      <c r="AF1558">
        <v>-17.5792551441249</v>
      </c>
      <c r="AG1558">
        <v>0.49340200000000001</v>
      </c>
      <c r="AH1558">
        <v>133.41187808519501</v>
      </c>
      <c r="AI1558">
        <v>89.789917811120006</v>
      </c>
      <c r="AJ1558">
        <v>97.506436904018898</v>
      </c>
      <c r="AK1558">
        <v>134.56597962031401</v>
      </c>
      <c r="AL1558">
        <v>89.783383734758303</v>
      </c>
      <c r="AM1558">
        <v>91.193770544031807</v>
      </c>
      <c r="AN1558">
        <v>0.99999999063974798</v>
      </c>
    </row>
    <row r="1559" spans="1:40" x14ac:dyDescent="0.3">
      <c r="A1559" t="str">
        <f>"20200111160435488"</f>
        <v>20200111160435488</v>
      </c>
      <c r="B1559" t="str">
        <f>"1578729875482542"</f>
        <v>1578729875482542</v>
      </c>
      <c r="C1559" t="s">
        <v>40</v>
      </c>
      <c r="D1559">
        <v>5.5618809999999996</v>
      </c>
      <c r="E1559">
        <v>0.46941569999999999</v>
      </c>
      <c r="F1559" t="s">
        <v>57</v>
      </c>
      <c r="G1559">
        <v>-278.13900000000001</v>
      </c>
      <c r="H1559" s="1">
        <v>2.9294860000000001E-6</v>
      </c>
      <c r="I1559">
        <v>281.52530000000002</v>
      </c>
      <c r="J1559">
        <v>-246.40029999999999</v>
      </c>
      <c r="K1559">
        <v>1.11026</v>
      </c>
      <c r="L1559">
        <v>284.74880000000002</v>
      </c>
      <c r="M1559">
        <v>-0.99993370000000004</v>
      </c>
      <c r="N1559">
        <v>0</v>
      </c>
      <c r="O1559">
        <v>4.5436610000000001E-3</v>
      </c>
      <c r="P1559">
        <v>-0.99984090000000003</v>
      </c>
      <c r="Q1559">
        <v>-5.6635979999999997E-3</v>
      </c>
      <c r="R1559">
        <v>-1.691324E-2</v>
      </c>
      <c r="S1559">
        <v>-2.9949650000000001</v>
      </c>
      <c r="T1559">
        <v>-0.1039163</v>
      </c>
      <c r="U1559">
        <v>-0.30160520000000002</v>
      </c>
      <c r="V1559">
        <v>-2.1460360000000001E-2</v>
      </c>
      <c r="W1559">
        <v>4.8926320000000001E-3</v>
      </c>
      <c r="X1559">
        <v>0.99975769999999997</v>
      </c>
      <c r="Y1559">
        <v>-0.1046523</v>
      </c>
      <c r="Z1559">
        <v>-1.967664E-3</v>
      </c>
      <c r="AA1559">
        <v>0.99450700000000003</v>
      </c>
      <c r="AB1559">
        <v>26</v>
      </c>
      <c r="AC1559">
        <v>-31.738700000000001</v>
      </c>
      <c r="AD1559">
        <v>-1.110257070514</v>
      </c>
      <c r="AE1559">
        <v>-3.2235</v>
      </c>
      <c r="AF1559">
        <v>-3.3636107194561999</v>
      </c>
      <c r="AG1559">
        <v>-1.110257070514</v>
      </c>
      <c r="AH1559">
        <v>31.685348082552601</v>
      </c>
      <c r="AI1559">
        <v>91.995623591809803</v>
      </c>
      <c r="AJ1559">
        <v>96.059634098340297</v>
      </c>
      <c r="AK1559">
        <v>31.88271994274</v>
      </c>
      <c r="AL1559">
        <v>89.719671709368299</v>
      </c>
      <c r="AM1559">
        <v>91.229697210100895</v>
      </c>
      <c r="AN1559">
        <v>0.99999997180425304</v>
      </c>
    </row>
    <row r="1560" spans="1:40" x14ac:dyDescent="0.3">
      <c r="A1560" t="str">
        <f>"20200111160435510"</f>
        <v>20200111160435510</v>
      </c>
      <c r="B1560" t="str">
        <f>"1578729875502062"</f>
        <v>1578729875502062</v>
      </c>
      <c r="C1560" t="s">
        <v>40</v>
      </c>
      <c r="D1560">
        <v>5.6695140000000004</v>
      </c>
      <c r="E1560">
        <v>0.47016649999999999</v>
      </c>
      <c r="F1560" t="s">
        <v>57</v>
      </c>
      <c r="G1560">
        <v>-270.78699999999998</v>
      </c>
      <c r="H1560" s="1">
        <v>-1.016282E-6</v>
      </c>
      <c r="I1560">
        <v>282.2894</v>
      </c>
      <c r="J1560">
        <v>-246.66399999999999</v>
      </c>
      <c r="K1560">
        <v>1.1101620000000001</v>
      </c>
      <c r="L1560">
        <v>284.74939999999998</v>
      </c>
      <c r="M1560">
        <v>-0.99994159999999999</v>
      </c>
      <c r="N1560">
        <v>0</v>
      </c>
      <c r="O1560">
        <v>3.9890029999999996E-3</v>
      </c>
      <c r="P1560">
        <v>-0.99981799999999998</v>
      </c>
      <c r="Q1560">
        <v>-4.574079E-3</v>
      </c>
      <c r="R1560">
        <v>-1.852956E-2</v>
      </c>
      <c r="S1560">
        <v>-2.9945979999999999</v>
      </c>
      <c r="T1560">
        <v>-0.13633609999999999</v>
      </c>
      <c r="U1560">
        <v>-0.30200199999999999</v>
      </c>
      <c r="V1560">
        <v>-2.2522420000000001E-2</v>
      </c>
      <c r="W1560">
        <v>5.4552919999999996E-3</v>
      </c>
      <c r="X1560">
        <v>0.9997315</v>
      </c>
      <c r="Y1560">
        <v>-0.10419730000000001</v>
      </c>
      <c r="Z1560">
        <v>-2.545772E-3</v>
      </c>
      <c r="AA1560">
        <v>0.99455340000000003</v>
      </c>
      <c r="AB1560">
        <v>26</v>
      </c>
      <c r="AC1560">
        <v>-24.123000000000001</v>
      </c>
      <c r="AD1560">
        <v>-1.110163016282</v>
      </c>
      <c r="AE1560">
        <v>-2.4599999999999702</v>
      </c>
      <c r="AF1560">
        <v>-2.5508650598958802</v>
      </c>
      <c r="AG1560">
        <v>-1.110163016282</v>
      </c>
      <c r="AH1560">
        <v>24.062556414287499</v>
      </c>
      <c r="AI1560">
        <v>92.626857276787703</v>
      </c>
      <c r="AJ1560">
        <v>96.051309206000695</v>
      </c>
      <c r="AK1560">
        <v>24.222840371584901</v>
      </c>
      <c r="AL1560">
        <v>89.687433256365495</v>
      </c>
      <c r="AM1560">
        <v>91.290567881259804</v>
      </c>
      <c r="AN1560">
        <v>1.00000004585285</v>
      </c>
    </row>
    <row r="1561" spans="1:40" x14ac:dyDescent="0.3">
      <c r="A1561" t="str">
        <f>"20200111160435532"</f>
        <v>20200111160435532</v>
      </c>
      <c r="B1561" t="str">
        <f>"1578729875522558"</f>
        <v>1578729875522558</v>
      </c>
      <c r="C1561" t="s">
        <v>40</v>
      </c>
      <c r="D1561">
        <v>5.5735570000000001</v>
      </c>
      <c r="E1561">
        <v>0.47274939999999999</v>
      </c>
      <c r="F1561" t="s">
        <v>57</v>
      </c>
      <c r="G1561">
        <v>-266.89049999999997</v>
      </c>
      <c r="H1561" s="1">
        <v>2.1300139999999999E-6</v>
      </c>
      <c r="I1561">
        <v>282.70600000000002</v>
      </c>
      <c r="J1561">
        <v>-246.91560000000001</v>
      </c>
      <c r="K1561">
        <v>1.1100719999999999</v>
      </c>
      <c r="L1561">
        <v>284.74979999999999</v>
      </c>
      <c r="M1561">
        <v>-0.99994870000000002</v>
      </c>
      <c r="N1561">
        <v>0</v>
      </c>
      <c r="O1561">
        <v>3.4681349999999998E-3</v>
      </c>
      <c r="P1561">
        <v>-0.99980880000000005</v>
      </c>
      <c r="Q1561">
        <v>-3.5636700000000001E-3</v>
      </c>
      <c r="R1561">
        <v>-1.9232450000000002E-2</v>
      </c>
      <c r="S1561">
        <v>-2.994186</v>
      </c>
      <c r="T1561">
        <v>-0.1643396</v>
      </c>
      <c r="U1561">
        <v>-0.30249019999999999</v>
      </c>
      <c r="V1561">
        <v>-2.2704930000000002E-2</v>
      </c>
      <c r="W1561">
        <v>5.9430890000000004E-3</v>
      </c>
      <c r="X1561">
        <v>0.99972459999999996</v>
      </c>
      <c r="Y1561">
        <v>-0.10380449999999999</v>
      </c>
      <c r="Z1561">
        <v>-3.0291110000000001E-3</v>
      </c>
      <c r="AA1561">
        <v>0.99459310000000001</v>
      </c>
      <c r="AB1561">
        <v>26</v>
      </c>
      <c r="AC1561">
        <v>-19.974899999999899</v>
      </c>
      <c r="AD1561">
        <v>-1.1100698699860001</v>
      </c>
      <c r="AE1561">
        <v>-2.0438000000000298</v>
      </c>
      <c r="AF1561">
        <v>-2.1066278241442702</v>
      </c>
      <c r="AG1561">
        <v>-1.1100698699860001</v>
      </c>
      <c r="AH1561">
        <v>19.906848326780199</v>
      </c>
      <c r="AI1561">
        <v>93.174004936553999</v>
      </c>
      <c r="AJ1561">
        <v>96.040801506214706</v>
      </c>
      <c r="AK1561">
        <v>20.048759218743299</v>
      </c>
      <c r="AL1561">
        <v>89.659484097216406</v>
      </c>
      <c r="AM1561">
        <v>91.301031369781001</v>
      </c>
      <c r="AN1561">
        <v>1.0000000549991599</v>
      </c>
    </row>
    <row r="1562" spans="1:40" x14ac:dyDescent="0.3">
      <c r="A1562" t="str">
        <f>"20200111160435554"</f>
        <v>20200111160435554</v>
      </c>
      <c r="B1562" t="str">
        <f>"1578729875552816"</f>
        <v>1578729875552816</v>
      </c>
      <c r="C1562" t="s">
        <v>40</v>
      </c>
      <c r="D1562">
        <v>5.5686609999999996</v>
      </c>
      <c r="E1562">
        <v>0.47647820000000002</v>
      </c>
      <c r="F1562" t="s">
        <v>57</v>
      </c>
      <c r="G1562">
        <v>-265.0093</v>
      </c>
      <c r="H1562" s="1">
        <v>1.1288999999999999E-6</v>
      </c>
      <c r="I1562">
        <v>283.02530000000002</v>
      </c>
      <c r="J1562">
        <v>-247.1678</v>
      </c>
      <c r="K1562">
        <v>1.1099969999999999</v>
      </c>
      <c r="L1562">
        <v>284.75020000000001</v>
      </c>
      <c r="M1562">
        <v>-0.99995529999999999</v>
      </c>
      <c r="N1562">
        <v>0</v>
      </c>
      <c r="O1562">
        <v>2.9543769999999998E-3</v>
      </c>
      <c r="P1562">
        <v>-0.99980539999999996</v>
      </c>
      <c r="Q1562">
        <v>-3.3069089999999998E-3</v>
      </c>
      <c r="R1562">
        <v>-1.945357E-2</v>
      </c>
      <c r="S1562">
        <v>-2.9944459999999999</v>
      </c>
      <c r="T1562">
        <v>-0.18371309999999999</v>
      </c>
      <c r="U1562">
        <v>-0.2854004</v>
      </c>
      <c r="V1562">
        <v>-2.2412270000000001E-2</v>
      </c>
      <c r="W1562">
        <v>5.6555609999999999E-3</v>
      </c>
      <c r="X1562">
        <v>0.99973279999999998</v>
      </c>
      <c r="Y1562">
        <v>-9.7633259999999999E-2</v>
      </c>
      <c r="Z1562">
        <v>-3.1660949999999998E-3</v>
      </c>
      <c r="AA1562">
        <v>0.99521740000000003</v>
      </c>
      <c r="AB1562">
        <v>26</v>
      </c>
      <c r="AC1562">
        <v>-17.8414999999999</v>
      </c>
      <c r="AD1562">
        <v>-1.1099958711</v>
      </c>
      <c r="AE1562">
        <v>-1.7248999999999901</v>
      </c>
      <c r="AF1562">
        <v>-1.7708144450986401</v>
      </c>
      <c r="AG1562">
        <v>-1.1099958711</v>
      </c>
      <c r="AH1562">
        <v>17.768188963091401</v>
      </c>
      <c r="AI1562">
        <v>93.557100863351593</v>
      </c>
      <c r="AJ1562">
        <v>95.691422086186293</v>
      </c>
      <c r="AK1562">
        <v>17.890679519262399</v>
      </c>
      <c r="AL1562">
        <v>89.675958491064804</v>
      </c>
      <c r="AM1562">
        <v>91.284256573437005</v>
      </c>
      <c r="AN1562">
        <v>0.99999998330630802</v>
      </c>
    </row>
    <row r="1563" spans="1:40" x14ac:dyDescent="0.3">
      <c r="A1563" t="str">
        <f>"20200111160435577"</f>
        <v>20200111160435577</v>
      </c>
      <c r="B1563" t="str">
        <f>"1578729875572334"</f>
        <v>1578729875572334</v>
      </c>
      <c r="C1563" t="s">
        <v>40</v>
      </c>
      <c r="D1563">
        <v>5.4927339999999996</v>
      </c>
      <c r="E1563">
        <v>0.48056019999999999</v>
      </c>
      <c r="F1563" t="s">
        <v>57</v>
      </c>
      <c r="G1563">
        <v>-267.62400000000002</v>
      </c>
      <c r="H1563" s="1">
        <v>2.5203249999999999E-6</v>
      </c>
      <c r="I1563">
        <v>283.00830000000002</v>
      </c>
      <c r="J1563">
        <v>-247.43629999999999</v>
      </c>
      <c r="K1563">
        <v>1.1099209999999999</v>
      </c>
      <c r="L1563">
        <v>284.75040000000001</v>
      </c>
      <c r="M1563">
        <v>-0.99996180000000001</v>
      </c>
      <c r="N1563">
        <v>0</v>
      </c>
      <c r="O1563">
        <v>2.415731E-3</v>
      </c>
      <c r="P1563">
        <v>-0.99980930000000001</v>
      </c>
      <c r="Q1563">
        <v>-1.8916390000000001E-3</v>
      </c>
      <c r="R1563">
        <v>-1.9441259999999998E-2</v>
      </c>
      <c r="S1563">
        <v>-2.995117</v>
      </c>
      <c r="T1563">
        <v>-0.16252069999999999</v>
      </c>
      <c r="U1563">
        <v>-0.25503540000000002</v>
      </c>
      <c r="V1563">
        <v>-2.1862039999999999E-2</v>
      </c>
      <c r="W1563">
        <v>6.4871499999999997E-3</v>
      </c>
      <c r="X1563">
        <v>0.99973990000000001</v>
      </c>
      <c r="Y1563">
        <v>-8.7119459999999996E-2</v>
      </c>
      <c r="Z1563">
        <v>-2.4883969999999998E-3</v>
      </c>
      <c r="AA1563">
        <v>0.99619480000000005</v>
      </c>
      <c r="AB1563">
        <v>26</v>
      </c>
      <c r="AC1563">
        <v>-20.1877</v>
      </c>
      <c r="AD1563">
        <v>-1.1099184796749999</v>
      </c>
      <c r="AE1563">
        <v>-1.74209999999999</v>
      </c>
      <c r="AF1563">
        <v>-1.7855073649245099</v>
      </c>
      <c r="AG1563">
        <v>-1.1099184796749999</v>
      </c>
      <c r="AH1563">
        <v>20.123054286640901</v>
      </c>
      <c r="AI1563">
        <v>93.144709476694004</v>
      </c>
      <c r="AJ1563">
        <v>95.070543678290605</v>
      </c>
      <c r="AK1563">
        <v>20.232579405622499</v>
      </c>
      <c r="AL1563">
        <v>89.628311058262796</v>
      </c>
      <c r="AM1563">
        <v>91.252728851765895</v>
      </c>
      <c r="AN1563">
        <v>0.99999994978004503</v>
      </c>
    </row>
    <row r="1564" spans="1:40" x14ac:dyDescent="0.3">
      <c r="A1564" t="str">
        <f>"20200111160435599"</f>
        <v>20200111160435599</v>
      </c>
      <c r="B1564" t="str">
        <f>"1578729875592830"</f>
        <v>1578729875592830</v>
      </c>
      <c r="C1564" t="s">
        <v>40</v>
      </c>
      <c r="D1564">
        <v>5.581404</v>
      </c>
      <c r="E1564">
        <v>0.48379870000000003</v>
      </c>
      <c r="F1564" t="s">
        <v>57</v>
      </c>
      <c r="G1564">
        <v>-267.03890000000001</v>
      </c>
      <c r="H1564" s="1">
        <v>2.2089460000000001E-6</v>
      </c>
      <c r="I1564">
        <v>283.2919</v>
      </c>
      <c r="J1564">
        <v>-247.70779999999999</v>
      </c>
      <c r="K1564">
        <v>1.1098509999999999</v>
      </c>
      <c r="L1564">
        <v>284.75049999999999</v>
      </c>
      <c r="M1564">
        <v>-0.99996759999999996</v>
      </c>
      <c r="N1564">
        <v>0</v>
      </c>
      <c r="O1564">
        <v>1.8792380000000001E-3</v>
      </c>
      <c r="P1564">
        <v>-0.99981940000000002</v>
      </c>
      <c r="Q1564">
        <v>-2.3913379999999999E-4</v>
      </c>
      <c r="R1564">
        <v>-1.9005009999999999E-2</v>
      </c>
      <c r="S1564">
        <v>-2.995895</v>
      </c>
      <c r="T1564">
        <v>-0.1696308</v>
      </c>
      <c r="U1564">
        <v>-0.2229004</v>
      </c>
      <c r="V1564">
        <v>-2.0889850000000001E-2</v>
      </c>
      <c r="W1564">
        <v>7.5666819999999999E-3</v>
      </c>
      <c r="X1564">
        <v>0.99975320000000001</v>
      </c>
      <c r="Y1564">
        <v>-7.5946849999999996E-2</v>
      </c>
      <c r="Z1564">
        <v>-2.2515949999999999E-3</v>
      </c>
      <c r="AA1564">
        <v>0.99710940000000003</v>
      </c>
      <c r="AB1564">
        <v>26</v>
      </c>
      <c r="AC1564">
        <v>-19.331099999999999</v>
      </c>
      <c r="AD1564">
        <v>-1.109848791054</v>
      </c>
      <c r="AE1564">
        <v>-1.4585999999999899</v>
      </c>
      <c r="AF1564">
        <v>-1.49004258989699</v>
      </c>
      <c r="AG1564">
        <v>-1.109848791054</v>
      </c>
      <c r="AH1564">
        <v>19.265182178161599</v>
      </c>
      <c r="AI1564">
        <v>93.287314830308603</v>
      </c>
      <c r="AJ1564">
        <v>94.422669010543402</v>
      </c>
      <c r="AK1564">
        <v>19.354566273013301</v>
      </c>
      <c r="AL1564">
        <v>89.566456941339098</v>
      </c>
      <c r="AM1564">
        <v>91.197021520783906</v>
      </c>
      <c r="AN1564">
        <v>1.0000000507098701</v>
      </c>
    </row>
    <row r="1565" spans="1:40" x14ac:dyDescent="0.3">
      <c r="A1565" t="str">
        <f>"20200111160435623"</f>
        <v>20200111160435623</v>
      </c>
      <c r="B1565" t="str">
        <f>"1578729875612349"</f>
        <v>1578729875612349</v>
      </c>
      <c r="C1565" t="s">
        <v>40</v>
      </c>
      <c r="D1565">
        <v>5.4459099999999996</v>
      </c>
      <c r="E1565">
        <v>0.486431</v>
      </c>
      <c r="F1565" t="s">
        <v>57</v>
      </c>
      <c r="G1565">
        <v>-266.7783</v>
      </c>
      <c r="H1565" s="1">
        <v>2.0702800000000002E-6</v>
      </c>
      <c r="I1565">
        <v>283.49939999999998</v>
      </c>
      <c r="J1565">
        <v>-247.97749999999999</v>
      </c>
      <c r="K1565">
        <v>1.109796</v>
      </c>
      <c r="L1565">
        <v>284.75049999999999</v>
      </c>
      <c r="M1565">
        <v>-0.99997259999999999</v>
      </c>
      <c r="N1565">
        <v>0</v>
      </c>
      <c r="O1565">
        <v>1.3513780000000001E-3</v>
      </c>
      <c r="P1565">
        <v>-0.99983160000000004</v>
      </c>
      <c r="Q1565">
        <v>1.3885130000000001E-3</v>
      </c>
      <c r="R1565">
        <v>-1.8308109999999999E-2</v>
      </c>
      <c r="S1565">
        <v>-2.9967350000000001</v>
      </c>
      <c r="T1565">
        <v>-0.174401799999999</v>
      </c>
      <c r="U1565">
        <v>-0.1965942</v>
      </c>
      <c r="V1565">
        <v>-1.9666400000000001E-2</v>
      </c>
      <c r="W1565">
        <v>8.6538350000000003E-3</v>
      </c>
      <c r="X1565">
        <v>0.99976920000000002</v>
      </c>
      <c r="Y1565">
        <v>-6.669593E-2</v>
      </c>
      <c r="Z1565">
        <v>-2.0155429999999998E-3</v>
      </c>
      <c r="AA1565">
        <v>0.99777130000000003</v>
      </c>
      <c r="AB1565">
        <v>26</v>
      </c>
      <c r="AC1565">
        <v>-18.800799999999999</v>
      </c>
      <c r="AD1565">
        <v>-1.1097939297199999</v>
      </c>
      <c r="AE1565">
        <v>-1.2511000000000001</v>
      </c>
      <c r="AF1565">
        <v>-1.27209353596481</v>
      </c>
      <c r="AG1565">
        <v>-1.1097939297199999</v>
      </c>
      <c r="AH1565">
        <v>18.7341021584892</v>
      </c>
      <c r="AI1565">
        <v>93.382425619343195</v>
      </c>
      <c r="AJ1565">
        <v>93.884567285266897</v>
      </c>
      <c r="AK1565">
        <v>18.810009256122001</v>
      </c>
      <c r="AL1565">
        <v>89.504165616147603</v>
      </c>
      <c r="AM1565">
        <v>91.126916507184006</v>
      </c>
      <c r="AN1565">
        <v>1.0000000547089001</v>
      </c>
    </row>
    <row r="1566" spans="1:40" x14ac:dyDescent="0.3">
      <c r="A1566" t="str">
        <f>"20200111160435643"</f>
        <v>20200111160435643</v>
      </c>
      <c r="B1566" t="str">
        <f>"1578729875631873"</f>
        <v>1578729875631873</v>
      </c>
      <c r="C1566" t="s">
        <v>40</v>
      </c>
      <c r="D1566">
        <v>5.5000799999999996</v>
      </c>
      <c r="E1566">
        <v>0.48835479999999998</v>
      </c>
      <c r="F1566" t="s">
        <v>57</v>
      </c>
      <c r="G1566">
        <v>-266.78179999999998</v>
      </c>
      <c r="H1566" s="1">
        <v>2.0721340000000001E-6</v>
      </c>
      <c r="I1566">
        <v>283.65949999999998</v>
      </c>
      <c r="J1566">
        <v>-248.22569999999999</v>
      </c>
      <c r="K1566">
        <v>1.1097520000000001</v>
      </c>
      <c r="L1566">
        <v>284.75029999999998</v>
      </c>
      <c r="M1566">
        <v>-0.99997650000000005</v>
      </c>
      <c r="N1566">
        <v>0</v>
      </c>
      <c r="O1566">
        <v>8.6846389999999996E-4</v>
      </c>
      <c r="P1566">
        <v>-0.99984430000000002</v>
      </c>
      <c r="Q1566">
        <v>2.1948929999999998E-3</v>
      </c>
      <c r="R1566">
        <v>-1.7520560000000001E-2</v>
      </c>
      <c r="S1566">
        <v>-2.9975740000000002</v>
      </c>
      <c r="T1566">
        <v>-0.17691089999999901</v>
      </c>
      <c r="U1566">
        <v>-0.17391970000000001</v>
      </c>
      <c r="V1566">
        <v>-1.839586E-2</v>
      </c>
      <c r="W1566">
        <v>8.9876079999999994E-3</v>
      </c>
      <c r="X1566">
        <v>0.99979039999999997</v>
      </c>
      <c r="Y1566">
        <v>-5.8686460000000003E-2</v>
      </c>
      <c r="Z1566">
        <v>-1.779994E-3</v>
      </c>
      <c r="AA1566">
        <v>0.99827489999999997</v>
      </c>
      <c r="AB1566">
        <v>26</v>
      </c>
      <c r="AC1566">
        <v>-18.556099999999901</v>
      </c>
      <c r="AD1566">
        <v>-1.1097499278659999</v>
      </c>
      <c r="AE1566">
        <v>-1.0908</v>
      </c>
      <c r="AF1566">
        <v>-1.1029838585575</v>
      </c>
      <c r="AG1566">
        <v>-1.1097499278659999</v>
      </c>
      <c r="AH1566">
        <v>18.489243772191401</v>
      </c>
      <c r="AI1566">
        <v>93.428769852262604</v>
      </c>
      <c r="AJ1566">
        <v>93.413958588046498</v>
      </c>
      <c r="AK1566">
        <v>18.555329519093899</v>
      </c>
      <c r="AL1566">
        <v>89.485041068097104</v>
      </c>
      <c r="AM1566">
        <v>91.054107159200399</v>
      </c>
      <c r="AN1566">
        <v>1.0000000143474299</v>
      </c>
    </row>
    <row r="1567" spans="1:40" x14ac:dyDescent="0.3">
      <c r="A1567" t="str">
        <f>"20200111160435666"</f>
        <v>20200111160435666</v>
      </c>
      <c r="B1567" t="str">
        <f>"1578729875662634"</f>
        <v>1578729875662634</v>
      </c>
      <c r="C1567" t="s">
        <v>40</v>
      </c>
      <c r="D1567">
        <v>5.4531869999999998</v>
      </c>
      <c r="E1567">
        <v>0.49059960000000002</v>
      </c>
      <c r="F1567" t="s">
        <v>57</v>
      </c>
      <c r="G1567">
        <v>-266.83179999999999</v>
      </c>
      <c r="H1567" s="1">
        <v>2.098757E-6</v>
      </c>
      <c r="I1567">
        <v>283.7808</v>
      </c>
      <c r="J1567">
        <v>-248.49510000000001</v>
      </c>
      <c r="K1567">
        <v>1.1097090000000001</v>
      </c>
      <c r="L1567">
        <v>284.75</v>
      </c>
      <c r="M1567">
        <v>-0.99997990000000003</v>
      </c>
      <c r="N1567">
        <v>0</v>
      </c>
      <c r="O1567">
        <v>3.4695180000000002E-4</v>
      </c>
      <c r="P1567">
        <v>-0.99984899999999999</v>
      </c>
      <c r="Q1567">
        <v>3.2437109999999998E-3</v>
      </c>
      <c r="R1567">
        <v>-1.707465E-2</v>
      </c>
      <c r="S1567">
        <v>-2.9981230000000001</v>
      </c>
      <c r="T1567">
        <v>-0.17882110000000001</v>
      </c>
      <c r="U1567">
        <v>-0.15621949999999901</v>
      </c>
      <c r="V1567">
        <v>-1.7429879999999998E-2</v>
      </c>
      <c r="W1567">
        <v>9.5554960000000001E-3</v>
      </c>
      <c r="X1567">
        <v>0.99980239999999998</v>
      </c>
      <c r="Y1567">
        <v>-5.2288359999999999E-2</v>
      </c>
      <c r="Z1567">
        <v>-1.5775769999999999E-3</v>
      </c>
      <c r="AA1567">
        <v>0.99863080000000004</v>
      </c>
      <c r="AB1567">
        <v>27</v>
      </c>
      <c r="AC1567">
        <v>-18.336699999999901</v>
      </c>
      <c r="AD1567">
        <v>-1.1097069012430001</v>
      </c>
      <c r="AE1567">
        <v>-0.96919999999999995</v>
      </c>
      <c r="AF1567">
        <v>-0.97201197228278502</v>
      </c>
      <c r="AG1567">
        <v>-1.1097069012430001</v>
      </c>
      <c r="AH1567">
        <v>18.269637018405501</v>
      </c>
      <c r="AI1567">
        <v>93.471006788163706</v>
      </c>
      <c r="AJ1567">
        <v>93.045475103594796</v>
      </c>
      <c r="AK1567">
        <v>18.329099635967399</v>
      </c>
      <c r="AL1567">
        <v>89.452502061615903</v>
      </c>
      <c r="AM1567">
        <v>90.998754762764193</v>
      </c>
      <c r="AN1567">
        <v>0.99999997363318904</v>
      </c>
    </row>
    <row r="1568" spans="1:40" x14ac:dyDescent="0.3">
      <c r="A1568" t="str">
        <f>"20200111160435688"</f>
        <v>20200111160435688</v>
      </c>
      <c r="B1568" t="str">
        <f>"1578729875682153"</f>
        <v>1578729875682153</v>
      </c>
      <c r="C1568" t="s">
        <v>40</v>
      </c>
      <c r="D1568">
        <v>5.4376490000000004</v>
      </c>
      <c r="E1568">
        <v>0.49160100000000001</v>
      </c>
      <c r="F1568" t="s">
        <v>57</v>
      </c>
      <c r="G1568">
        <v>-266.62360000000001</v>
      </c>
      <c r="H1568" s="1">
        <v>1.9879590000000002E-6</v>
      </c>
      <c r="I1568">
        <v>283.91789999999997</v>
      </c>
      <c r="J1568">
        <v>-248.76050000000001</v>
      </c>
      <c r="K1568">
        <v>1.109674</v>
      </c>
      <c r="L1568">
        <v>284.74959999999999</v>
      </c>
      <c r="M1568">
        <v>-0.9999827</v>
      </c>
      <c r="N1568">
        <v>0</v>
      </c>
      <c r="O1568">
        <v>-1.653639E-4</v>
      </c>
      <c r="P1568">
        <v>-0.99985020000000002</v>
      </c>
      <c r="Q1568">
        <v>3.7236159999999999E-3</v>
      </c>
      <c r="R1568">
        <v>-1.6911260000000001E-2</v>
      </c>
      <c r="S1568">
        <v>-2.9987029999999999</v>
      </c>
      <c r="T1568">
        <v>-0.18356120000000001</v>
      </c>
      <c r="U1568">
        <v>-0.13763429999999999</v>
      </c>
      <c r="V1568">
        <v>-1.6753850000000001E-2</v>
      </c>
      <c r="W1568">
        <v>9.6017489999999997E-3</v>
      </c>
      <c r="X1568">
        <v>0.99981359999999997</v>
      </c>
      <c r="Y1568">
        <v>-4.5599609999999999E-2</v>
      </c>
      <c r="Z1568">
        <v>-1.3835119999999999E-3</v>
      </c>
      <c r="AA1568">
        <v>0.99895880000000004</v>
      </c>
      <c r="AB1568">
        <v>27</v>
      </c>
      <c r="AC1568">
        <v>-17.863099999999999</v>
      </c>
      <c r="AD1568">
        <v>-1.109672012041</v>
      </c>
      <c r="AE1568">
        <v>-0.83170000000001199</v>
      </c>
      <c r="AF1568">
        <v>-0.82556704777247103</v>
      </c>
      <c r="AG1568">
        <v>-1.109672012041</v>
      </c>
      <c r="AH1568">
        <v>17.794715892698001</v>
      </c>
      <c r="AI1568">
        <v>93.564499205659402</v>
      </c>
      <c r="AJ1568">
        <v>92.656272477987201</v>
      </c>
      <c r="AK1568">
        <v>17.848384986505501</v>
      </c>
      <c r="AL1568">
        <v>89.449851885740301</v>
      </c>
      <c r="AM1568">
        <v>90.960014009599107</v>
      </c>
      <c r="AN1568">
        <v>1.00000005990931</v>
      </c>
    </row>
    <row r="1569" spans="1:40" x14ac:dyDescent="0.3">
      <c r="A1569" t="str">
        <f>"20200111160435711"</f>
        <v>20200111160435711</v>
      </c>
      <c r="B1569" t="str">
        <f>"1578729875702649"</f>
        <v>1578729875702649</v>
      </c>
      <c r="C1569" t="s">
        <v>40</v>
      </c>
      <c r="D1569">
        <v>5.4469979999999998</v>
      </c>
      <c r="E1569">
        <v>0.49256680000000003</v>
      </c>
      <c r="F1569" t="s">
        <v>57</v>
      </c>
      <c r="G1569">
        <v>-266.49090000000001</v>
      </c>
      <c r="H1569" s="1">
        <v>1.917329E-6</v>
      </c>
      <c r="I1569">
        <v>283.98349999999999</v>
      </c>
      <c r="J1569">
        <v>-249.04239999999999</v>
      </c>
      <c r="K1569">
        <v>1.109637</v>
      </c>
      <c r="L1569">
        <v>284.74900000000002</v>
      </c>
      <c r="M1569">
        <v>-0.99998469999999995</v>
      </c>
      <c r="N1569">
        <v>0</v>
      </c>
      <c r="O1569">
        <v>-7.0812209999999997E-4</v>
      </c>
      <c r="P1569">
        <v>-0.99984510000000004</v>
      </c>
      <c r="Q1569">
        <v>3.8971750000000001E-3</v>
      </c>
      <c r="R1569">
        <v>-1.7177209999999998E-2</v>
      </c>
      <c r="S1569">
        <v>-2.9989620000000001</v>
      </c>
      <c r="T1569">
        <v>-0.18769259999999999</v>
      </c>
      <c r="U1569">
        <v>-0.12957759999999999</v>
      </c>
      <c r="V1569">
        <v>-1.6477370000000002E-2</v>
      </c>
      <c r="W1569">
        <v>9.3623869999999998E-3</v>
      </c>
      <c r="X1569">
        <v>0.99982040000000005</v>
      </c>
      <c r="Y1569">
        <v>-4.2378350000000002E-2</v>
      </c>
      <c r="Z1569">
        <v>-1.2799759999999999E-3</v>
      </c>
      <c r="AA1569">
        <v>0.99910080000000001</v>
      </c>
      <c r="AB1569">
        <v>27</v>
      </c>
      <c r="AC1569">
        <v>-17.448499999999999</v>
      </c>
      <c r="AD1569">
        <v>-1.109635082671</v>
      </c>
      <c r="AE1569">
        <v>-0.76550000000003104</v>
      </c>
      <c r="AF1569">
        <v>-0.75011608150449205</v>
      </c>
      <c r="AG1569">
        <v>-1.109635082671</v>
      </c>
      <c r="AH1569">
        <v>17.378887160353901</v>
      </c>
      <c r="AI1569">
        <v>93.649964491086394</v>
      </c>
      <c r="AJ1569">
        <v>92.471494599324899</v>
      </c>
      <c r="AK1569">
        <v>17.430424064971501</v>
      </c>
      <c r="AL1569">
        <v>89.463566899149896</v>
      </c>
      <c r="AM1569">
        <v>90.9441678735012</v>
      </c>
      <c r="AN1569">
        <v>0.99999999513430704</v>
      </c>
    </row>
    <row r="1570" spans="1:40" x14ac:dyDescent="0.3">
      <c r="A1570" t="str">
        <f>"20200111160435733"</f>
        <v>20200111160435733</v>
      </c>
      <c r="B1570" t="str">
        <f>"1578729875722168"</f>
        <v>1578729875722168</v>
      </c>
      <c r="C1570" t="s">
        <v>40</v>
      </c>
      <c r="D1570">
        <v>5.4944519999999999</v>
      </c>
      <c r="E1570">
        <v>0.49339559999999999</v>
      </c>
      <c r="F1570" t="s">
        <v>57</v>
      </c>
      <c r="G1570">
        <v>-266.27300000000002</v>
      </c>
      <c r="H1570" s="1">
        <v>1.8013729999999999E-6</v>
      </c>
      <c r="I1570">
        <v>284.04199999999997</v>
      </c>
      <c r="J1570">
        <v>-249.31110000000001</v>
      </c>
      <c r="K1570">
        <v>1.1096090000000001</v>
      </c>
      <c r="L1570">
        <v>284.74829999999997</v>
      </c>
      <c r="M1570">
        <v>-0.99998620000000005</v>
      </c>
      <c r="N1570">
        <v>0</v>
      </c>
      <c r="O1570">
        <v>-1.225166E-3</v>
      </c>
      <c r="P1570">
        <v>-0.99983599999999995</v>
      </c>
      <c r="Q1570">
        <v>3.1204750000000002E-3</v>
      </c>
      <c r="R1570">
        <v>-1.7848099999999999E-2</v>
      </c>
      <c r="S1570">
        <v>-2.9991150000000002</v>
      </c>
      <c r="T1570">
        <v>-0.19314029999999999</v>
      </c>
      <c r="U1570">
        <v>-0.1230469</v>
      </c>
      <c r="V1570">
        <v>-1.6630099999999998E-2</v>
      </c>
      <c r="W1570">
        <v>8.2370929999999992E-3</v>
      </c>
      <c r="X1570">
        <v>0.99982780000000004</v>
      </c>
      <c r="Y1570">
        <v>-3.9689509999999997E-2</v>
      </c>
      <c r="Z1570">
        <v>-1.197341E-3</v>
      </c>
      <c r="AA1570">
        <v>0.99921139999999997</v>
      </c>
      <c r="AB1570">
        <v>27</v>
      </c>
      <c r="AC1570">
        <v>-16.961899999999901</v>
      </c>
      <c r="AD1570">
        <v>-1.109607198627</v>
      </c>
      <c r="AE1570">
        <v>-0.70629999999994197</v>
      </c>
      <c r="AF1570">
        <v>-0.68260194036379895</v>
      </c>
      <c r="AG1570">
        <v>-1.109607198627</v>
      </c>
      <c r="AH1570">
        <v>16.890595011737499</v>
      </c>
      <c r="AI1570">
        <v>93.755519412336596</v>
      </c>
      <c r="AJ1570">
        <v>92.314242879080496</v>
      </c>
      <c r="AK1570">
        <v>16.940760708857301</v>
      </c>
      <c r="AL1570">
        <v>89.528044007868502</v>
      </c>
      <c r="AM1570">
        <v>90.952910779727901</v>
      </c>
      <c r="AN1570">
        <v>1.0000000197899701</v>
      </c>
    </row>
    <row r="1571" spans="1:40" x14ac:dyDescent="0.3">
      <c r="A1571" t="str">
        <f>"20200111160435755"</f>
        <v>20200111160435755</v>
      </c>
      <c r="B1571" t="str">
        <f>"1578729875752425"</f>
        <v>1578729875752425</v>
      </c>
      <c r="C1571" t="s">
        <v>40</v>
      </c>
      <c r="D1571">
        <v>5.5849089999999997</v>
      </c>
      <c r="E1571">
        <v>0.49373519999999999</v>
      </c>
      <c r="F1571" t="s">
        <v>57</v>
      </c>
      <c r="G1571">
        <v>-266.38260000000002</v>
      </c>
      <c r="H1571" s="1">
        <v>1.8597280000000001E-6</v>
      </c>
      <c r="I1571">
        <v>284.0727</v>
      </c>
      <c r="J1571">
        <v>-249.5805</v>
      </c>
      <c r="K1571">
        <v>1.1095790000000001</v>
      </c>
      <c r="L1571">
        <v>284.74740000000003</v>
      </c>
      <c r="M1571">
        <v>-0.99998690000000001</v>
      </c>
      <c r="N1571">
        <v>0</v>
      </c>
      <c r="O1571">
        <v>-1.7429800000000001E-3</v>
      </c>
      <c r="P1571">
        <v>-0.99982300000000002</v>
      </c>
      <c r="Q1571">
        <v>2.5240929999999998E-3</v>
      </c>
      <c r="R1571">
        <v>-1.8651520000000001E-2</v>
      </c>
      <c r="S1571">
        <v>-2.9989780000000001</v>
      </c>
      <c r="T1571">
        <v>-0.1949263</v>
      </c>
      <c r="U1571">
        <v>-0.11868289999999999</v>
      </c>
      <c r="V1571">
        <v>-1.6915320000000001E-2</v>
      </c>
      <c r="W1571">
        <v>7.332084E-3</v>
      </c>
      <c r="X1571">
        <v>0.99983010000000005</v>
      </c>
      <c r="Y1571">
        <v>-3.7725990000000001E-2</v>
      </c>
      <c r="Z1571">
        <v>-1.1111529999999999E-3</v>
      </c>
      <c r="AA1571">
        <v>0.9992875</v>
      </c>
      <c r="AB1571">
        <v>27</v>
      </c>
      <c r="AC1571">
        <v>-16.802099999999999</v>
      </c>
      <c r="AD1571">
        <v>-1.1095771402720001</v>
      </c>
      <c r="AE1571">
        <v>-0.67470000000002905</v>
      </c>
      <c r="AF1571">
        <v>-0.64261496793103101</v>
      </c>
      <c r="AG1571">
        <v>-1.1095771402720001</v>
      </c>
      <c r="AH1571">
        <v>16.730406337273699</v>
      </c>
      <c r="AI1571">
        <v>93.791568594126701</v>
      </c>
      <c r="AJ1571">
        <v>92.1996497883421</v>
      </c>
      <c r="AK1571">
        <v>16.779469945070101</v>
      </c>
      <c r="AL1571">
        <v>89.579898792082801</v>
      </c>
      <c r="AM1571">
        <v>90.969248668731893</v>
      </c>
      <c r="AN1571">
        <v>1.00000005818624</v>
      </c>
    </row>
    <row r="1572" spans="1:40" x14ac:dyDescent="0.3">
      <c r="A1572" t="str">
        <f>"20200111160435769"</f>
        <v>20200111160435769</v>
      </c>
      <c r="B1572" t="str">
        <f>"1578729875762185"</f>
        <v>1578729875762185</v>
      </c>
      <c r="C1572" t="s">
        <v>40</v>
      </c>
      <c r="D1572">
        <v>5.5819779999999897</v>
      </c>
      <c r="E1572">
        <v>0.49386400000000003</v>
      </c>
      <c r="F1572" t="s">
        <v>57</v>
      </c>
      <c r="G1572">
        <v>-268.08589999999998</v>
      </c>
      <c r="H1572" s="1">
        <v>2.766128E-6</v>
      </c>
      <c r="I1572">
        <v>284.02429999999998</v>
      </c>
      <c r="J1572">
        <v>-249.7491</v>
      </c>
      <c r="K1572">
        <v>1.1095710000000001</v>
      </c>
      <c r="L1572">
        <v>284.74680000000001</v>
      </c>
      <c r="M1572">
        <v>-0.99998710000000002</v>
      </c>
      <c r="N1572">
        <v>0</v>
      </c>
      <c r="O1572">
        <v>-2.0664049999999999E-3</v>
      </c>
      <c r="P1572">
        <v>-0.99981719999999996</v>
      </c>
      <c r="Q1572">
        <v>2.4850699999999998E-3</v>
      </c>
      <c r="R1572">
        <v>-1.8966150000000001E-2</v>
      </c>
      <c r="S1572">
        <v>-2.9987789999999999</v>
      </c>
      <c r="T1572">
        <v>-0.17980589999999999</v>
      </c>
      <c r="U1572">
        <v>-0.1171875</v>
      </c>
      <c r="V1572">
        <v>-1.6906290000000001E-2</v>
      </c>
      <c r="W1572">
        <v>7.1189440000000003E-3</v>
      </c>
      <c r="X1572">
        <v>0.99983169999999999</v>
      </c>
      <c r="Y1572">
        <v>-3.6921160000000001E-2</v>
      </c>
      <c r="Z1572">
        <v>-9.817344999999999E-4</v>
      </c>
      <c r="AA1572">
        <v>0.99931769999999998</v>
      </c>
      <c r="AB1572">
        <v>28</v>
      </c>
      <c r="AC1572">
        <v>-18.336799999999901</v>
      </c>
      <c r="AD1572">
        <v>-1.1095682338720001</v>
      </c>
      <c r="AE1572">
        <v>-0.72250000000002501</v>
      </c>
      <c r="AF1572">
        <v>-0.682113097744665</v>
      </c>
      <c r="AG1572">
        <v>-1.1095682338720001</v>
      </c>
      <c r="AH1572">
        <v>18.271456316738099</v>
      </c>
      <c r="AI1572">
        <v>93.472712200171998</v>
      </c>
      <c r="AJ1572">
        <v>92.1379828718932</v>
      </c>
      <c r="AK1572">
        <v>18.317820172668</v>
      </c>
      <c r="AL1572">
        <v>89.592111094693195</v>
      </c>
      <c r="AM1572">
        <v>90.9687297979806</v>
      </c>
      <c r="AN1572">
        <v>0.99999996516506395</v>
      </c>
    </row>
    <row r="1573" spans="1:40" x14ac:dyDescent="0.3">
      <c r="A1573" t="str">
        <f>"20200111160435790"</f>
        <v>20200111160435790</v>
      </c>
      <c r="B1573" t="str">
        <f>"1578729875782681"</f>
        <v>1578729875782681</v>
      </c>
      <c r="C1573" t="s">
        <v>40</v>
      </c>
      <c r="D1573">
        <v>6.191611</v>
      </c>
      <c r="E1573">
        <v>0.49335489999999999</v>
      </c>
      <c r="F1573" t="s">
        <v>57</v>
      </c>
      <c r="G1573">
        <v>-269.20760000000001</v>
      </c>
      <c r="H1573" s="1">
        <v>3.3630529999999998E-6</v>
      </c>
      <c r="I1573">
        <v>283.99</v>
      </c>
      <c r="J1573">
        <v>-250.0136</v>
      </c>
      <c r="K1573">
        <v>1.1095569999999999</v>
      </c>
      <c r="L1573">
        <v>284.74579999999997</v>
      </c>
      <c r="M1573">
        <v>-0.99998710000000002</v>
      </c>
      <c r="N1573">
        <v>0</v>
      </c>
      <c r="O1573">
        <v>-2.57421E-3</v>
      </c>
      <c r="P1573">
        <v>-0.9998068</v>
      </c>
      <c r="Q1573">
        <v>2.3261919999999999E-3</v>
      </c>
      <c r="R1573">
        <v>-1.952038E-2</v>
      </c>
      <c r="S1573">
        <v>-2.998764</v>
      </c>
      <c r="T1573">
        <v>-0.17099600000000001</v>
      </c>
      <c r="U1573">
        <v>-0.1166382</v>
      </c>
      <c r="V1573">
        <v>-1.6952579999999998E-2</v>
      </c>
      <c r="W1573">
        <v>6.7184100000000002E-3</v>
      </c>
      <c r="X1573">
        <v>0.99983370000000005</v>
      </c>
      <c r="Y1573">
        <v>-3.6239010000000002E-2</v>
      </c>
      <c r="Z1573">
        <v>-8.8537380000000001E-4</v>
      </c>
      <c r="AA1573">
        <v>0.99934270000000003</v>
      </c>
      <c r="AB1573">
        <v>28</v>
      </c>
      <c r="AC1573">
        <v>-19.193999999999999</v>
      </c>
      <c r="AD1573">
        <v>-1.1095536369469901</v>
      </c>
      <c r="AE1573">
        <v>-0.75579999999996506</v>
      </c>
      <c r="AF1573">
        <v>-0.70403860177995004</v>
      </c>
      <c r="AG1573">
        <v>-1.1095536369469901</v>
      </c>
      <c r="AH1573">
        <v>19.132047694440502</v>
      </c>
      <c r="AI1573">
        <v>93.3168825515355</v>
      </c>
      <c r="AJ1573">
        <v>92.107471593405293</v>
      </c>
      <c r="AK1573">
        <v>19.177122532027699</v>
      </c>
      <c r="AL1573">
        <v>89.615060557359897</v>
      </c>
      <c r="AM1573">
        <v>90.9713797630356</v>
      </c>
      <c r="AN1573">
        <v>0.99999997732863699</v>
      </c>
    </row>
    <row r="1574" spans="1:40" x14ac:dyDescent="0.3">
      <c r="A1574" t="str">
        <f>"20200111160435811"</f>
        <v>20200111160435811</v>
      </c>
      <c r="B1574" t="str">
        <f>"1578729875802200"</f>
        <v>1578729875802200</v>
      </c>
      <c r="C1574" t="s">
        <v>40</v>
      </c>
      <c r="D1574">
        <v>5.387753</v>
      </c>
      <c r="E1574">
        <v>0.4939345</v>
      </c>
      <c r="F1574" t="s">
        <v>57</v>
      </c>
      <c r="G1574">
        <v>-271.53179999999998</v>
      </c>
      <c r="H1574" s="1">
        <v>-6.8918509999999995E-7</v>
      </c>
      <c r="I1574">
        <v>283.87349999999998</v>
      </c>
      <c r="J1574">
        <v>-250.2885</v>
      </c>
      <c r="K1574">
        <v>1.109545</v>
      </c>
      <c r="L1574">
        <v>284.74459999999999</v>
      </c>
      <c r="M1574">
        <v>-0.9999865</v>
      </c>
      <c r="N1574">
        <v>0</v>
      </c>
      <c r="O1574">
        <v>-3.1021439999999998E-3</v>
      </c>
      <c r="P1574">
        <v>-0.9997933</v>
      </c>
      <c r="Q1574">
        <v>2.5017350000000002E-3</v>
      </c>
      <c r="R1574">
        <v>-2.0182189999999999E-2</v>
      </c>
      <c r="S1574">
        <v>-2.9985810000000002</v>
      </c>
      <c r="T1574">
        <v>-0.154617899999999</v>
      </c>
      <c r="U1574">
        <v>-0.12155150000000001</v>
      </c>
      <c r="V1574">
        <v>-1.7086549999999999E-2</v>
      </c>
      <c r="W1574">
        <v>6.6821719999999897E-3</v>
      </c>
      <c r="X1574">
        <v>0.99983169999999999</v>
      </c>
      <c r="Y1574">
        <v>-3.7357840000000003E-2</v>
      </c>
      <c r="Z1574">
        <v>-8.0233559999999895E-4</v>
      </c>
      <c r="AA1574">
        <v>0.99930160000000001</v>
      </c>
      <c r="AB1574">
        <v>28</v>
      </c>
      <c r="AC1574">
        <v>-21.243299999999898</v>
      </c>
      <c r="AD1574">
        <v>-1.1095456891851001</v>
      </c>
      <c r="AE1574">
        <v>-0.87110000000001198</v>
      </c>
      <c r="AF1574">
        <v>-0.80300852000783596</v>
      </c>
      <c r="AG1574">
        <v>-1.1095456891851001</v>
      </c>
      <c r="AH1574">
        <v>21.188195443029201</v>
      </c>
      <c r="AI1574">
        <v>92.995478759400896</v>
      </c>
      <c r="AJ1574">
        <v>92.170406170579298</v>
      </c>
      <c r="AK1574">
        <v>21.2324172069879</v>
      </c>
      <c r="AL1574">
        <v>89.617136902884297</v>
      </c>
      <c r="AM1574">
        <v>90.979056689466503</v>
      </c>
      <c r="AN1574">
        <v>1.0000000149692101</v>
      </c>
    </row>
    <row r="1575" spans="1:40" x14ac:dyDescent="0.3">
      <c r="A1575" t="str">
        <f>"20200111160435833"</f>
        <v>20200111160435833</v>
      </c>
      <c r="B1575" t="str">
        <f>"1578729875822696"</f>
        <v>1578729875822696</v>
      </c>
      <c r="C1575" t="s">
        <v>40</v>
      </c>
      <c r="D1575">
        <v>5.5503790000000004</v>
      </c>
      <c r="E1575">
        <v>0.49452639999999998</v>
      </c>
      <c r="F1575" t="s">
        <v>57</v>
      </c>
      <c r="G1575">
        <v>-271.80180000000001</v>
      </c>
      <c r="H1575" s="1">
        <v>-5.4628230000000002E-7</v>
      </c>
      <c r="I1575">
        <v>283.89159999999998</v>
      </c>
      <c r="J1575">
        <v>-250.55879999999999</v>
      </c>
      <c r="K1575">
        <v>1.109545</v>
      </c>
      <c r="L1575">
        <v>284.74329999999998</v>
      </c>
      <c r="M1575">
        <v>-0.99998540000000002</v>
      </c>
      <c r="N1575">
        <v>0</v>
      </c>
      <c r="O1575">
        <v>-3.620318E-3</v>
      </c>
      <c r="P1575">
        <v>-0.99978409999999995</v>
      </c>
      <c r="Q1575">
        <v>2.3176070000000002E-3</v>
      </c>
      <c r="R1575">
        <v>-2.065353E-2</v>
      </c>
      <c r="S1575">
        <v>-2.998596</v>
      </c>
      <c r="T1575">
        <v>-0.15465190000000001</v>
      </c>
      <c r="U1575">
        <v>-0.1188965</v>
      </c>
      <c r="V1575">
        <v>-1.7039869999999999E-2</v>
      </c>
      <c r="W1575">
        <v>6.3331350000000002E-3</v>
      </c>
      <c r="X1575">
        <v>0.99983480000000002</v>
      </c>
      <c r="Y1575">
        <v>-3.5958909999999997E-2</v>
      </c>
      <c r="Z1575">
        <v>-7.3978960000000002E-4</v>
      </c>
      <c r="AA1575">
        <v>0.99935300000000005</v>
      </c>
      <c r="AB1575">
        <v>28</v>
      </c>
      <c r="AC1575">
        <v>-21.242999999999999</v>
      </c>
      <c r="AD1575">
        <v>-1.1095455462823001</v>
      </c>
      <c r="AE1575">
        <v>-0.85169999999999302</v>
      </c>
      <c r="AF1575">
        <v>-0.77268281962795005</v>
      </c>
      <c r="AG1575">
        <v>-1.1095455462823001</v>
      </c>
      <c r="AH1575">
        <v>21.188233610061001</v>
      </c>
      <c r="AI1575">
        <v>92.995631904627302</v>
      </c>
      <c r="AJ1575">
        <v>92.088510805386406</v>
      </c>
      <c r="AK1575">
        <v>21.231330000109299</v>
      </c>
      <c r="AL1575">
        <v>89.637135684606704</v>
      </c>
      <c r="AM1575">
        <v>90.976379424449306</v>
      </c>
      <c r="AN1575">
        <v>1.00000004652979</v>
      </c>
    </row>
    <row r="1576" spans="1:40" x14ac:dyDescent="0.3">
      <c r="A1576" t="str">
        <f>"20200111160435991"</f>
        <v>20200111160435991</v>
      </c>
      <c r="B1576" t="str">
        <f>"1578729875982630"</f>
        <v>1578729875982630</v>
      </c>
      <c r="C1576" t="s">
        <v>40</v>
      </c>
      <c r="D1576">
        <v>5.6128309999999999</v>
      </c>
      <c r="E1576">
        <v>0.49507099999999998</v>
      </c>
      <c r="F1576" t="s">
        <v>57</v>
      </c>
      <c r="G1576">
        <v>-271.07740000000001</v>
      </c>
      <c r="H1576" s="1">
        <v>-9.3432829999999995E-7</v>
      </c>
      <c r="I1576">
        <v>283.95010000000002</v>
      </c>
      <c r="J1576">
        <v>-252.58320000000001</v>
      </c>
      <c r="K1576">
        <v>1.1096809999999999</v>
      </c>
      <c r="L1576">
        <v>284.7287</v>
      </c>
      <c r="M1576">
        <v>-0.99996269999999998</v>
      </c>
      <c r="N1576">
        <v>0</v>
      </c>
      <c r="O1576">
        <v>-7.4809530000000003E-3</v>
      </c>
      <c r="P1576">
        <v>-0.99975559999999997</v>
      </c>
      <c r="Q1576">
        <v>-1.4162339999999999E-3</v>
      </c>
      <c r="R1576">
        <v>-2.2075500000000001E-2</v>
      </c>
      <c r="S1576">
        <v>-2.9986109999999999</v>
      </c>
      <c r="T1576">
        <v>-0.16214999999999999</v>
      </c>
      <c r="U1576">
        <v>-0.1159058</v>
      </c>
      <c r="V1576">
        <v>-1.459857E-2</v>
      </c>
      <c r="W1576">
        <v>2.916634E-3</v>
      </c>
      <c r="X1576">
        <v>0.99988920000000003</v>
      </c>
      <c r="Y1576">
        <v>-3.1113310000000002E-2</v>
      </c>
      <c r="Z1576">
        <v>-4.3622620000000002E-4</v>
      </c>
      <c r="AA1576">
        <v>0.99951579999999995</v>
      </c>
      <c r="AB1576">
        <v>29</v>
      </c>
      <c r="AC1576">
        <v>-18.494199999999999</v>
      </c>
      <c r="AD1576">
        <v>-1.1096819343283</v>
      </c>
      <c r="AE1576">
        <v>-0.77859999999998297</v>
      </c>
      <c r="AF1576">
        <v>-0.63793007342533803</v>
      </c>
      <c r="AG1576">
        <v>-1.1096819343283</v>
      </c>
      <c r="AH1576">
        <v>18.433261288786198</v>
      </c>
      <c r="AI1576">
        <v>93.442990826995398</v>
      </c>
      <c r="AJ1576">
        <v>91.982075699379706</v>
      </c>
      <c r="AK1576">
        <v>18.477647862068899</v>
      </c>
      <c r="AL1576">
        <v>89.832888947600907</v>
      </c>
      <c r="AM1576">
        <v>90.836469703243793</v>
      </c>
      <c r="AN1576">
        <v>1.00000001863828</v>
      </c>
    </row>
    <row r="1577" spans="1:40" x14ac:dyDescent="0.3">
      <c r="A1577" t="str">
        <f>"20200111160436012"</f>
        <v>20200111160436012</v>
      </c>
      <c r="B1577" t="str">
        <f>"1578729876002149"</f>
        <v>1578729876002149</v>
      </c>
      <c r="C1577" t="s">
        <v>40</v>
      </c>
      <c r="D1577">
        <v>5.6300660000000002</v>
      </c>
      <c r="E1577">
        <v>0.4955541</v>
      </c>
      <c r="F1577" t="s">
        <v>57</v>
      </c>
      <c r="G1577">
        <v>-271.16140000000001</v>
      </c>
      <c r="H1577" s="1">
        <v>-8.9205080000000004E-7</v>
      </c>
      <c r="I1577">
        <v>284.00599999999997</v>
      </c>
      <c r="J1577">
        <v>-252.86660000000001</v>
      </c>
      <c r="K1577">
        <v>1.109704</v>
      </c>
      <c r="L1577">
        <v>284.726</v>
      </c>
      <c r="M1577">
        <v>-0.9999576</v>
      </c>
      <c r="N1577">
        <v>0</v>
      </c>
      <c r="O1577">
        <v>-8.0145029999999992E-3</v>
      </c>
      <c r="P1577">
        <v>-0.99974459999999998</v>
      </c>
      <c r="Q1577">
        <v>-1.6351079999999999E-3</v>
      </c>
      <c r="R1577">
        <v>-2.2541200000000001E-2</v>
      </c>
      <c r="S1577">
        <v>-2.9979100000000001</v>
      </c>
      <c r="T1577">
        <v>-0.17906559999999999</v>
      </c>
      <c r="U1577">
        <v>-0.11660769999999999</v>
      </c>
      <c r="V1577">
        <v>-1.453087E-2</v>
      </c>
      <c r="W1577">
        <v>2.9047140000000001E-3</v>
      </c>
      <c r="X1577">
        <v>0.99989019999999995</v>
      </c>
      <c r="Y1577">
        <v>-3.0816590000000001E-2</v>
      </c>
      <c r="Z1577">
        <v>-4.4109029999999999E-4</v>
      </c>
      <c r="AA1577">
        <v>0.999525</v>
      </c>
      <c r="AB1577">
        <v>29</v>
      </c>
      <c r="AC1577">
        <v>-18.294799999999999</v>
      </c>
      <c r="AD1577">
        <v>-1.1097048920507999</v>
      </c>
      <c r="AE1577">
        <v>-0.72000000000002695</v>
      </c>
      <c r="AF1577">
        <v>-0.57125310384713102</v>
      </c>
      <c r="AG1577">
        <v>-1.1097048920507999</v>
      </c>
      <c r="AH1577">
        <v>18.2330028311208</v>
      </c>
      <c r="AI1577">
        <v>93.481160310128999</v>
      </c>
      <c r="AJ1577">
        <v>91.794530991596204</v>
      </c>
      <c r="AK1577">
        <v>18.2756714595048</v>
      </c>
      <c r="AL1577">
        <v>89.833571912705196</v>
      </c>
      <c r="AM1577">
        <v>90.8325903395137</v>
      </c>
      <c r="AN1577">
        <v>0.99999999780120896</v>
      </c>
    </row>
    <row r="1578" spans="1:40" x14ac:dyDescent="0.3">
      <c r="A1578" t="str">
        <f>"20200111160436034"</f>
        <v>20200111160436034</v>
      </c>
      <c r="B1578" t="str">
        <f>"1578729876022646"</f>
        <v>1578729876022646</v>
      </c>
      <c r="C1578" t="s">
        <v>40</v>
      </c>
      <c r="D1578">
        <v>5.5771850000000001</v>
      </c>
      <c r="E1578">
        <v>0.49587189999999998</v>
      </c>
      <c r="F1578" t="s">
        <v>57</v>
      </c>
      <c r="G1578">
        <v>-270.85120000000001</v>
      </c>
      <c r="H1578" s="1">
        <v>-1.0586210000000001E-6</v>
      </c>
      <c r="I1578">
        <v>284.03930000000003</v>
      </c>
      <c r="J1578">
        <v>-253.14449999999999</v>
      </c>
      <c r="K1578">
        <v>1.109729</v>
      </c>
      <c r="L1578">
        <v>284.72329999999999</v>
      </c>
      <c r="M1578">
        <v>-0.99995239999999996</v>
      </c>
      <c r="N1578">
        <v>0</v>
      </c>
      <c r="O1578">
        <v>-8.5330400000000004E-3</v>
      </c>
      <c r="P1578">
        <v>-0.9997315</v>
      </c>
      <c r="Q1578">
        <v>-2.6425939999999998E-3</v>
      </c>
      <c r="R1578">
        <v>-2.3030660000000001E-2</v>
      </c>
      <c r="S1578">
        <v>-2.9978639999999999</v>
      </c>
      <c r="T1578">
        <v>-0.1849778</v>
      </c>
      <c r="U1578">
        <v>-0.1144714</v>
      </c>
      <c r="V1578">
        <v>-1.4500860000000001E-2</v>
      </c>
      <c r="W1578">
        <v>2.1026759999999999E-3</v>
      </c>
      <c r="X1578">
        <v>0.99989269999999997</v>
      </c>
      <c r="Y1578">
        <v>-2.958823E-2</v>
      </c>
      <c r="Z1578">
        <v>-3.8584159999999998E-4</v>
      </c>
      <c r="AA1578">
        <v>0.99956210000000001</v>
      </c>
      <c r="AB1578">
        <v>29</v>
      </c>
      <c r="AC1578">
        <v>-17.706700000000001</v>
      </c>
      <c r="AD1578">
        <v>-1.1097300586209999</v>
      </c>
      <c r="AE1578">
        <v>-0.68399999999996897</v>
      </c>
      <c r="AF1578">
        <v>-0.530799610012751</v>
      </c>
      <c r="AG1578">
        <v>-1.1097300586209999</v>
      </c>
      <c r="AH1578">
        <v>17.642696665612799</v>
      </c>
      <c r="AI1578">
        <v>93.597553741099802</v>
      </c>
      <c r="AJ1578">
        <v>91.723285661484397</v>
      </c>
      <c r="AK1578">
        <v>17.6855306582477</v>
      </c>
      <c r="AL1578">
        <v>89.879525457229406</v>
      </c>
      <c r="AM1578">
        <v>90.830868989593498</v>
      </c>
      <c r="AN1578">
        <v>1.0000000538501901</v>
      </c>
    </row>
    <row r="1579" spans="1:40" x14ac:dyDescent="0.3">
      <c r="A1579" t="str">
        <f>"20200111160436048"</f>
        <v>20200111160436048</v>
      </c>
      <c r="B1579" t="str">
        <f>"1578729876042166"</f>
        <v>1578729876042166</v>
      </c>
      <c r="C1579" t="s">
        <v>40</v>
      </c>
      <c r="D1579">
        <v>5.7333949999999998</v>
      </c>
      <c r="E1579">
        <v>0.4947242</v>
      </c>
      <c r="F1579" t="s">
        <v>57</v>
      </c>
      <c r="G1579">
        <v>-270.42250000000001</v>
      </c>
      <c r="H1579" s="1">
        <v>-1.2879720000000001E-6</v>
      </c>
      <c r="I1579">
        <v>284.06790000000001</v>
      </c>
      <c r="J1579">
        <v>-253.33359999999999</v>
      </c>
      <c r="K1579">
        <v>1.109737</v>
      </c>
      <c r="L1579">
        <v>284.72129999999999</v>
      </c>
      <c r="M1579">
        <v>-0.99994870000000002</v>
      </c>
      <c r="N1579">
        <v>0</v>
      </c>
      <c r="O1579">
        <v>-8.8824709999999994E-3</v>
      </c>
      <c r="P1579">
        <v>-0.99971569999999998</v>
      </c>
      <c r="Q1579">
        <v>-2.943663E-3</v>
      </c>
      <c r="R1579">
        <v>-2.367056E-2</v>
      </c>
      <c r="S1579">
        <v>-2.997681</v>
      </c>
      <c r="T1579">
        <v>-0.1925346</v>
      </c>
      <c r="U1579">
        <v>-0.1137085</v>
      </c>
      <c r="V1579">
        <v>-1.4791220000000001E-2</v>
      </c>
      <c r="W1579">
        <v>1.938644E-3</v>
      </c>
      <c r="X1579">
        <v>0.99988869999999996</v>
      </c>
      <c r="Y1579">
        <v>-2.8985850000000001E-2</v>
      </c>
      <c r="Z1579">
        <v>-3.5987040000000001E-4</v>
      </c>
      <c r="AA1579">
        <v>0.99957969999999896</v>
      </c>
      <c r="AB1579">
        <v>29</v>
      </c>
      <c r="AC1579">
        <v>-17.088899999999999</v>
      </c>
      <c r="AD1579">
        <v>-1.1097382879719999</v>
      </c>
      <c r="AE1579">
        <v>-0.653399999999976</v>
      </c>
      <c r="AF1579">
        <v>-0.49947749847182898</v>
      </c>
      <c r="AG1579">
        <v>-1.1097382879719999</v>
      </c>
      <c r="AH1579">
        <v>17.022349705881801</v>
      </c>
      <c r="AI1579">
        <v>93.728406047277502</v>
      </c>
      <c r="AJ1579">
        <v>91.680716481645902</v>
      </c>
      <c r="AK1579">
        <v>17.065795801796199</v>
      </c>
      <c r="AL1579">
        <v>89.888923808518499</v>
      </c>
      <c r="AM1579">
        <v>90.847506998191406</v>
      </c>
      <c r="AN1579">
        <v>0.99999997545866803</v>
      </c>
    </row>
    <row r="1580" spans="1:40" x14ac:dyDescent="0.3">
      <c r="A1580" t="str">
        <f>"20200111160436068"</f>
        <v>20200111160436068</v>
      </c>
      <c r="B1580" t="str">
        <f>"1578729876062663"</f>
        <v>1578729876062663</v>
      </c>
      <c r="C1580" t="s">
        <v>40</v>
      </c>
      <c r="D1580">
        <v>5.637111</v>
      </c>
      <c r="E1580">
        <v>0.4438493</v>
      </c>
      <c r="F1580" t="s">
        <v>57</v>
      </c>
      <c r="G1580">
        <v>-270.19009999999997</v>
      </c>
      <c r="H1580" s="1">
        <v>-1.4094359999999999E-6</v>
      </c>
      <c r="I1580">
        <v>284.01710000000003</v>
      </c>
      <c r="J1580">
        <v>-253.59389999999999</v>
      </c>
      <c r="K1580">
        <v>1.1097459999999999</v>
      </c>
      <c r="L1580">
        <v>284.71859999999998</v>
      </c>
      <c r="M1580">
        <v>-0.99994329999999998</v>
      </c>
      <c r="N1580">
        <v>0</v>
      </c>
      <c r="O1580">
        <v>-9.3561310000000002E-3</v>
      </c>
      <c r="P1580">
        <v>-0.99967439999999996</v>
      </c>
      <c r="Q1580">
        <v>-4.5496909999999998E-3</v>
      </c>
      <c r="R1580">
        <v>-2.51072E-2</v>
      </c>
      <c r="S1580">
        <v>-2.9973139999999998</v>
      </c>
      <c r="T1580">
        <v>-0.19732710000000001</v>
      </c>
      <c r="U1580">
        <v>-0.12521360000000001</v>
      </c>
      <c r="V1580">
        <v>-1.5753400000000001E-2</v>
      </c>
      <c r="W1580">
        <v>5.1528629999999999E-4</v>
      </c>
      <c r="X1580">
        <v>0.99987579999999998</v>
      </c>
      <c r="Y1580">
        <v>-3.2339279999999998E-2</v>
      </c>
      <c r="Z1580">
        <v>-4.4791420000000001E-4</v>
      </c>
      <c r="AA1580">
        <v>0.9994769</v>
      </c>
      <c r="AB1580">
        <v>29</v>
      </c>
      <c r="AC1580">
        <v>-16.5961999999999</v>
      </c>
      <c r="AD1580">
        <v>-1.10974740943599</v>
      </c>
      <c r="AE1580">
        <v>-0.70149999999995305</v>
      </c>
      <c r="AF1580">
        <v>-0.54376408558077705</v>
      </c>
      <c r="AG1580">
        <v>-1.10974740943599</v>
      </c>
      <c r="AH1580">
        <v>16.528266432659802</v>
      </c>
      <c r="AI1580">
        <v>93.839139787067296</v>
      </c>
      <c r="AJ1580">
        <v>91.8842964726133</v>
      </c>
      <c r="AK1580">
        <v>16.574402250534</v>
      </c>
      <c r="AL1580">
        <v>89.970476269208802</v>
      </c>
      <c r="AM1580">
        <v>90.902640767296106</v>
      </c>
      <c r="AN1580">
        <v>1.0000000252785799</v>
      </c>
    </row>
    <row r="1581" spans="1:40" x14ac:dyDescent="0.3">
      <c r="A1581" t="str">
        <f>"20200111160436090"</f>
        <v>20200111160436090</v>
      </c>
      <c r="B1581" t="str">
        <f>"1578729876083158"</f>
        <v>1578729876083158</v>
      </c>
      <c r="C1581" t="s">
        <v>40</v>
      </c>
      <c r="D1581">
        <v>5.6569019999999997</v>
      </c>
      <c r="E1581">
        <v>0.44308359999999902</v>
      </c>
      <c r="F1581" t="s">
        <v>57</v>
      </c>
      <c r="G1581">
        <v>-267.33019999999999</v>
      </c>
      <c r="H1581" s="1">
        <v>2.3639969999999999E-6</v>
      </c>
      <c r="I1581">
        <v>282.24259999999998</v>
      </c>
      <c r="J1581">
        <v>-253.8922</v>
      </c>
      <c r="K1581">
        <v>1.1097520000000001</v>
      </c>
      <c r="L1581">
        <v>284.71519999999998</v>
      </c>
      <c r="M1581">
        <v>-0.99993739999999998</v>
      </c>
      <c r="N1581">
        <v>0</v>
      </c>
      <c r="O1581">
        <v>-9.8894450000000002E-3</v>
      </c>
      <c r="P1581">
        <v>-0.99964160000000002</v>
      </c>
      <c r="Q1581">
        <v>-5.4071809999999996E-3</v>
      </c>
      <c r="R1581">
        <v>-2.6232040000000002E-2</v>
      </c>
      <c r="S1581">
        <v>-2.9863590000000002</v>
      </c>
      <c r="T1581">
        <v>-0.2412647</v>
      </c>
      <c r="U1581">
        <v>-0.53829959999999999</v>
      </c>
      <c r="V1581">
        <v>-1.6344600000000001E-2</v>
      </c>
      <c r="W1581">
        <v>-1.434555E-4</v>
      </c>
      <c r="X1581">
        <v>0.99986640000000004</v>
      </c>
      <c r="Y1581">
        <v>-0.16715650000000001</v>
      </c>
      <c r="Z1581">
        <v>-5.8964469999999904E-3</v>
      </c>
      <c r="AA1581">
        <v>0.98591269999999998</v>
      </c>
      <c r="AB1581">
        <v>29</v>
      </c>
      <c r="AC1581">
        <v>-13.437999999999899</v>
      </c>
      <c r="AD1581">
        <v>-1.1097496360029999</v>
      </c>
      <c r="AE1581">
        <v>-2.4725999999999999</v>
      </c>
      <c r="AF1581">
        <v>-2.3242507315347098</v>
      </c>
      <c r="AG1581">
        <v>-1.1097496360029999</v>
      </c>
      <c r="AH1581">
        <v>13.373575595842899</v>
      </c>
      <c r="AI1581">
        <v>94.673837305226797</v>
      </c>
      <c r="AJ1581">
        <v>99.859201060032802</v>
      </c>
      <c r="AK1581">
        <v>13.6193322132685</v>
      </c>
      <c r="AL1581">
        <v>90.008219394790302</v>
      </c>
      <c r="AM1581">
        <v>90.936518315784397</v>
      </c>
      <c r="AN1581">
        <v>0.99999999218879998</v>
      </c>
    </row>
    <row r="1582" spans="1:40" x14ac:dyDescent="0.3">
      <c r="A1582" t="str">
        <f>"20200111160436112"</f>
        <v>20200111160436112</v>
      </c>
      <c r="B1582" t="str">
        <f>"1578729876102678"</f>
        <v>1578729876102678</v>
      </c>
      <c r="C1582" t="s">
        <v>40</v>
      </c>
      <c r="D1582">
        <v>5.598592</v>
      </c>
      <c r="E1582">
        <v>0.44337029999999999</v>
      </c>
      <c r="F1582" t="s">
        <v>57</v>
      </c>
      <c r="G1582">
        <v>-267.44619999999998</v>
      </c>
      <c r="H1582" s="1">
        <v>2.4257310000000001E-6</v>
      </c>
      <c r="I1582">
        <v>282.22829999999999</v>
      </c>
      <c r="J1582">
        <v>-254.18459999999999</v>
      </c>
      <c r="K1582">
        <v>1.109753</v>
      </c>
      <c r="L1582">
        <v>284.71179999999998</v>
      </c>
      <c r="M1582">
        <v>-0.99993100000000001</v>
      </c>
      <c r="N1582">
        <v>0</v>
      </c>
      <c r="O1582">
        <v>-1.040342E-2</v>
      </c>
      <c r="P1582">
        <v>-0.99963120000000005</v>
      </c>
      <c r="Q1582">
        <v>-4.8825609999999997E-3</v>
      </c>
      <c r="R1582">
        <v>-2.671782E-2</v>
      </c>
      <c r="S1582">
        <v>-2.9853969999999999</v>
      </c>
      <c r="T1582">
        <v>-0.2444326</v>
      </c>
      <c r="U1582">
        <v>-0.54776000000000002</v>
      </c>
      <c r="V1582">
        <v>-1.6317419999999999E-2</v>
      </c>
      <c r="W1582">
        <v>5.6630769999999997E-4</v>
      </c>
      <c r="X1582">
        <v>0.9998667</v>
      </c>
      <c r="Y1582">
        <v>-0.1697092</v>
      </c>
      <c r="Z1582">
        <v>-6.0356580000000002E-3</v>
      </c>
      <c r="AA1582">
        <v>0.98547569999999995</v>
      </c>
      <c r="AB1582">
        <v>30</v>
      </c>
      <c r="AC1582">
        <v>-13.2615999999999</v>
      </c>
      <c r="AD1582">
        <v>-1.1097505742689999</v>
      </c>
      <c r="AE1582">
        <v>-2.48349999999999</v>
      </c>
      <c r="AF1582">
        <v>-2.3296367803831401</v>
      </c>
      <c r="AG1582">
        <v>-1.1097505742689999</v>
      </c>
      <c r="AH1582">
        <v>13.1974345420173</v>
      </c>
      <c r="AI1582">
        <v>94.7337544317664</v>
      </c>
      <c r="AJ1582">
        <v>100.010833290913</v>
      </c>
      <c r="AK1582">
        <v>13.4473429478257</v>
      </c>
      <c r="AL1582">
        <v>89.967552957095805</v>
      </c>
      <c r="AM1582">
        <v>90.934960943328804</v>
      </c>
      <c r="AN1582">
        <v>0.99999999833437803</v>
      </c>
    </row>
    <row r="1583" spans="1:40" x14ac:dyDescent="0.3">
      <c r="A1583" t="str">
        <f>"20200111160436135"</f>
        <v>20200111160436135</v>
      </c>
      <c r="B1583" t="str">
        <f>"1578729876131958"</f>
        <v>1578729876131958</v>
      </c>
      <c r="C1583" t="s">
        <v>40</v>
      </c>
      <c r="D1583">
        <v>5.6058139999999996</v>
      </c>
      <c r="E1583">
        <v>0.44290350000000001</v>
      </c>
      <c r="F1583" t="s">
        <v>57</v>
      </c>
      <c r="G1583">
        <v>-268.16950000000003</v>
      </c>
      <c r="H1583" s="1">
        <v>2.8106229999999998E-6</v>
      </c>
      <c r="I1583">
        <v>282.15039999999999</v>
      </c>
      <c r="J1583">
        <v>-254.48179999999999</v>
      </c>
      <c r="K1583">
        <v>1.1097589999999999</v>
      </c>
      <c r="L1583">
        <v>284.70819999999998</v>
      </c>
      <c r="M1583">
        <v>-0.99992449999999999</v>
      </c>
      <c r="N1583">
        <v>0</v>
      </c>
      <c r="O1583">
        <v>-1.0918580000000001E-2</v>
      </c>
      <c r="P1583">
        <v>-0.99962790000000001</v>
      </c>
      <c r="Q1583">
        <v>-3.1859739999999998E-3</v>
      </c>
      <c r="R1583">
        <v>-2.7093840000000001E-2</v>
      </c>
      <c r="S1583">
        <v>-2.9853360000000002</v>
      </c>
      <c r="T1583">
        <v>-0.23689560000000001</v>
      </c>
      <c r="U1583">
        <v>-0.54678340000000003</v>
      </c>
      <c r="V1583">
        <v>-1.6179590000000001E-2</v>
      </c>
      <c r="W1583">
        <v>2.4388449999999998E-3</v>
      </c>
      <c r="X1583">
        <v>0.99986609999999998</v>
      </c>
      <c r="Y1583">
        <v>-0.1689283</v>
      </c>
      <c r="Z1583">
        <v>-5.7792769999999898E-3</v>
      </c>
      <c r="AA1583">
        <v>0.98561140000000003</v>
      </c>
      <c r="AB1583">
        <v>30</v>
      </c>
      <c r="AC1583">
        <v>-13.6877</v>
      </c>
      <c r="AD1583">
        <v>-1.109756189377</v>
      </c>
      <c r="AE1583">
        <v>-2.5577999999999799</v>
      </c>
      <c r="AF1583">
        <v>-2.3929954022084101</v>
      </c>
      <c r="AG1583">
        <v>-1.109756189377</v>
      </c>
      <c r="AH1583">
        <v>13.628249986716201</v>
      </c>
      <c r="AI1583">
        <v>94.585508614418998</v>
      </c>
      <c r="AJ1583">
        <v>99.959087037095401</v>
      </c>
      <c r="AK1583">
        <v>13.881180911409601</v>
      </c>
      <c r="AL1583">
        <v>89.860264332248505</v>
      </c>
      <c r="AM1583">
        <v>90.927065454668195</v>
      </c>
      <c r="AN1583">
        <v>0.99999997251335504</v>
      </c>
    </row>
    <row r="1584" spans="1:40" x14ac:dyDescent="0.3">
      <c r="A1584" t="str">
        <f>"20200111160436159"</f>
        <v>20200111160436159</v>
      </c>
      <c r="B1584" t="str">
        <f>"1578729876152455"</f>
        <v>1578729876152455</v>
      </c>
      <c r="C1584" t="s">
        <v>40</v>
      </c>
      <c r="D1584">
        <v>5.5888609999999996</v>
      </c>
      <c r="E1584">
        <v>0.44281910000000002</v>
      </c>
      <c r="F1584" t="s">
        <v>57</v>
      </c>
      <c r="G1584">
        <v>-268.9701</v>
      </c>
      <c r="H1584" s="1">
        <v>3.2366559999999999E-6</v>
      </c>
      <c r="I1584">
        <v>282.0326</v>
      </c>
      <c r="J1584">
        <v>-254.7954</v>
      </c>
      <c r="K1584">
        <v>1.109769</v>
      </c>
      <c r="L1584">
        <v>284.70420000000001</v>
      </c>
      <c r="M1584">
        <v>-0.99991759999999996</v>
      </c>
      <c r="N1584">
        <v>0</v>
      </c>
      <c r="O1584">
        <v>-1.1456060000000001E-2</v>
      </c>
      <c r="P1584">
        <v>-0.99964030000000004</v>
      </c>
      <c r="Q1584">
        <v>-2.1670309999999998E-3</v>
      </c>
      <c r="R1584">
        <v>-2.6732539999999999E-2</v>
      </c>
      <c r="S1584">
        <v>-2.985474</v>
      </c>
      <c r="T1584">
        <v>-0.2286764</v>
      </c>
      <c r="U1584">
        <v>-0.5513306</v>
      </c>
      <c r="V1584">
        <v>-1.5282240000000001E-2</v>
      </c>
      <c r="W1584">
        <v>3.6323620000000001E-3</v>
      </c>
      <c r="X1584">
        <v>0.9998766</v>
      </c>
      <c r="Y1584">
        <v>-0.1698742</v>
      </c>
      <c r="Z1584">
        <v>-5.5734640000000002E-3</v>
      </c>
      <c r="AA1584">
        <v>0.98545000000000005</v>
      </c>
      <c r="AB1584">
        <v>30</v>
      </c>
      <c r="AC1584">
        <v>-14.1747</v>
      </c>
      <c r="AD1584">
        <v>-1.1097657633439999</v>
      </c>
      <c r="AE1584">
        <v>-2.67160000000001</v>
      </c>
      <c r="AF1584">
        <v>-2.49427124199971</v>
      </c>
      <c r="AG1584">
        <v>-1.1097657633439999</v>
      </c>
      <c r="AH1584">
        <v>14.1207902287775</v>
      </c>
      <c r="AI1584">
        <v>94.425460105333897</v>
      </c>
      <c r="AJ1584">
        <v>100.017294019753</v>
      </c>
      <c r="AK1584">
        <v>14.3822698404422</v>
      </c>
      <c r="AL1584">
        <v>89.791880525514003</v>
      </c>
      <c r="AM1584">
        <v>90.875647736010507</v>
      </c>
      <c r="AN1584">
        <v>0.99999997807033802</v>
      </c>
    </row>
    <row r="1585" spans="1:40" x14ac:dyDescent="0.3">
      <c r="A1585" t="str">
        <f>"20200111160436180"</f>
        <v>20200111160436180</v>
      </c>
      <c r="B1585" t="str">
        <f>"1578729876171975"</f>
        <v>1578729876171975</v>
      </c>
      <c r="C1585" t="s">
        <v>40</v>
      </c>
      <c r="D1585">
        <v>5.6778430000000002</v>
      </c>
      <c r="E1585">
        <v>0.44258690000000001</v>
      </c>
      <c r="F1585" t="s">
        <v>57</v>
      </c>
      <c r="G1585">
        <v>-269.62419999999997</v>
      </c>
      <c r="H1585" s="1">
        <v>3.584749E-6</v>
      </c>
      <c r="I1585">
        <v>281.96769999999998</v>
      </c>
      <c r="J1585">
        <v>-255.0864</v>
      </c>
      <c r="K1585">
        <v>1.10978</v>
      </c>
      <c r="L1585">
        <v>284.7004</v>
      </c>
      <c r="M1585">
        <v>-0.99991090000000005</v>
      </c>
      <c r="N1585">
        <v>0</v>
      </c>
      <c r="O1585">
        <v>-1.195008E-2</v>
      </c>
      <c r="P1585">
        <v>-0.9996583</v>
      </c>
      <c r="Q1585">
        <v>-1.590855E-3</v>
      </c>
      <c r="R1585">
        <v>-2.609444E-2</v>
      </c>
      <c r="S1585">
        <v>-2.9858699999999998</v>
      </c>
      <c r="T1585">
        <v>-0.22345770000000001</v>
      </c>
      <c r="U1585">
        <v>-0.5510254</v>
      </c>
      <c r="V1585">
        <v>-1.4150309999999999E-2</v>
      </c>
      <c r="W1585">
        <v>4.3600100000000001E-3</v>
      </c>
      <c r="X1585">
        <v>0.99989039999999996</v>
      </c>
      <c r="Y1585">
        <v>-0.16928979999999999</v>
      </c>
      <c r="Z1585">
        <v>-5.3877100000000004E-3</v>
      </c>
      <c r="AA1585">
        <v>0.98555159999999997</v>
      </c>
      <c r="AB1585">
        <v>30</v>
      </c>
      <c r="AC1585">
        <v>-14.537799999999899</v>
      </c>
      <c r="AD1585">
        <v>-1.1097764152509999</v>
      </c>
      <c r="AE1585">
        <v>-2.7327000000000199</v>
      </c>
      <c r="AF1585">
        <v>-2.5444524456322899</v>
      </c>
      <c r="AG1585">
        <v>-1.1097764152509999</v>
      </c>
      <c r="AH1585">
        <v>14.487873335853701</v>
      </c>
      <c r="AI1585">
        <v>94.314543940320803</v>
      </c>
      <c r="AJ1585">
        <v>99.961063131108006</v>
      </c>
      <c r="AK1585">
        <v>14.751417414461301</v>
      </c>
      <c r="AL1585">
        <v>89.750189043506097</v>
      </c>
      <c r="AM1585">
        <v>90.810787786077995</v>
      </c>
      <c r="AN1585">
        <v>1.0000000264862201</v>
      </c>
    </row>
    <row r="1586" spans="1:40" x14ac:dyDescent="0.3">
      <c r="A1586" t="str">
        <f>"20200111160436202"</f>
        <v>20200111160436202</v>
      </c>
      <c r="B1586" t="str">
        <f>"1578729876192470"</f>
        <v>1578729876192470</v>
      </c>
      <c r="C1586" t="s">
        <v>40</v>
      </c>
      <c r="D1586">
        <v>5.5995010000000001</v>
      </c>
      <c r="E1586">
        <v>0.44249660000000002</v>
      </c>
      <c r="F1586" t="s">
        <v>57</v>
      </c>
      <c r="G1586">
        <v>-270.0052</v>
      </c>
      <c r="H1586" s="1">
        <v>-1.4173110000000001E-6</v>
      </c>
      <c r="I1586">
        <v>281.94670000000002</v>
      </c>
      <c r="J1586">
        <v>-255.376</v>
      </c>
      <c r="K1586">
        <v>1.1097900000000001</v>
      </c>
      <c r="L1586">
        <v>284.69639999999998</v>
      </c>
      <c r="M1586">
        <v>-0.99990400000000002</v>
      </c>
      <c r="N1586">
        <v>0</v>
      </c>
      <c r="O1586">
        <v>-1.2438970000000001E-2</v>
      </c>
      <c r="P1586">
        <v>-0.99966690000000002</v>
      </c>
      <c r="Q1586">
        <v>-1.3788079999999901E-3</v>
      </c>
      <c r="R1586">
        <v>-2.5772059999999999E-2</v>
      </c>
      <c r="S1586">
        <v>-2.9862669999999998</v>
      </c>
      <c r="T1586">
        <v>-0.2221417</v>
      </c>
      <c r="U1586">
        <v>-0.55120849999999999</v>
      </c>
      <c r="V1586">
        <v>-1.3339760000000001E-2</v>
      </c>
      <c r="W1586">
        <v>4.7166810000000003E-3</v>
      </c>
      <c r="X1586">
        <v>0.99989989999999995</v>
      </c>
      <c r="Y1586">
        <v>-0.16885059999999999</v>
      </c>
      <c r="Z1586">
        <v>-5.3031669999999897E-3</v>
      </c>
      <c r="AA1586">
        <v>0.98562740000000004</v>
      </c>
      <c r="AB1586">
        <v>30</v>
      </c>
      <c r="AC1586">
        <v>-14.629200000000001</v>
      </c>
      <c r="AD1586">
        <v>-1.109791417311</v>
      </c>
      <c r="AE1586">
        <v>-2.7496999999999598</v>
      </c>
      <c r="AF1586">
        <v>-2.5533188782419201</v>
      </c>
      <c r="AG1586">
        <v>-1.109791417311</v>
      </c>
      <c r="AH1586">
        <v>14.5812214411959</v>
      </c>
      <c r="AI1586">
        <v>94.287458709001498</v>
      </c>
      <c r="AJ1586">
        <v>99.932365191718603</v>
      </c>
      <c r="AK1586">
        <v>14.8446317906883</v>
      </c>
      <c r="AL1586">
        <v>89.729753084200794</v>
      </c>
      <c r="AM1586">
        <v>90.764343117995296</v>
      </c>
      <c r="AN1586">
        <v>1.0000000031482601</v>
      </c>
    </row>
    <row r="1587" spans="1:40" x14ac:dyDescent="0.3">
      <c r="A1587" t="str">
        <f>"20200111160436223"</f>
        <v>20200111160436223</v>
      </c>
      <c r="B1587" t="str">
        <f>"1578729876211990"</f>
        <v>1578729876211990</v>
      </c>
      <c r="C1587" t="s">
        <v>40</v>
      </c>
      <c r="D1587">
        <v>5.618379</v>
      </c>
      <c r="E1587">
        <v>0.4421042</v>
      </c>
      <c r="F1587" t="s">
        <v>57</v>
      </c>
      <c r="G1587">
        <v>-270.27190000000002</v>
      </c>
      <c r="H1587" s="1">
        <v>-1.275481E-6</v>
      </c>
      <c r="I1587">
        <v>281.94819999999999</v>
      </c>
      <c r="J1587">
        <v>-255.66589999999999</v>
      </c>
      <c r="K1587">
        <v>1.1097939999999999</v>
      </c>
      <c r="L1587">
        <v>284.69229999999999</v>
      </c>
      <c r="M1587">
        <v>-0.99989709999999998</v>
      </c>
      <c r="N1587">
        <v>0</v>
      </c>
      <c r="O1587">
        <v>-1.2927259999999999E-2</v>
      </c>
      <c r="P1587">
        <v>-0.99966929999999998</v>
      </c>
      <c r="Q1587">
        <v>-9.204708E-4</v>
      </c>
      <c r="R1587">
        <v>-2.5703739999999999E-2</v>
      </c>
      <c r="S1587">
        <v>-2.9864809999999999</v>
      </c>
      <c r="T1587">
        <v>-0.22250259999999999</v>
      </c>
      <c r="U1587">
        <v>-0.55099489999999995</v>
      </c>
      <c r="V1587">
        <v>-1.278378E-2</v>
      </c>
      <c r="W1587">
        <v>5.3108119999999998E-3</v>
      </c>
      <c r="X1587">
        <v>0.99990420000000002</v>
      </c>
      <c r="Y1587">
        <v>-0.16829</v>
      </c>
      <c r="Z1587">
        <v>-5.2547380000000001E-3</v>
      </c>
      <c r="AA1587">
        <v>0.98572349999999997</v>
      </c>
      <c r="AB1587">
        <v>30</v>
      </c>
      <c r="AC1587">
        <v>-14.606</v>
      </c>
      <c r="AD1587">
        <v>-1.1097952754810001</v>
      </c>
      <c r="AE1587">
        <v>-2.7441</v>
      </c>
      <c r="AF1587">
        <v>-2.5408823652703298</v>
      </c>
      <c r="AG1587">
        <v>-1.1097952754810001</v>
      </c>
      <c r="AH1587">
        <v>14.5590658703446</v>
      </c>
      <c r="AI1587">
        <v>94.294400251299805</v>
      </c>
      <c r="AJ1587">
        <v>99.899689152703502</v>
      </c>
      <c r="AK1587">
        <v>14.8207330373586</v>
      </c>
      <c r="AL1587">
        <v>89.695711462128799</v>
      </c>
      <c r="AM1587">
        <v>90.732486908153902</v>
      </c>
      <c r="AN1587">
        <v>1.00000001946641</v>
      </c>
    </row>
    <row r="1588" spans="1:40" x14ac:dyDescent="0.3">
      <c r="A1588" t="str">
        <f>"20200111160436246"</f>
        <v>20200111160436246</v>
      </c>
      <c r="B1588" t="str">
        <f>"1578729876242246"</f>
        <v>1578729876242246</v>
      </c>
      <c r="C1588" t="s">
        <v>40</v>
      </c>
      <c r="D1588">
        <v>5.7070889999999999</v>
      </c>
      <c r="E1588">
        <v>0.4414361</v>
      </c>
      <c r="F1588" t="s">
        <v>57</v>
      </c>
      <c r="G1588">
        <v>-270.60469999999998</v>
      </c>
      <c r="H1588" s="1">
        <v>-1.097237E-6</v>
      </c>
      <c r="I1588">
        <v>281.92259999999999</v>
      </c>
      <c r="J1588">
        <v>-255.96350000000001</v>
      </c>
      <c r="K1588">
        <v>1.1097980000000001</v>
      </c>
      <c r="L1588">
        <v>284.68799999999999</v>
      </c>
      <c r="M1588">
        <v>-0.99988969999999999</v>
      </c>
      <c r="N1588">
        <v>0</v>
      </c>
      <c r="O1588">
        <v>-1.34277999999999E-2</v>
      </c>
      <c r="P1588">
        <v>-0.99968959999999996</v>
      </c>
      <c r="Q1588">
        <v>-1.2032799999999999E-3</v>
      </c>
      <c r="R1588">
        <v>-2.489369E-2</v>
      </c>
      <c r="S1588">
        <v>-2.986542</v>
      </c>
      <c r="T1588">
        <v>-0.22186739999999999</v>
      </c>
      <c r="U1588">
        <v>-0.55371090000000001</v>
      </c>
      <c r="V1588">
        <v>-1.1472599999999999E-2</v>
      </c>
      <c r="W1588">
        <v>5.1558430000000002E-3</v>
      </c>
      <c r="X1588">
        <v>0.9999209</v>
      </c>
      <c r="Y1588">
        <v>-0.1686626</v>
      </c>
      <c r="Z1588">
        <v>-5.2161519999999999E-3</v>
      </c>
      <c r="AA1588">
        <v>0.98565999999999998</v>
      </c>
      <c r="AB1588">
        <v>30</v>
      </c>
      <c r="AC1588">
        <v>-14.6411999999999</v>
      </c>
      <c r="AD1588">
        <v>-1.109799097237</v>
      </c>
      <c r="AE1588">
        <v>-2.7654000000000001</v>
      </c>
      <c r="AF1588">
        <v>-2.5543767223640801</v>
      </c>
      <c r="AG1588">
        <v>-1.109799097237</v>
      </c>
      <c r="AH1588">
        <v>14.5960396683351</v>
      </c>
      <c r="AI1588">
        <v>94.283228042726293</v>
      </c>
      <c r="AJ1588">
        <v>99.9265112852828</v>
      </c>
      <c r="AK1588">
        <v>14.859369719998099</v>
      </c>
      <c r="AL1588">
        <v>89.704590648867693</v>
      </c>
      <c r="AM1588">
        <v>90.657354715067498</v>
      </c>
      <c r="AN1588">
        <v>1.0000000047623001</v>
      </c>
    </row>
    <row r="1589" spans="1:40" x14ac:dyDescent="0.3">
      <c r="A1589" t="str">
        <f>"20200111160436269"</f>
        <v>20200111160436269</v>
      </c>
      <c r="B1589" t="str">
        <f>"1578729876262464"</f>
        <v>1578729876262464</v>
      </c>
      <c r="C1589" t="s">
        <v>40</v>
      </c>
      <c r="D1589">
        <v>5.6215760000000001</v>
      </c>
      <c r="E1589">
        <v>0.44124829999999998</v>
      </c>
      <c r="F1589" t="s">
        <v>57</v>
      </c>
      <c r="G1589">
        <v>-270.98950000000002</v>
      </c>
      <c r="H1589" s="1">
        <v>-8.9096139999999998E-7</v>
      </c>
      <c r="I1589">
        <v>281.88749999999999</v>
      </c>
      <c r="J1589">
        <v>-256.2826</v>
      </c>
      <c r="K1589">
        <v>1.109801</v>
      </c>
      <c r="L1589">
        <v>284.6832</v>
      </c>
      <c r="M1589">
        <v>-0.99988140000000003</v>
      </c>
      <c r="N1589">
        <v>0</v>
      </c>
      <c r="O1589">
        <v>-1.3964809999999999E-2</v>
      </c>
      <c r="P1589">
        <v>-0.99968729999999995</v>
      </c>
      <c r="Q1589">
        <v>-7.9473849999999997E-4</v>
      </c>
      <c r="R1589">
        <v>-2.500105E-2</v>
      </c>
      <c r="S1589">
        <v>-2.9868009999999998</v>
      </c>
      <c r="T1589">
        <v>-0.2206012</v>
      </c>
      <c r="U1589">
        <v>-0.55667109999999997</v>
      </c>
      <c r="V1589">
        <v>-1.104345E-2</v>
      </c>
      <c r="W1589">
        <v>5.6860779999999998E-3</v>
      </c>
      <c r="X1589">
        <v>0.99992289999999995</v>
      </c>
      <c r="Y1589">
        <v>-0.16906740000000001</v>
      </c>
      <c r="Z1589">
        <v>-5.1611139999999996E-3</v>
      </c>
      <c r="AA1589">
        <v>0.98559099999999999</v>
      </c>
      <c r="AB1589">
        <v>30</v>
      </c>
      <c r="AC1589">
        <v>-14.706899999999999</v>
      </c>
      <c r="AD1589">
        <v>-1.1098018909614</v>
      </c>
      <c r="AE1589">
        <v>-2.7957000000000098</v>
      </c>
      <c r="AF1589">
        <v>-2.5758873829334998</v>
      </c>
      <c r="AG1589">
        <v>-1.1098018909614</v>
      </c>
      <c r="AH1589">
        <v>14.6639179263051</v>
      </c>
      <c r="AI1589">
        <v>94.2630106762183</v>
      </c>
      <c r="AJ1589">
        <v>99.963022225948606</v>
      </c>
      <c r="AK1589">
        <v>14.9297469836615</v>
      </c>
      <c r="AL1589">
        <v>89.674209988566204</v>
      </c>
      <c r="AM1589">
        <v>90.632766137800104</v>
      </c>
      <c r="AN1589">
        <v>1.00000004760766</v>
      </c>
    </row>
    <row r="1590" spans="1:40" x14ac:dyDescent="0.3">
      <c r="A1590" t="str">
        <f>"20200111160436470"</f>
        <v>20200111160436470</v>
      </c>
      <c r="B1590" t="str">
        <f>"1578729876462649"</f>
        <v>1578729876462649</v>
      </c>
      <c r="C1590" t="s">
        <v>40</v>
      </c>
      <c r="D1590">
        <v>5.7539439999999997</v>
      </c>
      <c r="E1590">
        <v>0.44321860000000002</v>
      </c>
      <c r="F1590" t="s">
        <v>57</v>
      </c>
      <c r="G1590">
        <v>-271.43169999999998</v>
      </c>
      <c r="H1590" s="1">
        <v>-6.5398629999999997E-7</v>
      </c>
      <c r="I1590">
        <v>281.84989999999999</v>
      </c>
      <c r="J1590">
        <v>-259.0421</v>
      </c>
      <c r="K1590">
        <v>1.1098319999999999</v>
      </c>
      <c r="L1590">
        <v>284.63420000000002</v>
      </c>
      <c r="M1590">
        <v>-0.99980190000000002</v>
      </c>
      <c r="N1590">
        <v>0</v>
      </c>
      <c r="O1590">
        <v>-1.8596769999999999E-2</v>
      </c>
      <c r="P1590">
        <v>-0.99955669999999996</v>
      </c>
      <c r="Q1590">
        <v>-2.4825710000000003E-4</v>
      </c>
      <c r="R1590">
        <v>-2.977577E-2</v>
      </c>
      <c r="S1590">
        <v>-2.9867859999999999</v>
      </c>
      <c r="T1590">
        <v>-0.21880720000000001</v>
      </c>
      <c r="U1590">
        <v>-0.55859380000000003</v>
      </c>
      <c r="V1590">
        <v>-1.1188790000000001E-2</v>
      </c>
      <c r="W1590">
        <v>6.8495379999999996E-3</v>
      </c>
      <c r="X1590">
        <v>0.99991390000000002</v>
      </c>
      <c r="Y1590">
        <v>-0.16514309999999999</v>
      </c>
      <c r="Z1590">
        <v>-4.6409570000000002E-3</v>
      </c>
      <c r="AA1590">
        <v>0.98625870000000004</v>
      </c>
      <c r="AB1590">
        <v>31</v>
      </c>
      <c r="AC1590">
        <v>-12.3895999999999</v>
      </c>
      <c r="AD1590">
        <v>-1.1098326539862999</v>
      </c>
      <c r="AE1590">
        <v>-2.78430000000002</v>
      </c>
      <c r="AF1590">
        <v>-2.53405001462284</v>
      </c>
      <c r="AG1590">
        <v>-1.1098326539862999</v>
      </c>
      <c r="AH1590">
        <v>12.344941828252599</v>
      </c>
      <c r="AI1590">
        <v>95.032802982961499</v>
      </c>
      <c r="AJ1590">
        <v>101.599988343286</v>
      </c>
      <c r="AK1590">
        <v>12.6511156322044</v>
      </c>
      <c r="AL1590">
        <v>89.6075472950658</v>
      </c>
      <c r="AM1590">
        <v>90.641098889214604</v>
      </c>
      <c r="AN1590">
        <v>0.999999956302842</v>
      </c>
    </row>
    <row r="1591" spans="1:40" x14ac:dyDescent="0.3">
      <c r="A1591" t="str">
        <f>"20200111160436492"</f>
        <v>20200111160436492</v>
      </c>
      <c r="B1591" t="str">
        <f>"1578729876482168"</f>
        <v>1578729876482168</v>
      </c>
      <c r="C1591" t="s">
        <v>40</v>
      </c>
      <c r="D1591">
        <v>5.8250460000000004</v>
      </c>
      <c r="E1591">
        <v>0.44450640000000002</v>
      </c>
      <c r="F1591" t="s">
        <v>57</v>
      </c>
      <c r="G1591">
        <v>-274.7217</v>
      </c>
      <c r="H1591" s="1">
        <v>1.1028630000000001E-6</v>
      </c>
      <c r="I1591">
        <v>281.7115</v>
      </c>
      <c r="J1591">
        <v>-259.34949999999998</v>
      </c>
      <c r="K1591">
        <v>1.109829</v>
      </c>
      <c r="L1591">
        <v>284.62810000000002</v>
      </c>
      <c r="M1591">
        <v>-0.99979189999999996</v>
      </c>
      <c r="N1591">
        <v>0</v>
      </c>
      <c r="O1591">
        <v>-1.9110849999999999E-2</v>
      </c>
      <c r="P1591">
        <v>-0.99954160000000003</v>
      </c>
      <c r="Q1591">
        <v>-7.2436029999999995E-4</v>
      </c>
      <c r="R1591">
        <v>-3.0266319999999999E-2</v>
      </c>
      <c r="S1591">
        <v>-2.9847410000000001</v>
      </c>
      <c r="T1591">
        <v>-0.2112646</v>
      </c>
      <c r="U1591">
        <v>-0.55636600000000003</v>
      </c>
      <c r="V1591">
        <v>-1.1164510000000001E-2</v>
      </c>
      <c r="W1591">
        <v>6.4108580000000002E-3</v>
      </c>
      <c r="X1591">
        <v>0.9999171</v>
      </c>
      <c r="Y1591">
        <v>-0.16407569999999999</v>
      </c>
      <c r="Z1591">
        <v>-4.4112769999999999E-3</v>
      </c>
      <c r="AA1591">
        <v>0.98643789999999998</v>
      </c>
      <c r="AB1591">
        <v>31</v>
      </c>
      <c r="AC1591">
        <v>-15.372199999999999</v>
      </c>
      <c r="AD1591">
        <v>-1.1098278971369999</v>
      </c>
      <c r="AE1591">
        <v>-2.9166000000000101</v>
      </c>
      <c r="AF1591">
        <v>-2.60915657847459</v>
      </c>
      <c r="AG1591">
        <v>-1.1098278971369999</v>
      </c>
      <c r="AH1591">
        <v>15.3479126240063</v>
      </c>
      <c r="AI1591">
        <v>94.077633859328103</v>
      </c>
      <c r="AJ1591">
        <v>99.648086795955905</v>
      </c>
      <c r="AK1591">
        <v>15.6076211488616</v>
      </c>
      <c r="AL1591">
        <v>89.632682368673699</v>
      </c>
      <c r="AM1591">
        <v>90.639705754637006</v>
      </c>
      <c r="AN1591">
        <v>0.99999997612812197</v>
      </c>
    </row>
    <row r="1592" spans="1:40" x14ac:dyDescent="0.3">
      <c r="A1592" t="str">
        <f>"20200111160436514"</f>
        <v>20200111160436514</v>
      </c>
      <c r="B1592" t="str">
        <f>"1578729876502665"</f>
        <v>1578729876502665</v>
      </c>
      <c r="C1592" t="s">
        <v>40</v>
      </c>
      <c r="D1592">
        <v>5.6373319999999998</v>
      </c>
      <c r="E1592">
        <v>0.44762180000000001</v>
      </c>
      <c r="F1592" t="s">
        <v>57</v>
      </c>
      <c r="G1592">
        <v>-275.23880000000003</v>
      </c>
      <c r="H1592" s="1">
        <v>1.3779329999999901E-6</v>
      </c>
      <c r="I1592">
        <v>281.71350000000001</v>
      </c>
      <c r="J1592">
        <v>-259.64479999999998</v>
      </c>
      <c r="K1592">
        <v>1.1098399999999999</v>
      </c>
      <c r="L1592">
        <v>284.62189999999998</v>
      </c>
      <c r="M1592">
        <v>-0.99978210000000001</v>
      </c>
      <c r="N1592">
        <v>0</v>
      </c>
      <c r="O1592">
        <v>-1.960404E-2</v>
      </c>
      <c r="P1592">
        <v>-0.99957569999999996</v>
      </c>
      <c r="Q1592" s="1">
        <v>-1.084432E-5</v>
      </c>
      <c r="R1592">
        <v>-2.9131089999999998E-2</v>
      </c>
      <c r="S1592">
        <v>-2.98468</v>
      </c>
      <c r="T1592">
        <v>-0.20847299999999999</v>
      </c>
      <c r="U1592">
        <v>-0.54748540000000001</v>
      </c>
      <c r="V1592">
        <v>-9.5366559999999993E-3</v>
      </c>
      <c r="W1592">
        <v>7.1585210000000002E-3</v>
      </c>
      <c r="X1592">
        <v>0.99992890000000001</v>
      </c>
      <c r="Y1592">
        <v>-0.16077169999999999</v>
      </c>
      <c r="Z1592">
        <v>-4.2059799999999998E-3</v>
      </c>
      <c r="AA1592">
        <v>0.98698260000000004</v>
      </c>
      <c r="AB1592">
        <v>31</v>
      </c>
      <c r="AC1592">
        <v>-15.593999999999999</v>
      </c>
      <c r="AD1592">
        <v>-1.109838622067</v>
      </c>
      <c r="AE1592">
        <v>-2.9083999999999701</v>
      </c>
      <c r="AF1592">
        <v>-2.5894523595462302</v>
      </c>
      <c r="AG1592">
        <v>-1.109838622067</v>
      </c>
      <c r="AH1592">
        <v>15.5717966325726</v>
      </c>
      <c r="AI1592">
        <v>94.021670586843399</v>
      </c>
      <c r="AJ1592">
        <v>99.441388310713194</v>
      </c>
      <c r="AK1592">
        <v>15.8245965400572</v>
      </c>
      <c r="AL1592">
        <v>89.589843455497501</v>
      </c>
      <c r="AM1592">
        <v>90.546432424426996</v>
      </c>
      <c r="AN1592">
        <v>0.99999999864289002</v>
      </c>
    </row>
    <row r="1593" spans="1:40" x14ac:dyDescent="0.3">
      <c r="A1593" t="str">
        <f>"20200111160436537"</f>
        <v>20200111160436537</v>
      </c>
      <c r="B1593" t="str">
        <f>"1578729876531945"</f>
        <v>1578729876531945</v>
      </c>
      <c r="C1593" t="s">
        <v>40</v>
      </c>
      <c r="D1593">
        <v>5.5632580000000003</v>
      </c>
      <c r="E1593">
        <v>0.45205770000000001</v>
      </c>
      <c r="F1593" t="s">
        <v>57</v>
      </c>
      <c r="G1593">
        <v>-275.63499999999999</v>
      </c>
      <c r="H1593" s="1">
        <v>1.58321E-6</v>
      </c>
      <c r="I1593">
        <v>281.84039999999999</v>
      </c>
      <c r="J1593">
        <v>-259.96870000000001</v>
      </c>
      <c r="K1593">
        <v>1.1098399999999999</v>
      </c>
      <c r="L1593">
        <v>284.61500000000001</v>
      </c>
      <c r="M1593">
        <v>-0.99977119999999997</v>
      </c>
      <c r="N1593">
        <v>0</v>
      </c>
      <c r="O1593">
        <v>-2.014444E-2</v>
      </c>
      <c r="P1593">
        <v>-0.99959219999999904</v>
      </c>
      <c r="Q1593">
        <v>-1.269549E-3</v>
      </c>
      <c r="R1593">
        <v>-2.8533619999999999E-2</v>
      </c>
      <c r="S1593">
        <v>-2.986145</v>
      </c>
      <c r="T1593">
        <v>-0.20726040000000001</v>
      </c>
      <c r="U1593">
        <v>-0.51943969999999995</v>
      </c>
      <c r="V1593">
        <v>-8.3971589999999995E-3</v>
      </c>
      <c r="W1593">
        <v>5.9335530000000003E-3</v>
      </c>
      <c r="X1593">
        <v>0.99994709999999998</v>
      </c>
      <c r="Y1593">
        <v>-0.15118899999999999</v>
      </c>
      <c r="Z1593">
        <v>-3.8161079999999999E-3</v>
      </c>
      <c r="AA1593">
        <v>0.98849750000000003</v>
      </c>
      <c r="AB1593">
        <v>31</v>
      </c>
      <c r="AC1593">
        <v>-15.6662999999999</v>
      </c>
      <c r="AD1593">
        <v>-1.1098384167899999</v>
      </c>
      <c r="AE1593">
        <v>-2.7746000000000199</v>
      </c>
      <c r="AF1593">
        <v>-2.4465350637671501</v>
      </c>
      <c r="AG1593">
        <v>-1.1098384167899999</v>
      </c>
      <c r="AH1593">
        <v>15.642896454073799</v>
      </c>
      <c r="AI1593">
        <v>94.009662121839696</v>
      </c>
      <c r="AJ1593">
        <v>98.888998657286507</v>
      </c>
      <c r="AK1593">
        <v>15.8719086628703</v>
      </c>
      <c r="AL1593">
        <v>89.660030447438302</v>
      </c>
      <c r="AM1593">
        <v>90.481135913641197</v>
      </c>
      <c r="AN1593">
        <v>0.999999961064441</v>
      </c>
    </row>
    <row r="1594" spans="1:40" x14ac:dyDescent="0.3">
      <c r="A1594" t="str">
        <f>"20200111160436560"</f>
        <v>20200111160436560</v>
      </c>
      <c r="B1594" t="str">
        <f>"1578729876551970"</f>
        <v>1578729876551970</v>
      </c>
      <c r="C1594" t="s">
        <v>40</v>
      </c>
      <c r="D1594">
        <v>5.5445330000000004</v>
      </c>
      <c r="E1594">
        <v>0.4543682</v>
      </c>
      <c r="F1594" t="s">
        <v>57</v>
      </c>
      <c r="G1594">
        <v>-275.4015</v>
      </c>
      <c r="H1594" s="1">
        <v>1.4466860000000001E-6</v>
      </c>
      <c r="I1594">
        <v>282.12150000000003</v>
      </c>
      <c r="J1594">
        <v>-260.29770000000002</v>
      </c>
      <c r="K1594">
        <v>1.109839</v>
      </c>
      <c r="L1594">
        <v>284.6078</v>
      </c>
      <c r="M1594">
        <v>-0.99975979999999998</v>
      </c>
      <c r="N1594">
        <v>0</v>
      </c>
      <c r="O1594">
        <v>-2.0693420000000001E-2</v>
      </c>
      <c r="P1594">
        <v>-0.99959050000000005</v>
      </c>
      <c r="Q1594">
        <v>-2.2933820000000001E-3</v>
      </c>
      <c r="R1594">
        <v>-2.8529639999999998E-2</v>
      </c>
      <c r="S1594">
        <v>-2.9871829999999999</v>
      </c>
      <c r="T1594">
        <v>-0.21482000000000001</v>
      </c>
      <c r="U1594">
        <v>-0.4826355</v>
      </c>
      <c r="V1594">
        <v>-7.8426659999999999E-3</v>
      </c>
      <c r="W1594">
        <v>4.9403149999999998E-3</v>
      </c>
      <c r="X1594">
        <v>0.99995699999999998</v>
      </c>
      <c r="Y1594">
        <v>-0.13874029999999901</v>
      </c>
      <c r="Z1594">
        <v>-3.4742369999999998E-3</v>
      </c>
      <c r="AA1594">
        <v>0.9903227</v>
      </c>
      <c r="AB1594">
        <v>31</v>
      </c>
      <c r="AC1594">
        <v>-15.1037999999999</v>
      </c>
      <c r="AD1594">
        <v>-1.1098375533139999</v>
      </c>
      <c r="AE1594">
        <v>-2.4862999999999702</v>
      </c>
      <c r="AF1594">
        <v>-2.1618454213186298</v>
      </c>
      <c r="AG1594">
        <v>-1.1098375533139999</v>
      </c>
      <c r="AH1594">
        <v>15.072780037333301</v>
      </c>
      <c r="AI1594">
        <v>94.168691172408501</v>
      </c>
      <c r="AJ1594">
        <v>98.162103899602798</v>
      </c>
      <c r="AK1594">
        <v>15.2674167125371</v>
      </c>
      <c r="AL1594">
        <v>89.716939637705394</v>
      </c>
      <c r="AM1594">
        <v>90.449361771215607</v>
      </c>
      <c r="AN1594">
        <v>0.99999995798564201</v>
      </c>
    </row>
    <row r="1595" spans="1:40" x14ac:dyDescent="0.3">
      <c r="A1595" t="str">
        <f>"20200111160436584"</f>
        <v>20200111160436584</v>
      </c>
      <c r="B1595" t="str">
        <f>"1578729876572476"</f>
        <v>1578729876572476</v>
      </c>
      <c r="C1595" t="s">
        <v>40</v>
      </c>
      <c r="D1595">
        <v>5.5673899999999996</v>
      </c>
      <c r="E1595">
        <v>0.45643860000000003</v>
      </c>
      <c r="F1595" t="s">
        <v>57</v>
      </c>
      <c r="G1595">
        <v>-275.26690000000002</v>
      </c>
      <c r="H1595" s="1">
        <v>1.368059E-6</v>
      </c>
      <c r="I1595">
        <v>282.28160000000003</v>
      </c>
      <c r="J1595">
        <v>-260.61970000000002</v>
      </c>
      <c r="K1595">
        <v>1.1098440000000001</v>
      </c>
      <c r="L1595">
        <v>284.60059999999999</v>
      </c>
      <c r="M1595">
        <v>-0.99974830000000003</v>
      </c>
      <c r="N1595">
        <v>0</v>
      </c>
      <c r="O1595">
        <v>-2.122711E-2</v>
      </c>
      <c r="P1595">
        <v>-0.99957839999999998</v>
      </c>
      <c r="Q1595">
        <v>-1.8697570000000001E-3</v>
      </c>
      <c r="R1595">
        <v>-2.8977760000000002E-2</v>
      </c>
      <c r="S1595">
        <v>-2.9874269999999998</v>
      </c>
      <c r="T1595">
        <v>-0.2214922</v>
      </c>
      <c r="U1595">
        <v>-0.46426390000000001</v>
      </c>
      <c r="V1595">
        <v>-7.7582529999999997E-3</v>
      </c>
      <c r="W1595">
        <v>5.3904440000000003E-3</v>
      </c>
      <c r="X1595">
        <v>0.99995540000000005</v>
      </c>
      <c r="Y1595">
        <v>-0.13225490000000001</v>
      </c>
      <c r="Z1595">
        <v>-3.3053459999999998E-3</v>
      </c>
      <c r="AA1595">
        <v>0.99121020000000004</v>
      </c>
      <c r="AB1595">
        <v>31</v>
      </c>
      <c r="AC1595">
        <v>-14.6471999999999</v>
      </c>
      <c r="AD1595">
        <v>-1.109842631941</v>
      </c>
      <c r="AE1595">
        <v>-2.31899999999996</v>
      </c>
      <c r="AF1595">
        <v>-1.9963699631189999</v>
      </c>
      <c r="AG1595">
        <v>-1.109842631941</v>
      </c>
      <c r="AH1595">
        <v>14.6112893990509</v>
      </c>
      <c r="AI1595">
        <v>94.303890091664996</v>
      </c>
      <c r="AJ1595">
        <v>97.780261918996203</v>
      </c>
      <c r="AK1595">
        <v>14.7887464512762</v>
      </c>
      <c r="AL1595">
        <v>89.691148821000397</v>
      </c>
      <c r="AM1595">
        <v>90.444526060155297</v>
      </c>
      <c r="AN1595">
        <v>1.0000000246826399</v>
      </c>
    </row>
    <row r="1596" spans="1:40" x14ac:dyDescent="0.3">
      <c r="A1596" t="str">
        <f>"20200111160436603"</f>
        <v>20200111160436603</v>
      </c>
      <c r="B1596" t="str">
        <f>"1578729876591985"</f>
        <v>1578729876591985</v>
      </c>
      <c r="C1596" t="s">
        <v>40</v>
      </c>
      <c r="D1596">
        <v>5.5262880000000001</v>
      </c>
      <c r="E1596">
        <v>0.45826299999999998</v>
      </c>
      <c r="F1596" t="s">
        <v>57</v>
      </c>
      <c r="G1596">
        <v>-275.44499999999999</v>
      </c>
      <c r="H1596" s="1">
        <v>1.458857E-6</v>
      </c>
      <c r="I1596">
        <v>282.37270000000001</v>
      </c>
      <c r="J1596">
        <v>-260.90219999999999</v>
      </c>
      <c r="K1596">
        <v>1.109847</v>
      </c>
      <c r="L1596">
        <v>284.5942</v>
      </c>
      <c r="M1596">
        <v>-0.99973829999999997</v>
      </c>
      <c r="N1596">
        <v>0</v>
      </c>
      <c r="O1596">
        <v>-2.16896E-2</v>
      </c>
      <c r="P1596">
        <v>-0.99958720000000001</v>
      </c>
      <c r="Q1596">
        <v>-2.2011439999999999E-3</v>
      </c>
      <c r="R1596">
        <v>-2.865639E-2</v>
      </c>
      <c r="S1596">
        <v>-2.9878230000000001</v>
      </c>
      <c r="T1596">
        <v>-0.2236715</v>
      </c>
      <c r="U1596">
        <v>-0.44900509999999899</v>
      </c>
      <c r="V1596">
        <v>-6.973422E-3</v>
      </c>
      <c r="W1596">
        <v>5.0814579999999996E-3</v>
      </c>
      <c r="X1596">
        <v>0.99996269999999998</v>
      </c>
      <c r="Y1596">
        <v>-0.1268379</v>
      </c>
      <c r="Z1596">
        <v>-3.102896E-3</v>
      </c>
      <c r="AA1596">
        <v>0.99191859999999998</v>
      </c>
      <c r="AB1596">
        <v>31</v>
      </c>
      <c r="AC1596">
        <v>-14.5428</v>
      </c>
      <c r="AD1596">
        <v>-1.1098455411429999</v>
      </c>
      <c r="AE1596">
        <v>-2.22149999999999</v>
      </c>
      <c r="AF1596">
        <v>-1.89475787915746</v>
      </c>
      <c r="AG1596">
        <v>-1.1098455411429999</v>
      </c>
      <c r="AH1596">
        <v>14.505011025582901</v>
      </c>
      <c r="AI1596">
        <v>94.338721920020106</v>
      </c>
      <c r="AJ1596">
        <v>97.442282556935197</v>
      </c>
      <c r="AK1596">
        <v>14.6702832078357</v>
      </c>
      <c r="AL1596">
        <v>89.708852628196198</v>
      </c>
      <c r="AM1596">
        <v>90.399556076028205</v>
      </c>
      <c r="AN1596">
        <v>0.99999992561053996</v>
      </c>
    </row>
    <row r="1597" spans="1:40" x14ac:dyDescent="0.3">
      <c r="A1597" t="str">
        <f>"20200111160436618"</f>
        <v>20200111160436618</v>
      </c>
      <c r="B1597" t="str">
        <f>"1578729876612482"</f>
        <v>1578729876612482</v>
      </c>
      <c r="C1597" t="s">
        <v>40</v>
      </c>
      <c r="D1597">
        <v>5.5944589999999996</v>
      </c>
      <c r="E1597">
        <v>0.45984720000000001</v>
      </c>
      <c r="F1597" t="s">
        <v>57</v>
      </c>
      <c r="G1597">
        <v>-275.46100000000001</v>
      </c>
      <c r="H1597" s="1">
        <v>1.4626420000000001E-6</v>
      </c>
      <c r="I1597">
        <v>282.48090000000002</v>
      </c>
      <c r="J1597">
        <v>-261.10750000000002</v>
      </c>
      <c r="K1597">
        <v>1.1098440000000001</v>
      </c>
      <c r="L1597">
        <v>284.58940000000001</v>
      </c>
      <c r="M1597">
        <v>-0.99973089999999998</v>
      </c>
      <c r="N1597">
        <v>0</v>
      </c>
      <c r="O1597">
        <v>-2.2019469999999999E-2</v>
      </c>
      <c r="P1597">
        <v>-0.99958469999999999</v>
      </c>
      <c r="Q1597">
        <v>-2.641413E-3</v>
      </c>
      <c r="R1597">
        <v>-2.869975E-2</v>
      </c>
      <c r="S1597">
        <v>-2.9883120000000001</v>
      </c>
      <c r="T1597">
        <v>-0.22780420000000001</v>
      </c>
      <c r="U1597">
        <v>-0.43377690000000002</v>
      </c>
      <c r="V1597">
        <v>-6.6863900000000004E-3</v>
      </c>
      <c r="W1597">
        <v>4.6556459999999899E-3</v>
      </c>
      <c r="X1597">
        <v>0.99996680000000004</v>
      </c>
      <c r="Y1597">
        <v>-0.1215432</v>
      </c>
      <c r="Z1597">
        <v>-2.9352689999999999E-3</v>
      </c>
      <c r="AA1597">
        <v>0.99258179999999996</v>
      </c>
      <c r="AB1597">
        <v>32</v>
      </c>
      <c r="AC1597">
        <v>-14.353499999999899</v>
      </c>
      <c r="AD1597">
        <v>-1.1098425373579901</v>
      </c>
      <c r="AE1597">
        <v>-2.10849999999999</v>
      </c>
      <c r="AF1597">
        <v>-1.7814978038665099</v>
      </c>
      <c r="AG1597">
        <v>-1.1098425373579901</v>
      </c>
      <c r="AH1597">
        <v>14.312685205007201</v>
      </c>
      <c r="AI1597">
        <v>94.400170334071305</v>
      </c>
      <c r="AJ1597">
        <v>97.095106447556404</v>
      </c>
      <c r="AK1597">
        <v>14.4657679595846</v>
      </c>
      <c r="AL1597">
        <v>89.733250167511301</v>
      </c>
      <c r="AM1597">
        <v>90.383108936952993</v>
      </c>
      <c r="AN1597">
        <v>0.99999999197657397</v>
      </c>
    </row>
    <row r="1598" spans="1:40" x14ac:dyDescent="0.3">
      <c r="A1598" t="str">
        <f>"20200111160436636"</f>
        <v>20200111160436636</v>
      </c>
      <c r="B1598" t="str">
        <f>"1578729876632002"</f>
        <v>1578729876632002</v>
      </c>
      <c r="C1598" t="s">
        <v>40</v>
      </c>
      <c r="D1598">
        <v>5.5988989999999896</v>
      </c>
      <c r="E1598">
        <v>0.46128229999999998</v>
      </c>
      <c r="F1598" t="s">
        <v>57</v>
      </c>
      <c r="G1598">
        <v>-275.39389999999997</v>
      </c>
      <c r="H1598" s="1">
        <v>1.4228149999999999E-6</v>
      </c>
      <c r="I1598">
        <v>282.57429999999999</v>
      </c>
      <c r="J1598">
        <v>-261.37740000000002</v>
      </c>
      <c r="K1598">
        <v>1.1098380000000001</v>
      </c>
      <c r="L1598">
        <v>284.5831</v>
      </c>
      <c r="M1598">
        <v>-0.99972130000000003</v>
      </c>
      <c r="N1598">
        <v>0</v>
      </c>
      <c r="O1598">
        <v>-2.244517E-2</v>
      </c>
      <c r="P1598">
        <v>-0.99957229999999997</v>
      </c>
      <c r="Q1598">
        <v>-2.6172360000000002E-3</v>
      </c>
      <c r="R1598">
        <v>-2.9131819999999999E-2</v>
      </c>
      <c r="S1598">
        <v>-2.9885250000000001</v>
      </c>
      <c r="T1598">
        <v>-0.23216510000000001</v>
      </c>
      <c r="U1598">
        <v>-0.42153930000000001</v>
      </c>
      <c r="V1598">
        <v>-6.6930660000000001E-3</v>
      </c>
      <c r="W1598">
        <v>4.6980839999999999E-3</v>
      </c>
      <c r="X1598">
        <v>0.99996660000000004</v>
      </c>
      <c r="Y1598">
        <v>-0.1171296</v>
      </c>
      <c r="Z1598">
        <v>-2.7887559999999999E-3</v>
      </c>
      <c r="AA1598">
        <v>0.99311269999999996</v>
      </c>
      <c r="AB1598">
        <v>32</v>
      </c>
      <c r="AC1598">
        <v>-14.016499999999899</v>
      </c>
      <c r="AD1598">
        <v>-1.1098365771849901</v>
      </c>
      <c r="AE1598">
        <v>-2.0087999999999999</v>
      </c>
      <c r="AF1598">
        <v>-1.6833413158888499</v>
      </c>
      <c r="AG1598">
        <v>-1.1098365771849901</v>
      </c>
      <c r="AH1598">
        <v>13.9722207930535</v>
      </c>
      <c r="AI1598">
        <v>94.509092277495498</v>
      </c>
      <c r="AJ1598">
        <v>96.869754719601502</v>
      </c>
      <c r="AK1598">
        <v>14.1169518347153</v>
      </c>
      <c r="AL1598">
        <v>89.730818634221507</v>
      </c>
      <c r="AM1598">
        <v>90.383491515856207</v>
      </c>
      <c r="AN1598">
        <v>1.0000000351206499</v>
      </c>
    </row>
    <row r="1599" spans="1:40" x14ac:dyDescent="0.3">
      <c r="A1599" t="str">
        <f>"20200111160436660"</f>
        <v>20200111160436660</v>
      </c>
      <c r="B1599" t="str">
        <f>"1578729876652029"</f>
        <v>1578729876652029</v>
      </c>
      <c r="C1599" t="s">
        <v>40</v>
      </c>
      <c r="D1599">
        <v>5.5814019999999998</v>
      </c>
      <c r="E1599">
        <v>0.4626093</v>
      </c>
      <c r="F1599" t="s">
        <v>57</v>
      </c>
      <c r="G1599">
        <v>-275.50729999999999</v>
      </c>
      <c r="H1599" s="1">
        <v>1.4804179999999999E-6</v>
      </c>
      <c r="I1599">
        <v>282.63749999999999</v>
      </c>
      <c r="J1599">
        <v>-261.71230000000003</v>
      </c>
      <c r="K1599">
        <v>1.1098250000000001</v>
      </c>
      <c r="L1599">
        <v>284.57510000000002</v>
      </c>
      <c r="M1599">
        <v>-0.99970939999999997</v>
      </c>
      <c r="N1599">
        <v>0</v>
      </c>
      <c r="O1599">
        <v>-2.295678E-2</v>
      </c>
      <c r="P1599">
        <v>-0.99953729999999996</v>
      </c>
      <c r="Q1599">
        <v>-3.047597E-3</v>
      </c>
      <c r="R1599">
        <v>-3.026539E-2</v>
      </c>
      <c r="S1599">
        <v>-2.9887079999999999</v>
      </c>
      <c r="T1599">
        <v>-0.23474909999999999</v>
      </c>
      <c r="U1599">
        <v>-0.41152949999999999</v>
      </c>
      <c r="V1599">
        <v>-7.3148500000000003E-3</v>
      </c>
      <c r="W1599">
        <v>4.2875320000000001E-3</v>
      </c>
      <c r="X1599">
        <v>0.99996410000000002</v>
      </c>
      <c r="Y1599">
        <v>-0.1133559</v>
      </c>
      <c r="Z1599">
        <v>-2.6329790000000001E-3</v>
      </c>
      <c r="AA1599">
        <v>0.99355099999999996</v>
      </c>
      <c r="AB1599">
        <v>32</v>
      </c>
      <c r="AC1599">
        <v>-13.7949999999999</v>
      </c>
      <c r="AD1599">
        <v>-1.1098235195819901</v>
      </c>
      <c r="AE1599">
        <v>-1.93760000000003</v>
      </c>
      <c r="AF1599">
        <v>-1.6101719535396699</v>
      </c>
      <c r="AG1599">
        <v>-1.1098235195819901</v>
      </c>
      <c r="AH1599">
        <v>13.7485819344974</v>
      </c>
      <c r="AI1599">
        <v>94.583872459052301</v>
      </c>
      <c r="AJ1599">
        <v>96.679794276428694</v>
      </c>
      <c r="AK1599">
        <v>13.8869675298163</v>
      </c>
      <c r="AL1599">
        <v>89.754341770423906</v>
      </c>
      <c r="AM1599">
        <v>90.419117603685393</v>
      </c>
      <c r="AN1599">
        <v>1.00000004562499</v>
      </c>
    </row>
    <row r="1600" spans="1:40" x14ac:dyDescent="0.3">
      <c r="A1600" t="str">
        <f>"20200111160436683"</f>
        <v>20200111160436683</v>
      </c>
      <c r="B1600" t="str">
        <f>"1578729876672524"</f>
        <v>1578729876672524</v>
      </c>
      <c r="C1600" t="s">
        <v>40</v>
      </c>
      <c r="D1600">
        <v>5.6611079999999996</v>
      </c>
      <c r="E1600">
        <v>0.4637907</v>
      </c>
      <c r="F1600" t="s">
        <v>57</v>
      </c>
      <c r="G1600">
        <v>-275.65289999999999</v>
      </c>
      <c r="H1600" s="1">
        <v>1.5557249999999901E-6</v>
      </c>
      <c r="I1600">
        <v>282.68709999999999</v>
      </c>
      <c r="J1600">
        <v>-262.02719999999999</v>
      </c>
      <c r="K1600">
        <v>1.109809</v>
      </c>
      <c r="L1600">
        <v>284.56740000000002</v>
      </c>
      <c r="M1600">
        <v>-0.99969870000000005</v>
      </c>
      <c r="N1600">
        <v>0</v>
      </c>
      <c r="O1600">
        <v>-2.341712E-2</v>
      </c>
      <c r="P1600">
        <v>-0.99948539999999997</v>
      </c>
      <c r="Q1600">
        <v>-4.6956070000000001E-3</v>
      </c>
      <c r="R1600">
        <v>-3.1732969999999999E-2</v>
      </c>
      <c r="S1600">
        <v>-2.9884029999999999</v>
      </c>
      <c r="T1600">
        <v>-0.23790939999999999</v>
      </c>
      <c r="U1600">
        <v>-0.40472409999999998</v>
      </c>
      <c r="V1600">
        <v>-8.321462E-3</v>
      </c>
      <c r="W1600">
        <v>2.6615279999999998E-3</v>
      </c>
      <c r="X1600">
        <v>0.99996189999999996</v>
      </c>
      <c r="Y1600">
        <v>-0.1106927</v>
      </c>
      <c r="Z1600">
        <v>-2.5272279999999999E-3</v>
      </c>
      <c r="AA1600">
        <v>0.9938515</v>
      </c>
      <c r="AB1600">
        <v>32</v>
      </c>
      <c r="AC1600">
        <v>-13.625699999999901</v>
      </c>
      <c r="AD1600">
        <v>-1.1098074442749899</v>
      </c>
      <c r="AE1600">
        <v>-1.8803000000000301</v>
      </c>
      <c r="AF1600">
        <v>-1.5506065246377001</v>
      </c>
      <c r="AG1600">
        <v>-1.1098074442749899</v>
      </c>
      <c r="AH1600">
        <v>13.577604742353699</v>
      </c>
      <c r="AI1600">
        <v>94.642813900579</v>
      </c>
      <c r="AJ1600">
        <v>96.515137502259293</v>
      </c>
      <c r="AK1600">
        <v>13.7108498532076</v>
      </c>
      <c r="AL1600">
        <v>89.847505508563401</v>
      </c>
      <c r="AM1600">
        <v>90.476791812105802</v>
      </c>
      <c r="AN1600">
        <v>1.0000000659563499</v>
      </c>
    </row>
    <row r="1601" spans="1:40" x14ac:dyDescent="0.3">
      <c r="A1601" t="str">
        <f>"20200111160436703"</f>
        <v>20200111160436703</v>
      </c>
      <c r="B1601" t="str">
        <f>"1578729876692044"</f>
        <v>1578729876692044</v>
      </c>
      <c r="C1601" t="s">
        <v>40</v>
      </c>
      <c r="D1601">
        <v>5.5809350000000002</v>
      </c>
      <c r="E1601">
        <v>0.46483380000000002</v>
      </c>
      <c r="F1601" t="s">
        <v>57</v>
      </c>
      <c r="G1601">
        <v>-275.60120000000001</v>
      </c>
      <c r="H1601" s="1">
        <v>1.5253940000000001E-6</v>
      </c>
      <c r="I1601">
        <v>282.75150000000002</v>
      </c>
      <c r="J1601">
        <v>-262.32639999999998</v>
      </c>
      <c r="K1601">
        <v>1.1097950000000001</v>
      </c>
      <c r="L1601">
        <v>284.55990000000003</v>
      </c>
      <c r="M1601">
        <v>-0.99968880000000004</v>
      </c>
      <c r="N1601">
        <v>0</v>
      </c>
      <c r="O1601">
        <v>-2.382892E-2</v>
      </c>
      <c r="P1601">
        <v>-0.99940260000000003</v>
      </c>
      <c r="Q1601">
        <v>-6.2380319999999897E-3</v>
      </c>
      <c r="R1601">
        <v>-3.3999990000000001E-2</v>
      </c>
      <c r="S1601">
        <v>-2.9876710000000002</v>
      </c>
      <c r="T1601">
        <v>-0.24427219999999999</v>
      </c>
      <c r="U1601">
        <v>-0.39968870000000001</v>
      </c>
      <c r="V1601">
        <v>-1.017583E-2</v>
      </c>
      <c r="W1601">
        <v>1.141373E-3</v>
      </c>
      <c r="X1601">
        <v>0.99994749999999999</v>
      </c>
      <c r="Y1601">
        <v>-0.10866339999999999</v>
      </c>
      <c r="Z1601">
        <v>-2.4796200000000001E-3</v>
      </c>
      <c r="AA1601">
        <v>0.9940755</v>
      </c>
      <c r="AB1601">
        <v>32</v>
      </c>
      <c r="AC1601">
        <v>-13.274800000000001</v>
      </c>
      <c r="AD1601">
        <v>-1.1097934746060001</v>
      </c>
      <c r="AE1601">
        <v>-1.8084</v>
      </c>
      <c r="AF1601">
        <v>-1.48138861555913</v>
      </c>
      <c r="AG1601">
        <v>-1.1097934746060001</v>
      </c>
      <c r="AH1601">
        <v>13.2233866448437</v>
      </c>
      <c r="AI1601">
        <v>94.767709595771507</v>
      </c>
      <c r="AJ1601">
        <v>96.392075679377101</v>
      </c>
      <c r="AK1601">
        <v>13.352307221810699</v>
      </c>
      <c r="AL1601">
        <v>89.934604125244405</v>
      </c>
      <c r="AM1601">
        <v>90.583042597073799</v>
      </c>
      <c r="AN1601">
        <v>0.99999992650237901</v>
      </c>
    </row>
    <row r="1602" spans="1:40" x14ac:dyDescent="0.3">
      <c r="A1602" t="str">
        <f>"20200111160436717"</f>
        <v>20200111160436717</v>
      </c>
      <c r="B1602" t="str">
        <f>"1578729876712541"</f>
        <v>1578729876712541</v>
      </c>
      <c r="C1602" t="s">
        <v>40</v>
      </c>
      <c r="D1602">
        <v>5.6287770000000004</v>
      </c>
      <c r="E1602">
        <v>0.4654375</v>
      </c>
      <c r="F1602" t="s">
        <v>57</v>
      </c>
      <c r="G1602">
        <v>-275.53620000000001</v>
      </c>
      <c r="H1602" s="1">
        <v>1.488777E-6</v>
      </c>
      <c r="I1602">
        <v>282.79790000000003</v>
      </c>
      <c r="J1602">
        <v>-262.51490000000001</v>
      </c>
      <c r="K1602">
        <v>1.1097900000000001</v>
      </c>
      <c r="L1602">
        <v>284.55520000000001</v>
      </c>
      <c r="M1602">
        <v>-0.99968279999999998</v>
      </c>
      <c r="N1602">
        <v>0</v>
      </c>
      <c r="O1602">
        <v>-2.406933E-2</v>
      </c>
      <c r="P1602">
        <v>-0.99937569999999998</v>
      </c>
      <c r="Q1602">
        <v>-6.0325429999999996E-3</v>
      </c>
      <c r="R1602">
        <v>-3.4812199999999897E-2</v>
      </c>
      <c r="S1602">
        <v>-2.9866640000000002</v>
      </c>
      <c r="T1602">
        <v>-0.25091950000000002</v>
      </c>
      <c r="U1602">
        <v>-0.39837650000000002</v>
      </c>
      <c r="V1602">
        <v>-1.074847E-2</v>
      </c>
      <c r="W1602">
        <v>1.3697780000000001E-3</v>
      </c>
      <c r="X1602">
        <v>0.99994130000000003</v>
      </c>
      <c r="Y1602">
        <v>-0.10802680000000001</v>
      </c>
      <c r="Z1602">
        <v>-2.5011539999999998E-3</v>
      </c>
      <c r="AA1602">
        <v>0.9941449</v>
      </c>
      <c r="AB1602">
        <v>32</v>
      </c>
      <c r="AC1602">
        <v>-13.021299999999901</v>
      </c>
      <c r="AD1602">
        <v>-1.1097885112229999</v>
      </c>
      <c r="AE1602">
        <v>-1.7572999999999801</v>
      </c>
      <c r="AF1602">
        <v>-1.4331442361890001</v>
      </c>
      <c r="AG1602">
        <v>-1.1097885112229999</v>
      </c>
      <c r="AH1602">
        <v>12.9673167749449</v>
      </c>
      <c r="AI1602">
        <v>94.862192693839205</v>
      </c>
      <c r="AJ1602">
        <v>96.306718658954793</v>
      </c>
      <c r="AK1602">
        <v>13.0933890678896</v>
      </c>
      <c r="AL1602">
        <v>89.921517477554104</v>
      </c>
      <c r="AM1602">
        <v>90.615854400742407</v>
      </c>
      <c r="AN1602">
        <v>1.0000000046724</v>
      </c>
    </row>
    <row r="1603" spans="1:40" x14ac:dyDescent="0.3">
      <c r="A1603" t="str">
        <f>"20200111160436761"</f>
        <v>20200111160436761</v>
      </c>
      <c r="B1603" t="str">
        <f>"1578729876752557"</f>
        <v>1578729876752557</v>
      </c>
      <c r="C1603" t="s">
        <v>40</v>
      </c>
      <c r="D1603">
        <v>8.3273109999999999</v>
      </c>
      <c r="E1603">
        <v>0.50126530000000002</v>
      </c>
      <c r="F1603" t="s">
        <v>57</v>
      </c>
      <c r="G1603">
        <v>-275.7654</v>
      </c>
      <c r="H1603" s="1">
        <v>1.6107310000000001E-6</v>
      </c>
      <c r="I1603">
        <v>282.79820000000001</v>
      </c>
      <c r="J1603">
        <v>-263.1524</v>
      </c>
      <c r="K1603">
        <v>1.1097779999999999</v>
      </c>
      <c r="L1603">
        <v>284.53899999999999</v>
      </c>
      <c r="M1603">
        <v>-0.99966410000000006</v>
      </c>
      <c r="N1603">
        <v>0</v>
      </c>
      <c r="O1603">
        <v>-2.4798199999999999E-2</v>
      </c>
      <c r="P1603">
        <v>-0.99930819999999998</v>
      </c>
      <c r="Q1603">
        <v>-2.089821E-3</v>
      </c>
      <c r="R1603">
        <v>-3.7140680000000002E-2</v>
      </c>
      <c r="S1603">
        <v>-2.9865719999999998</v>
      </c>
      <c r="T1603">
        <v>-0.250139</v>
      </c>
      <c r="U1603">
        <v>-0.39602660000000001</v>
      </c>
      <c r="V1603">
        <v>-1.2351320000000001E-2</v>
      </c>
      <c r="W1603">
        <v>5.4481399999999998E-3</v>
      </c>
      <c r="X1603">
        <v>0.99990889999999999</v>
      </c>
      <c r="Y1603">
        <v>-0.1065465</v>
      </c>
      <c r="Z1603">
        <v>-2.3713710000000002E-3</v>
      </c>
      <c r="AA1603">
        <v>0.99430490000000005</v>
      </c>
      <c r="AB1603">
        <v>32</v>
      </c>
      <c r="AC1603">
        <v>-12.613</v>
      </c>
      <c r="AD1603">
        <v>-1.109776389269</v>
      </c>
      <c r="AE1603">
        <v>-1.7407999999999699</v>
      </c>
      <c r="AF1603">
        <v>-1.41671336252683</v>
      </c>
      <c r="AG1603">
        <v>-1.109776389269</v>
      </c>
      <c r="AH1603">
        <v>12.556896800993799</v>
      </c>
      <c r="AI1603">
        <v>95.018989683612801</v>
      </c>
      <c r="AJ1603">
        <v>96.4370910275466</v>
      </c>
      <c r="AK1603">
        <v>12.685201522110299</v>
      </c>
      <c r="AL1603">
        <v>89.687843034660702</v>
      </c>
      <c r="AM1603">
        <v>90.707706989602897</v>
      </c>
      <c r="AN1603">
        <v>1.0000000228171999</v>
      </c>
    </row>
    <row r="1604" spans="1:40" x14ac:dyDescent="0.3">
      <c r="A1604" t="str">
        <f>"20200111160436807"</f>
        <v>20200111160436807</v>
      </c>
      <c r="B1604" t="str">
        <f>"1578729876802334"</f>
        <v>1578729876802334</v>
      </c>
      <c r="C1604" t="s">
        <v>40</v>
      </c>
      <c r="D1604">
        <v>5.7073099999999997</v>
      </c>
      <c r="E1604">
        <v>0.50691940000000002</v>
      </c>
      <c r="F1604" t="s">
        <v>61</v>
      </c>
      <c r="G1604">
        <v>-298.74250000000001</v>
      </c>
      <c r="H1604" s="1">
        <v>3.8746140000000001E-6</v>
      </c>
      <c r="I1604">
        <v>283.26549999999997</v>
      </c>
      <c r="J1604">
        <v>-263.80720000000002</v>
      </c>
      <c r="K1604">
        <v>1.1097779999999999</v>
      </c>
      <c r="L1604">
        <v>284.52199999999999</v>
      </c>
      <c r="M1604">
        <v>-0.99964719999999996</v>
      </c>
      <c r="N1604">
        <v>0</v>
      </c>
      <c r="O1604">
        <v>-2.5383679999999999E-2</v>
      </c>
      <c r="P1604">
        <v>-0.99929400000000002</v>
      </c>
      <c r="Q1604">
        <v>-2.2322010000000001E-3</v>
      </c>
      <c r="R1604">
        <v>-3.7501479999999997E-2</v>
      </c>
      <c r="S1604">
        <v>-2.9978940000000001</v>
      </c>
      <c r="T1604">
        <v>-9.3480709999999995E-2</v>
      </c>
      <c r="U1604">
        <v>-0.1072693</v>
      </c>
      <c r="V1604">
        <v>-1.212674E-2</v>
      </c>
      <c r="W1604">
        <v>5.5845130000000002E-3</v>
      </c>
      <c r="X1604">
        <v>0.99991090000000005</v>
      </c>
      <c r="Y1604">
        <v>-1.03862E-2</v>
      </c>
      <c r="Z1604">
        <v>6.2910150000000003E-4</v>
      </c>
      <c r="AA1604">
        <v>0.99994590000000005</v>
      </c>
      <c r="AB1604">
        <v>32</v>
      </c>
      <c r="AC1604">
        <v>-34.935299999999899</v>
      </c>
      <c r="AD1604">
        <v>-1.1097741253860001</v>
      </c>
      <c r="AE1604">
        <v>-1.2565000000000099</v>
      </c>
      <c r="AF1604">
        <v>-0.36890972977034198</v>
      </c>
      <c r="AG1604">
        <v>-1.1097741253860001</v>
      </c>
      <c r="AH1604">
        <v>34.920744628208197</v>
      </c>
      <c r="AI1604">
        <v>91.820134044803098</v>
      </c>
      <c r="AJ1604">
        <v>90.605261557368607</v>
      </c>
      <c r="AK1604">
        <v>34.940321955967001</v>
      </c>
      <c r="AL1604">
        <v>89.680029319713299</v>
      </c>
      <c r="AM1604">
        <v>90.694838869199401</v>
      </c>
      <c r="AN1604">
        <v>1.0000000262736399</v>
      </c>
    </row>
    <row r="1605" spans="1:40" x14ac:dyDescent="0.3">
      <c r="A1605" t="str">
        <f>"20200111160436860"</f>
        <v>20200111160436860</v>
      </c>
      <c r="B1605" t="str">
        <f>"1578729876852108"</f>
        <v>1578729876852108</v>
      </c>
      <c r="C1605" t="s">
        <v>40</v>
      </c>
      <c r="D1605">
        <v>5.6789909999999999</v>
      </c>
      <c r="E1605">
        <v>0.51022380000000001</v>
      </c>
      <c r="F1605" t="s">
        <v>42</v>
      </c>
      <c r="G1605">
        <v>-264.78269999999998</v>
      </c>
      <c r="H1605">
        <v>1.040198</v>
      </c>
      <c r="I1605">
        <v>284.4991</v>
      </c>
      <c r="J1605">
        <v>-264.59519999999998</v>
      </c>
      <c r="K1605">
        <v>1.1098600000000001</v>
      </c>
      <c r="L1605">
        <v>284.50130000000001</v>
      </c>
      <c r="M1605">
        <v>-0.99962839999999997</v>
      </c>
      <c r="N1605">
        <v>0</v>
      </c>
      <c r="O1605">
        <v>-2.5893099999999999E-2</v>
      </c>
      <c r="P1605">
        <v>-0.9993824</v>
      </c>
      <c r="Q1605">
        <v>-3.339224E-3</v>
      </c>
      <c r="R1605">
        <v>-3.4982659999999999E-2</v>
      </c>
      <c r="S1605">
        <v>-2.9989319999999999</v>
      </c>
      <c r="T1605">
        <v>-0.2140608</v>
      </c>
      <c r="U1605">
        <v>-7.1014399999999894E-2</v>
      </c>
      <c r="V1605">
        <v>-9.0952459999999995E-3</v>
      </c>
      <c r="W1605">
        <v>5.1830219999999998E-3</v>
      </c>
      <c r="X1605">
        <v>0.99994519999999998</v>
      </c>
      <c r="Y1605">
        <v>2.1501720000000001E-3</v>
      </c>
      <c r="Z1605">
        <v>1.9220190000000001E-3</v>
      </c>
      <c r="AA1605">
        <v>0.99999579999999999</v>
      </c>
      <c r="AB1605">
        <v>32</v>
      </c>
      <c r="AC1605">
        <v>-0.1875</v>
      </c>
      <c r="AD1605">
        <v>-6.9662000000000099E-2</v>
      </c>
      <c r="AE1605">
        <v>-2.2000000000161799E-3</v>
      </c>
      <c r="AF1605">
        <v>2.3337722047970001E-3</v>
      </c>
      <c r="AG1605">
        <v>-6.9662000000000099E-2</v>
      </c>
      <c r="AH1605">
        <v>0.164755232798802</v>
      </c>
      <c r="AI1605">
        <v>112.917608767543</v>
      </c>
      <c r="AJ1605">
        <v>89.188454574862305</v>
      </c>
      <c r="AK1605">
        <v>0.17889250255751701</v>
      </c>
      <c r="AL1605">
        <v>89.7030333832097</v>
      </c>
      <c r="AM1605">
        <v>90.521133397080106</v>
      </c>
      <c r="AN1605">
        <v>0.99999999510994597</v>
      </c>
    </row>
    <row r="1606" spans="1:40" x14ac:dyDescent="0.3">
      <c r="A1606" t="str">
        <f>"20200111160437385"</f>
        <v>20200111160437385</v>
      </c>
      <c r="B1606" t="str">
        <f>"1578729877382077"</f>
        <v>1578729877382077</v>
      </c>
      <c r="C1606" t="s">
        <v>40</v>
      </c>
      <c r="D1606">
        <v>5.6789630000000004</v>
      </c>
      <c r="E1606">
        <v>0.51627049999999997</v>
      </c>
      <c r="F1606" t="s">
        <v>61</v>
      </c>
      <c r="G1606">
        <v>-283.08190000000002</v>
      </c>
      <c r="H1606" s="1">
        <v>7.1035020000000003E-6</v>
      </c>
      <c r="I1606">
        <v>284.28750000000002</v>
      </c>
      <c r="J1606">
        <v>-272.02359999999999</v>
      </c>
      <c r="K1606">
        <v>1.1101730000000001</v>
      </c>
      <c r="L1606">
        <v>284.29539999999997</v>
      </c>
      <c r="M1606">
        <v>-0.99950530000000004</v>
      </c>
      <c r="N1606">
        <v>0</v>
      </c>
      <c r="O1606">
        <v>-2.810381E-2</v>
      </c>
      <c r="P1606">
        <v>-0.99829080000000003</v>
      </c>
      <c r="Q1606">
        <v>-8.8142510000000004E-3</v>
      </c>
      <c r="R1606">
        <v>-5.7780659999999998E-2</v>
      </c>
      <c r="S1606">
        <v>-3.0000309999999999</v>
      </c>
      <c r="T1606">
        <v>-0.1801072</v>
      </c>
      <c r="U1606">
        <v>-3.4698489999999999E-2</v>
      </c>
      <c r="V1606">
        <v>-2.96977E-2</v>
      </c>
      <c r="W1606">
        <v>5.3174889999999999E-3</v>
      </c>
      <c r="X1606">
        <v>0.99954480000000001</v>
      </c>
      <c r="Y1606">
        <v>1.6463809999999999E-2</v>
      </c>
      <c r="Z1606">
        <v>2.179318E-3</v>
      </c>
      <c r="AA1606">
        <v>0.99986209999999998</v>
      </c>
      <c r="AB1606">
        <v>31</v>
      </c>
      <c r="AC1606">
        <v>-11.058299999999999</v>
      </c>
      <c r="AD1606">
        <v>-1.1101658964979999</v>
      </c>
      <c r="AE1606">
        <v>-7.8999999999496105E-3</v>
      </c>
      <c r="AF1606">
        <v>0.29989198034602099</v>
      </c>
      <c r="AG1606">
        <v>-1.1101658964979999</v>
      </c>
      <c r="AH1606">
        <v>10.9438548728898</v>
      </c>
      <c r="AI1606">
        <v>95.790221842662305</v>
      </c>
      <c r="AJ1606">
        <v>88.430329526470302</v>
      </c>
      <c r="AK1606">
        <v>11.004106642363</v>
      </c>
      <c r="AL1606">
        <v>89.6953288924106</v>
      </c>
      <c r="AM1606">
        <v>91.701827122149197</v>
      </c>
      <c r="AN1606">
        <v>1.00000001814079</v>
      </c>
    </row>
    <row r="1607" spans="1:40" x14ac:dyDescent="0.3">
      <c r="A1607" t="str">
        <f>"20200111160437408"</f>
        <v>20200111160437408</v>
      </c>
      <c r="B1607" t="str">
        <f>"1578729877402574"</f>
        <v>1578729877402574</v>
      </c>
      <c r="C1607" t="s">
        <v>40</v>
      </c>
      <c r="D1607">
        <v>5.7002160000000002</v>
      </c>
      <c r="E1607">
        <v>0.51944190000000001</v>
      </c>
      <c r="F1607" t="s">
        <v>42</v>
      </c>
      <c r="G1607">
        <v>-273.00920000000002</v>
      </c>
      <c r="H1607">
        <v>1.029682</v>
      </c>
      <c r="I1607">
        <v>284.27659999999997</v>
      </c>
      <c r="J1607">
        <v>-272.35059999999999</v>
      </c>
      <c r="K1607">
        <v>1.1100840000000001</v>
      </c>
      <c r="L1607">
        <v>284.28649999999999</v>
      </c>
      <c r="M1607">
        <v>-0.99951429999999997</v>
      </c>
      <c r="N1607">
        <v>0</v>
      </c>
      <c r="O1607">
        <v>-2.7759760000000001E-2</v>
      </c>
      <c r="P1607">
        <v>-0.99835750000000001</v>
      </c>
      <c r="Q1607">
        <v>-6.6046059999999998E-3</v>
      </c>
      <c r="R1607">
        <v>-5.6911040000000003E-2</v>
      </c>
      <c r="S1607">
        <v>-2.999695</v>
      </c>
      <c r="T1607">
        <v>-0.24501609999999999</v>
      </c>
      <c r="U1607">
        <v>-5.7403559999999999E-2</v>
      </c>
      <c r="V1607">
        <v>-2.9167749999999999E-2</v>
      </c>
      <c r="W1607">
        <v>7.5652519999999997E-3</v>
      </c>
      <c r="X1607">
        <v>0.99954589999999999</v>
      </c>
      <c r="Y1607">
        <v>8.5111409999999998E-3</v>
      </c>
      <c r="Z1607">
        <v>2.6102959999999998E-3</v>
      </c>
      <c r="AA1607">
        <v>0.99996039999999997</v>
      </c>
      <c r="AB1607">
        <v>31</v>
      </c>
      <c r="AC1607">
        <v>-0.65860000000003505</v>
      </c>
      <c r="AD1607">
        <v>-8.0402000000000001E-2</v>
      </c>
      <c r="AE1607">
        <v>-9.9000000000160002E-3</v>
      </c>
      <c r="AF1607">
        <v>8.2650762801282796E-3</v>
      </c>
      <c r="AG1607">
        <v>-8.0402000000000001E-2</v>
      </c>
      <c r="AH1607">
        <v>0.64895148178182505</v>
      </c>
      <c r="AI1607">
        <v>97.062116710782703</v>
      </c>
      <c r="AJ1607">
        <v>89.270317736505305</v>
      </c>
      <c r="AK1607">
        <v>0.653965456883422</v>
      </c>
      <c r="AL1607">
        <v>89.566538853988405</v>
      </c>
      <c r="AM1607">
        <v>91.671473875081304</v>
      </c>
      <c r="AN1607">
        <v>0.99999999844234699</v>
      </c>
    </row>
    <row r="1608" spans="1:40" x14ac:dyDescent="0.3">
      <c r="A1608" t="str">
        <f>"20200111160437421"</f>
        <v>20200111160437421</v>
      </c>
      <c r="B1608" t="str">
        <f>"1578729877412333"</f>
        <v>1578729877412333</v>
      </c>
      <c r="C1608" t="s">
        <v>40</v>
      </c>
      <c r="D1608">
        <v>5.7080789999999997</v>
      </c>
      <c r="E1608">
        <v>0.52095249999999904</v>
      </c>
      <c r="F1608" t="s">
        <v>42</v>
      </c>
      <c r="G1608">
        <v>-273.29050000000001</v>
      </c>
      <c r="H1608">
        <v>1.0342990000000001</v>
      </c>
      <c r="I1608">
        <v>284.2774</v>
      </c>
      <c r="J1608">
        <v>-272.53530000000001</v>
      </c>
      <c r="K1608">
        <v>1.1100380000000001</v>
      </c>
      <c r="L1608">
        <v>284.28160000000003</v>
      </c>
      <c r="M1608">
        <v>-0.99952090000000005</v>
      </c>
      <c r="N1608">
        <v>0</v>
      </c>
      <c r="O1608">
        <v>-2.7520619999999999E-2</v>
      </c>
      <c r="P1608">
        <v>-0.99844089999999996</v>
      </c>
      <c r="Q1608">
        <v>-5.1470270000000002E-3</v>
      </c>
      <c r="R1608">
        <v>-5.5583100000000003E-2</v>
      </c>
      <c r="S1608">
        <v>-3.0016479999999999</v>
      </c>
      <c r="T1608">
        <v>-0.2420728</v>
      </c>
      <c r="U1608">
        <v>-2.9479979999999999E-2</v>
      </c>
      <c r="V1608">
        <v>-2.8075449999999998E-2</v>
      </c>
      <c r="W1608">
        <v>9.0424440000000002E-3</v>
      </c>
      <c r="X1608">
        <v>0.99956489999999998</v>
      </c>
      <c r="Y1608">
        <v>1.755866E-2</v>
      </c>
      <c r="Z1608">
        <v>2.9225919999999999E-3</v>
      </c>
      <c r="AA1608">
        <v>0.9998416</v>
      </c>
      <c r="AB1608">
        <v>31</v>
      </c>
      <c r="AC1608">
        <v>-0.75520000000000198</v>
      </c>
      <c r="AD1608">
        <v>-7.5738999999999695E-2</v>
      </c>
      <c r="AE1608">
        <v>-4.20000000002573E-3</v>
      </c>
      <c r="AF1608">
        <v>1.64220786075585E-2</v>
      </c>
      <c r="AG1608">
        <v>-7.5738999999999695E-2</v>
      </c>
      <c r="AH1608">
        <v>0.74751120182447495</v>
      </c>
      <c r="AI1608">
        <v>95.784167120950102</v>
      </c>
      <c r="AJ1608">
        <v>88.741471080437705</v>
      </c>
      <c r="AK1608">
        <v>0.75151784918248199</v>
      </c>
      <c r="AL1608">
        <v>89.481899058036703</v>
      </c>
      <c r="AM1608">
        <v>91.6088819989168</v>
      </c>
      <c r="AN1608">
        <v>0.99999999299910203</v>
      </c>
    </row>
    <row r="1609" spans="1:40" x14ac:dyDescent="0.3">
      <c r="A1609" t="str">
        <f>"20200111160437433"</f>
        <v>20200111160437433</v>
      </c>
      <c r="B1609" t="str">
        <f>"1578729877423069"</f>
        <v>1578729877423069</v>
      </c>
      <c r="C1609" t="s">
        <v>40</v>
      </c>
      <c r="D1609">
        <v>5.7857659999999997</v>
      </c>
      <c r="E1609">
        <v>0.52223409999999904</v>
      </c>
      <c r="F1609" t="s">
        <v>61</v>
      </c>
      <c r="G1609">
        <v>-286.53519999999997</v>
      </c>
      <c r="H1609" s="1">
        <v>5.5863759999999998E-6</v>
      </c>
      <c r="I1609">
        <v>284.21850000000001</v>
      </c>
      <c r="J1609">
        <v>-272.70280000000002</v>
      </c>
      <c r="K1609">
        <v>1.109998</v>
      </c>
      <c r="L1609">
        <v>284.27719999999999</v>
      </c>
      <c r="M1609">
        <v>-0.99952779999999997</v>
      </c>
      <c r="N1609">
        <v>0</v>
      </c>
      <c r="O1609">
        <v>-2.7256909999999999E-2</v>
      </c>
      <c r="P1609">
        <v>-0.9985134</v>
      </c>
      <c r="Q1609">
        <v>-3.8886179999999999E-3</v>
      </c>
      <c r="R1609">
        <v>-5.4372549999999999E-2</v>
      </c>
      <c r="S1609">
        <v>-3.0026549999999999</v>
      </c>
      <c r="T1609">
        <v>-0.23807729999999999</v>
      </c>
      <c r="U1609">
        <v>-1.351929E-2</v>
      </c>
      <c r="V1609">
        <v>-2.7124229999999999E-2</v>
      </c>
      <c r="W1609">
        <v>1.0316489999999999E-2</v>
      </c>
      <c r="X1609">
        <v>0.99957879999999999</v>
      </c>
      <c r="Y1609">
        <v>2.2602179999999999E-2</v>
      </c>
      <c r="Z1609">
        <v>3.0524010000000002E-3</v>
      </c>
      <c r="AA1609">
        <v>0.99973990000000001</v>
      </c>
      <c r="AB1609">
        <v>31</v>
      </c>
      <c r="AC1609">
        <v>-13.8323999999999</v>
      </c>
      <c r="AD1609">
        <v>-1.109992413624</v>
      </c>
      <c r="AE1609">
        <v>-5.8699999999987498E-2</v>
      </c>
      <c r="AF1609">
        <v>0.31635116467892499</v>
      </c>
      <c r="AG1609">
        <v>-1.109992413624</v>
      </c>
      <c r="AH1609">
        <v>13.7403817098142</v>
      </c>
      <c r="AI1609">
        <v>94.617290548740698</v>
      </c>
      <c r="AJ1609">
        <v>88.681085772447403</v>
      </c>
      <c r="AK1609">
        <v>13.7887726338893</v>
      </c>
      <c r="AL1609">
        <v>89.408898157810796</v>
      </c>
      <c r="AM1609">
        <v>91.554377322005294</v>
      </c>
      <c r="AN1609">
        <v>0.99999996561422599</v>
      </c>
    </row>
    <row r="1610" spans="1:40" x14ac:dyDescent="0.3">
      <c r="A1610" t="str">
        <f>"20200111160437453"</f>
        <v>20200111160437453</v>
      </c>
      <c r="B1610" t="str">
        <f>"1578729877442593"</f>
        <v>1578729877442593</v>
      </c>
      <c r="C1610" t="s">
        <v>40</v>
      </c>
      <c r="D1610">
        <v>5.7796180000000001</v>
      </c>
      <c r="E1610">
        <v>0.52422879999999905</v>
      </c>
      <c r="F1610" t="s">
        <v>42</v>
      </c>
      <c r="G1610">
        <v>-273.57420000000002</v>
      </c>
      <c r="H1610">
        <v>1.0414369999999999</v>
      </c>
      <c r="I1610">
        <v>284.27749999999997</v>
      </c>
      <c r="J1610">
        <v>-272.96879999999999</v>
      </c>
      <c r="K1610">
        <v>1.109928</v>
      </c>
      <c r="L1610">
        <v>284.2704</v>
      </c>
      <c r="M1610">
        <v>-0.99954080000000001</v>
      </c>
      <c r="N1610">
        <v>0</v>
      </c>
      <c r="O1610">
        <v>-2.6765009999999999E-2</v>
      </c>
      <c r="P1610">
        <v>-0.9986758</v>
      </c>
      <c r="Q1610">
        <v>-6.8671259999999903E-4</v>
      </c>
      <c r="R1610">
        <v>-5.144166E-2</v>
      </c>
      <c r="S1610">
        <v>-3.003571</v>
      </c>
      <c r="T1610">
        <v>-0.23637830000000001</v>
      </c>
      <c r="U1610">
        <v>2.13623E-4</v>
      </c>
      <c r="V1610">
        <v>-2.4677109999999999E-2</v>
      </c>
      <c r="W1610">
        <v>1.353968E-2</v>
      </c>
      <c r="X1610">
        <v>0.99960380000000004</v>
      </c>
      <c r="Y1610">
        <v>2.667359E-2</v>
      </c>
      <c r="Z1610">
        <v>3.151128E-3</v>
      </c>
      <c r="AA1610">
        <v>0.99963919999999995</v>
      </c>
      <c r="AB1610">
        <v>31</v>
      </c>
      <c r="AC1610">
        <v>-0.60540000000003102</v>
      </c>
      <c r="AD1610">
        <v>-6.8490999999999802E-2</v>
      </c>
      <c r="AE1610">
        <v>7.0999999999799002E-3</v>
      </c>
      <c r="AF1610">
        <v>2.3008182960039401E-2</v>
      </c>
      <c r="AG1610">
        <v>-6.8490999999999802E-2</v>
      </c>
      <c r="AH1610">
        <v>0.59734850252041105</v>
      </c>
      <c r="AI1610">
        <v>96.536072058306104</v>
      </c>
      <c r="AJ1610">
        <v>87.7942182255711</v>
      </c>
      <c r="AK1610">
        <v>0.60170227440778401</v>
      </c>
      <c r="AL1610">
        <v>89.224209790841797</v>
      </c>
      <c r="AM1610">
        <v>91.414167422574195</v>
      </c>
      <c r="AN1610">
        <v>1.00000001983344</v>
      </c>
    </row>
    <row r="1611" spans="1:40" x14ac:dyDescent="0.3">
      <c r="A1611" t="str">
        <f>"20200111160437466"</f>
        <v>20200111160437466</v>
      </c>
      <c r="B1611" t="str">
        <f>"1578729877462114"</f>
        <v>1578729877462114</v>
      </c>
      <c r="C1611" t="s">
        <v>40</v>
      </c>
      <c r="D1611">
        <v>5.8631929999999999</v>
      </c>
      <c r="E1611">
        <v>0.52369579999999905</v>
      </c>
      <c r="F1611" t="s">
        <v>42</v>
      </c>
      <c r="G1611">
        <v>-273.85270000000003</v>
      </c>
      <c r="H1611">
        <v>1.041965</v>
      </c>
      <c r="I1611">
        <v>284.27789999999999</v>
      </c>
      <c r="J1611">
        <v>-273.15629999999999</v>
      </c>
      <c r="K1611">
        <v>1.1098730000000001</v>
      </c>
      <c r="L1611">
        <v>284.26580000000001</v>
      </c>
      <c r="M1611">
        <v>-0.99955150000000004</v>
      </c>
      <c r="N1611">
        <v>0</v>
      </c>
      <c r="O1611">
        <v>-2.6357220000000001E-2</v>
      </c>
      <c r="P1611">
        <v>-0.99877090000000002</v>
      </c>
      <c r="Q1611">
        <v>5.7368350000000002E-4</v>
      </c>
      <c r="R1611">
        <v>-4.9564259999999999E-2</v>
      </c>
      <c r="S1611">
        <v>-3.0050659999999998</v>
      </c>
      <c r="T1611">
        <v>-0.23117550000000001</v>
      </c>
      <c r="U1611">
        <v>2.444458E-2</v>
      </c>
      <c r="V1611">
        <v>-2.3202380000000002E-2</v>
      </c>
      <c r="W1611">
        <v>1.481414E-2</v>
      </c>
      <c r="X1611">
        <v>0.99962099999999998</v>
      </c>
      <c r="Y1611">
        <v>3.4311130000000002E-2</v>
      </c>
      <c r="Z1611">
        <v>3.342467E-3</v>
      </c>
      <c r="AA1611">
        <v>0.99940560000000001</v>
      </c>
      <c r="AB1611">
        <v>31</v>
      </c>
      <c r="AC1611">
        <v>-0.69640000000003899</v>
      </c>
      <c r="AD1611">
        <v>-6.7907999999999802E-2</v>
      </c>
      <c r="AE1611">
        <v>1.2099999999975301E-2</v>
      </c>
      <c r="AF1611">
        <v>3.0166062914174899E-2</v>
      </c>
      <c r="AG1611">
        <v>-6.7907999999999802E-2</v>
      </c>
      <c r="AH1611">
        <v>0.68928676743680795</v>
      </c>
      <c r="AI1611">
        <v>95.621232801645206</v>
      </c>
      <c r="AJ1611">
        <v>87.494096832512696</v>
      </c>
      <c r="AK1611">
        <v>0.69328041626691495</v>
      </c>
      <c r="AL1611">
        <v>89.151181232146598</v>
      </c>
      <c r="AM1611">
        <v>91.329663726678504</v>
      </c>
      <c r="AN1611">
        <v>0.99999997641130101</v>
      </c>
    </row>
    <row r="1612" spans="1:40" x14ac:dyDescent="0.3">
      <c r="A1612" t="str">
        <f>"20200111160437486"</f>
        <v>20200111160437486</v>
      </c>
      <c r="B1612" t="str">
        <f>"1578729877482610"</f>
        <v>1578729877482610</v>
      </c>
      <c r="C1612" t="s">
        <v>40</v>
      </c>
      <c r="D1612">
        <v>5.6905539999999997</v>
      </c>
      <c r="E1612">
        <v>0.52221509999999904</v>
      </c>
      <c r="F1612" t="s">
        <v>42</v>
      </c>
      <c r="G1612">
        <v>-274.12709999999998</v>
      </c>
      <c r="H1612">
        <v>1.036173</v>
      </c>
      <c r="I1612">
        <v>284.27429999999998</v>
      </c>
      <c r="J1612">
        <v>-273.43</v>
      </c>
      <c r="K1612">
        <v>1.109788</v>
      </c>
      <c r="L1612">
        <v>284.25920000000002</v>
      </c>
      <c r="M1612">
        <v>-0.99956959999999995</v>
      </c>
      <c r="N1612">
        <v>0</v>
      </c>
      <c r="O1612">
        <v>-2.56533E-2</v>
      </c>
      <c r="P1612">
        <v>-0.99892130000000001</v>
      </c>
      <c r="Q1612">
        <v>2.6448890000000001E-3</v>
      </c>
      <c r="R1612">
        <v>-4.635674E-2</v>
      </c>
      <c r="S1612">
        <v>-3.005096</v>
      </c>
      <c r="T1612">
        <v>-0.2282506</v>
      </c>
      <c r="U1612">
        <v>2.581787E-2</v>
      </c>
      <c r="V1612">
        <v>-2.068965E-2</v>
      </c>
      <c r="W1612">
        <v>1.6902899999999998E-2</v>
      </c>
      <c r="X1612">
        <v>0.99964299999999995</v>
      </c>
      <c r="Y1612">
        <v>3.4071150000000001E-2</v>
      </c>
      <c r="Z1612">
        <v>3.23778E-3</v>
      </c>
      <c r="AA1612">
        <v>0.99941409999999997</v>
      </c>
      <c r="AB1612">
        <v>31</v>
      </c>
      <c r="AC1612">
        <v>-0.69709999999997696</v>
      </c>
      <c r="AD1612">
        <v>-7.3614999999999903E-2</v>
      </c>
      <c r="AE1612">
        <v>1.50999999999612E-2</v>
      </c>
      <c r="AF1612">
        <v>3.2616199485209503E-2</v>
      </c>
      <c r="AG1612">
        <v>-7.3614999999999903E-2</v>
      </c>
      <c r="AH1612">
        <v>0.68880536094697598</v>
      </c>
      <c r="AI1612">
        <v>96.093465891928204</v>
      </c>
      <c r="AJ1612">
        <v>87.288964576635806</v>
      </c>
      <c r="AK1612">
        <v>0.69349535684325403</v>
      </c>
      <c r="AL1612">
        <v>89.031488996337899</v>
      </c>
      <c r="AM1612">
        <v>91.185683690696607</v>
      </c>
      <c r="AN1612">
        <v>0.99999994854726404</v>
      </c>
    </row>
    <row r="1613" spans="1:40" x14ac:dyDescent="0.3">
      <c r="A1613" t="str">
        <f>"20200111160437508"</f>
        <v>20200111160437508</v>
      </c>
      <c r="B1613" t="str">
        <f>"1578729877502130"</f>
        <v>1578729877502130</v>
      </c>
      <c r="C1613" t="s">
        <v>40</v>
      </c>
      <c r="D1613">
        <v>5.7583380000000002</v>
      </c>
      <c r="E1613">
        <v>0.50292970000000004</v>
      </c>
      <c r="F1613" t="s">
        <v>42</v>
      </c>
      <c r="G1613">
        <v>-274.40339999999998</v>
      </c>
      <c r="H1613">
        <v>1.0330280000000001</v>
      </c>
      <c r="I1613">
        <v>284.26670000000001</v>
      </c>
      <c r="J1613">
        <v>-273.7559</v>
      </c>
      <c r="K1613">
        <v>1.109683</v>
      </c>
      <c r="L1613">
        <v>284.25189999999998</v>
      </c>
      <c r="M1613">
        <v>-0.99959419999999999</v>
      </c>
      <c r="N1613">
        <v>0</v>
      </c>
      <c r="O1613">
        <v>-2.4672550000000001E-2</v>
      </c>
      <c r="P1613">
        <v>-0.99904009999999999</v>
      </c>
      <c r="Q1613">
        <v>3.6305930000000001E-3</v>
      </c>
      <c r="R1613">
        <v>-4.365699E-2</v>
      </c>
      <c r="S1613">
        <v>-3.004883</v>
      </c>
      <c r="T1613">
        <v>-0.2370427</v>
      </c>
      <c r="U1613">
        <v>2.2247309999999999E-2</v>
      </c>
      <c r="V1613">
        <v>-1.8961840000000001E-2</v>
      </c>
      <c r="W1613">
        <v>1.790744E-2</v>
      </c>
      <c r="X1613">
        <v>0.99965979999999999</v>
      </c>
      <c r="Y1613">
        <v>3.189989E-2</v>
      </c>
      <c r="Z1613">
        <v>3.1996189999999999E-3</v>
      </c>
      <c r="AA1613">
        <v>0.99948599999999999</v>
      </c>
      <c r="AB1613">
        <v>31</v>
      </c>
      <c r="AC1613">
        <v>-0.64749999999997898</v>
      </c>
      <c r="AD1613">
        <v>-7.6654999999999904E-2</v>
      </c>
      <c r="AE1613">
        <v>1.4800000000036499E-2</v>
      </c>
      <c r="AF1613">
        <v>3.03474832168955E-2</v>
      </c>
      <c r="AG1613">
        <v>-7.6654999999999904E-2</v>
      </c>
      <c r="AH1613">
        <v>0.63800058096429402</v>
      </c>
      <c r="AI1613">
        <v>96.843513372704905</v>
      </c>
      <c r="AJ1613">
        <v>87.276690397659394</v>
      </c>
      <c r="AK1613">
        <v>0.64330529305562001</v>
      </c>
      <c r="AL1613">
        <v>88.973924392447998</v>
      </c>
      <c r="AM1613">
        <v>91.086672819835201</v>
      </c>
      <c r="AN1613">
        <v>0.99999997175978905</v>
      </c>
    </row>
    <row r="1614" spans="1:40" x14ac:dyDescent="0.3">
      <c r="A1614" t="str">
        <f>"20200111160437521"</f>
        <v>20200111160437521</v>
      </c>
      <c r="B1614" t="str">
        <f>"1578729877512866"</f>
        <v>1578729877512866</v>
      </c>
      <c r="C1614" t="s">
        <v>40</v>
      </c>
      <c r="D1614">
        <v>5.7510750000000002</v>
      </c>
      <c r="E1614">
        <v>0.50305480000000002</v>
      </c>
      <c r="F1614" t="s">
        <v>42</v>
      </c>
      <c r="G1614">
        <v>-274.65730000000002</v>
      </c>
      <c r="H1614">
        <v>0.98475840000000003</v>
      </c>
      <c r="I1614">
        <v>284.21159999999998</v>
      </c>
      <c r="J1614">
        <v>-273.93720000000002</v>
      </c>
      <c r="K1614">
        <v>1.1096220000000001</v>
      </c>
      <c r="L1614">
        <v>284.24799999999999</v>
      </c>
      <c r="M1614">
        <v>-0.99960850000000001</v>
      </c>
      <c r="N1614">
        <v>0</v>
      </c>
      <c r="O1614">
        <v>-2.4077520000000002E-2</v>
      </c>
      <c r="P1614">
        <v>-0.99909700000000001</v>
      </c>
      <c r="Q1614">
        <v>4.106915E-3</v>
      </c>
      <c r="R1614">
        <v>-4.2294070000000003E-2</v>
      </c>
      <c r="S1614">
        <v>-2.998535</v>
      </c>
      <c r="T1614">
        <v>-0.41561379999999998</v>
      </c>
      <c r="U1614">
        <v>-0.13482669999999999</v>
      </c>
      <c r="V1614">
        <v>-1.8188989999999999E-2</v>
      </c>
      <c r="W1614">
        <v>1.8392780000000001E-2</v>
      </c>
      <c r="X1614">
        <v>0.99966540000000004</v>
      </c>
      <c r="Y1614">
        <v>-2.0880590000000001E-2</v>
      </c>
      <c r="Z1614">
        <v>1.8799159999999999E-3</v>
      </c>
      <c r="AA1614">
        <v>0.99978020000000001</v>
      </c>
      <c r="AB1614">
        <v>31</v>
      </c>
      <c r="AC1614">
        <v>-0.72010000000000196</v>
      </c>
      <c r="AD1614">
        <v>-0.12486359999999901</v>
      </c>
      <c r="AE1614">
        <v>-3.6400000000014601E-2</v>
      </c>
      <c r="AF1614">
        <v>-1.84948012046319E-2</v>
      </c>
      <c r="AG1614">
        <v>-0.12486359999999901</v>
      </c>
      <c r="AH1614">
        <v>0.69978120418967504</v>
      </c>
      <c r="AI1614">
        <v>100.113490076012</v>
      </c>
      <c r="AJ1614">
        <v>91.513940952929801</v>
      </c>
      <c r="AK1614">
        <v>0.71107433508298601</v>
      </c>
      <c r="AL1614">
        <v>88.946111930127003</v>
      </c>
      <c r="AM1614">
        <v>91.042386160566096</v>
      </c>
      <c r="AN1614">
        <v>1.0000000228352499</v>
      </c>
    </row>
    <row r="1615" spans="1:40" x14ac:dyDescent="0.3">
      <c r="A1615" t="str">
        <f>"20200111160437542"</f>
        <v>20200111160437542</v>
      </c>
      <c r="B1615" t="str">
        <f>"1578729877532385"</f>
        <v>1578729877532385</v>
      </c>
      <c r="C1615" t="s">
        <v>40</v>
      </c>
      <c r="D1615">
        <v>5.6948660000000002</v>
      </c>
      <c r="E1615">
        <v>0.50304819999999995</v>
      </c>
      <c r="F1615" t="s">
        <v>42</v>
      </c>
      <c r="G1615">
        <v>-274.66840000000002</v>
      </c>
      <c r="H1615">
        <v>1.0078309999999999</v>
      </c>
      <c r="I1615">
        <v>284.21660000000003</v>
      </c>
      <c r="J1615">
        <v>-274.21359999999999</v>
      </c>
      <c r="K1615">
        <v>1.109537</v>
      </c>
      <c r="L1615">
        <v>284.24239999999998</v>
      </c>
      <c r="M1615">
        <v>-0.99963199999999997</v>
      </c>
      <c r="N1615">
        <v>0</v>
      </c>
      <c r="O1615">
        <v>-2.3079680000000002E-2</v>
      </c>
      <c r="P1615">
        <v>-0.99921519999999997</v>
      </c>
      <c r="Q1615">
        <v>5.3585580000000002E-3</v>
      </c>
      <c r="R1615">
        <v>-3.9251710000000002E-2</v>
      </c>
      <c r="S1615">
        <v>-2.9989620000000001</v>
      </c>
      <c r="T1615">
        <v>-0.41751929999999998</v>
      </c>
      <c r="U1615">
        <v>-0.12982179999999999</v>
      </c>
      <c r="V1615">
        <v>-1.6135989999999999E-2</v>
      </c>
      <c r="W1615">
        <v>1.965474E-2</v>
      </c>
      <c r="X1615">
        <v>0.99967660000000003</v>
      </c>
      <c r="Y1615">
        <v>-2.0204119999999999E-2</v>
      </c>
      <c r="Z1615">
        <v>1.796974E-3</v>
      </c>
      <c r="AA1615">
        <v>0.99979419999999997</v>
      </c>
      <c r="AB1615">
        <v>31</v>
      </c>
      <c r="AC1615">
        <v>-0.45480000000003401</v>
      </c>
      <c r="AD1615">
        <v>-0.101706</v>
      </c>
      <c r="AE1615">
        <v>-2.57999999999469E-2</v>
      </c>
      <c r="AF1615">
        <v>-1.45691622855547E-2</v>
      </c>
      <c r="AG1615">
        <v>-0.101706</v>
      </c>
      <c r="AH1615">
        <v>0.433656958808535</v>
      </c>
      <c r="AI1615">
        <v>103.19190086742999</v>
      </c>
      <c r="AJ1615">
        <v>91.924188337520604</v>
      </c>
      <c r="AK1615">
        <v>0.44566212409040401</v>
      </c>
      <c r="AL1615">
        <v>88.873793822819493</v>
      </c>
      <c r="AM1615">
        <v>90.924742908244497</v>
      </c>
      <c r="AN1615">
        <v>0.99999999178265297</v>
      </c>
    </row>
    <row r="1616" spans="1:40" x14ac:dyDescent="0.3">
      <c r="A1616" t="str">
        <f>"20200111160437556"</f>
        <v>20200111160437556</v>
      </c>
      <c r="B1616" t="str">
        <f>"1578729877552883"</f>
        <v>1578729877552883</v>
      </c>
      <c r="C1616" t="s">
        <v>40</v>
      </c>
      <c r="D1616">
        <v>5.8180379999999996</v>
      </c>
      <c r="E1616">
        <v>0.50287099999999996</v>
      </c>
      <c r="F1616" t="s">
        <v>42</v>
      </c>
      <c r="G1616">
        <v>-274.94650000000001</v>
      </c>
      <c r="H1616">
        <v>1.0094050000000001</v>
      </c>
      <c r="I1616">
        <v>284.21300000000002</v>
      </c>
      <c r="J1616">
        <v>-274.40089999999998</v>
      </c>
      <c r="K1616">
        <v>1.1094809999999999</v>
      </c>
      <c r="L1616">
        <v>284.23880000000003</v>
      </c>
      <c r="M1616">
        <v>-0.99964869999999995</v>
      </c>
      <c r="N1616">
        <v>0</v>
      </c>
      <c r="O1616">
        <v>-2.2332600000000001E-2</v>
      </c>
      <c r="P1616">
        <v>-0.99926859999999995</v>
      </c>
      <c r="Q1616">
        <v>5.7731249999999996E-3</v>
      </c>
      <c r="R1616">
        <v>-3.7800630000000002E-2</v>
      </c>
      <c r="S1616">
        <v>-2.9998170000000002</v>
      </c>
      <c r="T1616">
        <v>-0.40987129999999999</v>
      </c>
      <c r="U1616">
        <v>-0.1207886</v>
      </c>
      <c r="V1616">
        <v>-1.5427990000000001E-2</v>
      </c>
      <c r="W1616">
        <v>2.0075699999999998E-2</v>
      </c>
      <c r="X1616">
        <v>0.9996794</v>
      </c>
      <c r="Y1616">
        <v>-1.7946549999999999E-2</v>
      </c>
      <c r="Z1616">
        <v>1.8159269999999999E-3</v>
      </c>
      <c r="AA1616">
        <v>0.99983730000000004</v>
      </c>
      <c r="AB1616">
        <v>31</v>
      </c>
      <c r="AC1616">
        <v>-0.54560000000003495</v>
      </c>
      <c r="AD1616">
        <v>-0.100076</v>
      </c>
      <c r="AE1616">
        <v>-2.5800000000060601E-2</v>
      </c>
      <c r="AF1616">
        <v>-1.31656941804778E-2</v>
      </c>
      <c r="AG1616">
        <v>-0.100076</v>
      </c>
      <c r="AH1616">
        <v>0.52830534470032697</v>
      </c>
      <c r="AI1616">
        <v>100.723098844194</v>
      </c>
      <c r="AJ1616">
        <v>91.427550599661899</v>
      </c>
      <c r="AK1616">
        <v>0.53786157932890599</v>
      </c>
      <c r="AL1616">
        <v>88.849669816733893</v>
      </c>
      <c r="AM1616">
        <v>90.884172009820404</v>
      </c>
      <c r="AN1616">
        <v>0.99999997969514398</v>
      </c>
    </row>
    <row r="1617" spans="1:40" x14ac:dyDescent="0.3">
      <c r="A1617" t="str">
        <f>"20200111160437576"</f>
        <v>20200111160437576</v>
      </c>
      <c r="B1617" t="str">
        <f>"1578729877572402"</f>
        <v>1578729877572402</v>
      </c>
      <c r="C1617" t="s">
        <v>40</v>
      </c>
      <c r="D1617">
        <v>5.6846610000000002</v>
      </c>
      <c r="E1617">
        <v>0.50283869999999997</v>
      </c>
      <c r="F1617" t="s">
        <v>42</v>
      </c>
      <c r="G1617">
        <v>-275.21850000000001</v>
      </c>
      <c r="H1617">
        <v>0.99871339999999997</v>
      </c>
      <c r="I1617">
        <v>284.20670000000001</v>
      </c>
      <c r="J1617">
        <v>-274.6712</v>
      </c>
      <c r="K1617">
        <v>1.109399</v>
      </c>
      <c r="L1617">
        <v>284.23390000000001</v>
      </c>
      <c r="M1617">
        <v>-0.9996737</v>
      </c>
      <c r="N1617">
        <v>0</v>
      </c>
      <c r="O1617">
        <v>-2.1186440000000001E-2</v>
      </c>
      <c r="P1617">
        <v>-0.99934210000000001</v>
      </c>
      <c r="Q1617">
        <v>6.6311620000000003E-3</v>
      </c>
      <c r="R1617">
        <v>-3.5659589999999998E-2</v>
      </c>
      <c r="S1617">
        <v>-3.0000610000000001</v>
      </c>
      <c r="T1617">
        <v>-0.40640739999999997</v>
      </c>
      <c r="U1617">
        <v>-0.1181946</v>
      </c>
      <c r="V1617">
        <v>-1.4425729999999999E-2</v>
      </c>
      <c r="W1617">
        <v>2.0941939999999999E-2</v>
      </c>
      <c r="X1617">
        <v>0.99967660000000003</v>
      </c>
      <c r="Y1617">
        <v>-1.8212949999999999E-2</v>
      </c>
      <c r="Z1617">
        <v>1.6281990000000001E-3</v>
      </c>
      <c r="AA1617">
        <v>0.99983279999999997</v>
      </c>
      <c r="AB1617">
        <v>31</v>
      </c>
      <c r="AC1617">
        <v>-0.547300000000007</v>
      </c>
      <c r="AD1617">
        <v>-0.1106856</v>
      </c>
      <c r="AE1617">
        <v>-2.71999999999934E-2</v>
      </c>
      <c r="AF1617">
        <v>-1.49859477176447E-2</v>
      </c>
      <c r="AG1617">
        <v>-0.1106856</v>
      </c>
      <c r="AH1617">
        <v>0.52628119482994795</v>
      </c>
      <c r="AI1617">
        <v>101.872468542036</v>
      </c>
      <c r="AJ1617">
        <v>91.631066448625802</v>
      </c>
      <c r="AK1617">
        <v>0.53800350994021795</v>
      </c>
      <c r="AL1617">
        <v>88.800027483994896</v>
      </c>
      <c r="AM1617">
        <v>90.826743449957604</v>
      </c>
      <c r="AN1617">
        <v>0.99999998556227798</v>
      </c>
    </row>
    <row r="1618" spans="1:40" x14ac:dyDescent="0.3">
      <c r="A1618" t="str">
        <f>"20200111160437598"</f>
        <v>20200111160437598</v>
      </c>
      <c r="B1618" t="str">
        <f>"1578729877592898"</f>
        <v>1578729877592898</v>
      </c>
      <c r="C1618" t="s">
        <v>40</v>
      </c>
      <c r="D1618">
        <v>5.7513740000000002</v>
      </c>
      <c r="E1618">
        <v>0.50372680000000003</v>
      </c>
      <c r="F1618" t="s">
        <v>42</v>
      </c>
      <c r="G1618">
        <v>-275.49489999999997</v>
      </c>
      <c r="H1618">
        <v>0.99785829999999998</v>
      </c>
      <c r="I1618">
        <v>284.20319999999998</v>
      </c>
      <c r="J1618">
        <v>-274.98180000000002</v>
      </c>
      <c r="K1618">
        <v>1.109307</v>
      </c>
      <c r="L1618">
        <v>284.22879999999998</v>
      </c>
      <c r="M1618">
        <v>-0.9997026</v>
      </c>
      <c r="N1618">
        <v>0</v>
      </c>
      <c r="O1618">
        <v>-1.976493E-2</v>
      </c>
      <c r="P1618">
        <v>-0.99940739999999995</v>
      </c>
      <c r="Q1618">
        <v>5.8737729999999997E-3</v>
      </c>
      <c r="R1618">
        <v>-3.3917000000000003E-2</v>
      </c>
      <c r="S1618">
        <v>-3.0006710000000001</v>
      </c>
      <c r="T1618">
        <v>-0.40629330000000002</v>
      </c>
      <c r="U1618">
        <v>-0.1122437</v>
      </c>
      <c r="V1618">
        <v>-1.4101320000000001E-2</v>
      </c>
      <c r="W1618">
        <v>2.0195370000000001E-2</v>
      </c>
      <c r="X1618">
        <v>0.99969660000000005</v>
      </c>
      <c r="Y1618">
        <v>-1.763897E-2</v>
      </c>
      <c r="Z1618">
        <v>1.4746780000000001E-3</v>
      </c>
      <c r="AA1618">
        <v>0.99984340000000005</v>
      </c>
      <c r="AB1618">
        <v>31</v>
      </c>
      <c r="AC1618">
        <v>-0.51309999999995104</v>
      </c>
      <c r="AD1618">
        <v>-0.111448699999999</v>
      </c>
      <c r="AE1618">
        <v>-2.5599999999997101E-2</v>
      </c>
      <c r="AF1618">
        <v>-1.47580413515609E-2</v>
      </c>
      <c r="AG1618">
        <v>-0.111448699999999</v>
      </c>
      <c r="AH1618">
        <v>0.49042559235625799</v>
      </c>
      <c r="AI1618">
        <v>102.797368409816</v>
      </c>
      <c r="AJ1618">
        <v>91.723642484117605</v>
      </c>
      <c r="AK1618">
        <v>0.50314597698303298</v>
      </c>
      <c r="AL1618">
        <v>88.842811859280204</v>
      </c>
      <c r="AM1618">
        <v>90.808137731821901</v>
      </c>
      <c r="AN1618">
        <v>0.99999999612336898</v>
      </c>
    </row>
    <row r="1619" spans="1:40" x14ac:dyDescent="0.3">
      <c r="A1619" t="str">
        <f>"20200111160437621"</f>
        <v>20200111160437621</v>
      </c>
      <c r="B1619" t="str">
        <f>"1578729877612417"</f>
        <v>1578729877612417</v>
      </c>
      <c r="C1619" t="s">
        <v>40</v>
      </c>
      <c r="D1619">
        <v>6.3099379999999998</v>
      </c>
      <c r="E1619">
        <v>0.50397939999999997</v>
      </c>
      <c r="F1619" t="s">
        <v>42</v>
      </c>
      <c r="G1619">
        <v>-275.77319999999997</v>
      </c>
      <c r="H1619">
        <v>1.0015989999999999</v>
      </c>
      <c r="I1619">
        <v>284.20260000000002</v>
      </c>
      <c r="J1619">
        <v>-275.29899999999998</v>
      </c>
      <c r="K1619">
        <v>1.109224</v>
      </c>
      <c r="L1619">
        <v>284.22410000000002</v>
      </c>
      <c r="M1619">
        <v>-0.99973210000000001</v>
      </c>
      <c r="N1619">
        <v>0</v>
      </c>
      <c r="O1619">
        <v>-1.8210359999999998E-2</v>
      </c>
      <c r="P1619">
        <v>-0.99946080000000004</v>
      </c>
      <c r="Q1619">
        <v>4.8897990000000002E-3</v>
      </c>
      <c r="R1619">
        <v>-3.2470329999999999E-2</v>
      </c>
      <c r="S1619">
        <v>-3.0007630000000001</v>
      </c>
      <c r="T1619">
        <v>-0.40832299999999999</v>
      </c>
      <c r="U1619">
        <v>-0.1001282</v>
      </c>
      <c r="V1619">
        <v>-1.4206470000000001E-2</v>
      </c>
      <c r="W1619">
        <v>1.922138E-2</v>
      </c>
      <c r="X1619">
        <v>0.99971429999999994</v>
      </c>
      <c r="Y1619">
        <v>-1.516938E-2</v>
      </c>
      <c r="Z1619">
        <v>1.4388039999999999E-3</v>
      </c>
      <c r="AA1619">
        <v>0.99988390000000005</v>
      </c>
      <c r="AB1619">
        <v>31</v>
      </c>
      <c r="AC1619">
        <v>-0.474199999999939</v>
      </c>
      <c r="AD1619">
        <v>-0.107625</v>
      </c>
      <c r="AE1619">
        <v>-2.15000000000031E-2</v>
      </c>
      <c r="AF1619">
        <v>-1.22314343665142E-2</v>
      </c>
      <c r="AG1619">
        <v>-0.107625</v>
      </c>
      <c r="AH1619">
        <v>0.45131285502858498</v>
      </c>
      <c r="AI1619">
        <v>103.408121799352</v>
      </c>
      <c r="AJ1619">
        <v>91.552444274147604</v>
      </c>
      <c r="AK1619">
        <v>0.464129337281877</v>
      </c>
      <c r="AL1619">
        <v>88.898628205163305</v>
      </c>
      <c r="AM1619">
        <v>90.814148590810802</v>
      </c>
      <c r="AN1619">
        <v>0.99999998343172702</v>
      </c>
    </row>
    <row r="1620" spans="1:40" x14ac:dyDescent="0.3">
      <c r="A1620" t="str">
        <f>"20200111160437633"</f>
        <v>20200111160437633</v>
      </c>
      <c r="B1620" t="str">
        <f>"1578729877622178"</f>
        <v>1578729877622178</v>
      </c>
      <c r="C1620" t="s">
        <v>40</v>
      </c>
      <c r="D1620">
        <v>5.729571</v>
      </c>
      <c r="E1620">
        <v>0.50451089999999998</v>
      </c>
      <c r="F1620" t="s">
        <v>42</v>
      </c>
      <c r="G1620">
        <v>-276.05169999999998</v>
      </c>
      <c r="H1620">
        <v>1.0061789999999999</v>
      </c>
      <c r="I1620">
        <v>284.20069999999998</v>
      </c>
      <c r="J1620">
        <v>-275.47669999999999</v>
      </c>
      <c r="K1620">
        <v>1.1091789999999999</v>
      </c>
      <c r="L1620">
        <v>284.22179999999997</v>
      </c>
      <c r="M1620">
        <v>-0.99974839999999998</v>
      </c>
      <c r="N1620">
        <v>0</v>
      </c>
      <c r="O1620">
        <v>-1.7287690000000001E-2</v>
      </c>
      <c r="P1620">
        <v>-0.99948809999999999</v>
      </c>
      <c r="Q1620">
        <v>4.5278840000000002E-3</v>
      </c>
      <c r="R1620">
        <v>-3.167503E-2</v>
      </c>
      <c r="S1620">
        <v>-3.0005799999999998</v>
      </c>
      <c r="T1620">
        <v>-0.41075719999999999</v>
      </c>
      <c r="U1620">
        <v>-9.3444819999999998E-2</v>
      </c>
      <c r="V1620">
        <v>-1.4332889999999999E-2</v>
      </c>
      <c r="W1620">
        <v>1.8864769999999999E-2</v>
      </c>
      <c r="X1620">
        <v>0.99971929999999998</v>
      </c>
      <c r="Y1620">
        <v>-1.387325E-2</v>
      </c>
      <c r="Z1620">
        <v>1.4100650000000001E-3</v>
      </c>
      <c r="AA1620">
        <v>0.99990279999999998</v>
      </c>
      <c r="AB1620">
        <v>31</v>
      </c>
      <c r="AC1620">
        <v>-0.57499999999998797</v>
      </c>
      <c r="AD1620">
        <v>-0.102999999999999</v>
      </c>
      <c r="AE1620">
        <v>-2.1099999999989901E-2</v>
      </c>
      <c r="AF1620">
        <v>-1.08090380262452E-2</v>
      </c>
      <c r="AG1620">
        <v>-0.102999999999999</v>
      </c>
      <c r="AH1620">
        <v>0.55741668629574304</v>
      </c>
      <c r="AI1620">
        <v>100.46715960824601</v>
      </c>
      <c r="AJ1620">
        <v>91.110900816319003</v>
      </c>
      <c r="AK1620">
        <v>0.56695608071876202</v>
      </c>
      <c r="AL1620">
        <v>88.919064171859304</v>
      </c>
      <c r="AM1620">
        <v>90.821388409826994</v>
      </c>
      <c r="AN1620">
        <v>0.99999999503769699</v>
      </c>
    </row>
    <row r="1621" spans="1:40" x14ac:dyDescent="0.3">
      <c r="A1621" t="str">
        <f>"20200111160437653"</f>
        <v>20200111160437653</v>
      </c>
      <c r="B1621" t="str">
        <f>"1578729877642673"</f>
        <v>1578729877642673</v>
      </c>
      <c r="C1621" t="s">
        <v>40</v>
      </c>
      <c r="D1621">
        <v>5.7181550000000003</v>
      </c>
      <c r="E1621">
        <v>0.504278</v>
      </c>
      <c r="F1621" t="s">
        <v>61</v>
      </c>
      <c r="G1621">
        <v>-315.33679999999998</v>
      </c>
      <c r="H1621" s="1">
        <v>4.6937849999999996E-6</v>
      </c>
      <c r="I1621">
        <v>283.35640000000001</v>
      </c>
      <c r="J1621">
        <v>-275.74149999999997</v>
      </c>
      <c r="K1621">
        <v>1.1091120000000001</v>
      </c>
      <c r="L1621">
        <v>284.21870000000001</v>
      </c>
      <c r="M1621">
        <v>-0.99977199999999999</v>
      </c>
      <c r="N1621">
        <v>0</v>
      </c>
      <c r="O1621">
        <v>-1.5859080000000001E-2</v>
      </c>
      <c r="P1621">
        <v>-0.99951029999999996</v>
      </c>
      <c r="Q1621">
        <v>4.2418040000000001E-3</v>
      </c>
      <c r="R1621">
        <v>-3.1001290000000001E-2</v>
      </c>
      <c r="S1621">
        <v>-2.9997859999999998</v>
      </c>
      <c r="T1621">
        <v>-8.3474039999999999E-2</v>
      </c>
      <c r="U1621">
        <v>-6.5124509999999997E-2</v>
      </c>
      <c r="V1621">
        <v>-1.508521E-2</v>
      </c>
      <c r="W1621">
        <v>1.8587300000000001E-2</v>
      </c>
      <c r="X1621">
        <v>0.99971339999999997</v>
      </c>
      <c r="Y1621">
        <v>-5.8487799999999996E-3</v>
      </c>
      <c r="Z1621">
        <v>3.5982949999999999E-4</v>
      </c>
      <c r="AA1621">
        <v>0.99998279999999995</v>
      </c>
      <c r="AB1621">
        <v>31</v>
      </c>
      <c r="AC1621">
        <v>-39.595300000000002</v>
      </c>
      <c r="AD1621">
        <v>-1.1091073062150001</v>
      </c>
      <c r="AE1621">
        <v>-0.86230000000000395</v>
      </c>
      <c r="AF1621">
        <v>-0.23399879103357499</v>
      </c>
      <c r="AG1621">
        <v>-1.1091073062150001</v>
      </c>
      <c r="AH1621">
        <v>39.572960984080702</v>
      </c>
      <c r="AI1621">
        <v>91.605374603345695</v>
      </c>
      <c r="AJ1621">
        <v>90.338791602857995</v>
      </c>
      <c r="AK1621">
        <v>39.589191902569603</v>
      </c>
      <c r="AL1621">
        <v>88.934964789898103</v>
      </c>
      <c r="AM1621">
        <v>90.864501040937895</v>
      </c>
      <c r="AN1621">
        <v>0.99999996671079605</v>
      </c>
    </row>
    <row r="1622" spans="1:40" x14ac:dyDescent="0.3">
      <c r="A1622" t="str">
        <f>"20200111160437675"</f>
        <v>20200111160437675</v>
      </c>
      <c r="B1622" t="str">
        <f>"1578729877672930"</f>
        <v>1578729877672930</v>
      </c>
      <c r="C1622" t="s">
        <v>40</v>
      </c>
      <c r="D1622">
        <v>5.7177910000000001</v>
      </c>
      <c r="E1622">
        <v>0.50368590000000002</v>
      </c>
      <c r="F1622" t="s">
        <v>42</v>
      </c>
      <c r="G1622">
        <v>-276.59699999999998</v>
      </c>
      <c r="H1622">
        <v>0.99304689999999995</v>
      </c>
      <c r="I1622">
        <v>284.1943</v>
      </c>
      <c r="J1622">
        <v>-276.04910000000001</v>
      </c>
      <c r="K1622">
        <v>1.1090390000000001</v>
      </c>
      <c r="L1622">
        <v>284.21559999999999</v>
      </c>
      <c r="M1622">
        <v>-0.99979819999999997</v>
      </c>
      <c r="N1622">
        <v>0</v>
      </c>
      <c r="O1622">
        <v>-1.4109689999999999E-2</v>
      </c>
      <c r="P1622">
        <v>-0.99953150000000002</v>
      </c>
      <c r="Q1622">
        <v>4.7130719999999996E-3</v>
      </c>
      <c r="R1622">
        <v>-3.0242829999999998E-2</v>
      </c>
      <c r="S1622">
        <v>-3.0005190000000002</v>
      </c>
      <c r="T1622">
        <v>-0.40718130000000002</v>
      </c>
      <c r="U1622">
        <v>-8.5968020000000006E-2</v>
      </c>
      <c r="V1622">
        <v>-1.6071350000000002E-2</v>
      </c>
      <c r="W1622">
        <v>1.906882E-2</v>
      </c>
      <c r="X1622">
        <v>0.99968900000000005</v>
      </c>
      <c r="Y1622">
        <v>-1.452728E-2</v>
      </c>
      <c r="Z1622">
        <v>9.2466040000000003E-4</v>
      </c>
      <c r="AA1622">
        <v>0.99989399999999995</v>
      </c>
      <c r="AB1622">
        <v>31</v>
      </c>
      <c r="AC1622">
        <v>-0.54789999999996997</v>
      </c>
      <c r="AD1622">
        <v>-0.115992099999999</v>
      </c>
      <c r="AE1622">
        <v>-2.1299999999996499E-2</v>
      </c>
      <c r="AF1622">
        <v>-1.29852907036153E-2</v>
      </c>
      <c r="AG1622">
        <v>-0.115992099999999</v>
      </c>
      <c r="AH1622">
        <v>0.52466688375202297</v>
      </c>
      <c r="AI1622">
        <v>102.46260018656599</v>
      </c>
      <c r="AJ1622">
        <v>91.417757668631793</v>
      </c>
      <c r="AK1622">
        <v>0.53749244082417202</v>
      </c>
      <c r="AL1622">
        <v>88.907370872615203</v>
      </c>
      <c r="AM1622">
        <v>90.921027649587799</v>
      </c>
      <c r="AN1622">
        <v>1.0000000024539999</v>
      </c>
    </row>
    <row r="1623" spans="1:40" x14ac:dyDescent="0.3">
      <c r="A1623" t="str">
        <f>"20200111160437689"</f>
        <v>20200111160437689</v>
      </c>
      <c r="B1623" t="str">
        <f>"1578729877682689"</f>
        <v>1578729877682689</v>
      </c>
      <c r="C1623" t="s">
        <v>40</v>
      </c>
      <c r="D1623">
        <v>5.7150319999999999</v>
      </c>
      <c r="E1623">
        <v>0.50686430000000005</v>
      </c>
      <c r="F1623" t="s">
        <v>57</v>
      </c>
      <c r="G1623">
        <v>-331.50439999999998</v>
      </c>
      <c r="H1623" s="1">
        <v>-6.6534060000000001E-7</v>
      </c>
      <c r="I1623">
        <v>282.99470000000002</v>
      </c>
      <c r="J1623">
        <v>-276.23419999999999</v>
      </c>
      <c r="K1623">
        <v>1.1089960000000001</v>
      </c>
      <c r="L1623">
        <v>284.214</v>
      </c>
      <c r="M1623">
        <v>-0.99981310000000001</v>
      </c>
      <c r="N1623">
        <v>0</v>
      </c>
      <c r="O1623">
        <v>-1.3013729999999999E-2</v>
      </c>
      <c r="P1623">
        <v>-0.99954969999999999</v>
      </c>
      <c r="Q1623">
        <v>5.1367660000000001E-3</v>
      </c>
      <c r="R1623">
        <v>-2.9560880000000001E-2</v>
      </c>
      <c r="S1623">
        <v>-2.9997250000000002</v>
      </c>
      <c r="T1623">
        <v>-5.9990880000000003E-2</v>
      </c>
      <c r="U1623">
        <v>-6.6040039999999994E-2</v>
      </c>
      <c r="V1623">
        <v>-1.6481639999999999E-2</v>
      </c>
      <c r="W1623">
        <v>1.949741E-2</v>
      </c>
      <c r="X1623">
        <v>0.99967399999999995</v>
      </c>
      <c r="Y1623">
        <v>-8.9970629999999996E-3</v>
      </c>
      <c r="Z1623">
        <v>1.7026770000000001E-4</v>
      </c>
      <c r="AA1623">
        <v>0.9999595</v>
      </c>
      <c r="AB1623">
        <v>31</v>
      </c>
      <c r="AC1623">
        <v>-55.270199999999903</v>
      </c>
      <c r="AD1623">
        <v>-1.10899666534059</v>
      </c>
      <c r="AE1623">
        <v>-1.2192999999999701</v>
      </c>
      <c r="AF1623">
        <v>-0.49965067875858399</v>
      </c>
      <c r="AG1623">
        <v>-1.10899666534059</v>
      </c>
      <c r="AH1623">
        <v>55.259151155805199</v>
      </c>
      <c r="AI1623">
        <v>91.149668466185403</v>
      </c>
      <c r="AJ1623">
        <v>90.518051659997298</v>
      </c>
      <c r="AK1623">
        <v>55.2725366783962</v>
      </c>
      <c r="AL1623">
        <v>88.882809848805195</v>
      </c>
      <c r="AM1623">
        <v>90.944550785991396</v>
      </c>
      <c r="AN1623">
        <v>0.99999994986489704</v>
      </c>
    </row>
    <row r="1624" spans="1:40" x14ac:dyDescent="0.3">
      <c r="A1624" t="str">
        <f>"20200111160437704"</f>
        <v>20200111160437704</v>
      </c>
      <c r="B1624" t="str">
        <f>"1578729877692450"</f>
        <v>1578729877692450</v>
      </c>
      <c r="C1624" t="s">
        <v>40</v>
      </c>
      <c r="D1624">
        <v>5.702909</v>
      </c>
      <c r="E1624">
        <v>0.50686430000000005</v>
      </c>
      <c r="F1624" t="s">
        <v>61</v>
      </c>
      <c r="G1624">
        <v>-291.28879999999998</v>
      </c>
      <c r="H1624" s="1">
        <v>2.491018E-6</v>
      </c>
      <c r="I1624">
        <v>283.9683</v>
      </c>
      <c r="J1624">
        <v>-276.44560000000001</v>
      </c>
      <c r="K1624">
        <v>1.108943</v>
      </c>
      <c r="L1624">
        <v>284.21249999999998</v>
      </c>
      <c r="M1624">
        <v>-0.99982890000000002</v>
      </c>
      <c r="N1624">
        <v>0</v>
      </c>
      <c r="O1624">
        <v>-1.1725879999999999E-2</v>
      </c>
      <c r="P1624">
        <v>-0.99956239999999996</v>
      </c>
      <c r="Q1624">
        <v>5.4881160000000003E-3</v>
      </c>
      <c r="R1624">
        <v>-2.9071E-2</v>
      </c>
      <c r="S1624">
        <v>-3.0010379999999999</v>
      </c>
      <c r="T1624">
        <v>-0.22107089999999999</v>
      </c>
      <c r="U1624">
        <v>-4.8980709999999997E-2</v>
      </c>
      <c r="V1624">
        <v>-1.7275660000000002E-2</v>
      </c>
      <c r="W1624">
        <v>1.98564E-2</v>
      </c>
      <c r="X1624">
        <v>0.99965360000000003</v>
      </c>
      <c r="Y1624">
        <v>-4.6117149999999997E-3</v>
      </c>
      <c r="Z1624">
        <v>6.9299259999999903E-4</v>
      </c>
      <c r="AA1624">
        <v>0.99998920000000002</v>
      </c>
      <c r="AB1624">
        <v>31</v>
      </c>
      <c r="AC1624">
        <v>-14.8431999999999</v>
      </c>
      <c r="AD1624">
        <v>-1.1089405089819999</v>
      </c>
      <c r="AE1624">
        <v>-0.24419999999997799</v>
      </c>
      <c r="AF1624">
        <v>-6.9726727373191799E-2</v>
      </c>
      <c r="AG1624">
        <v>-1.1089405089819999</v>
      </c>
      <c r="AH1624">
        <v>14.762665555766199</v>
      </c>
      <c r="AI1624">
        <v>94.295823205639905</v>
      </c>
      <c r="AJ1624">
        <v>90.270616270165107</v>
      </c>
      <c r="AK1624">
        <v>14.804421811755301</v>
      </c>
      <c r="AL1624">
        <v>88.862237335411507</v>
      </c>
      <c r="AM1624">
        <v>90.990066844542</v>
      </c>
      <c r="AN1624">
        <v>1.00000002252117</v>
      </c>
    </row>
    <row r="1625" spans="1:40" x14ac:dyDescent="0.3">
      <c r="A1625" t="str">
        <f>"20200111160437721"</f>
        <v>20200111160437721</v>
      </c>
      <c r="B1625" t="str">
        <f>"1578729877712946"</f>
        <v>1578729877712946</v>
      </c>
      <c r="C1625" t="s">
        <v>40</v>
      </c>
      <c r="D1625">
        <v>5.688078</v>
      </c>
      <c r="E1625">
        <v>0.50355090000000002</v>
      </c>
      <c r="F1625" t="s">
        <v>42</v>
      </c>
      <c r="G1625">
        <v>-277.44589999999999</v>
      </c>
      <c r="H1625">
        <v>1.035609</v>
      </c>
      <c r="I1625">
        <v>284.1968</v>
      </c>
      <c r="J1625">
        <v>-276.68770000000001</v>
      </c>
      <c r="K1625">
        <v>1.1088819999999999</v>
      </c>
      <c r="L1625">
        <v>284.21120000000002</v>
      </c>
      <c r="M1625">
        <v>-0.99984589999999995</v>
      </c>
      <c r="N1625">
        <v>0</v>
      </c>
      <c r="O1625">
        <v>-1.018139E-2</v>
      </c>
      <c r="P1625">
        <v>-0.99958440000000004</v>
      </c>
      <c r="Q1625">
        <v>5.6867790000000003E-3</v>
      </c>
      <c r="R1625">
        <v>-2.8264999999999998E-2</v>
      </c>
      <c r="S1625">
        <v>-3.0011290000000002</v>
      </c>
      <c r="T1625">
        <v>-0.22003539999999999</v>
      </c>
      <c r="U1625">
        <v>-4.7485350000000003E-2</v>
      </c>
      <c r="V1625">
        <v>-1.800966E-2</v>
      </c>
      <c r="W1625">
        <v>2.0062360000000001E-2</v>
      </c>
      <c r="X1625">
        <v>0.99963650000000004</v>
      </c>
      <c r="Y1625">
        <v>-5.6506969999999997E-3</v>
      </c>
      <c r="Z1625">
        <v>5.3862199999999999E-4</v>
      </c>
      <c r="AA1625">
        <v>0.99998390000000004</v>
      </c>
      <c r="AB1625">
        <v>31</v>
      </c>
      <c r="AC1625">
        <v>-0.758199999999987</v>
      </c>
      <c r="AD1625">
        <v>-7.3272999999999894E-2</v>
      </c>
      <c r="AE1625">
        <v>-1.44000000000232E-2</v>
      </c>
      <c r="AF1625">
        <v>-6.6171558875533698E-3</v>
      </c>
      <c r="AG1625">
        <v>-7.3272999999999894E-2</v>
      </c>
      <c r="AH1625">
        <v>0.75129319975361197</v>
      </c>
      <c r="AI1625">
        <v>95.570177795476994</v>
      </c>
      <c r="AJ1625">
        <v>90.504630284780703</v>
      </c>
      <c r="AK1625">
        <v>0.75488687316515202</v>
      </c>
      <c r="AL1625">
        <v>88.850434307272593</v>
      </c>
      <c r="AM1625">
        <v>91.032141069913607</v>
      </c>
      <c r="AN1625">
        <v>0.99999998913716703</v>
      </c>
    </row>
    <row r="1626" spans="1:40" x14ac:dyDescent="0.3">
      <c r="A1626" t="str">
        <f>"20200111160437745"</f>
        <v>20200111160437745</v>
      </c>
      <c r="B1626" t="str">
        <f>"1578729877742226"</f>
        <v>1578729877742226</v>
      </c>
      <c r="C1626" t="s">
        <v>40</v>
      </c>
      <c r="D1626">
        <v>5.7319500000000003</v>
      </c>
      <c r="E1626">
        <v>0.5038456</v>
      </c>
      <c r="F1626" t="s">
        <v>42</v>
      </c>
      <c r="G1626">
        <v>-277.42829999999998</v>
      </c>
      <c r="H1626">
        <v>1.0058929999999999</v>
      </c>
      <c r="I1626">
        <v>284.19049999999999</v>
      </c>
      <c r="J1626">
        <v>-276.99779999999998</v>
      </c>
      <c r="K1626">
        <v>1.1087959999999999</v>
      </c>
      <c r="L1626">
        <v>284.21019999999999</v>
      </c>
      <c r="M1626">
        <v>-0.99986470000000005</v>
      </c>
      <c r="N1626">
        <v>0</v>
      </c>
      <c r="O1626">
        <v>-8.1198169999999997E-3</v>
      </c>
      <c r="P1626">
        <v>-0.99963150000000001</v>
      </c>
      <c r="Q1626">
        <v>5.0473100000000002E-3</v>
      </c>
      <c r="R1626">
        <v>-2.667539E-2</v>
      </c>
      <c r="S1626">
        <v>-3.0011899999999998</v>
      </c>
      <c r="T1626">
        <v>-0.41733320000000002</v>
      </c>
      <c r="U1626">
        <v>-8.4625240000000004E-2</v>
      </c>
      <c r="V1626">
        <v>-1.8479880000000001E-2</v>
      </c>
      <c r="W1626">
        <v>1.9430670000000001E-2</v>
      </c>
      <c r="X1626">
        <v>0.99964039999999998</v>
      </c>
      <c r="Y1626">
        <v>-1.9953909999999998E-2</v>
      </c>
      <c r="Z1626">
        <v>-2.5688579999999999E-4</v>
      </c>
      <c r="AA1626">
        <v>0.99980089999999999</v>
      </c>
      <c r="AB1626">
        <v>31</v>
      </c>
      <c r="AC1626">
        <v>-0.430499999999995</v>
      </c>
      <c r="AD1626">
        <v>-0.102902999999999</v>
      </c>
      <c r="AE1626">
        <v>-1.97000000000002E-2</v>
      </c>
      <c r="AF1626">
        <v>-1.53293822883013E-2</v>
      </c>
      <c r="AG1626">
        <v>-0.102902999999999</v>
      </c>
      <c r="AH1626">
        <v>0.40741629209122798</v>
      </c>
      <c r="AI1626">
        <v>104.16537509931101</v>
      </c>
      <c r="AJ1626">
        <v>92.154785660771395</v>
      </c>
      <c r="AK1626">
        <v>0.42049025248120298</v>
      </c>
      <c r="AL1626">
        <v>88.886634542022307</v>
      </c>
      <c r="AM1626">
        <v>91.059079381831793</v>
      </c>
      <c r="AN1626">
        <v>0.99999999310681098</v>
      </c>
    </row>
    <row r="1627" spans="1:40" x14ac:dyDescent="0.3">
      <c r="A1627" t="str">
        <f>"20200111160437766"</f>
        <v>20200111160437766</v>
      </c>
      <c r="B1627" t="str">
        <f>"1578729877762723"</f>
        <v>1578729877762723</v>
      </c>
      <c r="C1627" t="s">
        <v>40</v>
      </c>
      <c r="D1627">
        <v>5.728186</v>
      </c>
      <c r="E1627">
        <v>0.50959209999999899</v>
      </c>
      <c r="F1627" t="s">
        <v>42</v>
      </c>
      <c r="G1627">
        <v>-277.96199999999999</v>
      </c>
      <c r="H1627">
        <v>0.97429480000000002</v>
      </c>
      <c r="I1627">
        <v>284.18560000000002</v>
      </c>
      <c r="J1627">
        <v>-277.28980000000001</v>
      </c>
      <c r="K1627">
        <v>1.108714</v>
      </c>
      <c r="L1627">
        <v>284.20999999999998</v>
      </c>
      <c r="M1627">
        <v>-0.99987910000000002</v>
      </c>
      <c r="N1627">
        <v>0</v>
      </c>
      <c r="O1627">
        <v>-6.0700659999999998E-3</v>
      </c>
      <c r="P1627">
        <v>-0.99967969999999895</v>
      </c>
      <c r="Q1627">
        <v>4.9279559999999998E-3</v>
      </c>
      <c r="R1627">
        <v>-2.482788E-2</v>
      </c>
      <c r="S1627">
        <v>-3.00116</v>
      </c>
      <c r="T1627">
        <v>-0.41867650000000001</v>
      </c>
      <c r="U1627">
        <v>-7.6934810000000006E-2</v>
      </c>
      <c r="V1627">
        <v>-1.8678210000000001E-2</v>
      </c>
      <c r="W1627">
        <v>1.931863E-2</v>
      </c>
      <c r="X1627">
        <v>0.9996389</v>
      </c>
      <c r="Y1627">
        <v>-1.942818E-2</v>
      </c>
      <c r="Z1627">
        <v>-5.057614E-4</v>
      </c>
      <c r="AA1627">
        <v>0.99981109999999895</v>
      </c>
      <c r="AB1627">
        <v>31</v>
      </c>
      <c r="AC1627">
        <v>-0.67219999999997504</v>
      </c>
      <c r="AD1627">
        <v>-0.13441919999999899</v>
      </c>
      <c r="AE1627">
        <v>-2.43999999999573E-2</v>
      </c>
      <c r="AF1627">
        <v>-1.9538561297400801E-2</v>
      </c>
      <c r="AG1627">
        <v>-0.13441919999999899</v>
      </c>
      <c r="AH1627">
        <v>0.64651707537412495</v>
      </c>
      <c r="AI1627">
        <v>101.739985461594</v>
      </c>
      <c r="AJ1627">
        <v>91.731023841501099</v>
      </c>
      <c r="AK1627">
        <v>0.66063197429168097</v>
      </c>
      <c r="AL1627">
        <v>88.893055182545993</v>
      </c>
      <c r="AM1627">
        <v>91.070444622058403</v>
      </c>
      <c r="AN1627">
        <v>1.00000000769354</v>
      </c>
    </row>
    <row r="1628" spans="1:40" x14ac:dyDescent="0.3">
      <c r="A1628" t="str">
        <f>"20200111160437789"</f>
        <v>20200111160437789</v>
      </c>
      <c r="B1628" t="str">
        <f>"1578729877782242"</f>
        <v>1578729877782242</v>
      </c>
      <c r="C1628" t="s">
        <v>40</v>
      </c>
      <c r="D1628">
        <v>5.7345990000000002</v>
      </c>
      <c r="E1628">
        <v>0.50959869999999996</v>
      </c>
      <c r="F1628" t="s">
        <v>42</v>
      </c>
      <c r="G1628">
        <v>-278.2448</v>
      </c>
      <c r="H1628">
        <v>0.99355020000000005</v>
      </c>
      <c r="I1628">
        <v>284.20319999999998</v>
      </c>
      <c r="J1628">
        <v>-277.6035</v>
      </c>
      <c r="K1628">
        <v>1.108633</v>
      </c>
      <c r="L1628">
        <v>284.21050000000002</v>
      </c>
      <c r="M1628">
        <v>-0.99989039999999996</v>
      </c>
      <c r="N1628">
        <v>0</v>
      </c>
      <c r="O1628">
        <v>-3.7708260000000001E-3</v>
      </c>
      <c r="P1628">
        <v>-0.99974200000000002</v>
      </c>
      <c r="Q1628">
        <v>4.8256219999999999E-3</v>
      </c>
      <c r="R1628">
        <v>-2.2198209999999999E-2</v>
      </c>
      <c r="S1628">
        <v>-3.0021969999999998</v>
      </c>
      <c r="T1628">
        <v>-0.36203590000000002</v>
      </c>
      <c r="U1628">
        <v>-2.1759029999999999E-2</v>
      </c>
      <c r="V1628">
        <v>-1.8343620000000001E-2</v>
      </c>
      <c r="W1628">
        <v>1.9220899999999999E-2</v>
      </c>
      <c r="X1628">
        <v>0.99964699999999995</v>
      </c>
      <c r="Y1628">
        <v>-3.4784680000000002E-3</v>
      </c>
      <c r="Z1628">
        <v>2.4414700000000001E-4</v>
      </c>
      <c r="AA1628">
        <v>0.99999389999999999</v>
      </c>
      <c r="AB1628">
        <v>31</v>
      </c>
      <c r="AC1628">
        <v>-0.64130000000000098</v>
      </c>
      <c r="AD1628">
        <v>-0.115082799999999</v>
      </c>
      <c r="AE1628">
        <v>-7.3000000000433803E-3</v>
      </c>
      <c r="AF1628">
        <v>-4.72919428304161E-3</v>
      </c>
      <c r="AG1628">
        <v>-0.115082799999999</v>
      </c>
      <c r="AH1628">
        <v>0.62131719087431203</v>
      </c>
      <c r="AI1628">
        <v>100.493325035094</v>
      </c>
      <c r="AJ1628">
        <v>90.436101952840801</v>
      </c>
      <c r="AK1628">
        <v>0.63190305254077805</v>
      </c>
      <c r="AL1628">
        <v>88.898655761311005</v>
      </c>
      <c r="AM1628">
        <v>91.051265159702893</v>
      </c>
      <c r="AN1628">
        <v>1.0000000280002499</v>
      </c>
    </row>
    <row r="1629" spans="1:40" x14ac:dyDescent="0.3">
      <c r="A1629" t="str">
        <f>"20200111160437802"</f>
        <v>20200111160437802</v>
      </c>
      <c r="B1629" t="str">
        <f>"1578729877792978"</f>
        <v>1578729877792978</v>
      </c>
      <c r="C1629" t="s">
        <v>40</v>
      </c>
      <c r="D1629">
        <v>6.3203269999999998</v>
      </c>
      <c r="E1629">
        <v>0.50959869999999996</v>
      </c>
      <c r="F1629" t="s">
        <v>42</v>
      </c>
      <c r="G1629">
        <v>-278.5215</v>
      </c>
      <c r="H1629">
        <v>1.0001979999999999</v>
      </c>
      <c r="I1629">
        <v>284.20679999999999</v>
      </c>
      <c r="J1629">
        <v>-277.79730000000001</v>
      </c>
      <c r="K1629">
        <v>1.108584</v>
      </c>
      <c r="L1629">
        <v>284.21120000000002</v>
      </c>
      <c r="M1629">
        <v>-0.99989479999999997</v>
      </c>
      <c r="N1629">
        <v>0</v>
      </c>
      <c r="O1629">
        <v>-2.3096499999999999E-3</v>
      </c>
      <c r="P1629">
        <v>-0.99978140000000004</v>
      </c>
      <c r="Q1629">
        <v>4.6588669999999997E-3</v>
      </c>
      <c r="R1629">
        <v>-2.0387410000000002E-2</v>
      </c>
      <c r="S1629">
        <v>-3.0021969999999998</v>
      </c>
      <c r="T1629">
        <v>-0.3546086</v>
      </c>
      <c r="U1629">
        <v>-1.293945E-2</v>
      </c>
      <c r="V1629">
        <v>-1.7992379999999999E-2</v>
      </c>
      <c r="W1629">
        <v>1.9056420000000001E-2</v>
      </c>
      <c r="X1629">
        <v>0.99965649999999995</v>
      </c>
      <c r="Y1629">
        <v>-2.0022159999999998E-3</v>
      </c>
      <c r="Z1629">
        <v>1.5405160000000001E-4</v>
      </c>
      <c r="AA1629">
        <v>0.99999800000000005</v>
      </c>
      <c r="AB1629">
        <v>31</v>
      </c>
      <c r="AC1629">
        <v>-0.72419999999999596</v>
      </c>
      <c r="AD1629">
        <v>-0.108386</v>
      </c>
      <c r="AE1629">
        <v>-4.4000000000323702E-3</v>
      </c>
      <c r="AF1629">
        <v>-2.6674227200092198E-3</v>
      </c>
      <c r="AG1629">
        <v>-0.108386</v>
      </c>
      <c r="AH1629">
        <v>0.70834262486090904</v>
      </c>
      <c r="AI1629">
        <v>98.699492461671895</v>
      </c>
      <c r="AJ1629">
        <v>90.215759063841901</v>
      </c>
      <c r="AK1629">
        <v>0.71659187431536697</v>
      </c>
      <c r="AL1629">
        <v>88.908081461737495</v>
      </c>
      <c r="AM1629">
        <v>91.031130334235897</v>
      </c>
      <c r="AN1629">
        <v>0.99999999543676499</v>
      </c>
    </row>
    <row r="1630" spans="1:40" x14ac:dyDescent="0.3">
      <c r="A1630" t="str">
        <f>"20200111160437823"</f>
        <v>20200111160437823</v>
      </c>
      <c r="B1630" t="str">
        <f>"1578729877812497"</f>
        <v>1578729877812497</v>
      </c>
      <c r="C1630" t="s">
        <v>40</v>
      </c>
      <c r="D1630">
        <v>5.6790120000000002</v>
      </c>
      <c r="E1630">
        <v>0.50872669999999998</v>
      </c>
      <c r="F1630" t="s">
        <v>42</v>
      </c>
      <c r="G1630">
        <v>-278.53199999999998</v>
      </c>
      <c r="H1630">
        <v>1.021703</v>
      </c>
      <c r="I1630">
        <v>284.20960000000002</v>
      </c>
      <c r="J1630">
        <v>-278.06979999999999</v>
      </c>
      <c r="K1630">
        <v>1.108519</v>
      </c>
      <c r="L1630">
        <v>284.21280000000002</v>
      </c>
      <c r="M1630">
        <v>-0.99989749999999999</v>
      </c>
      <c r="N1630">
        <v>0</v>
      </c>
      <c r="O1630">
        <v>-1.8456540000000001E-4</v>
      </c>
      <c r="P1630">
        <v>-0.99982709999999997</v>
      </c>
      <c r="Q1630">
        <v>4.1347780000000004E-3</v>
      </c>
      <c r="R1630">
        <v>-1.8133590000000002E-2</v>
      </c>
      <c r="S1630">
        <v>-3.0021969999999998</v>
      </c>
      <c r="T1630">
        <v>-0.35508689999999998</v>
      </c>
      <c r="U1630">
        <v>-7.5378419999999899E-3</v>
      </c>
      <c r="V1630">
        <v>-1.786337E-2</v>
      </c>
      <c r="W1630">
        <v>1.853629E-2</v>
      </c>
      <c r="X1630">
        <v>0.99966860000000002</v>
      </c>
      <c r="Y1630">
        <v>-2.3113589999999998E-3</v>
      </c>
      <c r="Z1630">
        <v>-1.144579E-4</v>
      </c>
      <c r="AA1630">
        <v>0.99999729999999998</v>
      </c>
      <c r="AB1630">
        <v>31</v>
      </c>
      <c r="AC1630">
        <v>-0.462199999999995</v>
      </c>
      <c r="AD1630">
        <v>-8.6815999999999893E-2</v>
      </c>
      <c r="AE1630">
        <v>-3.19999999999254E-3</v>
      </c>
      <c r="AF1630">
        <v>-3.0085459514326198E-3</v>
      </c>
      <c r="AG1630">
        <v>-8.6815999999999893E-2</v>
      </c>
      <c r="AH1630">
        <v>0.446450173600006</v>
      </c>
      <c r="AI1630">
        <v>101.004069236497</v>
      </c>
      <c r="AJ1630">
        <v>90.386099919866695</v>
      </c>
      <c r="AK1630">
        <v>0.454822852011876</v>
      </c>
      <c r="AL1630">
        <v>88.937887988736804</v>
      </c>
      <c r="AM1630">
        <v>91.023726054546501</v>
      </c>
      <c r="AN1630">
        <v>1.0000000019303401</v>
      </c>
    </row>
    <row r="1631" spans="1:40" x14ac:dyDescent="0.3">
      <c r="A1631" t="str">
        <f>"20200111160437843"</f>
        <v>20200111160437843</v>
      </c>
      <c r="B1631" t="str">
        <f>"1578729877832017"</f>
        <v>1578729877832017</v>
      </c>
      <c r="C1631" t="s">
        <v>40</v>
      </c>
      <c r="D1631">
        <v>5.6558250000000001</v>
      </c>
      <c r="E1631">
        <v>0.50787759999999904</v>
      </c>
      <c r="F1631" t="s">
        <v>61</v>
      </c>
      <c r="G1631">
        <v>-308.56209999999999</v>
      </c>
      <c r="H1631" s="1">
        <v>2.4741690000000002E-6</v>
      </c>
      <c r="I1631">
        <v>284.2921</v>
      </c>
      <c r="J1631">
        <v>-278.35109999999997</v>
      </c>
      <c r="K1631">
        <v>1.108455</v>
      </c>
      <c r="L1631">
        <v>284.21510000000001</v>
      </c>
      <c r="M1631">
        <v>-0.99989519999999998</v>
      </c>
      <c r="N1631">
        <v>0</v>
      </c>
      <c r="O1631">
        <v>2.090602E-3</v>
      </c>
      <c r="P1631">
        <v>-0.9998669</v>
      </c>
      <c r="Q1631">
        <v>3.5545619999999998E-3</v>
      </c>
      <c r="R1631">
        <v>-1.5930900000000001E-2</v>
      </c>
      <c r="S1631">
        <v>-3.001099</v>
      </c>
      <c r="T1631">
        <v>-0.1091018</v>
      </c>
      <c r="U1631">
        <v>7.8125E-3</v>
      </c>
      <c r="V1631">
        <v>-1.7935059999999999E-2</v>
      </c>
      <c r="W1631">
        <v>1.7960360000000002E-2</v>
      </c>
      <c r="X1631">
        <v>0.99967779999999995</v>
      </c>
      <c r="Y1631">
        <v>5.1343120000000003E-4</v>
      </c>
      <c r="Z1631" s="1">
        <v>-6.6654609999999896E-5</v>
      </c>
      <c r="AA1631">
        <v>0.99999990000000005</v>
      </c>
      <c r="AB1631">
        <v>30</v>
      </c>
      <c r="AC1631">
        <v>-30.210999999999999</v>
      </c>
      <c r="AD1631">
        <v>-1.1084525258310001</v>
      </c>
      <c r="AE1631">
        <v>7.6999999999998098E-2</v>
      </c>
      <c r="AF1631">
        <v>1.3815574797807199E-2</v>
      </c>
      <c r="AG1631">
        <v>-1.1084525258310001</v>
      </c>
      <c r="AH1631">
        <v>30.170480245315002</v>
      </c>
      <c r="AI1631">
        <v>92.104079628316796</v>
      </c>
      <c r="AJ1631">
        <v>89.973763292274498</v>
      </c>
      <c r="AK1631">
        <v>30.190838612153001</v>
      </c>
      <c r="AL1631">
        <v>88.970891812612905</v>
      </c>
      <c r="AM1631">
        <v>91.027824176711604</v>
      </c>
      <c r="AN1631">
        <v>0.99999997236068605</v>
      </c>
    </row>
    <row r="1632" spans="1:40" x14ac:dyDescent="0.3">
      <c r="A1632" t="str">
        <f>"20200111160437857"</f>
        <v>20200111160437857</v>
      </c>
      <c r="B1632" t="str">
        <f>"1578729877852514"</f>
        <v>1578729877852514</v>
      </c>
      <c r="C1632" t="s">
        <v>40</v>
      </c>
      <c r="D1632">
        <v>5.59619</v>
      </c>
      <c r="E1632">
        <v>0.50762390000000002</v>
      </c>
      <c r="F1632" t="s">
        <v>42</v>
      </c>
      <c r="G1632">
        <v>-279.08019999999999</v>
      </c>
      <c r="H1632">
        <v>1.0255099999999999</v>
      </c>
      <c r="I1632">
        <v>284.21359999999999</v>
      </c>
      <c r="J1632">
        <v>-278.54090000000002</v>
      </c>
      <c r="K1632">
        <v>1.1084099999999999</v>
      </c>
      <c r="L1632">
        <v>284.21710000000002</v>
      </c>
      <c r="M1632">
        <v>-0.99989059999999996</v>
      </c>
      <c r="N1632">
        <v>0</v>
      </c>
      <c r="O1632">
        <v>3.6741159999999998E-3</v>
      </c>
      <c r="P1632">
        <v>-0.99988960000000005</v>
      </c>
      <c r="Q1632">
        <v>3.3916139999999998E-3</v>
      </c>
      <c r="R1632">
        <v>-1.4476670000000001E-2</v>
      </c>
      <c r="S1632">
        <v>-3.0014949999999998</v>
      </c>
      <c r="T1632">
        <v>-0.34140930000000003</v>
      </c>
      <c r="U1632">
        <v>-6.6528319999999896E-3</v>
      </c>
      <c r="V1632">
        <v>-1.8063820000000001E-2</v>
      </c>
      <c r="W1632">
        <v>1.780112E-2</v>
      </c>
      <c r="X1632">
        <v>0.99967839999999997</v>
      </c>
      <c r="Y1632">
        <v>-5.8296850000000002E-3</v>
      </c>
      <c r="Z1632">
        <v>-7.471035E-4</v>
      </c>
      <c r="AA1632">
        <v>0.9999827</v>
      </c>
      <c r="AB1632">
        <v>30</v>
      </c>
      <c r="AC1632">
        <v>-0.53929999999996803</v>
      </c>
      <c r="AD1632">
        <v>-8.2899999999999904E-2</v>
      </c>
      <c r="AE1632">
        <v>-3.5000000000309198E-3</v>
      </c>
      <c r="AF1632">
        <v>-5.3550993938265099E-3</v>
      </c>
      <c r="AG1632">
        <v>-8.2899999999999904E-2</v>
      </c>
      <c r="AH1632">
        <v>0.52683534783874897</v>
      </c>
      <c r="AI1632">
        <v>98.941978524739596</v>
      </c>
      <c r="AJ1632">
        <v>90.582371758070096</v>
      </c>
      <c r="AK1632">
        <v>0.53334470169102999</v>
      </c>
      <c r="AL1632">
        <v>88.980017123179493</v>
      </c>
      <c r="AM1632">
        <v>91.035200946185</v>
      </c>
      <c r="AN1632">
        <v>1.0000000424464</v>
      </c>
    </row>
    <row r="1633" spans="1:40" x14ac:dyDescent="0.3">
      <c r="A1633" t="str">
        <f>"20200111160437876"</f>
        <v>20200111160437876</v>
      </c>
      <c r="B1633" t="str">
        <f>"1578729877872034"</f>
        <v>1578729877872034</v>
      </c>
      <c r="C1633" t="s">
        <v>40</v>
      </c>
      <c r="D1633">
        <v>5.5814729999999999</v>
      </c>
      <c r="E1633">
        <v>0.50728739999999894</v>
      </c>
      <c r="F1633" t="s">
        <v>42</v>
      </c>
      <c r="G1633">
        <v>-279.34800000000001</v>
      </c>
      <c r="H1633">
        <v>1.015576</v>
      </c>
      <c r="I1633">
        <v>284.21589999999998</v>
      </c>
      <c r="J1633">
        <v>-278.80579999999998</v>
      </c>
      <c r="K1633">
        <v>1.1083480000000001</v>
      </c>
      <c r="L1633">
        <v>284.22039999999998</v>
      </c>
      <c r="M1633">
        <v>-0.99987990000000004</v>
      </c>
      <c r="N1633">
        <v>0</v>
      </c>
      <c r="O1633">
        <v>5.9218489999999999E-3</v>
      </c>
      <c r="P1633">
        <v>-0.9999188</v>
      </c>
      <c r="Q1633">
        <v>2.4594349999999998E-3</v>
      </c>
      <c r="R1633">
        <v>-1.2515800000000001E-2</v>
      </c>
      <c r="S1633">
        <v>-3.001465</v>
      </c>
      <c r="T1633">
        <v>-0.3452055</v>
      </c>
      <c r="U1633">
        <v>-4.4250490000000003E-3</v>
      </c>
      <c r="V1633">
        <v>-1.8352500000000001E-2</v>
      </c>
      <c r="W1633">
        <v>1.6874770000000001E-2</v>
      </c>
      <c r="X1633">
        <v>0.99968919999999994</v>
      </c>
      <c r="Y1633">
        <v>-7.3094930000000002E-3</v>
      </c>
      <c r="Z1633">
        <v>-1.0978749999999999E-3</v>
      </c>
      <c r="AA1633">
        <v>0.99997270000000005</v>
      </c>
      <c r="AB1633">
        <v>30</v>
      </c>
      <c r="AC1633">
        <v>-0.54220000000003599</v>
      </c>
      <c r="AD1633">
        <v>-9.2771999999999799E-2</v>
      </c>
      <c r="AE1633">
        <v>-4.5000000000072699E-3</v>
      </c>
      <c r="AF1633">
        <v>-7.4917616951517803E-3</v>
      </c>
      <c r="AG1633">
        <v>-9.2771999999999799E-2</v>
      </c>
      <c r="AH1633">
        <v>0.52674384025105403</v>
      </c>
      <c r="AI1633">
        <v>99.987706066919898</v>
      </c>
      <c r="AJ1633">
        <v>90.814850318592093</v>
      </c>
      <c r="AK1633">
        <v>0.53490358357345502</v>
      </c>
      <c r="AL1633">
        <v>89.033101039584906</v>
      </c>
      <c r="AM1633">
        <v>91.051729565795497</v>
      </c>
      <c r="AN1633">
        <v>1.00000003435772</v>
      </c>
    </row>
    <row r="1634" spans="1:40" x14ac:dyDescent="0.3">
      <c r="A1634" t="str">
        <f>"20200111160437901"</f>
        <v>20200111160437901</v>
      </c>
      <c r="B1634" t="str">
        <f>"1578729877892530"</f>
        <v>1578729877892530</v>
      </c>
      <c r="C1634" t="s">
        <v>40</v>
      </c>
      <c r="D1634">
        <v>5.5817389999999998</v>
      </c>
      <c r="E1634">
        <v>0.50697409999999998</v>
      </c>
      <c r="F1634" t="s">
        <v>42</v>
      </c>
      <c r="G1634">
        <v>-279.61939999999998</v>
      </c>
      <c r="H1634">
        <v>1.013725</v>
      </c>
      <c r="I1634">
        <v>284.22019999999998</v>
      </c>
      <c r="J1634">
        <v>-279.13209999999998</v>
      </c>
      <c r="K1634">
        <v>1.1082879999999999</v>
      </c>
      <c r="L1634">
        <v>284.2253</v>
      </c>
      <c r="M1634">
        <v>-0.9998591</v>
      </c>
      <c r="N1634">
        <v>0</v>
      </c>
      <c r="O1634">
        <v>8.748568E-3</v>
      </c>
      <c r="P1634">
        <v>-0.99994530000000004</v>
      </c>
      <c r="Q1634">
        <v>1.9959729999999998E-3</v>
      </c>
      <c r="R1634">
        <v>-1.027336E-2</v>
      </c>
      <c r="S1634">
        <v>-3.00116</v>
      </c>
      <c r="T1634">
        <v>-0.34908319999999998</v>
      </c>
      <c r="U1634">
        <v>-1.556396E-3</v>
      </c>
      <c r="V1634">
        <v>-1.893707E-2</v>
      </c>
      <c r="W1634">
        <v>1.6417540000000001E-2</v>
      </c>
      <c r="X1634">
        <v>0.99968590000000002</v>
      </c>
      <c r="Y1634">
        <v>-9.1473830000000002E-3</v>
      </c>
      <c r="Z1634">
        <v>-1.544482E-3</v>
      </c>
      <c r="AA1634">
        <v>0.99995699999999998</v>
      </c>
      <c r="AB1634">
        <v>30</v>
      </c>
      <c r="AC1634">
        <v>-0.48730000000000401</v>
      </c>
      <c r="AD1634">
        <v>-9.4562999999999897E-2</v>
      </c>
      <c r="AE1634">
        <v>-5.1000000000271904E-3</v>
      </c>
      <c r="AF1634">
        <v>-9.0236500733308998E-3</v>
      </c>
      <c r="AG1634">
        <v>-9.4562999999999897E-2</v>
      </c>
      <c r="AH1634">
        <v>0.469556415338518</v>
      </c>
      <c r="AI1634">
        <v>101.38432957549399</v>
      </c>
      <c r="AJ1634">
        <v>91.100939985070696</v>
      </c>
      <c r="AK1634">
        <v>0.47906869488123</v>
      </c>
      <c r="AL1634">
        <v>89.059302008242099</v>
      </c>
      <c r="AM1634">
        <v>91.085225303103798</v>
      </c>
      <c r="AN1634">
        <v>1.00000002344932</v>
      </c>
    </row>
    <row r="1635" spans="1:40" x14ac:dyDescent="0.3">
      <c r="A1635" t="str">
        <f>"20200111160437923"</f>
        <v>20200111160437923</v>
      </c>
      <c r="B1635" t="str">
        <f>"1578729877912050"</f>
        <v>1578729877912050</v>
      </c>
      <c r="C1635" t="s">
        <v>40</v>
      </c>
      <c r="D1635">
        <v>5.536467</v>
      </c>
      <c r="E1635">
        <v>0.50669690000000001</v>
      </c>
      <c r="F1635" t="s">
        <v>42</v>
      </c>
      <c r="G1635">
        <v>-279.89429999999999</v>
      </c>
      <c r="H1635">
        <v>1.019288</v>
      </c>
      <c r="I1635">
        <v>284.22609999999997</v>
      </c>
      <c r="J1635">
        <v>-279.4307</v>
      </c>
      <c r="K1635">
        <v>1.10825</v>
      </c>
      <c r="L1635">
        <v>284.23070000000001</v>
      </c>
      <c r="M1635">
        <v>-0.99983259999999996</v>
      </c>
      <c r="N1635">
        <v>0</v>
      </c>
      <c r="O1635">
        <v>1.138029E-2</v>
      </c>
      <c r="P1635">
        <v>-0.99996430000000003</v>
      </c>
      <c r="Q1635">
        <v>1.587572E-3</v>
      </c>
      <c r="R1635">
        <v>-8.3061209999999996E-3</v>
      </c>
      <c r="S1635">
        <v>-3.0009160000000001</v>
      </c>
      <c r="T1635">
        <v>-0.35047840000000002</v>
      </c>
      <c r="U1635">
        <v>2.532959E-3</v>
      </c>
      <c r="V1635">
        <v>-1.9602649999999999E-2</v>
      </c>
      <c r="W1635">
        <v>1.6014670000000002E-2</v>
      </c>
      <c r="X1635">
        <v>0.9996796</v>
      </c>
      <c r="Y1635">
        <v>-1.038948E-2</v>
      </c>
      <c r="Z1635">
        <v>-1.9293610000000001E-3</v>
      </c>
      <c r="AA1635">
        <v>0.99994419999999995</v>
      </c>
      <c r="AB1635">
        <v>30</v>
      </c>
      <c r="AC1635">
        <v>-0.46359999999998502</v>
      </c>
      <c r="AD1635">
        <v>-8.8961999999999902E-2</v>
      </c>
      <c r="AE1635">
        <v>-4.6000000000390104E-3</v>
      </c>
      <c r="AF1635">
        <v>-9.5254234458471195E-3</v>
      </c>
      <c r="AG1635">
        <v>-8.8961999999999902E-2</v>
      </c>
      <c r="AH1635">
        <v>0.44705713738150199</v>
      </c>
      <c r="AI1635">
        <v>101.25204891593199</v>
      </c>
      <c r="AJ1635">
        <v>91.220613537390406</v>
      </c>
      <c r="AK1635">
        <v>0.455922203034208</v>
      </c>
      <c r="AL1635">
        <v>89.082387789182107</v>
      </c>
      <c r="AM1635">
        <v>91.123365117545504</v>
      </c>
      <c r="AN1635">
        <v>1.0000000180991899</v>
      </c>
    </row>
    <row r="1636" spans="1:40" x14ac:dyDescent="0.3">
      <c r="A1636" t="str">
        <f>"20200111160437943"</f>
        <v>20200111160437943</v>
      </c>
      <c r="B1636" t="str">
        <f>"1578729877932545"</f>
        <v>1578729877932545</v>
      </c>
      <c r="C1636" t="s">
        <v>40</v>
      </c>
      <c r="D1636">
        <v>5.5161819999999997</v>
      </c>
      <c r="E1636">
        <v>0.50630209999999998</v>
      </c>
      <c r="F1636" t="s">
        <v>42</v>
      </c>
      <c r="G1636">
        <v>-280.16739999999999</v>
      </c>
      <c r="H1636">
        <v>1.0221089999999999</v>
      </c>
      <c r="I1636">
        <v>284.23230000000001</v>
      </c>
      <c r="J1636">
        <v>-279.70710000000003</v>
      </c>
      <c r="K1636">
        <v>1.1082320000000001</v>
      </c>
      <c r="L1636">
        <v>284.2364</v>
      </c>
      <c r="M1636">
        <v>-0.99980170000000002</v>
      </c>
      <c r="N1636">
        <v>0</v>
      </c>
      <c r="O1636">
        <v>1.384312E-2</v>
      </c>
      <c r="P1636">
        <v>-0.99997910000000001</v>
      </c>
      <c r="Q1636">
        <v>9.3331369999999998E-4</v>
      </c>
      <c r="R1636">
        <v>-6.4378400000000002E-3</v>
      </c>
      <c r="S1636">
        <v>-3.0007320000000002</v>
      </c>
      <c r="T1636">
        <v>-0.35082839999999998</v>
      </c>
      <c r="U1636">
        <v>6.4086909999999898E-3</v>
      </c>
      <c r="V1636">
        <v>-2.0200139999999998E-2</v>
      </c>
      <c r="W1636">
        <v>1.5364350000000001E-2</v>
      </c>
      <c r="X1636">
        <v>0.99967790000000001</v>
      </c>
      <c r="Y1636">
        <v>-1.153614E-2</v>
      </c>
      <c r="Z1636">
        <v>-2.2851630000000002E-3</v>
      </c>
      <c r="AA1636">
        <v>0.99993089999999996</v>
      </c>
      <c r="AB1636">
        <v>30</v>
      </c>
      <c r="AC1636">
        <v>-0.46029999999996102</v>
      </c>
      <c r="AD1636">
        <v>-8.6122999999999894E-2</v>
      </c>
      <c r="AE1636">
        <v>-4.0999999999939904E-3</v>
      </c>
      <c r="AF1636">
        <v>-1.01180717681314E-2</v>
      </c>
      <c r="AG1636">
        <v>-8.6122999999999894E-2</v>
      </c>
      <c r="AH1636">
        <v>0.44463496849710799</v>
      </c>
      <c r="AI1636">
        <v>100.959320130443</v>
      </c>
      <c r="AJ1636">
        <v>91.303592418655199</v>
      </c>
      <c r="AK1636">
        <v>0.45301192226665499</v>
      </c>
      <c r="AL1636">
        <v>89.119652957027796</v>
      </c>
      <c r="AM1636">
        <v>91.157598145385293</v>
      </c>
      <c r="AN1636">
        <v>1.0000000063276699</v>
      </c>
    </row>
    <row r="1637" spans="1:40" x14ac:dyDescent="0.3">
      <c r="A1637" t="str">
        <f>"20200111160437956"</f>
        <v>20200111160437956</v>
      </c>
      <c r="B1637" t="str">
        <f>"1578729877952067"</f>
        <v>1578729877952067</v>
      </c>
      <c r="C1637" t="s">
        <v>40</v>
      </c>
      <c r="D1637">
        <v>5.446898</v>
      </c>
      <c r="E1637">
        <v>0.50589519999999999</v>
      </c>
      <c r="F1637" t="s">
        <v>42</v>
      </c>
      <c r="G1637">
        <v>-280.43889999999999</v>
      </c>
      <c r="H1637">
        <v>1.0223789999999999</v>
      </c>
      <c r="I1637">
        <v>284.23880000000003</v>
      </c>
      <c r="J1637">
        <v>-279.88380000000001</v>
      </c>
      <c r="K1637">
        <v>1.108225</v>
      </c>
      <c r="L1637">
        <v>284.2405</v>
      </c>
      <c r="M1637">
        <v>-0.99977839999999996</v>
      </c>
      <c r="N1637">
        <v>0</v>
      </c>
      <c r="O1637">
        <v>1.5426779999999999E-2</v>
      </c>
      <c r="P1637">
        <v>-0.99998699999999996</v>
      </c>
      <c r="Q1637">
        <v>7.9210100000000002E-4</v>
      </c>
      <c r="R1637">
        <v>-5.0414880000000002E-3</v>
      </c>
      <c r="S1637">
        <v>-3.0004580000000001</v>
      </c>
      <c r="T1637">
        <v>-0.3520472</v>
      </c>
      <c r="U1637">
        <v>8.8195800000000005E-3</v>
      </c>
      <c r="V1637">
        <v>-2.0387990000000002E-2</v>
      </c>
      <c r="W1637">
        <v>1.522417E-2</v>
      </c>
      <c r="X1637">
        <v>0.99967620000000001</v>
      </c>
      <c r="Y1637">
        <v>-1.2299050000000001E-2</v>
      </c>
      <c r="Z1637">
        <v>-2.5230349999999999E-3</v>
      </c>
      <c r="AA1637">
        <v>0.99992119999999995</v>
      </c>
      <c r="AB1637">
        <v>30</v>
      </c>
      <c r="AC1637">
        <v>-0.55509999999998105</v>
      </c>
      <c r="AD1637">
        <v>-8.5845999999999797E-2</v>
      </c>
      <c r="AE1637">
        <v>-1.6999999999711599E-3</v>
      </c>
      <c r="AF1637">
        <v>-1.00243369946972E-2</v>
      </c>
      <c r="AG1637">
        <v>-8.5845999999999797E-2</v>
      </c>
      <c r="AH1637">
        <v>0.54204402559265896</v>
      </c>
      <c r="AI1637">
        <v>98.997936002283197</v>
      </c>
      <c r="AJ1637">
        <v>91.059483565826895</v>
      </c>
      <c r="AK1637">
        <v>0.54889138153998995</v>
      </c>
      <c r="AL1637">
        <v>89.127685591704605</v>
      </c>
      <c r="AM1637">
        <v>91.168362176528504</v>
      </c>
      <c r="AN1637">
        <v>0.999999975167434</v>
      </c>
    </row>
    <row r="1638" spans="1:40" x14ac:dyDescent="0.3">
      <c r="A1638" t="str">
        <f>"20200111160437969"</f>
        <v>20200111160437969</v>
      </c>
      <c r="B1638" t="str">
        <f>"1578729877962332"</f>
        <v>1578729877962332</v>
      </c>
      <c r="C1638" t="s">
        <v>40</v>
      </c>
      <c r="D1638">
        <v>5.4756369999999999</v>
      </c>
      <c r="E1638">
        <v>0.50571219999999995</v>
      </c>
      <c r="F1638" t="s">
        <v>42</v>
      </c>
      <c r="G1638">
        <v>-280.70510000000002</v>
      </c>
      <c r="H1638">
        <v>1.012116</v>
      </c>
      <c r="I1638">
        <v>284.24329999999998</v>
      </c>
      <c r="J1638">
        <v>-280.05790000000002</v>
      </c>
      <c r="K1638">
        <v>1.108217</v>
      </c>
      <c r="L1638">
        <v>284.2448</v>
      </c>
      <c r="M1638">
        <v>-0.99975309999999995</v>
      </c>
      <c r="N1638">
        <v>0</v>
      </c>
      <c r="O1638">
        <v>1.698968E-2</v>
      </c>
      <c r="P1638">
        <v>-0.99999309999999997</v>
      </c>
      <c r="Q1638">
        <v>7.7097489999999999E-4</v>
      </c>
      <c r="R1638">
        <v>-3.648746E-3</v>
      </c>
      <c r="S1638">
        <v>-3.0003359999999999</v>
      </c>
      <c r="T1638">
        <v>-0.35107379999999999</v>
      </c>
      <c r="U1638">
        <v>1.004028E-2</v>
      </c>
      <c r="V1638">
        <v>-2.0558650000000001E-2</v>
      </c>
      <c r="W1638">
        <v>1.5203670000000001E-2</v>
      </c>
      <c r="X1638">
        <v>0.99967309999999998</v>
      </c>
      <c r="Y1638">
        <v>-1.3437849999999999E-2</v>
      </c>
      <c r="Z1638">
        <v>-2.7648590000000002E-3</v>
      </c>
      <c r="AA1638">
        <v>0.99990590000000001</v>
      </c>
      <c r="AB1638">
        <v>30</v>
      </c>
      <c r="AC1638">
        <v>-0.647199999999997</v>
      </c>
      <c r="AD1638">
        <v>-9.6101000000000006E-2</v>
      </c>
      <c r="AE1638">
        <v>-1.5000000000213701E-3</v>
      </c>
      <c r="AF1638">
        <v>-1.2227045666183E-2</v>
      </c>
      <c r="AG1638">
        <v>-9.6101000000000006E-2</v>
      </c>
      <c r="AH1638">
        <v>0.63312177765675004</v>
      </c>
      <c r="AI1638">
        <v>98.629407894375404</v>
      </c>
      <c r="AJ1638">
        <v>91.106376469964104</v>
      </c>
      <c r="AK1638">
        <v>0.64049050593273105</v>
      </c>
      <c r="AL1638">
        <v>89.128860363569004</v>
      </c>
      <c r="AM1638">
        <v>91.178142992986196</v>
      </c>
      <c r="AN1638">
        <v>1.00000005826744</v>
      </c>
    </row>
    <row r="1639" spans="1:40" x14ac:dyDescent="0.3">
      <c r="A1639" t="str">
        <f>"20200111160437988"</f>
        <v>20200111160437988</v>
      </c>
      <c r="B1639" t="str">
        <f>"1578729877982828"</f>
        <v>1578729877982828</v>
      </c>
      <c r="C1639" t="s">
        <v>40</v>
      </c>
      <c r="D1639">
        <v>5.4620309999999996</v>
      </c>
      <c r="E1639">
        <v>0.50563789999999997</v>
      </c>
      <c r="F1639" t="s">
        <v>42</v>
      </c>
      <c r="G1639">
        <v>-280.9708</v>
      </c>
      <c r="H1639">
        <v>1.00156</v>
      </c>
      <c r="I1639">
        <v>284.24889999999999</v>
      </c>
      <c r="J1639">
        <v>-280.3288</v>
      </c>
      <c r="K1639">
        <v>1.108212</v>
      </c>
      <c r="L1639">
        <v>284.25189999999998</v>
      </c>
      <c r="M1639">
        <v>-0.99970870000000001</v>
      </c>
      <c r="N1639">
        <v>0</v>
      </c>
      <c r="O1639">
        <v>1.9424190000000001E-2</v>
      </c>
      <c r="P1639">
        <v>-0.99999830000000001</v>
      </c>
      <c r="Q1639">
        <v>1.116747E-3</v>
      </c>
      <c r="R1639">
        <v>-1.4678320000000001E-3</v>
      </c>
      <c r="S1639">
        <v>-3.0003359999999999</v>
      </c>
      <c r="T1639">
        <v>-0.35054869999999999</v>
      </c>
      <c r="U1639">
        <v>1.272583E-2</v>
      </c>
      <c r="V1639">
        <v>-2.0810220000000001E-2</v>
      </c>
      <c r="W1639">
        <v>1.555029E-2</v>
      </c>
      <c r="X1639">
        <v>0.99966250000000001</v>
      </c>
      <c r="Y1639">
        <v>-1.4951559999999999E-2</v>
      </c>
      <c r="Z1639">
        <v>-3.1323340000000001E-3</v>
      </c>
      <c r="AA1639">
        <v>0.99988330000000003</v>
      </c>
      <c r="AB1639">
        <v>30</v>
      </c>
      <c r="AC1639">
        <v>-0.64199999999999502</v>
      </c>
      <c r="AD1639">
        <v>-0.106651999999999</v>
      </c>
      <c r="AE1639">
        <v>-2.9999999999858998E-3</v>
      </c>
      <c r="AF1639">
        <v>-1.5055558620328599E-2</v>
      </c>
      <c r="AG1639">
        <v>-0.106651999999999</v>
      </c>
      <c r="AH1639">
        <v>0.62458406093441998</v>
      </c>
      <c r="AI1639">
        <v>99.687425041760704</v>
      </c>
      <c r="AJ1639">
        <v>91.380843676310405</v>
      </c>
      <c r="AK1639">
        <v>0.63380325663623804</v>
      </c>
      <c r="AL1639">
        <v>89.108998097096205</v>
      </c>
      <c r="AM1639">
        <v>91.192568076973203</v>
      </c>
      <c r="AN1639">
        <v>0.99999999534089101</v>
      </c>
    </row>
    <row r="1640" spans="1:40" x14ac:dyDescent="0.3">
      <c r="A1640" t="str">
        <f>"20200111160438012"</f>
        <v>20200111160438012</v>
      </c>
      <c r="B1640" t="str">
        <f>"1578729878002348"</f>
        <v>1578729878002348</v>
      </c>
      <c r="C1640" t="s">
        <v>40</v>
      </c>
      <c r="D1640">
        <v>5.426088</v>
      </c>
      <c r="E1640">
        <v>0.50163610000000003</v>
      </c>
      <c r="F1640" t="s">
        <v>42</v>
      </c>
      <c r="G1640">
        <v>-281.24130000000002</v>
      </c>
      <c r="H1640">
        <v>1.001992</v>
      </c>
      <c r="I1640">
        <v>284.25760000000002</v>
      </c>
      <c r="J1640">
        <v>-280.63709999999998</v>
      </c>
      <c r="K1640">
        <v>1.108204</v>
      </c>
      <c r="L1640">
        <v>284.26089999999999</v>
      </c>
      <c r="M1640">
        <v>-0.99965119999999996</v>
      </c>
      <c r="N1640">
        <v>0</v>
      </c>
      <c r="O1640">
        <v>2.2194640000000002E-2</v>
      </c>
      <c r="P1640">
        <v>-0.99999890000000002</v>
      </c>
      <c r="Q1640">
        <v>1.3606639999999999E-3</v>
      </c>
      <c r="R1640">
        <v>8.0261329999999997E-4</v>
      </c>
      <c r="S1640">
        <v>-3.0004270000000002</v>
      </c>
      <c r="T1640">
        <v>-0.34921720000000001</v>
      </c>
      <c r="U1640">
        <v>1.8890379999999998E-2</v>
      </c>
      <c r="V1640">
        <v>-2.1309700000000001E-2</v>
      </c>
      <c r="W1640">
        <v>1.579535E-2</v>
      </c>
      <c r="X1640">
        <v>0.99964819999999999</v>
      </c>
      <c r="Y1640">
        <v>-1.5646839999999999E-2</v>
      </c>
      <c r="Z1640">
        <v>-3.48205E-3</v>
      </c>
      <c r="AA1640">
        <v>0.99987150000000002</v>
      </c>
      <c r="AB1640">
        <v>30</v>
      </c>
      <c r="AC1640">
        <v>-0.60420000000004803</v>
      </c>
      <c r="AD1640">
        <v>-0.106212</v>
      </c>
      <c r="AE1640">
        <v>-3.2999999999674301E-3</v>
      </c>
      <c r="AF1640">
        <v>-1.62096671310154E-2</v>
      </c>
      <c r="AG1640">
        <v>-0.106212</v>
      </c>
      <c r="AH1640">
        <v>0.58587379017459396</v>
      </c>
      <c r="AI1640">
        <v>100.27160231995801</v>
      </c>
      <c r="AJ1640">
        <v>91.584827067167495</v>
      </c>
      <c r="AK1640">
        <v>0.595644055007722</v>
      </c>
      <c r="AL1640">
        <v>89.094955527061799</v>
      </c>
      <c r="AM1640">
        <v>91.221200597996699</v>
      </c>
      <c r="AN1640">
        <v>1.0000000600794701</v>
      </c>
    </row>
    <row r="1641" spans="1:40" x14ac:dyDescent="0.3">
      <c r="A1641" t="str">
        <f>"20200111160438025"</f>
        <v>20200111160438025</v>
      </c>
      <c r="B1641" t="str">
        <f>"1578729878022844"</f>
        <v>1578729878022844</v>
      </c>
      <c r="C1641" t="s">
        <v>40</v>
      </c>
      <c r="D1641">
        <v>5.4592599999999996</v>
      </c>
      <c r="E1641">
        <v>0.50140989999999996</v>
      </c>
      <c r="F1641" t="s">
        <v>42</v>
      </c>
      <c r="G1641">
        <v>-281.51679999999999</v>
      </c>
      <c r="H1641">
        <v>1.012254</v>
      </c>
      <c r="I1641">
        <v>284.25959999999998</v>
      </c>
      <c r="J1641">
        <v>-280.8175</v>
      </c>
      <c r="K1641">
        <v>1.1082050000000001</v>
      </c>
      <c r="L1641">
        <v>284.26650000000001</v>
      </c>
      <c r="M1641">
        <v>-0.9996138</v>
      </c>
      <c r="N1641">
        <v>0</v>
      </c>
      <c r="O1641">
        <v>2.381463E-2</v>
      </c>
      <c r="P1641">
        <v>-0.99999669999999896</v>
      </c>
      <c r="Q1641">
        <v>1.4318530000000001E-3</v>
      </c>
      <c r="R1641">
        <v>2.1563070000000001E-3</v>
      </c>
      <c r="S1641">
        <v>-3.0004879999999998</v>
      </c>
      <c r="T1641">
        <v>-0.32727709999999999</v>
      </c>
      <c r="U1641">
        <v>-5.1269530000000001E-3</v>
      </c>
      <c r="V1641">
        <v>-2.1576129999999999E-2</v>
      </c>
      <c r="W1641">
        <v>1.5866870000000002E-2</v>
      </c>
      <c r="X1641">
        <v>0.99964129999999995</v>
      </c>
      <c r="Y1641">
        <v>-2.5234349999999999E-2</v>
      </c>
      <c r="Z1641">
        <v>-3.9621270000000002E-3</v>
      </c>
      <c r="AA1641">
        <v>0.9996737</v>
      </c>
      <c r="AB1641">
        <v>30</v>
      </c>
      <c r="AC1641">
        <v>-0.69929999999999304</v>
      </c>
      <c r="AD1641">
        <v>-9.5950999999999897E-2</v>
      </c>
      <c r="AE1641">
        <v>-6.9000000000300999E-3</v>
      </c>
      <c r="AF1641">
        <v>-2.3118128221759002E-2</v>
      </c>
      <c r="AG1641">
        <v>-9.5950999999999897E-2</v>
      </c>
      <c r="AH1641">
        <v>0.68602306773722199</v>
      </c>
      <c r="AI1641">
        <v>97.957596284626405</v>
      </c>
      <c r="AJ1641">
        <v>91.930066471129194</v>
      </c>
      <c r="AK1641">
        <v>0.69308635228308002</v>
      </c>
      <c r="AL1641">
        <v>89.090857172030297</v>
      </c>
      <c r="AM1641">
        <v>91.236472793533196</v>
      </c>
      <c r="AN1641">
        <v>1.00000000780753</v>
      </c>
    </row>
    <row r="1642" spans="1:40" x14ac:dyDescent="0.3">
      <c r="A1642" t="str">
        <f>"20200111160438043"</f>
        <v>20200111160438043</v>
      </c>
      <c r="B1642" t="str">
        <f>"1578729878032604"</f>
        <v>1578729878032604</v>
      </c>
      <c r="C1642" t="s">
        <v>40</v>
      </c>
      <c r="D1642">
        <v>6.1766459999999999</v>
      </c>
      <c r="E1642">
        <v>0.50140989999999996</v>
      </c>
      <c r="F1642" t="s">
        <v>42</v>
      </c>
      <c r="G1642">
        <v>-281.78230000000002</v>
      </c>
      <c r="H1642">
        <v>1.0032700000000001</v>
      </c>
      <c r="I1642">
        <v>284.26560000000001</v>
      </c>
      <c r="J1642">
        <v>-281.06229999999999</v>
      </c>
      <c r="K1642">
        <v>1.108204</v>
      </c>
      <c r="L1642">
        <v>284.27460000000002</v>
      </c>
      <c r="M1642">
        <v>-0.99955910000000003</v>
      </c>
      <c r="N1642">
        <v>0</v>
      </c>
      <c r="O1642">
        <v>2.6011260000000001E-2</v>
      </c>
      <c r="P1642">
        <v>-0.99999369999999999</v>
      </c>
      <c r="Q1642">
        <v>1.589565E-3</v>
      </c>
      <c r="R1642">
        <v>3.192907E-3</v>
      </c>
      <c r="S1642">
        <v>-3.0005190000000002</v>
      </c>
      <c r="T1642">
        <v>-0.32634039999999997</v>
      </c>
      <c r="U1642">
        <v>-2.8076170000000001E-3</v>
      </c>
      <c r="V1642">
        <v>-2.2735789999999999E-2</v>
      </c>
      <c r="W1642">
        <v>1.602897E-2</v>
      </c>
      <c r="X1642">
        <v>0.99961299999999997</v>
      </c>
      <c r="Y1642">
        <v>-2.6638829999999999E-2</v>
      </c>
      <c r="Z1642">
        <v>-4.2651390000000003E-3</v>
      </c>
      <c r="AA1642">
        <v>0.99963610000000003</v>
      </c>
      <c r="AB1642">
        <v>30</v>
      </c>
      <c r="AC1642">
        <v>-0.72000000000002695</v>
      </c>
      <c r="AD1642">
        <v>-0.104934</v>
      </c>
      <c r="AE1642">
        <v>-9.0000000000145502E-3</v>
      </c>
      <c r="AF1642">
        <v>-2.71503803560855E-2</v>
      </c>
      <c r="AG1642">
        <v>-0.104934</v>
      </c>
      <c r="AH1642">
        <v>0.70455926553930004</v>
      </c>
      <c r="AI1642">
        <v>98.464924486353297</v>
      </c>
      <c r="AJ1642">
        <v>92.206816320540199</v>
      </c>
      <c r="AK1642">
        <v>0.71284784222634601</v>
      </c>
      <c r="AL1642">
        <v>89.081568334895394</v>
      </c>
      <c r="AM1642">
        <v>91.3029444901223</v>
      </c>
      <c r="AN1642">
        <v>0.999999996897592</v>
      </c>
    </row>
    <row r="1643" spans="1:40" x14ac:dyDescent="0.3">
      <c r="A1643" t="str">
        <f>"20200111160438066"</f>
        <v>20200111160438066</v>
      </c>
      <c r="B1643" t="str">
        <f>"1578729878062863"</f>
        <v>1578729878062863</v>
      </c>
      <c r="C1643" t="s">
        <v>40</v>
      </c>
      <c r="D1643">
        <v>5.3897510000000004</v>
      </c>
      <c r="E1643">
        <v>0.50270280000000001</v>
      </c>
      <c r="F1643" t="s">
        <v>42</v>
      </c>
      <c r="G1643">
        <v>-281.7971</v>
      </c>
      <c r="H1643">
        <v>1.0284199999999999</v>
      </c>
      <c r="I1643">
        <v>284.2747</v>
      </c>
      <c r="J1643">
        <v>-281.3689</v>
      </c>
      <c r="K1643">
        <v>1.1082099999999999</v>
      </c>
      <c r="L1643">
        <v>284.28559999999999</v>
      </c>
      <c r="M1643">
        <v>-0.99948389999999998</v>
      </c>
      <c r="N1643">
        <v>0</v>
      </c>
      <c r="O1643">
        <v>2.8757109999999999E-2</v>
      </c>
      <c r="P1643">
        <v>-0.99998659999999995</v>
      </c>
      <c r="Q1643">
        <v>2.0571349999999999E-3</v>
      </c>
      <c r="R1643">
        <v>4.7476790000000003E-3</v>
      </c>
      <c r="S1643">
        <v>-3.0005489999999999</v>
      </c>
      <c r="T1643">
        <v>-0.3258704</v>
      </c>
      <c r="U1643">
        <v>3.3569339999999902E-4</v>
      </c>
      <c r="V1643">
        <v>-2.3925789999999999E-2</v>
      </c>
      <c r="W1643">
        <v>1.6500029999999999E-2</v>
      </c>
      <c r="X1643">
        <v>0.99957759999999996</v>
      </c>
      <c r="Y1643">
        <v>-2.8312670000000002E-2</v>
      </c>
      <c r="Z1643">
        <v>-4.6468869999999997E-3</v>
      </c>
      <c r="AA1643">
        <v>0.99958829999999999</v>
      </c>
      <c r="AB1643">
        <v>30</v>
      </c>
      <c r="AC1643">
        <v>-0.42820000000000302</v>
      </c>
      <c r="AD1643">
        <v>-7.979E-2</v>
      </c>
      <c r="AE1643">
        <v>-1.08999999999923E-2</v>
      </c>
      <c r="AF1643">
        <v>-2.2432164557800699E-2</v>
      </c>
      <c r="AG1643">
        <v>-7.979E-2</v>
      </c>
      <c r="AH1643">
        <v>0.41336583107575298</v>
      </c>
      <c r="AI1643">
        <v>100.909496859726</v>
      </c>
      <c r="AJ1643">
        <v>93.106228944466494</v>
      </c>
      <c r="AK1643">
        <v>0.42159335432107597</v>
      </c>
      <c r="AL1643">
        <v>89.054575051471502</v>
      </c>
      <c r="AM1643">
        <v>91.371164259725802</v>
      </c>
      <c r="AN1643">
        <v>1.0000000364194399</v>
      </c>
    </row>
    <row r="1644" spans="1:40" x14ac:dyDescent="0.3">
      <c r="A1644" t="str">
        <f>"20200111160438089"</f>
        <v>20200111160438089</v>
      </c>
      <c r="B1644" t="str">
        <f>"1578729878082383"</f>
        <v>1578729878082383</v>
      </c>
      <c r="C1644" t="s">
        <v>40</v>
      </c>
      <c r="D1644">
        <v>5.4412669999999999</v>
      </c>
      <c r="E1644">
        <v>0.50266889999999997</v>
      </c>
      <c r="F1644" t="s">
        <v>42</v>
      </c>
      <c r="G1644">
        <v>-282.31470000000002</v>
      </c>
      <c r="H1644">
        <v>0.99097959999999996</v>
      </c>
      <c r="I1644">
        <v>284.28960000000001</v>
      </c>
      <c r="J1644">
        <v>-281.68049999999999</v>
      </c>
      <c r="K1644">
        <v>1.108212</v>
      </c>
      <c r="L1644">
        <v>284.29759999999999</v>
      </c>
      <c r="M1644">
        <v>-0.9993997</v>
      </c>
      <c r="N1644">
        <v>0</v>
      </c>
      <c r="O1644">
        <v>3.1547169999999999E-2</v>
      </c>
      <c r="P1644">
        <v>-0.99997219999999998</v>
      </c>
      <c r="Q1644">
        <v>2.4325309999999999E-3</v>
      </c>
      <c r="R1644">
        <v>7.0687170000000004E-3</v>
      </c>
      <c r="S1644">
        <v>-3.0007320000000002</v>
      </c>
      <c r="T1644">
        <v>-0.37195650000000002</v>
      </c>
      <c r="U1644">
        <v>1.223755E-2</v>
      </c>
      <c r="V1644">
        <v>-2.439417E-2</v>
      </c>
      <c r="W1644">
        <v>1.687572E-2</v>
      </c>
      <c r="X1644">
        <v>0.99956</v>
      </c>
      <c r="Y1644">
        <v>-2.7025799999999999E-2</v>
      </c>
      <c r="Z1644">
        <v>-5.5639660000000001E-3</v>
      </c>
      <c r="AA1644">
        <v>0.99961920000000004</v>
      </c>
      <c r="AB1644">
        <v>30</v>
      </c>
      <c r="AC1644">
        <v>-0.63420000000002097</v>
      </c>
      <c r="AD1644">
        <v>-0.117232399999999</v>
      </c>
      <c r="AE1644">
        <v>-7.9999999999813502E-3</v>
      </c>
      <c r="AF1644">
        <v>-2.70801082042639E-2</v>
      </c>
      <c r="AG1644">
        <v>-0.117232399999999</v>
      </c>
      <c r="AH1644">
        <v>0.61269936472494402</v>
      </c>
      <c r="AI1644">
        <v>100.82160029203899</v>
      </c>
      <c r="AJ1644">
        <v>92.530713859937705</v>
      </c>
      <c r="AK1644">
        <v>0.62440153699719902</v>
      </c>
      <c r="AL1644">
        <v>89.033046596173506</v>
      </c>
      <c r="AM1644">
        <v>91.398020727516197</v>
      </c>
      <c r="AN1644">
        <v>1.00000002952775</v>
      </c>
    </row>
    <row r="1645" spans="1:40" x14ac:dyDescent="0.3">
      <c r="A1645" t="str">
        <f>"20200111160438101"</f>
        <v>20200111160438101</v>
      </c>
      <c r="B1645" t="str">
        <f>"1578729878092143"</f>
        <v>1578729878092143</v>
      </c>
      <c r="C1645" t="s">
        <v>40</v>
      </c>
      <c r="D1645">
        <v>5.3926759999999998</v>
      </c>
      <c r="E1645">
        <v>0.50287219999999999</v>
      </c>
      <c r="F1645" t="s">
        <v>42</v>
      </c>
      <c r="G1645">
        <v>-282.58479999999997</v>
      </c>
      <c r="H1645">
        <v>0.99420799999999998</v>
      </c>
      <c r="I1645">
        <v>284.30329999999998</v>
      </c>
      <c r="J1645">
        <v>-281.85309999999998</v>
      </c>
      <c r="K1645">
        <v>1.1082190000000001</v>
      </c>
      <c r="L1645">
        <v>284.30459999999999</v>
      </c>
      <c r="M1645">
        <v>-0.99934999999999996</v>
      </c>
      <c r="N1645">
        <v>0</v>
      </c>
      <c r="O1645">
        <v>3.3090899999999999E-2</v>
      </c>
      <c r="P1645">
        <v>-0.99996189999999996</v>
      </c>
      <c r="Q1645">
        <v>2.3695859999999999E-3</v>
      </c>
      <c r="R1645">
        <v>8.4322100000000007E-3</v>
      </c>
      <c r="S1645">
        <v>-3.0008849999999998</v>
      </c>
      <c r="T1645">
        <v>-0.37834289999999998</v>
      </c>
      <c r="U1645">
        <v>1.8402100000000001E-2</v>
      </c>
      <c r="V1645">
        <v>-2.4575779999999998E-2</v>
      </c>
      <c r="W1645">
        <v>1.681231E-2</v>
      </c>
      <c r="X1645">
        <v>0.99955660000000002</v>
      </c>
      <c r="Y1645">
        <v>-2.6493309999999999E-2</v>
      </c>
      <c r="Z1645">
        <v>-5.8187660000000004E-3</v>
      </c>
      <c r="AA1645">
        <v>0.99963210000000002</v>
      </c>
      <c r="AB1645">
        <v>30</v>
      </c>
      <c r="AC1645">
        <v>-0.73169999999998903</v>
      </c>
      <c r="AD1645">
        <v>-0.114011</v>
      </c>
      <c r="AE1645">
        <v>-1.3000000000147299E-3</v>
      </c>
      <c r="AF1645">
        <v>-2.49096027904726E-2</v>
      </c>
      <c r="AG1645">
        <v>-0.114011</v>
      </c>
      <c r="AH1645">
        <v>0.71392303011232106</v>
      </c>
      <c r="AI1645">
        <v>99.067894030118396</v>
      </c>
      <c r="AJ1645">
        <v>91.998305575182798</v>
      </c>
      <c r="AK1645">
        <v>0.72339829233758701</v>
      </c>
      <c r="AL1645">
        <v>89.036680217817903</v>
      </c>
      <c r="AM1645">
        <v>91.408429340541801</v>
      </c>
      <c r="AN1645">
        <v>1.00000000966685</v>
      </c>
    </row>
    <row r="1646" spans="1:40" x14ac:dyDescent="0.3">
      <c r="A1646" t="str">
        <f>"20200111160438115"</f>
        <v>20200111160438115</v>
      </c>
      <c r="B1646" t="str">
        <f>"1578729878112640"</f>
        <v>1578729878112640</v>
      </c>
      <c r="C1646" t="s">
        <v>40</v>
      </c>
      <c r="D1646">
        <v>5.4452910000000001</v>
      </c>
      <c r="E1646">
        <v>0.50327390000000005</v>
      </c>
      <c r="F1646" t="s">
        <v>42</v>
      </c>
      <c r="G1646">
        <v>-282.5942</v>
      </c>
      <c r="H1646">
        <v>1.01457</v>
      </c>
      <c r="I1646">
        <v>284.31060000000002</v>
      </c>
      <c r="J1646">
        <v>-282.02429999999998</v>
      </c>
      <c r="K1646">
        <v>1.1082209999999999</v>
      </c>
      <c r="L1646">
        <v>284.31180000000001</v>
      </c>
      <c r="M1646">
        <v>-0.99929789999999996</v>
      </c>
      <c r="N1646">
        <v>0</v>
      </c>
      <c r="O1646">
        <v>3.4623599999999997E-2</v>
      </c>
      <c r="P1646">
        <v>-0.99994930000000004</v>
      </c>
      <c r="Q1646">
        <v>2.0925980000000002E-3</v>
      </c>
      <c r="R1646">
        <v>9.8350179999999992E-3</v>
      </c>
      <c r="S1646">
        <v>-3.0008240000000002</v>
      </c>
      <c r="T1646">
        <v>-0.37923400000000002</v>
      </c>
      <c r="U1646">
        <v>2.3864750000000001E-2</v>
      </c>
      <c r="V1646">
        <v>-2.4708399999999998E-2</v>
      </c>
      <c r="W1646">
        <v>1.653435E-2</v>
      </c>
      <c r="X1646">
        <v>0.99955799999999995</v>
      </c>
      <c r="Y1646">
        <v>-2.6194720000000001E-2</v>
      </c>
      <c r="Z1646">
        <v>-6.0064719999999997E-3</v>
      </c>
      <c r="AA1646">
        <v>0.99963880000000005</v>
      </c>
      <c r="AB1646">
        <v>30</v>
      </c>
      <c r="AC1646">
        <v>-0.56990000000001795</v>
      </c>
      <c r="AD1646">
        <v>-9.3650999999999901E-2</v>
      </c>
      <c r="AE1646">
        <v>-1.1999999999829901E-3</v>
      </c>
      <c r="AF1646">
        <v>-2.03828759720928E-2</v>
      </c>
      <c r="AG1646">
        <v>-9.3650999999999901E-2</v>
      </c>
      <c r="AH1646">
        <v>0.55454191502133399</v>
      </c>
      <c r="AI1646">
        <v>99.579312353769595</v>
      </c>
      <c r="AJ1646">
        <v>92.105029810276605</v>
      </c>
      <c r="AK1646">
        <v>0.562763455591621</v>
      </c>
      <c r="AL1646">
        <v>89.052608397922398</v>
      </c>
      <c r="AM1646">
        <v>91.416024677568203</v>
      </c>
      <c r="AN1646">
        <v>1.00000004256224</v>
      </c>
    </row>
    <row r="1647" spans="1:40" x14ac:dyDescent="0.3">
      <c r="A1647" t="str">
        <f>"20200111160438133"</f>
        <v>20200111160438133</v>
      </c>
      <c r="B1647" t="str">
        <f>"1578729878122398"</f>
        <v>1578729878122398</v>
      </c>
      <c r="C1647" t="s">
        <v>40</v>
      </c>
      <c r="D1647">
        <v>5.3839300000000003</v>
      </c>
      <c r="E1647">
        <v>0.50316269999999996</v>
      </c>
      <c r="F1647" t="s">
        <v>42</v>
      </c>
      <c r="G1647">
        <v>-282.86059999999998</v>
      </c>
      <c r="H1647">
        <v>1.0104580000000001</v>
      </c>
      <c r="I1647">
        <v>284.32119999999998</v>
      </c>
      <c r="J1647">
        <v>-282.26859999999999</v>
      </c>
      <c r="K1647">
        <v>1.1082270000000001</v>
      </c>
      <c r="L1647">
        <v>284.32260000000002</v>
      </c>
      <c r="M1647">
        <v>-0.99922</v>
      </c>
      <c r="N1647">
        <v>0</v>
      </c>
      <c r="O1647">
        <v>3.6809349999999998E-2</v>
      </c>
      <c r="P1647">
        <v>-0.99992760000000003</v>
      </c>
      <c r="Q1647">
        <v>1.019273E-3</v>
      </c>
      <c r="R1647">
        <v>1.2001120000000001E-2</v>
      </c>
      <c r="S1647">
        <v>-3.0005489999999999</v>
      </c>
      <c r="T1647">
        <v>-0.35078379999999998</v>
      </c>
      <c r="U1647">
        <v>3.3142089999999999E-2</v>
      </c>
      <c r="V1647">
        <v>-2.473552E-2</v>
      </c>
      <c r="W1647">
        <v>1.5459219999999999E-2</v>
      </c>
      <c r="X1647">
        <v>0.99957450000000003</v>
      </c>
      <c r="Y1647">
        <v>-2.535051E-2</v>
      </c>
      <c r="Z1647">
        <v>-5.7647599999999998E-3</v>
      </c>
      <c r="AA1647">
        <v>0.99966200000000005</v>
      </c>
      <c r="AB1647">
        <v>30</v>
      </c>
      <c r="AC1647">
        <v>-0.59199999999998398</v>
      </c>
      <c r="AD1647">
        <v>-9.7768999999999995E-2</v>
      </c>
      <c r="AE1647">
        <v>-1.40000000004647E-3</v>
      </c>
      <c r="AF1647">
        <v>-2.2576647952535299E-2</v>
      </c>
      <c r="AG1647">
        <v>-9.7768999999999995E-2</v>
      </c>
      <c r="AH1647">
        <v>0.57584140897524205</v>
      </c>
      <c r="AI1647">
        <v>99.6287908123509</v>
      </c>
      <c r="AJ1647">
        <v>92.245209265426894</v>
      </c>
      <c r="AK1647">
        <v>0.58451844340821701</v>
      </c>
      <c r="AL1647">
        <v>89.114216661605894</v>
      </c>
      <c r="AM1647">
        <v>91.417554885407895</v>
      </c>
      <c r="AN1647">
        <v>1.0000000072414601</v>
      </c>
    </row>
    <row r="1648" spans="1:40" x14ac:dyDescent="0.3">
      <c r="A1648" t="str">
        <f>"20200111160438146"</f>
        <v>20200111160438146</v>
      </c>
      <c r="B1648" t="str">
        <f>"1578729878142895"</f>
        <v>1578729878142895</v>
      </c>
      <c r="C1648" t="s">
        <v>40</v>
      </c>
      <c r="D1648">
        <v>5.409986</v>
      </c>
      <c r="E1648">
        <v>0.50228269999999997</v>
      </c>
      <c r="F1648" t="s">
        <v>42</v>
      </c>
      <c r="G1648">
        <v>-283.12670000000003</v>
      </c>
      <c r="H1648">
        <v>1.0064150000000001</v>
      </c>
      <c r="I1648">
        <v>284.334</v>
      </c>
      <c r="J1648">
        <v>-282.44959999999998</v>
      </c>
      <c r="K1648">
        <v>1.1082299999999901</v>
      </c>
      <c r="L1648">
        <v>284.33089999999999</v>
      </c>
      <c r="M1648">
        <v>-0.99915889999999996</v>
      </c>
      <c r="N1648">
        <v>0</v>
      </c>
      <c r="O1648">
        <v>3.8429480000000002E-2</v>
      </c>
      <c r="P1648">
        <v>-0.99990840000000003</v>
      </c>
      <c r="Q1648">
        <v>6.4472849999999996E-4</v>
      </c>
      <c r="R1648">
        <v>1.353682E-2</v>
      </c>
      <c r="S1648">
        <v>-3.0001220000000002</v>
      </c>
      <c r="T1648">
        <v>-0.3559484</v>
      </c>
      <c r="U1648">
        <v>3.872681E-2</v>
      </c>
      <c r="V1648">
        <v>-2.4822879999999999E-2</v>
      </c>
      <c r="W1648">
        <v>1.508352E-2</v>
      </c>
      <c r="X1648">
        <v>0.99957810000000002</v>
      </c>
      <c r="Y1648">
        <v>-2.5087129999999999E-2</v>
      </c>
      <c r="Z1648">
        <v>-6.0256379999999998E-3</v>
      </c>
      <c r="AA1648">
        <v>0.99966710000000003</v>
      </c>
      <c r="AB1648">
        <v>30</v>
      </c>
      <c r="AC1648">
        <v>-0.67710000000005199</v>
      </c>
      <c r="AD1648">
        <v>-0.101814999999999</v>
      </c>
      <c r="AE1648">
        <v>3.1000000000176399E-3</v>
      </c>
      <c r="AF1648">
        <v>-2.2418659002273002E-2</v>
      </c>
      <c r="AG1648">
        <v>-0.101814999999999</v>
      </c>
      <c r="AH1648">
        <v>0.66175628394446095</v>
      </c>
      <c r="AI1648">
        <v>98.741761145006606</v>
      </c>
      <c r="AJ1648">
        <v>91.940296622178806</v>
      </c>
      <c r="AK1648">
        <v>0.66991810681339403</v>
      </c>
      <c r="AL1648">
        <v>89.1357452187126</v>
      </c>
      <c r="AM1648">
        <v>91.422554178749195</v>
      </c>
      <c r="AN1648">
        <v>1.0000000329733401</v>
      </c>
    </row>
    <row r="1649" spans="1:40" x14ac:dyDescent="0.3">
      <c r="A1649" t="str">
        <f>"20200111160438159"</f>
        <v>20200111160438159</v>
      </c>
      <c r="B1649" t="str">
        <f>"1578729878152656"</f>
        <v>1578729878152656</v>
      </c>
      <c r="C1649" t="s">
        <v>40</v>
      </c>
      <c r="D1649">
        <v>5.4193170000000004</v>
      </c>
      <c r="E1649">
        <v>0.50190059999999903</v>
      </c>
      <c r="F1649" t="s">
        <v>42</v>
      </c>
      <c r="G1649">
        <v>-283.39010000000002</v>
      </c>
      <c r="H1649">
        <v>0.99703960000000003</v>
      </c>
      <c r="I1649">
        <v>284.34249999999997</v>
      </c>
      <c r="J1649">
        <v>-282.63040000000001</v>
      </c>
      <c r="K1649">
        <v>1.108233</v>
      </c>
      <c r="L1649">
        <v>284.33949999999999</v>
      </c>
      <c r="M1649">
        <v>-0.99909530000000002</v>
      </c>
      <c r="N1649">
        <v>0</v>
      </c>
      <c r="O1649">
        <v>4.0047649999999997E-2</v>
      </c>
      <c r="P1649">
        <v>-0.99988109999999997</v>
      </c>
      <c r="Q1649">
        <v>2.214219E-4</v>
      </c>
      <c r="R1649">
        <v>1.541594E-2</v>
      </c>
      <c r="S1649">
        <v>-3</v>
      </c>
      <c r="T1649">
        <v>-0.3547109</v>
      </c>
      <c r="U1649">
        <v>3.6560059999999998E-2</v>
      </c>
      <c r="V1649">
        <v>-2.456566E-2</v>
      </c>
      <c r="W1649">
        <v>1.46567999999999E-2</v>
      </c>
      <c r="X1649">
        <v>0.9995908</v>
      </c>
      <c r="Y1649">
        <v>-2.7403139999999999E-2</v>
      </c>
      <c r="Z1649">
        <v>-6.3321030000000004E-3</v>
      </c>
      <c r="AA1649">
        <v>0.99960439999999995</v>
      </c>
      <c r="AB1649">
        <v>30</v>
      </c>
      <c r="AC1649">
        <v>-0.75970000000000903</v>
      </c>
      <c r="AD1649">
        <v>-0.1111934</v>
      </c>
      <c r="AE1649">
        <v>2.9999999999858998E-3</v>
      </c>
      <c r="AF1649">
        <v>-2.6854437301501399E-2</v>
      </c>
      <c r="AG1649">
        <v>-0.1111934</v>
      </c>
      <c r="AH1649">
        <v>0.74328761389625497</v>
      </c>
      <c r="AI1649">
        <v>98.502700895746699</v>
      </c>
      <c r="AJ1649">
        <v>92.069154572896295</v>
      </c>
      <c r="AK1649">
        <v>0.75203830353109602</v>
      </c>
      <c r="AL1649">
        <v>89.160197174577206</v>
      </c>
      <c r="AM1649">
        <v>91.407801451570606</v>
      </c>
      <c r="AN1649">
        <v>1.0000000304410499</v>
      </c>
    </row>
    <row r="1650" spans="1:40" x14ac:dyDescent="0.3">
      <c r="A1650" t="str">
        <f>"20200111160438179"</f>
        <v>20200111160438179</v>
      </c>
      <c r="B1650" t="str">
        <f>"1578729878172179"</f>
        <v>1578729878172179</v>
      </c>
      <c r="C1650" t="s">
        <v>40</v>
      </c>
      <c r="D1650">
        <v>5.4369519999999998</v>
      </c>
      <c r="E1650">
        <v>0.50131239999999999</v>
      </c>
      <c r="F1650" t="s">
        <v>42</v>
      </c>
      <c r="G1650">
        <v>-283.3999</v>
      </c>
      <c r="H1650">
        <v>1.0181910000000001</v>
      </c>
      <c r="I1650">
        <v>284.34980000000002</v>
      </c>
      <c r="J1650">
        <v>-282.87900000000002</v>
      </c>
      <c r="K1650">
        <v>1.108231</v>
      </c>
      <c r="L1650">
        <v>284.3519</v>
      </c>
      <c r="M1650">
        <v>-0.99900370000000005</v>
      </c>
      <c r="N1650">
        <v>0</v>
      </c>
      <c r="O1650">
        <v>4.2274579999999999E-2</v>
      </c>
      <c r="P1650">
        <v>-0.99984200000000001</v>
      </c>
      <c r="Q1650">
        <v>-6.3280569999999998E-4</v>
      </c>
      <c r="R1650">
        <v>1.7767439999999999E-2</v>
      </c>
      <c r="S1650">
        <v>-2.9998469999999999</v>
      </c>
      <c r="T1650">
        <v>-0.3510509</v>
      </c>
      <c r="U1650">
        <v>3.9672850000000003E-2</v>
      </c>
      <c r="V1650">
        <v>-2.444727E-2</v>
      </c>
      <c r="W1650">
        <v>1.380001E-2</v>
      </c>
      <c r="X1650">
        <v>0.99960590000000005</v>
      </c>
      <c r="Y1650">
        <v>-2.8579980000000001E-2</v>
      </c>
      <c r="Z1650">
        <v>-6.59561E-3</v>
      </c>
      <c r="AA1650">
        <v>0.99956979999999995</v>
      </c>
      <c r="AB1650">
        <v>30</v>
      </c>
      <c r="AC1650">
        <v>-0.52089999999998304</v>
      </c>
      <c r="AD1650">
        <v>-9.0039999999999898E-2</v>
      </c>
      <c r="AE1650">
        <v>-2.0999999999844398E-3</v>
      </c>
      <c r="AF1650">
        <v>-2.3421411752121798E-2</v>
      </c>
      <c r="AG1650">
        <v>-9.0039999999999898E-2</v>
      </c>
      <c r="AH1650">
        <v>0.50524947852943103</v>
      </c>
      <c r="AI1650">
        <v>100.093929685932</v>
      </c>
      <c r="AJ1650">
        <v>92.654110701162494</v>
      </c>
      <c r="AK1650">
        <v>0.51374390476454801</v>
      </c>
      <c r="AL1650">
        <v>89.2092925968591</v>
      </c>
      <c r="AM1650">
        <v>91.400998348448894</v>
      </c>
      <c r="AN1650">
        <v>1.0000000323006299</v>
      </c>
    </row>
    <row r="1651" spans="1:40" x14ac:dyDescent="0.3">
      <c r="A1651" t="str">
        <f>"20200111160438191"</f>
        <v>20200111160438191</v>
      </c>
      <c r="B1651" t="str">
        <f>"1578729878182915"</f>
        <v>1578729878182915</v>
      </c>
      <c r="C1651" t="s">
        <v>40</v>
      </c>
      <c r="D1651">
        <v>6.3310279999999999</v>
      </c>
      <c r="E1651">
        <v>0.50131239999999999</v>
      </c>
      <c r="F1651" t="s">
        <v>42</v>
      </c>
      <c r="G1651">
        <v>-283.6669</v>
      </c>
      <c r="H1651">
        <v>1.0175320000000001</v>
      </c>
      <c r="I1651">
        <v>284.36320000000001</v>
      </c>
      <c r="J1651">
        <v>-283.05149999999998</v>
      </c>
      <c r="K1651">
        <v>1.108233</v>
      </c>
      <c r="L1651">
        <v>284.36070000000001</v>
      </c>
      <c r="M1651">
        <v>-0.99893699999999996</v>
      </c>
      <c r="N1651">
        <v>0</v>
      </c>
      <c r="O1651">
        <v>4.3819129999999998E-2</v>
      </c>
      <c r="P1651">
        <v>-0.99981779999999998</v>
      </c>
      <c r="Q1651">
        <v>-5.4597300000000005E-4</v>
      </c>
      <c r="R1651">
        <v>1.9079479999999999E-2</v>
      </c>
      <c r="S1651">
        <v>-2.9995120000000002</v>
      </c>
      <c r="T1651">
        <v>-0.34527740000000001</v>
      </c>
      <c r="U1651">
        <v>4.2663569999999998E-2</v>
      </c>
      <c r="V1651">
        <v>-2.468128E-2</v>
      </c>
      <c r="W1651">
        <v>1.388583E-2</v>
      </c>
      <c r="X1651">
        <v>0.99959889999999996</v>
      </c>
      <c r="Y1651">
        <v>-2.9129349999999998E-2</v>
      </c>
      <c r="Z1651">
        <v>-6.6970900000000002E-3</v>
      </c>
      <c r="AA1651">
        <v>0.99955320000000003</v>
      </c>
      <c r="AB1651">
        <v>30</v>
      </c>
      <c r="AC1651">
        <v>-0.61540000000002204</v>
      </c>
      <c r="AD1651">
        <v>-9.0701000000000101E-2</v>
      </c>
      <c r="AE1651">
        <v>2.4999999999977202E-3</v>
      </c>
      <c r="AF1651">
        <v>-2.3951185272625599E-2</v>
      </c>
      <c r="AG1651">
        <v>-9.0701000000000101E-2</v>
      </c>
      <c r="AH1651">
        <v>0.60184499146783699</v>
      </c>
      <c r="AI1651">
        <v>98.563583629365695</v>
      </c>
      <c r="AJ1651">
        <v>92.278955677480297</v>
      </c>
      <c r="AK1651">
        <v>0.60911224288458099</v>
      </c>
      <c r="AL1651">
        <v>89.204374953543805</v>
      </c>
      <c r="AM1651">
        <v>91.414413225625395</v>
      </c>
      <c r="AN1651">
        <v>0.99999997136921803</v>
      </c>
    </row>
    <row r="1652" spans="1:40" x14ac:dyDescent="0.3">
      <c r="A1652" t="str">
        <f>"20200111160438212"</f>
        <v>20200111160438212</v>
      </c>
      <c r="B1652" t="str">
        <f>"1578729878202435"</f>
        <v>1578729878202435</v>
      </c>
      <c r="C1652" t="s">
        <v>40</v>
      </c>
      <c r="D1652">
        <v>5.3942750000000004</v>
      </c>
      <c r="E1652">
        <v>0.49504819999999999</v>
      </c>
      <c r="F1652" t="s">
        <v>42</v>
      </c>
      <c r="G1652">
        <v>-283.92910000000001</v>
      </c>
      <c r="H1652">
        <v>1.0072829999999999</v>
      </c>
      <c r="I1652">
        <v>284.37439999999998</v>
      </c>
      <c r="J1652">
        <v>-283.32240000000002</v>
      </c>
      <c r="K1652">
        <v>1.1082399999999999</v>
      </c>
      <c r="L1652">
        <v>284.37520000000001</v>
      </c>
      <c r="M1652">
        <v>-0.99882769999999999</v>
      </c>
      <c r="N1652">
        <v>0</v>
      </c>
      <c r="O1652">
        <v>4.6246139999999998E-2</v>
      </c>
      <c r="P1652">
        <v>-0.99977079999999996</v>
      </c>
      <c r="Q1652">
        <v>-4.3519210000000002E-4</v>
      </c>
      <c r="R1652">
        <v>2.1411099999999999E-2</v>
      </c>
      <c r="S1652">
        <v>-2.9994809999999998</v>
      </c>
      <c r="T1652">
        <v>-0.34501870000000001</v>
      </c>
      <c r="U1652">
        <v>4.6600339999999997E-2</v>
      </c>
      <c r="V1652">
        <v>-2.4778000000000001E-2</v>
      </c>
      <c r="W1652">
        <v>1.399454E-2</v>
      </c>
      <c r="X1652">
        <v>0.99959500000000001</v>
      </c>
      <c r="Y1652">
        <v>-3.0223779999999999E-2</v>
      </c>
      <c r="Z1652">
        <v>-7.0328090000000001E-3</v>
      </c>
      <c r="AA1652">
        <v>0.99951840000000003</v>
      </c>
      <c r="AB1652">
        <v>30</v>
      </c>
      <c r="AC1652">
        <v>-0.60669999999998903</v>
      </c>
      <c r="AD1652">
        <v>-0.10095699999999901</v>
      </c>
      <c r="AE1652">
        <v>-8.0000000002655703E-4</v>
      </c>
      <c r="AF1652">
        <v>-2.8081955190713201E-2</v>
      </c>
      <c r="AG1652">
        <v>-0.10095699999999901</v>
      </c>
      <c r="AH1652">
        <v>0.58968531249120304</v>
      </c>
      <c r="AI1652">
        <v>99.704338831111301</v>
      </c>
      <c r="AJ1652">
        <v>92.726476012537503</v>
      </c>
      <c r="AK1652">
        <v>0.59892376795730895</v>
      </c>
      <c r="AL1652">
        <v>89.198145730987903</v>
      </c>
      <c r="AM1652">
        <v>91.4199592438287</v>
      </c>
      <c r="AN1652">
        <v>0.99999998022940495</v>
      </c>
    </row>
    <row r="1653" spans="1:40" x14ac:dyDescent="0.3">
      <c r="A1653" t="str">
        <f>"20200111160438225"</f>
        <v>20200111160438225</v>
      </c>
      <c r="B1653" t="str">
        <f>"1578729878222931"</f>
        <v>1578729878222931</v>
      </c>
      <c r="C1653" t="s">
        <v>40</v>
      </c>
      <c r="D1653">
        <v>5.4702409999999997</v>
      </c>
      <c r="E1653">
        <v>0.4956661</v>
      </c>
      <c r="F1653" t="s">
        <v>61</v>
      </c>
      <c r="G1653">
        <v>-306.84109999999998</v>
      </c>
      <c r="H1653" s="1">
        <v>2.7610700000000001E-6</v>
      </c>
      <c r="I1653">
        <v>284.50229999999999</v>
      </c>
      <c r="J1653">
        <v>-283.49939999999998</v>
      </c>
      <c r="K1653">
        <v>1.1082449999999999</v>
      </c>
      <c r="L1653">
        <v>284.38499999999999</v>
      </c>
      <c r="M1653">
        <v>-0.998753</v>
      </c>
      <c r="N1653">
        <v>0</v>
      </c>
      <c r="O1653">
        <v>4.7832060000000003E-2</v>
      </c>
      <c r="P1653">
        <v>-0.99973639999999997</v>
      </c>
      <c r="Q1653">
        <v>-1.982078E-4</v>
      </c>
      <c r="R1653">
        <v>2.2956730000000002E-2</v>
      </c>
      <c r="S1653">
        <v>-3.0002749999999998</v>
      </c>
      <c r="T1653">
        <v>-0.14137729999999901</v>
      </c>
      <c r="U1653">
        <v>1.620483E-2</v>
      </c>
      <c r="V1653">
        <v>-2.481891E-2</v>
      </c>
      <c r="W1653">
        <v>1.42295999999999E-2</v>
      </c>
      <c r="X1653">
        <v>0.99959070000000005</v>
      </c>
      <c r="Y1653">
        <v>-4.234139E-2</v>
      </c>
      <c r="Z1653">
        <v>-3.2491960000000002E-3</v>
      </c>
      <c r="AA1653">
        <v>0.99909789999999998</v>
      </c>
      <c r="AB1653">
        <v>30</v>
      </c>
      <c r="AC1653">
        <v>-23.341699999999999</v>
      </c>
      <c r="AD1653">
        <v>-1.10824223893</v>
      </c>
      <c r="AE1653">
        <v>0.1173</v>
      </c>
      <c r="AF1653">
        <v>-0.997182231002254</v>
      </c>
      <c r="AG1653">
        <v>-1.10824223893</v>
      </c>
      <c r="AH1653">
        <v>23.268137549329399</v>
      </c>
      <c r="AI1653">
        <v>92.724393089957402</v>
      </c>
      <c r="AJ1653">
        <v>92.4539735108754</v>
      </c>
      <c r="AK1653">
        <v>23.315848650145501</v>
      </c>
      <c r="AL1653">
        <v>89.184676470748798</v>
      </c>
      <c r="AM1653">
        <v>91.422308837432595</v>
      </c>
      <c r="AN1653">
        <v>1.00000001366811</v>
      </c>
    </row>
    <row r="1654" spans="1:40" x14ac:dyDescent="0.3">
      <c r="A1654" t="str">
        <f>"20200111160438239"</f>
        <v>20200111160438239</v>
      </c>
      <c r="B1654" t="str">
        <f>"1578729878232691"</f>
        <v>1578729878232691</v>
      </c>
      <c r="C1654" t="s">
        <v>40</v>
      </c>
      <c r="D1654">
        <v>5.4513559999999996</v>
      </c>
      <c r="E1654">
        <v>0.49567410000000001</v>
      </c>
      <c r="F1654" t="s">
        <v>61</v>
      </c>
      <c r="G1654">
        <v>-300.0514</v>
      </c>
      <c r="H1654" s="1">
        <v>3.9651310000000002E-6</v>
      </c>
      <c r="I1654">
        <v>284.5059</v>
      </c>
      <c r="J1654">
        <v>-283.6952</v>
      </c>
      <c r="K1654">
        <v>1.1082559999999999</v>
      </c>
      <c r="L1654">
        <v>284.39620000000002</v>
      </c>
      <c r="M1654">
        <v>-0.99866759999999999</v>
      </c>
      <c r="N1654">
        <v>0</v>
      </c>
      <c r="O1654">
        <v>4.9585400000000002E-2</v>
      </c>
      <c r="P1654">
        <v>-0.99969540000000001</v>
      </c>
      <c r="Q1654">
        <v>1.3731980000000001E-4</v>
      </c>
      <c r="R1654">
        <v>2.4684899999999999E-2</v>
      </c>
      <c r="S1654">
        <v>-3.0002439999999999</v>
      </c>
      <c r="T1654">
        <v>-0.2008808</v>
      </c>
      <c r="U1654">
        <v>2.191162E-2</v>
      </c>
      <c r="V1654">
        <v>-2.4844049999999999E-2</v>
      </c>
      <c r="W1654">
        <v>1.4563349999999999E-2</v>
      </c>
      <c r="X1654">
        <v>0.99958530000000001</v>
      </c>
      <c r="Y1654">
        <v>-4.2089880000000003E-2</v>
      </c>
      <c r="Z1654">
        <v>-4.7228569999999996E-3</v>
      </c>
      <c r="AA1654">
        <v>0.99910270000000001</v>
      </c>
      <c r="AB1654">
        <v>30</v>
      </c>
      <c r="AC1654">
        <v>-16.356200000000001</v>
      </c>
      <c r="AD1654">
        <v>-1.1082520348689999</v>
      </c>
      <c r="AE1654">
        <v>0.109699999999975</v>
      </c>
      <c r="AF1654">
        <v>-0.69834058090885198</v>
      </c>
      <c r="AG1654">
        <v>-1.1082520348689999</v>
      </c>
      <c r="AH1654">
        <v>16.266837449444601</v>
      </c>
      <c r="AI1654">
        <v>93.893936273671997</v>
      </c>
      <c r="AJ1654">
        <v>92.458216870073699</v>
      </c>
      <c r="AK1654">
        <v>16.319494561609101</v>
      </c>
      <c r="AL1654">
        <v>89.165552048684006</v>
      </c>
      <c r="AM1654">
        <v>91.4237566426943</v>
      </c>
      <c r="AN1654">
        <v>1.0000000449798501</v>
      </c>
    </row>
    <row r="1655" spans="1:40" x14ac:dyDescent="0.3">
      <c r="A1655" t="str">
        <f>"20200111160438257"</f>
        <v>20200111160438257</v>
      </c>
      <c r="B1655" t="str">
        <f>"1578729878252212"</f>
        <v>1578729878252212</v>
      </c>
      <c r="C1655" t="s">
        <v>40</v>
      </c>
      <c r="D1655">
        <v>5.521598</v>
      </c>
      <c r="E1655">
        <v>0.49575049999999998</v>
      </c>
      <c r="F1655" t="s">
        <v>61</v>
      </c>
      <c r="G1655">
        <v>-299.36590000000001</v>
      </c>
      <c r="H1655" s="1">
        <v>3.8742650000000004E-6</v>
      </c>
      <c r="I1655">
        <v>284.53440000000001</v>
      </c>
      <c r="J1655">
        <v>-283.91649999999998</v>
      </c>
      <c r="K1655">
        <v>1.1082620000000001</v>
      </c>
      <c r="L1655">
        <v>284.40929999999997</v>
      </c>
      <c r="M1655">
        <v>-0.9985676</v>
      </c>
      <c r="N1655">
        <v>0</v>
      </c>
      <c r="O1655">
        <v>5.1561009999999997E-2</v>
      </c>
      <c r="P1655">
        <v>-0.99964679999999995</v>
      </c>
      <c r="Q1655">
        <v>5.8212879999999995E-4</v>
      </c>
      <c r="R1655">
        <v>2.6573590000000001E-2</v>
      </c>
      <c r="S1655">
        <v>-3.000305</v>
      </c>
      <c r="T1655">
        <v>-0.2121854</v>
      </c>
      <c r="U1655">
        <v>2.6458740000000001E-2</v>
      </c>
      <c r="V1655">
        <v>-2.4931109999999999E-2</v>
      </c>
      <c r="W1655">
        <v>1.500581E-2</v>
      </c>
      <c r="X1655">
        <v>0.99957660000000004</v>
      </c>
      <c r="Y1655">
        <v>-4.2522789999999998E-2</v>
      </c>
      <c r="Z1655">
        <v>-5.1425230000000004E-3</v>
      </c>
      <c r="AA1655">
        <v>0.99908229999999998</v>
      </c>
      <c r="AB1655">
        <v>30</v>
      </c>
      <c r="AC1655">
        <v>-15.449400000000001</v>
      </c>
      <c r="AD1655">
        <v>-1.1082581257349999</v>
      </c>
      <c r="AE1655">
        <v>0.12510000000003099</v>
      </c>
      <c r="AF1655">
        <v>-0.66829571639721597</v>
      </c>
      <c r="AG1655">
        <v>-1.1082581257349999</v>
      </c>
      <c r="AH1655">
        <v>15.356280460797899</v>
      </c>
      <c r="AI1655">
        <v>94.123972494868198</v>
      </c>
      <c r="AJ1655">
        <v>92.491904096172206</v>
      </c>
      <c r="AK1655">
        <v>15.410717206817299</v>
      </c>
      <c r="AL1655">
        <v>89.140198198161002</v>
      </c>
      <c r="AM1655">
        <v>91.428756221328101</v>
      </c>
      <c r="AN1655">
        <v>1.0000000569235701</v>
      </c>
    </row>
    <row r="1656" spans="1:40" x14ac:dyDescent="0.3">
      <c r="A1656" t="str">
        <f>"20200111160438270"</f>
        <v>20200111160438270</v>
      </c>
      <c r="B1656" t="str">
        <f>"1578729878262947"</f>
        <v>1578729878262947</v>
      </c>
      <c r="C1656" t="s">
        <v>40</v>
      </c>
      <c r="D1656">
        <v>5.5604649999999998</v>
      </c>
      <c r="E1656">
        <v>0.496618</v>
      </c>
      <c r="F1656" t="s">
        <v>61</v>
      </c>
      <c r="G1656">
        <v>-298.26490000000001</v>
      </c>
      <c r="H1656" s="1">
        <v>3.6768309999999999E-6</v>
      </c>
      <c r="I1656">
        <v>284.55889999999999</v>
      </c>
      <c r="J1656">
        <v>-284.1026</v>
      </c>
      <c r="K1656">
        <v>1.1082719999999999</v>
      </c>
      <c r="L1656">
        <v>284.42070000000001</v>
      </c>
      <c r="M1656">
        <v>-0.99848099999999995</v>
      </c>
      <c r="N1656">
        <v>0</v>
      </c>
      <c r="O1656">
        <v>5.321062E-2</v>
      </c>
      <c r="P1656">
        <v>-0.9996005</v>
      </c>
      <c r="Q1656">
        <v>5.8083799999999997E-4</v>
      </c>
      <c r="R1656">
        <v>2.8257089999999999E-2</v>
      </c>
      <c r="S1656">
        <v>-3.0003660000000001</v>
      </c>
      <c r="T1656">
        <v>-0.2317458</v>
      </c>
      <c r="U1656">
        <v>3.1280519999999999E-2</v>
      </c>
      <c r="V1656">
        <v>-2.4899649999999999E-2</v>
      </c>
      <c r="W1656">
        <v>1.5001509999999999E-2</v>
      </c>
      <c r="X1656">
        <v>0.99957739999999995</v>
      </c>
      <c r="Y1656">
        <v>-4.2517970000000002E-2</v>
      </c>
      <c r="Z1656">
        <v>-5.7419410000000004E-3</v>
      </c>
      <c r="AA1656">
        <v>0.99907919999999995</v>
      </c>
      <c r="AB1656">
        <v>30</v>
      </c>
      <c r="AC1656">
        <v>-14.1623</v>
      </c>
      <c r="AD1656">
        <v>-1.10826832316899</v>
      </c>
      <c r="AE1656">
        <v>0.138199999999983</v>
      </c>
      <c r="AF1656">
        <v>-0.61191071606338998</v>
      </c>
      <c r="AG1656">
        <v>-1.10826832316899</v>
      </c>
      <c r="AH1656">
        <v>14.063472842513701</v>
      </c>
      <c r="AI1656">
        <v>94.501625349601298</v>
      </c>
      <c r="AJ1656">
        <v>92.491404655613806</v>
      </c>
      <c r="AK1656">
        <v>14.1203385863333</v>
      </c>
      <c r="AL1656">
        <v>89.140444555877394</v>
      </c>
      <c r="AM1656">
        <v>91.426952910710199</v>
      </c>
      <c r="AN1656">
        <v>1.0000000082315801</v>
      </c>
    </row>
    <row r="1657" spans="1:40" x14ac:dyDescent="0.3">
      <c r="A1657" t="str">
        <f>"20200111160438291"</f>
        <v>20200111160438291</v>
      </c>
      <c r="B1657" t="str">
        <f>"1578729878282467"</f>
        <v>1578729878282467</v>
      </c>
      <c r="C1657" t="s">
        <v>40</v>
      </c>
      <c r="D1657">
        <v>5.499371</v>
      </c>
      <c r="E1657">
        <v>0.49658249999999998</v>
      </c>
      <c r="F1657" t="s">
        <v>61</v>
      </c>
      <c r="G1657">
        <v>-297.7842</v>
      </c>
      <c r="H1657" s="1">
        <v>3.5866690000000001E-6</v>
      </c>
      <c r="I1657">
        <v>284.6148</v>
      </c>
      <c r="J1657">
        <v>-284.37360000000001</v>
      </c>
      <c r="K1657">
        <v>1.108298</v>
      </c>
      <c r="L1657">
        <v>284.43770000000001</v>
      </c>
      <c r="M1657">
        <v>-0.99835189999999996</v>
      </c>
      <c r="N1657">
        <v>0</v>
      </c>
      <c r="O1657">
        <v>5.5583569999999999E-2</v>
      </c>
      <c r="P1657">
        <v>-0.99952090000000005</v>
      </c>
      <c r="Q1657">
        <v>1.0845379999999999E-3</v>
      </c>
      <c r="R1657">
        <v>3.093655E-2</v>
      </c>
      <c r="S1657">
        <v>-3.0001530000000001</v>
      </c>
      <c r="T1657">
        <v>-0.24302579999999999</v>
      </c>
      <c r="U1657">
        <v>4.2572020000000002E-2</v>
      </c>
      <c r="V1657">
        <v>-2.4593469999999999E-2</v>
      </c>
      <c r="W1657">
        <v>1.54988E-2</v>
      </c>
      <c r="X1657">
        <v>0.99957739999999995</v>
      </c>
      <c r="Y1657">
        <v>-4.1100610000000003E-2</v>
      </c>
      <c r="Z1657">
        <v>-6.1550659999999998E-3</v>
      </c>
      <c r="AA1657">
        <v>0.99913600000000002</v>
      </c>
      <c r="AB1657">
        <v>30</v>
      </c>
      <c r="AC1657">
        <v>-13.410599999999899</v>
      </c>
      <c r="AD1657">
        <v>-1.108294413331</v>
      </c>
      <c r="AE1657">
        <v>0.17709999999999501</v>
      </c>
      <c r="AF1657">
        <v>-0.56480202990667505</v>
      </c>
      <c r="AG1657">
        <v>-1.108294413331</v>
      </c>
      <c r="AH1657">
        <v>13.3088263446851</v>
      </c>
      <c r="AI1657">
        <v>94.756069349784298</v>
      </c>
      <c r="AJ1657">
        <v>92.430068999683101</v>
      </c>
      <c r="AK1657">
        <v>13.366831206856499</v>
      </c>
      <c r="AL1657">
        <v>89.111948629903097</v>
      </c>
      <c r="AM1657">
        <v>91.409413422475296</v>
      </c>
      <c r="AN1657">
        <v>1.0000000150794199</v>
      </c>
    </row>
    <row r="1658" spans="1:40" x14ac:dyDescent="0.3">
      <c r="A1658" t="str">
        <f>"20200111160438303"</f>
        <v>20200111160438303</v>
      </c>
      <c r="B1658" t="str">
        <f>"1578729878292228"</f>
        <v>1578729878292228</v>
      </c>
      <c r="C1658" t="s">
        <v>40</v>
      </c>
      <c r="D1658">
        <v>5.4309820000000002</v>
      </c>
      <c r="E1658">
        <v>0.49668030000000002</v>
      </c>
      <c r="F1658" t="s">
        <v>61</v>
      </c>
      <c r="G1658">
        <v>-297.8965</v>
      </c>
      <c r="H1658" s="1">
        <v>3.6025240000000001E-6</v>
      </c>
      <c r="I1658">
        <v>284.66140000000001</v>
      </c>
      <c r="J1658">
        <v>-284.5421</v>
      </c>
      <c r="K1658">
        <v>1.108325</v>
      </c>
      <c r="L1658">
        <v>284.44850000000002</v>
      </c>
      <c r="M1658">
        <v>-0.99826950000000003</v>
      </c>
      <c r="N1658">
        <v>0</v>
      </c>
      <c r="O1658">
        <v>5.7043570000000002E-2</v>
      </c>
      <c r="P1658">
        <v>-0.99946480000000004</v>
      </c>
      <c r="Q1658">
        <v>1.1738950000000001E-3</v>
      </c>
      <c r="R1658">
        <v>3.2693699999999999E-2</v>
      </c>
      <c r="S1658">
        <v>-3.0002140000000002</v>
      </c>
      <c r="T1658">
        <v>-0.2458873</v>
      </c>
      <c r="U1658">
        <v>4.9621579999999998E-2</v>
      </c>
      <c r="V1658">
        <v>-2.429887E-2</v>
      </c>
      <c r="W1658">
        <v>1.558319E-2</v>
      </c>
      <c r="X1658">
        <v>0.99958329999999995</v>
      </c>
      <c r="Y1658">
        <v>-4.0205680000000001E-2</v>
      </c>
      <c r="Z1658">
        <v>-6.309668E-3</v>
      </c>
      <c r="AA1658">
        <v>0.99917149999999999</v>
      </c>
      <c r="AB1658">
        <v>30</v>
      </c>
      <c r="AC1658">
        <v>-13.354399999999901</v>
      </c>
      <c r="AD1658">
        <v>-1.108321397476</v>
      </c>
      <c r="AE1658">
        <v>0.21289999999998999</v>
      </c>
      <c r="AF1658">
        <v>-0.54555041096267998</v>
      </c>
      <c r="AG1658">
        <v>-1.108321397476</v>
      </c>
      <c r="AH1658">
        <v>13.253531340205299</v>
      </c>
      <c r="AI1658">
        <v>94.776189299922393</v>
      </c>
      <c r="AJ1658">
        <v>92.357115186572798</v>
      </c>
      <c r="AK1658">
        <v>13.310976468945</v>
      </c>
      <c r="AL1658">
        <v>89.107112861549595</v>
      </c>
      <c r="AM1658">
        <v>91.392528827682597</v>
      </c>
      <c r="AN1658">
        <v>1.0000000222663701</v>
      </c>
    </row>
    <row r="1659" spans="1:40" x14ac:dyDescent="0.3">
      <c r="A1659" t="str">
        <f>"20200111160438317"</f>
        <v>20200111160438317</v>
      </c>
      <c r="B1659" t="str">
        <f>"1578729878312724"</f>
        <v>1578729878312724</v>
      </c>
      <c r="C1659" t="s">
        <v>40</v>
      </c>
      <c r="D1659">
        <v>5.5204959999999996</v>
      </c>
      <c r="E1659">
        <v>0.49618610000000002</v>
      </c>
      <c r="F1659" t="s">
        <v>61</v>
      </c>
      <c r="G1659">
        <v>-297.82499999999999</v>
      </c>
      <c r="H1659" s="1">
        <v>3.5870609999999999E-6</v>
      </c>
      <c r="I1659">
        <v>284.69310000000002</v>
      </c>
      <c r="J1659">
        <v>-284.71190000000001</v>
      </c>
      <c r="K1659">
        <v>1.1083540000000001</v>
      </c>
      <c r="L1659">
        <v>284.45979999999997</v>
      </c>
      <c r="M1659">
        <v>-0.99818609999999997</v>
      </c>
      <c r="N1659">
        <v>0</v>
      </c>
      <c r="O1659">
        <v>5.8484550000000003E-2</v>
      </c>
      <c r="P1659">
        <v>-0.99939250000000002</v>
      </c>
      <c r="Q1659">
        <v>8.6515769999999999E-4</v>
      </c>
      <c r="R1659">
        <v>3.4841909999999997E-2</v>
      </c>
      <c r="S1659">
        <v>-3.0000610000000001</v>
      </c>
      <c r="T1659">
        <v>-0.25032409999999999</v>
      </c>
      <c r="U1659">
        <v>5.5236819999999999E-2</v>
      </c>
      <c r="V1659">
        <v>-2.3595939999999999E-2</v>
      </c>
      <c r="W1659">
        <v>1.526661E-2</v>
      </c>
      <c r="X1659">
        <v>0.99960499999999997</v>
      </c>
      <c r="Y1659">
        <v>-3.97623E-2</v>
      </c>
      <c r="Z1659">
        <v>-6.524668E-3</v>
      </c>
      <c r="AA1659">
        <v>0.99918790000000002</v>
      </c>
      <c r="AB1659">
        <v>30</v>
      </c>
      <c r="AC1659">
        <v>-13.1130999999999</v>
      </c>
      <c r="AD1659">
        <v>-1.1083504129390001</v>
      </c>
      <c r="AE1659">
        <v>0.233300000000042</v>
      </c>
      <c r="AF1659">
        <v>-0.530304122383492</v>
      </c>
      <c r="AG1659">
        <v>-1.1083504129390001</v>
      </c>
      <c r="AH1659">
        <v>13.0113714912502</v>
      </c>
      <c r="AI1659">
        <v>94.864865214997906</v>
      </c>
      <c r="AJ1659">
        <v>92.333910825767703</v>
      </c>
      <c r="AK1659">
        <v>13.0692559537028</v>
      </c>
      <c r="AL1659">
        <v>89.125253695137602</v>
      </c>
      <c r="AM1659">
        <v>91.352230885167103</v>
      </c>
      <c r="AN1659">
        <v>0.99999999689518704</v>
      </c>
    </row>
    <row r="1660" spans="1:40" x14ac:dyDescent="0.3">
      <c r="A1660" t="str">
        <f>"20200111160438334"</f>
        <v>20200111160438334</v>
      </c>
      <c r="B1660" t="str">
        <f>"1578729878332243"</f>
        <v>1578729878332243</v>
      </c>
      <c r="C1660" t="s">
        <v>40</v>
      </c>
      <c r="D1660">
        <v>5.5103540000000004</v>
      </c>
      <c r="E1660">
        <v>0.49586330000000001</v>
      </c>
      <c r="F1660" t="s">
        <v>61</v>
      </c>
      <c r="G1660">
        <v>-297.70069999999998</v>
      </c>
      <c r="H1660" s="1">
        <v>3.5638589999999998E-6</v>
      </c>
      <c r="I1660">
        <v>284.7063</v>
      </c>
      <c r="J1660">
        <v>-284.9434</v>
      </c>
      <c r="K1660">
        <v>1.108401</v>
      </c>
      <c r="L1660">
        <v>284.47539999999998</v>
      </c>
      <c r="M1660">
        <v>-0.9980715</v>
      </c>
      <c r="N1660">
        <v>0</v>
      </c>
      <c r="O1660">
        <v>6.041142E-2</v>
      </c>
      <c r="P1660">
        <v>-0.99929159999999995</v>
      </c>
      <c r="Q1660">
        <v>-7.1801250000000003E-4</v>
      </c>
      <c r="R1660">
        <v>3.7634050000000002E-2</v>
      </c>
      <c r="S1660">
        <v>-3.0000610000000001</v>
      </c>
      <c r="T1660">
        <v>-0.25599810000000001</v>
      </c>
      <c r="U1660">
        <v>5.6945799999999998E-2</v>
      </c>
      <c r="V1660">
        <v>-2.2741830000000001E-2</v>
      </c>
      <c r="W1660">
        <v>1.367318E-2</v>
      </c>
      <c r="X1660">
        <v>0.99964790000000003</v>
      </c>
      <c r="Y1660">
        <v>-4.1094770000000003E-2</v>
      </c>
      <c r="Z1660">
        <v>-6.8925790000000002E-3</v>
      </c>
      <c r="AA1660">
        <v>0.99913149999999995</v>
      </c>
      <c r="AB1660">
        <v>30</v>
      </c>
      <c r="AC1660">
        <v>-12.757299999999899</v>
      </c>
      <c r="AD1660">
        <v>-1.1083974361409901</v>
      </c>
      <c r="AE1660">
        <v>0.23090000000001901</v>
      </c>
      <c r="AF1660">
        <v>-0.53624033705150298</v>
      </c>
      <c r="AG1660">
        <v>-1.1083974361409901</v>
      </c>
      <c r="AH1660">
        <v>12.652466563690499</v>
      </c>
      <c r="AI1660">
        <v>95.002048829355999</v>
      </c>
      <c r="AJ1660">
        <v>92.426873172078402</v>
      </c>
      <c r="AK1660">
        <v>12.7122385409034</v>
      </c>
      <c r="AL1660">
        <v>89.216560108417596</v>
      </c>
      <c r="AM1660">
        <v>91.303245026393</v>
      </c>
      <c r="AN1660">
        <v>1.0000000353287299</v>
      </c>
    </row>
    <row r="1661" spans="1:40" x14ac:dyDescent="0.3">
      <c r="A1661" t="str">
        <f>"20200111160438347"</f>
        <v>20200111160438347</v>
      </c>
      <c r="B1661" t="str">
        <f>"1578729878342980"</f>
        <v>1578729878342980</v>
      </c>
      <c r="C1661" t="s">
        <v>40</v>
      </c>
      <c r="D1661">
        <v>5.5038799999999997</v>
      </c>
      <c r="E1661">
        <v>0.49565540000000002</v>
      </c>
      <c r="F1661" t="s">
        <v>61</v>
      </c>
      <c r="G1661">
        <v>-297.50130000000001</v>
      </c>
      <c r="H1661" s="1">
        <v>3.5261590000000001E-6</v>
      </c>
      <c r="I1661">
        <v>284.73309999999998</v>
      </c>
      <c r="J1661">
        <v>-285.12490000000003</v>
      </c>
      <c r="K1661">
        <v>1.1084449999999999</v>
      </c>
      <c r="L1661">
        <v>284.488</v>
      </c>
      <c r="M1661">
        <v>-0.99798129999999996</v>
      </c>
      <c r="N1661">
        <v>0</v>
      </c>
      <c r="O1661">
        <v>6.1884750000000002E-2</v>
      </c>
      <c r="P1661">
        <v>-0.99922849999999996</v>
      </c>
      <c r="Q1661">
        <v>-1.9794930000000001E-3</v>
      </c>
      <c r="R1661">
        <v>3.9226629999999998E-2</v>
      </c>
      <c r="S1661">
        <v>-2.9996640000000001</v>
      </c>
      <c r="T1661">
        <v>-0.26475870000000001</v>
      </c>
      <c r="U1661">
        <v>6.1553959999999998E-2</v>
      </c>
      <c r="V1661">
        <v>-2.2632090000000001E-2</v>
      </c>
      <c r="W1661">
        <v>1.2405859999999999E-2</v>
      </c>
      <c r="X1661">
        <v>0.99966690000000002</v>
      </c>
      <c r="Y1661">
        <v>-4.1001910000000003E-2</v>
      </c>
      <c r="Z1661">
        <v>-7.2537969999999898E-3</v>
      </c>
      <c r="AA1661">
        <v>0.99913280000000004</v>
      </c>
      <c r="AB1661">
        <v>30</v>
      </c>
      <c r="AC1661">
        <v>-12.376399999999901</v>
      </c>
      <c r="AD1661">
        <v>-1.108441473841</v>
      </c>
      <c r="AE1661">
        <v>0.245099999999979</v>
      </c>
      <c r="AF1661">
        <v>-0.51721127598606298</v>
      </c>
      <c r="AG1661">
        <v>-1.108441473841</v>
      </c>
      <c r="AH1661">
        <v>12.2694661437286</v>
      </c>
      <c r="AI1661">
        <v>95.157615193668605</v>
      </c>
      <c r="AJ1661">
        <v>92.413836793548796</v>
      </c>
      <c r="AK1661">
        <v>12.3302858627462</v>
      </c>
      <c r="AL1661">
        <v>89.289178356650496</v>
      </c>
      <c r="AM1661">
        <v>91.296933768885793</v>
      </c>
      <c r="AN1661">
        <v>1.00000001390785</v>
      </c>
    </row>
    <row r="1662" spans="1:40" x14ac:dyDescent="0.3">
      <c r="A1662" t="str">
        <f>"20200111160438360"</f>
        <v>20200111160438360</v>
      </c>
      <c r="B1662" t="str">
        <f>"1578729878352739"</f>
        <v>1578729878352739</v>
      </c>
      <c r="C1662" t="s">
        <v>40</v>
      </c>
      <c r="D1662">
        <v>5.6217240000000004</v>
      </c>
      <c r="E1662">
        <v>0.49505110000000002</v>
      </c>
      <c r="F1662" t="s">
        <v>61</v>
      </c>
      <c r="G1662">
        <v>-297.46910000000003</v>
      </c>
      <c r="H1662" s="1">
        <v>3.5186929999999999E-6</v>
      </c>
      <c r="I1662">
        <v>284.75299999999999</v>
      </c>
      <c r="J1662">
        <v>-285.29539999999997</v>
      </c>
      <c r="K1662">
        <v>1.1084889999999901</v>
      </c>
      <c r="L1662">
        <v>284.49990000000003</v>
      </c>
      <c r="M1662">
        <v>-0.99789700000000003</v>
      </c>
      <c r="N1662">
        <v>0</v>
      </c>
      <c r="O1662">
        <v>6.3230439999999999E-2</v>
      </c>
      <c r="P1662">
        <v>-0.99916519999999998</v>
      </c>
      <c r="Q1662">
        <v>-3.2582129999999998E-3</v>
      </c>
      <c r="R1662">
        <v>4.0727159999999998E-2</v>
      </c>
      <c r="S1662">
        <v>-2.9992369999999999</v>
      </c>
      <c r="T1662">
        <v>-0.26931579999999999</v>
      </c>
      <c r="U1662">
        <v>6.4392089999999999E-2</v>
      </c>
      <c r="V1662">
        <v>-2.248609E-2</v>
      </c>
      <c r="W1662">
        <v>1.112135E-2</v>
      </c>
      <c r="X1662">
        <v>0.9996853</v>
      </c>
      <c r="Y1662">
        <v>-4.1380390000000003E-2</v>
      </c>
      <c r="Z1662">
        <v>-7.5164159999999997E-3</v>
      </c>
      <c r="AA1662">
        <v>0.99911519999999998</v>
      </c>
      <c r="AB1662">
        <v>30</v>
      </c>
      <c r="AC1662">
        <v>-12.1737</v>
      </c>
      <c r="AD1662">
        <v>-1.10848548130699</v>
      </c>
      <c r="AE1662">
        <v>0.25309999999996002</v>
      </c>
      <c r="AF1662">
        <v>-0.5129819319908</v>
      </c>
      <c r="AG1662">
        <v>-1.10848548130699</v>
      </c>
      <c r="AH1662">
        <v>12.065347752992</v>
      </c>
      <c r="AI1662">
        <v>95.244514980821904</v>
      </c>
      <c r="AJ1662">
        <v>92.434576199077796</v>
      </c>
      <c r="AK1662">
        <v>12.1270155819743</v>
      </c>
      <c r="AL1662">
        <v>89.362780448817801</v>
      </c>
      <c r="AM1662">
        <v>91.288546347798899</v>
      </c>
      <c r="AN1662">
        <v>1.0000000038526999</v>
      </c>
    </row>
    <row r="1663" spans="1:40" x14ac:dyDescent="0.3">
      <c r="A1663" t="str">
        <f>"20200111160438379"</f>
        <v>20200111160438379</v>
      </c>
      <c r="B1663" t="str">
        <f>"1578729878372259"</f>
        <v>1578729878372259</v>
      </c>
      <c r="C1663" t="s">
        <v>40</v>
      </c>
      <c r="D1663">
        <v>5.5133289999999997</v>
      </c>
      <c r="E1663">
        <v>0.49457800000000002</v>
      </c>
      <c r="F1663" t="s">
        <v>61</v>
      </c>
      <c r="G1663">
        <v>-297.59949999999998</v>
      </c>
      <c r="H1663" s="1">
        <v>3.5409350000000002E-6</v>
      </c>
      <c r="I1663">
        <v>284.76319999999998</v>
      </c>
      <c r="J1663">
        <v>-285.54250000000002</v>
      </c>
      <c r="K1663">
        <v>1.1085560000000001</v>
      </c>
      <c r="L1663">
        <v>284.51760000000002</v>
      </c>
      <c r="M1663">
        <v>-0.99777579999999999</v>
      </c>
      <c r="N1663">
        <v>0</v>
      </c>
      <c r="O1663">
        <v>6.51148E-2</v>
      </c>
      <c r="P1663">
        <v>-0.99910889999999997</v>
      </c>
      <c r="Q1663">
        <v>-4.8247610000000003E-3</v>
      </c>
      <c r="R1663">
        <v>4.1931789999999997E-2</v>
      </c>
      <c r="S1663">
        <v>-2.9990540000000001</v>
      </c>
      <c r="T1663">
        <v>-0.27018629999999999</v>
      </c>
      <c r="U1663">
        <v>6.4178470000000001E-2</v>
      </c>
      <c r="V1663">
        <v>-2.3177659999999999E-2</v>
      </c>
      <c r="W1663">
        <v>9.5488220000000002E-3</v>
      </c>
      <c r="X1663">
        <v>0.99968579999999996</v>
      </c>
      <c r="Y1663">
        <v>-4.331873E-2</v>
      </c>
      <c r="Z1663">
        <v>-7.79730599999999E-3</v>
      </c>
      <c r="AA1663">
        <v>0.99903090000000005</v>
      </c>
      <c r="AB1663">
        <v>30</v>
      </c>
      <c r="AC1663">
        <v>-12.056999999999899</v>
      </c>
      <c r="AD1663">
        <v>-1.10855245906499</v>
      </c>
      <c r="AE1663">
        <v>0.24559999999996701</v>
      </c>
      <c r="AF1663">
        <v>-0.53556487535978203</v>
      </c>
      <c r="AG1663">
        <v>-1.10855245906499</v>
      </c>
      <c r="AH1663">
        <v>11.9464541318375</v>
      </c>
      <c r="AI1663">
        <v>95.296201227734002</v>
      </c>
      <c r="AJ1663">
        <v>92.566876701244396</v>
      </c>
      <c r="AK1663">
        <v>12.0097245852815</v>
      </c>
      <c r="AL1663">
        <v>89.4528845081405</v>
      </c>
      <c r="AM1663">
        <v>91.328161533490402</v>
      </c>
      <c r="AN1663">
        <v>1.00000004132315</v>
      </c>
    </row>
    <row r="1664" spans="1:40" x14ac:dyDescent="0.3">
      <c r="A1664" t="str">
        <f>"20200111160438392"</f>
        <v>20200111160438392</v>
      </c>
      <c r="B1664" t="str">
        <f>"1578729878382019"</f>
        <v>1578729878382019</v>
      </c>
      <c r="C1664" t="s">
        <v>40</v>
      </c>
      <c r="D1664">
        <v>5.5628599999999997</v>
      </c>
      <c r="E1664">
        <v>0.49437049999999999</v>
      </c>
      <c r="F1664" t="s">
        <v>61</v>
      </c>
      <c r="G1664">
        <v>-297.55130000000003</v>
      </c>
      <c r="H1664" s="1">
        <v>3.5315419999999999E-6</v>
      </c>
      <c r="I1664">
        <v>284.77289999999999</v>
      </c>
      <c r="J1664">
        <v>-285.71719999999999</v>
      </c>
      <c r="K1664">
        <v>1.108611</v>
      </c>
      <c r="L1664">
        <v>284.53039999999999</v>
      </c>
      <c r="M1664">
        <v>-0.99769160000000001</v>
      </c>
      <c r="N1664">
        <v>0</v>
      </c>
      <c r="O1664">
        <v>6.6394359999999999E-2</v>
      </c>
      <c r="P1664">
        <v>-0.99907060000000003</v>
      </c>
      <c r="Q1664">
        <v>-5.0872340000000004E-3</v>
      </c>
      <c r="R1664">
        <v>4.280428E-2</v>
      </c>
      <c r="S1664">
        <v>-2.9986570000000001</v>
      </c>
      <c r="T1664">
        <v>-0.27681119999999998</v>
      </c>
      <c r="U1664">
        <v>6.3751219999999997E-2</v>
      </c>
      <c r="V1664">
        <v>-2.3588609999999999E-2</v>
      </c>
      <c r="W1664">
        <v>9.2813280000000001E-3</v>
      </c>
      <c r="X1664">
        <v>0.99967870000000003</v>
      </c>
      <c r="Y1664">
        <v>-4.470619E-2</v>
      </c>
      <c r="Z1664">
        <v>-8.1702939999999998E-3</v>
      </c>
      <c r="AA1664">
        <v>0.99896680000000004</v>
      </c>
      <c r="AB1664">
        <v>29</v>
      </c>
      <c r="AC1664">
        <v>-11.834099999999999</v>
      </c>
      <c r="AD1664">
        <v>-1.1086074684580001</v>
      </c>
      <c r="AE1664">
        <v>0.24250000000000599</v>
      </c>
      <c r="AF1664">
        <v>-0.53910349386457102</v>
      </c>
      <c r="AG1664">
        <v>-1.1086074684580001</v>
      </c>
      <c r="AH1664">
        <v>11.721264616707399</v>
      </c>
      <c r="AI1664">
        <v>95.397340239596204</v>
      </c>
      <c r="AJ1664">
        <v>92.633384961443795</v>
      </c>
      <c r="AK1664">
        <v>11.7859105422999</v>
      </c>
      <c r="AL1664">
        <v>89.468211460451002</v>
      </c>
      <c r="AM1664">
        <v>91.351711351537602</v>
      </c>
      <c r="AN1664">
        <v>1.00000003440243</v>
      </c>
    </row>
    <row r="1665" spans="1:40" x14ac:dyDescent="0.3">
      <c r="A1665" t="str">
        <f>"20200111160438406"</f>
        <v>20200111160438406</v>
      </c>
      <c r="B1665" t="str">
        <f>"1578729878402516"</f>
        <v>1578729878402516</v>
      </c>
      <c r="C1665" t="s">
        <v>40</v>
      </c>
      <c r="D1665">
        <v>5.5538530000000002</v>
      </c>
      <c r="E1665">
        <v>0.49408350000000001</v>
      </c>
      <c r="F1665" t="s">
        <v>61</v>
      </c>
      <c r="G1665">
        <v>-297.66460000000001</v>
      </c>
      <c r="H1665" s="1">
        <v>3.550188E-6</v>
      </c>
      <c r="I1665">
        <v>284.78949999999998</v>
      </c>
      <c r="J1665">
        <v>-285.8947</v>
      </c>
      <c r="K1665">
        <v>1.108662</v>
      </c>
      <c r="L1665">
        <v>284.54349999999999</v>
      </c>
      <c r="M1665">
        <v>-0.99760649999999995</v>
      </c>
      <c r="N1665">
        <v>0</v>
      </c>
      <c r="O1665">
        <v>6.7661299999999994E-2</v>
      </c>
      <c r="P1665">
        <v>-0.9990426</v>
      </c>
      <c r="Q1665">
        <v>-4.9230680000000001E-3</v>
      </c>
      <c r="R1665">
        <v>4.3473249999999998E-2</v>
      </c>
      <c r="S1665">
        <v>-2.998596</v>
      </c>
      <c r="T1665">
        <v>-0.27824179999999998</v>
      </c>
      <c r="U1665">
        <v>6.5032960000000001E-2</v>
      </c>
      <c r="V1665">
        <v>-2.418967E-2</v>
      </c>
      <c r="W1665">
        <v>9.4415390000000005E-3</v>
      </c>
      <c r="X1665">
        <v>0.99966279999999996</v>
      </c>
      <c r="Y1665">
        <v>-4.553372E-2</v>
      </c>
      <c r="Z1665">
        <v>-8.3678190000000003E-3</v>
      </c>
      <c r="AA1665">
        <v>0.99892780000000003</v>
      </c>
      <c r="AB1665">
        <v>29</v>
      </c>
      <c r="AC1665">
        <v>-11.7699</v>
      </c>
      <c r="AD1665">
        <v>-1.108658449812</v>
      </c>
      <c r="AE1665">
        <v>0.24599999999998001</v>
      </c>
      <c r="AF1665">
        <v>-0.54616772522493395</v>
      </c>
      <c r="AG1665">
        <v>-1.108658449812</v>
      </c>
      <c r="AH1665">
        <v>11.6561930088826</v>
      </c>
      <c r="AI1665">
        <v>95.427324348449702</v>
      </c>
      <c r="AJ1665">
        <v>92.682714163121801</v>
      </c>
      <c r="AK1665">
        <v>11.721529686979499</v>
      </c>
      <c r="AL1665">
        <v>89.459031624814799</v>
      </c>
      <c r="AM1665">
        <v>91.386162997461298</v>
      </c>
      <c r="AN1665">
        <v>0.99999999824861796</v>
      </c>
    </row>
    <row r="1666" spans="1:40" x14ac:dyDescent="0.3">
      <c r="A1666" t="str">
        <f>"20200111160438423"</f>
        <v>20200111160438423</v>
      </c>
      <c r="B1666" t="str">
        <f>"1578729878412275"</f>
        <v>1578729878412275</v>
      </c>
      <c r="C1666" t="s">
        <v>40</v>
      </c>
      <c r="D1666">
        <v>5.5943480000000001</v>
      </c>
      <c r="E1666">
        <v>0.49385800000000002</v>
      </c>
      <c r="F1666" t="s">
        <v>61</v>
      </c>
      <c r="G1666">
        <v>-297.79340000000002</v>
      </c>
      <c r="H1666" s="1">
        <v>3.5721149999999998E-6</v>
      </c>
      <c r="I1666">
        <v>284.8</v>
      </c>
      <c r="J1666">
        <v>-286.12119999999999</v>
      </c>
      <c r="K1666">
        <v>1.108743</v>
      </c>
      <c r="L1666">
        <v>284.56060000000002</v>
      </c>
      <c r="M1666">
        <v>-0.99750019999999995</v>
      </c>
      <c r="N1666">
        <v>0</v>
      </c>
      <c r="O1666">
        <v>6.9208459999999999E-2</v>
      </c>
      <c r="P1666">
        <v>-0.99902579999999996</v>
      </c>
      <c r="Q1666">
        <v>-3.9532150000000004E-3</v>
      </c>
      <c r="R1666">
        <v>4.3954670000000001E-2</v>
      </c>
      <c r="S1666">
        <v>-2.998688</v>
      </c>
      <c r="T1666">
        <v>-0.27940219999999999</v>
      </c>
      <c r="U1666">
        <v>6.4636230000000003E-2</v>
      </c>
      <c r="V1666">
        <v>-2.5256219999999999E-2</v>
      </c>
      <c r="W1666">
        <v>1.040661E-2</v>
      </c>
      <c r="X1666">
        <v>0.99962680000000004</v>
      </c>
      <c r="Y1666">
        <v>-4.7197830000000003E-2</v>
      </c>
      <c r="Z1666">
        <v>-8.6232140000000006E-3</v>
      </c>
      <c r="AA1666">
        <v>0.99884830000000002</v>
      </c>
      <c r="AB1666">
        <v>29</v>
      </c>
      <c r="AC1666">
        <v>-11.6722</v>
      </c>
      <c r="AD1666">
        <v>-1.108739427885</v>
      </c>
      <c r="AE1666">
        <v>0.23939999999998901</v>
      </c>
      <c r="AF1666">
        <v>-0.56398463249701003</v>
      </c>
      <c r="AG1666">
        <v>-1.108739427885</v>
      </c>
      <c r="AH1666">
        <v>11.5565456330517</v>
      </c>
      <c r="AI1666">
        <v>95.473731130464202</v>
      </c>
      <c r="AJ1666">
        <v>92.793942346204801</v>
      </c>
      <c r="AK1666">
        <v>11.6233011125689</v>
      </c>
      <c r="AL1666">
        <v>89.403734379480596</v>
      </c>
      <c r="AM1666">
        <v>91.4473071505017</v>
      </c>
      <c r="AN1666">
        <v>0.99999995672930897</v>
      </c>
    </row>
    <row r="1667" spans="1:40" x14ac:dyDescent="0.3">
      <c r="A1667" t="str">
        <f>"20200111160438437"</f>
        <v>20200111160438437</v>
      </c>
      <c r="B1667" t="str">
        <f>"1578729878432772"</f>
        <v>1578729878432772</v>
      </c>
      <c r="C1667" t="s">
        <v>40</v>
      </c>
      <c r="D1667">
        <v>5.669632</v>
      </c>
      <c r="E1667">
        <v>0.49343209999999998</v>
      </c>
      <c r="F1667" t="s">
        <v>61</v>
      </c>
      <c r="G1667">
        <v>-298.12599999999998</v>
      </c>
      <c r="H1667" s="1">
        <v>3.6295050000000001E-6</v>
      </c>
      <c r="I1667">
        <v>284.81849999999997</v>
      </c>
      <c r="J1667">
        <v>-286.29939999999999</v>
      </c>
      <c r="K1667">
        <v>1.108798</v>
      </c>
      <c r="L1667">
        <v>284.57420000000002</v>
      </c>
      <c r="M1667">
        <v>-0.99741919999999995</v>
      </c>
      <c r="N1667">
        <v>0</v>
      </c>
      <c r="O1667">
        <v>7.0367509999999994E-2</v>
      </c>
      <c r="P1667">
        <v>-0.99900180000000005</v>
      </c>
      <c r="Q1667">
        <v>-2.85279E-3</v>
      </c>
      <c r="R1667">
        <v>4.4581219999999998E-2</v>
      </c>
      <c r="S1667">
        <v>-2.998993</v>
      </c>
      <c r="T1667">
        <v>-0.27697909999999998</v>
      </c>
      <c r="U1667">
        <v>6.4422610000000005E-2</v>
      </c>
      <c r="V1667">
        <v>-2.578834E-2</v>
      </c>
      <c r="W1667">
        <v>1.150136E-2</v>
      </c>
      <c r="X1667">
        <v>0.99960119999999997</v>
      </c>
      <c r="Y1667">
        <v>-4.8430389999999997E-2</v>
      </c>
      <c r="Z1667">
        <v>-8.7112660000000005E-3</v>
      </c>
      <c r="AA1667">
        <v>0.99878860000000003</v>
      </c>
      <c r="AB1667">
        <v>29</v>
      </c>
      <c r="AC1667">
        <v>-11.8265999999999</v>
      </c>
      <c r="AD1667">
        <v>-1.1087943704949901</v>
      </c>
      <c r="AE1667">
        <v>0.244299999999952</v>
      </c>
      <c r="AF1667">
        <v>-0.58347227780283195</v>
      </c>
      <c r="AG1667">
        <v>-1.1087943704949901</v>
      </c>
      <c r="AH1667">
        <v>11.711570789163</v>
      </c>
      <c r="AI1667">
        <v>95.401704386834695</v>
      </c>
      <c r="AJ1667">
        <v>92.852126499485607</v>
      </c>
      <c r="AK1667">
        <v>11.7784020649909</v>
      </c>
      <c r="AL1667">
        <v>89.341006044099103</v>
      </c>
      <c r="AM1667">
        <v>91.477824723159401</v>
      </c>
      <c r="AN1667">
        <v>0.99999993940162002</v>
      </c>
    </row>
    <row r="1668" spans="1:40" x14ac:dyDescent="0.3">
      <c r="A1668" t="str">
        <f>"20200111160438457"</f>
        <v>20200111160438457</v>
      </c>
      <c r="B1668" t="str">
        <f>"1578729878452292"</f>
        <v>1578729878452292</v>
      </c>
      <c r="C1668" t="s">
        <v>40</v>
      </c>
      <c r="D1668">
        <v>5.8399269999999897</v>
      </c>
      <c r="E1668">
        <v>0.49296909999999999</v>
      </c>
      <c r="F1668" t="s">
        <v>61</v>
      </c>
      <c r="G1668">
        <v>-298.3766</v>
      </c>
      <c r="H1668" s="1">
        <v>3.6730639999999999E-6</v>
      </c>
      <c r="I1668">
        <v>284.82859999999999</v>
      </c>
      <c r="J1668">
        <v>-286.56110000000001</v>
      </c>
      <c r="K1668">
        <v>1.108886</v>
      </c>
      <c r="L1668">
        <v>284.59449999999998</v>
      </c>
      <c r="M1668">
        <v>-0.99730249999999998</v>
      </c>
      <c r="N1668">
        <v>0</v>
      </c>
      <c r="O1668">
        <v>7.2004289999999999E-2</v>
      </c>
      <c r="P1668">
        <v>-0.99897630000000004</v>
      </c>
      <c r="Q1668">
        <v>-9.704828E-4</v>
      </c>
      <c r="R1668">
        <v>4.5228320000000002E-2</v>
      </c>
      <c r="S1668">
        <v>-2.99939</v>
      </c>
      <c r="T1668">
        <v>-0.27537109999999998</v>
      </c>
      <c r="U1668">
        <v>6.3171389999999994E-2</v>
      </c>
      <c r="V1668">
        <v>-2.677674E-2</v>
      </c>
      <c r="W1668">
        <v>1.3376620000000001E-2</v>
      </c>
      <c r="X1668">
        <v>0.999552</v>
      </c>
      <c r="Y1668">
        <v>-5.047923E-2</v>
      </c>
      <c r="Z1668">
        <v>-8.9032820000000002E-3</v>
      </c>
      <c r="AA1668">
        <v>0.99868539999999995</v>
      </c>
      <c r="AB1668">
        <v>29</v>
      </c>
      <c r="AC1668">
        <v>-11.815499999999901</v>
      </c>
      <c r="AD1668">
        <v>-1.108882326936</v>
      </c>
      <c r="AE1668">
        <v>0.23410000000001199</v>
      </c>
      <c r="AF1668">
        <v>-0.611972860765435</v>
      </c>
      <c r="AG1668">
        <v>-1.108882326936</v>
      </c>
      <c r="AH1668">
        <v>11.698683390682</v>
      </c>
      <c r="AI1668">
        <v>95.407364074950294</v>
      </c>
      <c r="AJ1668">
        <v>92.994484934184996</v>
      </c>
      <c r="AK1668">
        <v>11.7670439734338</v>
      </c>
      <c r="AL1668">
        <v>89.233553320702001</v>
      </c>
      <c r="AM1668">
        <v>91.534514813697299</v>
      </c>
      <c r="AN1668">
        <v>1.00000006423582</v>
      </c>
    </row>
    <row r="1669" spans="1:40" x14ac:dyDescent="0.3">
      <c r="A1669" t="str">
        <f>"20200111160438470"</f>
        <v>20200111160438470</v>
      </c>
      <c r="B1669" t="str">
        <f>"1578729878462633"</f>
        <v>1578729878462633</v>
      </c>
      <c r="C1669" t="s">
        <v>40</v>
      </c>
      <c r="D1669">
        <v>5.6147910000000003</v>
      </c>
      <c r="E1669">
        <v>0.4927165</v>
      </c>
      <c r="F1669" t="s">
        <v>61</v>
      </c>
      <c r="G1669">
        <v>-298.86160000000001</v>
      </c>
      <c r="H1669" s="1">
        <v>3.7573349999999999E-6</v>
      </c>
      <c r="I1669">
        <v>284.84879999999998</v>
      </c>
      <c r="J1669">
        <v>-286.73630000000003</v>
      </c>
      <c r="K1669">
        <v>1.1089359999999999</v>
      </c>
      <c r="L1669">
        <v>284.60829999999999</v>
      </c>
      <c r="M1669">
        <v>-0.99722659999999996</v>
      </c>
      <c r="N1669">
        <v>0</v>
      </c>
      <c r="O1669">
        <v>7.3050100000000007E-2</v>
      </c>
      <c r="P1669">
        <v>-0.99895929999999999</v>
      </c>
      <c r="Q1669">
        <v>4.066378E-4</v>
      </c>
      <c r="R1669">
        <v>4.5611499999999999E-2</v>
      </c>
      <c r="S1669">
        <v>-2.9999389999999999</v>
      </c>
      <c r="T1669">
        <v>-0.27044299999999999</v>
      </c>
      <c r="U1669">
        <v>6.2011719999999999E-2</v>
      </c>
      <c r="V1669">
        <v>-2.743872E-2</v>
      </c>
      <c r="W1669">
        <v>1.47493E-2</v>
      </c>
      <c r="X1669">
        <v>0.99951469999999998</v>
      </c>
      <c r="Y1669">
        <v>-5.1924530000000003E-2</v>
      </c>
      <c r="Z1669">
        <v>-8.9019289999999994E-3</v>
      </c>
      <c r="AA1669">
        <v>0.99861129999999998</v>
      </c>
      <c r="AB1669">
        <v>29</v>
      </c>
      <c r="AC1669">
        <v>-12.1252999999999</v>
      </c>
      <c r="AD1669">
        <v>-1.1089322426649999</v>
      </c>
      <c r="AE1669">
        <v>0.24049999999999699</v>
      </c>
      <c r="AF1669">
        <v>-0.64063062058299403</v>
      </c>
      <c r="AG1669">
        <v>-1.1089322426649999</v>
      </c>
      <c r="AH1669">
        <v>12.0100531248523</v>
      </c>
      <c r="AI1669">
        <v>95.267924782509795</v>
      </c>
      <c r="AJ1669">
        <v>93.053331843281399</v>
      </c>
      <c r="AK1669">
        <v>12.078142008298499</v>
      </c>
      <c r="AL1669">
        <v>89.154896742110097</v>
      </c>
      <c r="AM1669">
        <v>91.572491234783897</v>
      </c>
      <c r="AN1669">
        <v>1.0000000303609</v>
      </c>
    </row>
    <row r="1670" spans="1:40" x14ac:dyDescent="0.3">
      <c r="A1670" t="str">
        <f>"20200111160438491"</f>
        <v>20200111160438491</v>
      </c>
      <c r="B1670" t="str">
        <f>"1578729878482152"</f>
        <v>1578729878482152</v>
      </c>
      <c r="C1670" t="s">
        <v>40</v>
      </c>
      <c r="D1670">
        <v>5.6383289999999997</v>
      </c>
      <c r="E1670">
        <v>0.49232579999999998</v>
      </c>
      <c r="F1670" t="s">
        <v>61</v>
      </c>
      <c r="G1670">
        <v>-299.2122</v>
      </c>
      <c r="H1670" s="1">
        <v>3.8181940000000004E-6</v>
      </c>
      <c r="I1670">
        <v>284.86410000000001</v>
      </c>
      <c r="J1670">
        <v>-287.01900000000001</v>
      </c>
      <c r="K1670">
        <v>1.10902099999999</v>
      </c>
      <c r="L1670">
        <v>284.63080000000002</v>
      </c>
      <c r="M1670">
        <v>-0.99710750000000004</v>
      </c>
      <c r="N1670">
        <v>0</v>
      </c>
      <c r="O1670">
        <v>7.4659349999999999E-2</v>
      </c>
      <c r="P1670">
        <v>-0.9989479</v>
      </c>
      <c r="Q1670">
        <v>3.74501E-3</v>
      </c>
      <c r="R1670">
        <v>4.5708720000000001E-2</v>
      </c>
      <c r="S1670">
        <v>-3.0004270000000002</v>
      </c>
      <c r="T1670">
        <v>-0.2666944</v>
      </c>
      <c r="U1670">
        <v>6.1523439999999999E-2</v>
      </c>
      <c r="V1670">
        <v>-2.8945080000000002E-2</v>
      </c>
      <c r="W1670">
        <v>1.8080510000000001E-2</v>
      </c>
      <c r="X1670">
        <v>0.99941749999999996</v>
      </c>
      <c r="Y1670">
        <v>-5.370258E-2</v>
      </c>
      <c r="Z1670">
        <v>-8.9988959999999993E-3</v>
      </c>
      <c r="AA1670">
        <v>0.99851639999999997</v>
      </c>
      <c r="AB1670">
        <v>29</v>
      </c>
      <c r="AC1670">
        <v>-12.1931999999999</v>
      </c>
      <c r="AD1670">
        <v>-1.10901718180599</v>
      </c>
      <c r="AE1670">
        <v>0.23329999999998499</v>
      </c>
      <c r="AF1670">
        <v>-0.67222090590061301</v>
      </c>
      <c r="AG1670">
        <v>-1.10901718180599</v>
      </c>
      <c r="AH1670">
        <v>12.076713776024301</v>
      </c>
      <c r="AI1670">
        <v>95.238751163579394</v>
      </c>
      <c r="AJ1670">
        <v>93.185942598823203</v>
      </c>
      <c r="AK1670">
        <v>12.146144066488199</v>
      </c>
      <c r="AL1670">
        <v>88.9640066671369</v>
      </c>
      <c r="AM1670">
        <v>91.658933789545301</v>
      </c>
      <c r="AN1670">
        <v>1.00000003090215</v>
      </c>
    </row>
    <row r="1671" spans="1:40" x14ac:dyDescent="0.3">
      <c r="A1671" t="str">
        <f>"20200111160438505"</f>
        <v>20200111160438505</v>
      </c>
      <c r="B1671" t="str">
        <f>"1578729878502649"</f>
        <v>1578729878502649</v>
      </c>
      <c r="C1671" t="s">
        <v>40</v>
      </c>
      <c r="D1671">
        <v>6.3317639999999997</v>
      </c>
      <c r="E1671">
        <v>0.49258669999999999</v>
      </c>
      <c r="F1671" t="s">
        <v>61</v>
      </c>
      <c r="G1671">
        <v>-299.91750000000002</v>
      </c>
      <c r="H1671" s="1">
        <v>3.941304E-6</v>
      </c>
      <c r="I1671">
        <v>284.88679999999999</v>
      </c>
      <c r="J1671">
        <v>-287.19130000000001</v>
      </c>
      <c r="K1671">
        <v>1.1090799999999901</v>
      </c>
      <c r="L1671">
        <v>284.6447</v>
      </c>
      <c r="M1671">
        <v>-0.99703649999999999</v>
      </c>
      <c r="N1671">
        <v>0</v>
      </c>
      <c r="O1671">
        <v>7.5603210000000004E-2</v>
      </c>
      <c r="P1671">
        <v>-0.99893189999999998</v>
      </c>
      <c r="Q1671">
        <v>5.1189470000000004E-3</v>
      </c>
      <c r="R1671">
        <v>4.59245E-2</v>
      </c>
      <c r="S1671">
        <v>-3.001404</v>
      </c>
      <c r="T1671">
        <v>-0.2580614</v>
      </c>
      <c r="U1671">
        <v>5.9570310000000001E-2</v>
      </c>
      <c r="V1671">
        <v>-2.9672489999999999E-2</v>
      </c>
      <c r="W1671">
        <v>1.9449270000000001E-2</v>
      </c>
      <c r="X1671">
        <v>0.99937050000000005</v>
      </c>
      <c r="Y1671">
        <v>-5.5326889999999997E-2</v>
      </c>
      <c r="Z1671">
        <v>-8.8564590000000006E-3</v>
      </c>
      <c r="AA1671">
        <v>0.99842900000000001</v>
      </c>
      <c r="AB1671">
        <v>29</v>
      </c>
      <c r="AC1671">
        <v>-12.7262</v>
      </c>
      <c r="AD1671">
        <v>-1.10907605869599</v>
      </c>
      <c r="AE1671">
        <v>0.24209999999999299</v>
      </c>
      <c r="AF1671">
        <v>-0.71540050776478403</v>
      </c>
      <c r="AG1671">
        <v>-1.10907605869599</v>
      </c>
      <c r="AH1671">
        <v>12.6123200478636</v>
      </c>
      <c r="AI1671">
        <v>95.017406858464696</v>
      </c>
      <c r="AJ1671">
        <v>93.246472823538795</v>
      </c>
      <c r="AK1671">
        <v>12.681185456424201</v>
      </c>
      <c r="AL1671">
        <v>88.885568717566599</v>
      </c>
      <c r="AM1671">
        <v>91.700679700550197</v>
      </c>
      <c r="AN1671">
        <v>1.00000006351828</v>
      </c>
    </row>
    <row r="1672" spans="1:40" x14ac:dyDescent="0.3">
      <c r="A1672" t="str">
        <f>"20200111160438519"</f>
        <v>20200111160438519</v>
      </c>
      <c r="B1672" t="str">
        <f>"1578729878512409"</f>
        <v>1578729878512409</v>
      </c>
      <c r="C1672" t="s">
        <v>40</v>
      </c>
      <c r="D1672">
        <v>5.6357269999999904</v>
      </c>
      <c r="E1672">
        <v>0.50818160000000001</v>
      </c>
      <c r="F1672" t="s">
        <v>61</v>
      </c>
      <c r="G1672">
        <v>-300.30160000000001</v>
      </c>
      <c r="H1672" s="1">
        <v>3.8845660000000004E-6</v>
      </c>
      <c r="I1672">
        <v>284.91989999999998</v>
      </c>
      <c r="J1672">
        <v>-287.37430000000001</v>
      </c>
      <c r="K1672">
        <v>1.1091329999999999</v>
      </c>
      <c r="L1672">
        <v>284.65969999999999</v>
      </c>
      <c r="M1672">
        <v>-0.9969633</v>
      </c>
      <c r="N1672">
        <v>0</v>
      </c>
      <c r="O1672">
        <v>7.6561669999999998E-2</v>
      </c>
      <c r="P1672">
        <v>-0.99889989999999995</v>
      </c>
      <c r="Q1672">
        <v>6.3182409999999996E-3</v>
      </c>
      <c r="R1672">
        <v>4.6471499999999999E-2</v>
      </c>
      <c r="S1672">
        <v>-3.001617</v>
      </c>
      <c r="T1672">
        <v>-0.25392379999999998</v>
      </c>
      <c r="U1672">
        <v>6.2988279999999994E-2</v>
      </c>
      <c r="V1672">
        <v>-3.0083970000000002E-2</v>
      </c>
      <c r="W1672">
        <v>2.0642549999999999E-2</v>
      </c>
      <c r="X1672">
        <v>0.99933419999999895</v>
      </c>
      <c r="Y1672">
        <v>-5.5164270000000001E-2</v>
      </c>
      <c r="Z1672">
        <v>-8.7880449999999995E-3</v>
      </c>
      <c r="AA1672">
        <v>0.99843859999999995</v>
      </c>
      <c r="AB1672">
        <v>29</v>
      </c>
      <c r="AC1672">
        <v>-12.927300000000001</v>
      </c>
      <c r="AD1672">
        <v>-1.1091291154339999</v>
      </c>
      <c r="AE1672">
        <v>0.26019999999999699</v>
      </c>
      <c r="AF1672">
        <v>-0.72506459539455204</v>
      </c>
      <c r="AG1672">
        <v>-1.1091291154339999</v>
      </c>
      <c r="AH1672">
        <v>12.814976683543399</v>
      </c>
      <c r="AI1672">
        <v>94.938731608229901</v>
      </c>
      <c r="AJ1672">
        <v>93.2383122779503</v>
      </c>
      <c r="AK1672">
        <v>12.8833036703308</v>
      </c>
      <c r="AL1672">
        <v>88.817184995975296</v>
      </c>
      <c r="AM1672">
        <v>91.724312144680297</v>
      </c>
      <c r="AN1672">
        <v>1.0000000017055499</v>
      </c>
    </row>
    <row r="1673" spans="1:40" x14ac:dyDescent="0.3">
      <c r="A1673" t="str">
        <f>"20200111160438534"</f>
        <v>20200111160438534</v>
      </c>
      <c r="B1673" t="str">
        <f>"1578729878522168"</f>
        <v>1578729878522168</v>
      </c>
      <c r="C1673" t="s">
        <v>40</v>
      </c>
      <c r="D1673">
        <v>5.6374659999999999</v>
      </c>
      <c r="E1673">
        <v>0.50806109999999904</v>
      </c>
      <c r="F1673" t="s">
        <v>61</v>
      </c>
      <c r="G1673">
        <v>-305.46519999999998</v>
      </c>
      <c r="H1673" s="1">
        <v>2.8892330000000001E-6</v>
      </c>
      <c r="I1673">
        <v>285.82799999999997</v>
      </c>
      <c r="J1673">
        <v>-287.572</v>
      </c>
      <c r="K1673">
        <v>1.109192</v>
      </c>
      <c r="L1673">
        <v>284.67599999999999</v>
      </c>
      <c r="M1673">
        <v>-0.9968861</v>
      </c>
      <c r="N1673">
        <v>0</v>
      </c>
      <c r="O1673">
        <v>7.7560399999999904E-2</v>
      </c>
      <c r="P1673">
        <v>-0.99882839999999995</v>
      </c>
      <c r="Q1673">
        <v>5.3107889999999998E-3</v>
      </c>
      <c r="R1673">
        <v>4.8102560000000003E-2</v>
      </c>
      <c r="S1673">
        <v>-2.9954529999999999</v>
      </c>
      <c r="T1673">
        <v>-0.183647</v>
      </c>
      <c r="U1673">
        <v>0.19345090000000001</v>
      </c>
      <c r="V1673">
        <v>-2.945938E-2</v>
      </c>
      <c r="W1673">
        <v>1.962614E-2</v>
      </c>
      <c r="X1673">
        <v>0.99937330000000002</v>
      </c>
      <c r="Y1673">
        <v>-1.298501E-2</v>
      </c>
      <c r="Z1673">
        <v>-5.1369229999999998E-3</v>
      </c>
      <c r="AA1673">
        <v>0.99990250000000003</v>
      </c>
      <c r="AB1673">
        <v>29</v>
      </c>
      <c r="AC1673">
        <v>-17.893199999999901</v>
      </c>
      <c r="AD1673">
        <v>-1.109189110767</v>
      </c>
      <c r="AE1673">
        <v>1.1519999999999799</v>
      </c>
      <c r="AF1673">
        <v>-0.23850249511229599</v>
      </c>
      <c r="AG1673">
        <v>-1.109189110767</v>
      </c>
      <c r="AH1673">
        <v>17.860298948916</v>
      </c>
      <c r="AI1673">
        <v>93.553394939358299</v>
      </c>
      <c r="AJ1673">
        <v>90.765069735112405</v>
      </c>
      <c r="AK1673">
        <v>17.896297451380001</v>
      </c>
      <c r="AL1673">
        <v>88.875432826181495</v>
      </c>
      <c r="AM1673">
        <v>91.6884676622483</v>
      </c>
      <c r="AN1673">
        <v>1.0000000165970799</v>
      </c>
    </row>
    <row r="1674" spans="1:40" x14ac:dyDescent="0.3">
      <c r="A1674" t="str">
        <f>"20200111160438547"</f>
        <v>20200111160438547</v>
      </c>
      <c r="B1674" t="str">
        <f>"1578729878542666"</f>
        <v>1578729878542666</v>
      </c>
      <c r="C1674" t="s">
        <v>40</v>
      </c>
      <c r="D1674">
        <v>5.630147</v>
      </c>
      <c r="E1674">
        <v>0.50906490000000004</v>
      </c>
      <c r="F1674" t="s">
        <v>61</v>
      </c>
      <c r="G1674">
        <v>-304.3897</v>
      </c>
      <c r="H1674" s="1">
        <v>3.0834820000000001E-6</v>
      </c>
      <c r="I1674">
        <v>285.78829999999999</v>
      </c>
      <c r="J1674">
        <v>-287.73829999999998</v>
      </c>
      <c r="K1674">
        <v>1.1092329999999999</v>
      </c>
      <c r="L1674">
        <v>284.68979999999999</v>
      </c>
      <c r="M1674">
        <v>-0.9968224</v>
      </c>
      <c r="N1674">
        <v>0</v>
      </c>
      <c r="O1674">
        <v>7.8374150000000004E-2</v>
      </c>
      <c r="P1674">
        <v>-0.99875749999999996</v>
      </c>
      <c r="Q1674">
        <v>3.7361249999999999E-3</v>
      </c>
      <c r="R1674">
        <v>4.9694780000000001E-2</v>
      </c>
      <c r="S1674">
        <v>-2.9950260000000002</v>
      </c>
      <c r="T1674">
        <v>-0.19753290000000001</v>
      </c>
      <c r="U1674">
        <v>0.1980896</v>
      </c>
      <c r="V1674">
        <v>-2.8689180000000002E-2</v>
      </c>
      <c r="W1674">
        <v>1.8043799999999999E-2</v>
      </c>
      <c r="X1674">
        <v>0.99942549999999997</v>
      </c>
      <c r="Y1674">
        <v>-1.222343E-2</v>
      </c>
      <c r="Z1674">
        <v>-5.5532649999999999E-3</v>
      </c>
      <c r="AA1674">
        <v>0.99990990000000002</v>
      </c>
      <c r="AB1674">
        <v>29</v>
      </c>
      <c r="AC1674">
        <v>-16.651399999999999</v>
      </c>
      <c r="AD1674">
        <v>-1.109229916518</v>
      </c>
      <c r="AE1674">
        <v>1.0985</v>
      </c>
      <c r="AF1674">
        <v>-0.20912720600722701</v>
      </c>
      <c r="AG1674">
        <v>-1.109229916518</v>
      </c>
      <c r="AH1674">
        <v>16.612872153390001</v>
      </c>
      <c r="AI1674">
        <v>93.819627748670996</v>
      </c>
      <c r="AJ1674">
        <v>90.721216254649704</v>
      </c>
      <c r="AK1674">
        <v>16.651175525495798</v>
      </c>
      <c r="AL1674">
        <v>88.966110294897206</v>
      </c>
      <c r="AM1674">
        <v>91.644262286402693</v>
      </c>
      <c r="AN1674">
        <v>0.99999998890888098</v>
      </c>
    </row>
    <row r="1675" spans="1:40" x14ac:dyDescent="0.3">
      <c r="A1675" t="str">
        <f>"20200111160438560"</f>
        <v>20200111160438560</v>
      </c>
      <c r="B1675" t="str">
        <f>"1578729878552424"</f>
        <v>1578729878552424</v>
      </c>
      <c r="C1675" t="s">
        <v>40</v>
      </c>
      <c r="D1675">
        <v>5.6589369999999999</v>
      </c>
      <c r="E1675">
        <v>0.50925310000000001</v>
      </c>
      <c r="F1675" t="s">
        <v>61</v>
      </c>
      <c r="G1675">
        <v>-303.25889999999998</v>
      </c>
      <c r="H1675" s="1">
        <v>3.2845609999999998E-6</v>
      </c>
      <c r="I1675">
        <v>285.78269999999998</v>
      </c>
      <c r="J1675">
        <v>-287.90949999999998</v>
      </c>
      <c r="K1675">
        <v>1.10927</v>
      </c>
      <c r="L1675">
        <v>284.70420000000001</v>
      </c>
      <c r="M1675">
        <v>-0.99675939999999996</v>
      </c>
      <c r="N1675">
        <v>0</v>
      </c>
      <c r="O1675">
        <v>7.9173030000000005E-2</v>
      </c>
      <c r="P1675">
        <v>-0.99866460000000001</v>
      </c>
      <c r="Q1675">
        <v>1.4809739999999999E-3</v>
      </c>
      <c r="R1675">
        <v>5.1644120000000002E-2</v>
      </c>
      <c r="S1675">
        <v>-2.9940190000000002</v>
      </c>
      <c r="T1675">
        <v>-0.21397769999999999</v>
      </c>
      <c r="U1675">
        <v>0.21081539999999999</v>
      </c>
      <c r="V1675">
        <v>-2.7548369999999999E-2</v>
      </c>
      <c r="W1675">
        <v>1.5779140000000001E-2</v>
      </c>
      <c r="X1675">
        <v>0.99949589999999999</v>
      </c>
      <c r="Y1675">
        <v>-8.74518E-3</v>
      </c>
      <c r="Z1675">
        <v>-5.9481300000000003E-3</v>
      </c>
      <c r="AA1675">
        <v>0.9999441</v>
      </c>
      <c r="AB1675">
        <v>29</v>
      </c>
      <c r="AC1675">
        <v>-15.349399999999999</v>
      </c>
      <c r="AD1675">
        <v>-1.1092667154389999</v>
      </c>
      <c r="AE1675">
        <v>1.07849999999996</v>
      </c>
      <c r="AF1675">
        <v>-0.13954248632393401</v>
      </c>
      <c r="AG1675">
        <v>-1.1092667154389999</v>
      </c>
      <c r="AH1675">
        <v>15.307053189041699</v>
      </c>
      <c r="AI1675">
        <v>94.144675395611799</v>
      </c>
      <c r="AJ1675">
        <v>90.522306544562994</v>
      </c>
      <c r="AK1675">
        <v>15.3478279272222</v>
      </c>
      <c r="AL1675">
        <v>89.095884329552206</v>
      </c>
      <c r="AM1675">
        <v>91.578801696002301</v>
      </c>
      <c r="AN1675">
        <v>0.99999997403280205</v>
      </c>
    </row>
    <row r="1676" spans="1:40" x14ac:dyDescent="0.3">
      <c r="A1676" t="str">
        <f>"20200111160438572"</f>
        <v>20200111160438572</v>
      </c>
      <c r="B1676" t="str">
        <f>"1578729878562978"</f>
        <v>1578729878562978</v>
      </c>
      <c r="C1676" t="s">
        <v>40</v>
      </c>
      <c r="D1676">
        <v>5.6634149999999996</v>
      </c>
      <c r="E1676">
        <v>0.50904349999999998</v>
      </c>
      <c r="F1676" t="s">
        <v>61</v>
      </c>
      <c r="G1676">
        <v>-302.67590000000001</v>
      </c>
      <c r="H1676" s="1">
        <v>3.3882349999999999E-6</v>
      </c>
      <c r="I1676">
        <v>285.77960000000002</v>
      </c>
      <c r="J1676">
        <v>-288.07049999999998</v>
      </c>
      <c r="K1676">
        <v>1.1093010000000001</v>
      </c>
      <c r="L1676">
        <v>284.71780000000001</v>
      </c>
      <c r="M1676">
        <v>-0.99670210000000004</v>
      </c>
      <c r="N1676">
        <v>0</v>
      </c>
      <c r="O1676">
        <v>7.9890799999999998E-2</v>
      </c>
      <c r="P1676">
        <v>-0.99856520000000004</v>
      </c>
      <c r="Q1676">
        <v>-1.175197E-3</v>
      </c>
      <c r="R1676">
        <v>5.3536420000000001E-2</v>
      </c>
      <c r="S1676">
        <v>-2.993042</v>
      </c>
      <c r="T1676">
        <v>-0.22483939999999999</v>
      </c>
      <c r="U1676">
        <v>0.21798709999999999</v>
      </c>
      <c r="V1676">
        <v>-2.6383139999999999E-2</v>
      </c>
      <c r="W1676">
        <v>1.3114860000000001E-2</v>
      </c>
      <c r="X1676">
        <v>0.99956590000000001</v>
      </c>
      <c r="Y1676">
        <v>-7.0382149999999996E-3</v>
      </c>
      <c r="Z1676">
        <v>-6.2402269999999897E-3</v>
      </c>
      <c r="AA1676">
        <v>0.99995579999999995</v>
      </c>
      <c r="AB1676">
        <v>29</v>
      </c>
      <c r="AC1676">
        <v>-14.605399999999999</v>
      </c>
      <c r="AD1676">
        <v>-1.109297611765</v>
      </c>
      <c r="AE1676">
        <v>1.0618000000000001</v>
      </c>
      <c r="AF1676">
        <v>-0.107930452819623</v>
      </c>
      <c r="AG1676">
        <v>-1.109297611765</v>
      </c>
      <c r="AH1676">
        <v>14.559993804862399</v>
      </c>
      <c r="AI1676">
        <v>94.356717856324806</v>
      </c>
      <c r="AJ1676">
        <v>90.424714889657906</v>
      </c>
      <c r="AK1676">
        <v>14.6025891461667</v>
      </c>
      <c r="AL1676">
        <v>89.248552352421498</v>
      </c>
      <c r="AM1676">
        <v>91.511948014505194</v>
      </c>
      <c r="AN1676">
        <v>1.0000000290359401</v>
      </c>
    </row>
    <row r="1677" spans="1:40" x14ac:dyDescent="0.3">
      <c r="A1677" t="str">
        <f>"20200111160438591"</f>
        <v>20200111160438591</v>
      </c>
      <c r="B1677" t="str">
        <f>"1578729878582496"</f>
        <v>1578729878582496</v>
      </c>
      <c r="C1677" t="s">
        <v>40</v>
      </c>
      <c r="D1677">
        <v>5.827852</v>
      </c>
      <c r="E1677">
        <v>0.49786730000000001</v>
      </c>
      <c r="F1677" t="s">
        <v>61</v>
      </c>
      <c r="G1677">
        <v>-302.32429999999999</v>
      </c>
      <c r="H1677" s="1">
        <v>3.4508679999999998E-6</v>
      </c>
      <c r="I1677">
        <v>285.77659999999997</v>
      </c>
      <c r="J1677">
        <v>-288.31599999999997</v>
      </c>
      <c r="K1677">
        <v>1.1093489999999999</v>
      </c>
      <c r="L1677">
        <v>284.73860000000002</v>
      </c>
      <c r="M1677">
        <v>-0.99661829999999996</v>
      </c>
      <c r="N1677">
        <v>0</v>
      </c>
      <c r="O1677">
        <v>8.0932210000000004E-2</v>
      </c>
      <c r="P1677">
        <v>-0.99833590000000005</v>
      </c>
      <c r="Q1677">
        <v>-5.4979290000000004E-3</v>
      </c>
      <c r="R1677">
        <v>5.7404099999999902E-2</v>
      </c>
      <c r="S1677">
        <v>-2.9920960000000001</v>
      </c>
      <c r="T1677">
        <v>-0.23285810000000001</v>
      </c>
      <c r="U1677">
        <v>0.2222595</v>
      </c>
      <c r="V1677">
        <v>-2.3567749999999998E-2</v>
      </c>
      <c r="W1677">
        <v>8.7773319999999901E-3</v>
      </c>
      <c r="X1677">
        <v>0.99968369999999995</v>
      </c>
      <c r="Y1677">
        <v>-6.6204109999999997E-3</v>
      </c>
      <c r="Z1677">
        <v>-6.5280210000000002E-3</v>
      </c>
      <c r="AA1677">
        <v>0.99995679999999998</v>
      </c>
      <c r="AB1677">
        <v>29</v>
      </c>
      <c r="AC1677">
        <v>-14.0083</v>
      </c>
      <c r="AD1677">
        <v>-1.1093455491319999</v>
      </c>
      <c r="AE1677">
        <v>1.0379999999999501</v>
      </c>
      <c r="AF1677">
        <v>-9.8627749001503506E-2</v>
      </c>
      <c r="AG1677">
        <v>-1.1093455491319999</v>
      </c>
      <c r="AH1677">
        <v>13.959288215104699</v>
      </c>
      <c r="AI1677">
        <v>94.543637138226103</v>
      </c>
      <c r="AJ1677">
        <v>90.404810019332999</v>
      </c>
      <c r="AK1677">
        <v>14.003646041392701</v>
      </c>
      <c r="AL1677">
        <v>89.497089458454198</v>
      </c>
      <c r="AM1677">
        <v>91.350509689935706</v>
      </c>
      <c r="AN1677">
        <v>0.99999999022139496</v>
      </c>
    </row>
    <row r="1678" spans="1:40" x14ac:dyDescent="0.3">
      <c r="A1678" t="str">
        <f>"20200111160438604"</f>
        <v>20200111160438604</v>
      </c>
      <c r="B1678" t="str">
        <f>"1578729878602992"</f>
        <v>1578729878602992</v>
      </c>
      <c r="C1678" t="s">
        <v>40</v>
      </c>
      <c r="D1678">
        <v>5.8372510000000002</v>
      </c>
      <c r="E1678">
        <v>0.50144920000000004</v>
      </c>
      <c r="F1678" t="s">
        <v>57</v>
      </c>
      <c r="G1678">
        <v>-347.40629999999999</v>
      </c>
      <c r="H1678" s="1">
        <v>2.4044810000000001E-6</v>
      </c>
      <c r="I1678">
        <v>287.76510000000002</v>
      </c>
      <c r="J1678">
        <v>-288.48289999999997</v>
      </c>
      <c r="K1678">
        <v>1.1093900000000001</v>
      </c>
      <c r="L1678">
        <v>284.75290000000001</v>
      </c>
      <c r="M1678">
        <v>-0.99656330000000004</v>
      </c>
      <c r="N1678">
        <v>0</v>
      </c>
      <c r="O1678">
        <v>8.1605960000000005E-2</v>
      </c>
      <c r="P1678">
        <v>-0.99821309999999996</v>
      </c>
      <c r="Q1678">
        <v>-6.5024509999999898E-3</v>
      </c>
      <c r="R1678">
        <v>5.9398189999999997E-2</v>
      </c>
      <c r="S1678">
        <v>-2.995911</v>
      </c>
      <c r="T1678">
        <v>-5.6244490000000001E-2</v>
      </c>
      <c r="U1678">
        <v>0.15344240000000001</v>
      </c>
      <c r="V1678">
        <v>-2.2249399999999999E-2</v>
      </c>
      <c r="W1678">
        <v>7.7636110000000001E-3</v>
      </c>
      <c r="X1678">
        <v>0.99972229999999995</v>
      </c>
      <c r="Y1678">
        <v>-3.050812E-2</v>
      </c>
      <c r="Z1678">
        <v>-1.8151529999999999E-3</v>
      </c>
      <c r="AA1678">
        <v>0.99953289999999995</v>
      </c>
      <c r="AB1678">
        <v>29</v>
      </c>
      <c r="AC1678">
        <v>-58.923400000000001</v>
      </c>
      <c r="AD1678">
        <v>-1.10938759551899</v>
      </c>
      <c r="AE1678">
        <v>3.0122</v>
      </c>
      <c r="AF1678">
        <v>-1.80619661105173</v>
      </c>
      <c r="AG1678">
        <v>-1.10938759551899</v>
      </c>
      <c r="AH1678">
        <v>58.951826887030002</v>
      </c>
      <c r="AI1678">
        <v>91.0775904018316</v>
      </c>
      <c r="AJ1678">
        <v>91.754908789165796</v>
      </c>
      <c r="AK1678">
        <v>58.989922701705702</v>
      </c>
      <c r="AL1678">
        <v>89.555173384301597</v>
      </c>
      <c r="AM1678">
        <v>91.274940356611395</v>
      </c>
      <c r="AN1678">
        <v>0.99999999328670397</v>
      </c>
    </row>
    <row r="1679" spans="1:40" x14ac:dyDescent="0.3">
      <c r="A1679" t="str">
        <f>"20200111160438618"</f>
        <v>20200111160438618</v>
      </c>
      <c r="B1679" t="str">
        <f>"1578729878612752"</f>
        <v>1578729878612752</v>
      </c>
      <c r="C1679" t="s">
        <v>40</v>
      </c>
      <c r="D1679">
        <v>5.9590290000000001</v>
      </c>
      <c r="E1679">
        <v>0.50258270000000005</v>
      </c>
      <c r="F1679" t="s">
        <v>57</v>
      </c>
      <c r="G1679">
        <v>-324.5308</v>
      </c>
      <c r="H1679" s="1">
        <v>7.7025890000000005E-7</v>
      </c>
      <c r="I1679">
        <v>286.99560000000002</v>
      </c>
      <c r="J1679">
        <v>-288.66860000000003</v>
      </c>
      <c r="K1679">
        <v>1.109443</v>
      </c>
      <c r="L1679">
        <v>284.76900000000001</v>
      </c>
      <c r="M1679">
        <v>-0.99650640000000001</v>
      </c>
      <c r="N1679">
        <v>0</v>
      </c>
      <c r="O1679">
        <v>8.2300170000000006E-2</v>
      </c>
      <c r="P1679">
        <v>-0.998085</v>
      </c>
      <c r="Q1679">
        <v>-6.767258E-3</v>
      </c>
      <c r="R1679">
        <v>6.1489309999999998E-2</v>
      </c>
      <c r="S1679">
        <v>-2.993652</v>
      </c>
      <c r="T1679">
        <v>-9.2131019999999994E-2</v>
      </c>
      <c r="U1679">
        <v>0.18624879999999999</v>
      </c>
      <c r="V1679">
        <v>-2.0852679999999998E-2</v>
      </c>
      <c r="W1679">
        <v>7.4894369999999998E-3</v>
      </c>
      <c r="X1679">
        <v>0.99975449999999999</v>
      </c>
      <c r="Y1679">
        <v>-2.0217590000000001E-2</v>
      </c>
      <c r="Z1679">
        <v>-2.837001E-3</v>
      </c>
      <c r="AA1679">
        <v>0.9997916</v>
      </c>
      <c r="AB1679">
        <v>29</v>
      </c>
      <c r="AC1679">
        <v>-35.862199999999902</v>
      </c>
      <c r="AD1679">
        <v>-1.1094422297411</v>
      </c>
      <c r="AE1679">
        <v>2.2266000000000101</v>
      </c>
      <c r="AF1679">
        <v>-0.73202000523497801</v>
      </c>
      <c r="AG1679">
        <v>-1.1094422297411</v>
      </c>
      <c r="AH1679">
        <v>35.889567773185398</v>
      </c>
      <c r="AI1679">
        <v>91.770233511149598</v>
      </c>
      <c r="AJ1679">
        <v>91.168468854513094</v>
      </c>
      <c r="AK1679">
        <v>35.914172554790397</v>
      </c>
      <c r="AL1679">
        <v>89.570882854296798</v>
      </c>
      <c r="AM1679">
        <v>91.194890685626802</v>
      </c>
      <c r="AN1679">
        <v>0.99999999310000398</v>
      </c>
    </row>
    <row r="1680" spans="1:40" x14ac:dyDescent="0.3">
      <c r="A1680" t="str">
        <f>"20200111160438636"</f>
        <v>20200111160438636</v>
      </c>
      <c r="B1680" t="str">
        <f>"1578729878632272"</f>
        <v>1578729878632272</v>
      </c>
      <c r="C1680" t="s">
        <v>40</v>
      </c>
      <c r="D1680">
        <v>5.6938259999999996</v>
      </c>
      <c r="E1680">
        <v>0.50300149999999999</v>
      </c>
      <c r="F1680" t="s">
        <v>61</v>
      </c>
      <c r="G1680">
        <v>-316.91910000000001</v>
      </c>
      <c r="H1680" s="1">
        <v>5.1067690000000002E-6</v>
      </c>
      <c r="I1680">
        <v>286.65879999999999</v>
      </c>
      <c r="J1680">
        <v>-288.88049999999998</v>
      </c>
      <c r="K1680">
        <v>1.10951</v>
      </c>
      <c r="L1680">
        <v>284.78730000000002</v>
      </c>
      <c r="M1680">
        <v>-0.99644469999999996</v>
      </c>
      <c r="N1680">
        <v>0</v>
      </c>
      <c r="O1680">
        <v>8.3043359999999997E-2</v>
      </c>
      <c r="P1680">
        <v>-0.99786549999999996</v>
      </c>
      <c r="Q1680">
        <v>-5.5904219999999899E-3</v>
      </c>
      <c r="R1680">
        <v>6.5063599999999999E-2</v>
      </c>
      <c r="S1680">
        <v>-2.9925839999999999</v>
      </c>
      <c r="T1680">
        <v>-0.11752319999999999</v>
      </c>
      <c r="U1680">
        <v>0.20019529999999999</v>
      </c>
      <c r="V1680">
        <v>-1.8016899999999999E-2</v>
      </c>
      <c r="W1680">
        <v>8.6538350000000003E-3</v>
      </c>
      <c r="X1680">
        <v>0.99980020000000003</v>
      </c>
      <c r="Y1680">
        <v>-1.627317E-2</v>
      </c>
      <c r="Z1680">
        <v>-3.5706539999999999E-3</v>
      </c>
      <c r="AA1680">
        <v>0.99986120000000001</v>
      </c>
      <c r="AB1680">
        <v>29</v>
      </c>
      <c r="AC1680">
        <v>-28.038599999999999</v>
      </c>
      <c r="AD1680">
        <v>-1.1095048932310001</v>
      </c>
      <c r="AE1680">
        <v>1.87149999999996</v>
      </c>
      <c r="AF1680">
        <v>-0.46289846267214702</v>
      </c>
      <c r="AG1680">
        <v>-1.1095048932310001</v>
      </c>
      <c r="AH1680">
        <v>28.053432411150499</v>
      </c>
      <c r="AI1680">
        <v>92.264542681878098</v>
      </c>
      <c r="AJ1680">
        <v>90.945328942303206</v>
      </c>
      <c r="AK1680">
        <v>28.0791799406934</v>
      </c>
      <c r="AL1680">
        <v>89.504165573516701</v>
      </c>
      <c r="AM1680">
        <v>91.032386880908803</v>
      </c>
      <c r="AN1680">
        <v>0.99999996873292796</v>
      </c>
    </row>
    <row r="1681" spans="1:40" x14ac:dyDescent="0.3">
      <c r="A1681" t="str">
        <f>"20200111160438649"</f>
        <v>20200111160438649</v>
      </c>
      <c r="B1681" t="str">
        <f>"1578729878643009"</f>
        <v>1578729878643009</v>
      </c>
      <c r="C1681" t="s">
        <v>40</v>
      </c>
      <c r="D1681">
        <v>5.6771120000000002</v>
      </c>
      <c r="E1681">
        <v>0.50322609999999901</v>
      </c>
      <c r="F1681" t="s">
        <v>61</v>
      </c>
      <c r="G1681">
        <v>-310.78879999999998</v>
      </c>
      <c r="H1681" s="1">
        <v>2.4161349999999999E-6</v>
      </c>
      <c r="I1681">
        <v>286.33960000000002</v>
      </c>
      <c r="J1681">
        <v>-289.07080000000002</v>
      </c>
      <c r="K1681">
        <v>1.109577</v>
      </c>
      <c r="L1681">
        <v>284.8039</v>
      </c>
      <c r="M1681">
        <v>-0.99639310000000003</v>
      </c>
      <c r="N1681">
        <v>0</v>
      </c>
      <c r="O1681">
        <v>8.3661929999999995E-2</v>
      </c>
      <c r="P1681">
        <v>-0.99776279999999995</v>
      </c>
      <c r="Q1681">
        <v>-4.1243429999999999E-3</v>
      </c>
      <c r="R1681">
        <v>6.6726709999999995E-2</v>
      </c>
      <c r="S1681">
        <v>-2.99173</v>
      </c>
      <c r="T1681">
        <v>-0.15151110000000001</v>
      </c>
      <c r="U1681">
        <v>0.2119751</v>
      </c>
      <c r="V1681">
        <v>-1.6970209999999999E-2</v>
      </c>
      <c r="W1681">
        <v>1.0111459999999999E-2</v>
      </c>
      <c r="X1681">
        <v>0.9998049</v>
      </c>
      <c r="Y1681">
        <v>-1.290966E-2</v>
      </c>
      <c r="Z1681">
        <v>-4.5487770000000004E-3</v>
      </c>
      <c r="AA1681">
        <v>0.99990630000000003</v>
      </c>
      <c r="AB1681">
        <v>29</v>
      </c>
      <c r="AC1681">
        <v>-21.7179999999999</v>
      </c>
      <c r="AD1681">
        <v>-1.109574583865</v>
      </c>
      <c r="AE1681">
        <v>1.5357000000000101</v>
      </c>
      <c r="AF1681">
        <v>-0.286094759869846</v>
      </c>
      <c r="AG1681">
        <v>-1.109574583865</v>
      </c>
      <c r="AH1681">
        <v>21.713942441827999</v>
      </c>
      <c r="AI1681">
        <v>92.924995780382204</v>
      </c>
      <c r="AJ1681">
        <v>90.754864018280202</v>
      </c>
      <c r="AK1681">
        <v>21.744155590314499</v>
      </c>
      <c r="AL1681">
        <v>89.420646164268206</v>
      </c>
      <c r="AM1681">
        <v>90.972417769888594</v>
      </c>
      <c r="AN1681">
        <v>1.00000003385739</v>
      </c>
    </row>
    <row r="1682" spans="1:40" x14ac:dyDescent="0.3">
      <c r="A1682" t="str">
        <f>"20200111160438662"</f>
        <v>20200111160438662</v>
      </c>
      <c r="B1682" t="str">
        <f>"1578729878652768"</f>
        <v>1578729878652768</v>
      </c>
      <c r="C1682" t="s">
        <v>40</v>
      </c>
      <c r="D1682">
        <v>5.7007989999999999</v>
      </c>
      <c r="E1682">
        <v>0.50304680000000002</v>
      </c>
      <c r="F1682" t="s">
        <v>61</v>
      </c>
      <c r="G1682">
        <v>-310.29689999999999</v>
      </c>
      <c r="H1682" s="1">
        <v>2.196926E-6</v>
      </c>
      <c r="I1682">
        <v>286.35169999999999</v>
      </c>
      <c r="J1682">
        <v>-289.23869999999999</v>
      </c>
      <c r="K1682">
        <v>1.10964</v>
      </c>
      <c r="L1682">
        <v>284.81849999999997</v>
      </c>
      <c r="M1682">
        <v>-0.99635019999999996</v>
      </c>
      <c r="N1682">
        <v>0</v>
      </c>
      <c r="O1682">
        <v>8.4171499999999996E-2</v>
      </c>
      <c r="P1682">
        <v>-0.9976642</v>
      </c>
      <c r="Q1682">
        <v>-3.1477570000000002E-3</v>
      </c>
      <c r="R1682">
        <v>6.8238450000000006E-2</v>
      </c>
      <c r="S1682">
        <v>-2.9914860000000001</v>
      </c>
      <c r="T1682">
        <v>-0.15637709999999999</v>
      </c>
      <c r="U1682">
        <v>0.21813959999999999</v>
      </c>
      <c r="V1682">
        <v>-1.5966009999999999E-2</v>
      </c>
      <c r="W1682">
        <v>1.1081300000000001E-2</v>
      </c>
      <c r="X1682">
        <v>0.99981109999999895</v>
      </c>
      <c r="Y1682">
        <v>-1.1358780000000001E-2</v>
      </c>
      <c r="Z1682">
        <v>-4.6806349999999998E-3</v>
      </c>
      <c r="AA1682">
        <v>0.99992449999999999</v>
      </c>
      <c r="AB1682">
        <v>29</v>
      </c>
      <c r="AC1682">
        <v>-21.058199999999999</v>
      </c>
      <c r="AD1682">
        <v>-1.109637803074</v>
      </c>
      <c r="AE1682">
        <v>1.5332000000000201</v>
      </c>
      <c r="AF1682">
        <v>-0.24424621563686</v>
      </c>
      <c r="AG1682">
        <v>-1.109637803074</v>
      </c>
      <c r="AH1682">
        <v>21.0543678660555</v>
      </c>
      <c r="AI1682">
        <v>93.016691357098097</v>
      </c>
      <c r="AJ1682">
        <v>90.664643540373007</v>
      </c>
      <c r="AK1682">
        <v>21.0850031659247</v>
      </c>
      <c r="AL1682">
        <v>89.365075266082201</v>
      </c>
      <c r="AM1682">
        <v>90.914880061687796</v>
      </c>
      <c r="AN1682">
        <v>0.99999997218410897</v>
      </c>
    </row>
    <row r="1683" spans="1:40" x14ac:dyDescent="0.3">
      <c r="A1683" t="str">
        <f>"20200111160438681"</f>
        <v>20200111160438681</v>
      </c>
      <c r="B1683" t="str">
        <f>"1578729878672024"</f>
        <v>1578729878672024</v>
      </c>
      <c r="C1683" t="s">
        <v>40</v>
      </c>
      <c r="D1683">
        <v>5.7777810000000001</v>
      </c>
      <c r="E1683">
        <v>0.5026349</v>
      </c>
      <c r="F1683" t="s">
        <v>61</v>
      </c>
      <c r="G1683">
        <v>-309.80549999999999</v>
      </c>
      <c r="H1683" s="1">
        <v>2.0749790000000001E-6</v>
      </c>
      <c r="I1683">
        <v>286.33530000000002</v>
      </c>
      <c r="J1683">
        <v>-289.48360000000002</v>
      </c>
      <c r="K1683">
        <v>1.1097250000000001</v>
      </c>
      <c r="L1683">
        <v>284.84010000000001</v>
      </c>
      <c r="M1683">
        <v>-0.99629460000000003</v>
      </c>
      <c r="N1683">
        <v>0</v>
      </c>
      <c r="O1683">
        <v>8.4826929999999995E-2</v>
      </c>
      <c r="P1683">
        <v>-0.99754920000000002</v>
      </c>
      <c r="Q1683">
        <v>-2.3081579999999998E-3</v>
      </c>
      <c r="R1683">
        <v>6.9931129999999994E-2</v>
      </c>
      <c r="S1683">
        <v>-2.9913940000000001</v>
      </c>
      <c r="T1683">
        <v>-0.16139389999999901</v>
      </c>
      <c r="U1683">
        <v>0.22061159999999999</v>
      </c>
      <c r="V1683">
        <v>-1.492798E-2</v>
      </c>
      <c r="W1683">
        <v>1.1911410000000001E-2</v>
      </c>
      <c r="X1683">
        <v>0.99981759999999997</v>
      </c>
      <c r="Y1683">
        <v>-1.118339E-2</v>
      </c>
      <c r="Z1683">
        <v>-4.8609660000000004E-3</v>
      </c>
      <c r="AA1683">
        <v>0.99992570000000003</v>
      </c>
      <c r="AB1683">
        <v>29</v>
      </c>
      <c r="AC1683">
        <v>-20.3218999999999</v>
      </c>
      <c r="AD1683">
        <v>-1.1097229250209999</v>
      </c>
      <c r="AE1683">
        <v>1.4952000000000101</v>
      </c>
      <c r="AF1683">
        <v>-0.23351571289196801</v>
      </c>
      <c r="AG1683">
        <v>-1.1097229250209999</v>
      </c>
      <c r="AH1683">
        <v>20.3152321502074</v>
      </c>
      <c r="AI1683">
        <v>93.126477886499202</v>
      </c>
      <c r="AJ1683">
        <v>90.658563755886206</v>
      </c>
      <c r="AK1683">
        <v>20.346859017433299</v>
      </c>
      <c r="AL1683">
        <v>89.317510325697896</v>
      </c>
      <c r="AM1683">
        <v>90.855402727676307</v>
      </c>
      <c r="AN1683">
        <v>0.99999997977241395</v>
      </c>
    </row>
    <row r="1684" spans="1:40" x14ac:dyDescent="0.3">
      <c r="A1684" t="str">
        <f>"20200111160438695"</f>
        <v>20200111160438695</v>
      </c>
      <c r="B1684" t="str">
        <f>"1578729878692524"</f>
        <v>1578729878692524</v>
      </c>
      <c r="C1684" t="s">
        <v>40</v>
      </c>
      <c r="D1684">
        <v>5.7126400000000004</v>
      </c>
      <c r="E1684">
        <v>0.50213220000000003</v>
      </c>
      <c r="F1684" t="s">
        <v>61</v>
      </c>
      <c r="G1684">
        <v>-310.74549999999999</v>
      </c>
      <c r="H1684" s="1">
        <v>2.3900369999999999E-6</v>
      </c>
      <c r="I1684">
        <v>286.41829999999999</v>
      </c>
      <c r="J1684">
        <v>-289.65929999999997</v>
      </c>
      <c r="K1684">
        <v>1.109788</v>
      </c>
      <c r="L1684">
        <v>284.85550000000001</v>
      </c>
      <c r="M1684">
        <v>-0.99625980000000003</v>
      </c>
      <c r="N1684">
        <v>0</v>
      </c>
      <c r="O1684">
        <v>8.5236220000000001E-2</v>
      </c>
      <c r="P1684">
        <v>-0.99753020000000003</v>
      </c>
      <c r="Q1684">
        <v>-2.2828800000000002E-3</v>
      </c>
      <c r="R1684">
        <v>7.0205329999999996E-2</v>
      </c>
      <c r="S1684">
        <v>-2.9914550000000002</v>
      </c>
      <c r="T1684">
        <v>-0.156133299999999</v>
      </c>
      <c r="U1684">
        <v>0.22204589999999999</v>
      </c>
      <c r="V1684">
        <v>-1.506624E-2</v>
      </c>
      <c r="W1684">
        <v>1.193192E-2</v>
      </c>
      <c r="X1684">
        <v>0.99981529999999996</v>
      </c>
      <c r="Y1684">
        <v>-1.112725E-2</v>
      </c>
      <c r="Z1684">
        <v>-4.7223070000000002E-3</v>
      </c>
      <c r="AA1684">
        <v>0.99992689999999995</v>
      </c>
      <c r="AB1684">
        <v>29</v>
      </c>
      <c r="AC1684">
        <v>-21.086200000000002</v>
      </c>
      <c r="AD1684">
        <v>-1.1097856099629999</v>
      </c>
      <c r="AE1684">
        <v>1.56279999999998</v>
      </c>
      <c r="AF1684">
        <v>-0.239716958483181</v>
      </c>
      <c r="AG1684">
        <v>-1.1097856099629999</v>
      </c>
      <c r="AH1684">
        <v>21.084582128276502</v>
      </c>
      <c r="AI1684">
        <v>93.012784908240207</v>
      </c>
      <c r="AJ1684">
        <v>90.651384892102001</v>
      </c>
      <c r="AK1684">
        <v>21.1151294536478</v>
      </c>
      <c r="AL1684">
        <v>89.316335118323195</v>
      </c>
      <c r="AM1684">
        <v>90.863326090761902</v>
      </c>
      <c r="AN1684">
        <v>0.99999999820835594</v>
      </c>
    </row>
    <row r="1685" spans="1:40" x14ac:dyDescent="0.3">
      <c r="A1685" t="str">
        <f>"20200111160438713"</f>
        <v>20200111160438713</v>
      </c>
      <c r="B1685" t="str">
        <f>"1578729878702284"</f>
        <v>1578729878702284</v>
      </c>
      <c r="C1685" t="s">
        <v>40</v>
      </c>
      <c r="D1685">
        <v>5.6854559999999896</v>
      </c>
      <c r="E1685">
        <v>0.50181679999999995</v>
      </c>
      <c r="F1685" t="s">
        <v>61</v>
      </c>
      <c r="G1685">
        <v>-308.70909999999998</v>
      </c>
      <c r="H1685" s="1">
        <v>2.2777089999999998E-6</v>
      </c>
      <c r="I1685">
        <v>286.24099999999999</v>
      </c>
      <c r="J1685">
        <v>-289.89359999999999</v>
      </c>
      <c r="K1685">
        <v>1.109869</v>
      </c>
      <c r="L1685">
        <v>284.87619999999998</v>
      </c>
      <c r="M1685">
        <v>-0.9962181</v>
      </c>
      <c r="N1685">
        <v>0</v>
      </c>
      <c r="O1685">
        <v>8.5723209999999994E-2</v>
      </c>
      <c r="P1685">
        <v>-0.99753369999999997</v>
      </c>
      <c r="Q1685">
        <v>-2.8038059999999998E-3</v>
      </c>
      <c r="R1685">
        <v>7.0137679999999994E-2</v>
      </c>
      <c r="S1685">
        <v>-2.99173</v>
      </c>
      <c r="T1685">
        <v>-0.1742889</v>
      </c>
      <c r="U1685">
        <v>0.21759029999999999</v>
      </c>
      <c r="V1685">
        <v>-1.562508E-2</v>
      </c>
      <c r="W1685">
        <v>1.1404569999999999E-2</v>
      </c>
      <c r="X1685">
        <v>0.9998129</v>
      </c>
      <c r="Y1685">
        <v>-1.306793E-2</v>
      </c>
      <c r="Z1685">
        <v>-5.3550309999999997E-3</v>
      </c>
      <c r="AA1685">
        <v>0.99990029999999996</v>
      </c>
      <c r="AB1685">
        <v>29</v>
      </c>
      <c r="AC1685">
        <v>-18.815499999999901</v>
      </c>
      <c r="AD1685">
        <v>-1.1098667222909999</v>
      </c>
      <c r="AE1685">
        <v>1.3648</v>
      </c>
      <c r="AF1685">
        <v>-0.25243830929087102</v>
      </c>
      <c r="AG1685">
        <v>-1.1098667222909999</v>
      </c>
      <c r="AH1685">
        <v>18.7981679379726</v>
      </c>
      <c r="AI1685">
        <v>93.378586186945697</v>
      </c>
      <c r="AJ1685">
        <v>90.769371803602198</v>
      </c>
      <c r="AK1685">
        <v>18.832595335361201</v>
      </c>
      <c r="AL1685">
        <v>89.3465521201218</v>
      </c>
      <c r="AM1685">
        <v>90.895345784688402</v>
      </c>
      <c r="AN1685">
        <v>1.00000002117415</v>
      </c>
    </row>
    <row r="1686" spans="1:40" x14ac:dyDescent="0.3">
      <c r="A1686" t="str">
        <f>"20200111160438727"</f>
        <v>20200111160438727</v>
      </c>
      <c r="B1686" t="str">
        <f>"1578729878722780"</f>
        <v>1578729878722780</v>
      </c>
      <c r="C1686" t="s">
        <v>40</v>
      </c>
      <c r="D1686">
        <v>5.7332700000000001</v>
      </c>
      <c r="E1686">
        <v>0.50102970000000002</v>
      </c>
      <c r="F1686" t="s">
        <v>61</v>
      </c>
      <c r="G1686">
        <v>-308.14710000000002</v>
      </c>
      <c r="H1686" s="1">
        <v>2.3824120000000002E-6</v>
      </c>
      <c r="I1686">
        <v>286.18380000000002</v>
      </c>
      <c r="J1686">
        <v>-290.0634</v>
      </c>
      <c r="K1686">
        <v>1.109926</v>
      </c>
      <c r="L1686">
        <v>284.89120000000003</v>
      </c>
      <c r="M1686">
        <v>-0.9961911</v>
      </c>
      <c r="N1686">
        <v>0</v>
      </c>
      <c r="O1686">
        <v>8.6035150000000005E-2</v>
      </c>
      <c r="P1686">
        <v>-0.99754909999999997</v>
      </c>
      <c r="Q1686">
        <v>-3.0422750000000001E-3</v>
      </c>
      <c r="R1686">
        <v>6.9903019999999996E-2</v>
      </c>
      <c r="S1686">
        <v>-2.9918520000000002</v>
      </c>
      <c r="T1686">
        <v>-0.1819134</v>
      </c>
      <c r="U1686">
        <v>0.21432499999999999</v>
      </c>
      <c r="V1686">
        <v>-1.6175289999999998E-2</v>
      </c>
      <c r="W1686">
        <v>1.1161880000000001E-2</v>
      </c>
      <c r="X1686">
        <v>0.99980690000000005</v>
      </c>
      <c r="Y1686">
        <v>-1.445169E-2</v>
      </c>
      <c r="Z1686">
        <v>-5.6497450000000003E-3</v>
      </c>
      <c r="AA1686">
        <v>0.99987959999999998</v>
      </c>
      <c r="AB1686">
        <v>29</v>
      </c>
      <c r="AC1686">
        <v>-18.0837</v>
      </c>
      <c r="AD1686">
        <v>-1.1099236175880001</v>
      </c>
      <c r="AE1686">
        <v>1.29259999999999</v>
      </c>
      <c r="AF1686">
        <v>-0.26718281461385501</v>
      </c>
      <c r="AG1686">
        <v>-1.1099236175880001</v>
      </c>
      <c r="AH1686">
        <v>18.0601648887063</v>
      </c>
      <c r="AI1686">
        <v>93.516419940887303</v>
      </c>
      <c r="AJ1686">
        <v>90.847574263906495</v>
      </c>
      <c r="AK1686">
        <v>18.096211562107801</v>
      </c>
      <c r="AL1686">
        <v>89.360458125012698</v>
      </c>
      <c r="AM1686">
        <v>90.926873983024606</v>
      </c>
      <c r="AN1686">
        <v>1.0000000324296601</v>
      </c>
    </row>
    <row r="1687" spans="1:40" x14ac:dyDescent="0.3">
      <c r="A1687" t="str">
        <f>"20200111160438739"</f>
        <v>20200111160438739</v>
      </c>
      <c r="B1687" t="str">
        <f>"1578729878732540"</f>
        <v>1578729878732540</v>
      </c>
      <c r="C1687" t="s">
        <v>40</v>
      </c>
      <c r="D1687">
        <v>5.707789</v>
      </c>
      <c r="E1687">
        <v>0.50070870000000001</v>
      </c>
      <c r="F1687" t="s">
        <v>61</v>
      </c>
      <c r="G1687">
        <v>-307.13979999999998</v>
      </c>
      <c r="H1687" s="1">
        <v>2.5709140000000002E-6</v>
      </c>
      <c r="I1687">
        <v>286.07139999999998</v>
      </c>
      <c r="J1687">
        <v>-290.2353</v>
      </c>
      <c r="K1687">
        <v>1.109979</v>
      </c>
      <c r="L1687">
        <v>284.90629999999999</v>
      </c>
      <c r="M1687">
        <v>-0.99616769999999999</v>
      </c>
      <c r="N1687">
        <v>0</v>
      </c>
      <c r="O1687">
        <v>8.6307179999999997E-2</v>
      </c>
      <c r="P1687">
        <v>-0.99758170000000002</v>
      </c>
      <c r="Q1687">
        <v>-3.1524539999999998E-3</v>
      </c>
      <c r="R1687">
        <v>6.9433060000000005E-2</v>
      </c>
      <c r="S1687">
        <v>-2.9922789999999999</v>
      </c>
      <c r="T1687">
        <v>-0.19449079999999999</v>
      </c>
      <c r="U1687">
        <v>0.20681759999999999</v>
      </c>
      <c r="V1687">
        <v>-1.6921410000000001E-2</v>
      </c>
      <c r="W1687">
        <v>1.104696E-2</v>
      </c>
      <c r="X1687">
        <v>0.99979580000000001</v>
      </c>
      <c r="Y1687">
        <v>-1.7198439999999999E-2</v>
      </c>
      <c r="Z1687">
        <v>-6.1460280000000004E-3</v>
      </c>
      <c r="AA1687">
        <v>0.99983319999999998</v>
      </c>
      <c r="AB1687">
        <v>29</v>
      </c>
      <c r="AC1687">
        <v>-16.904499999999899</v>
      </c>
      <c r="AD1687">
        <v>-1.1099764290859999</v>
      </c>
      <c r="AE1687">
        <v>1.16509999999999</v>
      </c>
      <c r="AF1687">
        <v>-0.29709984921655602</v>
      </c>
      <c r="AG1687">
        <v>-1.1099764290859999</v>
      </c>
      <c r="AH1687">
        <v>16.869587567856399</v>
      </c>
      <c r="AI1687">
        <v>93.763909883899103</v>
      </c>
      <c r="AJ1687">
        <v>91.008964076060096</v>
      </c>
      <c r="AK1687">
        <v>16.908675308938498</v>
      </c>
      <c r="AL1687">
        <v>89.367042944776998</v>
      </c>
      <c r="AM1687">
        <v>90.969630817063504</v>
      </c>
      <c r="AN1687">
        <v>1.0000000055696301</v>
      </c>
    </row>
    <row r="1688" spans="1:40" x14ac:dyDescent="0.3">
      <c r="A1688" t="str">
        <f>"20200111160438758"</f>
        <v>20200111160438758</v>
      </c>
      <c r="B1688" t="str">
        <f>"1578729878752060"</f>
        <v>1578729878752060</v>
      </c>
      <c r="C1688" t="s">
        <v>40</v>
      </c>
      <c r="D1688">
        <v>5.6890989999999997</v>
      </c>
      <c r="E1688">
        <v>0.50053939999999997</v>
      </c>
      <c r="F1688" t="s">
        <v>61</v>
      </c>
      <c r="G1688">
        <v>-306.92739999999998</v>
      </c>
      <c r="H1688" s="1">
        <v>2.6116230000000001E-6</v>
      </c>
      <c r="I1688">
        <v>286.03680000000003</v>
      </c>
      <c r="J1688">
        <v>-290.47899999999998</v>
      </c>
      <c r="K1688">
        <v>1.110047</v>
      </c>
      <c r="L1688">
        <v>284.92790000000002</v>
      </c>
      <c r="M1688">
        <v>-0.99613940000000001</v>
      </c>
      <c r="N1688">
        <v>0</v>
      </c>
      <c r="O1688">
        <v>8.6633769999999999E-2</v>
      </c>
      <c r="P1688">
        <v>-0.99763139999999995</v>
      </c>
      <c r="Q1688">
        <v>-3.6635309999999998E-3</v>
      </c>
      <c r="R1688">
        <v>6.8692970000000006E-2</v>
      </c>
      <c r="S1688">
        <v>-2.9926149999999998</v>
      </c>
      <c r="T1688">
        <v>-0.1990005</v>
      </c>
      <c r="U1688">
        <v>0.20266719999999999</v>
      </c>
      <c r="V1688">
        <v>-1.7993220000000001E-2</v>
      </c>
      <c r="W1688">
        <v>1.0530100000000001E-2</v>
      </c>
      <c r="X1688">
        <v>0.99978270000000002</v>
      </c>
      <c r="Y1688">
        <v>-1.8899539999999999E-2</v>
      </c>
      <c r="Z1688">
        <v>-6.3659179999999999E-3</v>
      </c>
      <c r="AA1688">
        <v>0.9998011</v>
      </c>
      <c r="AB1688">
        <v>29</v>
      </c>
      <c r="AC1688">
        <v>-16.4483999999999</v>
      </c>
      <c r="AD1688">
        <v>-1.1100443883769999</v>
      </c>
      <c r="AE1688">
        <v>1.1089</v>
      </c>
      <c r="AF1688">
        <v>-0.31895402621628399</v>
      </c>
      <c r="AG1688">
        <v>-1.1100443883769999</v>
      </c>
      <c r="AH1688">
        <v>16.408231225675401</v>
      </c>
      <c r="AI1688">
        <v>93.869529676454604</v>
      </c>
      <c r="AJ1688">
        <v>91.113612921485597</v>
      </c>
      <c r="AK1688">
        <v>16.448829203631401</v>
      </c>
      <c r="AL1688">
        <v>89.396658587749201</v>
      </c>
      <c r="AM1688">
        <v>91.031048328729895</v>
      </c>
      <c r="AN1688">
        <v>1.00000004309563</v>
      </c>
    </row>
    <row r="1689" spans="1:40" x14ac:dyDescent="0.3">
      <c r="A1689" t="str">
        <f>"20200111160438772"</f>
        <v>20200111160438772</v>
      </c>
      <c r="B1689" t="str">
        <f>"1578729878762796"</f>
        <v>1578729878762796</v>
      </c>
      <c r="C1689" t="s">
        <v>40</v>
      </c>
      <c r="D1689">
        <v>5.6413549999999999</v>
      </c>
      <c r="E1689">
        <v>0.50030649999999999</v>
      </c>
      <c r="F1689" t="s">
        <v>61</v>
      </c>
      <c r="G1689">
        <v>-306.28809999999999</v>
      </c>
      <c r="H1689" s="1">
        <v>2.7302909999999999E-6</v>
      </c>
      <c r="I1689">
        <v>285.97640000000001</v>
      </c>
      <c r="J1689">
        <v>-290.64870000000002</v>
      </c>
      <c r="K1689">
        <v>1.1100909999999999</v>
      </c>
      <c r="L1689">
        <v>284.94290000000001</v>
      </c>
      <c r="M1689">
        <v>-0.99612330000000004</v>
      </c>
      <c r="N1689">
        <v>0</v>
      </c>
      <c r="O1689">
        <v>8.6820270000000005E-2</v>
      </c>
      <c r="P1689">
        <v>-0.99767939999999999</v>
      </c>
      <c r="Q1689">
        <v>-3.6314609999999999E-3</v>
      </c>
      <c r="R1689">
        <v>6.7993349999999994E-2</v>
      </c>
      <c r="S1689">
        <v>-2.9926759999999999</v>
      </c>
      <c r="T1689">
        <v>-0.21013270000000001</v>
      </c>
      <c r="U1689">
        <v>0.1984863</v>
      </c>
      <c r="V1689">
        <v>-1.8882309999999999E-2</v>
      </c>
      <c r="W1689">
        <v>1.0557759999999999E-2</v>
      </c>
      <c r="X1689">
        <v>0.99976600000000004</v>
      </c>
      <c r="Y1689">
        <v>-2.0447759999999999E-2</v>
      </c>
      <c r="Z1689">
        <v>-6.7886889999999997E-3</v>
      </c>
      <c r="AA1689">
        <v>0.99976790000000004</v>
      </c>
      <c r="AB1689">
        <v>29</v>
      </c>
      <c r="AC1689">
        <v>-15.639399999999901</v>
      </c>
      <c r="AD1689">
        <v>-1.110088269709</v>
      </c>
      <c r="AE1689">
        <v>1.0335000000000001</v>
      </c>
      <c r="AF1689">
        <v>-0.32671752876027399</v>
      </c>
      <c r="AG1689">
        <v>-1.110088269709</v>
      </c>
      <c r="AH1689">
        <v>15.5918581229291</v>
      </c>
      <c r="AI1689">
        <v>94.071505877054804</v>
      </c>
      <c r="AJ1689">
        <v>91.200421158223904</v>
      </c>
      <c r="AK1689">
        <v>15.6347395256747</v>
      </c>
      <c r="AL1689">
        <v>89.395073691343498</v>
      </c>
      <c r="AM1689">
        <v>91.082001248054695</v>
      </c>
      <c r="AN1689">
        <v>1.00000003134157</v>
      </c>
    </row>
    <row r="1690" spans="1:40" x14ac:dyDescent="0.3">
      <c r="A1690" t="str">
        <f>"20200111160438786"</f>
        <v>20200111160438786</v>
      </c>
      <c r="B1690" t="str">
        <f>"1578729878782316"</f>
        <v>1578729878782316</v>
      </c>
      <c r="C1690" t="s">
        <v>40</v>
      </c>
      <c r="D1690">
        <v>6.0630030000000001</v>
      </c>
      <c r="E1690">
        <v>0.50005639999999996</v>
      </c>
      <c r="F1690" t="s">
        <v>61</v>
      </c>
      <c r="G1690">
        <v>-306.19830000000002</v>
      </c>
      <c r="H1690" s="1">
        <v>2.7483290000000002E-6</v>
      </c>
      <c r="I1690">
        <v>285.95240000000001</v>
      </c>
      <c r="J1690">
        <v>-290.81189999999998</v>
      </c>
      <c r="K1690">
        <v>1.1101299999999901</v>
      </c>
      <c r="L1690">
        <v>284.95729999999998</v>
      </c>
      <c r="M1690">
        <v>-0.99610920000000003</v>
      </c>
      <c r="N1690">
        <v>0</v>
      </c>
      <c r="O1690">
        <v>8.6979589999999996E-2</v>
      </c>
      <c r="P1690">
        <v>-0.99771200000000004</v>
      </c>
      <c r="Q1690">
        <v>-3.525453E-3</v>
      </c>
      <c r="R1690">
        <v>6.7515279999999997E-2</v>
      </c>
      <c r="S1690">
        <v>-2.9929199999999998</v>
      </c>
      <c r="T1690">
        <v>-0.21366470000000001</v>
      </c>
      <c r="U1690">
        <v>0.19430539999999999</v>
      </c>
      <c r="V1690">
        <v>-1.952253E-2</v>
      </c>
      <c r="W1690">
        <v>1.065932E-2</v>
      </c>
      <c r="X1690">
        <v>0.99975259999999999</v>
      </c>
      <c r="Y1690">
        <v>-2.199048E-2</v>
      </c>
      <c r="Z1690">
        <v>-6.9685950000000002E-3</v>
      </c>
      <c r="AA1690">
        <v>0.99973389999999995</v>
      </c>
      <c r="AB1690">
        <v>29</v>
      </c>
      <c r="AC1690">
        <v>-15.3864</v>
      </c>
      <c r="AD1690">
        <v>-1.1101272516709999</v>
      </c>
      <c r="AE1690">
        <v>0.99510000000003596</v>
      </c>
      <c r="AF1690">
        <v>-0.34531927770938697</v>
      </c>
      <c r="AG1690">
        <v>-1.1101272516709999</v>
      </c>
      <c r="AH1690">
        <v>15.335141103204201</v>
      </c>
      <c r="AI1690">
        <v>94.1394343973258</v>
      </c>
      <c r="AJ1690">
        <v>91.289977960526898</v>
      </c>
      <c r="AK1690">
        <v>15.3791475893056</v>
      </c>
      <c r="AL1690">
        <v>89.389254389057896</v>
      </c>
      <c r="AM1690">
        <v>91.118693196190904</v>
      </c>
      <c r="AN1690">
        <v>1.00000000574361</v>
      </c>
    </row>
    <row r="1691" spans="1:40" x14ac:dyDescent="0.3">
      <c r="A1691" t="str">
        <f>"20200111160438802"</f>
        <v>20200111160438802</v>
      </c>
      <c r="B1691" t="str">
        <f>"1578729878792077"</f>
        <v>1578729878792077</v>
      </c>
      <c r="C1691" t="s">
        <v>40</v>
      </c>
      <c r="D1691">
        <v>5.0816439999999998</v>
      </c>
      <c r="E1691">
        <v>0.45657229999999999</v>
      </c>
      <c r="F1691" t="s">
        <v>61</v>
      </c>
      <c r="G1691">
        <v>-306.19470000000001</v>
      </c>
      <c r="H1691" s="1">
        <v>2.7502290000000001E-6</v>
      </c>
      <c r="I1691">
        <v>285.93790000000001</v>
      </c>
      <c r="J1691">
        <v>-291.0401</v>
      </c>
      <c r="K1691">
        <v>1.1101810000000001</v>
      </c>
      <c r="L1691">
        <v>284.97750000000002</v>
      </c>
      <c r="M1691">
        <v>-0.99609429999999999</v>
      </c>
      <c r="N1691">
        <v>0</v>
      </c>
      <c r="O1691">
        <v>8.7151240000000005E-2</v>
      </c>
      <c r="P1691">
        <v>-0.99778719999999999</v>
      </c>
      <c r="Q1691">
        <v>-3.843604E-3</v>
      </c>
      <c r="R1691">
        <v>6.6380519999999998E-2</v>
      </c>
      <c r="S1691">
        <v>-2.9931640000000002</v>
      </c>
      <c r="T1691">
        <v>-0.21600620000000001</v>
      </c>
      <c r="U1691">
        <v>0.19079589999999999</v>
      </c>
      <c r="V1691">
        <v>-2.0833089999999999E-2</v>
      </c>
      <c r="W1691">
        <v>1.0335570000000001E-2</v>
      </c>
      <c r="X1691">
        <v>0.99972950000000005</v>
      </c>
      <c r="Y1691">
        <v>-2.3325419999999999E-2</v>
      </c>
      <c r="Z1691">
        <v>-7.1049030000000001E-3</v>
      </c>
      <c r="AA1691">
        <v>0.99970270000000006</v>
      </c>
      <c r="AB1691">
        <v>29</v>
      </c>
      <c r="AC1691">
        <v>-15.1546</v>
      </c>
      <c r="AD1691">
        <v>-1.11017824977099</v>
      </c>
      <c r="AE1691">
        <v>0.96039999999999204</v>
      </c>
      <c r="AF1691">
        <v>-0.362193815899299</v>
      </c>
      <c r="AG1691">
        <v>-1.11017824977099</v>
      </c>
      <c r="AH1691">
        <v>15.099924403372601</v>
      </c>
      <c r="AI1691">
        <v>94.203735889576706</v>
      </c>
      <c r="AJ1691">
        <v>91.374059757553994</v>
      </c>
      <c r="AK1691">
        <v>15.145012284382901</v>
      </c>
      <c r="AL1691">
        <v>89.407804891153305</v>
      </c>
      <c r="AM1691">
        <v>91.193798317088707</v>
      </c>
      <c r="AN1691">
        <v>0.99999995740821002</v>
      </c>
    </row>
    <row r="1692" spans="1:40" x14ac:dyDescent="0.3">
      <c r="A1692" t="str">
        <f>"20200111160438829"</f>
        <v>20200111160438829</v>
      </c>
      <c r="B1692" t="str">
        <f>"1578729878822332"</f>
        <v>1578729878822332</v>
      </c>
      <c r="C1692" t="s">
        <v>40</v>
      </c>
      <c r="D1692">
        <v>5.2971180000000002</v>
      </c>
      <c r="E1692">
        <v>0.43404179999999998</v>
      </c>
      <c r="F1692" t="s">
        <v>45</v>
      </c>
      <c r="G1692">
        <v>-455.14819999999997</v>
      </c>
      <c r="H1692">
        <v>0.67737150000000002</v>
      </c>
      <c r="I1692">
        <v>276.9864</v>
      </c>
      <c r="J1692">
        <v>-291.36790000000002</v>
      </c>
      <c r="K1692">
        <v>1.110241</v>
      </c>
      <c r="L1692">
        <v>285.00639999999999</v>
      </c>
      <c r="M1692">
        <v>-0.99607900000000005</v>
      </c>
      <c r="N1692">
        <v>0</v>
      </c>
      <c r="O1692">
        <v>8.7327699999999994E-2</v>
      </c>
      <c r="P1692">
        <v>-0.99783140000000003</v>
      </c>
      <c r="Q1692">
        <v>-5.1401290000000002E-3</v>
      </c>
      <c r="R1692">
        <v>6.5621429999999994E-2</v>
      </c>
      <c r="S1692">
        <v>-3.0164179999999998</v>
      </c>
      <c r="T1692">
        <v>-7.9541209999999998E-3</v>
      </c>
      <c r="U1692">
        <v>-0.14688109999999999</v>
      </c>
      <c r="V1692">
        <v>-2.177246E-2</v>
      </c>
      <c r="W1692">
        <v>9.0314760000000001E-3</v>
      </c>
      <c r="X1692">
        <v>0.99972220000000001</v>
      </c>
      <c r="Y1692">
        <v>-0.13568279999999999</v>
      </c>
      <c r="Z1692">
        <v>-4.0885420000000001E-4</v>
      </c>
      <c r="AA1692">
        <v>0.99075230000000003</v>
      </c>
      <c r="AB1692">
        <v>29</v>
      </c>
      <c r="AC1692">
        <v>-163.78029999999899</v>
      </c>
      <c r="AD1692">
        <v>-0.43286949999999902</v>
      </c>
      <c r="AE1692">
        <v>-8.01999999999998</v>
      </c>
      <c r="AF1692">
        <v>-22.293190134203702</v>
      </c>
      <c r="AG1692">
        <v>-0.43286949999999902</v>
      </c>
      <c r="AH1692">
        <v>162.45290392492001</v>
      </c>
      <c r="AI1692">
        <v>90.151251575422094</v>
      </c>
      <c r="AJ1692">
        <v>97.813816340941202</v>
      </c>
      <c r="AK1692">
        <v>163.97597292287401</v>
      </c>
      <c r="AL1692">
        <v>89.482527529363196</v>
      </c>
      <c r="AM1692">
        <v>91.247619485945293</v>
      </c>
      <c r="AN1692">
        <v>1.00000004237301</v>
      </c>
    </row>
    <row r="1693" spans="1:40" x14ac:dyDescent="0.3">
      <c r="A1693" t="str">
        <f>"20200111160438849"</f>
        <v>20200111160438849</v>
      </c>
      <c r="B1693" t="str">
        <f>"1578729878842828"</f>
        <v>1578729878842828</v>
      </c>
      <c r="C1693" t="s">
        <v>40</v>
      </c>
      <c r="D1693">
        <v>5.2746279999999999</v>
      </c>
      <c r="E1693">
        <v>0.42721490000000001</v>
      </c>
      <c r="F1693" t="s">
        <v>57</v>
      </c>
      <c r="G1693">
        <v>-331.86579999999998</v>
      </c>
      <c r="H1693" s="1">
        <v>-3.663756E-7</v>
      </c>
      <c r="I1693">
        <v>280.55430000000001</v>
      </c>
      <c r="J1693">
        <v>-291.62700000000001</v>
      </c>
      <c r="K1693">
        <v>1.110276</v>
      </c>
      <c r="L1693">
        <v>285.02929999999998</v>
      </c>
      <c r="M1693">
        <v>-0.99607029999999996</v>
      </c>
      <c r="N1693">
        <v>0</v>
      </c>
      <c r="O1693">
        <v>8.7427359999999996E-2</v>
      </c>
      <c r="P1693">
        <v>-0.99789019999999995</v>
      </c>
      <c r="Q1693">
        <v>-6.6623819999999997E-3</v>
      </c>
      <c r="R1693">
        <v>6.4583360000000006E-2</v>
      </c>
      <c r="S1693">
        <v>-3.0279850000000001</v>
      </c>
      <c r="T1693">
        <v>-8.3011749999999995E-2</v>
      </c>
      <c r="U1693">
        <v>-0.33288570000000001</v>
      </c>
      <c r="V1693">
        <v>-2.2913490000000002E-2</v>
      </c>
      <c r="W1693">
        <v>7.5032659999999998E-3</v>
      </c>
      <c r="X1693">
        <v>0.99970930000000002</v>
      </c>
      <c r="Y1693">
        <v>-0.1956667</v>
      </c>
      <c r="Z1693">
        <v>-5.0635130000000004E-3</v>
      </c>
      <c r="AA1693">
        <v>0.98065740000000001</v>
      </c>
      <c r="AB1693">
        <v>29</v>
      </c>
      <c r="AC1693">
        <v>-40.238799999999898</v>
      </c>
      <c r="AD1693">
        <v>-1.1102763663755999</v>
      </c>
      <c r="AE1693">
        <v>-4.4749999999999597</v>
      </c>
      <c r="AF1693">
        <v>-7.9701921519977104</v>
      </c>
      <c r="AG1693">
        <v>-1.1102763663755999</v>
      </c>
      <c r="AH1693">
        <v>39.663585801068798</v>
      </c>
      <c r="AI1693">
        <v>91.572016162513407</v>
      </c>
      <c r="AJ1693">
        <v>101.361975176817</v>
      </c>
      <c r="AK1693">
        <v>40.4716779383836</v>
      </c>
      <c r="AL1693">
        <v>89.570090494137702</v>
      </c>
      <c r="AM1693">
        <v>91.312998137907201</v>
      </c>
      <c r="AN1693">
        <v>1.00000000576556</v>
      </c>
    </row>
    <row r="1694" spans="1:40" x14ac:dyDescent="0.3">
      <c r="A1694" t="str">
        <f>"20200111160438871"</f>
        <v>20200111160438871</v>
      </c>
      <c r="B1694" t="str">
        <f>"1578729878862348"</f>
        <v>1578729878862348</v>
      </c>
      <c r="C1694" t="s">
        <v>40</v>
      </c>
      <c r="D1694">
        <v>5.2137149999999997</v>
      </c>
      <c r="E1694">
        <v>0.42272369999999998</v>
      </c>
      <c r="F1694" t="s">
        <v>57</v>
      </c>
      <c r="G1694">
        <v>-321.31740000000002</v>
      </c>
      <c r="H1694" s="1">
        <v>-6.8604519999999898E-7</v>
      </c>
      <c r="I1694">
        <v>281.19150000000002</v>
      </c>
      <c r="J1694">
        <v>-291.9049</v>
      </c>
      <c r="K1694">
        <v>1.110304</v>
      </c>
      <c r="L1694">
        <v>285.05380000000002</v>
      </c>
      <c r="M1694">
        <v>-0.99606340000000004</v>
      </c>
      <c r="N1694">
        <v>0</v>
      </c>
      <c r="O1694">
        <v>8.7507370000000001E-2</v>
      </c>
      <c r="P1694">
        <v>-0.99791019999999997</v>
      </c>
      <c r="Q1694">
        <v>-7.8069639999999996E-3</v>
      </c>
      <c r="R1694">
        <v>6.4144480000000004E-2</v>
      </c>
      <c r="S1694">
        <v>-3.030945</v>
      </c>
      <c r="T1694">
        <v>-0.1133425</v>
      </c>
      <c r="U1694">
        <v>-0.39178469999999999</v>
      </c>
      <c r="V1694">
        <v>-2.3433280000000001E-2</v>
      </c>
      <c r="W1694">
        <v>6.3531610000000004E-3</v>
      </c>
      <c r="X1694">
        <v>0.99970519999999996</v>
      </c>
      <c r="Y1694">
        <v>-0.21428920000000001</v>
      </c>
      <c r="Z1694">
        <v>-7.2481709999999899E-3</v>
      </c>
      <c r="AA1694">
        <v>0.97674329999999998</v>
      </c>
      <c r="AB1694">
        <v>29</v>
      </c>
      <c r="AC1694">
        <v>-29.412500000000001</v>
      </c>
      <c r="AD1694">
        <v>-1.1103046860451999</v>
      </c>
      <c r="AE1694">
        <v>-3.8622999999999998</v>
      </c>
      <c r="AF1694">
        <v>-6.41256577892183</v>
      </c>
      <c r="AG1694">
        <v>-1.1103046860451999</v>
      </c>
      <c r="AH1694">
        <v>28.9211192015498</v>
      </c>
      <c r="AI1694">
        <v>92.146471373713595</v>
      </c>
      <c r="AJ1694">
        <v>102.501714590288</v>
      </c>
      <c r="AK1694">
        <v>29.6443065736932</v>
      </c>
      <c r="AL1694">
        <v>89.6359882335653</v>
      </c>
      <c r="AM1694">
        <v>91.342778077181507</v>
      </c>
      <c r="AN1694">
        <v>0.99999998408664503</v>
      </c>
    </row>
    <row r="1695" spans="1:40" x14ac:dyDescent="0.3">
      <c r="A1695" t="str">
        <f>"20200111160438893"</f>
        <v>20200111160438893</v>
      </c>
      <c r="B1695" t="str">
        <f>"1578729878882844"</f>
        <v>1578729878882844</v>
      </c>
      <c r="C1695" t="s">
        <v>40</v>
      </c>
      <c r="D1695">
        <v>5.2203290000000004</v>
      </c>
      <c r="E1695">
        <v>0.4202572</v>
      </c>
      <c r="F1695" t="s">
        <v>61</v>
      </c>
      <c r="G1695">
        <v>-317.48989999999998</v>
      </c>
      <c r="H1695" s="1">
        <v>5.8172769999999998E-6</v>
      </c>
      <c r="I1695">
        <v>281.42669999999998</v>
      </c>
      <c r="J1695">
        <v>-292.18869999999998</v>
      </c>
      <c r="K1695">
        <v>1.110325</v>
      </c>
      <c r="L1695">
        <v>285.0788</v>
      </c>
      <c r="M1695">
        <v>-0.99605759999999999</v>
      </c>
      <c r="N1695">
        <v>0</v>
      </c>
      <c r="O1695">
        <v>8.7572750000000005E-2</v>
      </c>
      <c r="P1695">
        <v>-0.99789229999999995</v>
      </c>
      <c r="Q1695">
        <v>-8.2284360000000004E-3</v>
      </c>
      <c r="R1695">
        <v>6.4368190000000006E-2</v>
      </c>
      <c r="S1695">
        <v>-3.0328979999999999</v>
      </c>
      <c r="T1695">
        <v>-0.1316174</v>
      </c>
      <c r="U1695">
        <v>-0.42996220000000002</v>
      </c>
      <c r="V1695">
        <v>-2.3275069999999998E-2</v>
      </c>
      <c r="W1695">
        <v>5.9273540000000001E-3</v>
      </c>
      <c r="X1695">
        <v>0.99971149999999998</v>
      </c>
      <c r="Y1695">
        <v>-0.22624749999999999</v>
      </c>
      <c r="Z1695">
        <v>-8.6647890000000009E-3</v>
      </c>
      <c r="AA1695">
        <v>0.97403130000000004</v>
      </c>
      <c r="AB1695">
        <v>29</v>
      </c>
      <c r="AC1695">
        <v>-25.301199999999898</v>
      </c>
      <c r="AD1695">
        <v>-1.1103191827229999</v>
      </c>
      <c r="AE1695">
        <v>-3.6521000000000101</v>
      </c>
      <c r="AF1695">
        <v>-5.8429610753726102</v>
      </c>
      <c r="AG1695">
        <v>-1.1103191827229999</v>
      </c>
      <c r="AH1695">
        <v>24.837264421293199</v>
      </c>
      <c r="AI1695">
        <v>92.491702010113997</v>
      </c>
      <c r="AJ1695">
        <v>103.23811298075501</v>
      </c>
      <c r="AK1695">
        <v>25.539434346693699</v>
      </c>
      <c r="AL1695">
        <v>89.660385634227893</v>
      </c>
      <c r="AM1695">
        <v>91.333707182803195</v>
      </c>
      <c r="AN1695">
        <v>0.99999997282059705</v>
      </c>
    </row>
    <row r="1696" spans="1:40" x14ac:dyDescent="0.3">
      <c r="A1696" t="str">
        <f>"20200111160438908"</f>
        <v>20200111160438908</v>
      </c>
      <c r="B1696" t="str">
        <f>"1578729878902365"</f>
        <v>1578729878902365</v>
      </c>
      <c r="C1696" t="s">
        <v>40</v>
      </c>
      <c r="D1696">
        <v>5.208634</v>
      </c>
      <c r="E1696">
        <v>0.41861350000000003</v>
      </c>
      <c r="F1696" t="s">
        <v>61</v>
      </c>
      <c r="G1696">
        <v>-316.44400000000002</v>
      </c>
      <c r="H1696" s="1">
        <v>5.3479990000000001E-6</v>
      </c>
      <c r="I1696">
        <v>281.48939999999999</v>
      </c>
      <c r="J1696">
        <v>-292.37549999999999</v>
      </c>
      <c r="K1696">
        <v>1.1103400000000001</v>
      </c>
      <c r="L1696">
        <v>285.09530000000001</v>
      </c>
      <c r="M1696">
        <v>-0.9960542</v>
      </c>
      <c r="N1696">
        <v>0</v>
      </c>
      <c r="O1696">
        <v>8.761149E-2</v>
      </c>
      <c r="P1696">
        <v>-0.99787490000000001</v>
      </c>
      <c r="Q1696">
        <v>-8.6015889999999998E-3</v>
      </c>
      <c r="R1696">
        <v>6.4587939999999996E-2</v>
      </c>
      <c r="S1696">
        <v>-3.0341490000000002</v>
      </c>
      <c r="T1696">
        <v>-0.13889209999999999</v>
      </c>
      <c r="U1696">
        <v>-0.44900509999999899</v>
      </c>
      <c r="V1696">
        <v>-2.3093499999999999E-2</v>
      </c>
      <c r="W1696">
        <v>5.5511349999999996E-3</v>
      </c>
      <c r="X1696">
        <v>0.99971790000000005</v>
      </c>
      <c r="Y1696">
        <v>-0.2321743</v>
      </c>
      <c r="Z1696">
        <v>-9.2722940000000004E-3</v>
      </c>
      <c r="AA1696">
        <v>0.97262999999999999</v>
      </c>
      <c r="AB1696">
        <v>29</v>
      </c>
      <c r="AC1696">
        <v>-24.0685</v>
      </c>
      <c r="AD1696">
        <v>-1.11033465200099</v>
      </c>
      <c r="AE1696">
        <v>-3.6059000000000201</v>
      </c>
      <c r="AF1696">
        <v>-5.68907821172232</v>
      </c>
      <c r="AG1696">
        <v>-1.11033465200099</v>
      </c>
      <c r="AH1696">
        <v>23.610836222787501</v>
      </c>
      <c r="AI1696">
        <v>92.617629292753804</v>
      </c>
      <c r="AJ1696">
        <v>103.547297001819</v>
      </c>
      <c r="AK1696">
        <v>24.311932072087998</v>
      </c>
      <c r="AL1696">
        <v>89.681941760182298</v>
      </c>
      <c r="AM1696">
        <v>91.323298111084497</v>
      </c>
      <c r="AN1696">
        <v>1.0000000022112201</v>
      </c>
    </row>
    <row r="1697" spans="1:40" x14ac:dyDescent="0.3">
      <c r="A1697" t="str">
        <f>"20200111160438926"</f>
        <v>20200111160438926</v>
      </c>
      <c r="B1697" t="str">
        <f>"1578729878922860"</f>
        <v>1578729878922860</v>
      </c>
      <c r="C1697" t="s">
        <v>40</v>
      </c>
      <c r="D1697">
        <v>5.296468</v>
      </c>
      <c r="E1697">
        <v>0.41769919999999999</v>
      </c>
      <c r="F1697" t="s">
        <v>61</v>
      </c>
      <c r="G1697">
        <v>-315.90879999999999</v>
      </c>
      <c r="H1697" s="1">
        <v>5.1083660000000004E-6</v>
      </c>
      <c r="I1697">
        <v>281.5154</v>
      </c>
      <c r="J1697">
        <v>-292.6139</v>
      </c>
      <c r="K1697">
        <v>1.110347</v>
      </c>
      <c r="L1697">
        <v>285.1164</v>
      </c>
      <c r="M1697">
        <v>-0.99605010000000005</v>
      </c>
      <c r="N1697">
        <v>0</v>
      </c>
      <c r="O1697">
        <v>8.7659219999999996E-2</v>
      </c>
      <c r="P1697">
        <v>-0.99782649999999995</v>
      </c>
      <c r="Q1697">
        <v>-8.7192969999999904E-3</v>
      </c>
      <c r="R1697">
        <v>6.5316799999999994E-2</v>
      </c>
      <c r="S1697">
        <v>-3.035034</v>
      </c>
      <c r="T1697">
        <v>-0.14319779999999999</v>
      </c>
      <c r="U1697">
        <v>-0.46170040000000001</v>
      </c>
      <c r="V1697">
        <v>-2.2410869999999999E-2</v>
      </c>
      <c r="W1697">
        <v>5.4300199999999998E-3</v>
      </c>
      <c r="X1697">
        <v>0.99973409999999996</v>
      </c>
      <c r="Y1697">
        <v>-0.23613219999999999</v>
      </c>
      <c r="Z1697">
        <v>-9.6489399999999999E-3</v>
      </c>
      <c r="AA1697">
        <v>0.97167300000000001</v>
      </c>
      <c r="AB1697">
        <v>29</v>
      </c>
      <c r="AC1697">
        <v>-23.294899999999899</v>
      </c>
      <c r="AD1697">
        <v>-1.110341891634</v>
      </c>
      <c r="AE1697">
        <v>-3.6009999999999902</v>
      </c>
      <c r="AF1697">
        <v>-5.6168890416525201</v>
      </c>
      <c r="AG1697">
        <v>-1.110341891634</v>
      </c>
      <c r="AH1697">
        <v>22.838839480094801</v>
      </c>
      <c r="AI1697">
        <v>92.702905383292205</v>
      </c>
      <c r="AJ1697">
        <v>103.816872837833</v>
      </c>
      <c r="AK1697">
        <v>23.545591740707899</v>
      </c>
      <c r="AL1697">
        <v>89.688881242873407</v>
      </c>
      <c r="AM1697">
        <v>91.284174708894497</v>
      </c>
      <c r="AN1697">
        <v>1.00000000145708</v>
      </c>
    </row>
    <row r="1698" spans="1:40" x14ac:dyDescent="0.3">
      <c r="A1698" t="str">
        <f>"20200111160438940"</f>
        <v>20200111160438940</v>
      </c>
      <c r="B1698" t="str">
        <f>"1578729878932620"</f>
        <v>1578729878932620</v>
      </c>
      <c r="C1698" t="s">
        <v>40</v>
      </c>
      <c r="D1698">
        <v>5.1922230000000003</v>
      </c>
      <c r="E1698">
        <v>0.41716009999999998</v>
      </c>
      <c r="F1698" t="s">
        <v>61</v>
      </c>
      <c r="G1698">
        <v>-316.51130000000001</v>
      </c>
      <c r="H1698" s="1">
        <v>5.381949E-6</v>
      </c>
      <c r="I1698">
        <v>281.44260000000003</v>
      </c>
      <c r="J1698">
        <v>-292.78910000000002</v>
      </c>
      <c r="K1698">
        <v>1.1103459999999901</v>
      </c>
      <c r="L1698">
        <v>285.1318</v>
      </c>
      <c r="M1698">
        <v>-0.99604689999999996</v>
      </c>
      <c r="N1698">
        <v>0</v>
      </c>
      <c r="O1698">
        <v>8.7695460000000003E-2</v>
      </c>
      <c r="P1698">
        <v>-0.99781039999999999</v>
      </c>
      <c r="Q1698">
        <v>-9.098709E-3</v>
      </c>
      <c r="R1698">
        <v>6.5511760000000002E-2</v>
      </c>
      <c r="S1698">
        <v>-3.0358580000000002</v>
      </c>
      <c r="T1698">
        <v>-0.1410544</v>
      </c>
      <c r="U1698">
        <v>-0.46670529999999999</v>
      </c>
      <c r="V1698">
        <v>-2.2251699999999999E-2</v>
      </c>
      <c r="W1698">
        <v>5.0480780000000001E-3</v>
      </c>
      <c r="X1698">
        <v>0.99973959999999995</v>
      </c>
      <c r="Y1698">
        <v>-0.23770240000000001</v>
      </c>
      <c r="Z1698">
        <v>-9.5389350000000001E-3</v>
      </c>
      <c r="AA1698">
        <v>0.97129120000000002</v>
      </c>
      <c r="AB1698">
        <v>29</v>
      </c>
      <c r="AC1698">
        <v>-23.722199999999901</v>
      </c>
      <c r="AD1698">
        <v>-1.11034061805099</v>
      </c>
      <c r="AE1698">
        <v>-3.6891999999999698</v>
      </c>
      <c r="AF1698">
        <v>-5.7432361202049096</v>
      </c>
      <c r="AG1698">
        <v>-1.11034061805099</v>
      </c>
      <c r="AH1698">
        <v>23.257480189079299</v>
      </c>
      <c r="AI1698">
        <v>92.653700373703401</v>
      </c>
      <c r="AJ1698">
        <v>103.871192044804</v>
      </c>
      <c r="AK1698">
        <v>23.981826497703199</v>
      </c>
      <c r="AL1698">
        <v>89.710765191460396</v>
      </c>
      <c r="AM1698">
        <v>91.275050051036004</v>
      </c>
      <c r="AN1698">
        <v>0.99999994452626995</v>
      </c>
    </row>
    <row r="1699" spans="1:40" x14ac:dyDescent="0.3">
      <c r="A1699" t="str">
        <f>"20200111160439196"</f>
        <v>20200111160439196</v>
      </c>
      <c r="B1699" t="str">
        <f>"1578729879192236"</f>
        <v>1578729879192236</v>
      </c>
      <c r="C1699" t="s">
        <v>40</v>
      </c>
      <c r="D1699">
        <v>5.2467360000000003</v>
      </c>
      <c r="E1699">
        <v>0.4182594</v>
      </c>
      <c r="F1699" t="s">
        <v>61</v>
      </c>
      <c r="G1699">
        <v>-316.4563</v>
      </c>
      <c r="H1699" s="1">
        <v>5.3555690000000002E-6</v>
      </c>
      <c r="I1699">
        <v>281.46519999999998</v>
      </c>
      <c r="J1699">
        <v>-296.00760000000002</v>
      </c>
      <c r="K1699">
        <v>1.11052</v>
      </c>
      <c r="L1699">
        <v>285.41669999999999</v>
      </c>
      <c r="M1699">
        <v>-0.99601550000000005</v>
      </c>
      <c r="N1699">
        <v>0</v>
      </c>
      <c r="O1699">
        <v>8.805868E-2</v>
      </c>
      <c r="P1699">
        <v>-0.99789030000000001</v>
      </c>
      <c r="Q1699">
        <v>-1.086285E-3</v>
      </c>
      <c r="R1699">
        <v>6.4913719999999994E-2</v>
      </c>
      <c r="S1699">
        <v>-3.0361020000000001</v>
      </c>
      <c r="T1699">
        <v>-0.14243810000000001</v>
      </c>
      <c r="U1699">
        <v>-0.47036739999999999</v>
      </c>
      <c r="V1699">
        <v>-2.3222030000000001E-2</v>
      </c>
      <c r="W1699">
        <v>1.3016160000000001E-2</v>
      </c>
      <c r="X1699">
        <v>0.99964560000000002</v>
      </c>
      <c r="Y1699">
        <v>-0.23918010000000001</v>
      </c>
      <c r="Z1699">
        <v>-9.6821919999999992E-3</v>
      </c>
      <c r="AA1699">
        <v>0.97092690000000004</v>
      </c>
      <c r="AB1699">
        <v>28</v>
      </c>
      <c r="AC1699">
        <v>-20.448699999999899</v>
      </c>
      <c r="AD1699">
        <v>-1.1105146444309999</v>
      </c>
      <c r="AE1699">
        <v>-3.9514999999999998</v>
      </c>
      <c r="AF1699">
        <v>-5.7207462684302097</v>
      </c>
      <c r="AG1699">
        <v>-1.1105146444309999</v>
      </c>
      <c r="AH1699">
        <v>19.964486959700899</v>
      </c>
      <c r="AI1699">
        <v>93.060834954419505</v>
      </c>
      <c r="AJ1699">
        <v>105.989449759843</v>
      </c>
      <c r="AK1699">
        <v>20.797618137837802</v>
      </c>
      <c r="AL1699">
        <v>89.254207910030502</v>
      </c>
      <c r="AM1699">
        <v>91.330756671375497</v>
      </c>
      <c r="AN1699">
        <v>1.0000000043489099</v>
      </c>
    </row>
    <row r="1700" spans="1:40" x14ac:dyDescent="0.3">
      <c r="A1700" t="str">
        <f>"20200111160439209"</f>
        <v>20200111160439209</v>
      </c>
      <c r="B1700" t="str">
        <f>"1578729879202973"</f>
        <v>1578729879202973</v>
      </c>
      <c r="C1700" t="s">
        <v>40</v>
      </c>
      <c r="D1700">
        <v>5.3454870000000003</v>
      </c>
      <c r="E1700">
        <v>0.4188075</v>
      </c>
      <c r="F1700" t="s">
        <v>57</v>
      </c>
      <c r="G1700">
        <v>-324.46140000000003</v>
      </c>
      <c r="H1700" s="1">
        <v>9.9202799999999991E-7</v>
      </c>
      <c r="I1700">
        <v>281.07729999999998</v>
      </c>
      <c r="J1700">
        <v>-296.17340000000002</v>
      </c>
      <c r="K1700">
        <v>1.110557</v>
      </c>
      <c r="L1700">
        <v>285.43130000000002</v>
      </c>
      <c r="M1700">
        <v>-0.99602559999999996</v>
      </c>
      <c r="N1700">
        <v>0</v>
      </c>
      <c r="O1700">
        <v>8.7944240000000007E-2</v>
      </c>
      <c r="P1700">
        <v>-0.9979247</v>
      </c>
      <c r="Q1700">
        <v>-1.2211590000000001E-3</v>
      </c>
      <c r="R1700">
        <v>6.4381419999999995E-2</v>
      </c>
      <c r="S1700">
        <v>-3.0363769999999999</v>
      </c>
      <c r="T1700">
        <v>-0.1185065</v>
      </c>
      <c r="U1700">
        <v>-0.46307369999999998</v>
      </c>
      <c r="V1700">
        <v>-2.3641539999999999E-2</v>
      </c>
      <c r="W1700">
        <v>1.287693E-2</v>
      </c>
      <c r="X1700">
        <v>0.99963749999999996</v>
      </c>
      <c r="Y1700">
        <v>-0.2368864</v>
      </c>
      <c r="Z1700">
        <v>-8.0085119999999902E-3</v>
      </c>
      <c r="AA1700">
        <v>0.97150429999999999</v>
      </c>
      <c r="AB1700">
        <v>28</v>
      </c>
      <c r="AC1700">
        <v>-28.288</v>
      </c>
      <c r="AD1700">
        <v>-1.110556007972</v>
      </c>
      <c r="AE1700">
        <v>-4.3540000000000401</v>
      </c>
      <c r="AF1700">
        <v>-6.8148801854144399</v>
      </c>
      <c r="AG1700">
        <v>-1.110556007972</v>
      </c>
      <c r="AH1700">
        <v>27.753640451403399</v>
      </c>
      <c r="AI1700">
        <v>92.225417241940804</v>
      </c>
      <c r="AJ1700">
        <v>103.795974079299</v>
      </c>
      <c r="AK1700">
        <v>28.5996588247862</v>
      </c>
      <c r="AL1700">
        <v>89.262185818532402</v>
      </c>
      <c r="AM1700">
        <v>91.354799114790694</v>
      </c>
      <c r="AN1700">
        <v>0.99999993457302105</v>
      </c>
    </row>
    <row r="1701" spans="1:40" x14ac:dyDescent="0.3">
      <c r="A1701" t="str">
        <f>"20200111160439228"</f>
        <v>20200111160439228</v>
      </c>
      <c r="B1701" t="str">
        <f>"1578729879222492"</f>
        <v>1578729879222492</v>
      </c>
      <c r="C1701" t="s">
        <v>40</v>
      </c>
      <c r="D1701">
        <v>5.3033449999999904</v>
      </c>
      <c r="E1701">
        <v>0.4198152</v>
      </c>
      <c r="F1701" t="s">
        <v>57</v>
      </c>
      <c r="G1701">
        <v>-324.62290000000002</v>
      </c>
      <c r="H1701" s="1">
        <v>1.076284E-6</v>
      </c>
      <c r="I1701">
        <v>281.11649999999997</v>
      </c>
      <c r="J1701">
        <v>-296.39940000000001</v>
      </c>
      <c r="K1701">
        <v>1.110616</v>
      </c>
      <c r="L1701">
        <v>285.45100000000002</v>
      </c>
      <c r="M1701">
        <v>-0.99604479999999995</v>
      </c>
      <c r="N1701">
        <v>0</v>
      </c>
      <c r="O1701">
        <v>8.7726410000000005E-2</v>
      </c>
      <c r="P1701">
        <v>-0.99799749999999998</v>
      </c>
      <c r="Q1701">
        <v>-1.6162769999999999E-3</v>
      </c>
      <c r="R1701">
        <v>6.3236689999999998E-2</v>
      </c>
      <c r="S1701">
        <v>-3.0357970000000001</v>
      </c>
      <c r="T1701">
        <v>-0.1185052</v>
      </c>
      <c r="U1701">
        <v>-0.46041870000000001</v>
      </c>
      <c r="V1701">
        <v>-2.457115E-2</v>
      </c>
      <c r="W1701">
        <v>1.2475470000000001E-2</v>
      </c>
      <c r="X1701">
        <v>0.99962030000000002</v>
      </c>
      <c r="Y1701">
        <v>-0.23587179999999999</v>
      </c>
      <c r="Z1701">
        <v>-7.9822899999999995E-3</v>
      </c>
      <c r="AA1701">
        <v>0.97175140000000004</v>
      </c>
      <c r="AB1701">
        <v>28</v>
      </c>
      <c r="AC1701">
        <v>-28.223500000000001</v>
      </c>
      <c r="AD1701">
        <v>-1.1106149237159999</v>
      </c>
      <c r="AE1701">
        <v>-4.3344999999999896</v>
      </c>
      <c r="AF1701">
        <v>-6.7837155965111302</v>
      </c>
      <c r="AG1701">
        <v>-1.1106149237159999</v>
      </c>
      <c r="AH1701">
        <v>27.692484555737199</v>
      </c>
      <c r="AI1701">
        <v>92.230745680960695</v>
      </c>
      <c r="AJ1701">
        <v>103.764459850683</v>
      </c>
      <c r="AK1701">
        <v>28.532892662204301</v>
      </c>
      <c r="AL1701">
        <v>89.285189722816199</v>
      </c>
      <c r="AM1701">
        <v>91.408074405714004</v>
      </c>
      <c r="AN1701">
        <v>1.00000006146806</v>
      </c>
    </row>
    <row r="1702" spans="1:40" x14ac:dyDescent="0.3">
      <c r="A1702" t="str">
        <f>"20200111160439241"</f>
        <v>20200111160439241</v>
      </c>
      <c r="B1702" t="str">
        <f>"1578729879232252"</f>
        <v>1578729879232252</v>
      </c>
      <c r="C1702" t="s">
        <v>40</v>
      </c>
      <c r="D1702">
        <v>5.2341810000000004</v>
      </c>
      <c r="E1702">
        <v>0.42034179999999999</v>
      </c>
      <c r="F1702" t="s">
        <v>57</v>
      </c>
      <c r="G1702">
        <v>-324.67840000000001</v>
      </c>
      <c r="H1702" s="1">
        <v>1.1020209999999999E-6</v>
      </c>
      <c r="I1702">
        <v>281.20299999999997</v>
      </c>
      <c r="J1702">
        <v>-296.56950000000001</v>
      </c>
      <c r="K1702">
        <v>1.11067</v>
      </c>
      <c r="L1702">
        <v>285.46589999999998</v>
      </c>
      <c r="M1702">
        <v>-0.99606349999999999</v>
      </c>
      <c r="N1702">
        <v>0</v>
      </c>
      <c r="O1702">
        <v>8.7513569999999999E-2</v>
      </c>
      <c r="P1702">
        <v>-0.99804360000000003</v>
      </c>
      <c r="Q1702">
        <v>-1.857549E-3</v>
      </c>
      <c r="R1702">
        <v>6.2495519999999999E-2</v>
      </c>
      <c r="S1702">
        <v>-3.0346980000000001</v>
      </c>
      <c r="T1702">
        <v>-0.119183399999999</v>
      </c>
      <c r="U1702">
        <v>-0.45587159999999899</v>
      </c>
      <c r="V1702">
        <v>-2.5101740000000001E-2</v>
      </c>
      <c r="W1702">
        <v>1.2228960000000001E-2</v>
      </c>
      <c r="X1702">
        <v>0.99961009999999995</v>
      </c>
      <c r="Y1702">
        <v>-0.23429079999999999</v>
      </c>
      <c r="Z1702">
        <v>-7.9924719999999901E-3</v>
      </c>
      <c r="AA1702">
        <v>0.97213369999999999</v>
      </c>
      <c r="AB1702">
        <v>28</v>
      </c>
      <c r="AC1702">
        <v>-28.108899999999998</v>
      </c>
      <c r="AD1702">
        <v>-1.110668897979</v>
      </c>
      <c r="AE1702">
        <v>-4.2629000000000001</v>
      </c>
      <c r="AF1702">
        <v>-6.6964761918857203</v>
      </c>
      <c r="AG1702">
        <v>-1.110668897979</v>
      </c>
      <c r="AH1702">
        <v>27.585834190424901</v>
      </c>
      <c r="AI1702">
        <v>92.240611062624495</v>
      </c>
      <c r="AJ1702">
        <v>103.644651367371</v>
      </c>
      <c r="AK1702">
        <v>28.4087068831202</v>
      </c>
      <c r="AL1702">
        <v>89.299314738033203</v>
      </c>
      <c r="AM1702">
        <v>91.438482429706895</v>
      </c>
      <c r="AN1702">
        <v>0.99999999841785903</v>
      </c>
    </row>
    <row r="1703" spans="1:40" x14ac:dyDescent="0.3">
      <c r="A1703" t="str">
        <f>"20200111160439254"</f>
        <v>20200111160439254</v>
      </c>
      <c r="B1703" t="str">
        <f>"1578729879242988"</f>
        <v>1578729879242988</v>
      </c>
      <c r="C1703" t="s">
        <v>40</v>
      </c>
      <c r="D1703">
        <v>5.1725300000000001</v>
      </c>
      <c r="E1703">
        <v>0.42084090000000002</v>
      </c>
      <c r="F1703" t="s">
        <v>57</v>
      </c>
      <c r="G1703">
        <v>-324.8569</v>
      </c>
      <c r="H1703" s="1">
        <v>1.1956330000000001E-6</v>
      </c>
      <c r="I1703">
        <v>281.23450000000003</v>
      </c>
      <c r="J1703">
        <v>-296.72989999999999</v>
      </c>
      <c r="K1703">
        <v>1.1107229999999999</v>
      </c>
      <c r="L1703">
        <v>285.47969999999998</v>
      </c>
      <c r="M1703">
        <v>-0.99608540000000001</v>
      </c>
      <c r="N1703">
        <v>0</v>
      </c>
      <c r="O1703">
        <v>8.7265120000000002E-2</v>
      </c>
      <c r="P1703">
        <v>-0.99808859999999999</v>
      </c>
      <c r="Q1703">
        <v>-2.0988510000000001E-3</v>
      </c>
      <c r="R1703">
        <v>6.1765439999999998E-2</v>
      </c>
      <c r="S1703">
        <v>-3.0341490000000002</v>
      </c>
      <c r="T1703">
        <v>-0.11913219999999999</v>
      </c>
      <c r="U1703">
        <v>-0.45385740000000002</v>
      </c>
      <c r="V1703">
        <v>-2.5584659999999999E-2</v>
      </c>
      <c r="W1703">
        <v>1.1982929999999999E-2</v>
      </c>
      <c r="X1703">
        <v>0.99960079999999996</v>
      </c>
      <c r="Y1703">
        <v>-0.23344380000000001</v>
      </c>
      <c r="Z1703">
        <v>-7.9646049999999996E-3</v>
      </c>
      <c r="AA1703">
        <v>0.97233769999999997</v>
      </c>
      <c r="AB1703">
        <v>28</v>
      </c>
      <c r="AC1703">
        <v>-28.126999999999999</v>
      </c>
      <c r="AD1703">
        <v>-1.110721804367</v>
      </c>
      <c r="AE1703">
        <v>-4.2451999999999499</v>
      </c>
      <c r="AF1703">
        <v>-6.6735766121209901</v>
      </c>
      <c r="AG1703">
        <v>-1.110721804367</v>
      </c>
      <c r="AH1703">
        <v>27.607090628738099</v>
      </c>
      <c r="AI1703">
        <v>92.239514414827894</v>
      </c>
      <c r="AJ1703">
        <v>103.589644356379</v>
      </c>
      <c r="AK1703">
        <v>28.4239649012572</v>
      </c>
      <c r="AL1703">
        <v>89.313412227054499</v>
      </c>
      <c r="AM1703">
        <v>91.466158353373004</v>
      </c>
      <c r="AN1703">
        <v>0.99999996239966904</v>
      </c>
    </row>
    <row r="1704" spans="1:40" x14ac:dyDescent="0.3">
      <c r="A1704" t="str">
        <f>"20200111160439273"</f>
        <v>20200111160439273</v>
      </c>
      <c r="B1704" t="str">
        <f>"1578729879262508"</f>
        <v>1578729879262508</v>
      </c>
      <c r="C1704" t="s">
        <v>40</v>
      </c>
      <c r="D1704">
        <v>5.1717690000000003</v>
      </c>
      <c r="E1704">
        <v>0.42180059999999903</v>
      </c>
      <c r="F1704" t="s">
        <v>57</v>
      </c>
      <c r="G1704">
        <v>-324.85640000000001</v>
      </c>
      <c r="H1704" s="1">
        <v>1.1932089999999999E-6</v>
      </c>
      <c r="I1704">
        <v>281.28449999999998</v>
      </c>
      <c r="J1704">
        <v>-296.9649</v>
      </c>
      <c r="K1704">
        <v>1.1108020000000001</v>
      </c>
      <c r="L1704">
        <v>285.49979999999999</v>
      </c>
      <c r="M1704">
        <v>-0.9961236</v>
      </c>
      <c r="N1704">
        <v>0</v>
      </c>
      <c r="O1704">
        <v>8.6828290000000002E-2</v>
      </c>
      <c r="P1704">
        <v>-0.99813739999999995</v>
      </c>
      <c r="Q1704">
        <v>-2.4420079999999999E-3</v>
      </c>
      <c r="R1704">
        <v>6.096128E-2</v>
      </c>
      <c r="S1704">
        <v>-3.0334469999999998</v>
      </c>
      <c r="T1704">
        <v>-0.1197912</v>
      </c>
      <c r="U1704">
        <v>-0.45245360000000001</v>
      </c>
      <c r="V1704">
        <v>-2.5953690000000001E-2</v>
      </c>
      <c r="W1704">
        <v>1.1632480000000001E-2</v>
      </c>
      <c r="X1704">
        <v>0.99959549999999997</v>
      </c>
      <c r="Y1704">
        <v>-0.23260829999999999</v>
      </c>
      <c r="Z1704">
        <v>-7.9771540000000002E-3</v>
      </c>
      <c r="AA1704">
        <v>0.97253780000000001</v>
      </c>
      <c r="AB1704">
        <v>28</v>
      </c>
      <c r="AC1704">
        <v>-27.891500000000001</v>
      </c>
      <c r="AD1704">
        <v>-1.110800806791</v>
      </c>
      <c r="AE1704">
        <v>-4.2153000000000098</v>
      </c>
      <c r="AF1704">
        <v>-6.61113695049829</v>
      </c>
      <c r="AG1704">
        <v>-1.110800806791</v>
      </c>
      <c r="AH1704">
        <v>27.377643541441302</v>
      </c>
      <c r="AI1704">
        <v>92.258555692630495</v>
      </c>
      <c r="AJ1704">
        <v>103.575853273823</v>
      </c>
      <c r="AK1704">
        <v>28.186457317173399</v>
      </c>
      <c r="AL1704">
        <v>89.333492982872599</v>
      </c>
      <c r="AM1704">
        <v>91.487304492885997</v>
      </c>
      <c r="AN1704">
        <v>1.0000000361179</v>
      </c>
    </row>
    <row r="1705" spans="1:40" x14ac:dyDescent="0.3">
      <c r="A1705" t="str">
        <f>"20200111160439294"</f>
        <v>20200111160439294</v>
      </c>
      <c r="B1705" t="str">
        <f>"1578729879282028"</f>
        <v>1578729879282028</v>
      </c>
      <c r="C1705" t="s">
        <v>40</v>
      </c>
      <c r="D1705">
        <v>5.1624169999999996</v>
      </c>
      <c r="E1705">
        <v>0.42273169999999999</v>
      </c>
      <c r="F1705" t="s">
        <v>57</v>
      </c>
      <c r="G1705">
        <v>-324.67320000000001</v>
      </c>
      <c r="H1705" s="1">
        <v>1.0900060000000001E-6</v>
      </c>
      <c r="I1705">
        <v>281.41520000000003</v>
      </c>
      <c r="J1705">
        <v>-297.22750000000002</v>
      </c>
      <c r="K1705">
        <v>1.1108960000000001</v>
      </c>
      <c r="L1705">
        <v>285.52210000000002</v>
      </c>
      <c r="M1705">
        <v>-0.99617679999999997</v>
      </c>
      <c r="N1705">
        <v>0</v>
      </c>
      <c r="O1705">
        <v>8.6215009999999995E-2</v>
      </c>
      <c r="P1705">
        <v>-0.99815670000000001</v>
      </c>
      <c r="Q1705">
        <v>-2.7415730000000002E-3</v>
      </c>
      <c r="R1705">
        <v>6.0627750000000001E-2</v>
      </c>
      <c r="S1705">
        <v>-3.0325929999999999</v>
      </c>
      <c r="T1705">
        <v>-0.1215736</v>
      </c>
      <c r="U1705">
        <v>-0.447052</v>
      </c>
      <c r="V1705">
        <v>-2.567494E-2</v>
      </c>
      <c r="W1705">
        <v>1.132447E-2</v>
      </c>
      <c r="X1705">
        <v>0.9996062</v>
      </c>
      <c r="Y1705">
        <v>-0.23034869999999999</v>
      </c>
      <c r="Z1705">
        <v>-8.0295149999999992E-3</v>
      </c>
      <c r="AA1705">
        <v>0.97307500000000002</v>
      </c>
      <c r="AB1705">
        <v>28</v>
      </c>
      <c r="AC1705">
        <v>-27.445699999999899</v>
      </c>
      <c r="AD1705">
        <v>-1.110894909994</v>
      </c>
      <c r="AE1705">
        <v>-4.1068999999999898</v>
      </c>
      <c r="AF1705">
        <v>-6.4477395417077297</v>
      </c>
      <c r="AG1705">
        <v>-1.110894909994</v>
      </c>
      <c r="AH1705">
        <v>26.946195944542399</v>
      </c>
      <c r="AI1705">
        <v>92.296019299909503</v>
      </c>
      <c r="AJ1705">
        <v>103.456828860698</v>
      </c>
      <c r="AK1705">
        <v>27.729134652571201</v>
      </c>
      <c r="AL1705">
        <v>89.351141795022599</v>
      </c>
      <c r="AM1705">
        <v>91.471321737588298</v>
      </c>
      <c r="AN1705">
        <v>1.0000000006216101</v>
      </c>
    </row>
    <row r="1706" spans="1:40" x14ac:dyDescent="0.3">
      <c r="A1706" t="str">
        <f>"20200111160439308"</f>
        <v>20200111160439308</v>
      </c>
      <c r="B1706" t="str">
        <f>"1578729879302525"</f>
        <v>1578729879302525</v>
      </c>
      <c r="C1706" t="s">
        <v>40</v>
      </c>
      <c r="D1706">
        <v>5.1776030000000004</v>
      </c>
      <c r="E1706">
        <v>0.42354579999999997</v>
      </c>
      <c r="F1706" t="s">
        <v>57</v>
      </c>
      <c r="G1706">
        <v>-324.39260000000002</v>
      </c>
      <c r="H1706" s="1">
        <v>9.3378779999999996E-7</v>
      </c>
      <c r="I1706">
        <v>281.57299999999998</v>
      </c>
      <c r="J1706">
        <v>-297.40460000000002</v>
      </c>
      <c r="K1706">
        <v>1.1109629999999999</v>
      </c>
      <c r="L1706">
        <v>285.53699999999998</v>
      </c>
      <c r="M1706">
        <v>-0.99621850000000001</v>
      </c>
      <c r="N1706">
        <v>0</v>
      </c>
      <c r="O1706">
        <v>8.5733089999999998E-2</v>
      </c>
      <c r="P1706">
        <v>-0.99817040000000001</v>
      </c>
      <c r="Q1706">
        <v>-2.92822E-3</v>
      </c>
      <c r="R1706">
        <v>6.0394370000000003E-2</v>
      </c>
      <c r="S1706">
        <v>-3.0319820000000002</v>
      </c>
      <c r="T1706">
        <v>-0.12399019999999999</v>
      </c>
      <c r="U1706">
        <v>-0.44076539999999997</v>
      </c>
      <c r="V1706">
        <v>-2.5426190000000001E-2</v>
      </c>
      <c r="W1706">
        <v>1.1133270000000001E-2</v>
      </c>
      <c r="X1706">
        <v>0.99961469999999997</v>
      </c>
      <c r="Y1706">
        <v>-0.2279224</v>
      </c>
      <c r="Z1706">
        <v>-8.1228280000000003E-3</v>
      </c>
      <c r="AA1706">
        <v>0.97364539999999999</v>
      </c>
      <c r="AB1706">
        <v>28</v>
      </c>
      <c r="AC1706">
        <v>-26.988</v>
      </c>
      <c r="AD1706">
        <v>-1.1109620662122</v>
      </c>
      <c r="AE1706">
        <v>-3.9640000000000502</v>
      </c>
      <c r="AF1706">
        <v>-6.2530242009053296</v>
      </c>
      <c r="AG1706">
        <v>-1.1109620662122</v>
      </c>
      <c r="AH1706">
        <v>26.504769067519501</v>
      </c>
      <c r="AI1706">
        <v>92.336121034830001</v>
      </c>
      <c r="AJ1706">
        <v>103.27453346147399</v>
      </c>
      <c r="AK1706">
        <v>27.255042316830199</v>
      </c>
      <c r="AL1706">
        <v>89.362097434971005</v>
      </c>
      <c r="AM1706">
        <v>91.457060722460497</v>
      </c>
      <c r="AN1706">
        <v>0.99999999464744904</v>
      </c>
    </row>
    <row r="1707" spans="1:40" x14ac:dyDescent="0.3">
      <c r="A1707" t="str">
        <f>"20200111160439321"</f>
        <v>20200111160439321</v>
      </c>
      <c r="B1707" t="str">
        <f>"1578729879312284"</f>
        <v>1578729879312284</v>
      </c>
      <c r="C1707" t="s">
        <v>40</v>
      </c>
      <c r="D1707">
        <v>5.2993779999999999</v>
      </c>
      <c r="E1707">
        <v>0.42380950000000001</v>
      </c>
      <c r="F1707" t="s">
        <v>57</v>
      </c>
      <c r="G1707">
        <v>-324.26459999999997</v>
      </c>
      <c r="H1707" s="1">
        <v>8.608883E-7</v>
      </c>
      <c r="I1707">
        <v>281.6825</v>
      </c>
      <c r="J1707">
        <v>-297.56490000000002</v>
      </c>
      <c r="K1707">
        <v>1.11102099999999</v>
      </c>
      <c r="L1707">
        <v>285.55029999999999</v>
      </c>
      <c r="M1707">
        <v>-0.99626000000000003</v>
      </c>
      <c r="N1707">
        <v>0</v>
      </c>
      <c r="O1707">
        <v>8.524851E-2</v>
      </c>
      <c r="P1707">
        <v>-0.99818620000000002</v>
      </c>
      <c r="Q1707">
        <v>-2.9557110000000002E-3</v>
      </c>
      <c r="R1707">
        <v>6.013338E-2</v>
      </c>
      <c r="S1707">
        <v>-3.0314939999999999</v>
      </c>
      <c r="T1707">
        <v>-0.125386</v>
      </c>
      <c r="U1707">
        <v>-0.43502809999999997</v>
      </c>
      <c r="V1707">
        <v>-2.520265E-2</v>
      </c>
      <c r="W1707">
        <v>1.110132E-2</v>
      </c>
      <c r="X1707">
        <v>0.99962070000000003</v>
      </c>
      <c r="Y1707">
        <v>-0.2256618</v>
      </c>
      <c r="Z1707">
        <v>-8.1501049999999995E-3</v>
      </c>
      <c r="AA1707">
        <v>0.97417160000000003</v>
      </c>
      <c r="AB1707">
        <v>28</v>
      </c>
      <c r="AC1707">
        <v>-26.699699999999901</v>
      </c>
      <c r="AD1707">
        <v>-1.1110201391116901</v>
      </c>
      <c r="AE1707">
        <v>-3.8677999999999799</v>
      </c>
      <c r="AF1707">
        <v>-6.1196745058957198</v>
      </c>
      <c r="AG1707">
        <v>-1.1110201391116901</v>
      </c>
      <c r="AH1707">
        <v>26.228247662561401</v>
      </c>
      <c r="AI1707">
        <v>92.362208278032099</v>
      </c>
      <c r="AJ1707">
        <v>103.133504483254</v>
      </c>
      <c r="AK1707">
        <v>26.9556257070074</v>
      </c>
      <c r="AL1707">
        <v>89.363928137919004</v>
      </c>
      <c r="AM1707">
        <v>91.444247433806595</v>
      </c>
      <c r="AN1707">
        <v>0.99999997837062704</v>
      </c>
    </row>
    <row r="1708" spans="1:40" x14ac:dyDescent="0.3">
      <c r="A1708" t="str">
        <f>"20200111160439340"</f>
        <v>20200111160439340</v>
      </c>
      <c r="B1708" t="str">
        <f>"1578729879332780"</f>
        <v>1578729879332780</v>
      </c>
      <c r="C1708" t="s">
        <v>40</v>
      </c>
      <c r="D1708">
        <v>5.1872259999999999</v>
      </c>
      <c r="E1708">
        <v>0.42454009999999998</v>
      </c>
      <c r="F1708" t="s">
        <v>57</v>
      </c>
      <c r="G1708">
        <v>-324.47570000000002</v>
      </c>
      <c r="H1708" s="1">
        <v>9.724298000000001E-7</v>
      </c>
      <c r="I1708">
        <v>281.70030000000003</v>
      </c>
      <c r="J1708">
        <v>-297.7996</v>
      </c>
      <c r="K1708">
        <v>1.1111059999999999</v>
      </c>
      <c r="L1708">
        <v>285.56959999999998</v>
      </c>
      <c r="M1708">
        <v>-0.99632810000000005</v>
      </c>
      <c r="N1708">
        <v>0</v>
      </c>
      <c r="O1708">
        <v>8.4450269999999994E-2</v>
      </c>
      <c r="P1708">
        <v>-0.99816009999999999</v>
      </c>
      <c r="Q1708">
        <v>-3.0503959999999999E-3</v>
      </c>
      <c r="R1708">
        <v>6.0558140000000003E-2</v>
      </c>
      <c r="S1708">
        <v>-3.0312190000000001</v>
      </c>
      <c r="T1708">
        <v>-0.1251448</v>
      </c>
      <c r="U1708">
        <v>-0.43365480000000001</v>
      </c>
      <c r="V1708">
        <v>-2.397908E-2</v>
      </c>
      <c r="W1708">
        <v>1.1002619999999999E-2</v>
      </c>
      <c r="X1708">
        <v>0.99965190000000004</v>
      </c>
      <c r="Y1708">
        <v>-0.22446369999999999</v>
      </c>
      <c r="Z1708">
        <v>-8.0780319999999902E-3</v>
      </c>
      <c r="AA1708">
        <v>0.97444900000000001</v>
      </c>
      <c r="AB1708">
        <v>28</v>
      </c>
      <c r="AC1708">
        <v>-26.676100000000002</v>
      </c>
      <c r="AD1708">
        <v>-1.1111050275701999</v>
      </c>
      <c r="AE1708">
        <v>-3.8692999999999498</v>
      </c>
      <c r="AF1708">
        <v>-6.0981409134764499</v>
      </c>
      <c r="AG1708">
        <v>-1.1111050275701999</v>
      </c>
      <c r="AH1708">
        <v>26.209457092163401</v>
      </c>
      <c r="AI1708">
        <v>92.364421817878707</v>
      </c>
      <c r="AJ1708">
        <v>103.09794527435901</v>
      </c>
      <c r="AK1708">
        <v>26.932462160910202</v>
      </c>
      <c r="AL1708">
        <v>89.3695835826733</v>
      </c>
      <c r="AM1708">
        <v>91.374114988401601</v>
      </c>
      <c r="AN1708">
        <v>0.99999998754906005</v>
      </c>
    </row>
    <row r="1709" spans="1:40" x14ac:dyDescent="0.3">
      <c r="A1709" t="str">
        <f>"20200111160439352"</f>
        <v>20200111160439352</v>
      </c>
      <c r="B1709" t="str">
        <f>"1578729879342540"</f>
        <v>1578729879342540</v>
      </c>
      <c r="C1709" t="s">
        <v>40</v>
      </c>
      <c r="D1709">
        <v>5.1775960000000003</v>
      </c>
      <c r="E1709">
        <v>0.42482690000000001</v>
      </c>
      <c r="F1709" t="s">
        <v>57</v>
      </c>
      <c r="G1709">
        <v>-324.63670000000002</v>
      </c>
      <c r="H1709" s="1">
        <v>1.0540589999999999E-6</v>
      </c>
      <c r="I1709">
        <v>281.79289999999997</v>
      </c>
      <c r="J1709">
        <v>-297.95089999999999</v>
      </c>
      <c r="K1709">
        <v>1.111164</v>
      </c>
      <c r="L1709">
        <v>285.58179999999999</v>
      </c>
      <c r="M1709">
        <v>-0.99637629999999999</v>
      </c>
      <c r="N1709">
        <v>0</v>
      </c>
      <c r="O1709">
        <v>8.3878960000000002E-2</v>
      </c>
      <c r="P1709">
        <v>-0.99814740000000002</v>
      </c>
      <c r="Q1709">
        <v>-3.108712E-3</v>
      </c>
      <c r="R1709">
        <v>6.0767300000000003E-2</v>
      </c>
      <c r="S1709">
        <v>-3.0310359999999998</v>
      </c>
      <c r="T1709">
        <v>-0.1254904</v>
      </c>
      <c r="U1709">
        <v>-0.42654419999999998</v>
      </c>
      <c r="V1709">
        <v>-2.3197349999999999E-2</v>
      </c>
      <c r="W1709">
        <v>1.0941589999999999E-2</v>
      </c>
      <c r="X1709">
        <v>0.99967099999999998</v>
      </c>
      <c r="Y1709">
        <v>-0.2216727</v>
      </c>
      <c r="Z1709">
        <v>-8.0210360000000005E-3</v>
      </c>
      <c r="AA1709">
        <v>0.97508810000000001</v>
      </c>
      <c r="AB1709">
        <v>28</v>
      </c>
      <c r="AC1709">
        <v>-26.6858</v>
      </c>
      <c r="AD1709">
        <v>-1.111162945941</v>
      </c>
      <c r="AE1709">
        <v>-3.7889000000000101</v>
      </c>
      <c r="AF1709">
        <v>-6.0039406746448201</v>
      </c>
      <c r="AG1709">
        <v>-1.111162945941</v>
      </c>
      <c r="AH1709">
        <v>26.2293213012764</v>
      </c>
      <c r="AI1709">
        <v>92.364705360490007</v>
      </c>
      <c r="AJ1709">
        <v>102.892993089879</v>
      </c>
      <c r="AK1709">
        <v>26.930638363074099</v>
      </c>
      <c r="AL1709">
        <v>89.373080544793794</v>
      </c>
      <c r="AM1709">
        <v>91.329309108054005</v>
      </c>
      <c r="AN1709">
        <v>0.99999997183987399</v>
      </c>
    </row>
    <row r="1710" spans="1:40" x14ac:dyDescent="0.3">
      <c r="A1710" t="str">
        <f>"20200111160439364"</f>
        <v>20200111160439364</v>
      </c>
      <c r="B1710" t="str">
        <f>"1578729879363036"</f>
        <v>1578729879363036</v>
      </c>
      <c r="C1710" t="s">
        <v>40</v>
      </c>
      <c r="D1710">
        <v>5.1840979999999997</v>
      </c>
      <c r="E1710">
        <v>0.42532619999999999</v>
      </c>
      <c r="F1710" t="s">
        <v>57</v>
      </c>
      <c r="G1710">
        <v>-324.6755</v>
      </c>
      <c r="H1710" s="1">
        <v>1.072351E-6</v>
      </c>
      <c r="I1710">
        <v>281.84699999999998</v>
      </c>
      <c r="J1710">
        <v>-298.10379999999998</v>
      </c>
      <c r="K1710">
        <v>1.1112200000000001</v>
      </c>
      <c r="L1710">
        <v>285.59410000000003</v>
      </c>
      <c r="M1710">
        <v>-0.9964269</v>
      </c>
      <c r="N1710">
        <v>0</v>
      </c>
      <c r="O1710">
        <v>8.3275989999999994E-2</v>
      </c>
      <c r="P1710">
        <v>-0.99813600000000002</v>
      </c>
      <c r="Q1710">
        <v>-2.87075E-3</v>
      </c>
      <c r="R1710">
        <v>6.0961059999999997E-2</v>
      </c>
      <c r="S1710">
        <v>-3.0309750000000002</v>
      </c>
      <c r="T1710">
        <v>-0.1260223</v>
      </c>
      <c r="U1710">
        <v>-0.42358400000000002</v>
      </c>
      <c r="V1710">
        <v>-2.240027E-2</v>
      </c>
      <c r="W1710">
        <v>1.117713E-2</v>
      </c>
      <c r="X1710">
        <v>0.99968659999999998</v>
      </c>
      <c r="Y1710">
        <v>-0.2201507</v>
      </c>
      <c r="Z1710">
        <v>-7.9992569999999992E-3</v>
      </c>
      <c r="AA1710">
        <v>0.97543310000000005</v>
      </c>
      <c r="AB1710">
        <v>28</v>
      </c>
      <c r="AC1710">
        <v>-26.5717</v>
      </c>
      <c r="AD1710">
        <v>-1.1112189276490001</v>
      </c>
      <c r="AE1710">
        <v>-3.7471000000000401</v>
      </c>
      <c r="AF1710">
        <v>-5.9369057664210798</v>
      </c>
      <c r="AG1710">
        <v>-1.1112189276490001</v>
      </c>
      <c r="AH1710">
        <v>26.122516570842599</v>
      </c>
      <c r="AI1710">
        <v>92.375320623253899</v>
      </c>
      <c r="AJ1710">
        <v>102.804203876541</v>
      </c>
      <c r="AK1710">
        <v>26.811705085250999</v>
      </c>
      <c r="AL1710">
        <v>89.359584288660699</v>
      </c>
      <c r="AM1710">
        <v>91.283628485242403</v>
      </c>
      <c r="AN1710">
        <v>0.99999999927533401</v>
      </c>
    </row>
    <row r="1711" spans="1:40" x14ac:dyDescent="0.3">
      <c r="A1711" t="str">
        <f>"20200111160439376"</f>
        <v>20200111160439376</v>
      </c>
      <c r="B1711" t="str">
        <f>"1578729879372796"</f>
        <v>1578729879372796</v>
      </c>
      <c r="C1711" t="s">
        <v>40</v>
      </c>
      <c r="D1711">
        <v>5.2489480000000004</v>
      </c>
      <c r="E1711">
        <v>0.4254906</v>
      </c>
      <c r="F1711" t="s">
        <v>57</v>
      </c>
      <c r="G1711">
        <v>-324.89760000000001</v>
      </c>
      <c r="H1711" s="1">
        <v>1.1886660000000001E-6</v>
      </c>
      <c r="I1711">
        <v>281.88929999999999</v>
      </c>
      <c r="J1711">
        <v>-298.25779999999997</v>
      </c>
      <c r="K1711">
        <v>1.1112759999999999</v>
      </c>
      <c r="L1711">
        <v>285.60629999999998</v>
      </c>
      <c r="M1711">
        <v>-0.99648230000000004</v>
      </c>
      <c r="N1711">
        <v>0</v>
      </c>
      <c r="O1711">
        <v>8.2610149999999993E-2</v>
      </c>
      <c r="P1711">
        <v>-0.99812380000000001</v>
      </c>
      <c r="Q1711">
        <v>-2.7339030000000002E-3</v>
      </c>
      <c r="R1711">
        <v>6.1167150000000003E-2</v>
      </c>
      <c r="S1711">
        <v>-3.0307919999999999</v>
      </c>
      <c r="T1711">
        <v>-0.1256958</v>
      </c>
      <c r="U1711">
        <v>-0.41906739999999998</v>
      </c>
      <c r="V1711">
        <v>-2.152741E-2</v>
      </c>
      <c r="W1711">
        <v>1.1312539999999999E-2</v>
      </c>
      <c r="X1711">
        <v>0.99970420000000004</v>
      </c>
      <c r="Y1711">
        <v>-0.218084</v>
      </c>
      <c r="Z1711">
        <v>-7.9096689999999994E-3</v>
      </c>
      <c r="AA1711">
        <v>0.97589800000000004</v>
      </c>
      <c r="AB1711">
        <v>28</v>
      </c>
      <c r="AC1711">
        <v>-26.639800000000001</v>
      </c>
      <c r="AD1711">
        <v>-1.1112748113340001</v>
      </c>
      <c r="AE1711">
        <v>-3.7169999999999801</v>
      </c>
      <c r="AF1711">
        <v>-5.8951665249318799</v>
      </c>
      <c r="AG1711">
        <v>-1.1112748113340001</v>
      </c>
      <c r="AH1711">
        <v>26.196917578489899</v>
      </c>
      <c r="AI1711">
        <v>92.369841120955599</v>
      </c>
      <c r="AJ1711">
        <v>102.682173913542</v>
      </c>
      <c r="AK1711">
        <v>26.8750146172458</v>
      </c>
      <c r="AL1711">
        <v>89.351825341548107</v>
      </c>
      <c r="AM1711">
        <v>91.233604041317193</v>
      </c>
      <c r="AN1711">
        <v>0.99999994522009805</v>
      </c>
    </row>
    <row r="1712" spans="1:40" x14ac:dyDescent="0.3">
      <c r="A1712" t="str">
        <f>"20200111160439395"</f>
        <v>20200111160439395</v>
      </c>
      <c r="B1712" t="str">
        <f>"1578729879392316"</f>
        <v>1578729879392316</v>
      </c>
      <c r="C1712" t="s">
        <v>40</v>
      </c>
      <c r="D1712">
        <v>5.1687110000000001</v>
      </c>
      <c r="E1712">
        <v>0.42589880000000002</v>
      </c>
      <c r="F1712" t="s">
        <v>57</v>
      </c>
      <c r="G1712">
        <v>-325.2165</v>
      </c>
      <c r="H1712" s="1">
        <v>1.3580879999999901E-6</v>
      </c>
      <c r="I1712">
        <v>281.89589999999998</v>
      </c>
      <c r="J1712">
        <v>-298.46949999999998</v>
      </c>
      <c r="K1712">
        <v>1.1113470000000001</v>
      </c>
      <c r="L1712">
        <v>285.62279999999998</v>
      </c>
      <c r="M1712">
        <v>-0.99656149999999999</v>
      </c>
      <c r="N1712">
        <v>0</v>
      </c>
      <c r="O1712">
        <v>8.1649330000000006E-2</v>
      </c>
      <c r="P1712">
        <v>-0.9980639</v>
      </c>
      <c r="Q1712">
        <v>-2.1238849999999998E-3</v>
      </c>
      <c r="R1712">
        <v>6.2160670000000001E-2</v>
      </c>
      <c r="S1712">
        <v>-3.0308839999999999</v>
      </c>
      <c r="T1712">
        <v>-0.1249372</v>
      </c>
      <c r="U1712">
        <v>-0.41714479999999998</v>
      </c>
      <c r="V1712">
        <v>-1.9572300000000001E-2</v>
      </c>
      <c r="W1712">
        <v>1.192238E-2</v>
      </c>
      <c r="X1712">
        <v>0.9997374</v>
      </c>
      <c r="Y1712">
        <v>-0.21653649999999999</v>
      </c>
      <c r="Z1712">
        <v>-7.7908999999999904E-3</v>
      </c>
      <c r="AA1712">
        <v>0.97624339999999998</v>
      </c>
      <c r="AB1712">
        <v>28</v>
      </c>
      <c r="AC1712">
        <v>-26.747</v>
      </c>
      <c r="AD1712">
        <v>-1.11134564191199</v>
      </c>
      <c r="AE1712">
        <v>-3.7269000000000001</v>
      </c>
      <c r="AF1712">
        <v>-5.8885727628705</v>
      </c>
      <c r="AG1712">
        <v>-1.11134564191199</v>
      </c>
      <c r="AH1712">
        <v>26.308792941824102</v>
      </c>
      <c r="AI1712">
        <v>92.360533562364793</v>
      </c>
      <c r="AJ1712">
        <v>102.616303722661</v>
      </c>
      <c r="AK1712">
        <v>26.982641908738099</v>
      </c>
      <c r="AL1712">
        <v>89.316881789895405</v>
      </c>
      <c r="AM1712">
        <v>91.121561470400295</v>
      </c>
      <c r="AN1712">
        <v>1.0000000435154499</v>
      </c>
    </row>
    <row r="1713" spans="1:40" x14ac:dyDescent="0.3">
      <c r="A1713" t="str">
        <f>"20200111160439406"</f>
        <v>20200111160439406</v>
      </c>
      <c r="B1713" t="str">
        <f>"1578729879403053"</f>
        <v>1578729879403053</v>
      </c>
      <c r="C1713" t="s">
        <v>40</v>
      </c>
      <c r="D1713">
        <v>5.2174690000000004</v>
      </c>
      <c r="E1713">
        <v>0.42605189999999998</v>
      </c>
      <c r="F1713" t="s">
        <v>57</v>
      </c>
      <c r="G1713">
        <v>-325.7484</v>
      </c>
      <c r="H1713" s="1">
        <v>1.639808E-6</v>
      </c>
      <c r="I1713">
        <v>281.92660000000001</v>
      </c>
      <c r="J1713">
        <v>-298.61520000000002</v>
      </c>
      <c r="K1713">
        <v>1.1113930000000001</v>
      </c>
      <c r="L1713">
        <v>285.63409999999999</v>
      </c>
      <c r="M1713">
        <v>-0.996618</v>
      </c>
      <c r="N1713">
        <v>0</v>
      </c>
      <c r="O1713">
        <v>8.0958870000000002E-2</v>
      </c>
      <c r="P1713">
        <v>-0.99806260000000002</v>
      </c>
      <c r="Q1713">
        <v>-1.6403609999999999E-3</v>
      </c>
      <c r="R1713">
        <v>6.2200230000000002E-2</v>
      </c>
      <c r="S1713">
        <v>-3.0311279999999998</v>
      </c>
      <c r="T1713">
        <v>-0.1234883</v>
      </c>
      <c r="U1713">
        <v>-0.4107056</v>
      </c>
      <c r="V1713">
        <v>-1.8841859999999998E-2</v>
      </c>
      <c r="W1713">
        <v>1.24049E-2</v>
      </c>
      <c r="X1713">
        <v>0.99974549999999995</v>
      </c>
      <c r="Y1713">
        <v>-0.21382119999999999</v>
      </c>
      <c r="Z1713">
        <v>-7.6180040000000003E-3</v>
      </c>
      <c r="AA1713">
        <v>0.97684309999999996</v>
      </c>
      <c r="AB1713">
        <v>28</v>
      </c>
      <c r="AC1713">
        <v>-27.133199999999899</v>
      </c>
      <c r="AD1713">
        <v>-1.111391360192</v>
      </c>
      <c r="AE1713">
        <v>-3.70749999999998</v>
      </c>
      <c r="AF1713">
        <v>-5.88252983425848</v>
      </c>
      <c r="AG1713">
        <v>-1.111391360192</v>
      </c>
      <c r="AH1713">
        <v>26.699955983016</v>
      </c>
      <c r="AI1713">
        <v>92.327809226619294</v>
      </c>
      <c r="AJ1713">
        <v>102.424896428305</v>
      </c>
      <c r="AK1713">
        <v>27.362876265141502</v>
      </c>
      <c r="AL1713">
        <v>89.289233341440806</v>
      </c>
      <c r="AM1713">
        <v>91.0797060500811</v>
      </c>
      <c r="AN1713">
        <v>0.99999998100125898</v>
      </c>
    </row>
    <row r="1714" spans="1:40" x14ac:dyDescent="0.3">
      <c r="A1714" t="str">
        <f>"20200111160439418"</f>
        <v>20200111160439418</v>
      </c>
      <c r="B1714" t="str">
        <f>"1578729879412812"</f>
        <v>1578729879412812</v>
      </c>
      <c r="C1714" t="s">
        <v>40</v>
      </c>
      <c r="D1714">
        <v>5.1532939999999998</v>
      </c>
      <c r="E1714">
        <v>0.42620570000000002</v>
      </c>
      <c r="F1714" t="s">
        <v>57</v>
      </c>
      <c r="G1714">
        <v>-326.22120000000001</v>
      </c>
      <c r="H1714" s="1">
        <v>1.8923160000000001E-6</v>
      </c>
      <c r="I1714">
        <v>281.9058</v>
      </c>
      <c r="J1714">
        <v>-298.77229999999997</v>
      </c>
      <c r="K1714">
        <v>1.111437</v>
      </c>
      <c r="L1714">
        <v>285.64609999999999</v>
      </c>
      <c r="M1714">
        <v>-0.99668120000000004</v>
      </c>
      <c r="N1714">
        <v>0</v>
      </c>
      <c r="O1714">
        <v>8.0177990000000005E-2</v>
      </c>
      <c r="P1714">
        <v>-0.99803770000000003</v>
      </c>
      <c r="Q1714">
        <v>-1.559958E-3</v>
      </c>
      <c r="R1714">
        <v>6.259903E-2</v>
      </c>
      <c r="S1714">
        <v>-3.0311279999999998</v>
      </c>
      <c r="T1714">
        <v>-0.122030399999999</v>
      </c>
      <c r="U1714">
        <v>-0.40936280000000003</v>
      </c>
      <c r="V1714">
        <v>-1.7660530000000001E-2</v>
      </c>
      <c r="W1714">
        <v>1.248548E-2</v>
      </c>
      <c r="X1714">
        <v>0.99976609999999999</v>
      </c>
      <c r="Y1714">
        <v>-0.21263799999999999</v>
      </c>
      <c r="Z1714">
        <v>-7.4733469999999896E-3</v>
      </c>
      <c r="AA1714">
        <v>0.97710249999999998</v>
      </c>
      <c r="AB1714">
        <v>28</v>
      </c>
      <c r="AC1714">
        <v>-27.448899999999998</v>
      </c>
      <c r="AD1714">
        <v>-1.1114351076839999</v>
      </c>
      <c r="AE1714">
        <v>-3.7402999999999902</v>
      </c>
      <c r="AF1714">
        <v>-5.9197429268775696</v>
      </c>
      <c r="AG1714">
        <v>-1.1114351076839999</v>
      </c>
      <c r="AH1714">
        <v>27.017105235521601</v>
      </c>
      <c r="AI1714">
        <v>92.301185838396407</v>
      </c>
      <c r="AJ1714">
        <v>102.358820929424</v>
      </c>
      <c r="AK1714">
        <v>27.680365236502201</v>
      </c>
      <c r="AL1714">
        <v>89.284616116414</v>
      </c>
      <c r="AM1714">
        <v>91.012005312244199</v>
      </c>
      <c r="AN1714">
        <v>1.00000001811996</v>
      </c>
    </row>
    <row r="1715" spans="1:40" x14ac:dyDescent="0.3">
      <c r="A1715" t="str">
        <f>"20200111160439431"</f>
        <v>20200111160439431</v>
      </c>
      <c r="B1715" t="str">
        <f>"1578729879422573"</f>
        <v>1578729879422573</v>
      </c>
      <c r="C1715" t="s">
        <v>40</v>
      </c>
      <c r="D1715">
        <v>5.1743329999999998</v>
      </c>
      <c r="E1715">
        <v>0.42635319999999999</v>
      </c>
      <c r="F1715" t="s">
        <v>57</v>
      </c>
      <c r="G1715">
        <v>-326.38729999999998</v>
      </c>
      <c r="H1715" s="1">
        <v>1.979177E-6</v>
      </c>
      <c r="I1715">
        <v>281.94</v>
      </c>
      <c r="J1715">
        <v>-298.92689999999999</v>
      </c>
      <c r="K1715">
        <v>1.1114729999999999</v>
      </c>
      <c r="L1715">
        <v>285.65769999999998</v>
      </c>
      <c r="M1715">
        <v>-0.99674439999999997</v>
      </c>
      <c r="N1715">
        <v>0</v>
      </c>
      <c r="O1715">
        <v>7.9386849999999995E-2</v>
      </c>
      <c r="P1715">
        <v>-0.99805759999999999</v>
      </c>
      <c r="Q1715">
        <v>-1.227356E-3</v>
      </c>
      <c r="R1715">
        <v>6.2286679999999997E-2</v>
      </c>
      <c r="S1715">
        <v>-3.0312190000000001</v>
      </c>
      <c r="T1715">
        <v>-0.1219993</v>
      </c>
      <c r="U1715">
        <v>-0.40679929999999997</v>
      </c>
      <c r="V1715">
        <v>-1.7181350000000001E-2</v>
      </c>
      <c r="W1715">
        <v>1.281733E-2</v>
      </c>
      <c r="X1715">
        <v>0.99977020000000005</v>
      </c>
      <c r="Y1715">
        <v>-0.2110486</v>
      </c>
      <c r="Z1715">
        <v>-7.4080859999999899E-3</v>
      </c>
      <c r="AA1715">
        <v>0.97744750000000002</v>
      </c>
      <c r="AB1715">
        <v>28</v>
      </c>
      <c r="AC1715">
        <v>-27.4604</v>
      </c>
      <c r="AD1715">
        <v>-1.1114710208230001</v>
      </c>
      <c r="AE1715">
        <v>-3.71769999999997</v>
      </c>
      <c r="AF1715">
        <v>-5.8767207361396796</v>
      </c>
      <c r="AG1715">
        <v>-1.1114710208230001</v>
      </c>
      <c r="AH1715">
        <v>27.0350555518474</v>
      </c>
      <c r="AI1715">
        <v>92.300565139981899</v>
      </c>
      <c r="AJ1715">
        <v>102.263832201771</v>
      </c>
      <c r="AK1715">
        <v>27.688724115281701</v>
      </c>
      <c r="AL1715">
        <v>89.265600953439503</v>
      </c>
      <c r="AM1715">
        <v>90.984548196730401</v>
      </c>
      <c r="AN1715">
        <v>0.99999996777209499</v>
      </c>
    </row>
    <row r="1716" spans="1:40" x14ac:dyDescent="0.3">
      <c r="A1716" t="str">
        <f>"20200111160439445"</f>
        <v>20200111160439445</v>
      </c>
      <c r="B1716" t="str">
        <f>"1578729879443068"</f>
        <v>1578729879443068</v>
      </c>
      <c r="C1716" t="s">
        <v>40</v>
      </c>
      <c r="D1716">
        <v>5.3288469999999997</v>
      </c>
      <c r="E1716">
        <v>0.42663499999999999</v>
      </c>
      <c r="F1716" t="s">
        <v>57</v>
      </c>
      <c r="G1716">
        <v>-326.87150000000003</v>
      </c>
      <c r="H1716" s="1">
        <v>2.2381300000000002E-6</v>
      </c>
      <c r="I1716">
        <v>281.91120000000001</v>
      </c>
      <c r="J1716">
        <v>-299.08980000000003</v>
      </c>
      <c r="K1716">
        <v>1.1115060000000001</v>
      </c>
      <c r="L1716">
        <v>285.66980000000001</v>
      </c>
      <c r="M1716">
        <v>-0.99681169999999997</v>
      </c>
      <c r="N1716">
        <v>0</v>
      </c>
      <c r="O1716">
        <v>7.8536700000000001E-2</v>
      </c>
      <c r="P1716">
        <v>-0.99807509999999999</v>
      </c>
      <c r="Q1716">
        <v>-1.1178799999999999E-3</v>
      </c>
      <c r="R1716">
        <v>6.2010309999999999E-2</v>
      </c>
      <c r="S1716">
        <v>-3.0310969999999999</v>
      </c>
      <c r="T1716">
        <v>-0.1205591</v>
      </c>
      <c r="U1716">
        <v>-0.40637210000000001</v>
      </c>
      <c r="V1716">
        <v>-1.660735E-2</v>
      </c>
      <c r="W1716">
        <v>1.292604E-2</v>
      </c>
      <c r="X1716">
        <v>0.99977850000000001</v>
      </c>
      <c r="Y1716">
        <v>-0.21009149999999999</v>
      </c>
      <c r="Z1716">
        <v>-7.2684539999999997E-3</v>
      </c>
      <c r="AA1716">
        <v>0.97765469999999999</v>
      </c>
      <c r="AB1716">
        <v>28</v>
      </c>
      <c r="AC1716">
        <v>-27.781700000000001</v>
      </c>
      <c r="AD1716">
        <v>-1.1115037618700001</v>
      </c>
      <c r="AE1716">
        <v>-3.7585999999999999</v>
      </c>
      <c r="AF1716">
        <v>-5.9197824018805703</v>
      </c>
      <c r="AG1716">
        <v>-1.1115037618700001</v>
      </c>
      <c r="AH1716">
        <v>27.357650442749499</v>
      </c>
      <c r="AI1716">
        <v>92.273998362168797</v>
      </c>
      <c r="AJ1716">
        <v>102.20970151960999</v>
      </c>
      <c r="AK1716">
        <v>28.012859583518701</v>
      </c>
      <c r="AL1716">
        <v>89.259371813038399</v>
      </c>
      <c r="AM1716">
        <v>90.951654352341194</v>
      </c>
      <c r="AN1716">
        <v>0.99999996782317602</v>
      </c>
    </row>
    <row r="1717" spans="1:40" x14ac:dyDescent="0.3">
      <c r="A1717" t="str">
        <f>"20200111160439461"</f>
        <v>20200111160439461</v>
      </c>
      <c r="B1717" t="str">
        <f>"1578729879452828"</f>
        <v>1578729879452828</v>
      </c>
      <c r="C1717" t="s">
        <v>40</v>
      </c>
      <c r="D1717">
        <v>5.216825</v>
      </c>
      <c r="E1717">
        <v>0.42680499999999999</v>
      </c>
      <c r="F1717" t="s">
        <v>57</v>
      </c>
      <c r="G1717">
        <v>-327.24209999999999</v>
      </c>
      <c r="H1717" s="1">
        <v>2.4355019999999999E-6</v>
      </c>
      <c r="I1717">
        <v>281.90789999999998</v>
      </c>
      <c r="J1717">
        <v>-299.3021</v>
      </c>
      <c r="K1717">
        <v>1.1115349999999999</v>
      </c>
      <c r="L1717">
        <v>285.68529999999998</v>
      </c>
      <c r="M1717">
        <v>-0.99690100000000004</v>
      </c>
      <c r="N1717">
        <v>0</v>
      </c>
      <c r="O1717">
        <v>7.7397069999999998E-2</v>
      </c>
      <c r="P1717">
        <v>-0.99815600000000004</v>
      </c>
      <c r="Q1717">
        <v>-7.6586009999999997E-4</v>
      </c>
      <c r="R1717">
        <v>6.069985E-2</v>
      </c>
      <c r="S1717">
        <v>-3.030853</v>
      </c>
      <c r="T1717">
        <v>-0.1196633</v>
      </c>
      <c r="U1717">
        <v>-0.40499879999999999</v>
      </c>
      <c r="V1717">
        <v>-1.6778890000000001E-2</v>
      </c>
      <c r="W1717">
        <v>1.3275540000000001E-2</v>
      </c>
      <c r="X1717">
        <v>0.99977110000000002</v>
      </c>
      <c r="Y1717">
        <v>-0.2085542</v>
      </c>
      <c r="Z1717">
        <v>-7.1402669999999996E-3</v>
      </c>
      <c r="AA1717">
        <v>0.97798479999999999</v>
      </c>
      <c r="AB1717">
        <v>28</v>
      </c>
      <c r="AC1717">
        <v>-27.94</v>
      </c>
      <c r="AD1717">
        <v>-1.1115325644980001</v>
      </c>
      <c r="AE1717">
        <v>-3.7774000000000001</v>
      </c>
      <c r="AF1717">
        <v>-5.9195546570286997</v>
      </c>
      <c r="AG1717">
        <v>-1.1115325644980001</v>
      </c>
      <c r="AH1717">
        <v>27.521009486006701</v>
      </c>
      <c r="AI1717">
        <v>92.261174790643395</v>
      </c>
      <c r="AJ1717">
        <v>102.13892970248</v>
      </c>
      <c r="AK1717">
        <v>28.172372905177198</v>
      </c>
      <c r="AL1717">
        <v>89.2393452521071</v>
      </c>
      <c r="AM1717">
        <v>90.961489423221593</v>
      </c>
      <c r="AN1717">
        <v>1.0000000117535599</v>
      </c>
    </row>
    <row r="1718" spans="1:40" x14ac:dyDescent="0.3">
      <c r="A1718" t="str">
        <f>"20200111160439475"</f>
        <v>20200111160439475</v>
      </c>
      <c r="B1718" t="str">
        <f>"1578729879472348"</f>
        <v>1578729879472348</v>
      </c>
      <c r="C1718" t="s">
        <v>40</v>
      </c>
      <c r="D1718">
        <v>5.2401809999999998</v>
      </c>
      <c r="E1718">
        <v>0.42702250000000003</v>
      </c>
      <c r="F1718" t="s">
        <v>57</v>
      </c>
      <c r="G1718">
        <v>-327.43619999999999</v>
      </c>
      <c r="H1718" s="1">
        <v>2.5389529999999999E-6</v>
      </c>
      <c r="I1718">
        <v>281.9033</v>
      </c>
      <c r="J1718">
        <v>-299.45519999999999</v>
      </c>
      <c r="K1718">
        <v>1.1115539999999999</v>
      </c>
      <c r="L1718">
        <v>285.69619999999998</v>
      </c>
      <c r="M1718">
        <v>-0.9969652</v>
      </c>
      <c r="N1718">
        <v>0</v>
      </c>
      <c r="O1718">
        <v>7.6563859999999997E-2</v>
      </c>
      <c r="P1718">
        <v>-0.99825790000000003</v>
      </c>
      <c r="Q1718">
        <v>-6.3524209999999998E-4</v>
      </c>
      <c r="R1718">
        <v>5.8997719999999997E-2</v>
      </c>
      <c r="S1718">
        <v>-3.030243</v>
      </c>
      <c r="T1718">
        <v>-0.1197203</v>
      </c>
      <c r="U1718">
        <v>-0.40734860000000001</v>
      </c>
      <c r="V1718">
        <v>-1.7648879999999999E-2</v>
      </c>
      <c r="W1718">
        <v>1.340189E-2</v>
      </c>
      <c r="X1718">
        <v>0.99975440000000004</v>
      </c>
      <c r="Y1718">
        <v>-0.2085081</v>
      </c>
      <c r="Z1718">
        <v>-7.1110710000000001E-3</v>
      </c>
      <c r="AA1718">
        <v>0.97799480000000005</v>
      </c>
      <c r="AB1718">
        <v>28</v>
      </c>
      <c r="AC1718">
        <v>-27.980999999999899</v>
      </c>
      <c r="AD1718">
        <v>-1.1115514610470001</v>
      </c>
      <c r="AE1718">
        <v>-3.7928999999999702</v>
      </c>
      <c r="AF1718">
        <v>-5.9151440674538902</v>
      </c>
      <c r="AG1718">
        <v>-1.1115514610470001</v>
      </c>
      <c r="AH1718">
        <v>27.565706245404701</v>
      </c>
      <c r="AI1718">
        <v>92.257786153125295</v>
      </c>
      <c r="AJ1718">
        <v>102.11106559276</v>
      </c>
      <c r="AK1718">
        <v>28.215113623681098</v>
      </c>
      <c r="AL1718">
        <v>89.2321052596334</v>
      </c>
      <c r="AM1718">
        <v>91.0113497014827</v>
      </c>
      <c r="AN1718">
        <v>0.99999997697009302</v>
      </c>
    </row>
    <row r="1719" spans="1:40" x14ac:dyDescent="0.3">
      <c r="A1719" t="str">
        <f>"20200111160439487"</f>
        <v>20200111160439487</v>
      </c>
      <c r="B1719" t="str">
        <f>"1578729879483085"</f>
        <v>1578729879483085</v>
      </c>
      <c r="C1719" t="s">
        <v>40</v>
      </c>
      <c r="D1719">
        <v>5.3295599999999999</v>
      </c>
      <c r="E1719">
        <v>0.42708859999999899</v>
      </c>
      <c r="F1719" t="s">
        <v>57</v>
      </c>
      <c r="G1719">
        <v>-327.75549999999998</v>
      </c>
      <c r="H1719" s="1">
        <v>2.7107659999999999E-6</v>
      </c>
      <c r="I1719">
        <v>281.86040000000003</v>
      </c>
      <c r="J1719">
        <v>-299.6121</v>
      </c>
      <c r="K1719">
        <v>1.1115660000000001</v>
      </c>
      <c r="L1719">
        <v>285.70740000000001</v>
      </c>
      <c r="M1719">
        <v>-0.99703070000000005</v>
      </c>
      <c r="N1719">
        <v>0</v>
      </c>
      <c r="O1719">
        <v>7.5706519999999999E-2</v>
      </c>
      <c r="P1719">
        <v>-0.99834820000000002</v>
      </c>
      <c r="Q1719">
        <v>-5.3640269999999997E-4</v>
      </c>
      <c r="R1719">
        <v>5.7453369999999997E-2</v>
      </c>
      <c r="S1719">
        <v>-3.0294189999999999</v>
      </c>
      <c r="T1719">
        <v>-0.1189866</v>
      </c>
      <c r="U1719">
        <v>-0.41061399999999998</v>
      </c>
      <c r="V1719">
        <v>-1.833628E-2</v>
      </c>
      <c r="W1719">
        <v>1.3497240000000001E-2</v>
      </c>
      <c r="X1719">
        <v>0.99974079999999999</v>
      </c>
      <c r="Y1719">
        <v>-0.2087406</v>
      </c>
      <c r="Z1719">
        <v>-7.0399709999999999E-3</v>
      </c>
      <c r="AA1719">
        <v>0.97794570000000003</v>
      </c>
      <c r="AB1719">
        <v>28</v>
      </c>
      <c r="AC1719">
        <v>-28.1433999999999</v>
      </c>
      <c r="AD1719">
        <v>-1.1115632892339999</v>
      </c>
      <c r="AE1719">
        <v>-3.8469999999999702</v>
      </c>
      <c r="AF1719">
        <v>-5.9576843150582697</v>
      </c>
      <c r="AG1719">
        <v>-1.1115632892339999</v>
      </c>
      <c r="AH1719">
        <v>27.728881856259299</v>
      </c>
      <c r="AI1719">
        <v>92.244412390325493</v>
      </c>
      <c r="AJ1719">
        <v>102.125930032661</v>
      </c>
      <c r="AK1719">
        <v>28.3834540594031</v>
      </c>
      <c r="AL1719">
        <v>89.226641654468693</v>
      </c>
      <c r="AM1719">
        <v>91.050746029056796</v>
      </c>
      <c r="AN1719">
        <v>1.00000003091824</v>
      </c>
    </row>
    <row r="1720" spans="1:40" x14ac:dyDescent="0.3">
      <c r="A1720" t="str">
        <f>"20200111160439506"</f>
        <v>20200111160439506</v>
      </c>
      <c r="B1720" t="str">
        <f>"1578729879502605"</f>
        <v>1578729879502605</v>
      </c>
      <c r="C1720" t="s">
        <v>40</v>
      </c>
      <c r="D1720">
        <v>5.2294519999999904</v>
      </c>
      <c r="E1720">
        <v>0.42731000000000002</v>
      </c>
      <c r="F1720" t="s">
        <v>57</v>
      </c>
      <c r="G1720">
        <v>-327.98660000000001</v>
      </c>
      <c r="H1720" s="1">
        <v>2.8354739999999999E-6</v>
      </c>
      <c r="I1720">
        <v>281.82100000000003</v>
      </c>
      <c r="J1720">
        <v>-299.84649999999999</v>
      </c>
      <c r="K1720">
        <v>1.1115699999999999</v>
      </c>
      <c r="L1720">
        <v>285.72379999999998</v>
      </c>
      <c r="M1720">
        <v>-0.99712769999999995</v>
      </c>
      <c r="N1720">
        <v>0</v>
      </c>
      <c r="O1720">
        <v>7.441892E-2</v>
      </c>
      <c r="P1720">
        <v>-0.99849600000000005</v>
      </c>
      <c r="Q1720">
        <v>-1.6248429999999999E-3</v>
      </c>
      <c r="R1720">
        <v>5.4801820000000001E-2</v>
      </c>
      <c r="S1720">
        <v>-3.0288089999999999</v>
      </c>
      <c r="T1720">
        <v>-0.1186526</v>
      </c>
      <c r="U1720">
        <v>-0.414856</v>
      </c>
      <c r="V1720">
        <v>-1.9697559999999999E-2</v>
      </c>
      <c r="W1720">
        <v>1.240252E-2</v>
      </c>
      <c r="X1720">
        <v>0.99972899999999998</v>
      </c>
      <c r="Y1720">
        <v>-0.2088507</v>
      </c>
      <c r="Z1720">
        <v>-6.9729329999999997E-3</v>
      </c>
      <c r="AA1720">
        <v>0.97792270000000003</v>
      </c>
      <c r="AB1720">
        <v>28</v>
      </c>
      <c r="AC1720">
        <v>-28.1401</v>
      </c>
      <c r="AD1720">
        <v>-1.1115671645259999</v>
      </c>
      <c r="AE1720">
        <v>-3.9028000000000098</v>
      </c>
      <c r="AF1720">
        <v>-5.9771885835562202</v>
      </c>
      <c r="AG1720">
        <v>-1.1115671645259999</v>
      </c>
      <c r="AH1720">
        <v>27.729132558434301</v>
      </c>
      <c r="AI1720">
        <v>92.244076484721603</v>
      </c>
      <c r="AJ1720">
        <v>102.16434081553901</v>
      </c>
      <c r="AK1720">
        <v>28.387799445675</v>
      </c>
      <c r="AL1720">
        <v>89.289369690238502</v>
      </c>
      <c r="AM1720">
        <v>91.128746938369702</v>
      </c>
      <c r="AN1720">
        <v>0.99999994490665001</v>
      </c>
    </row>
    <row r="1721" spans="1:40" x14ac:dyDescent="0.3">
      <c r="A1721" t="str">
        <f>"20200111160439518"</f>
        <v>20200111160439518</v>
      </c>
      <c r="B1721" t="str">
        <f>"1578729879512365"</f>
        <v>1578729879512365</v>
      </c>
      <c r="C1721" t="s">
        <v>40</v>
      </c>
      <c r="D1721">
        <v>5.2677839999999998</v>
      </c>
      <c r="E1721">
        <v>0.42742330000000001</v>
      </c>
      <c r="F1721" t="s">
        <v>57</v>
      </c>
      <c r="G1721">
        <v>-327.39850000000001</v>
      </c>
      <c r="H1721" s="1">
        <v>2.519395E-6</v>
      </c>
      <c r="I1721">
        <v>281.89249999999998</v>
      </c>
      <c r="J1721">
        <v>-299.98899999999998</v>
      </c>
      <c r="K1721">
        <v>1.111567</v>
      </c>
      <c r="L1721">
        <v>285.73360000000002</v>
      </c>
      <c r="M1721">
        <v>-0.99718580000000001</v>
      </c>
      <c r="N1721">
        <v>0</v>
      </c>
      <c r="O1721">
        <v>7.3636279999999998E-2</v>
      </c>
      <c r="P1721">
        <v>-0.99856880000000003</v>
      </c>
      <c r="Q1721">
        <v>-2.2108010000000001E-3</v>
      </c>
      <c r="R1721">
        <v>5.3438760000000002E-2</v>
      </c>
      <c r="S1721">
        <v>-3.027466</v>
      </c>
      <c r="T1721">
        <v>-0.122140899999999</v>
      </c>
      <c r="U1721">
        <v>-0.42098999999999998</v>
      </c>
      <c r="V1721">
        <v>-2.0275950000000001E-2</v>
      </c>
      <c r="W1721">
        <v>1.181367E-2</v>
      </c>
      <c r="X1721">
        <v>0.99972459999999996</v>
      </c>
      <c r="Y1721">
        <v>-0.21007239999999999</v>
      </c>
      <c r="Z1721">
        <v>-7.1730780000000003E-3</v>
      </c>
      <c r="AA1721">
        <v>0.97765950000000001</v>
      </c>
      <c r="AB1721">
        <v>28</v>
      </c>
      <c r="AC1721">
        <v>-27.409499999999898</v>
      </c>
      <c r="AD1721">
        <v>-1.111564480605</v>
      </c>
      <c r="AE1721">
        <v>-3.8411000000000399</v>
      </c>
      <c r="AF1721">
        <v>-5.8397843360036701</v>
      </c>
      <c r="AG1721">
        <v>-1.111564480605</v>
      </c>
      <c r="AH1721">
        <v>27.008637009521902</v>
      </c>
      <c r="AI1721">
        <v>92.303556682681602</v>
      </c>
      <c r="AJ1721">
        <v>102.200628906341</v>
      </c>
      <c r="AK1721">
        <v>27.655110373992301</v>
      </c>
      <c r="AL1721">
        <v>89.323110807081093</v>
      </c>
      <c r="AM1721">
        <v>91.161887095187296</v>
      </c>
      <c r="AN1721">
        <v>0.99999997639621496</v>
      </c>
    </row>
    <row r="1722" spans="1:40" x14ac:dyDescent="0.3">
      <c r="A1722" t="str">
        <f>"20200111160439529"</f>
        <v>20200111160439529</v>
      </c>
      <c r="B1722" t="str">
        <f>"1578729879523102"</f>
        <v>1578729879523102</v>
      </c>
      <c r="C1722" t="s">
        <v>40</v>
      </c>
      <c r="D1722">
        <v>5.2095570000000002</v>
      </c>
      <c r="E1722">
        <v>0.42753930000000001</v>
      </c>
      <c r="F1722" t="s">
        <v>57</v>
      </c>
      <c r="G1722">
        <v>-327.05900000000003</v>
      </c>
      <c r="H1722" s="1">
        <v>2.3366370000000002E-6</v>
      </c>
      <c r="I1722">
        <v>281.94029999999998</v>
      </c>
      <c r="J1722">
        <v>-300.13490000000002</v>
      </c>
      <c r="K1722">
        <v>1.1115630000000001</v>
      </c>
      <c r="L1722">
        <v>285.74349999999998</v>
      </c>
      <c r="M1722">
        <v>-0.99724460000000004</v>
      </c>
      <c r="N1722">
        <v>0</v>
      </c>
      <c r="O1722">
        <v>7.2836849999999995E-2</v>
      </c>
      <c r="P1722">
        <v>-0.99863570000000002</v>
      </c>
      <c r="Q1722">
        <v>-3.0406270000000002E-3</v>
      </c>
      <c r="R1722">
        <v>5.2133499999999999E-2</v>
      </c>
      <c r="S1722">
        <v>-3.0267330000000001</v>
      </c>
      <c r="T1722">
        <v>-0.1242856</v>
      </c>
      <c r="U1722">
        <v>-0.42413329999999999</v>
      </c>
      <c r="V1722">
        <v>-2.077907E-2</v>
      </c>
      <c r="W1722">
        <v>1.098116E-2</v>
      </c>
      <c r="X1722">
        <v>0.99972380000000005</v>
      </c>
      <c r="Y1722">
        <v>-0.2103092</v>
      </c>
      <c r="Z1722">
        <v>-7.2723459999999998E-3</v>
      </c>
      <c r="AA1722">
        <v>0.97760780000000003</v>
      </c>
      <c r="AB1722">
        <v>28</v>
      </c>
      <c r="AC1722">
        <v>-26.924099999999999</v>
      </c>
      <c r="AD1722">
        <v>-1.11156066336299</v>
      </c>
      <c r="AE1722">
        <v>-3.8031999999999999</v>
      </c>
      <c r="AF1722">
        <v>-5.7447569186017198</v>
      </c>
      <c r="AG1722">
        <v>-1.11156066336299</v>
      </c>
      <c r="AH1722">
        <v>26.5311949465572</v>
      </c>
      <c r="AI1722">
        <v>92.344806702423995</v>
      </c>
      <c r="AJ1722">
        <v>102.217555021786</v>
      </c>
      <c r="AK1722">
        <v>27.1687707571465</v>
      </c>
      <c r="AL1722">
        <v>89.370813242276697</v>
      </c>
      <c r="AM1722">
        <v>91.1907104889181</v>
      </c>
      <c r="AN1722">
        <v>1.0000000159557201</v>
      </c>
    </row>
    <row r="1723" spans="1:40" x14ac:dyDescent="0.3">
      <c r="A1723" t="str">
        <f>"20200111160439542"</f>
        <v>20200111160439542</v>
      </c>
      <c r="B1723" t="str">
        <f>"1578729879532860"</f>
        <v>1578729879532860</v>
      </c>
      <c r="C1723" t="s">
        <v>40</v>
      </c>
      <c r="D1723">
        <v>5.2276610000000003</v>
      </c>
      <c r="E1723">
        <v>0.42767889999999997</v>
      </c>
      <c r="F1723" t="s">
        <v>57</v>
      </c>
      <c r="G1723">
        <v>-326.61239999999998</v>
      </c>
      <c r="H1723" s="1">
        <v>2.0960820000000001E-6</v>
      </c>
      <c r="I1723">
        <v>282.00619999999998</v>
      </c>
      <c r="J1723">
        <v>-300.28840000000002</v>
      </c>
      <c r="K1723">
        <v>1.1115630000000001</v>
      </c>
      <c r="L1723">
        <v>285.75389999999999</v>
      </c>
      <c r="M1723">
        <v>-0.99730549999999996</v>
      </c>
      <c r="N1723">
        <v>0</v>
      </c>
      <c r="O1723">
        <v>7.1998179999999995E-2</v>
      </c>
      <c r="P1723">
        <v>-0.99869359999999996</v>
      </c>
      <c r="Q1723">
        <v>-4.4125340000000001E-3</v>
      </c>
      <c r="R1723">
        <v>5.0909950000000002E-2</v>
      </c>
      <c r="S1723">
        <v>-3.02597</v>
      </c>
      <c r="T1723">
        <v>-0.1270347</v>
      </c>
      <c r="U1723">
        <v>-0.427124</v>
      </c>
      <c r="V1723">
        <v>-2.115883E-2</v>
      </c>
      <c r="W1723">
        <v>9.6069940000000006E-3</v>
      </c>
      <c r="X1723">
        <v>0.99973000000000001</v>
      </c>
      <c r="Y1723">
        <v>-0.21045849999999999</v>
      </c>
      <c r="Z1723">
        <v>-7.4025139999999998E-3</v>
      </c>
      <c r="AA1723">
        <v>0.97757479999999997</v>
      </c>
      <c r="AB1723">
        <v>28</v>
      </c>
      <c r="AC1723">
        <v>-26.323999999999899</v>
      </c>
      <c r="AD1723">
        <v>-1.1115609039180001</v>
      </c>
      <c r="AE1723">
        <v>-3.7477</v>
      </c>
      <c r="AF1723">
        <v>-5.6236116924612602</v>
      </c>
      <c r="AG1723">
        <v>-1.1115609039180001</v>
      </c>
      <c r="AH1723">
        <v>25.940480920761601</v>
      </c>
      <c r="AI1723">
        <v>92.398012079628103</v>
      </c>
      <c r="AJ1723">
        <v>102.231819034857</v>
      </c>
      <c r="AK1723">
        <v>26.566315636743902</v>
      </c>
      <c r="AL1723">
        <v>89.449551339983302</v>
      </c>
      <c r="AM1723">
        <v>91.212458057281694</v>
      </c>
      <c r="AN1723">
        <v>1.0000000316603399</v>
      </c>
    </row>
    <row r="1724" spans="1:40" x14ac:dyDescent="0.3">
      <c r="A1724" t="str">
        <f>"20200111160439554"</f>
        <v>20200111160439554</v>
      </c>
      <c r="B1724" t="str">
        <f>"1578729879552380"</f>
        <v>1578729879552380</v>
      </c>
      <c r="C1724" t="s">
        <v>40</v>
      </c>
      <c r="D1724">
        <v>5.3122220000000002</v>
      </c>
      <c r="E1724">
        <v>0.42785459999999897</v>
      </c>
      <c r="F1724" t="s">
        <v>57</v>
      </c>
      <c r="G1724">
        <v>-325.86160000000001</v>
      </c>
      <c r="H1724" s="1">
        <v>1.6915640000000001E-6</v>
      </c>
      <c r="I1724">
        <v>282.11989999999997</v>
      </c>
      <c r="J1724">
        <v>-300.43430000000001</v>
      </c>
      <c r="K1724">
        <v>1.1115549999999901</v>
      </c>
      <c r="L1724">
        <v>285.76350000000002</v>
      </c>
      <c r="M1724">
        <v>-0.99736219999999998</v>
      </c>
      <c r="N1724">
        <v>0</v>
      </c>
      <c r="O1724">
        <v>7.1206909999999998E-2</v>
      </c>
      <c r="P1724">
        <v>-0.99875270000000005</v>
      </c>
      <c r="Q1724">
        <v>-5.1514789999999996E-3</v>
      </c>
      <c r="R1724">
        <v>4.966541E-2</v>
      </c>
      <c r="S1724">
        <v>-3.025299</v>
      </c>
      <c r="T1724">
        <v>-0.13149729999999901</v>
      </c>
      <c r="U1724">
        <v>-0.42990109999999898</v>
      </c>
      <c r="V1724">
        <v>-2.160946E-2</v>
      </c>
      <c r="W1724">
        <v>8.8655439999999995E-3</v>
      </c>
      <c r="X1724">
        <v>0.99972720000000004</v>
      </c>
      <c r="Y1724">
        <v>-0.2105757</v>
      </c>
      <c r="Z1724">
        <v>-7.63184E-3</v>
      </c>
      <c r="AA1724">
        <v>0.97754779999999997</v>
      </c>
      <c r="AB1724">
        <v>28</v>
      </c>
      <c r="AC1724">
        <v>-25.427299999999999</v>
      </c>
      <c r="AD1724">
        <v>-1.1115533084360001</v>
      </c>
      <c r="AE1724">
        <v>-3.6436000000000401</v>
      </c>
      <c r="AF1724">
        <v>-5.4349508580852701</v>
      </c>
      <c r="AG1724">
        <v>-1.1115533084360001</v>
      </c>
      <c r="AH1724">
        <v>25.0563472497311</v>
      </c>
      <c r="AI1724">
        <v>92.482445210995294</v>
      </c>
      <c r="AJ1724">
        <v>102.238392039042</v>
      </c>
      <c r="AK1724">
        <v>25.6631015094903</v>
      </c>
      <c r="AL1724">
        <v>89.492035101830893</v>
      </c>
      <c r="AM1724">
        <v>91.238275883252598</v>
      </c>
      <c r="AN1724">
        <v>1.0000000205258699</v>
      </c>
    </row>
    <row r="1725" spans="1:40" x14ac:dyDescent="0.3">
      <c r="A1725" t="str">
        <f>"20200111160439567"</f>
        <v>20200111160439567</v>
      </c>
      <c r="B1725" t="str">
        <f>"1578729879562142"</f>
        <v>1578729879562142</v>
      </c>
      <c r="C1725" t="s">
        <v>40</v>
      </c>
      <c r="D1725">
        <v>5.2572070000000002</v>
      </c>
      <c r="E1725">
        <v>0.42800270000000001</v>
      </c>
      <c r="F1725" t="s">
        <v>57</v>
      </c>
      <c r="G1725">
        <v>-325.58730000000003</v>
      </c>
      <c r="H1725" s="1">
        <v>1.543419E-6</v>
      </c>
      <c r="I1725">
        <v>282.17079999999999</v>
      </c>
      <c r="J1725">
        <v>-300.5915</v>
      </c>
      <c r="K1725">
        <v>1.1115459999999999</v>
      </c>
      <c r="L1725">
        <v>285.77390000000003</v>
      </c>
      <c r="M1725">
        <v>-0.99742260000000005</v>
      </c>
      <c r="N1725">
        <v>0</v>
      </c>
      <c r="O1725">
        <v>7.0357320000000001E-2</v>
      </c>
      <c r="P1725">
        <v>-0.99881089999999995</v>
      </c>
      <c r="Q1725">
        <v>-5.6223050000000002E-3</v>
      </c>
      <c r="R1725">
        <v>4.8428619999999999E-2</v>
      </c>
      <c r="S1725">
        <v>-3.0245359999999999</v>
      </c>
      <c r="T1725">
        <v>-0.1336589</v>
      </c>
      <c r="U1725">
        <v>-0.43200680000000002</v>
      </c>
      <c r="V1725">
        <v>-2.199425E-2</v>
      </c>
      <c r="W1725">
        <v>8.3920599999999998E-3</v>
      </c>
      <c r="X1725">
        <v>0.99972289999999997</v>
      </c>
      <c r="Y1725">
        <v>-0.2104367</v>
      </c>
      <c r="Z1725">
        <v>-7.7183340000000003E-3</v>
      </c>
      <c r="AA1725">
        <v>0.97757700000000003</v>
      </c>
      <c r="AB1725">
        <v>27</v>
      </c>
      <c r="AC1725">
        <v>-24.995799999999999</v>
      </c>
      <c r="AD1725">
        <v>-1.111544456581</v>
      </c>
      <c r="AE1725">
        <v>-3.6031000000000399</v>
      </c>
      <c r="AF1725">
        <v>-5.3426307860132702</v>
      </c>
      <c r="AG1725">
        <v>-1.111544456581</v>
      </c>
      <c r="AH1725">
        <v>24.632595143623401</v>
      </c>
      <c r="AI1725">
        <v>92.525084155490404</v>
      </c>
      <c r="AJ1725">
        <v>102.23749374129</v>
      </c>
      <c r="AK1725">
        <v>25.229823192093001</v>
      </c>
      <c r="AL1725">
        <v>89.519164748667606</v>
      </c>
      <c r="AM1725">
        <v>91.2603236782018</v>
      </c>
      <c r="AN1725">
        <v>1.00000002524425</v>
      </c>
    </row>
    <row r="1726" spans="1:40" x14ac:dyDescent="0.3">
      <c r="A1726" t="str">
        <f>"20200111160439584"</f>
        <v>20200111160439584</v>
      </c>
      <c r="B1726" t="str">
        <f>"1578729879572876"</f>
        <v>1578729879572876</v>
      </c>
      <c r="C1726" t="s">
        <v>40</v>
      </c>
      <c r="D1726">
        <v>5.2506769999999996</v>
      </c>
      <c r="E1726">
        <v>0.42814390000000002</v>
      </c>
      <c r="F1726" t="s">
        <v>57</v>
      </c>
      <c r="G1726">
        <v>-325.39210000000003</v>
      </c>
      <c r="H1726" s="1">
        <v>1.437785E-6</v>
      </c>
      <c r="I1726">
        <v>282.21039999999999</v>
      </c>
      <c r="J1726">
        <v>-300.79950000000002</v>
      </c>
      <c r="K1726">
        <v>1.1115379999999999</v>
      </c>
      <c r="L1726">
        <v>285.78730000000002</v>
      </c>
      <c r="M1726">
        <v>-0.99750070000000002</v>
      </c>
      <c r="N1726">
        <v>0</v>
      </c>
      <c r="O1726">
        <v>6.9242339999999999E-2</v>
      </c>
      <c r="P1726">
        <v>-0.99891110000000005</v>
      </c>
      <c r="Q1726">
        <v>-6.1058500000000003E-3</v>
      </c>
      <c r="R1726">
        <v>4.6255030000000003E-2</v>
      </c>
      <c r="S1726">
        <v>-3.0238339999999999</v>
      </c>
      <c r="T1726">
        <v>-0.135525799999999</v>
      </c>
      <c r="U1726">
        <v>-0.4344788</v>
      </c>
      <c r="V1726">
        <v>-2.3050709999999999E-2</v>
      </c>
      <c r="W1726">
        <v>7.9042729999999999E-3</v>
      </c>
      <c r="X1726">
        <v>0.99970300000000001</v>
      </c>
      <c r="Y1726">
        <v>-0.21015249999999999</v>
      </c>
      <c r="Z1726">
        <v>-7.771343E-3</v>
      </c>
      <c r="AA1726">
        <v>0.97763770000000005</v>
      </c>
      <c r="AB1726">
        <v>27</v>
      </c>
      <c r="AC1726">
        <v>-24.592600000000001</v>
      </c>
      <c r="AD1726">
        <v>-1.111536562215</v>
      </c>
      <c r="AE1726">
        <v>-3.5769000000000202</v>
      </c>
      <c r="AF1726">
        <v>-5.2608064707725397</v>
      </c>
      <c r="AG1726">
        <v>-1.111536562215</v>
      </c>
      <c r="AH1726">
        <v>24.2373775796781</v>
      </c>
      <c r="AI1726">
        <v>92.566100325001997</v>
      </c>
      <c r="AJ1726">
        <v>102.246288451776</v>
      </c>
      <c r="AK1726">
        <v>24.826640332351602</v>
      </c>
      <c r="AL1726">
        <v>89.547113778604</v>
      </c>
      <c r="AM1726">
        <v>91.320866717853505</v>
      </c>
      <c r="AN1726">
        <v>0.99999995048608004</v>
      </c>
    </row>
    <row r="1727" spans="1:40" x14ac:dyDescent="0.3">
      <c r="A1727" t="str">
        <f>"20200111160439598"</f>
        <v>20200111160439598</v>
      </c>
      <c r="B1727" t="str">
        <f>"1578729879592396"</f>
        <v>1578729879592396</v>
      </c>
      <c r="C1727" t="s">
        <v>40</v>
      </c>
      <c r="D1727">
        <v>5.3055620000000001</v>
      </c>
      <c r="E1727">
        <v>0.42849609999999999</v>
      </c>
      <c r="F1727" t="s">
        <v>57</v>
      </c>
      <c r="G1727">
        <v>-325.32459999999998</v>
      </c>
      <c r="H1727" s="1">
        <v>1.4015930000000001E-6</v>
      </c>
      <c r="I1727">
        <v>282.21640000000002</v>
      </c>
      <c r="J1727">
        <v>-300.96010000000001</v>
      </c>
      <c r="K1727">
        <v>1.1115299999999999</v>
      </c>
      <c r="L1727">
        <v>285.79750000000001</v>
      </c>
      <c r="M1727">
        <v>-0.99755939999999999</v>
      </c>
      <c r="N1727">
        <v>0</v>
      </c>
      <c r="O1727">
        <v>6.8391759999999996E-2</v>
      </c>
      <c r="P1727">
        <v>-0.99896070000000003</v>
      </c>
      <c r="Q1727">
        <v>-5.7294219999999996E-3</v>
      </c>
      <c r="R1727">
        <v>4.5220200000000002E-2</v>
      </c>
      <c r="S1727">
        <v>-3.0227970000000002</v>
      </c>
      <c r="T1727">
        <v>-0.1370005</v>
      </c>
      <c r="U1727">
        <v>-0.44012449999999997</v>
      </c>
      <c r="V1727">
        <v>-2.3234649999999999E-2</v>
      </c>
      <c r="W1727">
        <v>8.2785769999999901E-3</v>
      </c>
      <c r="X1727">
        <v>0.99969580000000002</v>
      </c>
      <c r="Y1727">
        <v>-0.21114830000000001</v>
      </c>
      <c r="Z1727">
        <v>-7.8415680000000001E-3</v>
      </c>
      <c r="AA1727">
        <v>0.97742260000000003</v>
      </c>
      <c r="AB1727">
        <v>27</v>
      </c>
      <c r="AC1727">
        <v>-24.3644999999999</v>
      </c>
      <c r="AD1727">
        <v>-1.11152859840699</v>
      </c>
      <c r="AE1727">
        <v>-3.58109999999999</v>
      </c>
      <c r="AF1727">
        <v>-5.2285573438413504</v>
      </c>
      <c r="AG1727">
        <v>-1.11152859840699</v>
      </c>
      <c r="AH1727">
        <v>24.013576670074201</v>
      </c>
      <c r="AI1727">
        <v>92.589599801199995</v>
      </c>
      <c r="AJ1727">
        <v>102.28348773114</v>
      </c>
      <c r="AK1727">
        <v>24.6013246028023</v>
      </c>
      <c r="AL1727">
        <v>89.525667077470104</v>
      </c>
      <c r="AM1727">
        <v>91.331412773569994</v>
      </c>
      <c r="AN1727">
        <v>1.0000000381676999</v>
      </c>
    </row>
    <row r="1728" spans="1:40" x14ac:dyDescent="0.3">
      <c r="A1728" t="str">
        <f>"20200111160439610"</f>
        <v>20200111160439610</v>
      </c>
      <c r="B1728" t="str">
        <f>"1578729879602157"</f>
        <v>1578729879602157</v>
      </c>
      <c r="C1728" t="s">
        <v>40</v>
      </c>
      <c r="D1728">
        <v>5.2724390000000003</v>
      </c>
      <c r="E1728">
        <v>0.4286471</v>
      </c>
      <c r="F1728" t="s">
        <v>57</v>
      </c>
      <c r="G1728">
        <v>-325.59309999999999</v>
      </c>
      <c r="H1728" s="1">
        <v>1.5449569999999999E-6</v>
      </c>
      <c r="I1728">
        <v>282.20600000000002</v>
      </c>
      <c r="J1728">
        <v>-301.1234</v>
      </c>
      <c r="K1728">
        <v>1.1115219999999999</v>
      </c>
      <c r="L1728">
        <v>285.80770000000001</v>
      </c>
      <c r="M1728">
        <v>-0.997618</v>
      </c>
      <c r="N1728">
        <v>0</v>
      </c>
      <c r="O1728">
        <v>6.7531469999999996E-2</v>
      </c>
      <c r="P1728">
        <v>-0.99902480000000005</v>
      </c>
      <c r="Q1728">
        <v>-5.4665729999999997E-3</v>
      </c>
      <c r="R1728">
        <v>4.3814369999999998E-2</v>
      </c>
      <c r="S1728">
        <v>-3.022278</v>
      </c>
      <c r="T1728">
        <v>-0.13637539999999901</v>
      </c>
      <c r="U1728">
        <v>-0.44064330000000002</v>
      </c>
      <c r="V1728">
        <v>-2.377992E-2</v>
      </c>
      <c r="W1728">
        <v>8.5389219999999991E-3</v>
      </c>
      <c r="X1728">
        <v>0.99968080000000004</v>
      </c>
      <c r="Y1728">
        <v>-0.21049760000000001</v>
      </c>
      <c r="Z1728">
        <v>-7.75383699999999E-3</v>
      </c>
      <c r="AA1728">
        <v>0.97756359999999998</v>
      </c>
      <c r="AB1728">
        <v>27</v>
      </c>
      <c r="AC1728">
        <v>-24.4696999999999</v>
      </c>
      <c r="AD1728">
        <v>-1.11152045504299</v>
      </c>
      <c r="AE1728">
        <v>-3.6017000000000499</v>
      </c>
      <c r="AF1728">
        <v>-5.2355407085013299</v>
      </c>
      <c r="AG1728">
        <v>-1.11152045504299</v>
      </c>
      <c r="AH1728">
        <v>24.121859059709799</v>
      </c>
      <c r="AI1728">
        <v>92.578339658880097</v>
      </c>
      <c r="AJ1728">
        <v>102.245852763323</v>
      </c>
      <c r="AK1728">
        <v>24.708509642001001</v>
      </c>
      <c r="AL1728">
        <v>89.510749886604202</v>
      </c>
      <c r="AM1728">
        <v>91.362667117491995</v>
      </c>
      <c r="AN1728">
        <v>1.0000000498363799</v>
      </c>
    </row>
    <row r="1729" spans="1:40" x14ac:dyDescent="0.3">
      <c r="A1729" t="str">
        <f>"20200111160439622"</f>
        <v>20200111160439622</v>
      </c>
      <c r="B1729" t="str">
        <f>"1578729879612892"</f>
        <v>1578729879612892</v>
      </c>
      <c r="C1729" t="s">
        <v>40</v>
      </c>
      <c r="D1729">
        <v>5.2890360000000003</v>
      </c>
      <c r="E1729">
        <v>0.42877330000000002</v>
      </c>
      <c r="F1729" t="s">
        <v>57</v>
      </c>
      <c r="G1729">
        <v>-325.82089999999999</v>
      </c>
      <c r="H1729" s="1">
        <v>1.6671910000000001E-6</v>
      </c>
      <c r="I1729">
        <v>282.18239999999997</v>
      </c>
      <c r="J1729">
        <v>-301.27339999999998</v>
      </c>
      <c r="K1729">
        <v>1.111515</v>
      </c>
      <c r="L1729">
        <v>285.81700000000001</v>
      </c>
      <c r="M1729">
        <v>-0.99767079999999997</v>
      </c>
      <c r="N1729">
        <v>0</v>
      </c>
      <c r="O1729">
        <v>6.6746589999999995E-2</v>
      </c>
      <c r="P1729">
        <v>-0.99907630000000003</v>
      </c>
      <c r="Q1729">
        <v>-5.1990710000000004E-3</v>
      </c>
      <c r="R1729">
        <v>4.2654949999999997E-2</v>
      </c>
      <c r="S1729">
        <v>-3.0216370000000001</v>
      </c>
      <c r="T1729">
        <v>-0.13599020000000001</v>
      </c>
      <c r="U1729">
        <v>-0.44354250000000001</v>
      </c>
      <c r="V1729">
        <v>-2.4155019999999999E-2</v>
      </c>
      <c r="W1729">
        <v>8.8045099999999998E-3</v>
      </c>
      <c r="X1729">
        <v>0.99966940000000004</v>
      </c>
      <c r="Y1729">
        <v>-0.21067849999999999</v>
      </c>
      <c r="Z1729">
        <v>-7.7019669999999997E-3</v>
      </c>
      <c r="AA1729">
        <v>0.97752510000000004</v>
      </c>
      <c r="AB1729">
        <v>27</v>
      </c>
      <c r="AC1729">
        <v>-24.547499999999999</v>
      </c>
      <c r="AD1729">
        <v>-1.1115133328090001</v>
      </c>
      <c r="AE1729">
        <v>-3.63460000000003</v>
      </c>
      <c r="AF1729">
        <v>-5.2545748585265901</v>
      </c>
      <c r="AG1729">
        <v>-1.1115133328090001</v>
      </c>
      <c r="AH1729">
        <v>24.201570382536801</v>
      </c>
      <c r="AI1729">
        <v>92.569804386963895</v>
      </c>
      <c r="AJ1729">
        <v>102.249771275923</v>
      </c>
      <c r="AK1729">
        <v>24.790361591024698</v>
      </c>
      <c r="AL1729">
        <v>89.495532191685896</v>
      </c>
      <c r="AM1729">
        <v>91.384169054501101</v>
      </c>
      <c r="AN1729">
        <v>0.99999994684194804</v>
      </c>
    </row>
    <row r="1730" spans="1:40" x14ac:dyDescent="0.3">
      <c r="A1730" t="str">
        <f>"20200111160439641"</f>
        <v>20200111160439641</v>
      </c>
      <c r="B1730" t="str">
        <f>"1578729879632411"</f>
        <v>1578729879632411</v>
      </c>
      <c r="C1730" t="s">
        <v>40</v>
      </c>
      <c r="D1730">
        <v>5.3078529999999997</v>
      </c>
      <c r="E1730">
        <v>0.42914419999999998</v>
      </c>
      <c r="F1730" t="s">
        <v>57</v>
      </c>
      <c r="G1730">
        <v>-326.03989999999999</v>
      </c>
      <c r="H1730" s="1">
        <v>1.7847999999999901E-6</v>
      </c>
      <c r="I1730">
        <v>282.15839999999997</v>
      </c>
      <c r="J1730">
        <v>-301.4939</v>
      </c>
      <c r="K1730">
        <v>1.1114980000000001</v>
      </c>
      <c r="L1730">
        <v>285.83049999999997</v>
      </c>
      <c r="M1730">
        <v>-0.99774609999999997</v>
      </c>
      <c r="N1730">
        <v>0</v>
      </c>
      <c r="O1730">
        <v>6.5613019999999994E-2</v>
      </c>
      <c r="P1730">
        <v>-0.99917180000000005</v>
      </c>
      <c r="Q1730">
        <v>-4.8454199999999996E-3</v>
      </c>
      <c r="R1730">
        <v>4.0403509999999997E-2</v>
      </c>
      <c r="S1730">
        <v>-3.021118</v>
      </c>
      <c r="T1730">
        <v>-0.1355866</v>
      </c>
      <c r="U1730">
        <v>-0.44628909999999999</v>
      </c>
      <c r="V1730">
        <v>-2.5271789999999999E-2</v>
      </c>
      <c r="W1730">
        <v>9.1535420000000006E-3</v>
      </c>
      <c r="X1730">
        <v>0.99963869999999999</v>
      </c>
      <c r="Y1730">
        <v>-0.21046480000000001</v>
      </c>
      <c r="Z1730">
        <v>-7.6245660000000002E-3</v>
      </c>
      <c r="AA1730">
        <v>0.97757169999999904</v>
      </c>
      <c r="AB1730">
        <v>27</v>
      </c>
      <c r="AC1730">
        <v>-24.5459999999999</v>
      </c>
      <c r="AD1730">
        <v>-1.1114962152000001</v>
      </c>
      <c r="AE1730">
        <v>-3.6720999999999999</v>
      </c>
      <c r="AF1730">
        <v>-5.26432389099398</v>
      </c>
      <c r="AG1730">
        <v>-1.1114962152000001</v>
      </c>
      <c r="AH1730">
        <v>24.203592587439299</v>
      </c>
      <c r="AI1730">
        <v>92.569345632085501</v>
      </c>
      <c r="AJ1730">
        <v>102.270816428489</v>
      </c>
      <c r="AK1730">
        <v>24.7944030782038</v>
      </c>
      <c r="AL1730">
        <v>89.475533346766895</v>
      </c>
      <c r="AM1730">
        <v>91.448181776715899</v>
      </c>
      <c r="AN1730">
        <v>0.99999999061931899</v>
      </c>
    </row>
    <row r="1731" spans="1:40" x14ac:dyDescent="0.3">
      <c r="A1731" t="str">
        <f>"20200111160439654"</f>
        <v>20200111160439654</v>
      </c>
      <c r="B1731" t="str">
        <f>"1578729879642172"</f>
        <v>1578729879642172</v>
      </c>
      <c r="C1731" t="s">
        <v>40</v>
      </c>
      <c r="D1731">
        <v>5.3506689999999999</v>
      </c>
      <c r="E1731">
        <v>0.42936089999999999</v>
      </c>
      <c r="F1731" t="s">
        <v>57</v>
      </c>
      <c r="G1731">
        <v>-326.69279999999998</v>
      </c>
      <c r="H1731" s="1">
        <v>2.1357600000000001E-6</v>
      </c>
      <c r="I1731">
        <v>282.07760000000002</v>
      </c>
      <c r="J1731">
        <v>-301.64819999999997</v>
      </c>
      <c r="K1731">
        <v>1.111483</v>
      </c>
      <c r="L1731">
        <v>285.83980000000003</v>
      </c>
      <c r="M1731">
        <v>-0.99779689999999999</v>
      </c>
      <c r="N1731">
        <v>0</v>
      </c>
      <c r="O1731">
        <v>6.4836569999999996E-2</v>
      </c>
      <c r="P1731">
        <v>-0.99921579999999999</v>
      </c>
      <c r="Q1731">
        <v>-5.1254430000000004E-3</v>
      </c>
      <c r="R1731">
        <v>3.9264109999999998E-2</v>
      </c>
      <c r="S1731">
        <v>-3.0199889999999998</v>
      </c>
      <c r="T1731">
        <v>-0.13320839999999901</v>
      </c>
      <c r="U1731">
        <v>-0.4497681</v>
      </c>
      <c r="V1731">
        <v>-2.5632680000000001E-2</v>
      </c>
      <c r="W1731">
        <v>8.872217E-3</v>
      </c>
      <c r="X1731">
        <v>0.99963210000000002</v>
      </c>
      <c r="Y1731">
        <v>-0.21086840000000001</v>
      </c>
      <c r="Z1731">
        <v>-7.4678990000000001E-3</v>
      </c>
      <c r="AA1731">
        <v>0.97748590000000002</v>
      </c>
      <c r="AB1731">
        <v>27</v>
      </c>
      <c r="AC1731">
        <v>-25.044599999999999</v>
      </c>
      <c r="AD1731">
        <v>-1.11148086424</v>
      </c>
      <c r="AE1731">
        <v>-3.7622</v>
      </c>
      <c r="AF1731">
        <v>-5.3679094994420797</v>
      </c>
      <c r="AG1731">
        <v>-1.11148086424</v>
      </c>
      <c r="AH1731">
        <v>24.700364904952401</v>
      </c>
      <c r="AI1731">
        <v>92.517797873981493</v>
      </c>
      <c r="AJ1731">
        <v>102.260930622684</v>
      </c>
      <c r="AK1731">
        <v>25.301341240012899</v>
      </c>
      <c r="AL1731">
        <v>89.491652763456202</v>
      </c>
      <c r="AM1731">
        <v>91.468863016537398</v>
      </c>
      <c r="AN1731">
        <v>1.00000004293444</v>
      </c>
    </row>
    <row r="1732" spans="1:40" x14ac:dyDescent="0.3">
      <c r="A1732" t="str">
        <f>"20200111160439674"</f>
        <v>20200111160439674</v>
      </c>
      <c r="B1732" t="str">
        <f>"1578729879662668"</f>
        <v>1578729879662668</v>
      </c>
      <c r="C1732" t="s">
        <v>40</v>
      </c>
      <c r="D1732">
        <v>5.4656880000000001</v>
      </c>
      <c r="E1732">
        <v>0.4299017</v>
      </c>
      <c r="F1732" t="s">
        <v>57</v>
      </c>
      <c r="G1732">
        <v>-326.45319999999998</v>
      </c>
      <c r="H1732" s="1">
        <v>2.0058649999999998E-6</v>
      </c>
      <c r="I1732">
        <v>282.13209999999998</v>
      </c>
      <c r="J1732">
        <v>-301.88400000000001</v>
      </c>
      <c r="K1732">
        <v>1.1114440000000001</v>
      </c>
      <c r="L1732">
        <v>285.85379999999998</v>
      </c>
      <c r="M1732">
        <v>-0.99787159999999997</v>
      </c>
      <c r="N1732">
        <v>0</v>
      </c>
      <c r="O1732">
        <v>6.3674170000000002E-2</v>
      </c>
      <c r="P1732">
        <v>-0.99927779999999999</v>
      </c>
      <c r="Q1732">
        <v>-6.5675530000000003E-3</v>
      </c>
      <c r="R1732">
        <v>3.7426510000000003E-2</v>
      </c>
      <c r="S1732">
        <v>-3.019409</v>
      </c>
      <c r="T1732">
        <v>-0.1352961</v>
      </c>
      <c r="U1732">
        <v>-0.45132450000000002</v>
      </c>
      <c r="V1732">
        <v>-2.6301740000000001E-2</v>
      </c>
      <c r="W1732">
        <v>7.4269740000000002E-3</v>
      </c>
      <c r="X1732">
        <v>0.99962649999999997</v>
      </c>
      <c r="Y1732">
        <v>-0.2102434</v>
      </c>
      <c r="Z1732">
        <v>-7.52025099999999E-3</v>
      </c>
      <c r="AA1732">
        <v>0.97762009999999999</v>
      </c>
      <c r="AB1732">
        <v>27</v>
      </c>
      <c r="AC1732">
        <v>-24.569199999999899</v>
      </c>
      <c r="AD1732">
        <v>-1.111441994135</v>
      </c>
      <c r="AE1732">
        <v>-3.72169999999999</v>
      </c>
      <c r="AF1732">
        <v>-5.2681854118634197</v>
      </c>
      <c r="AG1732">
        <v>-1.111441994135</v>
      </c>
      <c r="AH1732">
        <v>24.2338533737124</v>
      </c>
      <c r="AI1732">
        <v>92.5660762952525</v>
      </c>
      <c r="AJ1732">
        <v>102.26467533639099</v>
      </c>
      <c r="AK1732">
        <v>24.824760425403699</v>
      </c>
      <c r="AL1732">
        <v>89.574461840303798</v>
      </c>
      <c r="AM1732">
        <v>91.507194017460805</v>
      </c>
      <c r="AN1732">
        <v>1.0000000404860301</v>
      </c>
    </row>
    <row r="1733" spans="1:40" x14ac:dyDescent="0.3">
      <c r="A1733" t="str">
        <f>"20200111160439688"</f>
        <v>20200111160439688</v>
      </c>
      <c r="B1733" t="str">
        <f>"1578729879682188"</f>
        <v>1578729879682188</v>
      </c>
      <c r="C1733" t="s">
        <v>40</v>
      </c>
      <c r="D1733">
        <v>5.5355639999999999</v>
      </c>
      <c r="E1733">
        <v>0.43041439999999997</v>
      </c>
      <c r="F1733" t="s">
        <v>57</v>
      </c>
      <c r="G1733">
        <v>-325.50049999999999</v>
      </c>
      <c r="H1733" s="1">
        <v>1.4909500000000001E-6</v>
      </c>
      <c r="I1733">
        <v>282.3134</v>
      </c>
      <c r="J1733">
        <v>-302.05419999999998</v>
      </c>
      <c r="K1733">
        <v>1.111418</v>
      </c>
      <c r="L1733">
        <v>285.86380000000003</v>
      </c>
      <c r="M1733">
        <v>-0.99792360000000002</v>
      </c>
      <c r="N1733">
        <v>0</v>
      </c>
      <c r="O1733">
        <v>6.2855980000000006E-2</v>
      </c>
      <c r="P1733">
        <v>-0.99931029999999998</v>
      </c>
      <c r="Q1733">
        <v>-6.9299790000000002E-3</v>
      </c>
      <c r="R1733">
        <v>3.6481920000000001E-2</v>
      </c>
      <c r="S1733">
        <v>-3.0181580000000001</v>
      </c>
      <c r="T1733">
        <v>-0.14204129999999901</v>
      </c>
      <c r="U1733">
        <v>-0.45245360000000001</v>
      </c>
      <c r="V1733">
        <v>-2.642622E-2</v>
      </c>
      <c r="W1733">
        <v>7.0631560000000001E-3</v>
      </c>
      <c r="X1733">
        <v>0.99962580000000001</v>
      </c>
      <c r="Y1733">
        <v>-0.2098324</v>
      </c>
      <c r="Z1733">
        <v>-7.8498830000000002E-3</v>
      </c>
      <c r="AA1733">
        <v>0.97770579999999996</v>
      </c>
      <c r="AB1733">
        <v>27</v>
      </c>
      <c r="AC1733">
        <v>-23.446300000000001</v>
      </c>
      <c r="AD1733">
        <v>-1.1114165090499999</v>
      </c>
      <c r="AE1733">
        <v>-3.5504000000000202</v>
      </c>
      <c r="AF1733">
        <v>-5.0062669080853297</v>
      </c>
      <c r="AG1733">
        <v>-1.1114165090499999</v>
      </c>
      <c r="AH1733">
        <v>23.125942977232999</v>
      </c>
      <c r="AI1733">
        <v>92.689280063782206</v>
      </c>
      <c r="AJ1733">
        <v>102.214818532167</v>
      </c>
      <c r="AK1733">
        <v>23.687701315193401</v>
      </c>
      <c r="AL1733">
        <v>89.595307600813499</v>
      </c>
      <c r="AM1733">
        <v>91.514324961482004</v>
      </c>
      <c r="AN1733">
        <v>0.99999998665090395</v>
      </c>
    </row>
    <row r="1734" spans="1:40" x14ac:dyDescent="0.3">
      <c r="A1734" t="str">
        <f>"20200111160439699"</f>
        <v>20200111160439699</v>
      </c>
      <c r="B1734" t="str">
        <f>"1578729879692925"</f>
        <v>1578729879692925</v>
      </c>
      <c r="C1734" t="s">
        <v>40</v>
      </c>
      <c r="D1734">
        <v>5.4700249999999997</v>
      </c>
      <c r="E1734">
        <v>0.43070209999999998</v>
      </c>
      <c r="F1734" t="s">
        <v>57</v>
      </c>
      <c r="G1734">
        <v>-325.13420000000002</v>
      </c>
      <c r="H1734" s="1">
        <v>1.291775E-6</v>
      </c>
      <c r="I1734">
        <v>282.41079999999999</v>
      </c>
      <c r="J1734">
        <v>-302.2122</v>
      </c>
      <c r="K1734">
        <v>1.1113930000000001</v>
      </c>
      <c r="L1734">
        <v>285.87290000000002</v>
      </c>
      <c r="M1734">
        <v>-0.99797000000000002</v>
      </c>
      <c r="N1734">
        <v>0</v>
      </c>
      <c r="O1734">
        <v>6.2114139999999998E-2</v>
      </c>
      <c r="P1734">
        <v>-0.99933019999999995</v>
      </c>
      <c r="Q1734">
        <v>-7.6132989999999996E-3</v>
      </c>
      <c r="R1734">
        <v>3.5794430000000002E-2</v>
      </c>
      <c r="S1734">
        <v>-3.0175169999999998</v>
      </c>
      <c r="T1734">
        <v>-0.14530870000000001</v>
      </c>
      <c r="U1734">
        <v>-0.45144649999999997</v>
      </c>
      <c r="V1734">
        <v>-2.636819E-2</v>
      </c>
      <c r="W1734">
        <v>6.3798630000000004E-3</v>
      </c>
      <c r="X1734">
        <v>0.99963190000000002</v>
      </c>
      <c r="Y1734">
        <v>-0.20880489999999999</v>
      </c>
      <c r="Z1734">
        <v>-7.9719979999999992E-3</v>
      </c>
      <c r="AA1734">
        <v>0.97792480000000004</v>
      </c>
      <c r="AB1734">
        <v>27</v>
      </c>
      <c r="AC1734">
        <v>-22.922000000000001</v>
      </c>
      <c r="AD1734">
        <v>-1.111391708225</v>
      </c>
      <c r="AE1734">
        <v>-3.4621000000000199</v>
      </c>
      <c r="AF1734">
        <v>-4.8681454892824201</v>
      </c>
      <c r="AG1734">
        <v>-1.111391708225</v>
      </c>
      <c r="AH1734">
        <v>22.610694103953701</v>
      </c>
      <c r="AI1734">
        <v>92.751074632275206</v>
      </c>
      <c r="AJ1734">
        <v>102.150461135672</v>
      </c>
      <c r="AK1734">
        <v>23.155507334033999</v>
      </c>
      <c r="AL1734">
        <v>89.634458281750696</v>
      </c>
      <c r="AM1734">
        <v>91.510991944337604</v>
      </c>
      <c r="AN1734">
        <v>0.99999995979669098</v>
      </c>
    </row>
    <row r="1735" spans="1:40" x14ac:dyDescent="0.3">
      <c r="A1735" t="str">
        <f>"20200111160439720"</f>
        <v>20200111160439720</v>
      </c>
      <c r="B1735" t="str">
        <f>"1578729879712444"</f>
        <v>1578729879712444</v>
      </c>
      <c r="C1735" t="s">
        <v>40</v>
      </c>
      <c r="D1735">
        <v>5.642296</v>
      </c>
      <c r="E1735">
        <v>0.43120449999999999</v>
      </c>
      <c r="F1735" t="s">
        <v>57</v>
      </c>
      <c r="G1735">
        <v>-324.76459999999997</v>
      </c>
      <c r="H1735" s="1">
        <v>1.091198E-6</v>
      </c>
      <c r="I1735">
        <v>282.50040000000001</v>
      </c>
      <c r="J1735">
        <v>-302.44380000000001</v>
      </c>
      <c r="K1735">
        <v>1.111356</v>
      </c>
      <c r="L1735">
        <v>285.88600000000002</v>
      </c>
      <c r="M1735">
        <v>-0.99803509999999995</v>
      </c>
      <c r="N1735">
        <v>0</v>
      </c>
      <c r="O1735">
        <v>6.1060280000000001E-2</v>
      </c>
      <c r="P1735">
        <v>-0.99936650000000005</v>
      </c>
      <c r="Q1735">
        <v>-8.3519590000000008E-3</v>
      </c>
      <c r="R1735">
        <v>3.4594729999999997E-2</v>
      </c>
      <c r="S1735">
        <v>-3.0170590000000002</v>
      </c>
      <c r="T1735">
        <v>-0.14868199999999901</v>
      </c>
      <c r="U1735">
        <v>-0.45117190000000001</v>
      </c>
      <c r="V1735">
        <v>-2.6509870000000001E-2</v>
      </c>
      <c r="W1735">
        <v>5.6398250000000002E-3</v>
      </c>
      <c r="X1735">
        <v>0.99963270000000004</v>
      </c>
      <c r="Y1735">
        <v>-0.20769480000000001</v>
      </c>
      <c r="Z1735">
        <v>-8.0792699999999995E-3</v>
      </c>
      <c r="AA1735">
        <v>0.97816029999999998</v>
      </c>
      <c r="AB1735">
        <v>27</v>
      </c>
      <c r="AC1735">
        <v>-22.320799999999899</v>
      </c>
      <c r="AD1735">
        <v>-1.1113549088020001</v>
      </c>
      <c r="AE1735">
        <v>-3.38559999999995</v>
      </c>
      <c r="AF1735">
        <v>-4.7308661343845797</v>
      </c>
      <c r="AG1735">
        <v>-1.1113549088020001</v>
      </c>
      <c r="AH1735">
        <v>22.019038043484802</v>
      </c>
      <c r="AI1735">
        <v>92.825045532730002</v>
      </c>
      <c r="AJ1735">
        <v>102.125853835467</v>
      </c>
      <c r="AK1735">
        <v>22.548929918628499</v>
      </c>
      <c r="AL1735">
        <v>89.6768601359408</v>
      </c>
      <c r="AM1735">
        <v>91.519105707686805</v>
      </c>
      <c r="AN1735">
        <v>1.0000000578713599</v>
      </c>
    </row>
    <row r="1736" spans="1:40" x14ac:dyDescent="0.3">
      <c r="A1736" t="str">
        <f>"20200111160439731"</f>
        <v>20200111160439731</v>
      </c>
      <c r="B1736" t="str">
        <f>"1578729879722205"</f>
        <v>1578729879722205</v>
      </c>
      <c r="C1736" t="s">
        <v>40</v>
      </c>
      <c r="D1736">
        <v>5.4928280000000003</v>
      </c>
      <c r="E1736">
        <v>0.43146689999999999</v>
      </c>
      <c r="F1736" t="s">
        <v>57</v>
      </c>
      <c r="G1736">
        <v>-324.30110000000002</v>
      </c>
      <c r="H1736" s="1">
        <v>8.3926360000000005E-7</v>
      </c>
      <c r="I1736">
        <v>282.62029999999999</v>
      </c>
      <c r="J1736">
        <v>-302.59379999999999</v>
      </c>
      <c r="K1736">
        <v>1.1113309999999901</v>
      </c>
      <c r="L1736">
        <v>285.89449999999999</v>
      </c>
      <c r="M1736">
        <v>-0.99807520000000005</v>
      </c>
      <c r="N1736">
        <v>0</v>
      </c>
      <c r="O1736">
        <v>6.0402049999999999E-2</v>
      </c>
      <c r="P1736">
        <v>-0.99939009999999995</v>
      </c>
      <c r="Q1736">
        <v>-8.7012129999999993E-3</v>
      </c>
      <c r="R1736">
        <v>3.3821419999999998E-2</v>
      </c>
      <c r="S1736">
        <v>-3.0162049999999998</v>
      </c>
      <c r="T1736">
        <v>-0.1533621</v>
      </c>
      <c r="U1736">
        <v>-0.45065309999999997</v>
      </c>
      <c r="V1736">
        <v>-2.6622900000000001E-2</v>
      </c>
      <c r="W1736">
        <v>5.290309E-3</v>
      </c>
      <c r="X1736">
        <v>0.99963150000000001</v>
      </c>
      <c r="Y1736">
        <v>-0.2069069</v>
      </c>
      <c r="Z1736">
        <v>-8.2824969999999998E-3</v>
      </c>
      <c r="AA1736">
        <v>0.97832560000000002</v>
      </c>
      <c r="AB1736">
        <v>27</v>
      </c>
      <c r="AC1736">
        <v>-21.7073</v>
      </c>
      <c r="AD1736">
        <v>-1.1113301607363999</v>
      </c>
      <c r="AE1736">
        <v>-3.2742</v>
      </c>
      <c r="AF1736">
        <v>-4.56780934854996</v>
      </c>
      <c r="AG1736">
        <v>-1.1113301607363999</v>
      </c>
      <c r="AH1736">
        <v>21.414988448911402</v>
      </c>
      <c r="AI1736">
        <v>92.905454407931202</v>
      </c>
      <c r="AJ1736">
        <v>102.040728734232</v>
      </c>
      <c r="AK1736">
        <v>21.9249097429812</v>
      </c>
      <c r="AL1736">
        <v>89.696886193217793</v>
      </c>
      <c r="AM1736">
        <v>91.525581487208697</v>
      </c>
      <c r="AN1736">
        <v>0.999999950982986</v>
      </c>
    </row>
    <row r="1737" spans="1:40" x14ac:dyDescent="0.3">
      <c r="A1737" t="str">
        <f>"20200111160439745"</f>
        <v>20200111160439745</v>
      </c>
      <c r="B1737" t="str">
        <f>"1578729879742700"</f>
        <v>1578729879742700</v>
      </c>
      <c r="C1737" t="s">
        <v>40</v>
      </c>
      <c r="D1737">
        <v>5.5128550000000001</v>
      </c>
      <c r="E1737">
        <v>0.4320022</v>
      </c>
      <c r="F1737" t="s">
        <v>57</v>
      </c>
      <c r="G1737">
        <v>-324.16800000000001</v>
      </c>
      <c r="H1737" s="1">
        <v>7.6631190000000005E-7</v>
      </c>
      <c r="I1737">
        <v>282.66950000000003</v>
      </c>
      <c r="J1737">
        <v>-302.74579999999997</v>
      </c>
      <c r="K1737">
        <v>1.1113029999999999</v>
      </c>
      <c r="L1737">
        <v>285.90300000000002</v>
      </c>
      <c r="M1737">
        <v>-0.99811459999999996</v>
      </c>
      <c r="N1737">
        <v>0</v>
      </c>
      <c r="O1737">
        <v>5.97467E-2</v>
      </c>
      <c r="P1737">
        <v>-0.99940510000000005</v>
      </c>
      <c r="Q1737">
        <v>-8.9255649999999999E-3</v>
      </c>
      <c r="R1737">
        <v>3.3317659999999999E-2</v>
      </c>
      <c r="S1737">
        <v>-3.0157470000000002</v>
      </c>
      <c r="T1737">
        <v>-0.15534729999999999</v>
      </c>
      <c r="U1737">
        <v>-0.45080569999999998</v>
      </c>
      <c r="V1737">
        <v>-2.646944E-2</v>
      </c>
      <c r="W1737">
        <v>5.0657219999999999E-3</v>
      </c>
      <c r="X1737">
        <v>0.99963679999999999</v>
      </c>
      <c r="Y1737">
        <v>-0.20632729999999999</v>
      </c>
      <c r="Z1737">
        <v>-8.3423799999999999E-3</v>
      </c>
      <c r="AA1737">
        <v>0.97844739999999997</v>
      </c>
      <c r="AB1737">
        <v>27</v>
      </c>
      <c r="AC1737">
        <v>-21.4222</v>
      </c>
      <c r="AD1737">
        <v>-1.1113022336881</v>
      </c>
      <c r="AE1737">
        <v>-3.23349999999999</v>
      </c>
      <c r="AF1737">
        <v>-4.4959250092387997</v>
      </c>
      <c r="AG1737">
        <v>-1.1113022336881</v>
      </c>
      <c r="AH1737">
        <v>21.135102614214201</v>
      </c>
      <c r="AI1737">
        <v>92.944134617400195</v>
      </c>
      <c r="AJ1737">
        <v>102.00913036106</v>
      </c>
      <c r="AK1737">
        <v>21.6365638874721</v>
      </c>
      <c r="AL1737">
        <v>89.709754271431294</v>
      </c>
      <c r="AM1737">
        <v>91.516783796098196</v>
      </c>
      <c r="AN1737">
        <v>1.00000001235376</v>
      </c>
    </row>
    <row r="1738" spans="1:40" x14ac:dyDescent="0.3">
      <c r="A1738" t="str">
        <f>"20200111160439757"</f>
        <v>20200111160439757</v>
      </c>
      <c r="B1738" t="str">
        <f>"1578729879752460"</f>
        <v>1578729879752460</v>
      </c>
      <c r="C1738" t="s">
        <v>40</v>
      </c>
      <c r="D1738">
        <v>5.5650559999999896</v>
      </c>
      <c r="E1738">
        <v>0.4320022</v>
      </c>
      <c r="F1738" t="s">
        <v>57</v>
      </c>
      <c r="G1738">
        <v>-323.96809999999999</v>
      </c>
      <c r="H1738" s="1">
        <v>6.5642799999999895E-7</v>
      </c>
      <c r="I1738">
        <v>282.74990000000003</v>
      </c>
      <c r="J1738">
        <v>-302.89850000000001</v>
      </c>
      <c r="K1738">
        <v>1.1112770000000001</v>
      </c>
      <c r="L1738">
        <v>285.91140000000001</v>
      </c>
      <c r="M1738">
        <v>-0.99815209999999999</v>
      </c>
      <c r="N1738">
        <v>0</v>
      </c>
      <c r="O1738">
        <v>5.9118480000000001E-2</v>
      </c>
      <c r="P1738">
        <v>-0.99941349999999995</v>
      </c>
      <c r="Q1738">
        <v>-9.2236980000000007E-3</v>
      </c>
      <c r="R1738">
        <v>3.297713E-2</v>
      </c>
      <c r="S1738">
        <v>-3.0152890000000001</v>
      </c>
      <c r="T1738">
        <v>-0.15789539999999999</v>
      </c>
      <c r="U1738">
        <v>-0.44799800000000001</v>
      </c>
      <c r="V1738">
        <v>-2.6179669999999999E-2</v>
      </c>
      <c r="W1738">
        <v>4.768179E-3</v>
      </c>
      <c r="X1738">
        <v>0.99964589999999998</v>
      </c>
      <c r="Y1738">
        <v>-0.20483299999999999</v>
      </c>
      <c r="Z1738">
        <v>-8.4092500000000001E-3</v>
      </c>
      <c r="AA1738">
        <v>0.97876079999999999</v>
      </c>
      <c r="AB1738">
        <v>27</v>
      </c>
      <c r="AC1738">
        <v>-21.069599999999902</v>
      </c>
      <c r="AD1738">
        <v>-1.1112763435719999</v>
      </c>
      <c r="AE1738">
        <v>-3.1614999999999802</v>
      </c>
      <c r="AF1738">
        <v>-4.3897523568987298</v>
      </c>
      <c r="AG1738">
        <v>-1.1112763435719999</v>
      </c>
      <c r="AH1738">
        <v>20.7892610070815</v>
      </c>
      <c r="AI1738">
        <v>92.993904578953703</v>
      </c>
      <c r="AJ1738">
        <v>101.92313518754899</v>
      </c>
      <c r="AK1738">
        <v>21.2767063731029</v>
      </c>
      <c r="AL1738">
        <v>89.726802437038003</v>
      </c>
      <c r="AM1738">
        <v>91.500173025504296</v>
      </c>
      <c r="AN1738">
        <v>1.0000000180195401</v>
      </c>
    </row>
    <row r="1739" spans="1:40" x14ac:dyDescent="0.3">
      <c r="A1739" t="str">
        <f>"20200111160439774"</f>
        <v>20200111160439774</v>
      </c>
      <c r="B1739" t="str">
        <f>"1578729879762220"</f>
        <v>1578729879762220</v>
      </c>
      <c r="C1739" t="s">
        <v>40</v>
      </c>
      <c r="D1739">
        <v>5.5222519999999999</v>
      </c>
      <c r="E1739">
        <v>0.4520846</v>
      </c>
      <c r="F1739" t="s">
        <v>57</v>
      </c>
      <c r="G1739">
        <v>-323.97500000000002</v>
      </c>
      <c r="H1739" s="1">
        <v>6.5915980000000005E-7</v>
      </c>
      <c r="I1739">
        <v>282.77159999999998</v>
      </c>
      <c r="J1739">
        <v>-303.09949999999998</v>
      </c>
      <c r="K1739">
        <v>1.1112409999999999</v>
      </c>
      <c r="L1739">
        <v>285.92239999999998</v>
      </c>
      <c r="M1739">
        <v>-0.99819939999999996</v>
      </c>
      <c r="N1739">
        <v>0</v>
      </c>
      <c r="O1739">
        <v>5.8314640000000001E-2</v>
      </c>
      <c r="P1739">
        <v>-0.99942509999999996</v>
      </c>
      <c r="Q1739">
        <v>-9.5671790000000003E-3</v>
      </c>
      <c r="R1739">
        <v>3.2529089999999997E-2</v>
      </c>
      <c r="S1739">
        <v>-3.0150760000000001</v>
      </c>
      <c r="T1739">
        <v>-0.15897210000000001</v>
      </c>
      <c r="U1739">
        <v>-0.44915769999999999</v>
      </c>
      <c r="V1739">
        <v>-2.5821719999999999E-2</v>
      </c>
      <c r="W1739">
        <v>4.4243829999999996E-3</v>
      </c>
      <c r="X1739">
        <v>0.99965680000000001</v>
      </c>
      <c r="Y1739">
        <v>-0.20441999999999999</v>
      </c>
      <c r="Z1739">
        <v>-8.4138939999999999E-3</v>
      </c>
      <c r="AA1739">
        <v>0.97884709999999997</v>
      </c>
      <c r="AB1739">
        <v>27</v>
      </c>
      <c r="AC1739">
        <v>-20.875499999999999</v>
      </c>
      <c r="AD1739">
        <v>-1.1112403408401901</v>
      </c>
      <c r="AE1739">
        <v>-3.1507999999999998</v>
      </c>
      <c r="AF1739">
        <v>-4.3508504173182203</v>
      </c>
      <c r="AG1739">
        <v>-1.1112403408401901</v>
      </c>
      <c r="AH1739">
        <v>20.599142144695499</v>
      </c>
      <c r="AI1739">
        <v>93.021351234841404</v>
      </c>
      <c r="AJ1739">
        <v>101.926443795688</v>
      </c>
      <c r="AK1739">
        <v>21.0829175292786</v>
      </c>
      <c r="AL1739">
        <v>89.746500706964198</v>
      </c>
      <c r="AM1739">
        <v>91.479654480050897</v>
      </c>
      <c r="AN1739">
        <v>1.0000000270874601</v>
      </c>
    </row>
    <row r="1740" spans="1:40" x14ac:dyDescent="0.3">
      <c r="A1740" t="str">
        <f>"20200111160439787"</f>
        <v>20200111160439787</v>
      </c>
      <c r="B1740" t="str">
        <f>"1578729879782717"</f>
        <v>1578729879782717</v>
      </c>
      <c r="C1740" t="s">
        <v>40</v>
      </c>
      <c r="D1740">
        <v>5.5418019999999997</v>
      </c>
      <c r="E1740">
        <v>0.45051370000000002</v>
      </c>
      <c r="F1740" t="s">
        <v>61</v>
      </c>
      <c r="G1740">
        <v>-318.12360000000001</v>
      </c>
      <c r="H1740" s="1">
        <v>5.8330620000000003E-6</v>
      </c>
      <c r="I1740">
        <v>284.46080000000001</v>
      </c>
      <c r="J1740">
        <v>-303.2568</v>
      </c>
      <c r="K1740">
        <v>1.1112109999999999</v>
      </c>
      <c r="L1740">
        <v>285.93090000000001</v>
      </c>
      <c r="M1740">
        <v>-0.99823490000000004</v>
      </c>
      <c r="N1740">
        <v>0</v>
      </c>
      <c r="O1740">
        <v>5.7704539999999999E-2</v>
      </c>
      <c r="P1740">
        <v>-0.99943150000000003</v>
      </c>
      <c r="Q1740">
        <v>-9.8405690000000004E-3</v>
      </c>
      <c r="R1740">
        <v>3.2245759999999998E-2</v>
      </c>
      <c r="S1740">
        <v>-3.009064</v>
      </c>
      <c r="T1740">
        <v>-0.2225606</v>
      </c>
      <c r="U1740">
        <v>-0.292724599999999</v>
      </c>
      <c r="V1740">
        <v>-2.54938E-2</v>
      </c>
      <c r="W1740">
        <v>4.1511580000000003E-3</v>
      </c>
      <c r="X1740">
        <v>0.99966630000000001</v>
      </c>
      <c r="Y1740">
        <v>-0.15352929999999901</v>
      </c>
      <c r="Z1740">
        <v>-9.9105640000000002E-3</v>
      </c>
      <c r="AA1740">
        <v>0.98809440000000004</v>
      </c>
      <c r="AB1740">
        <v>27</v>
      </c>
      <c r="AC1740">
        <v>-14.8668</v>
      </c>
      <c r="AD1740">
        <v>-1.1112051669380001</v>
      </c>
      <c r="AE1740">
        <v>-1.4701</v>
      </c>
      <c r="AF1740">
        <v>-2.31282052170523</v>
      </c>
      <c r="AG1740">
        <v>-1.1112051669380001</v>
      </c>
      <c r="AH1740">
        <v>14.6759867808387</v>
      </c>
      <c r="AI1740">
        <v>94.2773489662396</v>
      </c>
      <c r="AJ1740">
        <v>98.955711393286904</v>
      </c>
      <c r="AK1740">
        <v>14.8986074409659</v>
      </c>
      <c r="AL1740">
        <v>89.762155468819699</v>
      </c>
      <c r="AM1740">
        <v>91.460858094301898</v>
      </c>
      <c r="AN1740">
        <v>0.99999993865343295</v>
      </c>
    </row>
    <row r="1741" spans="1:40" x14ac:dyDescent="0.3">
      <c r="A1741" t="str">
        <f>"20200111160439800"</f>
        <v>20200111160439800</v>
      </c>
      <c r="B1741" t="str">
        <f>"1578729879792476"</f>
        <v>1578729879792476</v>
      </c>
      <c r="C1741" t="s">
        <v>40</v>
      </c>
      <c r="D1741">
        <v>5.5408019999999896</v>
      </c>
      <c r="E1741">
        <v>0.45077469999999997</v>
      </c>
      <c r="F1741" t="s">
        <v>61</v>
      </c>
      <c r="G1741">
        <v>-318.5659</v>
      </c>
      <c r="H1741" s="1">
        <v>6.0367729999999998E-6</v>
      </c>
      <c r="I1741">
        <v>284.37430000000001</v>
      </c>
      <c r="J1741">
        <v>-303.41820000000001</v>
      </c>
      <c r="K1741">
        <v>1.1111819999999999</v>
      </c>
      <c r="L1741">
        <v>285.93959999999998</v>
      </c>
      <c r="M1741">
        <v>-0.99826970000000004</v>
      </c>
      <c r="N1741">
        <v>0</v>
      </c>
      <c r="O1741">
        <v>5.7100989999999997E-2</v>
      </c>
      <c r="P1741">
        <v>-0.99943660000000001</v>
      </c>
      <c r="Q1741">
        <v>-1.021744E-2</v>
      </c>
      <c r="R1741">
        <v>3.1967700000000002E-2</v>
      </c>
      <c r="S1741">
        <v>-3.0094599999999998</v>
      </c>
      <c r="T1741">
        <v>-0.21843989999999999</v>
      </c>
      <c r="U1741">
        <v>-0.30599979999999999</v>
      </c>
      <c r="V1741">
        <v>-2.516589E-2</v>
      </c>
      <c r="W1741">
        <v>3.774459E-3</v>
      </c>
      <c r="X1741">
        <v>0.99967620000000001</v>
      </c>
      <c r="Y1741">
        <v>-0.15724749999999901</v>
      </c>
      <c r="Z1741">
        <v>-9.8150689999999992E-3</v>
      </c>
      <c r="AA1741">
        <v>0.98751040000000001</v>
      </c>
      <c r="AB1741">
        <v>27</v>
      </c>
      <c r="AC1741">
        <v>-15.147699999999899</v>
      </c>
      <c r="AD1741">
        <v>-1.111175963227</v>
      </c>
      <c r="AE1741">
        <v>-1.5652999999999699</v>
      </c>
      <c r="AF1741">
        <v>-2.4149218021501802</v>
      </c>
      <c r="AG1741">
        <v>-1.111175963227</v>
      </c>
      <c r="AH1741">
        <v>14.953972406530999</v>
      </c>
      <c r="AI1741">
        <v>94.195476426875203</v>
      </c>
      <c r="AJ1741">
        <v>99.173515208049906</v>
      </c>
      <c r="AK1741">
        <v>15.1884117032376</v>
      </c>
      <c r="AL1741">
        <v>89.7837389237949</v>
      </c>
      <c r="AM1741">
        <v>91.442061747305402</v>
      </c>
      <c r="AN1741">
        <v>1.0000000367033299</v>
      </c>
    </row>
    <row r="1742" spans="1:40" x14ac:dyDescent="0.3">
      <c r="A1742" t="str">
        <f>"20200111160439811"</f>
        <v>20200111160439811</v>
      </c>
      <c r="B1742" t="str">
        <f>"1578729879802236"</f>
        <v>1578729879802236</v>
      </c>
      <c r="C1742" t="s">
        <v>40</v>
      </c>
      <c r="D1742">
        <v>5.5155770000000004</v>
      </c>
      <c r="E1742">
        <v>0.4508238</v>
      </c>
      <c r="F1742" t="s">
        <v>61</v>
      </c>
      <c r="G1742">
        <v>-318.43759999999997</v>
      </c>
      <c r="H1742" s="1">
        <v>5.976035E-6</v>
      </c>
      <c r="I1742">
        <v>284.41820000000001</v>
      </c>
      <c r="J1742">
        <v>-303.55590000000001</v>
      </c>
      <c r="K1742">
        <v>1.111157</v>
      </c>
      <c r="L1742">
        <v>285.94690000000003</v>
      </c>
      <c r="M1742">
        <v>-0.99829809999999997</v>
      </c>
      <c r="N1742">
        <v>0</v>
      </c>
      <c r="O1742">
        <v>5.6603390000000003E-2</v>
      </c>
      <c r="P1742">
        <v>-0.9994478</v>
      </c>
      <c r="Q1742">
        <v>-1.047037E-2</v>
      </c>
      <c r="R1742">
        <v>3.1538620000000003E-2</v>
      </c>
      <c r="S1742">
        <v>-3.0091860000000001</v>
      </c>
      <c r="T1742">
        <v>-0.2226284</v>
      </c>
      <c r="U1742">
        <v>-0.30480960000000001</v>
      </c>
      <c r="V1742">
        <v>-2.5095840000000001E-2</v>
      </c>
      <c r="W1742">
        <v>3.52126E-3</v>
      </c>
      <c r="X1742">
        <v>0.99967890000000004</v>
      </c>
      <c r="Y1742">
        <v>-0.15635969999999999</v>
      </c>
      <c r="Z1742">
        <v>-9.9344570000000007E-3</v>
      </c>
      <c r="AA1742">
        <v>0.98765020000000003</v>
      </c>
      <c r="AB1742">
        <v>27</v>
      </c>
      <c r="AC1742">
        <v>-14.881699999999899</v>
      </c>
      <c r="AD1742">
        <v>-1.111151023965</v>
      </c>
      <c r="AE1742">
        <v>-1.5287000000000099</v>
      </c>
      <c r="AF1742">
        <v>-2.3556905259182201</v>
      </c>
      <c r="AG1742">
        <v>-1.111151023965</v>
      </c>
      <c r="AH1742">
        <v>14.690255684883301</v>
      </c>
      <c r="AI1742">
        <v>94.271177346320997</v>
      </c>
      <c r="AJ1742">
        <v>99.110239589622907</v>
      </c>
      <c r="AK1742">
        <v>14.919368168230299</v>
      </c>
      <c r="AL1742">
        <v>89.798246256944097</v>
      </c>
      <c r="AM1742">
        <v>91.438045531260599</v>
      </c>
      <c r="AN1742">
        <v>1.00000005178125</v>
      </c>
    </row>
    <row r="1743" spans="1:40" x14ac:dyDescent="0.3">
      <c r="A1743" t="str">
        <f>"20200111160439824"</f>
        <v>20200111160439824</v>
      </c>
      <c r="B1743" t="str">
        <f>"1578729879822732"</f>
        <v>1578729879822732</v>
      </c>
      <c r="C1743" t="s">
        <v>40</v>
      </c>
      <c r="D1743">
        <v>5.5647229999999999</v>
      </c>
      <c r="E1743">
        <v>0.45123000000000002</v>
      </c>
      <c r="F1743" t="s">
        <v>61</v>
      </c>
      <c r="G1743">
        <v>-318.58159999999998</v>
      </c>
      <c r="H1743" s="1">
        <v>6.0397209999999999E-6</v>
      </c>
      <c r="I1743">
        <v>284.42009999999999</v>
      </c>
      <c r="J1743">
        <v>-303.70850000000002</v>
      </c>
      <c r="K1743">
        <v>1.111132</v>
      </c>
      <c r="L1743">
        <v>285.95490000000001</v>
      </c>
      <c r="M1743">
        <v>-0.99832869999999996</v>
      </c>
      <c r="N1743">
        <v>0</v>
      </c>
      <c r="O1743">
        <v>5.6061359999999998E-2</v>
      </c>
      <c r="P1743">
        <v>-0.99945680000000003</v>
      </c>
      <c r="Q1743">
        <v>-1.069641E-2</v>
      </c>
      <c r="R1743">
        <v>3.1176619999999999E-2</v>
      </c>
      <c r="S1743">
        <v>-3.008972</v>
      </c>
      <c r="T1743">
        <v>-0.22251360000000001</v>
      </c>
      <c r="U1743">
        <v>-0.30575560000000002</v>
      </c>
      <c r="V1743">
        <v>-2.4914240000000001E-2</v>
      </c>
      <c r="W1743">
        <v>3.2947649999999998E-3</v>
      </c>
      <c r="X1743">
        <v>0.99968420000000002</v>
      </c>
      <c r="Y1743">
        <v>-0.15614040000000001</v>
      </c>
      <c r="Z1743">
        <v>-9.8818889999999996E-3</v>
      </c>
      <c r="AA1743">
        <v>0.98768540000000005</v>
      </c>
      <c r="AB1743">
        <v>27</v>
      </c>
      <c r="AC1743">
        <v>-14.8730999999999</v>
      </c>
      <c r="AD1743">
        <v>-1.111125960279</v>
      </c>
      <c r="AE1743">
        <v>-1.5348000000000099</v>
      </c>
      <c r="AF1743">
        <v>-2.3532785000171001</v>
      </c>
      <c r="AG1743">
        <v>-1.111125960279</v>
      </c>
      <c r="AH1743">
        <v>14.682571207001301</v>
      </c>
      <c r="AI1743">
        <v>94.273361924689695</v>
      </c>
      <c r="AJ1743">
        <v>99.105751160309197</v>
      </c>
      <c r="AK1743">
        <v>14.9114190420265</v>
      </c>
      <c r="AL1743">
        <v>89.811223536506105</v>
      </c>
      <c r="AM1743">
        <v>91.427636217761304</v>
      </c>
      <c r="AN1743">
        <v>1.0000000372804101</v>
      </c>
    </row>
    <row r="1744" spans="1:40" x14ac:dyDescent="0.3">
      <c r="A1744" t="str">
        <f>"20200111160439841"</f>
        <v>20200111160439841</v>
      </c>
      <c r="B1744" t="str">
        <f>"1578729879832509"</f>
        <v>1578729879832509</v>
      </c>
      <c r="C1744" t="s">
        <v>40</v>
      </c>
      <c r="D1744">
        <v>5.5569750000000004</v>
      </c>
      <c r="E1744">
        <v>0.45118639999999999</v>
      </c>
      <c r="F1744" t="s">
        <v>61</v>
      </c>
      <c r="G1744">
        <v>-318.70780000000002</v>
      </c>
      <c r="H1744" s="1">
        <v>6.0938309999999998E-6</v>
      </c>
      <c r="I1744">
        <v>284.44130000000001</v>
      </c>
      <c r="J1744">
        <v>-303.91390000000001</v>
      </c>
      <c r="K1744">
        <v>1.1110979999999999</v>
      </c>
      <c r="L1744">
        <v>285.96570000000003</v>
      </c>
      <c r="M1744">
        <v>-0.99836769999999997</v>
      </c>
      <c r="N1744">
        <v>0</v>
      </c>
      <c r="O1744">
        <v>5.5363490000000001E-2</v>
      </c>
      <c r="P1744">
        <v>-0.99947790000000003</v>
      </c>
      <c r="Q1744">
        <v>-1.087228E-2</v>
      </c>
      <c r="R1744">
        <v>3.0431590000000001E-2</v>
      </c>
      <c r="S1744">
        <v>-3.0087280000000001</v>
      </c>
      <c r="T1744">
        <v>-0.22288179999999999</v>
      </c>
      <c r="U1744">
        <v>-0.30361939999999998</v>
      </c>
      <c r="V1744">
        <v>-2.4960010000000001E-2</v>
      </c>
      <c r="W1744">
        <v>3.1173820000000001E-3</v>
      </c>
      <c r="X1744">
        <v>0.99968360000000001</v>
      </c>
      <c r="Y1744">
        <v>-0.1547674</v>
      </c>
      <c r="Z1744">
        <v>-9.7971499999999993E-3</v>
      </c>
      <c r="AA1744">
        <v>0.98790230000000001</v>
      </c>
      <c r="AB1744">
        <v>27</v>
      </c>
      <c r="AC1744">
        <v>-14.793900000000001</v>
      </c>
      <c r="AD1744">
        <v>-1.1110919061690001</v>
      </c>
      <c r="AE1744">
        <v>-1.52440000000001</v>
      </c>
      <c r="AF1744">
        <v>-2.3281893713399202</v>
      </c>
      <c r="AG1744">
        <v>-1.1110919061690001</v>
      </c>
      <c r="AH1744">
        <v>14.605282433342699</v>
      </c>
      <c r="AI1744">
        <v>94.296340379693504</v>
      </c>
      <c r="AJ1744">
        <v>99.057165113696897</v>
      </c>
      <c r="AK1744">
        <v>14.8313608927328</v>
      </c>
      <c r="AL1744">
        <v>89.821386880784303</v>
      </c>
      <c r="AM1744">
        <v>91.430258700768803</v>
      </c>
      <c r="AN1744">
        <v>1.00000001013934</v>
      </c>
    </row>
    <row r="1745" spans="1:40" x14ac:dyDescent="0.3">
      <c r="A1745" t="str">
        <f>"20200111160439855"</f>
        <v>20200111160439855</v>
      </c>
      <c r="B1745" t="str">
        <f>"1578729879852988"</f>
        <v>1578729879852988</v>
      </c>
      <c r="C1745" t="s">
        <v>40</v>
      </c>
      <c r="D1745">
        <v>5.5817269999999999</v>
      </c>
      <c r="E1745">
        <v>0.45122119999999999</v>
      </c>
      <c r="F1745" t="s">
        <v>61</v>
      </c>
      <c r="G1745">
        <v>-318.90519999999998</v>
      </c>
      <c r="H1745" s="1">
        <v>6.181521E-6</v>
      </c>
      <c r="I1745">
        <v>284.43959999999998</v>
      </c>
      <c r="J1745">
        <v>-304.07479999999998</v>
      </c>
      <c r="K1745">
        <v>1.111075</v>
      </c>
      <c r="L1745">
        <v>285.97399999999999</v>
      </c>
      <c r="M1745">
        <v>-0.99839690000000003</v>
      </c>
      <c r="N1745">
        <v>0</v>
      </c>
      <c r="O1745">
        <v>5.483561E-2</v>
      </c>
      <c r="P1745">
        <v>-0.99950000000000006</v>
      </c>
      <c r="Q1745">
        <v>-1.0569439999999999E-2</v>
      </c>
      <c r="R1745">
        <v>2.980907E-2</v>
      </c>
      <c r="S1745">
        <v>-3.0084529999999998</v>
      </c>
      <c r="T1745">
        <v>-0.2229739</v>
      </c>
      <c r="U1745">
        <v>-0.30624390000000001</v>
      </c>
      <c r="V1745">
        <v>-2.505485E-2</v>
      </c>
      <c r="W1745">
        <v>3.4196949999999999E-3</v>
      </c>
      <c r="X1745">
        <v>0.99968020000000002</v>
      </c>
      <c r="Y1745">
        <v>-0.1551072</v>
      </c>
      <c r="Z1745">
        <v>-9.7752329999999995E-3</v>
      </c>
      <c r="AA1745">
        <v>0.98784930000000004</v>
      </c>
      <c r="AB1745">
        <v>27</v>
      </c>
      <c r="AC1745">
        <v>-14.8303999999999</v>
      </c>
      <c r="AD1745">
        <v>-1.1110688184790001</v>
      </c>
      <c r="AE1745">
        <v>-1.5344</v>
      </c>
      <c r="AF1745">
        <v>-2.3324520693727302</v>
      </c>
      <c r="AG1745">
        <v>-1.1110688184790001</v>
      </c>
      <c r="AH1745">
        <v>14.6426186880736</v>
      </c>
      <c r="AI1745">
        <v>94.2854140994136</v>
      </c>
      <c r="AJ1745">
        <v>99.050719902648893</v>
      </c>
      <c r="AK1745">
        <v>14.868795802607499</v>
      </c>
      <c r="AL1745">
        <v>89.804065521717305</v>
      </c>
      <c r="AM1745">
        <v>91.435695833874306</v>
      </c>
      <c r="AN1745">
        <v>0.99999997104722704</v>
      </c>
    </row>
    <row r="1746" spans="1:40" x14ac:dyDescent="0.3">
      <c r="A1746" t="str">
        <f>"20200111160439869"</f>
        <v>20200111160439869</v>
      </c>
      <c r="B1746" t="str">
        <f>"1578729879862748"</f>
        <v>1578729879862748</v>
      </c>
      <c r="C1746" t="s">
        <v>40</v>
      </c>
      <c r="D1746">
        <v>5.5669899999999997</v>
      </c>
      <c r="E1746">
        <v>0.45121240000000001</v>
      </c>
      <c r="F1746" t="s">
        <v>61</v>
      </c>
      <c r="G1746">
        <v>-319.19200000000001</v>
      </c>
      <c r="H1746" s="1">
        <v>6.3097860000000002E-6</v>
      </c>
      <c r="I1746">
        <v>284.4271</v>
      </c>
      <c r="J1746">
        <v>-304.24770000000001</v>
      </c>
      <c r="K1746">
        <v>1.1110530000000001</v>
      </c>
      <c r="L1746">
        <v>285.98289999999997</v>
      </c>
      <c r="M1746">
        <v>-0.99842719999999896</v>
      </c>
      <c r="N1746">
        <v>0</v>
      </c>
      <c r="O1746">
        <v>5.4281219999999998E-2</v>
      </c>
      <c r="P1746">
        <v>-0.99952260000000004</v>
      </c>
      <c r="Q1746">
        <v>-1.061672E-2</v>
      </c>
      <c r="R1746">
        <v>2.901952E-2</v>
      </c>
      <c r="S1746">
        <v>-3.008362</v>
      </c>
      <c r="T1746">
        <v>-0.22110640000000001</v>
      </c>
      <c r="U1746">
        <v>-0.30783080000000002</v>
      </c>
      <c r="V1746">
        <v>-2.5289389999999998E-2</v>
      </c>
      <c r="W1746">
        <v>3.3705810000000001E-3</v>
      </c>
      <c r="X1746">
        <v>0.99967450000000002</v>
      </c>
      <c r="Y1746">
        <v>-0.15508849999999999</v>
      </c>
      <c r="Z1746">
        <v>-9.6523449999999997E-3</v>
      </c>
      <c r="AA1746">
        <v>0.98785339999999999</v>
      </c>
      <c r="AB1746">
        <v>27</v>
      </c>
      <c r="AC1746">
        <v>-14.944299999999901</v>
      </c>
      <c r="AD1746">
        <v>-1.1110466902139999</v>
      </c>
      <c r="AE1746">
        <v>-1.5557999999999701</v>
      </c>
      <c r="AF1746">
        <v>-2.3519200352460699</v>
      </c>
      <c r="AG1746">
        <v>-1.1110466902139999</v>
      </c>
      <c r="AH1746">
        <v>14.7571115672571</v>
      </c>
      <c r="AI1746">
        <v>94.252148936269094</v>
      </c>
      <c r="AJ1746">
        <v>99.055377876002694</v>
      </c>
      <c r="AK1746">
        <v>14.9846019102444</v>
      </c>
      <c r="AL1746">
        <v>89.806879570456701</v>
      </c>
      <c r="AM1746">
        <v>91.449138026375806</v>
      </c>
      <c r="AN1746">
        <v>1.00000001000654</v>
      </c>
    </row>
    <row r="1747" spans="1:40" x14ac:dyDescent="0.3">
      <c r="A1747" t="str">
        <f>"20200111160439887"</f>
        <v>20200111160439887</v>
      </c>
      <c r="B1747" t="str">
        <f>"1578729879882268"</f>
        <v>1578729879882268</v>
      </c>
      <c r="C1747" t="s">
        <v>40</v>
      </c>
      <c r="D1747">
        <v>5.8600430000000001</v>
      </c>
      <c r="E1747">
        <v>0.45080179999999997</v>
      </c>
      <c r="F1747" t="s">
        <v>61</v>
      </c>
      <c r="G1747">
        <v>-319.39819999999997</v>
      </c>
      <c r="H1747" s="1">
        <v>6.4018769999999899E-6</v>
      </c>
      <c r="I1747">
        <v>284.41989999999998</v>
      </c>
      <c r="J1747">
        <v>-304.45339999999999</v>
      </c>
      <c r="K1747">
        <v>1.111029</v>
      </c>
      <c r="L1747">
        <v>285.99329999999998</v>
      </c>
      <c r="M1747">
        <v>-0.99846170000000001</v>
      </c>
      <c r="N1747">
        <v>0</v>
      </c>
      <c r="O1747">
        <v>5.3640260000000002E-2</v>
      </c>
      <c r="P1747">
        <v>-0.99955640000000001</v>
      </c>
      <c r="Q1747">
        <v>-1.041973E-2</v>
      </c>
      <c r="R1747">
        <v>2.7898510000000001E-2</v>
      </c>
      <c r="S1747">
        <v>-3.0080870000000002</v>
      </c>
      <c r="T1747">
        <v>-0.2205946</v>
      </c>
      <c r="U1747">
        <v>-0.31033329999999998</v>
      </c>
      <c r="V1747">
        <v>-2.5768909999999999E-2</v>
      </c>
      <c r="W1747">
        <v>3.5656059999999998E-3</v>
      </c>
      <c r="X1747">
        <v>0.99966160000000004</v>
      </c>
      <c r="Y1747">
        <v>-0.15528040000000001</v>
      </c>
      <c r="Z1747">
        <v>-9.5907230000000007E-3</v>
      </c>
      <c r="AA1747">
        <v>0.98782389999999998</v>
      </c>
      <c r="AB1747">
        <v>27</v>
      </c>
      <c r="AC1747">
        <v>-14.944799999999899</v>
      </c>
      <c r="AD1747">
        <v>-1.111022598123</v>
      </c>
      <c r="AE1747">
        <v>-1.5733999999999899</v>
      </c>
      <c r="AF1747">
        <v>-2.3599565019507498</v>
      </c>
      <c r="AG1747">
        <v>-1.111022598123</v>
      </c>
      <c r="AH1747">
        <v>14.7582042465674</v>
      </c>
      <c r="AI1747">
        <v>94.251392099828195</v>
      </c>
      <c r="AJ1747">
        <v>99.0851431808982</v>
      </c>
      <c r="AK1747">
        <v>14.986939597130499</v>
      </c>
      <c r="AL1747">
        <v>89.795705398524504</v>
      </c>
      <c r="AM1747">
        <v>91.476622578133998</v>
      </c>
      <c r="AN1747">
        <v>1.00000003239164</v>
      </c>
    </row>
    <row r="1748" spans="1:40" x14ac:dyDescent="0.3">
      <c r="A1748" t="str">
        <f>"20200111160439909"</f>
        <v>20200111160439909</v>
      </c>
      <c r="B1748" t="str">
        <f>"1578729879902765"</f>
        <v>1578729879902765</v>
      </c>
      <c r="C1748" t="s">
        <v>40</v>
      </c>
      <c r="D1748">
        <v>5.5492160000000004</v>
      </c>
      <c r="E1748">
        <v>0.45110040000000001</v>
      </c>
      <c r="F1748" t="s">
        <v>61</v>
      </c>
      <c r="G1748">
        <v>-319.53410000000002</v>
      </c>
      <c r="H1748" s="1">
        <v>6.4635549999999996E-6</v>
      </c>
      <c r="I1748">
        <v>284.40359999999998</v>
      </c>
      <c r="J1748">
        <v>-304.73230000000001</v>
      </c>
      <c r="K1748">
        <v>1.111008</v>
      </c>
      <c r="L1748">
        <v>286.00729999999999</v>
      </c>
      <c r="M1748">
        <v>-0.99850669999999997</v>
      </c>
      <c r="N1748">
        <v>0</v>
      </c>
      <c r="O1748">
        <v>5.2801300000000002E-2</v>
      </c>
      <c r="P1748">
        <v>-0.9995965</v>
      </c>
      <c r="Q1748">
        <v>-9.7861159999999992E-3</v>
      </c>
      <c r="R1748">
        <v>2.6675939999999999E-2</v>
      </c>
      <c r="S1748">
        <v>-3.0078740000000002</v>
      </c>
      <c r="T1748">
        <v>-0.22159619999999999</v>
      </c>
      <c r="U1748">
        <v>-0.31707760000000001</v>
      </c>
      <c r="V1748">
        <v>-2.6152089999999999E-2</v>
      </c>
      <c r="W1748">
        <v>4.1964569999999998E-3</v>
      </c>
      <c r="X1748">
        <v>0.99964920000000002</v>
      </c>
      <c r="Y1748">
        <v>-0.15664220000000001</v>
      </c>
      <c r="Z1748">
        <v>-9.6221540000000008E-3</v>
      </c>
      <c r="AA1748">
        <v>0.98760859999999995</v>
      </c>
      <c r="AB1748">
        <v>27</v>
      </c>
      <c r="AC1748">
        <v>-14.8018</v>
      </c>
      <c r="AD1748">
        <v>-1.1110015364450001</v>
      </c>
      <c r="AE1748">
        <v>-1.6036999999999999</v>
      </c>
      <c r="AF1748">
        <v>-2.3698969201772799</v>
      </c>
      <c r="AG1748">
        <v>-1.1110015364450001</v>
      </c>
      <c r="AH1748">
        <v>14.6150793485194</v>
      </c>
      <c r="AI1748">
        <v>94.291282335397895</v>
      </c>
      <c r="AJ1748">
        <v>99.210583637225298</v>
      </c>
      <c r="AK1748">
        <v>14.8476018329482</v>
      </c>
      <c r="AL1748">
        <v>89.759560027116095</v>
      </c>
      <c r="AM1748">
        <v>91.498588385624402</v>
      </c>
      <c r="AN1748">
        <v>1.00000003256168</v>
      </c>
    </row>
    <row r="1749" spans="1:40" x14ac:dyDescent="0.3">
      <c r="A1749" t="str">
        <f>"20200111160439924"</f>
        <v>20200111160439924</v>
      </c>
      <c r="B1749" t="str">
        <f>"1578729879912525"</f>
        <v>1578729879912525</v>
      </c>
      <c r="C1749" t="s">
        <v>40</v>
      </c>
      <c r="D1749">
        <v>5.5862819999999997</v>
      </c>
      <c r="E1749">
        <v>0.45119219999999999</v>
      </c>
      <c r="F1749" t="s">
        <v>61</v>
      </c>
      <c r="G1749">
        <v>-319.8596</v>
      </c>
      <c r="H1749" s="1">
        <v>6.6076949999999999E-6</v>
      </c>
      <c r="I1749">
        <v>284.40589999999997</v>
      </c>
      <c r="J1749">
        <v>-304.89949999999999</v>
      </c>
      <c r="K1749">
        <v>1.110995</v>
      </c>
      <c r="L1749">
        <v>286.01560000000001</v>
      </c>
      <c r="M1749">
        <v>-0.99853270000000005</v>
      </c>
      <c r="N1749">
        <v>0</v>
      </c>
      <c r="O1749">
        <v>5.2308180000000003E-2</v>
      </c>
      <c r="P1749">
        <v>-0.99960939999999998</v>
      </c>
      <c r="Q1749">
        <v>-9.4202120000000007E-3</v>
      </c>
      <c r="R1749">
        <v>2.6321819999999999E-2</v>
      </c>
      <c r="S1749">
        <v>-3.0075379999999998</v>
      </c>
      <c r="T1749">
        <v>-0.220884</v>
      </c>
      <c r="U1749">
        <v>-0.3183899</v>
      </c>
      <c r="V1749">
        <v>-2.6013330000000001E-2</v>
      </c>
      <c r="W1749">
        <v>4.5617110000000004E-3</v>
      </c>
      <c r="X1749">
        <v>0.99965119999999996</v>
      </c>
      <c r="Y1749">
        <v>-0.15659709999999999</v>
      </c>
      <c r="Z1749">
        <v>-9.5544329999999993E-3</v>
      </c>
      <c r="AA1749">
        <v>0.98761639999999995</v>
      </c>
      <c r="AB1749">
        <v>27</v>
      </c>
      <c r="AC1749">
        <v>-14.960100000000001</v>
      </c>
      <c r="AD1749">
        <v>-1.1109883923049999</v>
      </c>
      <c r="AE1749">
        <v>-1.6097000000000301</v>
      </c>
      <c r="AF1749">
        <v>-2.37714823094558</v>
      </c>
      <c r="AG1749">
        <v>-1.1109883923049999</v>
      </c>
      <c r="AH1749">
        <v>14.774855130045999</v>
      </c>
      <c r="AI1749">
        <v>94.245837593599703</v>
      </c>
      <c r="AJ1749">
        <v>99.140072771656307</v>
      </c>
      <c r="AK1749">
        <v>15.0060478818899</v>
      </c>
      <c r="AL1749">
        <v>89.738632309023899</v>
      </c>
      <c r="AM1749">
        <v>91.490637663035798</v>
      </c>
      <c r="AN1749">
        <v>1.00000001210318</v>
      </c>
    </row>
    <row r="1750" spans="1:40" x14ac:dyDescent="0.3">
      <c r="A1750" t="str">
        <f>"20200111160439937"</f>
        <v>20200111160439937</v>
      </c>
      <c r="B1750" t="str">
        <f>"1578729879933020"</f>
        <v>1578729879933020</v>
      </c>
      <c r="C1750" t="s">
        <v>40</v>
      </c>
      <c r="D1750">
        <v>5.6068870000000004</v>
      </c>
      <c r="E1750">
        <v>0.45138040000000001</v>
      </c>
      <c r="F1750" t="s">
        <v>57</v>
      </c>
      <c r="G1750">
        <v>-320.06099999999998</v>
      </c>
      <c r="H1750" s="1">
        <v>-1.495213E-6</v>
      </c>
      <c r="I1750">
        <v>284.40750000000003</v>
      </c>
      <c r="J1750">
        <v>-305.07089999999999</v>
      </c>
      <c r="K1750">
        <v>1.1109910000000001</v>
      </c>
      <c r="L1750">
        <v>286.024</v>
      </c>
      <c r="M1750">
        <v>-0.99855850000000002</v>
      </c>
      <c r="N1750">
        <v>0</v>
      </c>
      <c r="O1750">
        <v>5.1811360000000001E-2</v>
      </c>
      <c r="P1750">
        <v>-0.99962930000000005</v>
      </c>
      <c r="Q1750">
        <v>-9.3662369999999995E-3</v>
      </c>
      <c r="R1750">
        <v>2.5567599999999999E-2</v>
      </c>
      <c r="S1750">
        <v>-3.0075069999999999</v>
      </c>
      <c r="T1750">
        <v>-0.22038260000000001</v>
      </c>
      <c r="U1750">
        <v>-0.31900020000000001</v>
      </c>
      <c r="V1750">
        <v>-2.6270249999999998E-2</v>
      </c>
      <c r="W1750">
        <v>4.6132090000000001E-3</v>
      </c>
      <c r="X1750">
        <v>0.99964419999999998</v>
      </c>
      <c r="Y1750">
        <v>-0.15630949999999999</v>
      </c>
      <c r="Z1750">
        <v>-9.4860350000000003E-3</v>
      </c>
      <c r="AA1750">
        <v>0.98766259999999995</v>
      </c>
      <c r="AB1750">
        <v>27</v>
      </c>
      <c r="AC1750">
        <v>-14.990099999999901</v>
      </c>
      <c r="AD1750">
        <v>-1.1109924952129999</v>
      </c>
      <c r="AE1750">
        <v>-1.6164999999999701</v>
      </c>
      <c r="AF1750">
        <v>-2.3781491077605801</v>
      </c>
      <c r="AG1750">
        <v>-1.1109924952129999</v>
      </c>
      <c r="AH1750">
        <v>14.805807316632199</v>
      </c>
      <c r="AI1750">
        <v>94.2371872290379</v>
      </c>
      <c r="AJ1750">
        <v>99.125062420225007</v>
      </c>
      <c r="AK1750">
        <v>15.0366827392348</v>
      </c>
      <c r="AL1750">
        <v>89.735681648079193</v>
      </c>
      <c r="AM1750">
        <v>91.505363703783601</v>
      </c>
      <c r="AN1750">
        <v>0.999999967162989</v>
      </c>
    </row>
    <row r="1751" spans="1:40" x14ac:dyDescent="0.3">
      <c r="A1751" t="str">
        <f>"20200111160439953"</f>
        <v>20200111160439953</v>
      </c>
      <c r="B1751" t="str">
        <f>"1578729879942780"</f>
        <v>1578729879942780</v>
      </c>
      <c r="C1751" t="s">
        <v>40</v>
      </c>
      <c r="D1751">
        <v>5.6072170000000003</v>
      </c>
      <c r="E1751">
        <v>0.45144489999999998</v>
      </c>
      <c r="F1751" t="s">
        <v>57</v>
      </c>
      <c r="G1751">
        <v>-320.21820000000002</v>
      </c>
      <c r="H1751" s="1">
        <v>-1.41183E-6</v>
      </c>
      <c r="I1751">
        <v>284.41399999999999</v>
      </c>
      <c r="J1751">
        <v>-305.25229999999999</v>
      </c>
      <c r="K1751">
        <v>1.110981</v>
      </c>
      <c r="L1751">
        <v>286.03280000000001</v>
      </c>
      <c r="M1751">
        <v>-0.99858550000000001</v>
      </c>
      <c r="N1751">
        <v>0</v>
      </c>
      <c r="O1751">
        <v>5.1288340000000002E-2</v>
      </c>
      <c r="P1751">
        <v>-0.999637</v>
      </c>
      <c r="Q1751">
        <v>-9.2193819999999999E-3</v>
      </c>
      <c r="R1751">
        <v>2.531854E-2</v>
      </c>
      <c r="S1751">
        <v>-3.0072329999999998</v>
      </c>
      <c r="T1751">
        <v>-0.22056770000000001</v>
      </c>
      <c r="U1751">
        <v>-0.31964110000000001</v>
      </c>
      <c r="V1751">
        <v>-2.5996149999999999E-2</v>
      </c>
      <c r="W1751">
        <v>4.7586429999999999E-3</v>
      </c>
      <c r="X1751">
        <v>0.9996507</v>
      </c>
      <c r="Y1751">
        <v>-0.15601099999999901</v>
      </c>
      <c r="Z1751">
        <v>-9.4456209999999995E-3</v>
      </c>
      <c r="AA1751">
        <v>0.98771019999999998</v>
      </c>
      <c r="AB1751">
        <v>27</v>
      </c>
      <c r="AC1751">
        <v>-14.9659</v>
      </c>
      <c r="AD1751">
        <v>-1.11098241183</v>
      </c>
      <c r="AE1751">
        <v>-1.61880000000002</v>
      </c>
      <c r="AF1751">
        <v>-2.3714036280587201</v>
      </c>
      <c r="AG1751">
        <v>-1.11098241183</v>
      </c>
      <c r="AH1751">
        <v>14.7826445920513</v>
      </c>
      <c r="AI1751">
        <v>94.243899209544196</v>
      </c>
      <c r="AJ1751">
        <v>99.113632319053494</v>
      </c>
      <c r="AK1751">
        <v>15.0128084721504</v>
      </c>
      <c r="AL1751">
        <v>89.727348806301507</v>
      </c>
      <c r="AM1751">
        <v>91.489654388741002</v>
      </c>
      <c r="AN1751">
        <v>0.99999998325425599</v>
      </c>
    </row>
    <row r="1752" spans="1:40" x14ac:dyDescent="0.3">
      <c r="A1752" t="str">
        <f>"20200111160439967"</f>
        <v>20200111160439967</v>
      </c>
      <c r="B1752" t="str">
        <f>"1578729879962300"</f>
        <v>1578729879962300</v>
      </c>
      <c r="C1752" t="s">
        <v>40</v>
      </c>
      <c r="D1752">
        <v>5.9039229999999998</v>
      </c>
      <c r="E1752">
        <v>0.4515825</v>
      </c>
      <c r="F1752" t="s">
        <v>57</v>
      </c>
      <c r="G1752">
        <v>-320.43759999999997</v>
      </c>
      <c r="H1752" s="1">
        <v>-1.295202E-6</v>
      </c>
      <c r="I1752">
        <v>284.4169</v>
      </c>
      <c r="J1752">
        <v>-305.40629999999999</v>
      </c>
      <c r="K1752">
        <v>1.110978</v>
      </c>
      <c r="L1752">
        <v>286.0403</v>
      </c>
      <c r="M1752">
        <v>-0.99860819999999995</v>
      </c>
      <c r="N1752">
        <v>0</v>
      </c>
      <c r="O1752">
        <v>5.0846559999999999E-2</v>
      </c>
      <c r="P1752">
        <v>-0.99964140000000001</v>
      </c>
      <c r="Q1752">
        <v>-9.3320030000000002E-3</v>
      </c>
      <c r="R1752">
        <v>2.510627E-2</v>
      </c>
      <c r="S1752">
        <v>-3.0071720000000002</v>
      </c>
      <c r="T1752">
        <v>-0.22001000000000001</v>
      </c>
      <c r="U1752">
        <v>-0.32000729999999999</v>
      </c>
      <c r="V1752">
        <v>-2.576546E-2</v>
      </c>
      <c r="W1752">
        <v>4.6451569999999996E-3</v>
      </c>
      <c r="X1752">
        <v>0.99965720000000002</v>
      </c>
      <c r="Y1752">
        <v>-0.1556999</v>
      </c>
      <c r="Z1752">
        <v>-9.3783990000000008E-3</v>
      </c>
      <c r="AA1752">
        <v>0.98775990000000002</v>
      </c>
      <c r="AB1752">
        <v>27</v>
      </c>
      <c r="AC1752">
        <v>-15.0312999999999</v>
      </c>
      <c r="AD1752">
        <v>-1.1109792952019999</v>
      </c>
      <c r="AE1752">
        <v>-1.6234</v>
      </c>
      <c r="AF1752">
        <v>-2.3728515380383599</v>
      </c>
      <c r="AG1752">
        <v>-1.1109792952019999</v>
      </c>
      <c r="AH1752">
        <v>14.849117299691899</v>
      </c>
      <c r="AI1752">
        <v>94.225366206960899</v>
      </c>
      <c r="AJ1752">
        <v>99.078962708338494</v>
      </c>
      <c r="AK1752">
        <v>15.0784940891307</v>
      </c>
      <c r="AL1752">
        <v>89.733851145449904</v>
      </c>
      <c r="AM1752">
        <v>91.476431467690503</v>
      </c>
      <c r="AN1752">
        <v>0.999999976962202</v>
      </c>
    </row>
    <row r="1753" spans="1:40" x14ac:dyDescent="0.3">
      <c r="A1753" t="str">
        <f>"20200111160439979"</f>
        <v>20200111160439979</v>
      </c>
      <c r="B1753" t="str">
        <f>"1578729879973036"</f>
        <v>1578729879973036</v>
      </c>
      <c r="C1753" t="s">
        <v>40</v>
      </c>
      <c r="D1753">
        <v>5.6190329999999999</v>
      </c>
      <c r="E1753">
        <v>0.45169039999999999</v>
      </c>
      <c r="F1753" t="s">
        <v>57</v>
      </c>
      <c r="G1753">
        <v>-320.53280000000001</v>
      </c>
      <c r="H1753" s="1">
        <v>-1.245233E-6</v>
      </c>
      <c r="I1753">
        <v>284.43270000000001</v>
      </c>
      <c r="J1753">
        <v>-305.57929999999999</v>
      </c>
      <c r="K1753">
        <v>1.1109739999999999</v>
      </c>
      <c r="L1753">
        <v>286.04860000000002</v>
      </c>
      <c r="M1753">
        <v>-0.99863329999999995</v>
      </c>
      <c r="N1753">
        <v>0</v>
      </c>
      <c r="O1753">
        <v>5.0351590000000002E-2</v>
      </c>
      <c r="P1753">
        <v>-0.99964759999999997</v>
      </c>
      <c r="Q1753">
        <v>-9.6558440000000002E-3</v>
      </c>
      <c r="R1753">
        <v>2.4728409999999999E-2</v>
      </c>
      <c r="S1753">
        <v>-3.0070800000000002</v>
      </c>
      <c r="T1753">
        <v>-0.22085730000000001</v>
      </c>
      <c r="U1753">
        <v>-0.31958009999999998</v>
      </c>
      <c r="V1753">
        <v>-2.5647280000000001E-2</v>
      </c>
      <c r="W1753">
        <v>4.3194790000000002E-3</v>
      </c>
      <c r="X1753">
        <v>0.99966169999999999</v>
      </c>
      <c r="Y1753">
        <v>-0.1550734</v>
      </c>
      <c r="Z1753">
        <v>-9.3556349999999993E-3</v>
      </c>
      <c r="AA1753">
        <v>0.98785869999999998</v>
      </c>
      <c r="AB1753">
        <v>27</v>
      </c>
      <c r="AC1753">
        <v>-14.9535</v>
      </c>
      <c r="AD1753">
        <v>-1.110975245233</v>
      </c>
      <c r="AE1753">
        <v>-1.6159000000000101</v>
      </c>
      <c r="AF1753">
        <v>-2.3540126188041799</v>
      </c>
      <c r="AG1753">
        <v>-1.110975245233</v>
      </c>
      <c r="AH1753">
        <v>14.7725571402187</v>
      </c>
      <c r="AI1753">
        <v>94.247463631473494</v>
      </c>
      <c r="AJ1753">
        <v>99.053981917851004</v>
      </c>
      <c r="AK1753">
        <v>15.0001361949162</v>
      </c>
      <c r="AL1753">
        <v>89.752511308468101</v>
      </c>
      <c r="AM1753">
        <v>91.469655793871596</v>
      </c>
      <c r="AN1753">
        <v>0.99999997765855897</v>
      </c>
    </row>
    <row r="1754" spans="1:40" x14ac:dyDescent="0.3">
      <c r="A1754" t="str">
        <f>"20200111160439998"</f>
        <v>20200111160439998</v>
      </c>
      <c r="B1754" t="str">
        <f>"1578729879992556"</f>
        <v>1578729879992556</v>
      </c>
      <c r="C1754" t="s">
        <v>40</v>
      </c>
      <c r="D1754">
        <v>5.7404929999999998</v>
      </c>
      <c r="E1754">
        <v>0.45168950000000002</v>
      </c>
      <c r="F1754" t="s">
        <v>57</v>
      </c>
      <c r="G1754">
        <v>-320.61250000000001</v>
      </c>
      <c r="H1754" s="1">
        <v>-1.203517E-6</v>
      </c>
      <c r="I1754">
        <v>284.44819999999999</v>
      </c>
      <c r="J1754">
        <v>-305.78539999999998</v>
      </c>
      <c r="K1754">
        <v>1.1109690000000001</v>
      </c>
      <c r="L1754">
        <v>286.05829999999997</v>
      </c>
      <c r="M1754">
        <v>-0.99866279999999996</v>
      </c>
      <c r="N1754">
        <v>0</v>
      </c>
      <c r="O1754">
        <v>4.9761760000000002E-2</v>
      </c>
      <c r="P1754">
        <v>-0.99963150000000001</v>
      </c>
      <c r="Q1754">
        <v>-1.0454700000000001E-2</v>
      </c>
      <c r="R1754">
        <v>2.5048730000000002E-2</v>
      </c>
      <c r="S1754">
        <v>-3.006866</v>
      </c>
      <c r="T1754">
        <v>-0.22221289999999999</v>
      </c>
      <c r="U1754">
        <v>-0.32009890000000002</v>
      </c>
      <c r="V1754">
        <v>-2.4735460000000001E-2</v>
      </c>
      <c r="W1754">
        <v>3.5198299999999998E-3</v>
      </c>
      <c r="X1754">
        <v>0.99968789999999996</v>
      </c>
      <c r="Y1754">
        <v>-0.15466179999999999</v>
      </c>
      <c r="Z1754">
        <v>-9.3549119999999999E-3</v>
      </c>
      <c r="AA1754">
        <v>0.9879232</v>
      </c>
      <c r="AB1754">
        <v>27</v>
      </c>
      <c r="AC1754">
        <v>-14.8271</v>
      </c>
      <c r="AD1754">
        <v>-1.1109702035169999</v>
      </c>
      <c r="AE1754">
        <v>-1.6100999999999801</v>
      </c>
      <c r="AF1754">
        <v>-2.33305421887477</v>
      </c>
      <c r="AG1754">
        <v>-1.1109702035169999</v>
      </c>
      <c r="AH1754">
        <v>14.6473226181028</v>
      </c>
      <c r="AI1754">
        <v>94.283670817599898</v>
      </c>
      <c r="AJ1754">
        <v>99.050158544648795</v>
      </c>
      <c r="AK1754">
        <v>14.8735152758216</v>
      </c>
      <c r="AL1754">
        <v>89.798328193036895</v>
      </c>
      <c r="AM1754">
        <v>91.417390713382005</v>
      </c>
      <c r="AN1754">
        <v>1.0000000647955201</v>
      </c>
    </row>
    <row r="1755" spans="1:40" x14ac:dyDescent="0.3">
      <c r="A1755" t="str">
        <f>"20200111160440020"</f>
        <v>20200111160440020</v>
      </c>
      <c r="B1755" t="str">
        <f>"1578729880013051"</f>
        <v>1578729880013051</v>
      </c>
      <c r="C1755" t="s">
        <v>40</v>
      </c>
      <c r="D1755">
        <v>6.3976850000000001</v>
      </c>
      <c r="E1755">
        <v>0.45180809999999999</v>
      </c>
      <c r="F1755" t="s">
        <v>57</v>
      </c>
      <c r="G1755">
        <v>-320.5478</v>
      </c>
      <c r="H1755" s="1">
        <v>-1.239807E-6</v>
      </c>
      <c r="I1755">
        <v>284.49090000000001</v>
      </c>
      <c r="J1755">
        <v>-306.05919999999998</v>
      </c>
      <c r="K1755">
        <v>1.1109610000000001</v>
      </c>
      <c r="L1755">
        <v>286.07100000000003</v>
      </c>
      <c r="M1755">
        <v>-0.99870190000000003</v>
      </c>
      <c r="N1755">
        <v>0</v>
      </c>
      <c r="O1755">
        <v>4.897489E-2</v>
      </c>
      <c r="P1755">
        <v>-0.99962830000000003</v>
      </c>
      <c r="Q1755">
        <v>-1.0981619999999999E-2</v>
      </c>
      <c r="R1755">
        <v>2.4955620000000001E-2</v>
      </c>
      <c r="S1755">
        <v>-3.0067439999999999</v>
      </c>
      <c r="T1755">
        <v>-0.2262778</v>
      </c>
      <c r="U1755">
        <v>-0.31924439999999998</v>
      </c>
      <c r="V1755">
        <v>-2.403953E-2</v>
      </c>
      <c r="W1755">
        <v>2.9905439999999999E-3</v>
      </c>
      <c r="X1755">
        <v>0.99970650000000005</v>
      </c>
      <c r="Y1755">
        <v>-0.1535947</v>
      </c>
      <c r="Z1755">
        <v>-9.4271059999999993E-3</v>
      </c>
      <c r="AA1755">
        <v>0.988089</v>
      </c>
      <c r="AB1755">
        <v>27</v>
      </c>
      <c r="AC1755">
        <v>-14.4886</v>
      </c>
      <c r="AD1755">
        <v>-1.110962239807</v>
      </c>
      <c r="AE1755">
        <v>-1.5800999999999501</v>
      </c>
      <c r="AF1755">
        <v>-2.2746339748831801</v>
      </c>
      <c r="AG1755">
        <v>-1.110962239807</v>
      </c>
      <c r="AH1755">
        <v>14.310665989060301</v>
      </c>
      <c r="AI1755">
        <v>94.384251115656696</v>
      </c>
      <c r="AJ1755">
        <v>99.031427298167699</v>
      </c>
      <c r="AK1755">
        <v>14.5328372270668</v>
      </c>
      <c r="AL1755">
        <v>89.828654188824402</v>
      </c>
      <c r="AM1755">
        <v>91.377502518035698</v>
      </c>
      <c r="AN1755">
        <v>0.99999996424914195</v>
      </c>
    </row>
    <row r="1756" spans="1:40" x14ac:dyDescent="0.3">
      <c r="A1756" t="str">
        <f>"20200111160440032"</f>
        <v>20200111160440032</v>
      </c>
      <c r="B1756" t="str">
        <f>"1578729880022812"</f>
        <v>1578729880022812</v>
      </c>
      <c r="C1756" t="s">
        <v>40</v>
      </c>
      <c r="D1756">
        <v>5.7748039999999996</v>
      </c>
      <c r="E1756">
        <v>0.4478627</v>
      </c>
      <c r="F1756" t="s">
        <v>57</v>
      </c>
      <c r="G1756">
        <v>-320.66149999999999</v>
      </c>
      <c r="H1756" s="1">
        <v>-1.1807120000000001E-6</v>
      </c>
      <c r="I1756">
        <v>284.52289999999999</v>
      </c>
      <c r="J1756">
        <v>-306.19779999999997</v>
      </c>
      <c r="K1756">
        <v>1.110959</v>
      </c>
      <c r="L1756">
        <v>286.07740000000001</v>
      </c>
      <c r="M1756">
        <v>-0.99872150000000004</v>
      </c>
      <c r="N1756">
        <v>0</v>
      </c>
      <c r="O1756">
        <v>4.8574560000000003E-2</v>
      </c>
      <c r="P1756">
        <v>-0.99963299999999999</v>
      </c>
      <c r="Q1756">
        <v>-1.127334E-2</v>
      </c>
      <c r="R1756">
        <v>2.4643559999999998E-2</v>
      </c>
      <c r="S1756">
        <v>-3.0065919999999999</v>
      </c>
      <c r="T1756">
        <v>-0.2287458</v>
      </c>
      <c r="U1756">
        <v>-0.31875609999999999</v>
      </c>
      <c r="V1756">
        <v>-2.3950889999999999E-2</v>
      </c>
      <c r="W1756">
        <v>2.6972900000000002E-3</v>
      </c>
      <c r="X1756">
        <v>0.99970950000000003</v>
      </c>
      <c r="Y1756">
        <v>-0.15303549999999999</v>
      </c>
      <c r="Z1756">
        <v>-9.4786579999999992E-3</v>
      </c>
      <c r="AA1756">
        <v>0.98817520000000003</v>
      </c>
      <c r="AB1756">
        <v>27</v>
      </c>
      <c r="AC1756">
        <v>-14.463699999999999</v>
      </c>
      <c r="AD1756">
        <v>-1.110960180712</v>
      </c>
      <c r="AE1756">
        <v>-1.55450000000001</v>
      </c>
      <c r="AF1756">
        <v>-2.24222369003266</v>
      </c>
      <c r="AG1756">
        <v>-1.110960180712</v>
      </c>
      <c r="AH1756">
        <v>14.287773964385</v>
      </c>
      <c r="AI1756">
        <v>94.392597559536</v>
      </c>
      <c r="AJ1756">
        <v>98.918857350787206</v>
      </c>
      <c r="AK1756">
        <v>14.505250237642599</v>
      </c>
      <c r="AL1756">
        <v>89.845456479861397</v>
      </c>
      <c r="AM1756">
        <v>91.372421137263999</v>
      </c>
      <c r="AN1756">
        <v>1.0000000024476901</v>
      </c>
    </row>
    <row r="1757" spans="1:40" x14ac:dyDescent="0.3">
      <c r="A1757" t="str">
        <f>"20200111160440045"</f>
        <v>20200111160440045</v>
      </c>
      <c r="B1757" t="str">
        <f>"1578729880042332"</f>
        <v>1578729880042332</v>
      </c>
      <c r="C1757" t="s">
        <v>40</v>
      </c>
      <c r="D1757">
        <v>5.6539830000000002</v>
      </c>
      <c r="E1757">
        <v>0.47154679999999999</v>
      </c>
      <c r="F1757" t="s">
        <v>58</v>
      </c>
      <c r="G1757">
        <v>-447.55450000000002</v>
      </c>
      <c r="H1757">
        <v>1.2407429999999999</v>
      </c>
      <c r="I1757">
        <v>270.0865</v>
      </c>
      <c r="J1757">
        <v>-306.34559999999999</v>
      </c>
      <c r="K1757">
        <v>1.110954</v>
      </c>
      <c r="L1757">
        <v>286.08420000000001</v>
      </c>
      <c r="M1757">
        <v>-0.99874209999999997</v>
      </c>
      <c r="N1757">
        <v>0</v>
      </c>
      <c r="O1757">
        <v>4.8147160000000001E-2</v>
      </c>
      <c r="P1757">
        <v>-0.99964419999999998</v>
      </c>
      <c r="Q1757">
        <v>-1.144034E-2</v>
      </c>
      <c r="R1757">
        <v>2.4097899999999998E-2</v>
      </c>
      <c r="S1757">
        <v>-3.0095519999999998</v>
      </c>
      <c r="T1757">
        <v>2.763391E-3</v>
      </c>
      <c r="U1757">
        <v>-0.34045409999999998</v>
      </c>
      <c r="V1757">
        <v>-2.4068160000000002E-2</v>
      </c>
      <c r="W1757">
        <v>2.52849E-3</v>
      </c>
      <c r="X1757">
        <v>0.99970709999999996</v>
      </c>
      <c r="Y1757">
        <v>-0.16012379999999901</v>
      </c>
      <c r="Z1757">
        <v>1.173696E-4</v>
      </c>
      <c r="AA1757">
        <v>0.98709690000000005</v>
      </c>
      <c r="AB1757">
        <v>27</v>
      </c>
      <c r="AC1757">
        <v>-141.2089</v>
      </c>
      <c r="AD1757">
        <v>0.12978899999999899</v>
      </c>
      <c r="AE1757">
        <v>-15.9977</v>
      </c>
      <c r="AF1757">
        <v>-22.778598191565699</v>
      </c>
      <c r="AG1757">
        <v>0.12978899999999899</v>
      </c>
      <c r="AH1757">
        <v>140.27466492064801</v>
      </c>
      <c r="AI1757">
        <v>89.947672574133705</v>
      </c>
      <c r="AJ1757">
        <v>99.223505121228897</v>
      </c>
      <c r="AK1757">
        <v>142.11214937280201</v>
      </c>
      <c r="AL1757">
        <v>89.855128036859</v>
      </c>
      <c r="AM1757">
        <v>91.379141600998395</v>
      </c>
      <c r="AN1757">
        <v>0.999999977688937</v>
      </c>
    </row>
    <row r="1758" spans="1:40" x14ac:dyDescent="0.3">
      <c r="A1758" t="str">
        <f>"20200111160440057"</f>
        <v>20200111160440057</v>
      </c>
      <c r="B1758" t="str">
        <f>"1578729880053068"</f>
        <v>1578729880053068</v>
      </c>
      <c r="C1758" t="s">
        <v>40</v>
      </c>
      <c r="D1758">
        <v>5.6655419999999896</v>
      </c>
      <c r="E1758">
        <v>0.47241300000000003</v>
      </c>
      <c r="F1758" t="s">
        <v>61</v>
      </c>
      <c r="G1758">
        <v>-315.66669999999999</v>
      </c>
      <c r="H1758" s="1">
        <v>4.6476150000000004E-6</v>
      </c>
      <c r="I1758">
        <v>285.55790000000002</v>
      </c>
      <c r="J1758">
        <v>-306.49439999999998</v>
      </c>
      <c r="K1758">
        <v>1.110951</v>
      </c>
      <c r="L1758">
        <v>286.0908</v>
      </c>
      <c r="M1758">
        <v>-0.99876290000000001</v>
      </c>
      <c r="N1758">
        <v>0</v>
      </c>
      <c r="O1758">
        <v>4.7715050000000002E-2</v>
      </c>
      <c r="P1758">
        <v>-0.99965369999999998</v>
      </c>
      <c r="Q1758">
        <v>-1.125994E-2</v>
      </c>
      <c r="R1758">
        <v>2.3788340000000002E-2</v>
      </c>
      <c r="S1758">
        <v>-3.0010680000000001</v>
      </c>
      <c r="T1758">
        <v>-0.35768509999999998</v>
      </c>
      <c r="U1758">
        <v>-0.16943359999999999</v>
      </c>
      <c r="V1758">
        <v>-2.3945170000000002E-2</v>
      </c>
      <c r="W1758">
        <v>2.7073029999999999E-3</v>
      </c>
      <c r="X1758">
        <v>0.99970959999999998</v>
      </c>
      <c r="Y1758">
        <v>-0.10288460000000001</v>
      </c>
      <c r="Z1758">
        <v>-1.176805E-2</v>
      </c>
      <c r="AA1758">
        <v>0.9946237</v>
      </c>
      <c r="AB1758">
        <v>27</v>
      </c>
      <c r="AC1758">
        <v>-9.1722999999999999</v>
      </c>
      <c r="AD1758">
        <v>-1.1109463523850001</v>
      </c>
      <c r="AE1758">
        <v>-0.53289999999998305</v>
      </c>
      <c r="AF1758">
        <v>-0.95601499421678404</v>
      </c>
      <c r="AG1758">
        <v>-1.1109463523850001</v>
      </c>
      <c r="AH1758">
        <v>9.0047653783500508</v>
      </c>
      <c r="AI1758">
        <v>96.994305584707604</v>
      </c>
      <c r="AJ1758">
        <v>96.060258122306607</v>
      </c>
      <c r="AK1758">
        <v>9.1232650945906801</v>
      </c>
      <c r="AL1758">
        <v>89.844882773583805</v>
      </c>
      <c r="AM1758">
        <v>91.372093360987606</v>
      </c>
      <c r="AN1758">
        <v>0.99999999249401095</v>
      </c>
    </row>
    <row r="1759" spans="1:40" x14ac:dyDescent="0.3">
      <c r="A1759" t="str">
        <f>"20200111160440071"</f>
        <v>20200111160440071</v>
      </c>
      <c r="B1759" t="str">
        <f>"1578729880062828"</f>
        <v>1578729880062828</v>
      </c>
      <c r="C1759" t="s">
        <v>40</v>
      </c>
      <c r="D1759">
        <v>5.6377969999999999</v>
      </c>
      <c r="E1759">
        <v>0.47292190000000001</v>
      </c>
      <c r="F1759" t="s">
        <v>61</v>
      </c>
      <c r="G1759">
        <v>-315.82420000000002</v>
      </c>
      <c r="H1759" s="1">
        <v>4.7152269999999999E-6</v>
      </c>
      <c r="I1759">
        <v>285.58319999999998</v>
      </c>
      <c r="J1759">
        <v>-306.65949999999998</v>
      </c>
      <c r="K1759">
        <v>1.1109500000000001</v>
      </c>
      <c r="L1759">
        <v>286.09820000000002</v>
      </c>
      <c r="M1759">
        <v>-0.9987857</v>
      </c>
      <c r="N1759">
        <v>0</v>
      </c>
      <c r="O1759">
        <v>4.7235149999999997E-2</v>
      </c>
      <c r="P1759">
        <v>-0.99965519999999997</v>
      </c>
      <c r="Q1759">
        <v>-1.160602E-2</v>
      </c>
      <c r="R1759">
        <v>2.3559110000000001E-2</v>
      </c>
      <c r="S1759">
        <v>-3.0009160000000001</v>
      </c>
      <c r="T1759">
        <v>-0.35733779999999998</v>
      </c>
      <c r="U1759">
        <v>-0.163269</v>
      </c>
      <c r="V1759">
        <v>-2.3693490000000001E-2</v>
      </c>
      <c r="W1759">
        <v>2.3596899999999998E-3</v>
      </c>
      <c r="X1759">
        <v>0.99971650000000001</v>
      </c>
      <c r="Y1759">
        <v>-0.100395</v>
      </c>
      <c r="Z1759">
        <v>-1.15533999999999E-2</v>
      </c>
      <c r="AA1759">
        <v>0.9948806</v>
      </c>
      <c r="AB1759">
        <v>27</v>
      </c>
      <c r="AC1759">
        <v>-9.16470000000003</v>
      </c>
      <c r="AD1759">
        <v>-1.1109452847729999</v>
      </c>
      <c r="AE1759">
        <v>-0.51500000000004298</v>
      </c>
      <c r="AF1759">
        <v>-0.93368676116417904</v>
      </c>
      <c r="AG1759">
        <v>-1.1109452847729999</v>
      </c>
      <c r="AH1759">
        <v>8.9983318945107698</v>
      </c>
      <c r="AI1759">
        <v>97.0009808676582</v>
      </c>
      <c r="AJ1759">
        <v>95.923936922981895</v>
      </c>
      <c r="AK1759">
        <v>9.1146007744443995</v>
      </c>
      <c r="AL1759">
        <v>89.864799598597997</v>
      </c>
      <c r="AM1759">
        <v>91.357667787249497</v>
      </c>
      <c r="AN1759">
        <v>1.00000001498876</v>
      </c>
    </row>
    <row r="1760" spans="1:40" x14ac:dyDescent="0.3">
      <c r="A1760" t="str">
        <f>"20200111160440087"</f>
        <v>20200111160440087</v>
      </c>
      <c r="B1760" t="str">
        <f>"1578729880082856"</f>
        <v>1578729880082856</v>
      </c>
      <c r="C1760" t="s">
        <v>40</v>
      </c>
      <c r="D1760">
        <v>5.6942729999999999</v>
      </c>
      <c r="E1760">
        <v>0.47317110000000001</v>
      </c>
      <c r="F1760" t="s">
        <v>61</v>
      </c>
      <c r="G1760">
        <v>-315.88839999999999</v>
      </c>
      <c r="H1760" s="1">
        <v>4.7418260000000004E-6</v>
      </c>
      <c r="I1760">
        <v>285.60489999999999</v>
      </c>
      <c r="J1760">
        <v>-306.85090000000002</v>
      </c>
      <c r="K1760">
        <v>1.110948</v>
      </c>
      <c r="L1760">
        <v>286.10660000000001</v>
      </c>
      <c r="M1760">
        <v>-0.99881189999999997</v>
      </c>
      <c r="N1760">
        <v>0</v>
      </c>
      <c r="O1760">
        <v>4.6676809999999999E-2</v>
      </c>
      <c r="P1760">
        <v>-0.99966060000000001</v>
      </c>
      <c r="Q1760">
        <v>-1.247584E-2</v>
      </c>
      <c r="R1760">
        <v>2.287136E-2</v>
      </c>
      <c r="S1760">
        <v>-3.00061</v>
      </c>
      <c r="T1760">
        <v>-0.36120150000000001</v>
      </c>
      <c r="U1760">
        <v>-0.16036989999999901</v>
      </c>
      <c r="V1760">
        <v>-2.3820810000000001E-2</v>
      </c>
      <c r="W1760">
        <v>1.487557E-3</v>
      </c>
      <c r="X1760">
        <v>0.99971509999999997</v>
      </c>
      <c r="Y1760">
        <v>-9.8877960000000001E-2</v>
      </c>
      <c r="Z1760">
        <v>-1.152105E-2</v>
      </c>
      <c r="AA1760">
        <v>0.99503280000000005</v>
      </c>
      <c r="AB1760">
        <v>27</v>
      </c>
      <c r="AC1760">
        <v>-9.0374999999999606</v>
      </c>
      <c r="AD1760">
        <v>-1.110943258174</v>
      </c>
      <c r="AE1760">
        <v>-0.50170000000002701</v>
      </c>
      <c r="AF1760">
        <v>-0.90933750021181303</v>
      </c>
      <c r="AG1760">
        <v>-1.110943258174</v>
      </c>
      <c r="AH1760">
        <v>8.8705976171603798</v>
      </c>
      <c r="AI1760">
        <v>97.101655607653299</v>
      </c>
      <c r="AJ1760">
        <v>95.853026133742603</v>
      </c>
      <c r="AK1760">
        <v>8.9860220174304697</v>
      </c>
      <c r="AL1760">
        <v>89.914769227484399</v>
      </c>
      <c r="AM1760">
        <v>91.364962546909197</v>
      </c>
      <c r="AN1760">
        <v>0.99999996249144596</v>
      </c>
    </row>
    <row r="1761" spans="1:40" x14ac:dyDescent="0.3">
      <c r="A1761" t="str">
        <f>"20200111160440099"</f>
        <v>20200111160440099</v>
      </c>
      <c r="B1761" t="str">
        <f>"1578729880092615"</f>
        <v>1578729880092615</v>
      </c>
      <c r="C1761" t="s">
        <v>40</v>
      </c>
      <c r="D1761">
        <v>5.6343699999999997</v>
      </c>
      <c r="E1761">
        <v>0.47320119999999999</v>
      </c>
      <c r="F1761" t="s">
        <v>61</v>
      </c>
      <c r="G1761">
        <v>-315.99110000000002</v>
      </c>
      <c r="H1761" s="1">
        <v>4.7864060000000002E-6</v>
      </c>
      <c r="I1761">
        <v>285.61610000000002</v>
      </c>
      <c r="J1761">
        <v>-307.00099999999998</v>
      </c>
      <c r="K1761">
        <v>1.1109469999999999</v>
      </c>
      <c r="L1761">
        <v>286.11320000000001</v>
      </c>
      <c r="M1761">
        <v>-0.99883250000000001</v>
      </c>
      <c r="N1761">
        <v>0</v>
      </c>
      <c r="O1761">
        <v>4.6238269999999998E-2</v>
      </c>
      <c r="P1761">
        <v>-0.99965570000000004</v>
      </c>
      <c r="Q1761">
        <v>-1.32338E-2</v>
      </c>
      <c r="R1761">
        <v>2.2670059999999999E-2</v>
      </c>
      <c r="S1761">
        <v>-3.0001530000000001</v>
      </c>
      <c r="T1761">
        <v>-0.36465219999999998</v>
      </c>
      <c r="U1761">
        <v>-0.16101070000000001</v>
      </c>
      <c r="V1761">
        <v>-2.358153E-2</v>
      </c>
      <c r="W1761">
        <v>7.2795559999999995E-4</v>
      </c>
      <c r="X1761">
        <v>0.99972159999999999</v>
      </c>
      <c r="Y1761">
        <v>-9.8645689999999994E-2</v>
      </c>
      <c r="Z1761">
        <v>-1.1564899999999999E-2</v>
      </c>
      <c r="AA1761">
        <v>0.99505540000000003</v>
      </c>
      <c r="AB1761">
        <v>27</v>
      </c>
      <c r="AC1761">
        <v>-8.9901000000000302</v>
      </c>
      <c r="AD1761">
        <v>-1.1109422135939999</v>
      </c>
      <c r="AE1761">
        <v>-0.497099999999989</v>
      </c>
      <c r="AF1761">
        <v>-0.89861506667243296</v>
      </c>
      <c r="AG1761">
        <v>-1.1109422135939999</v>
      </c>
      <c r="AH1761">
        <v>8.8231716136555196</v>
      </c>
      <c r="AI1761">
        <v>97.139903289511295</v>
      </c>
      <c r="AJ1761">
        <v>95.815361080761505</v>
      </c>
      <c r="AK1761">
        <v>8.9381239062799001</v>
      </c>
      <c r="AL1761">
        <v>89.958291210594098</v>
      </c>
      <c r="AM1761">
        <v>91.351247827116694</v>
      </c>
      <c r="AN1761">
        <v>0.99999994799152603</v>
      </c>
    </row>
    <row r="1762" spans="1:40" x14ac:dyDescent="0.3">
      <c r="A1762" t="str">
        <f>"20200111160440112"</f>
        <v>20200111160440112</v>
      </c>
      <c r="B1762" t="str">
        <f>"1578729880102376"</f>
        <v>1578729880102376</v>
      </c>
      <c r="C1762" t="s">
        <v>40</v>
      </c>
      <c r="D1762">
        <v>5.8806620000000001</v>
      </c>
      <c r="E1762">
        <v>0.47391280000000002</v>
      </c>
      <c r="F1762" t="s">
        <v>61</v>
      </c>
      <c r="G1762">
        <v>-316.02510000000001</v>
      </c>
      <c r="H1762" s="1">
        <v>4.8005089999999996E-6</v>
      </c>
      <c r="I1762">
        <v>285.62729999999999</v>
      </c>
      <c r="J1762">
        <v>-307.13619999999997</v>
      </c>
      <c r="K1762">
        <v>1.110943</v>
      </c>
      <c r="L1762">
        <v>286.11900000000003</v>
      </c>
      <c r="M1762">
        <v>-0.99885080000000004</v>
      </c>
      <c r="N1762">
        <v>0</v>
      </c>
      <c r="O1762">
        <v>4.5843290000000002E-2</v>
      </c>
      <c r="P1762">
        <v>-0.99965210000000004</v>
      </c>
      <c r="Q1762">
        <v>-1.385869E-2</v>
      </c>
      <c r="R1762">
        <v>2.2444499999999999E-2</v>
      </c>
      <c r="S1762">
        <v>-2.9997859999999998</v>
      </c>
      <c r="T1762">
        <v>-0.36929879999999998</v>
      </c>
      <c r="U1762">
        <v>-0.16152949999999999</v>
      </c>
      <c r="V1762">
        <v>-2.341087E-2</v>
      </c>
      <c r="W1762">
        <v>1.018683E-4</v>
      </c>
      <c r="X1762">
        <v>0.99972589999999995</v>
      </c>
      <c r="Y1762">
        <v>-9.8407649999999999E-2</v>
      </c>
      <c r="Z1762">
        <v>-1.164954E-2</v>
      </c>
      <c r="AA1762">
        <v>0.99507800000000002</v>
      </c>
      <c r="AB1762">
        <v>27</v>
      </c>
      <c r="AC1762">
        <v>-8.8889000000000298</v>
      </c>
      <c r="AD1762">
        <v>-1.1109381994909999</v>
      </c>
      <c r="AE1762">
        <v>-0.491700000000037</v>
      </c>
      <c r="AF1762">
        <v>-0.88493854066615896</v>
      </c>
      <c r="AG1762">
        <v>-1.1109381994909999</v>
      </c>
      <c r="AH1762">
        <v>8.72119900071303</v>
      </c>
      <c r="AI1762">
        <v>97.222755549507696</v>
      </c>
      <c r="AJ1762">
        <v>95.793961933547195</v>
      </c>
      <c r="AK1762">
        <v>8.8360970973548394</v>
      </c>
      <c r="AL1762">
        <v>89.994163376200405</v>
      </c>
      <c r="AM1762">
        <v>91.341466638360302</v>
      </c>
      <c r="AN1762">
        <v>0.99999997717105804</v>
      </c>
    </row>
    <row r="1763" spans="1:40" x14ac:dyDescent="0.3">
      <c r="A1763" t="str">
        <f>"20200111160440126"</f>
        <v>20200111160440126</v>
      </c>
      <c r="B1763" t="str">
        <f>"1578729880122872"</f>
        <v>1578729880122872</v>
      </c>
      <c r="C1763" t="s">
        <v>40</v>
      </c>
      <c r="D1763">
        <v>5.6816639999999996</v>
      </c>
      <c r="E1763">
        <v>0.4734508</v>
      </c>
      <c r="F1763" t="s">
        <v>61</v>
      </c>
      <c r="G1763">
        <v>-316.14690000000002</v>
      </c>
      <c r="H1763" s="1">
        <v>4.8525980000000003E-6</v>
      </c>
      <c r="I1763">
        <v>285.64879999999999</v>
      </c>
      <c r="J1763">
        <v>-307.31279999999998</v>
      </c>
      <c r="K1763">
        <v>1.110941</v>
      </c>
      <c r="L1763">
        <v>286.1266</v>
      </c>
      <c r="M1763">
        <v>-0.99887409999999999</v>
      </c>
      <c r="N1763">
        <v>0</v>
      </c>
      <c r="O1763">
        <v>4.5326970000000001E-2</v>
      </c>
      <c r="P1763">
        <v>-0.99965389999999998</v>
      </c>
      <c r="Q1763">
        <v>-1.44966E-2</v>
      </c>
      <c r="R1763">
        <v>2.1953139999999999E-2</v>
      </c>
      <c r="S1763">
        <v>-2.9994510000000001</v>
      </c>
      <c r="T1763">
        <v>-0.36980879999999999</v>
      </c>
      <c r="U1763">
        <v>-0.15652469999999999</v>
      </c>
      <c r="V1763">
        <v>-2.338465E-2</v>
      </c>
      <c r="W1763">
        <v>-5.379483E-4</v>
      </c>
      <c r="X1763">
        <v>0.99972640000000002</v>
      </c>
      <c r="Y1763">
        <v>-9.6260120000000005E-2</v>
      </c>
      <c r="Z1763">
        <v>-1.1472090000000001E-2</v>
      </c>
      <c r="AA1763">
        <v>0.99529009999999996</v>
      </c>
      <c r="AB1763">
        <v>27</v>
      </c>
      <c r="AC1763">
        <v>-8.8341000000000296</v>
      </c>
      <c r="AD1763">
        <v>-1.1109361474020001</v>
      </c>
      <c r="AE1763">
        <v>-0.477800000000002</v>
      </c>
      <c r="AF1763">
        <v>-0.86414495493789201</v>
      </c>
      <c r="AG1763">
        <v>-1.1109361474020001</v>
      </c>
      <c r="AH1763">
        <v>8.6667000592954508</v>
      </c>
      <c r="AI1763">
        <v>97.268938193426905</v>
      </c>
      <c r="AJ1763">
        <v>95.694064762375703</v>
      </c>
      <c r="AK1763">
        <v>8.7802400618969791</v>
      </c>
      <c r="AL1763">
        <v>90.030822168578794</v>
      </c>
      <c r="AM1763">
        <v>91.339964083873497</v>
      </c>
      <c r="AN1763">
        <v>1.0000000030504701</v>
      </c>
    </row>
    <row r="1764" spans="1:40" x14ac:dyDescent="0.3">
      <c r="A1764" t="str">
        <f>"20200111160440142"</f>
        <v>20200111160440142</v>
      </c>
      <c r="B1764" t="str">
        <f>"1578729880132632"</f>
        <v>1578729880132632</v>
      </c>
      <c r="C1764" t="s">
        <v>40</v>
      </c>
      <c r="D1764">
        <v>5.6731720000000001</v>
      </c>
      <c r="E1764">
        <v>0.4734796</v>
      </c>
      <c r="F1764" t="s">
        <v>61</v>
      </c>
      <c r="G1764">
        <v>-316.27809999999999</v>
      </c>
      <c r="H1764" s="1">
        <v>4.9112989999999996E-6</v>
      </c>
      <c r="I1764">
        <v>285.64319999999998</v>
      </c>
      <c r="J1764">
        <v>-307.4991</v>
      </c>
      <c r="K1764">
        <v>1.1109329999999999</v>
      </c>
      <c r="L1764">
        <v>286.13440000000003</v>
      </c>
      <c r="M1764">
        <v>-0.99889899999999998</v>
      </c>
      <c r="N1764">
        <v>0</v>
      </c>
      <c r="O1764">
        <v>4.4781290000000001E-2</v>
      </c>
      <c r="P1764">
        <v>-0.99964509999999995</v>
      </c>
      <c r="Q1764">
        <v>-1.5832329999999999E-2</v>
      </c>
      <c r="R1764">
        <v>2.1435099999999999E-2</v>
      </c>
      <c r="S1764">
        <v>-2.9992369999999999</v>
      </c>
      <c r="T1764">
        <v>-0.3716508</v>
      </c>
      <c r="U1764">
        <v>-0.16171259999999901</v>
      </c>
      <c r="V1764">
        <v>-2.3353619999999999E-2</v>
      </c>
      <c r="W1764">
        <v>-1.8759790000000001E-3</v>
      </c>
      <c r="X1764">
        <v>0.99972550000000004</v>
      </c>
      <c r="Y1764">
        <v>-9.7421430000000003E-2</v>
      </c>
      <c r="Z1764">
        <v>-1.1533470000000001E-2</v>
      </c>
      <c r="AA1764">
        <v>0.99517639999999996</v>
      </c>
      <c r="AB1764">
        <v>27</v>
      </c>
      <c r="AC1764">
        <v>-8.7789999999999893</v>
      </c>
      <c r="AD1764">
        <v>-1.110928088701</v>
      </c>
      <c r="AE1764">
        <v>-0.49120000000004799</v>
      </c>
      <c r="AF1764">
        <v>-0.86999249969053905</v>
      </c>
      <c r="AG1764">
        <v>-1.110928088701</v>
      </c>
      <c r="AH1764">
        <v>8.6107363080018295</v>
      </c>
      <c r="AI1764">
        <v>97.314664273843306</v>
      </c>
      <c r="AJ1764">
        <v>95.769345598175406</v>
      </c>
      <c r="AK1764">
        <v>8.7255846757523106</v>
      </c>
      <c r="AL1764">
        <v>90.107485742941805</v>
      </c>
      <c r="AM1764">
        <v>91.338187884733401</v>
      </c>
      <c r="AN1764">
        <v>0.99999999310728105</v>
      </c>
    </row>
    <row r="1765" spans="1:40" x14ac:dyDescent="0.3">
      <c r="A1765" t="str">
        <f>"20200111160440156"</f>
        <v>20200111160440156</v>
      </c>
      <c r="B1765" t="str">
        <f>"1578729880152152"</f>
        <v>1578729880152152</v>
      </c>
      <c r="C1765" t="s">
        <v>40</v>
      </c>
      <c r="D1765">
        <v>5.8185089999999997</v>
      </c>
      <c r="E1765">
        <v>0.47337849999999998</v>
      </c>
      <c r="F1765" t="s">
        <v>61</v>
      </c>
      <c r="G1765">
        <v>-316.36009999999999</v>
      </c>
      <c r="H1765" s="1">
        <v>4.9467569999999997E-6</v>
      </c>
      <c r="I1765">
        <v>285.65359999999998</v>
      </c>
      <c r="J1765">
        <v>-307.65280000000001</v>
      </c>
      <c r="K1765">
        <v>1.1109290000000001</v>
      </c>
      <c r="L1765">
        <v>286.14080000000001</v>
      </c>
      <c r="M1765">
        <v>-0.998919</v>
      </c>
      <c r="N1765">
        <v>0</v>
      </c>
      <c r="O1765">
        <v>4.433161E-2</v>
      </c>
      <c r="P1765">
        <v>-0.99964620000000004</v>
      </c>
      <c r="Q1765">
        <v>-1.618787E-2</v>
      </c>
      <c r="R1765">
        <v>2.110737E-2</v>
      </c>
      <c r="S1765">
        <v>-2.9986269999999999</v>
      </c>
      <c r="T1765">
        <v>-0.37594349999999999</v>
      </c>
      <c r="U1765">
        <v>-0.16271969999999999</v>
      </c>
      <c r="V1765">
        <v>-2.3230609999999999E-2</v>
      </c>
      <c r="W1765">
        <v>-2.2330739999999998E-3</v>
      </c>
      <c r="X1765">
        <v>0.9997277</v>
      </c>
      <c r="Y1765">
        <v>-9.7296549999999996E-2</v>
      </c>
      <c r="Z1765">
        <v>-1.160401E-2</v>
      </c>
      <c r="AA1765">
        <v>0.99518779999999996</v>
      </c>
      <c r="AB1765">
        <v>27</v>
      </c>
      <c r="AC1765">
        <v>-8.7072999999999698</v>
      </c>
      <c r="AD1765">
        <v>-1.110924053243</v>
      </c>
      <c r="AE1765">
        <v>-0.487200000000029</v>
      </c>
      <c r="AF1765">
        <v>-0.85883085988155194</v>
      </c>
      <c r="AG1765">
        <v>-1.110924053243</v>
      </c>
      <c r="AH1765">
        <v>8.5385800172411397</v>
      </c>
      <c r="AI1765">
        <v>97.376103424802494</v>
      </c>
      <c r="AJ1765">
        <v>95.743629832022194</v>
      </c>
      <c r="AK1765">
        <v>8.6532705613998004</v>
      </c>
      <c r="AL1765">
        <v>90.127945814071495</v>
      </c>
      <c r="AM1765">
        <v>91.331138892202901</v>
      </c>
      <c r="AN1765">
        <v>1.00000006100387</v>
      </c>
    </row>
    <row r="1766" spans="1:40" x14ac:dyDescent="0.3">
      <c r="A1766" t="str">
        <f>"20200111160440168"</f>
        <v>20200111160440168</v>
      </c>
      <c r="B1766" t="str">
        <f>"1578729880162888"</f>
        <v>1578729880162888</v>
      </c>
      <c r="C1766" t="s">
        <v>40</v>
      </c>
      <c r="D1766">
        <v>5.8587980000000002</v>
      </c>
      <c r="E1766">
        <v>0.47337849999999998</v>
      </c>
      <c r="F1766" t="s">
        <v>61</v>
      </c>
      <c r="G1766">
        <v>-316.47480000000002</v>
      </c>
      <c r="H1766" s="1">
        <v>4.9973119999999999E-6</v>
      </c>
      <c r="I1766">
        <v>285.65679999999998</v>
      </c>
      <c r="J1766">
        <v>-307.80419999999998</v>
      </c>
      <c r="K1766">
        <v>1.1109249999999999</v>
      </c>
      <c r="L1766">
        <v>286.14710000000002</v>
      </c>
      <c r="M1766">
        <v>-0.99893860000000001</v>
      </c>
      <c r="N1766">
        <v>0</v>
      </c>
      <c r="O1766">
        <v>4.3888419999999997E-2</v>
      </c>
      <c r="P1766">
        <v>-0.99964850000000005</v>
      </c>
      <c r="Q1766">
        <v>-1.6625040000000001E-2</v>
      </c>
      <c r="R1766">
        <v>2.0650689999999999E-2</v>
      </c>
      <c r="S1766">
        <v>-2.9984440000000001</v>
      </c>
      <c r="T1766">
        <v>-0.37758429999999998</v>
      </c>
      <c r="U1766">
        <v>-0.16452030000000001</v>
      </c>
      <c r="V1766">
        <v>-2.324298E-2</v>
      </c>
      <c r="W1766">
        <v>-2.6720139999999999E-3</v>
      </c>
      <c r="X1766">
        <v>0.99972629999999996</v>
      </c>
      <c r="Y1766">
        <v>-9.7446720000000001E-2</v>
      </c>
      <c r="Z1766">
        <v>-1.160866E-2</v>
      </c>
      <c r="AA1766">
        <v>0.99517299999999997</v>
      </c>
      <c r="AB1766">
        <v>26</v>
      </c>
      <c r="AC1766">
        <v>-8.6706000000000305</v>
      </c>
      <c r="AD1766">
        <v>-1.110920002688</v>
      </c>
      <c r="AE1766">
        <v>-0.49030000000004698</v>
      </c>
      <c r="AF1766">
        <v>-0.85638992313457196</v>
      </c>
      <c r="AG1766">
        <v>-1.110920002688</v>
      </c>
      <c r="AH1766">
        <v>8.5016056274859597</v>
      </c>
      <c r="AI1766">
        <v>97.407690894693502</v>
      </c>
      <c r="AJ1766">
        <v>95.752156643883495</v>
      </c>
      <c r="AK1766">
        <v>8.6165448526726696</v>
      </c>
      <c r="AL1766">
        <v>90.153095303294705</v>
      </c>
      <c r="AM1766">
        <v>91.331849315671505</v>
      </c>
      <c r="AN1766">
        <v>1.00000002534489</v>
      </c>
    </row>
    <row r="1767" spans="1:40" x14ac:dyDescent="0.3">
      <c r="A1767" t="str">
        <f>"20200111160440179"</f>
        <v>20200111160440179</v>
      </c>
      <c r="B1767" t="str">
        <f>"1578729880172179"</f>
        <v>1578729880172179</v>
      </c>
      <c r="C1767" t="s">
        <v>40</v>
      </c>
      <c r="D1767">
        <v>5.8051599999999999</v>
      </c>
      <c r="E1767">
        <v>0.47367189999999998</v>
      </c>
      <c r="F1767" t="s">
        <v>61</v>
      </c>
      <c r="G1767">
        <v>-316.59609999999998</v>
      </c>
      <c r="H1767" s="1">
        <v>5.0508619999999996E-6</v>
      </c>
      <c r="I1767">
        <v>285.65969999999999</v>
      </c>
      <c r="J1767">
        <v>-307.95280000000002</v>
      </c>
      <c r="K1767">
        <v>1.1109169999999999</v>
      </c>
      <c r="L1767">
        <v>286.15309999999999</v>
      </c>
      <c r="M1767">
        <v>-0.9989576</v>
      </c>
      <c r="N1767">
        <v>0</v>
      </c>
      <c r="O1767">
        <v>4.3453230000000002E-2</v>
      </c>
      <c r="P1767">
        <v>-0.99965709999999997</v>
      </c>
      <c r="Q1767">
        <v>-1.6762280000000001E-2</v>
      </c>
      <c r="R1767">
        <v>2.0124139999999999E-2</v>
      </c>
      <c r="S1767">
        <v>-2.9981990000000001</v>
      </c>
      <c r="T1767">
        <v>-0.37884479999999998</v>
      </c>
      <c r="U1767">
        <v>-0.1661987</v>
      </c>
      <c r="V1767">
        <v>-2.3334029999999999E-2</v>
      </c>
      <c r="W1767">
        <v>-2.8110520000000001E-3</v>
      </c>
      <c r="X1767">
        <v>0.99972380000000005</v>
      </c>
      <c r="Y1767">
        <v>-9.7568009999999997E-2</v>
      </c>
      <c r="Z1767">
        <v>-1.160079E-2</v>
      </c>
      <c r="AA1767">
        <v>0.99516119999999997</v>
      </c>
      <c r="AB1767">
        <v>26</v>
      </c>
      <c r="AC1767">
        <v>-8.6432999999999502</v>
      </c>
      <c r="AD1767">
        <v>-1.110911949138</v>
      </c>
      <c r="AE1767">
        <v>-0.493400000000008</v>
      </c>
      <c r="AF1767">
        <v>-0.854480062036862</v>
      </c>
      <c r="AG1767">
        <v>-1.110911949138</v>
      </c>
      <c r="AH1767">
        <v>8.4741573823442593</v>
      </c>
      <c r="AI1767">
        <v>97.431289783635407</v>
      </c>
      <c r="AJ1767">
        <v>95.757879878969803</v>
      </c>
      <c r="AK1767">
        <v>8.5892726627983897</v>
      </c>
      <c r="AL1767">
        <v>90.161061623260906</v>
      </c>
      <c r="AM1767">
        <v>91.337068036854802</v>
      </c>
      <c r="AN1767">
        <v>1.00000002762791</v>
      </c>
    </row>
    <row r="1768" spans="1:40" x14ac:dyDescent="0.3">
      <c r="A1768" t="str">
        <f>"20200111160440200"</f>
        <v>20200111160440200</v>
      </c>
      <c r="B1768" t="str">
        <f>"1578729880192675"</f>
        <v>1578729880192675</v>
      </c>
      <c r="C1768" t="s">
        <v>40</v>
      </c>
      <c r="D1768">
        <v>5.7495890000000003</v>
      </c>
      <c r="E1768">
        <v>0.47357900000000003</v>
      </c>
      <c r="F1768" t="s">
        <v>61</v>
      </c>
      <c r="G1768">
        <v>-316.74149999999997</v>
      </c>
      <c r="H1768" s="1">
        <v>5.1145870000000004E-6</v>
      </c>
      <c r="I1768">
        <v>285.66829999999999</v>
      </c>
      <c r="J1768">
        <v>-308.1773</v>
      </c>
      <c r="K1768">
        <v>1.110914</v>
      </c>
      <c r="L1768">
        <v>286.16219999999998</v>
      </c>
      <c r="M1768">
        <v>-0.99898589999999998</v>
      </c>
      <c r="N1768">
        <v>0</v>
      </c>
      <c r="O1768">
        <v>4.2795979999999997E-2</v>
      </c>
      <c r="P1768">
        <v>-0.99965899999999996</v>
      </c>
      <c r="Q1768">
        <v>-1.7472669999999999E-2</v>
      </c>
      <c r="R1768">
        <v>1.9402679999999999E-2</v>
      </c>
      <c r="S1768">
        <v>-2.9980159999999998</v>
      </c>
      <c r="T1768">
        <v>-0.37895640000000003</v>
      </c>
      <c r="U1768">
        <v>-0.16537479999999999</v>
      </c>
      <c r="V1768">
        <v>-2.3396420000000001E-2</v>
      </c>
      <c r="W1768">
        <v>-3.5239569999999999E-3</v>
      </c>
      <c r="X1768">
        <v>0.99972000000000005</v>
      </c>
      <c r="Y1768">
        <v>-9.6655580000000005E-2</v>
      </c>
      <c r="Z1768">
        <v>-1.146488E-2</v>
      </c>
      <c r="AA1768">
        <v>0.99525180000000002</v>
      </c>
      <c r="AB1768">
        <v>26</v>
      </c>
      <c r="AC1768">
        <v>-8.5641999999999694</v>
      </c>
      <c r="AD1768">
        <v>-1.110908885413</v>
      </c>
      <c r="AE1768">
        <v>-0.49389999999999601</v>
      </c>
      <c r="AF1768">
        <v>-0.84581207564222405</v>
      </c>
      <c r="AG1768">
        <v>-1.110908885413</v>
      </c>
      <c r="AH1768">
        <v>8.3944358675981992</v>
      </c>
      <c r="AI1768">
        <v>97.501099436846701</v>
      </c>
      <c r="AJ1768">
        <v>95.753627307968699</v>
      </c>
      <c r="AK1768">
        <v>8.5097632255081503</v>
      </c>
      <c r="AL1768">
        <v>90.201908292370703</v>
      </c>
      <c r="AM1768">
        <v>91.340646850051598</v>
      </c>
      <c r="AN1768">
        <v>0.99999994457087504</v>
      </c>
    </row>
    <row r="1769" spans="1:40" x14ac:dyDescent="0.3">
      <c r="A1769" t="str">
        <f>"20200111160440214"</f>
        <v>20200111160440214</v>
      </c>
      <c r="B1769" t="str">
        <f>"1578729880202435"</f>
        <v>1578729880202435</v>
      </c>
      <c r="C1769" t="s">
        <v>40</v>
      </c>
      <c r="D1769">
        <v>5.7004429999999999</v>
      </c>
      <c r="E1769">
        <v>0.47363709999999998</v>
      </c>
      <c r="F1769" t="s">
        <v>61</v>
      </c>
      <c r="G1769">
        <v>-316.9074</v>
      </c>
      <c r="H1769" s="1">
        <v>5.1878459999999997E-6</v>
      </c>
      <c r="I1769">
        <v>285.67219999999998</v>
      </c>
      <c r="J1769">
        <v>-308.33679999999998</v>
      </c>
      <c r="K1769">
        <v>1.1109100000000001</v>
      </c>
      <c r="L1769">
        <v>286.16849999999999</v>
      </c>
      <c r="M1769">
        <v>-0.9990059</v>
      </c>
      <c r="N1769">
        <v>0</v>
      </c>
      <c r="O1769">
        <v>4.2329079999999998E-2</v>
      </c>
      <c r="P1769">
        <v>-0.99967399999999995</v>
      </c>
      <c r="Q1769">
        <v>-1.7446860000000002E-2</v>
      </c>
      <c r="R1769">
        <v>1.864627E-2</v>
      </c>
      <c r="S1769">
        <v>-2.9975890000000001</v>
      </c>
      <c r="T1769">
        <v>-0.38144319999999998</v>
      </c>
      <c r="U1769">
        <v>-0.16824339999999999</v>
      </c>
      <c r="V1769">
        <v>-2.3685299999999999E-2</v>
      </c>
      <c r="W1769">
        <v>-3.500361E-3</v>
      </c>
      <c r="X1769">
        <v>0.99971339999999997</v>
      </c>
      <c r="Y1769">
        <v>-9.7132910000000003E-2</v>
      </c>
      <c r="Z1769">
        <v>-1.151196E-2</v>
      </c>
      <c r="AA1769">
        <v>0.99520489999999995</v>
      </c>
      <c r="AB1769">
        <v>26</v>
      </c>
      <c r="AC1769">
        <v>-8.5706000000000095</v>
      </c>
      <c r="AD1769">
        <v>-1.1109048121539999</v>
      </c>
      <c r="AE1769">
        <v>-0.496300000000019</v>
      </c>
      <c r="AF1769">
        <v>-0.84453468383049701</v>
      </c>
      <c r="AG1769">
        <v>-1.1109048121539999</v>
      </c>
      <c r="AH1769">
        <v>8.4012307962800001</v>
      </c>
      <c r="AI1769">
        <v>97.495246787987597</v>
      </c>
      <c r="AJ1769">
        <v>95.740380514808095</v>
      </c>
      <c r="AK1769">
        <v>8.5163388393266199</v>
      </c>
      <c r="AL1769">
        <v>90.200556308781202</v>
      </c>
      <c r="AM1769">
        <v>91.357202872107194</v>
      </c>
      <c r="AN1769">
        <v>1.00000006405138</v>
      </c>
    </row>
    <row r="1770" spans="1:40" x14ac:dyDescent="0.3">
      <c r="A1770" t="str">
        <f>"20200111160440227"</f>
        <v>20200111160440227</v>
      </c>
      <c r="B1770" t="str">
        <f>"1578729880222932"</f>
        <v>1578729880222932</v>
      </c>
      <c r="C1770" t="s">
        <v>40</v>
      </c>
      <c r="D1770">
        <v>5.8309329999999999</v>
      </c>
      <c r="E1770">
        <v>0.47353260000000003</v>
      </c>
      <c r="F1770" t="s">
        <v>61</v>
      </c>
      <c r="G1770">
        <v>-317.06240000000003</v>
      </c>
      <c r="H1770" s="1">
        <v>5.2564469999999996E-6</v>
      </c>
      <c r="I1770">
        <v>285.67349999999999</v>
      </c>
      <c r="J1770">
        <v>-308.5009</v>
      </c>
      <c r="K1770">
        <v>1.1109089999999999</v>
      </c>
      <c r="L1770">
        <v>286.17489999999998</v>
      </c>
      <c r="M1770">
        <v>-0.99902610000000003</v>
      </c>
      <c r="N1770">
        <v>0</v>
      </c>
      <c r="O1770">
        <v>4.1848959999999998E-2</v>
      </c>
      <c r="P1770">
        <v>-0.99967700000000004</v>
      </c>
      <c r="Q1770">
        <v>-1.7983539999999999E-2</v>
      </c>
      <c r="R1770">
        <v>1.795627E-2</v>
      </c>
      <c r="S1770">
        <v>-2.9974980000000002</v>
      </c>
      <c r="T1770">
        <v>-0.38162960000000001</v>
      </c>
      <c r="U1770">
        <v>-0.1700439</v>
      </c>
      <c r="V1770">
        <v>-2.3893569999999999E-2</v>
      </c>
      <c r="W1770">
        <v>-4.039277E-3</v>
      </c>
      <c r="X1770">
        <v>0.99970630000000005</v>
      </c>
      <c r="Y1770">
        <v>-9.7253999999999993E-2</v>
      </c>
      <c r="Z1770">
        <v>-1.146455E-2</v>
      </c>
      <c r="AA1770">
        <v>0.99519349999999995</v>
      </c>
      <c r="AB1770">
        <v>26</v>
      </c>
      <c r="AC1770">
        <v>-8.5615000000000201</v>
      </c>
      <c r="AD1770">
        <v>-1.110903743553</v>
      </c>
      <c r="AE1770">
        <v>-0.50139999999998897</v>
      </c>
      <c r="AF1770">
        <v>-0.84510553570463798</v>
      </c>
      <c r="AG1770">
        <v>-1.110903743553</v>
      </c>
      <c r="AH1770">
        <v>8.39220034586784</v>
      </c>
      <c r="AI1770">
        <v>97.503082911043606</v>
      </c>
      <c r="AJ1770">
        <v>95.7503744069313</v>
      </c>
      <c r="AK1770">
        <v>8.5074871224764692</v>
      </c>
      <c r="AL1770">
        <v>90.231434164751704</v>
      </c>
      <c r="AM1770">
        <v>91.369142249726096</v>
      </c>
      <c r="AN1770">
        <v>0.99999995235285699</v>
      </c>
    </row>
    <row r="1771" spans="1:40" x14ac:dyDescent="0.3">
      <c r="A1771" t="str">
        <f>"20200111160440243"</f>
        <v>20200111160440243</v>
      </c>
      <c r="B1771" t="str">
        <f>"1578729880232694"</f>
        <v>1578729880232694</v>
      </c>
      <c r="C1771" t="s">
        <v>40</v>
      </c>
      <c r="D1771">
        <v>5.8233379999999997</v>
      </c>
      <c r="E1771">
        <v>0.4734661</v>
      </c>
      <c r="F1771" t="s">
        <v>61</v>
      </c>
      <c r="G1771">
        <v>-317.27480000000003</v>
      </c>
      <c r="H1771" s="1">
        <v>5.350943E-6</v>
      </c>
      <c r="I1771">
        <v>285.66989999999998</v>
      </c>
      <c r="J1771">
        <v>-308.68819999999999</v>
      </c>
      <c r="K1771">
        <v>1.1109009999999999</v>
      </c>
      <c r="L1771">
        <v>286.18209999999999</v>
      </c>
      <c r="M1771">
        <v>-0.99904919999999997</v>
      </c>
      <c r="N1771">
        <v>0</v>
      </c>
      <c r="O1771">
        <v>4.1300429999999999E-2</v>
      </c>
      <c r="P1771">
        <v>-0.99967790000000001</v>
      </c>
      <c r="Q1771">
        <v>-1.853163E-2</v>
      </c>
      <c r="R1771">
        <v>1.73470999999999E-2</v>
      </c>
      <c r="S1771">
        <v>-2.9972530000000002</v>
      </c>
      <c r="T1771">
        <v>-0.37949549999999999</v>
      </c>
      <c r="U1771">
        <v>-0.1725159</v>
      </c>
      <c r="V1771">
        <v>-2.3953100000000001E-2</v>
      </c>
      <c r="W1771">
        <v>-4.5895409999999999E-3</v>
      </c>
      <c r="X1771">
        <v>0.9997026</v>
      </c>
      <c r="Y1771">
        <v>-9.7544640000000002E-2</v>
      </c>
      <c r="Z1771">
        <v>-1.1350809999999999E-2</v>
      </c>
      <c r="AA1771">
        <v>0.99516640000000001</v>
      </c>
      <c r="AB1771">
        <v>26</v>
      </c>
      <c r="AC1771">
        <v>-8.5866000000000309</v>
      </c>
      <c r="AD1771">
        <v>-1.1108956490569999</v>
      </c>
      <c r="AE1771">
        <v>-0.51220000000000698</v>
      </c>
      <c r="AF1771">
        <v>-0.85221394324160804</v>
      </c>
      <c r="AG1771">
        <v>-1.1108956490569999</v>
      </c>
      <c r="AH1771">
        <v>8.41771972062317</v>
      </c>
      <c r="AI1771">
        <v>97.480141924995195</v>
      </c>
      <c r="AJ1771">
        <v>95.780954741740999</v>
      </c>
      <c r="AK1771">
        <v>8.5333676261554192</v>
      </c>
      <c r="AL1771">
        <v>90.2629622387891</v>
      </c>
      <c r="AM1771">
        <v>91.372557194839004</v>
      </c>
      <c r="AN1771">
        <v>1.00000005166647</v>
      </c>
    </row>
    <row r="1772" spans="1:40" x14ac:dyDescent="0.3">
      <c r="A1772" t="str">
        <f>"20200111160440256"</f>
        <v>20200111160440256</v>
      </c>
      <c r="B1772" t="str">
        <f>"1578729880252212"</f>
        <v>1578729880252212</v>
      </c>
      <c r="C1772" t="s">
        <v>40</v>
      </c>
      <c r="D1772">
        <v>5.8521809999999999</v>
      </c>
      <c r="E1772">
        <v>0.4734273</v>
      </c>
      <c r="F1772" t="s">
        <v>61</v>
      </c>
      <c r="G1772">
        <v>-317.41449999999998</v>
      </c>
      <c r="H1772" s="1">
        <v>5.4125530000000003E-6</v>
      </c>
      <c r="I1772">
        <v>285.6739</v>
      </c>
      <c r="J1772">
        <v>-308.8329</v>
      </c>
      <c r="K1772">
        <v>1.1109009999999999</v>
      </c>
      <c r="L1772">
        <v>286.18759999999997</v>
      </c>
      <c r="M1772">
        <v>-0.99906649999999997</v>
      </c>
      <c r="N1772">
        <v>0</v>
      </c>
      <c r="O1772">
        <v>4.0876860000000001E-2</v>
      </c>
      <c r="P1772">
        <v>-0.99968049999999997</v>
      </c>
      <c r="Q1772">
        <v>-1.8887549999999999E-2</v>
      </c>
      <c r="R1772">
        <v>1.6810100000000001E-2</v>
      </c>
      <c r="S1772">
        <v>-2.9969480000000002</v>
      </c>
      <c r="T1772">
        <v>-0.38152399999999997</v>
      </c>
      <c r="U1772">
        <v>-0.17456050000000001</v>
      </c>
      <c r="V1772">
        <v>-2.406556E-2</v>
      </c>
      <c r="W1772">
        <v>-4.9472409999999998E-3</v>
      </c>
      <c r="X1772">
        <v>0.99969819999999998</v>
      </c>
      <c r="Y1772">
        <v>-9.7794679999999995E-2</v>
      </c>
      <c r="Z1772">
        <v>-1.137413E-2</v>
      </c>
      <c r="AA1772">
        <v>0.99514159999999996</v>
      </c>
      <c r="AB1772">
        <v>26</v>
      </c>
      <c r="AC1772">
        <v>-8.5815999999999804</v>
      </c>
      <c r="AD1772">
        <v>-1.1108955874469999</v>
      </c>
      <c r="AE1772">
        <v>-0.51369999999997096</v>
      </c>
      <c r="AF1772">
        <v>-0.84990225848548895</v>
      </c>
      <c r="AG1772">
        <v>-1.1108955874469999</v>
      </c>
      <c r="AH1772">
        <v>8.4129486837816003</v>
      </c>
      <c r="AI1772">
        <v>97.484496486031603</v>
      </c>
      <c r="AJ1772">
        <v>95.768626851599706</v>
      </c>
      <c r="AK1772">
        <v>8.5284305948474799</v>
      </c>
      <c r="AL1772">
        <v>90.283457169173502</v>
      </c>
      <c r="AM1772">
        <v>91.379004946636002</v>
      </c>
      <c r="AN1772">
        <v>1.00000005872743</v>
      </c>
    </row>
    <row r="1773" spans="1:40" x14ac:dyDescent="0.3">
      <c r="A1773" t="str">
        <f>"20200111160440269"</f>
        <v>20200111160440269</v>
      </c>
      <c r="B1773" t="str">
        <f>"1578729880262947"</f>
        <v>1578729880262947</v>
      </c>
      <c r="C1773" t="s">
        <v>40</v>
      </c>
      <c r="D1773">
        <v>5.7136079999999998</v>
      </c>
      <c r="E1773">
        <v>0.47354069999999998</v>
      </c>
      <c r="F1773" t="s">
        <v>61</v>
      </c>
      <c r="G1773">
        <v>-317.53870000000001</v>
      </c>
      <c r="H1773" s="1">
        <v>5.4675190000000001E-6</v>
      </c>
      <c r="I1773">
        <v>285.67540000000002</v>
      </c>
      <c r="J1773">
        <v>-308.98869999999999</v>
      </c>
      <c r="K1773">
        <v>1.110903</v>
      </c>
      <c r="L1773">
        <v>286.19349999999997</v>
      </c>
      <c r="M1773">
        <v>-0.99908509999999995</v>
      </c>
      <c r="N1773">
        <v>0</v>
      </c>
      <c r="O1773">
        <v>4.0420879999999999E-2</v>
      </c>
      <c r="P1773">
        <v>-0.99968250000000003</v>
      </c>
      <c r="Q1773">
        <v>-1.9186169999999999E-2</v>
      </c>
      <c r="R1773">
        <v>1.63412E-2</v>
      </c>
      <c r="S1773">
        <v>-2.9966740000000001</v>
      </c>
      <c r="T1773">
        <v>-0.38238699999999998</v>
      </c>
      <c r="U1773">
        <v>-0.1763306</v>
      </c>
      <c r="V1773">
        <v>-2.4076960000000001E-2</v>
      </c>
      <c r="W1773">
        <v>-5.2475469999999896E-3</v>
      </c>
      <c r="X1773">
        <v>0.99969629999999998</v>
      </c>
      <c r="Y1773">
        <v>-9.7928989999999994E-2</v>
      </c>
      <c r="Z1773">
        <v>-1.1351129999999999E-2</v>
      </c>
      <c r="AA1773">
        <v>0.99512869999999998</v>
      </c>
      <c r="AB1773">
        <v>26</v>
      </c>
      <c r="AC1773">
        <v>-8.5500000000000096</v>
      </c>
      <c r="AD1773">
        <v>-1.110897532481</v>
      </c>
      <c r="AE1773">
        <v>-0.51809999999994705</v>
      </c>
      <c r="AF1773">
        <v>-0.84902815297489298</v>
      </c>
      <c r="AG1773">
        <v>-1.110897532481</v>
      </c>
      <c r="AH1773">
        <v>8.3810975680851101</v>
      </c>
      <c r="AI1773">
        <v>97.512420959022904</v>
      </c>
      <c r="AJ1773">
        <v>95.784486079174897</v>
      </c>
      <c r="AK1773">
        <v>8.4969252425791399</v>
      </c>
      <c r="AL1773">
        <v>90.300663686466393</v>
      </c>
      <c r="AM1773">
        <v>91.379660558254301</v>
      </c>
      <c r="AN1773">
        <v>0.99999996449302297</v>
      </c>
    </row>
    <row r="1774" spans="1:40" x14ac:dyDescent="0.3">
      <c r="A1774" t="str">
        <f>"20200111160440281"</f>
        <v>20200111160440281</v>
      </c>
      <c r="B1774" t="str">
        <f>"1578729880272239"</f>
        <v>1578729880272239</v>
      </c>
      <c r="C1774" t="s">
        <v>40</v>
      </c>
      <c r="D1774">
        <v>5.7008369999999999</v>
      </c>
      <c r="E1774">
        <v>0.4736012</v>
      </c>
      <c r="F1774" t="s">
        <v>61</v>
      </c>
      <c r="G1774">
        <v>-317.685</v>
      </c>
      <c r="H1774" s="1">
        <v>5.5319329999999998E-6</v>
      </c>
      <c r="I1774">
        <v>285.68060000000003</v>
      </c>
      <c r="J1774">
        <v>-309.13959999999997</v>
      </c>
      <c r="K1774">
        <v>1.1109020000000001</v>
      </c>
      <c r="L1774">
        <v>286.19909999999999</v>
      </c>
      <c r="M1774">
        <v>-0.99910299999999996</v>
      </c>
      <c r="N1774">
        <v>0</v>
      </c>
      <c r="O1774">
        <v>3.9979430000000003E-2</v>
      </c>
      <c r="P1774">
        <v>-0.99968990000000002</v>
      </c>
      <c r="Q1774">
        <v>-1.9191550000000002E-2</v>
      </c>
      <c r="R1774">
        <v>1.5875179999999999E-2</v>
      </c>
      <c r="S1774">
        <v>-2.996429</v>
      </c>
      <c r="T1774">
        <v>-0.3827757</v>
      </c>
      <c r="U1774">
        <v>-0.1767273</v>
      </c>
      <c r="V1774">
        <v>-2.4101750000000002E-2</v>
      </c>
      <c r="W1774">
        <v>-5.2544710000000001E-3</v>
      </c>
      <c r="X1774">
        <v>0.99969569999999996</v>
      </c>
      <c r="Y1774">
        <v>-9.7628939999999997E-2</v>
      </c>
      <c r="Z1774">
        <v>-1.128826E-2</v>
      </c>
      <c r="AA1774">
        <v>0.99515889999999996</v>
      </c>
      <c r="AB1774">
        <v>26</v>
      </c>
      <c r="AC1774">
        <v>-8.5454000000000292</v>
      </c>
      <c r="AD1774">
        <v>-1.1108964680669999</v>
      </c>
      <c r="AE1774">
        <v>-0.51849999999995999</v>
      </c>
      <c r="AF1774">
        <v>-0.84552212074611199</v>
      </c>
      <c r="AG1774">
        <v>-1.1108964680669999</v>
      </c>
      <c r="AH1774">
        <v>8.3767882546602799</v>
      </c>
      <c r="AI1774">
        <v>97.516506850801406</v>
      </c>
      <c r="AJ1774">
        <v>95.763703822511999</v>
      </c>
      <c r="AK1774">
        <v>8.4923247749275994</v>
      </c>
      <c r="AL1774">
        <v>90.301060397776794</v>
      </c>
      <c r="AM1774">
        <v>91.381081356198294</v>
      </c>
      <c r="AN1774">
        <v>0.99999999820852103</v>
      </c>
    </row>
    <row r="1775" spans="1:40" x14ac:dyDescent="0.3">
      <c r="A1775" t="str">
        <f>"20200111160440299"</f>
        <v>20200111160440299</v>
      </c>
      <c r="B1775" t="str">
        <f>"1578729880292734"</f>
        <v>1578729880292734</v>
      </c>
      <c r="C1775" t="s">
        <v>40</v>
      </c>
      <c r="D1775">
        <v>5.7298549999999997</v>
      </c>
      <c r="E1775">
        <v>0.47382609999999997</v>
      </c>
      <c r="F1775" t="s">
        <v>61</v>
      </c>
      <c r="G1775">
        <v>-317.83980000000003</v>
      </c>
      <c r="H1775" s="1">
        <v>5.6003390000000004E-6</v>
      </c>
      <c r="I1775">
        <v>285.6832</v>
      </c>
      <c r="J1775">
        <v>-309.35079999999999</v>
      </c>
      <c r="K1775">
        <v>1.110897</v>
      </c>
      <c r="L1775">
        <v>286.20690000000002</v>
      </c>
      <c r="M1775">
        <v>-0.9991274</v>
      </c>
      <c r="N1775">
        <v>0</v>
      </c>
      <c r="O1775">
        <v>3.9361350000000003E-2</v>
      </c>
      <c r="P1775">
        <v>-0.99969470000000005</v>
      </c>
      <c r="Q1775">
        <v>-1.9411419999999999E-2</v>
      </c>
      <c r="R1775">
        <v>1.529025E-2</v>
      </c>
      <c r="S1775">
        <v>-2.9963989999999998</v>
      </c>
      <c r="T1775">
        <v>-0.38260090000000002</v>
      </c>
      <c r="U1775">
        <v>-0.1777039</v>
      </c>
      <c r="V1775">
        <v>-2.4067399999999999E-2</v>
      </c>
      <c r="W1775">
        <v>-5.476664E-3</v>
      </c>
      <c r="X1775">
        <v>0.99969540000000001</v>
      </c>
      <c r="Y1775">
        <v>-9.7345429999999997E-2</v>
      </c>
      <c r="Z1775">
        <v>-1.118661E-2</v>
      </c>
      <c r="AA1775">
        <v>0.99518779999999996</v>
      </c>
      <c r="AB1775">
        <v>26</v>
      </c>
      <c r="AC1775">
        <v>-8.4890000000000292</v>
      </c>
      <c r="AD1775">
        <v>-1.1108913996609999</v>
      </c>
      <c r="AE1775">
        <v>-0.52370000000001904</v>
      </c>
      <c r="AF1775">
        <v>-0.84308215149181398</v>
      </c>
      <c r="AG1775">
        <v>-1.1108913996609999</v>
      </c>
      <c r="AH1775">
        <v>8.3198671565733608</v>
      </c>
      <c r="AI1775">
        <v>97.567006119842304</v>
      </c>
      <c r="AJ1775">
        <v>95.786236641793707</v>
      </c>
      <c r="AK1775">
        <v>8.4359384018040906</v>
      </c>
      <c r="AL1775">
        <v>90.313791281831797</v>
      </c>
      <c r="AM1775">
        <v>91.379114202809504</v>
      </c>
      <c r="AN1775">
        <v>1.00000006318624</v>
      </c>
    </row>
    <row r="1776" spans="1:40" x14ac:dyDescent="0.3">
      <c r="A1776" t="str">
        <f>"20200111160440314"</f>
        <v>20200111160440314</v>
      </c>
      <c r="B1776" t="str">
        <f>"1578729880302495"</f>
        <v>1578729880302495</v>
      </c>
      <c r="C1776" t="s">
        <v>40</v>
      </c>
      <c r="D1776">
        <v>5.7466269999999904</v>
      </c>
      <c r="E1776">
        <v>0.47386450000000002</v>
      </c>
      <c r="F1776" t="s">
        <v>61</v>
      </c>
      <c r="G1776">
        <v>-318.05259999999998</v>
      </c>
      <c r="H1776" s="1">
        <v>5.6940559999999999E-6</v>
      </c>
      <c r="I1776">
        <v>285.6909</v>
      </c>
      <c r="J1776">
        <v>-309.51069999999999</v>
      </c>
      <c r="K1776">
        <v>1.110895</v>
      </c>
      <c r="L1776">
        <v>286.21260000000001</v>
      </c>
      <c r="M1776">
        <v>-0.99914590000000003</v>
      </c>
      <c r="N1776">
        <v>0</v>
      </c>
      <c r="O1776">
        <v>3.8892910000000003E-2</v>
      </c>
      <c r="P1776">
        <v>-0.99969370000000002</v>
      </c>
      <c r="Q1776">
        <v>-1.9644160000000001E-2</v>
      </c>
      <c r="R1776">
        <v>1.5059990000000001E-2</v>
      </c>
      <c r="S1776">
        <v>-2.996216</v>
      </c>
      <c r="T1776">
        <v>-0.38250040000000002</v>
      </c>
      <c r="U1776">
        <v>-0.17764279999999999</v>
      </c>
      <c r="V1776">
        <v>-2.3829019999999999E-2</v>
      </c>
      <c r="W1776">
        <v>-5.7107850000000003E-3</v>
      </c>
      <c r="X1776">
        <v>0.99969969999999997</v>
      </c>
      <c r="Y1776">
        <v>-9.6870330000000004E-2</v>
      </c>
      <c r="Z1776">
        <v>-1.1094680000000001E-2</v>
      </c>
      <c r="AA1776">
        <v>0.99523510000000004</v>
      </c>
      <c r="AB1776">
        <v>26</v>
      </c>
      <c r="AC1776">
        <v>-8.5418999999999894</v>
      </c>
      <c r="AD1776">
        <v>-1.1108893059439999</v>
      </c>
      <c r="AE1776">
        <v>-0.52170000000000905</v>
      </c>
      <c r="AF1776">
        <v>-0.83941230075635997</v>
      </c>
      <c r="AG1776">
        <v>-1.1108893059439999</v>
      </c>
      <c r="AH1776">
        <v>8.3740357921748494</v>
      </c>
      <c r="AI1776">
        <v>97.5194167675822</v>
      </c>
      <c r="AJ1776">
        <v>95.724200559691496</v>
      </c>
      <c r="AK1776">
        <v>8.4890025037896706</v>
      </c>
      <c r="AL1776">
        <v>90.327205668951393</v>
      </c>
      <c r="AM1776">
        <v>91.365453838245102</v>
      </c>
      <c r="AN1776">
        <v>0.99999996271978198</v>
      </c>
    </row>
    <row r="1777" spans="1:40" x14ac:dyDescent="0.3">
      <c r="A1777" t="str">
        <f>"20200111160440328"</f>
        <v>20200111160440328</v>
      </c>
      <c r="B1777" t="str">
        <f>"1578729880322991"</f>
        <v>1578729880322991</v>
      </c>
      <c r="C1777" t="s">
        <v>40</v>
      </c>
      <c r="D1777">
        <v>5.7556379999999896</v>
      </c>
      <c r="E1777">
        <v>0.47382160000000001</v>
      </c>
      <c r="F1777" t="s">
        <v>61</v>
      </c>
      <c r="G1777">
        <v>-318.19330000000002</v>
      </c>
      <c r="H1777" s="1">
        <v>5.7559700000000001E-6</v>
      </c>
      <c r="I1777">
        <v>285.69619999999998</v>
      </c>
      <c r="J1777">
        <v>-309.68540000000002</v>
      </c>
      <c r="K1777">
        <v>1.1108899999999999</v>
      </c>
      <c r="L1777">
        <v>286.21890000000002</v>
      </c>
      <c r="M1777">
        <v>-0.99916559999999999</v>
      </c>
      <c r="N1777">
        <v>0</v>
      </c>
      <c r="O1777">
        <v>3.8381680000000001E-2</v>
      </c>
      <c r="P1777">
        <v>-0.9997028</v>
      </c>
      <c r="Q1777">
        <v>-1.963647E-2</v>
      </c>
      <c r="R1777">
        <v>1.4457879999999999E-2</v>
      </c>
      <c r="S1777">
        <v>-2.9960330000000002</v>
      </c>
      <c r="T1777">
        <v>-0.38332690000000003</v>
      </c>
      <c r="U1777">
        <v>-0.17819209999999999</v>
      </c>
      <c r="V1777">
        <v>-2.3919599999999999E-2</v>
      </c>
      <c r="W1777">
        <v>-5.7051119999999896E-3</v>
      </c>
      <c r="X1777">
        <v>0.99969759999999996</v>
      </c>
      <c r="Y1777">
        <v>-9.6548469999999997E-2</v>
      </c>
      <c r="Z1777">
        <v>-1.10335E-2</v>
      </c>
      <c r="AA1777">
        <v>0.99526720000000002</v>
      </c>
      <c r="AB1777">
        <v>26</v>
      </c>
      <c r="AC1777">
        <v>-8.5078999999999994</v>
      </c>
      <c r="AD1777">
        <v>-1.11088424403</v>
      </c>
      <c r="AE1777">
        <v>-0.52270000000004302</v>
      </c>
      <c r="AF1777">
        <v>-0.83471672987197998</v>
      </c>
      <c r="AG1777">
        <v>-1.11088424403</v>
      </c>
      <c r="AH1777">
        <v>8.3399151157704292</v>
      </c>
      <c r="AI1777">
        <v>97.549905584702401</v>
      </c>
      <c r="AJ1777">
        <v>95.715526063941795</v>
      </c>
      <c r="AK1777">
        <v>8.4548802452204104</v>
      </c>
      <c r="AL1777">
        <v>90.326880614623306</v>
      </c>
      <c r="AM1777">
        <v>91.370645167947103</v>
      </c>
      <c r="AN1777">
        <v>0.99999999350642599</v>
      </c>
    </row>
    <row r="1778" spans="1:40" x14ac:dyDescent="0.3">
      <c r="A1778" t="str">
        <f>"20200111160440344"</f>
        <v>20200111160440344</v>
      </c>
      <c r="B1778" t="str">
        <f>"1578729880332751"</f>
        <v>1578729880332751</v>
      </c>
      <c r="C1778" t="s">
        <v>40</v>
      </c>
      <c r="D1778">
        <v>5.7157140000000002</v>
      </c>
      <c r="E1778">
        <v>0.4738233</v>
      </c>
      <c r="F1778" t="s">
        <v>61</v>
      </c>
      <c r="G1778">
        <v>-318.35430000000002</v>
      </c>
      <c r="H1778" s="1">
        <v>5.82731099999999E-6</v>
      </c>
      <c r="I1778">
        <v>285.69709999999998</v>
      </c>
      <c r="J1778">
        <v>-309.86669999999998</v>
      </c>
      <c r="K1778">
        <v>1.110878</v>
      </c>
      <c r="L1778">
        <v>286.2253</v>
      </c>
      <c r="M1778">
        <v>-0.99918589999999996</v>
      </c>
      <c r="N1778">
        <v>0</v>
      </c>
      <c r="O1778">
        <v>3.7851549999999998E-2</v>
      </c>
      <c r="P1778">
        <v>-0.99969589999999997</v>
      </c>
      <c r="Q1778">
        <v>-2.067422E-2</v>
      </c>
      <c r="R1778">
        <v>1.3442330000000001E-2</v>
      </c>
      <c r="S1778">
        <v>-2.9959720000000001</v>
      </c>
      <c r="T1778">
        <v>-0.3839206</v>
      </c>
      <c r="U1778">
        <v>-0.1803284</v>
      </c>
      <c r="V1778">
        <v>-2.440233E-2</v>
      </c>
      <c r="W1778">
        <v>-6.7457719999999997E-3</v>
      </c>
      <c r="X1778">
        <v>0.9996794</v>
      </c>
      <c r="Y1778">
        <v>-9.6728259999999996E-2</v>
      </c>
      <c r="Z1778">
        <v>-1.099432E-2</v>
      </c>
      <c r="AA1778">
        <v>0.99525010000000003</v>
      </c>
      <c r="AB1778">
        <v>26</v>
      </c>
      <c r="AC1778">
        <v>-8.4876000000000396</v>
      </c>
      <c r="AD1778">
        <v>-1.1108721726890001</v>
      </c>
      <c r="AE1778">
        <v>-0.52820000000002598</v>
      </c>
      <c r="AF1778">
        <v>-0.83487524274462599</v>
      </c>
      <c r="AG1778">
        <v>-1.1108721726890001</v>
      </c>
      <c r="AH1778">
        <v>8.3195567041665104</v>
      </c>
      <c r="AI1778">
        <v>97.567889518280893</v>
      </c>
      <c r="AJ1778">
        <v>95.730500109437102</v>
      </c>
      <c r="AK1778">
        <v>8.4348134187333805</v>
      </c>
      <c r="AL1778">
        <v>90.386507219375702</v>
      </c>
      <c r="AM1778">
        <v>91.398321221650704</v>
      </c>
      <c r="AN1778">
        <v>0.99999994096682998</v>
      </c>
    </row>
    <row r="1779" spans="1:40" x14ac:dyDescent="0.3">
      <c r="A1779" t="str">
        <f>"20200111160440358"</f>
        <v>20200111160440358</v>
      </c>
      <c r="B1779" t="str">
        <f>"1578729880352271"</f>
        <v>1578729880352271</v>
      </c>
      <c r="C1779" t="s">
        <v>40</v>
      </c>
      <c r="D1779">
        <v>5.7279839999999904</v>
      </c>
      <c r="E1779">
        <v>0.47388190000000002</v>
      </c>
      <c r="F1779" t="s">
        <v>61</v>
      </c>
      <c r="G1779">
        <v>-318.46159999999998</v>
      </c>
      <c r="H1779" s="1">
        <v>5.8746859999999999E-6</v>
      </c>
      <c r="I1779">
        <v>285.69940000000003</v>
      </c>
      <c r="J1779">
        <v>-310.03460000000001</v>
      </c>
      <c r="K1779">
        <v>1.11087</v>
      </c>
      <c r="L1779">
        <v>286.23099999999999</v>
      </c>
      <c r="M1779">
        <v>-0.99920439999999999</v>
      </c>
      <c r="N1779">
        <v>0</v>
      </c>
      <c r="O1779">
        <v>3.7359870000000003E-2</v>
      </c>
      <c r="P1779">
        <v>-0.99969490000000005</v>
      </c>
      <c r="Q1779">
        <v>-2.1175630000000001E-2</v>
      </c>
      <c r="R1779">
        <v>1.27329E-2</v>
      </c>
      <c r="S1779">
        <v>-2.9953919999999998</v>
      </c>
      <c r="T1779">
        <v>-0.38714769999999998</v>
      </c>
      <c r="U1779">
        <v>-0.1832886</v>
      </c>
      <c r="V1779">
        <v>-2.4619129999999999E-2</v>
      </c>
      <c r="W1779">
        <v>-7.2493139999999998E-3</v>
      </c>
      <c r="X1779">
        <v>0.99967059999999996</v>
      </c>
      <c r="Y1779">
        <v>-9.7211320000000004E-2</v>
      </c>
      <c r="Z1779">
        <v>-1.105562E-2</v>
      </c>
      <c r="AA1779">
        <v>0.99520240000000004</v>
      </c>
      <c r="AB1779">
        <v>26</v>
      </c>
      <c r="AC1779">
        <v>-8.4269999999999605</v>
      </c>
      <c r="AD1779">
        <v>-1.1108641253139999</v>
      </c>
      <c r="AE1779">
        <v>-0.53159999999996899</v>
      </c>
      <c r="AF1779">
        <v>-0.83169596741656904</v>
      </c>
      <c r="AG1779">
        <v>-1.1108641253139999</v>
      </c>
      <c r="AH1779">
        <v>8.2583169968532602</v>
      </c>
      <c r="AI1779">
        <v>97.623027871456301</v>
      </c>
      <c r="AJ1779">
        <v>95.750873455858994</v>
      </c>
      <c r="AK1779">
        <v>8.37409916991923</v>
      </c>
      <c r="AL1779">
        <v>90.415358742409495</v>
      </c>
      <c r="AM1779">
        <v>91.410751878495006</v>
      </c>
      <c r="AN1779">
        <v>0.99999998130989298</v>
      </c>
    </row>
    <row r="1780" spans="1:40" x14ac:dyDescent="0.3">
      <c r="A1780" t="str">
        <f>"20200111160440371"</f>
        <v>20200111160440371</v>
      </c>
      <c r="B1780" t="str">
        <f>"1578729880363007"</f>
        <v>1578729880363007</v>
      </c>
      <c r="C1780" t="s">
        <v>40</v>
      </c>
      <c r="D1780">
        <v>5.7295020000000001</v>
      </c>
      <c r="E1780">
        <v>0.47391080000000002</v>
      </c>
      <c r="F1780" t="s">
        <v>61</v>
      </c>
      <c r="G1780">
        <v>-318.5926</v>
      </c>
      <c r="H1780" s="1">
        <v>5.9325030000000002E-6</v>
      </c>
      <c r="I1780">
        <v>285.70229999999998</v>
      </c>
      <c r="J1780">
        <v>-310.18299999999999</v>
      </c>
      <c r="K1780">
        <v>1.110868</v>
      </c>
      <c r="L1780">
        <v>286.23610000000002</v>
      </c>
      <c r="M1780">
        <v>-0.99922060000000001</v>
      </c>
      <c r="N1780">
        <v>0</v>
      </c>
      <c r="O1780">
        <v>3.6924859999999997E-2</v>
      </c>
      <c r="P1780">
        <v>-0.9996775</v>
      </c>
      <c r="Q1780">
        <v>-2.2373480000000001E-2</v>
      </c>
      <c r="R1780">
        <v>1.2026469999999999E-2</v>
      </c>
      <c r="S1780">
        <v>-2.9949949999999999</v>
      </c>
      <c r="T1780">
        <v>-0.38876240000000001</v>
      </c>
      <c r="U1780">
        <v>-0.1850281</v>
      </c>
      <c r="V1780">
        <v>-2.4887739999999998E-2</v>
      </c>
      <c r="W1780">
        <v>-8.4493980000000003E-3</v>
      </c>
      <c r="X1780">
        <v>0.9996545</v>
      </c>
      <c r="Y1780">
        <v>-9.7354839999999998E-2</v>
      </c>
      <c r="Z1780">
        <v>-1.10557E-2</v>
      </c>
      <c r="AA1780">
        <v>0.99518839999999997</v>
      </c>
      <c r="AB1780">
        <v>26</v>
      </c>
      <c r="AC1780">
        <v>-8.40960000000001</v>
      </c>
      <c r="AD1780">
        <v>-1.110862067497</v>
      </c>
      <c r="AE1780">
        <v>-0.53380000000004202</v>
      </c>
      <c r="AF1780">
        <v>-0.82957235643415705</v>
      </c>
      <c r="AG1780">
        <v>-1.110862067497</v>
      </c>
      <c r="AH1780">
        <v>8.2409328194243194</v>
      </c>
      <c r="AI1780">
        <v>97.638938954854197</v>
      </c>
      <c r="AJ1780">
        <v>95.748307210679101</v>
      </c>
      <c r="AK1780">
        <v>8.3567444954257404</v>
      </c>
      <c r="AL1780">
        <v>90.484120626830304</v>
      </c>
      <c r="AM1780">
        <v>91.426160694584595</v>
      </c>
      <c r="AN1780">
        <v>0.99999995564955901</v>
      </c>
    </row>
    <row r="1781" spans="1:40" x14ac:dyDescent="0.3">
      <c r="A1781" t="str">
        <f>"20200111160440389"</f>
        <v>20200111160440389</v>
      </c>
      <c r="B1781" t="str">
        <f>"1578729880383034"</f>
        <v>1578729880383034</v>
      </c>
      <c r="C1781" t="s">
        <v>40</v>
      </c>
      <c r="D1781">
        <v>5.8284339999999997</v>
      </c>
      <c r="E1781">
        <v>0.47378409999999899</v>
      </c>
      <c r="F1781" t="s">
        <v>61</v>
      </c>
      <c r="G1781">
        <v>-318.65339999999998</v>
      </c>
      <c r="H1781" s="1">
        <v>5.9590169999999999E-6</v>
      </c>
      <c r="I1781">
        <v>285.70760000000001</v>
      </c>
      <c r="J1781">
        <v>-310.39389999999997</v>
      </c>
      <c r="K1781">
        <v>1.1108499999999999</v>
      </c>
      <c r="L1781">
        <v>286.2432</v>
      </c>
      <c r="M1781">
        <v>-0.99924329999999995</v>
      </c>
      <c r="N1781">
        <v>0</v>
      </c>
      <c r="O1781">
        <v>3.6306770000000002E-2</v>
      </c>
      <c r="P1781">
        <v>-0.99962059999999997</v>
      </c>
      <c r="Q1781">
        <v>-2.502037E-2</v>
      </c>
      <c r="R1781">
        <v>1.1526639999999999E-2</v>
      </c>
      <c r="S1781">
        <v>-2.994415</v>
      </c>
      <c r="T1781">
        <v>-0.39270840000000001</v>
      </c>
      <c r="U1781">
        <v>-0.1868591</v>
      </c>
      <c r="V1781">
        <v>-2.4763170000000001E-2</v>
      </c>
      <c r="W1781">
        <v>-1.1099029999999999E-2</v>
      </c>
      <c r="X1781">
        <v>0.99963170000000001</v>
      </c>
      <c r="Y1781">
        <v>-9.733957E-2</v>
      </c>
      <c r="Z1781">
        <v>-1.108727E-2</v>
      </c>
      <c r="AA1781">
        <v>0.99518949999999995</v>
      </c>
      <c r="AB1781">
        <v>26</v>
      </c>
      <c r="AC1781">
        <v>-8.2594999999999992</v>
      </c>
      <c r="AD1781">
        <v>-1.1108440409829901</v>
      </c>
      <c r="AE1781">
        <v>-0.53559999999998797</v>
      </c>
      <c r="AF1781">
        <v>-0.82037468577190298</v>
      </c>
      <c r="AG1781">
        <v>-1.1108440409829901</v>
      </c>
      <c r="AH1781">
        <v>8.0889034539038107</v>
      </c>
      <c r="AI1781">
        <v>97.780063607392094</v>
      </c>
      <c r="AJ1781">
        <v>95.791122883988905</v>
      </c>
      <c r="AK1781">
        <v>8.2059337186587005</v>
      </c>
      <c r="AL1781">
        <v>90.635940652395703</v>
      </c>
      <c r="AM1781">
        <v>91.419057645612398</v>
      </c>
      <c r="AN1781">
        <v>0.99999996935013902</v>
      </c>
    </row>
    <row r="1782" spans="1:40" x14ac:dyDescent="0.3">
      <c r="A1782" t="str">
        <f>"20200111160440401"</f>
        <v>20200111160440401</v>
      </c>
      <c r="B1782" t="str">
        <f>"1578729880392794"</f>
        <v>1578729880392794</v>
      </c>
      <c r="C1782" t="s">
        <v>40</v>
      </c>
      <c r="D1782">
        <v>5.9216179999999996</v>
      </c>
      <c r="E1782">
        <v>0.47378409999999899</v>
      </c>
      <c r="F1782" t="s">
        <v>61</v>
      </c>
      <c r="G1782">
        <v>-318.70760000000001</v>
      </c>
      <c r="H1782" s="1">
        <v>5.9822960000000002E-6</v>
      </c>
      <c r="I1782">
        <v>285.71620000000001</v>
      </c>
      <c r="J1782">
        <v>-310.54590000000002</v>
      </c>
      <c r="K1782">
        <v>1.110843</v>
      </c>
      <c r="L1782">
        <v>286.24829999999997</v>
      </c>
      <c r="M1782">
        <v>-0.99925949999999997</v>
      </c>
      <c r="N1782">
        <v>0</v>
      </c>
      <c r="O1782">
        <v>3.58599E-2</v>
      </c>
      <c r="P1782">
        <v>-0.9995908</v>
      </c>
      <c r="Q1782">
        <v>-2.6397170000000001E-2</v>
      </c>
      <c r="R1782">
        <v>1.102845E-2</v>
      </c>
      <c r="S1782">
        <v>-2.9933169999999998</v>
      </c>
      <c r="T1782">
        <v>-0.39995599999999998</v>
      </c>
      <c r="U1782">
        <v>-0.18975829999999999</v>
      </c>
      <c r="V1782">
        <v>-2.4811389999999999E-2</v>
      </c>
      <c r="W1782">
        <v>-1.2478039999999999E-2</v>
      </c>
      <c r="X1782">
        <v>0.99961429999999996</v>
      </c>
      <c r="Y1782">
        <v>-9.7833829999999997E-2</v>
      </c>
      <c r="Z1782">
        <v>-1.1267340000000001E-2</v>
      </c>
      <c r="AA1782">
        <v>0.995139</v>
      </c>
      <c r="AB1782">
        <v>26</v>
      </c>
      <c r="AC1782">
        <v>-8.1616999999999909</v>
      </c>
      <c r="AD1782">
        <v>-1.1108370177039999</v>
      </c>
      <c r="AE1782">
        <v>-0.53209999999995705</v>
      </c>
      <c r="AF1782">
        <v>-0.80953146320885405</v>
      </c>
      <c r="AG1782">
        <v>-1.1108370177039999</v>
      </c>
      <c r="AH1782">
        <v>7.98998503724793</v>
      </c>
      <c r="AI1782">
        <v>97.875211872415207</v>
      </c>
      <c r="AJ1782">
        <v>95.785366821534794</v>
      </c>
      <c r="AK1782">
        <v>8.1073522783503407</v>
      </c>
      <c r="AL1782">
        <v>90.714957562962894</v>
      </c>
      <c r="AM1782">
        <v>91.421844506741195</v>
      </c>
      <c r="AN1782">
        <v>1.0000000276602301</v>
      </c>
    </row>
    <row r="1783" spans="1:40" x14ac:dyDescent="0.3">
      <c r="A1783" t="str">
        <f>"20200111160440414"</f>
        <v>20200111160440414</v>
      </c>
      <c r="B1783" t="str">
        <f>"1578729880402555"</f>
        <v>1578729880402555</v>
      </c>
      <c r="C1783" t="s">
        <v>40</v>
      </c>
      <c r="D1783">
        <v>5.8159979999999996</v>
      </c>
      <c r="E1783">
        <v>0.47346899999999997</v>
      </c>
      <c r="F1783" t="s">
        <v>61</v>
      </c>
      <c r="G1783">
        <v>-318.77780000000001</v>
      </c>
      <c r="H1783" s="1">
        <v>6.0129770000000003E-6</v>
      </c>
      <c r="I1783">
        <v>285.72129999999999</v>
      </c>
      <c r="J1783">
        <v>-310.68060000000003</v>
      </c>
      <c r="K1783">
        <v>1.110835</v>
      </c>
      <c r="L1783">
        <v>286.2527</v>
      </c>
      <c r="M1783">
        <v>-0.99927370000000004</v>
      </c>
      <c r="N1783">
        <v>0</v>
      </c>
      <c r="O1783">
        <v>3.546146E-2</v>
      </c>
      <c r="P1783">
        <v>-0.99956100000000003</v>
      </c>
      <c r="Q1783">
        <v>-2.7765209999999999E-2</v>
      </c>
      <c r="R1783">
        <v>1.0351569999999999E-2</v>
      </c>
      <c r="S1783">
        <v>-2.9926759999999999</v>
      </c>
      <c r="T1783">
        <v>-0.4038407</v>
      </c>
      <c r="U1783">
        <v>-0.19158939999999999</v>
      </c>
      <c r="V1783">
        <v>-2.508691E-2</v>
      </c>
      <c r="W1783">
        <v>-1.384847E-2</v>
      </c>
      <c r="X1783">
        <v>0.99958930000000001</v>
      </c>
      <c r="Y1783">
        <v>-9.8035220000000006E-2</v>
      </c>
      <c r="Z1783">
        <v>-1.1338040000000001E-2</v>
      </c>
      <c r="AA1783">
        <v>0.99511839999999996</v>
      </c>
      <c r="AB1783">
        <v>26</v>
      </c>
      <c r="AC1783">
        <v>-8.0971999999999795</v>
      </c>
      <c r="AD1783">
        <v>-1.1108289870229999</v>
      </c>
      <c r="AE1783">
        <v>-0.53140000000001897</v>
      </c>
      <c r="AF1783">
        <v>-0.80318096217197499</v>
      </c>
      <c r="AG1783">
        <v>-1.1108289870229999</v>
      </c>
      <c r="AH1783">
        <v>7.9247541810337498</v>
      </c>
      <c r="AI1783">
        <v>97.939129351623293</v>
      </c>
      <c r="AJ1783">
        <v>95.7872173209675</v>
      </c>
      <c r="AK1783">
        <v>8.0424355469110207</v>
      </c>
      <c r="AL1783">
        <v>90.793484286452397</v>
      </c>
      <c r="AM1783">
        <v>91.437662839731502</v>
      </c>
      <c r="AN1783">
        <v>0.99999995092458804</v>
      </c>
    </row>
    <row r="1784" spans="1:40" x14ac:dyDescent="0.3">
      <c r="A1784" t="str">
        <f>"20200111160440426"</f>
        <v>20200111160440426</v>
      </c>
      <c r="B1784" t="str">
        <f>"1578729880423050"</f>
        <v>1578729880423050</v>
      </c>
      <c r="C1784" t="s">
        <v>40</v>
      </c>
      <c r="D1784">
        <v>5.3466480000000001</v>
      </c>
      <c r="E1784">
        <v>0.42167900000000003</v>
      </c>
      <c r="F1784" t="s">
        <v>61</v>
      </c>
      <c r="G1784">
        <v>-318.96100000000001</v>
      </c>
      <c r="H1784" s="1">
        <v>6.0952130000000003E-6</v>
      </c>
      <c r="I1784">
        <v>285.7097</v>
      </c>
      <c r="J1784">
        <v>-310.8254</v>
      </c>
      <c r="K1784">
        <v>1.11083</v>
      </c>
      <c r="L1784">
        <v>286.25729999999999</v>
      </c>
      <c r="M1784">
        <v>-0.99928890000000004</v>
      </c>
      <c r="N1784">
        <v>0</v>
      </c>
      <c r="O1784">
        <v>3.503063E-2</v>
      </c>
      <c r="P1784">
        <v>-0.99952540000000001</v>
      </c>
      <c r="Q1784">
        <v>-2.930988E-2</v>
      </c>
      <c r="R1784">
        <v>9.4996760000000003E-3</v>
      </c>
      <c r="S1784">
        <v>-2.9922179999999998</v>
      </c>
      <c r="T1784">
        <v>-0.40141149999999998</v>
      </c>
      <c r="U1784">
        <v>-0.1961975</v>
      </c>
      <c r="V1784">
        <v>-2.5503399999999999E-2</v>
      </c>
      <c r="W1784">
        <v>-1.5396E-2</v>
      </c>
      <c r="X1784">
        <v>0.99955620000000001</v>
      </c>
      <c r="Y1784">
        <v>-9.9150050000000003E-2</v>
      </c>
      <c r="Z1784">
        <v>-1.12885E-2</v>
      </c>
      <c r="AA1784">
        <v>0.99500849999999996</v>
      </c>
      <c r="AB1784">
        <v>26</v>
      </c>
      <c r="AC1784">
        <v>-8.1356000000000002</v>
      </c>
      <c r="AD1784">
        <v>-1.1108239047870001</v>
      </c>
      <c r="AE1784">
        <v>-0.54759999999998799</v>
      </c>
      <c r="AF1784">
        <v>-0.81712201702662401</v>
      </c>
      <c r="AG1784">
        <v>-1.1108239047870001</v>
      </c>
      <c r="AH1784">
        <v>7.96362632895696</v>
      </c>
      <c r="AI1784">
        <v>97.899842902115694</v>
      </c>
      <c r="AJ1784">
        <v>95.858433088766006</v>
      </c>
      <c r="AK1784">
        <v>8.0821384821971698</v>
      </c>
      <c r="AL1784">
        <v>90.882160649258196</v>
      </c>
      <c r="AM1784">
        <v>91.461568862282206</v>
      </c>
      <c r="AN1784">
        <v>1.00000002859299</v>
      </c>
    </row>
    <row r="1785" spans="1:40" x14ac:dyDescent="0.3">
      <c r="A1785" t="str">
        <f>"20200111160440444"</f>
        <v>20200111160440444</v>
      </c>
      <c r="B1785" t="str">
        <f>"1578729880432810"</f>
        <v>1578729880432810</v>
      </c>
      <c r="C1785" t="s">
        <v>40</v>
      </c>
      <c r="D1785">
        <v>5.543952</v>
      </c>
      <c r="E1785">
        <v>0.42204340000000001</v>
      </c>
      <c r="F1785" t="s">
        <v>57</v>
      </c>
      <c r="G1785">
        <v>-325.38589999999999</v>
      </c>
      <c r="H1785" s="1">
        <v>1.385625E-6</v>
      </c>
      <c r="I1785">
        <v>283.32819999999998</v>
      </c>
      <c r="J1785">
        <v>-311.0342</v>
      </c>
      <c r="K1785">
        <v>1.1108260000000001</v>
      </c>
      <c r="L1785">
        <v>286.26389999999998</v>
      </c>
      <c r="M1785">
        <v>-0.99931080000000005</v>
      </c>
      <c r="N1785">
        <v>0</v>
      </c>
      <c r="O1785">
        <v>3.439851E-2</v>
      </c>
      <c r="P1785">
        <v>-0.99947379999999997</v>
      </c>
      <c r="Q1785">
        <v>-3.1831940000000003E-2</v>
      </c>
      <c r="R1785">
        <v>6.2415530000000004E-3</v>
      </c>
      <c r="S1785">
        <v>-3.0004580000000001</v>
      </c>
      <c r="T1785">
        <v>-0.2289062</v>
      </c>
      <c r="U1785">
        <v>-0.60360719999999901</v>
      </c>
      <c r="V1785">
        <v>-2.8122609999999999E-2</v>
      </c>
      <c r="W1785">
        <v>-1.7925940000000001E-2</v>
      </c>
      <c r="X1785">
        <v>0.99944370000000005</v>
      </c>
      <c r="Y1785">
        <v>-0.23008999999999999</v>
      </c>
      <c r="Z1785">
        <v>-1.127423E-2</v>
      </c>
      <c r="AA1785">
        <v>0.97310410000000003</v>
      </c>
      <c r="AB1785">
        <v>26</v>
      </c>
      <c r="AC1785">
        <v>-14.3516999999999</v>
      </c>
      <c r="AD1785">
        <v>-1.110824614375</v>
      </c>
      <c r="AE1785">
        <v>-2.93569999999999</v>
      </c>
      <c r="AF1785">
        <v>-3.4080902876825099</v>
      </c>
      <c r="AG1785">
        <v>-1.110824614375</v>
      </c>
      <c r="AH1785">
        <v>14.1607842054021</v>
      </c>
      <c r="AI1785">
        <v>94.361280066591206</v>
      </c>
      <c r="AJ1785">
        <v>103.53208009157601</v>
      </c>
      <c r="AK1785">
        <v>14.6074234567518</v>
      </c>
      <c r="AL1785">
        <v>91.027135756623693</v>
      </c>
      <c r="AM1785">
        <v>91.611778439037906</v>
      </c>
      <c r="AN1785">
        <v>0.99999996499389199</v>
      </c>
    </row>
    <row r="1786" spans="1:40" x14ac:dyDescent="0.3">
      <c r="A1786" t="str">
        <f>"20200111160440458"</f>
        <v>20200111160440458</v>
      </c>
      <c r="B1786" t="str">
        <f>"1578729880452331"</f>
        <v>1578729880452331</v>
      </c>
      <c r="C1786" t="s">
        <v>40</v>
      </c>
      <c r="D1786">
        <v>5.4663069999999996</v>
      </c>
      <c r="E1786">
        <v>0.416383</v>
      </c>
      <c r="F1786" t="s">
        <v>57</v>
      </c>
      <c r="G1786">
        <v>-326.5779</v>
      </c>
      <c r="H1786" s="1">
        <v>2.029692E-6</v>
      </c>
      <c r="I1786">
        <v>283.10570000000001</v>
      </c>
      <c r="J1786">
        <v>-311.1961</v>
      </c>
      <c r="K1786">
        <v>1.1108290000000001</v>
      </c>
      <c r="L1786">
        <v>286.26889999999997</v>
      </c>
      <c r="M1786">
        <v>-0.99932799999999999</v>
      </c>
      <c r="N1786">
        <v>0</v>
      </c>
      <c r="O1786">
        <v>3.3895849999999998E-2</v>
      </c>
      <c r="P1786">
        <v>-0.99945870000000003</v>
      </c>
      <c r="Q1786">
        <v>-3.2635980000000002E-2</v>
      </c>
      <c r="R1786">
        <v>4.1502070000000004E-3</v>
      </c>
      <c r="S1786">
        <v>-2.9985659999999998</v>
      </c>
      <c r="T1786">
        <v>-0.21429029999999999</v>
      </c>
      <c r="U1786">
        <v>-0.60925289999999999</v>
      </c>
      <c r="V1786">
        <v>-2.9708160000000001E-2</v>
      </c>
      <c r="W1786">
        <v>-1.8735180000000001E-2</v>
      </c>
      <c r="X1786">
        <v>0.99938300000000002</v>
      </c>
      <c r="Y1786">
        <v>-0.23156769999999999</v>
      </c>
      <c r="Z1786">
        <v>-1.0577420000000001E-2</v>
      </c>
      <c r="AA1786">
        <v>0.97276130000000005</v>
      </c>
      <c r="AB1786">
        <v>26</v>
      </c>
      <c r="AC1786">
        <v>-15.381799999999901</v>
      </c>
      <c r="AD1786">
        <v>-1.110826970308</v>
      </c>
      <c r="AE1786">
        <v>-3.1631999999999598</v>
      </c>
      <c r="AF1786">
        <v>-3.6644760259818701</v>
      </c>
      <c r="AG1786">
        <v>-1.110826970308</v>
      </c>
      <c r="AH1786">
        <v>15.189725069868301</v>
      </c>
      <c r="AI1786">
        <v>94.066354175741296</v>
      </c>
      <c r="AJ1786">
        <v>103.56327222031599</v>
      </c>
      <c r="AK1786">
        <v>15.6649311776702</v>
      </c>
      <c r="AL1786">
        <v>91.073509570389106</v>
      </c>
      <c r="AM1786">
        <v>91.7027016403066</v>
      </c>
      <c r="AN1786">
        <v>0.99999998121460798</v>
      </c>
    </row>
    <row r="1787" spans="1:40" x14ac:dyDescent="0.3">
      <c r="A1787" t="str">
        <f>"20200111160440471"</f>
        <v>20200111160440471</v>
      </c>
      <c r="B1787" t="str">
        <f>"1578729880463066"</f>
        <v>1578729880463066</v>
      </c>
      <c r="C1787" t="s">
        <v>40</v>
      </c>
      <c r="D1787">
        <v>5.3408089999999904</v>
      </c>
      <c r="E1787">
        <v>0.416383</v>
      </c>
      <c r="F1787" t="s">
        <v>58</v>
      </c>
      <c r="G1787">
        <v>-440.6841</v>
      </c>
      <c r="H1787">
        <v>0.42801420000000001</v>
      </c>
      <c r="I1787">
        <v>258.18619999999999</v>
      </c>
      <c r="J1787">
        <v>-311.35469999999998</v>
      </c>
      <c r="K1787">
        <v>1.1108389999999999</v>
      </c>
      <c r="L1787">
        <v>286.27370000000002</v>
      </c>
      <c r="M1787">
        <v>-0.99934489999999998</v>
      </c>
      <c r="N1787">
        <v>0</v>
      </c>
      <c r="O1787">
        <v>3.3395080000000001E-2</v>
      </c>
      <c r="P1787">
        <v>-0.99944670000000002</v>
      </c>
      <c r="Q1787">
        <v>-3.3216309999999999E-2</v>
      </c>
      <c r="R1787">
        <v>1.738905E-3</v>
      </c>
      <c r="S1787">
        <v>-3.0038450000000001</v>
      </c>
      <c r="T1787">
        <v>-1.5839579999999999E-2</v>
      </c>
      <c r="U1787">
        <v>-0.65145869999999995</v>
      </c>
      <c r="V1787">
        <v>-3.1615829999999998E-2</v>
      </c>
      <c r="W1787">
        <v>-1.9321399999999999E-2</v>
      </c>
      <c r="X1787">
        <v>0.99931340000000002</v>
      </c>
      <c r="Y1787">
        <v>-0.2444654</v>
      </c>
      <c r="Z1787">
        <v>-8.1135500000000004E-4</v>
      </c>
      <c r="AA1787">
        <v>0.96965769999999996</v>
      </c>
      <c r="AB1787">
        <v>26</v>
      </c>
      <c r="AC1787">
        <v>-129.32939999999999</v>
      </c>
      <c r="AD1787">
        <v>-0.68282479999999901</v>
      </c>
      <c r="AE1787">
        <v>-28.087499999999999</v>
      </c>
      <c r="AF1787">
        <v>-32.390354144563098</v>
      </c>
      <c r="AG1787">
        <v>-0.68282479999999901</v>
      </c>
      <c r="AH1787">
        <v>128.315758411888</v>
      </c>
      <c r="AI1787">
        <v>90.295620493640797</v>
      </c>
      <c r="AJ1787">
        <v>104.167042310675</v>
      </c>
      <c r="AK1787">
        <v>132.34249184648101</v>
      </c>
      <c r="AL1787">
        <v>91.107103482627707</v>
      </c>
      <c r="AM1787">
        <v>91.812093788832897</v>
      </c>
      <c r="AN1787">
        <v>1.0000000743120501</v>
      </c>
    </row>
    <row r="1788" spans="1:40" x14ac:dyDescent="0.3">
      <c r="A1788" t="str">
        <f>"20200111160440491"</f>
        <v>20200111160440491</v>
      </c>
      <c r="B1788" t="str">
        <f>"1578729880482589"</f>
        <v>1578729880482589</v>
      </c>
      <c r="C1788" t="s">
        <v>40</v>
      </c>
      <c r="D1788">
        <v>5.3605080000000003</v>
      </c>
      <c r="E1788">
        <v>0.41823870000000002</v>
      </c>
      <c r="F1788" t="s">
        <v>58</v>
      </c>
      <c r="G1788">
        <v>-440.6841</v>
      </c>
      <c r="H1788">
        <v>0.32615420000000001</v>
      </c>
      <c r="I1788">
        <v>257.89980000000003</v>
      </c>
      <c r="J1788">
        <v>-311.57350000000002</v>
      </c>
      <c r="K1788">
        <v>1.1108579999999999</v>
      </c>
      <c r="L1788">
        <v>286.28019999999998</v>
      </c>
      <c r="M1788">
        <v>-0.99936840000000005</v>
      </c>
      <c r="N1788">
        <v>0</v>
      </c>
      <c r="O1788">
        <v>3.268443E-2</v>
      </c>
      <c r="P1788">
        <v>-0.99944379999999999</v>
      </c>
      <c r="Q1788">
        <v>-3.3255130000000001E-2</v>
      </c>
      <c r="R1788">
        <v>-2.509346E-3</v>
      </c>
      <c r="S1788">
        <v>-3.0021969999999998</v>
      </c>
      <c r="T1788">
        <v>-1.8215060000000002E-2</v>
      </c>
      <c r="U1788">
        <v>-0.65866089999999999</v>
      </c>
      <c r="V1788">
        <v>-3.5150819999999999E-2</v>
      </c>
      <c r="W1788">
        <v>-1.937038E-2</v>
      </c>
      <c r="X1788">
        <v>0.99919429999999998</v>
      </c>
      <c r="Y1788">
        <v>-0.24610499999999999</v>
      </c>
      <c r="Z1788">
        <v>-9.3394759999999996E-4</v>
      </c>
      <c r="AA1788">
        <v>0.96924279999999996</v>
      </c>
      <c r="AB1788">
        <v>26</v>
      </c>
      <c r="AC1788">
        <v>-129.11059999999901</v>
      </c>
      <c r="AD1788">
        <v>-0.78470379999999995</v>
      </c>
      <c r="AE1788">
        <v>-28.380399999999899</v>
      </c>
      <c r="AF1788">
        <v>-32.584402715865103</v>
      </c>
      <c r="AG1788">
        <v>-0.78470379999999995</v>
      </c>
      <c r="AH1788">
        <v>128.10940395283899</v>
      </c>
      <c r="AI1788">
        <v>90.340118355285597</v>
      </c>
      <c r="AJ1788">
        <v>104.270483803635</v>
      </c>
      <c r="AK1788">
        <v>132.19068969316601</v>
      </c>
      <c r="AL1788">
        <v>91.109910414782107</v>
      </c>
      <c r="AM1788">
        <v>92.014786740715195</v>
      </c>
      <c r="AN1788">
        <v>1.0000000204602499</v>
      </c>
    </row>
    <row r="1789" spans="1:40" x14ac:dyDescent="0.3">
      <c r="A1789" t="str">
        <f>"20200111160440503"</f>
        <v>20200111160440503</v>
      </c>
      <c r="B1789" t="str">
        <f>"1578729880492346"</f>
        <v>1578729880492346</v>
      </c>
      <c r="C1789" t="s">
        <v>40</v>
      </c>
      <c r="D1789">
        <v>5.3831009999999999</v>
      </c>
      <c r="E1789">
        <v>0.41823870000000002</v>
      </c>
      <c r="F1789" t="s">
        <v>58</v>
      </c>
      <c r="G1789">
        <v>-440.6841</v>
      </c>
      <c r="H1789">
        <v>1.0041800000000001</v>
      </c>
      <c r="I1789">
        <v>258.04880000000003</v>
      </c>
      <c r="J1789">
        <v>-311.71640000000002</v>
      </c>
      <c r="K1789">
        <v>1.1108709999999999</v>
      </c>
      <c r="L1789">
        <v>286.28440000000001</v>
      </c>
      <c r="M1789">
        <v>-0.99938400000000005</v>
      </c>
      <c r="N1789">
        <v>0</v>
      </c>
      <c r="O1789">
        <v>3.2207300000000001E-2</v>
      </c>
      <c r="P1789">
        <v>-0.9994421</v>
      </c>
      <c r="Q1789">
        <v>-3.3061769999999997E-2</v>
      </c>
      <c r="R1789">
        <v>-4.7448769999999998E-3</v>
      </c>
      <c r="S1789">
        <v>-2.9999690000000001</v>
      </c>
      <c r="T1789">
        <v>-2.4784799999999999E-3</v>
      </c>
      <c r="U1789">
        <v>-0.65597530000000004</v>
      </c>
      <c r="V1789">
        <v>-3.6907580000000002E-2</v>
      </c>
      <c r="W1789">
        <v>-1.918305E-2</v>
      </c>
      <c r="X1789">
        <v>0.99913450000000004</v>
      </c>
      <c r="Y1789">
        <v>-0.24496960000000001</v>
      </c>
      <c r="Z1789">
        <v>-1.263317E-4</v>
      </c>
      <c r="AA1789">
        <v>0.96953080000000003</v>
      </c>
      <c r="AB1789">
        <v>26</v>
      </c>
      <c r="AC1789">
        <v>-128.96769999999901</v>
      </c>
      <c r="AD1789">
        <v>-0.10669099999999999</v>
      </c>
      <c r="AE1789">
        <v>-28.235599999999899</v>
      </c>
      <c r="AF1789">
        <v>-32.375032688588703</v>
      </c>
      <c r="AG1789">
        <v>-0.10669099999999999</v>
      </c>
      <c r="AH1789">
        <v>127.991215492103</v>
      </c>
      <c r="AI1789">
        <v>90.046302341185793</v>
      </c>
      <c r="AJ1789">
        <v>104.195067496037</v>
      </c>
      <c r="AK1789">
        <v>132.02236692205901</v>
      </c>
      <c r="AL1789">
        <v>91.099175274949303</v>
      </c>
      <c r="AM1789">
        <v>92.115518499893696</v>
      </c>
      <c r="AN1789">
        <v>0.99999995397950303</v>
      </c>
    </row>
    <row r="1790" spans="1:40" x14ac:dyDescent="0.3">
      <c r="A1790" t="str">
        <f>"20200111160440515"</f>
        <v>20200111160440515</v>
      </c>
      <c r="B1790" t="str">
        <f>"1578729880512843"</f>
        <v>1578729880512843</v>
      </c>
      <c r="C1790" t="s">
        <v>40</v>
      </c>
      <c r="D1790">
        <v>5.394628</v>
      </c>
      <c r="E1790">
        <v>0.41938530000000002</v>
      </c>
      <c r="F1790" t="s">
        <v>58</v>
      </c>
      <c r="G1790">
        <v>-440.6841</v>
      </c>
      <c r="H1790">
        <v>1.0129379999999999</v>
      </c>
      <c r="I1790">
        <v>257.77850000000001</v>
      </c>
      <c r="J1790">
        <v>-311.85669999999999</v>
      </c>
      <c r="K1790">
        <v>1.1108899999999999</v>
      </c>
      <c r="L1790">
        <v>286.28840000000002</v>
      </c>
      <c r="M1790">
        <v>-0.99939979999999995</v>
      </c>
      <c r="N1790">
        <v>0</v>
      </c>
      <c r="O1790">
        <v>3.1715390000000003E-2</v>
      </c>
      <c r="P1790">
        <v>-0.99942640000000005</v>
      </c>
      <c r="Q1790">
        <v>-3.3213140000000002E-2</v>
      </c>
      <c r="R1790">
        <v>-6.6363510000000004E-3</v>
      </c>
      <c r="S1790">
        <v>-2.9984440000000001</v>
      </c>
      <c r="T1790">
        <v>-2.2766589999999999E-3</v>
      </c>
      <c r="U1790">
        <v>-0.66275019999999996</v>
      </c>
      <c r="V1790">
        <v>-3.8304779999999997E-2</v>
      </c>
      <c r="W1790">
        <v>-1.9340090000000001E-2</v>
      </c>
      <c r="X1790">
        <v>0.99907889999999999</v>
      </c>
      <c r="Y1790">
        <v>-0.2466846</v>
      </c>
      <c r="Z1790">
        <v>-1.163483E-4</v>
      </c>
      <c r="AA1790">
        <v>0.96909579999999995</v>
      </c>
      <c r="AB1790">
        <v>26</v>
      </c>
      <c r="AC1790">
        <v>-128.82740000000001</v>
      </c>
      <c r="AD1790">
        <v>-9.7951999999999997E-2</v>
      </c>
      <c r="AE1790">
        <v>-28.509899999999998</v>
      </c>
      <c r="AF1790">
        <v>-32.581745051194602</v>
      </c>
      <c r="AG1790">
        <v>-9.7951999999999997E-2</v>
      </c>
      <c r="AH1790">
        <v>127.858218699527</v>
      </c>
      <c r="AI1790">
        <v>90.042534886502693</v>
      </c>
      <c r="AJ1790">
        <v>104.29625236976401</v>
      </c>
      <c r="AK1790">
        <v>131.94432081067899</v>
      </c>
      <c r="AL1790">
        <v>91.108174654373798</v>
      </c>
      <c r="AM1790">
        <v>92.195650213108806</v>
      </c>
      <c r="AN1790">
        <v>0.99999997183863198</v>
      </c>
    </row>
    <row r="1791" spans="1:40" x14ac:dyDescent="0.3">
      <c r="A1791" t="str">
        <f>"20200111160440528"</f>
        <v>20200111160440528</v>
      </c>
      <c r="B1791" t="str">
        <f>"1578729880522602"</f>
        <v>1578729880522602</v>
      </c>
      <c r="C1791" t="s">
        <v>40</v>
      </c>
      <c r="D1791">
        <v>5.3966310000000002</v>
      </c>
      <c r="E1791">
        <v>0.41938530000000002</v>
      </c>
      <c r="F1791" t="s">
        <v>58</v>
      </c>
      <c r="G1791">
        <v>-440.6841</v>
      </c>
      <c r="H1791">
        <v>1.6223939999999999</v>
      </c>
      <c r="I1791">
        <v>257.97730000000001</v>
      </c>
      <c r="J1791">
        <v>-312.0027</v>
      </c>
      <c r="K1791">
        <v>1.110911</v>
      </c>
      <c r="L1791">
        <v>286.29239999999999</v>
      </c>
      <c r="M1791">
        <v>-0.99941619999999998</v>
      </c>
      <c r="N1791">
        <v>0</v>
      </c>
      <c r="O1791">
        <v>3.1191610000000002E-2</v>
      </c>
      <c r="P1791">
        <v>-0.99941990000000003</v>
      </c>
      <c r="Q1791">
        <v>-3.3055870000000001E-2</v>
      </c>
      <c r="R1791">
        <v>-8.2230970000000004E-3</v>
      </c>
      <c r="S1791">
        <v>-2.9977420000000001</v>
      </c>
      <c r="T1791">
        <v>1.190269E-2</v>
      </c>
      <c r="U1791">
        <v>-0.65878300000000001</v>
      </c>
      <c r="V1791">
        <v>-3.9366289999999998E-2</v>
      </c>
      <c r="W1791">
        <v>-1.9188119999999999E-2</v>
      </c>
      <c r="X1791">
        <v>0.99904059999999995</v>
      </c>
      <c r="Y1791">
        <v>-0.24499899999999999</v>
      </c>
      <c r="Z1791">
        <v>6.0314210000000001E-4</v>
      </c>
      <c r="AA1791">
        <v>0.96952309999999997</v>
      </c>
      <c r="AB1791">
        <v>26</v>
      </c>
      <c r="AC1791">
        <v>-128.6814</v>
      </c>
      <c r="AD1791">
        <v>0.51148300000000002</v>
      </c>
      <c r="AE1791">
        <v>-28.315099999999902</v>
      </c>
      <c r="AF1791">
        <v>-32.315003010828001</v>
      </c>
      <c r="AG1791">
        <v>0.51148300000000002</v>
      </c>
      <c r="AH1791">
        <v>127.73357020176201</v>
      </c>
      <c r="AI1791">
        <v>89.777579281961394</v>
      </c>
      <c r="AJ1791">
        <v>104.19723483529999</v>
      </c>
      <c r="AK1791">
        <v>131.758817507359</v>
      </c>
      <c r="AL1791">
        <v>91.099465762387595</v>
      </c>
      <c r="AM1791">
        <v>92.256520894465694</v>
      </c>
      <c r="AN1791">
        <v>1.00000000459292</v>
      </c>
    </row>
    <row r="1792" spans="1:40" x14ac:dyDescent="0.3">
      <c r="A1792" t="str">
        <f>"20200111160440545"</f>
        <v>20200111160440545</v>
      </c>
      <c r="B1792" t="str">
        <f>"1578729880543098"</f>
        <v>1578729880543098</v>
      </c>
      <c r="C1792" t="s">
        <v>40</v>
      </c>
      <c r="D1792">
        <v>5.3253329999999997</v>
      </c>
      <c r="E1792">
        <v>0.42701869999999997</v>
      </c>
      <c r="F1792" t="s">
        <v>58</v>
      </c>
      <c r="G1792">
        <v>-440.6841</v>
      </c>
      <c r="H1792">
        <v>1.623292</v>
      </c>
      <c r="I1792">
        <v>257.8</v>
      </c>
      <c r="J1792">
        <v>-312.19709999999998</v>
      </c>
      <c r="K1792">
        <v>1.110943</v>
      </c>
      <c r="L1792">
        <v>286.2978</v>
      </c>
      <c r="M1792">
        <v>-0.99943870000000001</v>
      </c>
      <c r="N1792">
        <v>0</v>
      </c>
      <c r="O1792">
        <v>3.046314E-2</v>
      </c>
      <c r="P1792">
        <v>-0.9993976</v>
      </c>
      <c r="Q1792">
        <v>-3.3415319999999998E-2</v>
      </c>
      <c r="R1792">
        <v>-9.3753259999999998E-3</v>
      </c>
      <c r="S1792">
        <v>-2.9966430000000002</v>
      </c>
      <c r="T1792">
        <v>1.193225E-2</v>
      </c>
      <c r="U1792">
        <v>-0.66351319999999903</v>
      </c>
      <c r="V1792">
        <v>-3.9787599999999999E-2</v>
      </c>
      <c r="W1792">
        <v>-1.9553310000000001E-2</v>
      </c>
      <c r="X1792">
        <v>0.99901680000000004</v>
      </c>
      <c r="Y1792">
        <v>-0.24582609999999999</v>
      </c>
      <c r="Z1792">
        <v>6.0351269999999997E-4</v>
      </c>
      <c r="AA1792">
        <v>0.96931369999999895</v>
      </c>
      <c r="AB1792">
        <v>26</v>
      </c>
      <c r="AC1792">
        <v>-128.48699999999999</v>
      </c>
      <c r="AD1792">
        <v>0.51234899999999906</v>
      </c>
      <c r="AE1792">
        <v>-28.497799999999899</v>
      </c>
      <c r="AF1792">
        <v>-32.398578082843599</v>
      </c>
      <c r="AG1792">
        <v>0.51234899999999906</v>
      </c>
      <c r="AH1792">
        <v>127.55720646434899</v>
      </c>
      <c r="AI1792">
        <v>89.776948057997302</v>
      </c>
      <c r="AJ1792">
        <v>104.25133953464299</v>
      </c>
      <c r="AK1792">
        <v>131.60840126783901</v>
      </c>
      <c r="AL1792">
        <v>91.1203935669961</v>
      </c>
      <c r="AM1792">
        <v>92.280699776040294</v>
      </c>
      <c r="AN1792">
        <v>0.99999997586397704</v>
      </c>
    </row>
    <row r="1793" spans="1:40" x14ac:dyDescent="0.3">
      <c r="A1793" t="str">
        <f>"20200111160440558"</f>
        <v>20200111160440558</v>
      </c>
      <c r="B1793" t="str">
        <f>"1578729880552859"</f>
        <v>1578729880552859</v>
      </c>
      <c r="C1793" t="s">
        <v>40</v>
      </c>
      <c r="D1793">
        <v>5.7796240000000001</v>
      </c>
      <c r="E1793">
        <v>0.42701869999999997</v>
      </c>
      <c r="F1793" t="s">
        <v>57</v>
      </c>
      <c r="G1793">
        <v>-326.44889999999998</v>
      </c>
      <c r="H1793" s="1">
        <v>1.9499199999999999E-6</v>
      </c>
      <c r="I1793">
        <v>283.35989999999998</v>
      </c>
      <c r="J1793">
        <v>-312.35879999999997</v>
      </c>
      <c r="K1793">
        <v>1.11097</v>
      </c>
      <c r="L1793">
        <v>286.30200000000002</v>
      </c>
      <c r="M1793">
        <v>-0.99945810000000002</v>
      </c>
      <c r="N1793">
        <v>0</v>
      </c>
      <c r="O1793">
        <v>2.9822669999999999E-2</v>
      </c>
      <c r="P1793">
        <v>-0.99937929999999997</v>
      </c>
      <c r="Q1793">
        <v>-3.3704820000000003E-2</v>
      </c>
      <c r="R1793">
        <v>-1.026904E-2</v>
      </c>
      <c r="S1793">
        <v>-2.988251</v>
      </c>
      <c r="T1793">
        <v>-0.2329359</v>
      </c>
      <c r="U1793">
        <v>-0.61599729999999997</v>
      </c>
      <c r="V1793">
        <v>-4.0038410000000003E-2</v>
      </c>
      <c r="W1793">
        <v>-1.9847449999999999E-2</v>
      </c>
      <c r="X1793">
        <v>0.99900100000000003</v>
      </c>
      <c r="Y1793">
        <v>-0.2302583</v>
      </c>
      <c r="Z1793">
        <v>-1.1166830000000001E-2</v>
      </c>
      <c r="AA1793">
        <v>0.97306550000000003</v>
      </c>
      <c r="AB1793">
        <v>26</v>
      </c>
      <c r="AC1793">
        <v>-14.0901</v>
      </c>
      <c r="AD1793">
        <v>-1.1109680500799901</v>
      </c>
      <c r="AE1793">
        <v>-2.9421000000000301</v>
      </c>
      <c r="AF1793">
        <v>-3.3411325710466802</v>
      </c>
      <c r="AG1793">
        <v>-1.1109680500799901</v>
      </c>
      <c r="AH1793">
        <v>13.913198323711701</v>
      </c>
      <c r="AI1793">
        <v>94.439685002930702</v>
      </c>
      <c r="AJ1793">
        <v>103.503384258902</v>
      </c>
      <c r="AK1793">
        <v>14.3518118877214</v>
      </c>
      <c r="AL1793">
        <v>91.137249795581994</v>
      </c>
      <c r="AM1793">
        <v>92.2950976089477</v>
      </c>
      <c r="AN1793">
        <v>0.99999999677391505</v>
      </c>
    </row>
    <row r="1794" spans="1:40" x14ac:dyDescent="0.3">
      <c r="A1794" t="str">
        <f>"20200111160440571"</f>
        <v>20200111160440571</v>
      </c>
      <c r="B1794" t="str">
        <f>"1578729880562618"</f>
        <v>1578729880562618</v>
      </c>
      <c r="C1794" t="s">
        <v>40</v>
      </c>
      <c r="D1794">
        <v>5.377427</v>
      </c>
      <c r="E1794">
        <v>0.42820370000000002</v>
      </c>
      <c r="F1794" t="s">
        <v>57</v>
      </c>
      <c r="G1794">
        <v>-326.55970000000002</v>
      </c>
      <c r="H1794" s="1">
        <v>2.0088120000000001E-6</v>
      </c>
      <c r="I1794">
        <v>283.36079999999998</v>
      </c>
      <c r="J1794">
        <v>-312.50779999999997</v>
      </c>
      <c r="K1794">
        <v>1.1109960000000001</v>
      </c>
      <c r="L1794">
        <v>286.30579999999998</v>
      </c>
      <c r="M1794">
        <v>-0.99947600000000003</v>
      </c>
      <c r="N1794">
        <v>0</v>
      </c>
      <c r="O1794">
        <v>2.921288E-2</v>
      </c>
      <c r="P1794">
        <v>-0.99937370000000003</v>
      </c>
      <c r="Q1794">
        <v>-3.3874309999999998E-2</v>
      </c>
      <c r="R1794">
        <v>-1.025558E-2</v>
      </c>
      <c r="S1794">
        <v>-2.9876100000000001</v>
      </c>
      <c r="T1794">
        <v>-0.23372860000000001</v>
      </c>
      <c r="U1794">
        <v>-0.61877439999999995</v>
      </c>
      <c r="V1794">
        <v>-3.9413759999999999E-2</v>
      </c>
      <c r="W1794">
        <v>-2.0019180000000001E-2</v>
      </c>
      <c r="X1794">
        <v>0.99902239999999998</v>
      </c>
      <c r="Y1794">
        <v>-0.230569</v>
      </c>
      <c r="Z1794">
        <v>-1.117085E-2</v>
      </c>
      <c r="AA1794">
        <v>0.97299179999999996</v>
      </c>
      <c r="AB1794">
        <v>26</v>
      </c>
      <c r="AC1794">
        <v>-14.0519</v>
      </c>
      <c r="AD1794">
        <v>-1.11099399118799</v>
      </c>
      <c r="AE1794">
        <v>-2.9449999999999901</v>
      </c>
      <c r="AF1794">
        <v>-3.3343132360416101</v>
      </c>
      <c r="AG1794">
        <v>-1.11099399118799</v>
      </c>
      <c r="AH1794">
        <v>13.8767667733179</v>
      </c>
      <c r="AI1794">
        <v>94.451257533808302</v>
      </c>
      <c r="AJ1794">
        <v>103.51091590049499</v>
      </c>
      <c r="AK1794">
        <v>14.3149086090536</v>
      </c>
      <c r="AL1794">
        <v>91.147091170004202</v>
      </c>
      <c r="AM1794">
        <v>92.259280227148693</v>
      </c>
      <c r="AN1794">
        <v>0.99999998387348399</v>
      </c>
    </row>
    <row r="1795" spans="1:40" x14ac:dyDescent="0.3">
      <c r="A1795" t="str">
        <f>"20200111160440584"</f>
        <v>20200111160440584</v>
      </c>
      <c r="B1795" t="str">
        <f>"1578729880572378"</f>
        <v>1578729880572378</v>
      </c>
      <c r="C1795" t="s">
        <v>40</v>
      </c>
      <c r="D1795">
        <v>5.5291730000000001</v>
      </c>
      <c r="E1795">
        <v>0.42820370000000002</v>
      </c>
      <c r="F1795" t="s">
        <v>57</v>
      </c>
      <c r="G1795">
        <v>-326.4785</v>
      </c>
      <c r="H1795" s="1">
        <v>1.9614629999999998E-6</v>
      </c>
      <c r="I1795">
        <v>283.4563</v>
      </c>
      <c r="J1795">
        <v>-312.6472</v>
      </c>
      <c r="K1795">
        <v>1.111022</v>
      </c>
      <c r="L1795">
        <v>286.30930000000001</v>
      </c>
      <c r="M1795">
        <v>-0.99949299999999996</v>
      </c>
      <c r="N1795">
        <v>0</v>
      </c>
      <c r="O1795">
        <v>2.863052E-2</v>
      </c>
      <c r="P1795">
        <v>-0.99937350000000003</v>
      </c>
      <c r="Q1795">
        <v>-3.3986549999999997E-2</v>
      </c>
      <c r="R1795">
        <v>-9.8901249999999996E-3</v>
      </c>
      <c r="S1795">
        <v>-2.9875180000000001</v>
      </c>
      <c r="T1795">
        <v>-0.23757639999999999</v>
      </c>
      <c r="U1795">
        <v>-0.60934449999999996</v>
      </c>
      <c r="V1795">
        <v>-3.8465199999999998E-2</v>
      </c>
      <c r="W1795">
        <v>-2.0132500000000001E-2</v>
      </c>
      <c r="X1795">
        <v>0.99905710000000003</v>
      </c>
      <c r="Y1795">
        <v>-0.22704650000000001</v>
      </c>
      <c r="Z1795">
        <v>-1.1173809999999999E-2</v>
      </c>
      <c r="AA1795">
        <v>0.97381989999999996</v>
      </c>
      <c r="AB1795">
        <v>26</v>
      </c>
      <c r="AC1795">
        <v>-13.831300000000001</v>
      </c>
      <c r="AD1795">
        <v>-1.1110200385369999</v>
      </c>
      <c r="AE1795">
        <v>-2.8530000000000002</v>
      </c>
      <c r="AF1795">
        <v>-3.2278884955378899</v>
      </c>
      <c r="AG1795">
        <v>-1.1110200385369999</v>
      </c>
      <c r="AH1795">
        <v>13.659399853578</v>
      </c>
      <c r="AI1795">
        <v>94.525936707419206</v>
      </c>
      <c r="AJ1795">
        <v>103.29580165465801</v>
      </c>
      <c r="AK1795">
        <v>14.0795182455076</v>
      </c>
      <c r="AL1795">
        <v>91.153585230614894</v>
      </c>
      <c r="AM1795">
        <v>92.204884579212504</v>
      </c>
      <c r="AN1795">
        <v>0.99999998911384902</v>
      </c>
    </row>
    <row r="1796" spans="1:40" x14ac:dyDescent="0.3">
      <c r="A1796" t="str">
        <f>"20200111160440600"</f>
        <v>20200111160440600</v>
      </c>
      <c r="B1796" t="str">
        <f>"1578729880592874"</f>
        <v>1578729880592874</v>
      </c>
      <c r="C1796" t="s">
        <v>40</v>
      </c>
      <c r="D1796">
        <v>5.6088430000000002</v>
      </c>
      <c r="E1796">
        <v>0.43014160000000001</v>
      </c>
      <c r="F1796" t="s">
        <v>57</v>
      </c>
      <c r="G1796">
        <v>-326.59679999999997</v>
      </c>
      <c r="H1796" s="1">
        <v>2.0238570000000001E-6</v>
      </c>
      <c r="I1796">
        <v>283.46910000000003</v>
      </c>
      <c r="J1796">
        <v>-312.8442</v>
      </c>
      <c r="K1796">
        <v>1.111056</v>
      </c>
      <c r="L1796">
        <v>286.31389999999999</v>
      </c>
      <c r="M1796">
        <v>-0.99951749999999995</v>
      </c>
      <c r="N1796">
        <v>0</v>
      </c>
      <c r="O1796">
        <v>2.775919E-2</v>
      </c>
      <c r="P1796">
        <v>-0.99938839999999995</v>
      </c>
      <c r="Q1796">
        <v>-3.3855580000000003E-2</v>
      </c>
      <c r="R1796">
        <v>-8.7547570000000002E-3</v>
      </c>
      <c r="S1796">
        <v>-2.9877929999999999</v>
      </c>
      <c r="T1796">
        <v>-0.23796249999999999</v>
      </c>
      <c r="U1796">
        <v>-0.60830689999999998</v>
      </c>
      <c r="V1796">
        <v>-3.6459140000000001E-2</v>
      </c>
      <c r="W1796">
        <v>-2.0001290000000001E-2</v>
      </c>
      <c r="X1796">
        <v>0.999135</v>
      </c>
      <c r="Y1796">
        <v>-0.22585910000000001</v>
      </c>
      <c r="Z1796">
        <v>-1.107589E-2</v>
      </c>
      <c r="AA1796">
        <v>0.97409699999999999</v>
      </c>
      <c r="AB1796">
        <v>26</v>
      </c>
      <c r="AC1796">
        <v>-13.7525999999999</v>
      </c>
      <c r="AD1796">
        <v>-1.1110539761430001</v>
      </c>
      <c r="AE1796">
        <v>-2.8447999999999598</v>
      </c>
      <c r="AF1796">
        <v>-3.2054388170847101</v>
      </c>
      <c r="AG1796">
        <v>-1.1110539761430001</v>
      </c>
      <c r="AH1796">
        <v>13.583304496181499</v>
      </c>
      <c r="AI1796">
        <v>94.5516571992884</v>
      </c>
      <c r="AJ1796">
        <v>103.27795310319</v>
      </c>
      <c r="AK1796">
        <v>14.000551417139301</v>
      </c>
      <c r="AL1796">
        <v>91.146065885349898</v>
      </c>
      <c r="AM1796">
        <v>92.089836097387007</v>
      </c>
      <c r="AN1796">
        <v>1.0000000343580999</v>
      </c>
    </row>
    <row r="1797" spans="1:40" x14ac:dyDescent="0.3">
      <c r="A1797" t="str">
        <f>"20200111160440613"</f>
        <v>20200111160440613</v>
      </c>
      <c r="B1797" t="str">
        <f>"1578729880602635"</f>
        <v>1578729880602635</v>
      </c>
      <c r="C1797" t="s">
        <v>40</v>
      </c>
      <c r="D1797">
        <v>5.790985</v>
      </c>
      <c r="E1797">
        <v>0.43276550000000003</v>
      </c>
      <c r="F1797" t="s">
        <v>57</v>
      </c>
      <c r="G1797">
        <v>-335.08760000000001</v>
      </c>
      <c r="H1797" s="1">
        <v>1.286766E-6</v>
      </c>
      <c r="I1797">
        <v>281.959</v>
      </c>
      <c r="J1797">
        <v>-312.9821</v>
      </c>
      <c r="K1797">
        <v>1.111081</v>
      </c>
      <c r="L1797">
        <v>286.31709999999998</v>
      </c>
      <c r="M1797">
        <v>-0.99953499999999995</v>
      </c>
      <c r="N1797">
        <v>0</v>
      </c>
      <c r="O1797">
        <v>2.712403E-2</v>
      </c>
      <c r="P1797">
        <v>-0.99940859999999998</v>
      </c>
      <c r="Q1797">
        <v>-3.3484989999999999E-2</v>
      </c>
      <c r="R1797">
        <v>-7.8413289999999993E-3</v>
      </c>
      <c r="S1797">
        <v>-2.991638</v>
      </c>
      <c r="T1797">
        <v>-0.14943129999999999</v>
      </c>
      <c r="U1797">
        <v>-0.58572389999999996</v>
      </c>
      <c r="V1797">
        <v>-3.4911459999999998E-2</v>
      </c>
      <c r="W1797">
        <v>-1.962974E-2</v>
      </c>
      <c r="X1797">
        <v>0.99919760000000002</v>
      </c>
      <c r="Y1797">
        <v>-0.21839439999999999</v>
      </c>
      <c r="Z1797">
        <v>-6.7419749999999999E-3</v>
      </c>
      <c r="AA1797">
        <v>0.97583730000000002</v>
      </c>
      <c r="AB1797">
        <v>26</v>
      </c>
      <c r="AC1797">
        <v>-22.105499999999999</v>
      </c>
      <c r="AD1797">
        <v>-1.111079713234</v>
      </c>
      <c r="AE1797">
        <v>-4.3580999999999701</v>
      </c>
      <c r="AF1797">
        <v>-4.9441215179636799</v>
      </c>
      <c r="AG1797">
        <v>-1.111079713234</v>
      </c>
      <c r="AH1797">
        <v>21.9258251633137</v>
      </c>
      <c r="AI1797">
        <v>92.830015105122101</v>
      </c>
      <c r="AJ1797">
        <v>102.707269922924</v>
      </c>
      <c r="AK1797">
        <v>22.5037917872911</v>
      </c>
      <c r="AL1797">
        <v>91.124773507959802</v>
      </c>
      <c r="AM1797">
        <v>92.001071610953304</v>
      </c>
      <c r="AN1797">
        <v>0.99999999028877895</v>
      </c>
    </row>
    <row r="1798" spans="1:40" x14ac:dyDescent="0.3">
      <c r="A1798" t="str">
        <f>"20200111160440627"</f>
        <v>20200111160440627</v>
      </c>
      <c r="B1798" t="str">
        <f>"1578729880622154"</f>
        <v>1578729880622154</v>
      </c>
      <c r="C1798" t="s">
        <v>40</v>
      </c>
      <c r="D1798">
        <v>5.799245</v>
      </c>
      <c r="E1798">
        <v>0.4375695</v>
      </c>
      <c r="F1798" t="s">
        <v>57</v>
      </c>
      <c r="G1798">
        <v>-340.59640000000002</v>
      </c>
      <c r="H1798" s="1">
        <v>-1.219396E-6</v>
      </c>
      <c r="I1798">
        <v>281.1422</v>
      </c>
      <c r="J1798">
        <v>-313.13589999999999</v>
      </c>
      <c r="K1798">
        <v>1.11111</v>
      </c>
      <c r="L1798">
        <v>286.32049999999998</v>
      </c>
      <c r="M1798">
        <v>-0.99955439999999995</v>
      </c>
      <c r="N1798">
        <v>0</v>
      </c>
      <c r="O1798">
        <v>2.6400259999999998E-2</v>
      </c>
      <c r="P1798">
        <v>-0.99941829999999998</v>
      </c>
      <c r="Q1798">
        <v>-3.3326700000000001E-2</v>
      </c>
      <c r="R1798">
        <v>-7.2645189999999997E-3</v>
      </c>
      <c r="S1798">
        <v>-2.993347</v>
      </c>
      <c r="T1798">
        <v>-0.1204392</v>
      </c>
      <c r="U1798">
        <v>-0.56094359999999999</v>
      </c>
      <c r="V1798">
        <v>-3.361082E-2</v>
      </c>
      <c r="W1798">
        <v>-1.947132E-2</v>
      </c>
      <c r="X1798">
        <v>0.9992453</v>
      </c>
      <c r="Y1798">
        <v>-0.20989250000000001</v>
      </c>
      <c r="Z1798">
        <v>-5.2377989999999996E-3</v>
      </c>
      <c r="AA1798">
        <v>0.97771039999999998</v>
      </c>
      <c r="AB1798">
        <v>26</v>
      </c>
      <c r="AC1798">
        <v>-27.4605</v>
      </c>
      <c r="AD1798">
        <v>-1.111111219396</v>
      </c>
      <c r="AE1798">
        <v>-5.1782999999999699</v>
      </c>
      <c r="AF1798">
        <v>-5.8922140456622101</v>
      </c>
      <c r="AG1798">
        <v>-1.111111219396</v>
      </c>
      <c r="AH1798">
        <v>27.2710904001957</v>
      </c>
      <c r="AI1798">
        <v>92.280556268057495</v>
      </c>
      <c r="AJ1798">
        <v>102.191962335498</v>
      </c>
      <c r="AK1798">
        <v>27.922484239719999</v>
      </c>
      <c r="AL1798">
        <v>91.115694970540403</v>
      </c>
      <c r="AM1798">
        <v>91.926486279859105</v>
      </c>
      <c r="AN1798">
        <v>0.99999999454785204</v>
      </c>
    </row>
    <row r="1799" spans="1:40" x14ac:dyDescent="0.3">
      <c r="A1799" t="str">
        <f>"20200111160440639"</f>
        <v>20200111160440639</v>
      </c>
      <c r="B1799" t="str">
        <f>"1578729880632890"</f>
        <v>1578729880632890</v>
      </c>
      <c r="C1799" t="s">
        <v>40</v>
      </c>
      <c r="D1799">
        <v>5.8124580000000003</v>
      </c>
      <c r="E1799">
        <v>0.44062210000000002</v>
      </c>
      <c r="F1799" t="s">
        <v>57</v>
      </c>
      <c r="G1799">
        <v>-349.79570000000001</v>
      </c>
      <c r="H1799" s="1">
        <v>3.6759630000000001E-6</v>
      </c>
      <c r="I1799">
        <v>279.96010000000001</v>
      </c>
      <c r="J1799">
        <v>-313.28919999999999</v>
      </c>
      <c r="K1799">
        <v>1.1111340000000001</v>
      </c>
      <c r="L1799">
        <v>286.32380000000001</v>
      </c>
      <c r="M1799">
        <v>-0.99957390000000002</v>
      </c>
      <c r="N1799">
        <v>0</v>
      </c>
      <c r="O1799">
        <v>2.5652680000000001E-2</v>
      </c>
      <c r="P1799">
        <v>-0.99943340000000003</v>
      </c>
      <c r="Q1799">
        <v>-3.2956609999999997E-2</v>
      </c>
      <c r="R1799">
        <v>-6.8357579999999999E-3</v>
      </c>
      <c r="S1799">
        <v>-2.9949340000000002</v>
      </c>
      <c r="T1799">
        <v>-9.0772389999999994E-2</v>
      </c>
      <c r="U1799">
        <v>-0.51962280000000005</v>
      </c>
      <c r="V1799">
        <v>-3.243555E-2</v>
      </c>
      <c r="W1799">
        <v>-1.910121E-2</v>
      </c>
      <c r="X1799">
        <v>0.99929129999999999</v>
      </c>
      <c r="Y1799">
        <v>-0.19606899999999999</v>
      </c>
      <c r="Z1799">
        <v>-3.7205979999999999E-3</v>
      </c>
      <c r="AA1799">
        <v>0.98058299999999998</v>
      </c>
      <c r="AB1799">
        <v>26</v>
      </c>
      <c r="AC1799">
        <v>-36.506500000000003</v>
      </c>
      <c r="AD1799">
        <v>-1.1111303240369901</v>
      </c>
      <c r="AE1799">
        <v>-6.3636999999999899</v>
      </c>
      <c r="AF1799">
        <v>-7.2916301711888902</v>
      </c>
      <c r="AG1799">
        <v>-1.1111303240369901</v>
      </c>
      <c r="AH1799">
        <v>36.298587495639303</v>
      </c>
      <c r="AI1799">
        <v>91.719005736548795</v>
      </c>
      <c r="AJ1799">
        <v>101.358359657699</v>
      </c>
      <c r="AK1799">
        <v>37.040382494366497</v>
      </c>
      <c r="AL1799">
        <v>91.094485265637701</v>
      </c>
      <c r="AM1799">
        <v>91.859085416338104</v>
      </c>
      <c r="AN1799">
        <v>1.00000001169147</v>
      </c>
    </row>
    <row r="1800" spans="1:40" x14ac:dyDescent="0.3">
      <c r="A1800" t="str">
        <f>"20200111160440657"</f>
        <v>20200111160440657</v>
      </c>
      <c r="B1800" t="str">
        <f>"1578729880652410"</f>
        <v>1578729880652410</v>
      </c>
      <c r="C1800" t="s">
        <v>40</v>
      </c>
      <c r="D1800">
        <v>5.9923539999999997</v>
      </c>
      <c r="E1800">
        <v>0.44465139999999997</v>
      </c>
      <c r="F1800" t="s">
        <v>57</v>
      </c>
      <c r="G1800">
        <v>-351.76650000000001</v>
      </c>
      <c r="H1800" s="1">
        <v>-5.9673540000000002E-7</v>
      </c>
      <c r="I1800">
        <v>279.98</v>
      </c>
      <c r="J1800">
        <v>-313.48469999999998</v>
      </c>
      <c r="K1800">
        <v>1.1111629999999999</v>
      </c>
      <c r="L1800">
        <v>286.32769999999999</v>
      </c>
      <c r="M1800">
        <v>-0.9995986</v>
      </c>
      <c r="N1800">
        <v>0</v>
      </c>
      <c r="O1800">
        <v>2.4673130000000001E-2</v>
      </c>
      <c r="P1800">
        <v>-0.99943859999999995</v>
      </c>
      <c r="Q1800">
        <v>-3.3067190000000003E-2</v>
      </c>
      <c r="R1800">
        <v>-5.41568E-3</v>
      </c>
      <c r="S1800">
        <v>-2.9954830000000001</v>
      </c>
      <c r="T1800">
        <v>-8.6502430000000005E-2</v>
      </c>
      <c r="U1800">
        <v>-0.49386600000000003</v>
      </c>
      <c r="V1800">
        <v>-3.00348E-2</v>
      </c>
      <c r="W1800">
        <v>-1.9209130000000001E-2</v>
      </c>
      <c r="X1800">
        <v>0.99936429999999998</v>
      </c>
      <c r="Y1800">
        <v>-0.18688550000000001</v>
      </c>
      <c r="Z1800">
        <v>-3.3877170000000002E-3</v>
      </c>
      <c r="AA1800">
        <v>0.98237589999999997</v>
      </c>
      <c r="AB1800">
        <v>26</v>
      </c>
      <c r="AC1800">
        <v>-38.281799999999997</v>
      </c>
      <c r="AD1800">
        <v>-1.1111635967354001</v>
      </c>
      <c r="AE1800">
        <v>-6.3476999999999704</v>
      </c>
      <c r="AF1800">
        <v>-7.2844176912662597</v>
      </c>
      <c r="AG1800">
        <v>-1.1111635967354001</v>
      </c>
      <c r="AH1800">
        <v>38.082284991896401</v>
      </c>
      <c r="AI1800">
        <v>91.641555641514699</v>
      </c>
      <c r="AJ1800">
        <v>100.828789231945</v>
      </c>
      <c r="AK1800">
        <v>38.788630497138797</v>
      </c>
      <c r="AL1800">
        <v>91.100669727442394</v>
      </c>
      <c r="AM1800">
        <v>91.7214437638021</v>
      </c>
      <c r="AN1800">
        <v>1.00000004200044</v>
      </c>
    </row>
    <row r="1801" spans="1:40" x14ac:dyDescent="0.3">
      <c r="A1801" t="str">
        <f>"20200111160440671"</f>
        <v>20200111160440671</v>
      </c>
      <c r="B1801" t="str">
        <f>"1578729880663147"</f>
        <v>1578729880663147</v>
      </c>
      <c r="C1801" t="s">
        <v>40</v>
      </c>
      <c r="D1801">
        <v>5.8042509999999998</v>
      </c>
      <c r="E1801">
        <v>0.4459901</v>
      </c>
      <c r="F1801" t="s">
        <v>57</v>
      </c>
      <c r="G1801">
        <v>-343.14240000000001</v>
      </c>
      <c r="H1801" s="1">
        <v>1.3542759999999999E-7</v>
      </c>
      <c r="I1801">
        <v>281.7876</v>
      </c>
      <c r="J1801">
        <v>-313.649</v>
      </c>
      <c r="K1801">
        <v>1.111178</v>
      </c>
      <c r="L1801">
        <v>286.33080000000001</v>
      </c>
      <c r="M1801">
        <v>-0.99961900000000004</v>
      </c>
      <c r="N1801">
        <v>0</v>
      </c>
      <c r="O1801">
        <v>2.3833690000000001E-2</v>
      </c>
      <c r="P1801">
        <v>-0.99941970000000002</v>
      </c>
      <c r="Q1801">
        <v>-3.3616199999999999E-2</v>
      </c>
      <c r="R1801">
        <v>-5.5436399999999999E-3</v>
      </c>
      <c r="S1801">
        <v>-2.9954830000000001</v>
      </c>
      <c r="T1801">
        <v>-0.1122295</v>
      </c>
      <c r="U1801">
        <v>-0.4585571</v>
      </c>
      <c r="V1801">
        <v>-2.932158E-2</v>
      </c>
      <c r="W1801">
        <v>-1.975903E-2</v>
      </c>
      <c r="X1801">
        <v>0.99937469999999995</v>
      </c>
      <c r="Y1801">
        <v>-0.17470239999999901</v>
      </c>
      <c r="Z1801">
        <v>-4.1405569999999996E-3</v>
      </c>
      <c r="AA1801">
        <v>0.98461259999999995</v>
      </c>
      <c r="AB1801">
        <v>26</v>
      </c>
      <c r="AC1801">
        <v>-29.493400000000001</v>
      </c>
      <c r="AD1801">
        <v>-1.11117786457239</v>
      </c>
      <c r="AE1801">
        <v>-4.5432000000000103</v>
      </c>
      <c r="AF1801">
        <v>-5.2376516597815401</v>
      </c>
      <c r="AG1801">
        <v>-1.11117786457239</v>
      </c>
      <c r="AH1801">
        <v>29.336053055439599</v>
      </c>
      <c r="AI1801">
        <v>92.135450575328406</v>
      </c>
      <c r="AJ1801">
        <v>100.122912840407</v>
      </c>
      <c r="AK1801">
        <v>29.820659282240801</v>
      </c>
      <c r="AL1801">
        <v>91.132182725047997</v>
      </c>
      <c r="AM1801">
        <v>91.680571826740902</v>
      </c>
      <c r="AN1801">
        <v>0.99999998266016299</v>
      </c>
    </row>
    <row r="1802" spans="1:40" x14ac:dyDescent="0.3">
      <c r="A1802" t="str">
        <f>"20200111160440684"</f>
        <v>20200111160440684</v>
      </c>
      <c r="B1802" t="str">
        <f>"1578729880672906"</f>
        <v>1578729880672906</v>
      </c>
      <c r="C1802" t="s">
        <v>40</v>
      </c>
      <c r="D1802">
        <v>5.7755510000000001</v>
      </c>
      <c r="E1802">
        <v>0.44704860000000002</v>
      </c>
      <c r="F1802" t="s">
        <v>57</v>
      </c>
      <c r="G1802">
        <v>-340.32409999999999</v>
      </c>
      <c r="H1802" s="1">
        <v>-1.3643E-6</v>
      </c>
      <c r="I1802">
        <v>282.33339999999998</v>
      </c>
      <c r="J1802">
        <v>-313.791</v>
      </c>
      <c r="K1802">
        <v>1.111191</v>
      </c>
      <c r="L1802">
        <v>286.33350000000002</v>
      </c>
      <c r="M1802">
        <v>-0.99963630000000003</v>
      </c>
      <c r="N1802">
        <v>0</v>
      </c>
      <c r="O1802">
        <v>2.310015E-2</v>
      </c>
      <c r="P1802">
        <v>-0.99939900000000004</v>
      </c>
      <c r="Q1802">
        <v>-3.4239119999999998E-2</v>
      </c>
      <c r="R1802">
        <v>-5.4505469999999896E-3</v>
      </c>
      <c r="S1802">
        <v>-2.9950559999999999</v>
      </c>
      <c r="T1802">
        <v>-0.12476180000000001</v>
      </c>
      <c r="U1802">
        <v>-0.448822</v>
      </c>
      <c r="V1802">
        <v>-2.8492989999999999E-2</v>
      </c>
      <c r="W1802">
        <v>-2.0382109999999998E-2</v>
      </c>
      <c r="X1802">
        <v>0.9993862</v>
      </c>
      <c r="Y1802">
        <v>-0.17084260000000001</v>
      </c>
      <c r="Z1802">
        <v>-4.493988E-3</v>
      </c>
      <c r="AA1802">
        <v>0.9852881</v>
      </c>
      <c r="AB1802">
        <v>26</v>
      </c>
      <c r="AC1802">
        <v>-26.533099999999902</v>
      </c>
      <c r="AD1802">
        <v>-1.1111923642999999</v>
      </c>
      <c r="AE1802">
        <v>-4.00010000000003</v>
      </c>
      <c r="AF1802">
        <v>-4.6041146757283498</v>
      </c>
      <c r="AG1802">
        <v>-1.1111923642999999</v>
      </c>
      <c r="AH1802">
        <v>26.3883528227651</v>
      </c>
      <c r="AI1802">
        <v>92.375412173968598</v>
      </c>
      <c r="AJ1802">
        <v>99.897070821995797</v>
      </c>
      <c r="AK1802">
        <v>26.810031426995199</v>
      </c>
      <c r="AL1802">
        <v>91.167889719248905</v>
      </c>
      <c r="AM1802">
        <v>91.633088345532499</v>
      </c>
      <c r="AN1802">
        <v>1.00000002881881</v>
      </c>
    </row>
    <row r="1803" spans="1:40" x14ac:dyDescent="0.3">
      <c r="A1803" t="str">
        <f>"20200111160440701"</f>
        <v>20200111160440701</v>
      </c>
      <c r="B1803" t="str">
        <f>"1578729880692426"</f>
        <v>1578729880692426</v>
      </c>
      <c r="C1803" t="s">
        <v>40</v>
      </c>
      <c r="D1803">
        <v>5.7739560000000001</v>
      </c>
      <c r="E1803">
        <v>0.44878820000000003</v>
      </c>
      <c r="F1803" t="s">
        <v>57</v>
      </c>
      <c r="G1803">
        <v>-338.28269999999998</v>
      </c>
      <c r="H1803" s="1">
        <v>2.9531749999999999E-6</v>
      </c>
      <c r="I1803">
        <v>282.73230000000001</v>
      </c>
      <c r="J1803">
        <v>-314.00029999999998</v>
      </c>
      <c r="K1803">
        <v>1.111202</v>
      </c>
      <c r="L1803">
        <v>286.33710000000002</v>
      </c>
      <c r="M1803">
        <v>-0.99966080000000002</v>
      </c>
      <c r="N1803">
        <v>0</v>
      </c>
      <c r="O1803">
        <v>2.2003910000000002E-2</v>
      </c>
      <c r="P1803">
        <v>-0.99937920000000002</v>
      </c>
      <c r="Q1803">
        <v>-3.4809319999999998E-2</v>
      </c>
      <c r="R1803">
        <v>-5.457918E-3</v>
      </c>
      <c r="S1803">
        <v>-2.9947810000000001</v>
      </c>
      <c r="T1803">
        <v>-0.1358732</v>
      </c>
      <c r="U1803">
        <v>-0.44033810000000001</v>
      </c>
      <c r="V1803">
        <v>-2.7402320000000001E-2</v>
      </c>
      <c r="W1803">
        <v>-2.095209E-2</v>
      </c>
      <c r="X1803">
        <v>0.99940490000000004</v>
      </c>
      <c r="Y1803">
        <v>-0.16701729999999901</v>
      </c>
      <c r="Z1803">
        <v>-4.7595340000000002E-3</v>
      </c>
      <c r="AA1803">
        <v>0.98594250000000005</v>
      </c>
      <c r="AB1803">
        <v>26</v>
      </c>
      <c r="AC1803">
        <v>-24.282399999999999</v>
      </c>
      <c r="AD1803">
        <v>-1.1111990468249999</v>
      </c>
      <c r="AE1803">
        <v>-3.6048000000000102</v>
      </c>
      <c r="AF1803">
        <v>-4.1298248203707004</v>
      </c>
      <c r="AG1803">
        <v>-1.1111990468249999</v>
      </c>
      <c r="AH1803">
        <v>24.1477146406523</v>
      </c>
      <c r="AI1803">
        <v>92.597052084083799</v>
      </c>
      <c r="AJ1803">
        <v>99.705026458248994</v>
      </c>
      <c r="AK1803">
        <v>24.523505841029099</v>
      </c>
      <c r="AL1803">
        <v>91.200554159639694</v>
      </c>
      <c r="AM1803">
        <v>91.570578671870706</v>
      </c>
      <c r="AN1803">
        <v>1.0000000156803801</v>
      </c>
    </row>
    <row r="1804" spans="1:40" x14ac:dyDescent="0.3">
      <c r="A1804" t="str">
        <f>"20200111160440714"</f>
        <v>20200111160440714</v>
      </c>
      <c r="B1804" t="str">
        <f>"1578729880702187"</f>
        <v>1578729880702187</v>
      </c>
      <c r="C1804" t="s">
        <v>40</v>
      </c>
      <c r="D1804">
        <v>5.776427</v>
      </c>
      <c r="E1804">
        <v>0.4494726</v>
      </c>
      <c r="F1804" t="s">
        <v>57</v>
      </c>
      <c r="G1804">
        <v>-336.09109999999998</v>
      </c>
      <c r="H1804" s="1">
        <v>1.7671429999999999E-6</v>
      </c>
      <c r="I1804">
        <v>283.1857</v>
      </c>
      <c r="J1804">
        <v>-314.14</v>
      </c>
      <c r="K1804">
        <v>1.111205</v>
      </c>
      <c r="L1804">
        <v>286.33940000000001</v>
      </c>
      <c r="M1804">
        <v>-0.99967680000000003</v>
      </c>
      <c r="N1804">
        <v>0</v>
      </c>
      <c r="O1804">
        <v>2.1267709999999999E-2</v>
      </c>
      <c r="P1804">
        <v>-0.99937690000000001</v>
      </c>
      <c r="Q1804">
        <v>-3.4806869999999997E-2</v>
      </c>
      <c r="R1804">
        <v>-5.8509929999999996E-3</v>
      </c>
      <c r="S1804">
        <v>-2.9942929999999999</v>
      </c>
      <c r="T1804">
        <v>-0.15061720000000001</v>
      </c>
      <c r="U1804">
        <v>-0.42715449999999999</v>
      </c>
      <c r="V1804">
        <v>-2.7059670000000001E-2</v>
      </c>
      <c r="W1804">
        <v>-2.095019E-2</v>
      </c>
      <c r="X1804">
        <v>0.99941429999999998</v>
      </c>
      <c r="Y1804">
        <v>-0.1620238</v>
      </c>
      <c r="Z1804">
        <v>-5.116158E-3</v>
      </c>
      <c r="AA1804">
        <v>0.98677360000000003</v>
      </c>
      <c r="AB1804">
        <v>26</v>
      </c>
      <c r="AC1804">
        <v>-21.9511</v>
      </c>
      <c r="AD1804">
        <v>-1.1112032328569901</v>
      </c>
      <c r="AE1804">
        <v>-3.1537000000000099</v>
      </c>
      <c r="AF1804">
        <v>-3.61081564921871</v>
      </c>
      <c r="AG1804">
        <v>-1.1112032328569901</v>
      </c>
      <c r="AH1804">
        <v>21.8242605724284</v>
      </c>
      <c r="AI1804">
        <v>92.875725967831002</v>
      </c>
      <c r="AJ1804">
        <v>99.394461926808404</v>
      </c>
      <c r="AK1804">
        <v>22.148839965348198</v>
      </c>
      <c r="AL1804">
        <v>91.200445245013995</v>
      </c>
      <c r="AM1804">
        <v>91.550934575831107</v>
      </c>
      <c r="AN1804">
        <v>1.00000003962301</v>
      </c>
    </row>
    <row r="1805" spans="1:40" x14ac:dyDescent="0.3">
      <c r="A1805" t="str">
        <f>"20200111160440727"</f>
        <v>20200111160440727</v>
      </c>
      <c r="B1805" t="str">
        <f>"1578729880722682"</f>
        <v>1578729880722682</v>
      </c>
      <c r="C1805" t="s">
        <v>40</v>
      </c>
      <c r="D1805">
        <v>5.7262779999999998</v>
      </c>
      <c r="E1805">
        <v>0.45060939999999999</v>
      </c>
      <c r="F1805" t="s">
        <v>57</v>
      </c>
      <c r="G1805">
        <v>-335.51159999999999</v>
      </c>
      <c r="H1805" s="1">
        <v>1.4529000000000001E-6</v>
      </c>
      <c r="I1805">
        <v>283.31990000000002</v>
      </c>
      <c r="J1805">
        <v>-314.29410000000001</v>
      </c>
      <c r="K1805">
        <v>1.1112070000000001</v>
      </c>
      <c r="L1805">
        <v>286.3417</v>
      </c>
      <c r="M1805">
        <v>-0.99969390000000002</v>
      </c>
      <c r="N1805">
        <v>0</v>
      </c>
      <c r="O1805">
        <v>2.045454E-2</v>
      </c>
      <c r="P1805">
        <v>-0.99936930000000002</v>
      </c>
      <c r="Q1805">
        <v>-3.4917289999999997E-2</v>
      </c>
      <c r="R1805">
        <v>-6.4624529999999999E-3</v>
      </c>
      <c r="S1805">
        <v>-2.9939580000000001</v>
      </c>
      <c r="T1805">
        <v>-0.1556689</v>
      </c>
      <c r="U1805">
        <v>-0.4230042</v>
      </c>
      <c r="V1805">
        <v>-2.685802E-2</v>
      </c>
      <c r="W1805">
        <v>-2.106162E-2</v>
      </c>
      <c r="X1805">
        <v>0.99941740000000001</v>
      </c>
      <c r="Y1805">
        <v>-0.15988369999999999</v>
      </c>
      <c r="Z1805">
        <v>-5.1912240000000004E-3</v>
      </c>
      <c r="AA1805">
        <v>0.98712219999999995</v>
      </c>
      <c r="AB1805">
        <v>26</v>
      </c>
      <c r="AC1805">
        <v>-21.217499999999902</v>
      </c>
      <c r="AD1805">
        <v>-1.1112055471</v>
      </c>
      <c r="AE1805">
        <v>-3.0217999999999798</v>
      </c>
      <c r="AF1805">
        <v>-3.4459401545110899</v>
      </c>
      <c r="AG1805">
        <v>-1.1112055471</v>
      </c>
      <c r="AH1805">
        <v>21.094535909337399</v>
      </c>
      <c r="AI1805">
        <v>92.976031549699499</v>
      </c>
      <c r="AJ1805">
        <v>99.277719108588201</v>
      </c>
      <c r="AK1805">
        <v>21.403007418274299</v>
      </c>
      <c r="AL1805">
        <v>91.2068311193391</v>
      </c>
      <c r="AM1805">
        <v>91.539377744038205</v>
      </c>
      <c r="AN1805">
        <v>1.00000004224905</v>
      </c>
    </row>
    <row r="1806" spans="1:40" x14ac:dyDescent="0.3">
      <c r="A1806" t="str">
        <f>"20200111160440740"</f>
        <v>20200111160440740</v>
      </c>
      <c r="B1806" t="str">
        <f>"1578729880732442"</f>
        <v>1578729880732442</v>
      </c>
      <c r="C1806" t="s">
        <v>40</v>
      </c>
      <c r="D1806">
        <v>5.7102570000000004</v>
      </c>
      <c r="E1806">
        <v>0.45113170000000002</v>
      </c>
      <c r="F1806" t="s">
        <v>57</v>
      </c>
      <c r="G1806">
        <v>-334.56199999999899</v>
      </c>
      <c r="H1806" s="1">
        <v>9.3858340000000003E-7</v>
      </c>
      <c r="I1806">
        <v>283.52499999999998</v>
      </c>
      <c r="J1806">
        <v>-314.44409999999999</v>
      </c>
      <c r="K1806">
        <v>1.1112029999999999</v>
      </c>
      <c r="L1806">
        <v>286.34399999999999</v>
      </c>
      <c r="M1806">
        <v>-0.99970979999999998</v>
      </c>
      <c r="N1806">
        <v>0</v>
      </c>
      <c r="O1806">
        <v>1.9661560000000002E-2</v>
      </c>
      <c r="P1806">
        <v>-0.99935499999999999</v>
      </c>
      <c r="Q1806">
        <v>-3.5178569999999999E-2</v>
      </c>
      <c r="R1806">
        <v>-7.2439309999999899E-3</v>
      </c>
      <c r="S1806">
        <v>-2.993439</v>
      </c>
      <c r="T1806">
        <v>-0.16411779999999901</v>
      </c>
      <c r="U1806">
        <v>-0.41601559999999999</v>
      </c>
      <c r="V1806">
        <v>-2.684549E-2</v>
      </c>
      <c r="W1806">
        <v>-2.1324220000000001E-2</v>
      </c>
      <c r="X1806">
        <v>0.99941210000000003</v>
      </c>
      <c r="Y1806">
        <v>-0.15684229999999999</v>
      </c>
      <c r="Z1806">
        <v>-5.3482080000000001E-3</v>
      </c>
      <c r="AA1806">
        <v>0.98760910000000002</v>
      </c>
      <c r="AB1806">
        <v>26</v>
      </c>
      <c r="AC1806">
        <v>-20.117899999999899</v>
      </c>
      <c r="AD1806">
        <v>-1.1112020614166001</v>
      </c>
      <c r="AE1806">
        <v>-2.8190000000000102</v>
      </c>
      <c r="AF1806">
        <v>-3.2044545318264399</v>
      </c>
      <c r="AG1806">
        <v>-1.1112020614166001</v>
      </c>
      <c r="AH1806">
        <v>19.998740763745602</v>
      </c>
      <c r="AI1806">
        <v>93.1403138139258</v>
      </c>
      <c r="AJ1806">
        <v>99.103282810266904</v>
      </c>
      <c r="AK1806">
        <v>20.2843025762125</v>
      </c>
      <c r="AL1806">
        <v>91.221880453645696</v>
      </c>
      <c r="AM1806">
        <v>91.538668083352604</v>
      </c>
      <c r="AN1806">
        <v>0.99999997415917896</v>
      </c>
    </row>
    <row r="1807" spans="1:40" x14ac:dyDescent="0.3">
      <c r="A1807" t="str">
        <f>"20200111160440757"</f>
        <v>20200111160440757</v>
      </c>
      <c r="B1807" t="str">
        <f>"1578729880752938"</f>
        <v>1578729880752938</v>
      </c>
      <c r="C1807" t="s">
        <v>40</v>
      </c>
      <c r="D1807">
        <v>5.7052659999999999</v>
      </c>
      <c r="E1807">
        <v>0.45200269999999998</v>
      </c>
      <c r="F1807" t="s">
        <v>57</v>
      </c>
      <c r="G1807">
        <v>-334.17110000000002</v>
      </c>
      <c r="H1807" s="1">
        <v>7.26801E-7</v>
      </c>
      <c r="I1807">
        <v>283.61149999999998</v>
      </c>
      <c r="J1807">
        <v>-314.62860000000001</v>
      </c>
      <c r="K1807">
        <v>1.1111949999999999</v>
      </c>
      <c r="L1807">
        <v>286.34649999999999</v>
      </c>
      <c r="M1807">
        <v>-0.99972839999999996</v>
      </c>
      <c r="N1807">
        <v>0</v>
      </c>
      <c r="O1807">
        <v>1.8688819999999998E-2</v>
      </c>
      <c r="P1807">
        <v>-0.99934319999999999</v>
      </c>
      <c r="Q1807">
        <v>-3.5190100000000002E-2</v>
      </c>
      <c r="R1807">
        <v>-8.6601500000000001E-3</v>
      </c>
      <c r="S1807">
        <v>-2.9930110000000001</v>
      </c>
      <c r="T1807">
        <v>-0.16859279999999999</v>
      </c>
      <c r="U1807">
        <v>-0.41458129999999999</v>
      </c>
      <c r="V1807">
        <v>-2.7289629999999999E-2</v>
      </c>
      <c r="W1807">
        <v>-2.1338369999999999E-2</v>
      </c>
      <c r="X1807">
        <v>0.99939979999999995</v>
      </c>
      <c r="Y1807">
        <v>-0.15542529999999999</v>
      </c>
      <c r="Z1807">
        <v>-5.4005529999999998E-3</v>
      </c>
      <c r="AA1807">
        <v>0.98783290000000001</v>
      </c>
      <c r="AB1807">
        <v>26</v>
      </c>
      <c r="AC1807">
        <v>-19.5425</v>
      </c>
      <c r="AD1807">
        <v>-1.1111942731990001</v>
      </c>
      <c r="AE1807">
        <v>-2.7350000000000101</v>
      </c>
      <c r="AF1807">
        <v>-3.0899855741145199</v>
      </c>
      <c r="AG1807">
        <v>-1.1111942731990001</v>
      </c>
      <c r="AH1807">
        <v>19.426366404910599</v>
      </c>
      <c r="AI1807">
        <v>93.233211623897603</v>
      </c>
      <c r="AJ1807">
        <v>99.0378353300123</v>
      </c>
      <c r="AK1807">
        <v>19.701940900806299</v>
      </c>
      <c r="AL1807">
        <v>91.222691335637293</v>
      </c>
      <c r="AM1807">
        <v>91.564130977008105</v>
      </c>
      <c r="AN1807">
        <v>1.00000000508991</v>
      </c>
    </row>
    <row r="1808" spans="1:40" x14ac:dyDescent="0.3">
      <c r="A1808" t="str">
        <f>"20200111160440770"</f>
        <v>20200111160440770</v>
      </c>
      <c r="B1808" t="str">
        <f>"1578729880762698"</f>
        <v>1578729880762698</v>
      </c>
      <c r="C1808" t="s">
        <v>40</v>
      </c>
      <c r="D1808">
        <v>5.7307790000000001</v>
      </c>
      <c r="E1808">
        <v>0.45237179999999999</v>
      </c>
      <c r="F1808" t="s">
        <v>57</v>
      </c>
      <c r="G1808">
        <v>-333.72109999999998</v>
      </c>
      <c r="H1808" s="1">
        <v>4.8271659999999897E-7</v>
      </c>
      <c r="I1808">
        <v>283.71640000000002</v>
      </c>
      <c r="J1808">
        <v>-314.77170000000001</v>
      </c>
      <c r="K1808">
        <v>1.1111949999999999</v>
      </c>
      <c r="L1808">
        <v>286.34840000000003</v>
      </c>
      <c r="M1808">
        <v>-0.99974260000000004</v>
      </c>
      <c r="N1808">
        <v>0</v>
      </c>
      <c r="O1808">
        <v>1.7933910000000001E-2</v>
      </c>
      <c r="P1808">
        <v>-0.99933430000000001</v>
      </c>
      <c r="Q1808">
        <v>-3.5107329999999999E-2</v>
      </c>
      <c r="R1808">
        <v>-9.9430209999999998E-3</v>
      </c>
      <c r="S1808">
        <v>-2.9922789999999999</v>
      </c>
      <c r="T1808">
        <v>-0.17415239999999901</v>
      </c>
      <c r="U1808">
        <v>-0.41220089999999998</v>
      </c>
      <c r="V1808">
        <v>-2.7817680000000001E-2</v>
      </c>
      <c r="W1808">
        <v>-2.1274850000000001E-2</v>
      </c>
      <c r="X1808">
        <v>0.99938660000000001</v>
      </c>
      <c r="Y1808">
        <v>-0.15392639999999999</v>
      </c>
      <c r="Z1808">
        <v>-5.4929069999999896E-3</v>
      </c>
      <c r="AA1808">
        <v>0.98806700000000003</v>
      </c>
      <c r="AB1808">
        <v>26</v>
      </c>
      <c r="AC1808">
        <v>-18.949399999999901</v>
      </c>
      <c r="AD1808">
        <v>-1.1111945172833999</v>
      </c>
      <c r="AE1808">
        <v>-2.6320000000000001</v>
      </c>
      <c r="AF1808">
        <v>-2.9614555800410001</v>
      </c>
      <c r="AG1808">
        <v>-1.1111945172833999</v>
      </c>
      <c r="AH1808">
        <v>18.835601910369999</v>
      </c>
      <c r="AI1808">
        <v>93.335336247225001</v>
      </c>
      <c r="AJ1808">
        <v>98.935266387144907</v>
      </c>
      <c r="AK1808">
        <v>19.099342180654599</v>
      </c>
      <c r="AL1808">
        <v>91.219051076091901</v>
      </c>
      <c r="AM1808">
        <v>91.5944022368638</v>
      </c>
      <c r="AN1808">
        <v>1.0000000094113299</v>
      </c>
    </row>
    <row r="1809" spans="1:40" x14ac:dyDescent="0.3">
      <c r="A1809" t="str">
        <f>"20200111160440782"</f>
        <v>20200111160440782</v>
      </c>
      <c r="B1809" t="str">
        <f>"1578729880772458"</f>
        <v>1578729880772458</v>
      </c>
      <c r="C1809" t="s">
        <v>40</v>
      </c>
      <c r="D1809">
        <v>5.7236560000000001</v>
      </c>
      <c r="E1809">
        <v>0.4527311</v>
      </c>
      <c r="F1809" t="s">
        <v>57</v>
      </c>
      <c r="G1809">
        <v>-333.6739</v>
      </c>
      <c r="H1809" s="1">
        <v>4.5665709999999998E-7</v>
      </c>
      <c r="I1809">
        <v>283.738</v>
      </c>
      <c r="J1809">
        <v>-314.9178</v>
      </c>
      <c r="K1809">
        <v>1.111186</v>
      </c>
      <c r="L1809">
        <v>286.35019999999997</v>
      </c>
      <c r="M1809">
        <v>-0.9997566</v>
      </c>
      <c r="N1809">
        <v>0</v>
      </c>
      <c r="O1809">
        <v>1.7161740000000002E-2</v>
      </c>
      <c r="P1809">
        <v>-0.99932209999999999</v>
      </c>
      <c r="Q1809">
        <v>-3.5064409999999997E-2</v>
      </c>
      <c r="R1809">
        <v>-1.123587E-2</v>
      </c>
      <c r="S1809">
        <v>-2.9916689999999999</v>
      </c>
      <c r="T1809">
        <v>-0.17586969999999999</v>
      </c>
      <c r="U1809">
        <v>-0.41314699999999999</v>
      </c>
      <c r="V1809">
        <v>-2.8338539999999999E-2</v>
      </c>
      <c r="W1809">
        <v>-2.126991E-2</v>
      </c>
      <c r="X1809">
        <v>0.99937209999999999</v>
      </c>
      <c r="Y1809">
        <v>-0.1534934</v>
      </c>
      <c r="Z1809">
        <v>-5.4901580000000002E-3</v>
      </c>
      <c r="AA1809">
        <v>0.98813439999999997</v>
      </c>
      <c r="AB1809">
        <v>26</v>
      </c>
      <c r="AC1809">
        <v>-18.7561</v>
      </c>
      <c r="AD1809">
        <v>-1.1111855433428901</v>
      </c>
      <c r="AE1809">
        <v>-2.6121999999999699</v>
      </c>
      <c r="AF1809">
        <v>-2.9236671025287899</v>
      </c>
      <c r="AG1809">
        <v>-1.1111855433428901</v>
      </c>
      <c r="AH1809">
        <v>18.644309469440302</v>
      </c>
      <c r="AI1809">
        <v>93.369664626717295</v>
      </c>
      <c r="AJ1809">
        <v>98.912136206058307</v>
      </c>
      <c r="AK1809">
        <v>18.904836371426399</v>
      </c>
      <c r="AL1809">
        <v>91.218767935924603</v>
      </c>
      <c r="AM1809">
        <v>91.624263634090795</v>
      </c>
      <c r="AN1809">
        <v>1.0000000380895699</v>
      </c>
    </row>
    <row r="1810" spans="1:40" x14ac:dyDescent="0.3">
      <c r="A1810" t="str">
        <f>"20200111160440794"</f>
        <v>20200111160440794</v>
      </c>
      <c r="B1810" t="str">
        <f>"1578729880792954"</f>
        <v>1578729880792954</v>
      </c>
      <c r="C1810" t="s">
        <v>40</v>
      </c>
      <c r="D1810">
        <v>5.6661739999999998</v>
      </c>
      <c r="E1810">
        <v>0.45281880000000002</v>
      </c>
      <c r="F1810" t="s">
        <v>57</v>
      </c>
      <c r="G1810">
        <v>-333.62430000000001</v>
      </c>
      <c r="H1810" s="1">
        <v>4.2938279999999999E-7</v>
      </c>
      <c r="I1810">
        <v>283.75869999999998</v>
      </c>
      <c r="J1810">
        <v>-315.05970000000002</v>
      </c>
      <c r="K1810">
        <v>1.111167</v>
      </c>
      <c r="L1810">
        <v>286.35180000000003</v>
      </c>
      <c r="M1810">
        <v>-0.9997703</v>
      </c>
      <c r="N1810">
        <v>0</v>
      </c>
      <c r="O1810">
        <v>1.6416440000000001E-2</v>
      </c>
      <c r="P1810">
        <v>-0.99930589999999997</v>
      </c>
      <c r="Q1810">
        <v>-3.4875719999999999E-2</v>
      </c>
      <c r="R1810">
        <v>-1.308989E-2</v>
      </c>
      <c r="S1810">
        <v>-2.9911500000000002</v>
      </c>
      <c r="T1810">
        <v>-0.177677</v>
      </c>
      <c r="U1810">
        <v>-0.41436770000000001</v>
      </c>
      <c r="V1810">
        <v>-2.944797E-2</v>
      </c>
      <c r="W1810">
        <v>-2.1168429999999998E-2</v>
      </c>
      <c r="X1810">
        <v>0.99934210000000001</v>
      </c>
      <c r="Y1810">
        <v>-0.15317149999999999</v>
      </c>
      <c r="Z1810">
        <v>-5.4937220000000004E-3</v>
      </c>
      <c r="AA1810">
        <v>0.98818430000000002</v>
      </c>
      <c r="AB1810">
        <v>26</v>
      </c>
      <c r="AC1810">
        <v>-18.564599999999899</v>
      </c>
      <c r="AD1810">
        <v>-1.1111665706172</v>
      </c>
      <c r="AE1810">
        <v>-2.5931000000000402</v>
      </c>
      <c r="AF1810">
        <v>-2.8873978970217902</v>
      </c>
      <c r="AG1810">
        <v>-1.1111665706172</v>
      </c>
      <c r="AH1810">
        <v>18.454675479887602</v>
      </c>
      <c r="AI1810">
        <v>93.404334938905905</v>
      </c>
      <c r="AJ1810">
        <v>98.892341621201993</v>
      </c>
      <c r="AK1810">
        <v>18.7122100466873</v>
      </c>
      <c r="AL1810">
        <v>91.212952346851907</v>
      </c>
      <c r="AM1810">
        <v>91.687866739142095</v>
      </c>
      <c r="AN1810">
        <v>0.999999959099097</v>
      </c>
    </row>
    <row r="1811" spans="1:40" x14ac:dyDescent="0.3">
      <c r="A1811" t="str">
        <f>"20200111160440812"</f>
        <v>20200111160440812</v>
      </c>
      <c r="B1811" t="str">
        <f>"1578729880802714"</f>
        <v>1578729880802714</v>
      </c>
      <c r="C1811" t="s">
        <v>40</v>
      </c>
      <c r="D1811">
        <v>5.7499129999999896</v>
      </c>
      <c r="E1811">
        <v>0.45318069999999999</v>
      </c>
      <c r="F1811" t="s">
        <v>57</v>
      </c>
      <c r="G1811">
        <v>-334.42689999999999</v>
      </c>
      <c r="H1811" s="1">
        <v>8.6170869999999995E-7</v>
      </c>
      <c r="I1811">
        <v>283.63909999999998</v>
      </c>
      <c r="J1811">
        <v>-315.25900000000001</v>
      </c>
      <c r="K1811">
        <v>1.1111390000000001</v>
      </c>
      <c r="L1811">
        <v>286.35390000000001</v>
      </c>
      <c r="M1811">
        <v>-0.99978889999999998</v>
      </c>
      <c r="N1811">
        <v>0</v>
      </c>
      <c r="O1811">
        <v>1.53744E-2</v>
      </c>
      <c r="P1811">
        <v>-0.9992896</v>
      </c>
      <c r="Q1811">
        <v>-3.4184869999999999E-2</v>
      </c>
      <c r="R1811">
        <v>-1.5869660000000001E-2</v>
      </c>
      <c r="S1811">
        <v>-2.9906009999999998</v>
      </c>
      <c r="T1811">
        <v>-0.1715816</v>
      </c>
      <c r="U1811">
        <v>-0.41888429999999999</v>
      </c>
      <c r="V1811">
        <v>-3.1186620000000002E-2</v>
      </c>
      <c r="W1811">
        <v>-2.0638690000000001E-2</v>
      </c>
      <c r="X1811">
        <v>0.99930050000000004</v>
      </c>
      <c r="Y1811">
        <v>-0.15365090000000001</v>
      </c>
      <c r="Z1811">
        <v>-5.2601749999999997E-3</v>
      </c>
      <c r="AA1811">
        <v>0.98811119999999997</v>
      </c>
      <c r="AB1811">
        <v>25</v>
      </c>
      <c r="AC1811">
        <v>-19.1678999999999</v>
      </c>
      <c r="AD1811">
        <v>-1.1111381382912999</v>
      </c>
      <c r="AE1811">
        <v>-2.7148000000000199</v>
      </c>
      <c r="AF1811">
        <v>-2.9993207872130601</v>
      </c>
      <c r="AG1811">
        <v>-1.1111381382912999</v>
      </c>
      <c r="AH1811">
        <v>19.061099040242699</v>
      </c>
      <c r="AI1811">
        <v>93.295735263887707</v>
      </c>
      <c r="AJ1811">
        <v>98.942338895659702</v>
      </c>
      <c r="AK1811">
        <v>19.327598137609201</v>
      </c>
      <c r="AL1811">
        <v>91.182593767583398</v>
      </c>
      <c r="AM1811">
        <v>91.787532305900001</v>
      </c>
      <c r="AN1811">
        <v>1.0000000250460901</v>
      </c>
    </row>
    <row r="1812" spans="1:40" x14ac:dyDescent="0.3">
      <c r="A1812" t="str">
        <f>"20200111160440826"</f>
        <v>20200111160440826</v>
      </c>
      <c r="B1812" t="str">
        <f>"1578729880822235"</f>
        <v>1578729880822235</v>
      </c>
      <c r="C1812" t="s">
        <v>40</v>
      </c>
      <c r="D1812">
        <v>5.7982659999999999</v>
      </c>
      <c r="E1812">
        <v>0.45383299999999999</v>
      </c>
      <c r="F1812" t="s">
        <v>57</v>
      </c>
      <c r="G1812">
        <v>-334.54590000000002</v>
      </c>
      <c r="H1812" s="1">
        <v>9.2606320000000004E-7</v>
      </c>
      <c r="I1812">
        <v>283.61579999999998</v>
      </c>
      <c r="J1812">
        <v>-315.40730000000002</v>
      </c>
      <c r="K1812">
        <v>1.1111040000000001</v>
      </c>
      <c r="L1812">
        <v>286.3553</v>
      </c>
      <c r="M1812">
        <v>-0.99980259999999999</v>
      </c>
      <c r="N1812">
        <v>0</v>
      </c>
      <c r="O1812">
        <v>1.4601970000000001E-2</v>
      </c>
      <c r="P1812">
        <v>-0.99929000000000001</v>
      </c>
      <c r="Q1812">
        <v>-3.3274919999999999E-2</v>
      </c>
      <c r="R1812">
        <v>-1.7680689999999999E-2</v>
      </c>
      <c r="S1812">
        <v>-2.9895019999999999</v>
      </c>
      <c r="T1812">
        <v>-0.1722283</v>
      </c>
      <c r="U1812">
        <v>-0.42440800000000001</v>
      </c>
      <c r="V1812">
        <v>-3.2227779999999998E-2</v>
      </c>
      <c r="W1812">
        <v>-1.9874260000000001E-2</v>
      </c>
      <c r="X1812">
        <v>0.99928300000000003</v>
      </c>
      <c r="Y1812">
        <v>-0.15472469999999999</v>
      </c>
      <c r="Z1812">
        <v>-5.2676989999999998E-3</v>
      </c>
      <c r="AA1812">
        <v>0.98794360000000003</v>
      </c>
      <c r="AB1812">
        <v>26</v>
      </c>
      <c r="AC1812">
        <v>-19.1386</v>
      </c>
      <c r="AD1812">
        <v>-1.1111030739368</v>
      </c>
      <c r="AE1812">
        <v>-2.73950000000002</v>
      </c>
      <c r="AF1812">
        <v>-3.0087572388420201</v>
      </c>
      <c r="AG1812">
        <v>-1.1111030739368</v>
      </c>
      <c r="AH1812">
        <v>19.0336893089972</v>
      </c>
      <c r="AI1812">
        <v>93.300000876304793</v>
      </c>
      <c r="AJ1812">
        <v>98.982723398172496</v>
      </c>
      <c r="AK1812">
        <v>19.3020335424698</v>
      </c>
      <c r="AL1812">
        <v>91.138786120721406</v>
      </c>
      <c r="AM1812">
        <v>91.847200419187303</v>
      </c>
      <c r="AN1812">
        <v>1.0000000650516301</v>
      </c>
    </row>
    <row r="1813" spans="1:40" x14ac:dyDescent="0.3">
      <c r="A1813" t="str">
        <f>"20200111160440837"</f>
        <v>20200111160440837</v>
      </c>
      <c r="B1813" t="str">
        <f>"1578729880832971"</f>
        <v>1578729880832971</v>
      </c>
      <c r="C1813" t="s">
        <v>40</v>
      </c>
      <c r="D1813">
        <v>5.8065499999999997</v>
      </c>
      <c r="E1813">
        <v>0.45424779999999998</v>
      </c>
      <c r="F1813" t="s">
        <v>57</v>
      </c>
      <c r="G1813">
        <v>-334.476</v>
      </c>
      <c r="H1813" s="1">
        <v>8.8751429999999997E-7</v>
      </c>
      <c r="I1813">
        <v>283.64620000000002</v>
      </c>
      <c r="J1813">
        <v>-315.55149999999998</v>
      </c>
      <c r="K1813">
        <v>1.11107</v>
      </c>
      <c r="L1813">
        <v>286.35660000000001</v>
      </c>
      <c r="M1813">
        <v>-0.99981520000000002</v>
      </c>
      <c r="N1813">
        <v>0</v>
      </c>
      <c r="O1813">
        <v>1.385319E-2</v>
      </c>
      <c r="P1813">
        <v>-0.99927239999999995</v>
      </c>
      <c r="Q1813">
        <v>-3.2926749999999998E-2</v>
      </c>
      <c r="R1813">
        <v>-1.924292E-2</v>
      </c>
      <c r="S1813">
        <v>-2.9888309999999998</v>
      </c>
      <c r="T1813">
        <v>-0.174155</v>
      </c>
      <c r="U1813">
        <v>-0.42462159999999899</v>
      </c>
      <c r="V1813">
        <v>-3.3042229999999999E-2</v>
      </c>
      <c r="W1813">
        <v>-1.9687489999999998E-2</v>
      </c>
      <c r="X1813">
        <v>0.99926000000000004</v>
      </c>
      <c r="Y1813">
        <v>-0.15408089999999999</v>
      </c>
      <c r="Z1813">
        <v>-5.2656379999999996E-3</v>
      </c>
      <c r="AA1813">
        <v>0.98804420000000004</v>
      </c>
      <c r="AB1813">
        <v>26</v>
      </c>
      <c r="AC1813">
        <v>-18.924499999999998</v>
      </c>
      <c r="AD1813">
        <v>-1.1110691124857</v>
      </c>
      <c r="AE1813">
        <v>-2.7103999999999902</v>
      </c>
      <c r="AF1813">
        <v>-2.9623221526558301</v>
      </c>
      <c r="AG1813">
        <v>-1.1110691124857</v>
      </c>
      <c r="AH1813">
        <v>18.821559964854899</v>
      </c>
      <c r="AI1813">
        <v>93.3373596371041</v>
      </c>
      <c r="AJ1813">
        <v>98.944399157084007</v>
      </c>
      <c r="AK1813">
        <v>19.085621462752201</v>
      </c>
      <c r="AL1813">
        <v>91.128083005185303</v>
      </c>
      <c r="AM1813">
        <v>91.893892251996206</v>
      </c>
      <c r="AN1813">
        <v>0.99999996691293602</v>
      </c>
    </row>
    <row r="1814" spans="1:40" x14ac:dyDescent="0.3">
      <c r="A1814" t="str">
        <f>"20200111160440850"</f>
        <v>20200111160440850</v>
      </c>
      <c r="B1814" t="str">
        <f>"1578729880842730"</f>
        <v>1578729880842730</v>
      </c>
      <c r="C1814" t="s">
        <v>40</v>
      </c>
      <c r="D1814">
        <v>5.7913319999999997</v>
      </c>
      <c r="E1814">
        <v>0.4546615</v>
      </c>
      <c r="F1814" t="s">
        <v>57</v>
      </c>
      <c r="G1814">
        <v>-334.44819999999999</v>
      </c>
      <c r="H1814" s="1">
        <v>8.7209289999999995E-7</v>
      </c>
      <c r="I1814">
        <v>283.66090000000003</v>
      </c>
      <c r="J1814">
        <v>-315.69279999999998</v>
      </c>
      <c r="K1814">
        <v>1.111035</v>
      </c>
      <c r="L1814">
        <v>286.35770000000002</v>
      </c>
      <c r="M1814">
        <v>-0.99982740000000003</v>
      </c>
      <c r="N1814">
        <v>0</v>
      </c>
      <c r="O1814">
        <v>1.311904E-2</v>
      </c>
      <c r="P1814">
        <v>-0.99925450000000005</v>
      </c>
      <c r="Q1814">
        <v>-3.2550389999999998E-2</v>
      </c>
      <c r="R1814">
        <v>-2.0755490000000001E-2</v>
      </c>
      <c r="S1814">
        <v>-2.9881899999999999</v>
      </c>
      <c r="T1814">
        <v>-0.17569679999999999</v>
      </c>
      <c r="U1814">
        <v>-0.42626950000000002</v>
      </c>
      <c r="V1814">
        <v>-3.3821419999999998E-2</v>
      </c>
      <c r="W1814">
        <v>-1.9474990000000001E-2</v>
      </c>
      <c r="X1814">
        <v>0.99923810000000002</v>
      </c>
      <c r="Y1814">
        <v>-0.15391540000000001</v>
      </c>
      <c r="Z1814">
        <v>-5.2653279999999997E-3</v>
      </c>
      <c r="AA1814">
        <v>0.98807</v>
      </c>
      <c r="AB1814">
        <v>26</v>
      </c>
      <c r="AC1814">
        <v>-18.755400000000002</v>
      </c>
      <c r="AD1814">
        <v>-1.1110341279071001</v>
      </c>
      <c r="AE1814">
        <v>-2.6967999999999899</v>
      </c>
      <c r="AF1814">
        <v>-2.9325596699601202</v>
      </c>
      <c r="AG1814">
        <v>-1.1110341279071001</v>
      </c>
      <c r="AH1814">
        <v>18.654268498878601</v>
      </c>
      <c r="AI1814">
        <v>93.367209620526296</v>
      </c>
      <c r="AJ1814">
        <v>98.934110917924897</v>
      </c>
      <c r="AK1814">
        <v>18.916025911366901</v>
      </c>
      <c r="AL1814">
        <v>91.115905310997505</v>
      </c>
      <c r="AM1814">
        <v>91.938562109594599</v>
      </c>
      <c r="AN1814">
        <v>0.99999997208896196</v>
      </c>
    </row>
    <row r="1815" spans="1:40" x14ac:dyDescent="0.3">
      <c r="A1815" t="str">
        <f>"20200111160440863"</f>
        <v>20200111160440863</v>
      </c>
      <c r="B1815" t="str">
        <f>"1578729880852491"</f>
        <v>1578729880852491</v>
      </c>
      <c r="C1815" t="s">
        <v>40</v>
      </c>
      <c r="D1815">
        <v>5.7753420000000002</v>
      </c>
      <c r="E1815">
        <v>0.45502130000000002</v>
      </c>
      <c r="F1815" t="s">
        <v>57</v>
      </c>
      <c r="G1815">
        <v>-334.42669999999998</v>
      </c>
      <c r="H1815" s="1">
        <v>8.5993139999999999E-7</v>
      </c>
      <c r="I1815">
        <v>283.67750000000001</v>
      </c>
      <c r="J1815">
        <v>-315.83499999999998</v>
      </c>
      <c r="K1815">
        <v>1.110997</v>
      </c>
      <c r="L1815">
        <v>286.35879999999997</v>
      </c>
      <c r="M1815">
        <v>-0.99983909999999998</v>
      </c>
      <c r="N1815">
        <v>0</v>
      </c>
      <c r="O1815">
        <v>1.237998E-2</v>
      </c>
      <c r="P1815">
        <v>-0.99925730000000001</v>
      </c>
      <c r="Q1815">
        <v>-3.1830009999999999E-2</v>
      </c>
      <c r="R1815">
        <v>-2.1725109999999999E-2</v>
      </c>
      <c r="S1815">
        <v>-2.987549</v>
      </c>
      <c r="T1815">
        <v>-0.1771799</v>
      </c>
      <c r="U1815">
        <v>-0.42742920000000001</v>
      </c>
      <c r="V1815">
        <v>-3.4054290000000001E-2</v>
      </c>
      <c r="W1815">
        <v>-1.892251E-2</v>
      </c>
      <c r="X1815">
        <v>0.99924080000000004</v>
      </c>
      <c r="Y1815">
        <v>-0.15358749999999999</v>
      </c>
      <c r="Z1815">
        <v>-5.2574179999999998E-3</v>
      </c>
      <c r="AA1815">
        <v>0.98812109999999997</v>
      </c>
      <c r="AB1815">
        <v>26</v>
      </c>
      <c r="AC1815">
        <v>-18.591699999999999</v>
      </c>
      <c r="AD1815">
        <v>-1.1109961400685999</v>
      </c>
      <c r="AE1815">
        <v>-2.6812999999999598</v>
      </c>
      <c r="AF1815">
        <v>-2.9011299780942998</v>
      </c>
      <c r="AG1815">
        <v>-1.1109961400685999</v>
      </c>
      <c r="AH1815">
        <v>18.492387409323499</v>
      </c>
      <c r="AI1815">
        <v>93.396669342052107</v>
      </c>
      <c r="AJ1815">
        <v>98.916025627847503</v>
      </c>
      <c r="AK1815">
        <v>18.751513530100699</v>
      </c>
      <c r="AL1815">
        <v>91.084244708349601</v>
      </c>
      <c r="AM1815">
        <v>91.951894096041201</v>
      </c>
      <c r="AN1815">
        <v>0.99999996621837095</v>
      </c>
    </row>
    <row r="1816" spans="1:40" x14ac:dyDescent="0.3">
      <c r="A1816" t="str">
        <f>"20200111160440881"</f>
        <v>20200111160440881</v>
      </c>
      <c r="B1816" t="str">
        <f>"1578729880872144"</f>
        <v>1578729880872144</v>
      </c>
      <c r="C1816" t="s">
        <v>40</v>
      </c>
      <c r="D1816">
        <v>5.9224649999999999</v>
      </c>
      <c r="E1816">
        <v>0.45550639999999998</v>
      </c>
      <c r="F1816" t="s">
        <v>57</v>
      </c>
      <c r="G1816">
        <v>-334.49650000000003</v>
      </c>
      <c r="H1816" s="1">
        <v>8.965861E-7</v>
      </c>
      <c r="I1816">
        <v>283.68790000000001</v>
      </c>
      <c r="J1816">
        <v>-316.0421</v>
      </c>
      <c r="K1816">
        <v>1.1109450000000001</v>
      </c>
      <c r="L1816">
        <v>286.36020000000002</v>
      </c>
      <c r="M1816">
        <v>-0.99985520000000006</v>
      </c>
      <c r="N1816">
        <v>0</v>
      </c>
      <c r="O1816">
        <v>1.130568E-2</v>
      </c>
      <c r="P1816">
        <v>-0.99926130000000002</v>
      </c>
      <c r="Q1816">
        <v>-3.0540749999999998E-2</v>
      </c>
      <c r="R1816">
        <v>-2.333226E-2</v>
      </c>
      <c r="S1816">
        <v>-2.9873050000000001</v>
      </c>
      <c r="T1816">
        <v>-0.17784710000000001</v>
      </c>
      <c r="U1816">
        <v>-0.42755130000000002</v>
      </c>
      <c r="V1816">
        <v>-3.4590490000000002E-2</v>
      </c>
      <c r="W1816">
        <v>-1.7902089999999999E-2</v>
      </c>
      <c r="X1816">
        <v>0.99924120000000005</v>
      </c>
      <c r="Y1816">
        <v>-0.15257809999999999</v>
      </c>
      <c r="Z1816">
        <v>-5.1841140000000001E-3</v>
      </c>
      <c r="AA1816">
        <v>0.98827790000000004</v>
      </c>
      <c r="AB1816">
        <v>26</v>
      </c>
      <c r="AC1816">
        <v>-18.4544</v>
      </c>
      <c r="AD1816">
        <v>-1.11094410341389</v>
      </c>
      <c r="AE1816">
        <v>-2.6722999999999999</v>
      </c>
      <c r="AF1816">
        <v>-2.8705963021015601</v>
      </c>
      <c r="AG1816">
        <v>-1.11094410341389</v>
      </c>
      <c r="AH1816">
        <v>18.357843840945801</v>
      </c>
      <c r="AI1816">
        <v>93.421612469096701</v>
      </c>
      <c r="AJ1816">
        <v>98.887310525942198</v>
      </c>
      <c r="AK1816">
        <v>18.614106221333799</v>
      </c>
      <c r="AL1816">
        <v>91.025769016188605</v>
      </c>
      <c r="AM1816">
        <v>91.982602410000993</v>
      </c>
      <c r="AN1816">
        <v>0.999999981301123</v>
      </c>
    </row>
    <row r="1817" spans="1:40" x14ac:dyDescent="0.3">
      <c r="A1817" t="str">
        <f>"20200111160440903"</f>
        <v>20200111160440903</v>
      </c>
      <c r="B1817" t="str">
        <f>"1578729880892639"</f>
        <v>1578729880892639</v>
      </c>
      <c r="C1817" t="s">
        <v>40</v>
      </c>
      <c r="D1817">
        <v>5.7716699999999896</v>
      </c>
      <c r="E1817">
        <v>0.45623649999999999</v>
      </c>
      <c r="F1817" t="s">
        <v>57</v>
      </c>
      <c r="G1817">
        <v>-335.18049999999999</v>
      </c>
      <c r="H1817" s="1">
        <v>1.2638169999999999E-6</v>
      </c>
      <c r="I1817">
        <v>283.61380000000003</v>
      </c>
      <c r="J1817">
        <v>-316.29219999999998</v>
      </c>
      <c r="K1817">
        <v>1.1108819999999999</v>
      </c>
      <c r="L1817">
        <v>286.36160000000001</v>
      </c>
      <c r="M1817">
        <v>-0.99987360000000003</v>
      </c>
      <c r="N1817">
        <v>0</v>
      </c>
      <c r="O1817">
        <v>1.0014260000000001E-2</v>
      </c>
      <c r="P1817">
        <v>-0.99930129999999995</v>
      </c>
      <c r="Q1817">
        <v>-2.8810880000000001E-2</v>
      </c>
      <c r="R1817">
        <v>-2.3820899999999999E-2</v>
      </c>
      <c r="S1817">
        <v>-2.9869080000000001</v>
      </c>
      <c r="T1817">
        <v>-0.17338419999999999</v>
      </c>
      <c r="U1817">
        <v>-0.42861939999999998</v>
      </c>
      <c r="V1817">
        <v>-3.3792709999999997E-2</v>
      </c>
      <c r="W1817">
        <v>-1.653191E-2</v>
      </c>
      <c r="X1817">
        <v>0.99929210000000002</v>
      </c>
      <c r="Y1817">
        <v>-0.15168389999999901</v>
      </c>
      <c r="Z1817">
        <v>-4.9544230000000003E-3</v>
      </c>
      <c r="AA1817">
        <v>0.98841659999999998</v>
      </c>
      <c r="AB1817">
        <v>26</v>
      </c>
      <c r="AC1817">
        <v>-18.888300000000001</v>
      </c>
      <c r="AD1817">
        <v>-1.110880736183</v>
      </c>
      <c r="AE1817">
        <v>-2.7477999999999798</v>
      </c>
      <c r="AF1817">
        <v>-2.92691462148218</v>
      </c>
      <c r="AG1817">
        <v>-1.110880736183</v>
      </c>
      <c r="AH1817">
        <v>18.796165153319201</v>
      </c>
      <c r="AI1817">
        <v>93.342144511689199</v>
      </c>
      <c r="AJ1817">
        <v>98.850941631036704</v>
      </c>
      <c r="AK1817">
        <v>19.055096685199999</v>
      </c>
      <c r="AL1817">
        <v>90.947251844128601</v>
      </c>
      <c r="AM1817">
        <v>91.936813187783301</v>
      </c>
      <c r="AN1817">
        <v>0.9999999762099</v>
      </c>
    </row>
    <row r="1818" spans="1:40" x14ac:dyDescent="0.3">
      <c r="A1818" t="str">
        <f>"20200111160440918"</f>
        <v>20200111160440918</v>
      </c>
      <c r="B1818" t="str">
        <f>"1578729880912160"</f>
        <v>1578729880912160</v>
      </c>
      <c r="C1818" t="s">
        <v>40</v>
      </c>
      <c r="D1818">
        <v>5.7514190000000003</v>
      </c>
      <c r="E1818">
        <v>0.45698640000000001</v>
      </c>
      <c r="F1818" t="s">
        <v>57</v>
      </c>
      <c r="G1818">
        <v>-335.54160000000002</v>
      </c>
      <c r="H1818" s="1">
        <v>1.455451E-6</v>
      </c>
      <c r="I1818">
        <v>283.62630000000001</v>
      </c>
      <c r="J1818">
        <v>-316.459</v>
      </c>
      <c r="K1818">
        <v>1.110843</v>
      </c>
      <c r="L1818">
        <v>286.36239999999998</v>
      </c>
      <c r="M1818">
        <v>-0.99988489999999997</v>
      </c>
      <c r="N1818">
        <v>0</v>
      </c>
      <c r="O1818">
        <v>9.1609029999999998E-3</v>
      </c>
      <c r="P1818">
        <v>-0.99932049999999994</v>
      </c>
      <c r="Q1818">
        <v>-2.777369E-2</v>
      </c>
      <c r="R1818">
        <v>-2.4241309999999999E-2</v>
      </c>
      <c r="S1818">
        <v>-2.9870000000000001</v>
      </c>
      <c r="T1818">
        <v>-0.17237910000000001</v>
      </c>
      <c r="U1818">
        <v>-0.4244385</v>
      </c>
      <c r="V1818">
        <v>-3.3362370000000002E-2</v>
      </c>
      <c r="W1818">
        <v>-1.5754979999999998E-2</v>
      </c>
      <c r="X1818">
        <v>0.99931910000000002</v>
      </c>
      <c r="Y1818">
        <v>-0.1494878</v>
      </c>
      <c r="Z1818">
        <v>-4.8141039999999996E-3</v>
      </c>
      <c r="AA1818">
        <v>0.98875179999999996</v>
      </c>
      <c r="AB1818">
        <v>26</v>
      </c>
      <c r="AC1818">
        <v>-19.082599999999999</v>
      </c>
      <c r="AD1818">
        <v>-1.1108415445489901</v>
      </c>
      <c r="AE1818">
        <v>-2.73609999999996</v>
      </c>
      <c r="AF1818">
        <v>-2.9011787114098802</v>
      </c>
      <c r="AG1818">
        <v>-1.1108415445489901</v>
      </c>
      <c r="AH1818">
        <v>18.9936654656989</v>
      </c>
      <c r="AI1818">
        <v>93.308832192850403</v>
      </c>
      <c r="AJ1818">
        <v>98.684493674022093</v>
      </c>
      <c r="AK1818">
        <v>19.246042052212101</v>
      </c>
      <c r="AL1818">
        <v>90.902731240097793</v>
      </c>
      <c r="AM1818">
        <v>91.912115257146297</v>
      </c>
      <c r="AN1818">
        <v>0.99999996537581304</v>
      </c>
    </row>
    <row r="1819" spans="1:40" x14ac:dyDescent="0.3">
      <c r="A1819" t="str">
        <f>"20200111160440932"</f>
        <v>20200111160440932</v>
      </c>
      <c r="B1819" t="str">
        <f>"1578729880922896"</f>
        <v>1578729880922896</v>
      </c>
      <c r="C1819" t="s">
        <v>40</v>
      </c>
      <c r="D1819">
        <v>5.7817639999999999</v>
      </c>
      <c r="E1819">
        <v>0.45694489999999999</v>
      </c>
      <c r="F1819" t="s">
        <v>57</v>
      </c>
      <c r="G1819">
        <v>-335.59500000000003</v>
      </c>
      <c r="H1819" s="1">
        <v>1.4818149999999999E-6</v>
      </c>
      <c r="I1819">
        <v>283.67360000000002</v>
      </c>
      <c r="J1819">
        <v>-316.63380000000001</v>
      </c>
      <c r="K1819">
        <v>1.1108070000000001</v>
      </c>
      <c r="L1819">
        <v>286.363</v>
      </c>
      <c r="M1819">
        <v>-0.99989600000000001</v>
      </c>
      <c r="N1819">
        <v>0</v>
      </c>
      <c r="O1819">
        <v>8.2720229999999999E-3</v>
      </c>
      <c r="P1819">
        <v>-0.9993457</v>
      </c>
      <c r="Q1819">
        <v>-2.6877439999999999E-2</v>
      </c>
      <c r="R1819">
        <v>-2.4204920000000001E-2</v>
      </c>
      <c r="S1819">
        <v>-2.9870299999999999</v>
      </c>
      <c r="T1819">
        <v>-0.17339679999999999</v>
      </c>
      <c r="U1819">
        <v>-0.41970829999999998</v>
      </c>
      <c r="V1819">
        <v>-3.2439660000000002E-2</v>
      </c>
      <c r="W1819">
        <v>-1.5133529999999999E-2</v>
      </c>
      <c r="X1819">
        <v>0.99935909999999994</v>
      </c>
      <c r="Y1819">
        <v>-0.14707419999999999</v>
      </c>
      <c r="Z1819">
        <v>-4.7219819999999996E-3</v>
      </c>
      <c r="AA1819">
        <v>0.98911420000000005</v>
      </c>
      <c r="AB1819">
        <v>26</v>
      </c>
      <c r="AC1819">
        <v>-18.961200000000002</v>
      </c>
      <c r="AD1819">
        <v>-1.1108055181849901</v>
      </c>
      <c r="AE1819">
        <v>-2.6893999999999698</v>
      </c>
      <c r="AF1819">
        <v>-2.8366231631362999</v>
      </c>
      <c r="AG1819">
        <v>-1.1108055181849901</v>
      </c>
      <c r="AH1819">
        <v>18.874802433483801</v>
      </c>
      <c r="AI1819">
        <v>93.330724707323398</v>
      </c>
      <c r="AJ1819">
        <v>98.546804613850796</v>
      </c>
      <c r="AK1819">
        <v>19.1190608234797</v>
      </c>
      <c r="AL1819">
        <v>90.867120513542901</v>
      </c>
      <c r="AM1819">
        <v>91.859194766690393</v>
      </c>
      <c r="AN1819">
        <v>0.999999983011993</v>
      </c>
    </row>
    <row r="1820" spans="1:40" x14ac:dyDescent="0.3">
      <c r="A1820" t="str">
        <f>"20200111160440947"</f>
        <v>20200111160440947</v>
      </c>
      <c r="B1820" t="str">
        <f>"1578729880942416"</f>
        <v>1578729880942416</v>
      </c>
      <c r="C1820" t="s">
        <v>40</v>
      </c>
      <c r="D1820">
        <v>5.8744319999999997</v>
      </c>
      <c r="E1820">
        <v>0.45721600000000001</v>
      </c>
      <c r="F1820" t="s">
        <v>57</v>
      </c>
      <c r="G1820">
        <v>-336.72179999999997</v>
      </c>
      <c r="H1820" s="1">
        <v>2.087258E-6</v>
      </c>
      <c r="I1820">
        <v>283.53989999999999</v>
      </c>
      <c r="J1820">
        <v>-316.80160000000001</v>
      </c>
      <c r="K1820">
        <v>1.1107689999999999</v>
      </c>
      <c r="L1820">
        <v>286.36349999999999</v>
      </c>
      <c r="M1820">
        <v>-0.99990579999999996</v>
      </c>
      <c r="N1820">
        <v>0</v>
      </c>
      <c r="O1820">
        <v>7.4227690000000001E-3</v>
      </c>
      <c r="P1820">
        <v>-0.99940439999999997</v>
      </c>
      <c r="Q1820">
        <v>-2.508024E-2</v>
      </c>
      <c r="R1820">
        <v>-2.3708389999999999E-2</v>
      </c>
      <c r="S1820">
        <v>-2.9873660000000002</v>
      </c>
      <c r="T1820">
        <v>-0.16519220000000001</v>
      </c>
      <c r="U1820">
        <v>-0.41983029999999999</v>
      </c>
      <c r="V1820">
        <v>-3.1097929999999999E-2</v>
      </c>
      <c r="W1820">
        <v>-1.359955E-2</v>
      </c>
      <c r="X1820">
        <v>0.99942379999999997</v>
      </c>
      <c r="Y1820">
        <v>-0.14628459999999999</v>
      </c>
      <c r="Z1820">
        <v>-4.4299650000000001E-3</v>
      </c>
      <c r="AA1820">
        <v>0.98923260000000002</v>
      </c>
      <c r="AB1820">
        <v>26</v>
      </c>
      <c r="AC1820">
        <v>-19.920199999999902</v>
      </c>
      <c r="AD1820">
        <v>-1.1107669127419999</v>
      </c>
      <c r="AE1820">
        <v>-2.8235999999999901</v>
      </c>
      <c r="AF1820">
        <v>-2.96236572126256</v>
      </c>
      <c r="AG1820">
        <v>-1.1107669127419999</v>
      </c>
      <c r="AH1820">
        <v>19.838223317490701</v>
      </c>
      <c r="AI1820">
        <v>93.169644969512106</v>
      </c>
      <c r="AJ1820">
        <v>98.493003297414205</v>
      </c>
      <c r="AK1820">
        <v>20.088915306595901</v>
      </c>
      <c r="AL1820">
        <v>90.779220853916499</v>
      </c>
      <c r="AM1820">
        <v>91.782232358825993</v>
      </c>
      <c r="AN1820">
        <v>0.99999998050846295</v>
      </c>
    </row>
    <row r="1821" spans="1:40" x14ac:dyDescent="0.3">
      <c r="A1821" t="str">
        <f>"20200111160440959"</f>
        <v>20200111160440959</v>
      </c>
      <c r="B1821" t="str">
        <f>"1578729880953153"</f>
        <v>1578729880953153</v>
      </c>
      <c r="C1821" t="s">
        <v>40</v>
      </c>
      <c r="D1821">
        <v>5.7868060000000003</v>
      </c>
      <c r="E1821">
        <v>0.45757409999999998</v>
      </c>
      <c r="F1821" t="s">
        <v>57</v>
      </c>
      <c r="G1821">
        <v>-337.78949999999998</v>
      </c>
      <c r="H1821" s="1">
        <v>2.6598189999999998E-6</v>
      </c>
      <c r="I1821">
        <v>283.44029999999998</v>
      </c>
      <c r="J1821">
        <v>-316.947</v>
      </c>
      <c r="K1821">
        <v>1.1107450000000001</v>
      </c>
      <c r="L1821">
        <v>286.3639</v>
      </c>
      <c r="M1821">
        <v>-0.99991350000000001</v>
      </c>
      <c r="N1821">
        <v>0</v>
      </c>
      <c r="O1821">
        <v>6.6915739999999996E-3</v>
      </c>
      <c r="P1821">
        <v>-0.9994267</v>
      </c>
      <c r="Q1821">
        <v>-2.4000509999999999E-2</v>
      </c>
      <c r="R1821">
        <v>-2.3881719999999999E-2</v>
      </c>
      <c r="S1821">
        <v>-2.987946</v>
      </c>
      <c r="T1821">
        <v>-0.15813429999999901</v>
      </c>
      <c r="U1821">
        <v>-0.41616819999999999</v>
      </c>
      <c r="V1821">
        <v>-3.05426E-2</v>
      </c>
      <c r="W1821">
        <v>-1.274694E-2</v>
      </c>
      <c r="X1821">
        <v>0.99945220000000001</v>
      </c>
      <c r="Y1821">
        <v>-0.1443682</v>
      </c>
      <c r="Z1821">
        <v>-4.1515700000000003E-3</v>
      </c>
      <c r="AA1821">
        <v>0.98951529999999999</v>
      </c>
      <c r="AB1821">
        <v>26</v>
      </c>
      <c r="AC1821">
        <v>-20.842499999999902</v>
      </c>
      <c r="AD1821">
        <v>-1.1107423401809999</v>
      </c>
      <c r="AE1821">
        <v>-2.92360000000002</v>
      </c>
      <c r="AF1821">
        <v>-3.0545050354684902</v>
      </c>
      <c r="AG1821">
        <v>-1.1107423401809999</v>
      </c>
      <c r="AH1821">
        <v>20.764633776323802</v>
      </c>
      <c r="AI1821">
        <v>93.029409827124795</v>
      </c>
      <c r="AJ1821">
        <v>98.368269429011505</v>
      </c>
      <c r="AK1821">
        <v>21.0174633441531</v>
      </c>
      <c r="AL1821">
        <v>90.730365630689604</v>
      </c>
      <c r="AM1821">
        <v>91.750376489017299</v>
      </c>
      <c r="AN1821">
        <v>1.0000000174894801</v>
      </c>
    </row>
    <row r="1822" spans="1:40" x14ac:dyDescent="0.3">
      <c r="A1822" t="str">
        <f>"20200111160440973"</f>
        <v>20200111160440973</v>
      </c>
      <c r="B1822" t="str">
        <f>"1578729880962912"</f>
        <v>1578729880962912</v>
      </c>
      <c r="C1822" t="s">
        <v>40</v>
      </c>
      <c r="D1822">
        <v>5.7935319999999999</v>
      </c>
      <c r="E1822">
        <v>0.45787919999999999</v>
      </c>
      <c r="F1822" t="s">
        <v>57</v>
      </c>
      <c r="G1822">
        <v>-338.0376</v>
      </c>
      <c r="H1822" s="1">
        <v>2.7917019999999999E-6</v>
      </c>
      <c r="I1822">
        <v>283.44279999999998</v>
      </c>
      <c r="J1822">
        <v>-317.09550000000002</v>
      </c>
      <c r="K1822">
        <v>1.1107229999999999</v>
      </c>
      <c r="L1822">
        <v>286.36399999999998</v>
      </c>
      <c r="M1822">
        <v>-0.99992080000000005</v>
      </c>
      <c r="N1822">
        <v>0</v>
      </c>
      <c r="O1822">
        <v>5.9476429999999999E-3</v>
      </c>
      <c r="P1822">
        <v>-0.99944330000000003</v>
      </c>
      <c r="Q1822">
        <v>-2.3174440000000001E-2</v>
      </c>
      <c r="R1822">
        <v>-2.4011629999999999E-2</v>
      </c>
      <c r="S1822">
        <v>-2.9880680000000002</v>
      </c>
      <c r="T1822">
        <v>-0.15736729999999999</v>
      </c>
      <c r="U1822">
        <v>-0.41384890000000002</v>
      </c>
      <c r="V1822">
        <v>-2.9929939999999999E-2</v>
      </c>
      <c r="W1822">
        <v>-1.214696E-2</v>
      </c>
      <c r="X1822">
        <v>0.99947819999999998</v>
      </c>
      <c r="Y1822">
        <v>-0.1428779</v>
      </c>
      <c r="Z1822">
        <v>-4.0535040000000003E-3</v>
      </c>
      <c r="AA1822">
        <v>0.98973199999999995</v>
      </c>
      <c r="AB1822">
        <v>26</v>
      </c>
      <c r="AC1822">
        <v>-20.9420999999999</v>
      </c>
      <c r="AD1822">
        <v>-1.1107202082979999</v>
      </c>
      <c r="AE1822">
        <v>-2.92120000000005</v>
      </c>
      <c r="AF1822">
        <v>-3.0373311957953599</v>
      </c>
      <c r="AG1822">
        <v>-1.1107202082979999</v>
      </c>
      <c r="AH1822">
        <v>20.866776399666598</v>
      </c>
      <c r="AI1822">
        <v>93.015213620901406</v>
      </c>
      <c r="AJ1822">
        <v>98.281710767635104</v>
      </c>
      <c r="AK1822">
        <v>21.115904846531102</v>
      </c>
      <c r="AL1822">
        <v>90.6959866502105</v>
      </c>
      <c r="AM1822">
        <v>91.715241939423706</v>
      </c>
      <c r="AN1822">
        <v>1.0000000111104399</v>
      </c>
    </row>
    <row r="1823" spans="1:40" x14ac:dyDescent="0.3">
      <c r="A1823" t="str">
        <f>"20200111160440986"</f>
        <v>20200111160440986</v>
      </c>
      <c r="B1823" t="str">
        <f>"1578729880983106"</f>
        <v>1578729880983106</v>
      </c>
      <c r="C1823" t="s">
        <v>40</v>
      </c>
      <c r="D1823">
        <v>5.8763239999999897</v>
      </c>
      <c r="E1823">
        <v>0.45837719999999998</v>
      </c>
      <c r="F1823" t="s">
        <v>57</v>
      </c>
      <c r="G1823">
        <v>-338.12979999999999</v>
      </c>
      <c r="H1823" s="1">
        <v>2.8397679999999999E-6</v>
      </c>
      <c r="I1823">
        <v>283.46609999999998</v>
      </c>
      <c r="J1823">
        <v>-317.24029999999999</v>
      </c>
      <c r="K1823">
        <v>1.1107009999999999</v>
      </c>
      <c r="L1823">
        <v>286.36419999999998</v>
      </c>
      <c r="M1823">
        <v>-0.99992729999999996</v>
      </c>
      <c r="N1823">
        <v>0</v>
      </c>
      <c r="O1823">
        <v>5.223714E-3</v>
      </c>
      <c r="P1823">
        <v>-0.99945220000000001</v>
      </c>
      <c r="Q1823">
        <v>-2.2401210000000001E-2</v>
      </c>
      <c r="R1823">
        <v>-2.4366579999999999E-2</v>
      </c>
      <c r="S1823">
        <v>-2.9881289999999998</v>
      </c>
      <c r="T1823">
        <v>-0.15778829999999999</v>
      </c>
      <c r="U1823">
        <v>-0.4116821</v>
      </c>
      <c r="V1823">
        <v>-2.9562680000000001E-2</v>
      </c>
      <c r="W1823">
        <v>-1.159176E-2</v>
      </c>
      <c r="X1823">
        <v>0.99949569999999999</v>
      </c>
      <c r="Y1823">
        <v>-0.141456</v>
      </c>
      <c r="Z1823">
        <v>-3.9890819999999997E-3</v>
      </c>
      <c r="AA1823">
        <v>0.9899365</v>
      </c>
      <c r="AB1823">
        <v>26</v>
      </c>
      <c r="AC1823">
        <v>-20.889500000000002</v>
      </c>
      <c r="AD1823">
        <v>-1.1106981602320001</v>
      </c>
      <c r="AE1823">
        <v>-2.8980999999999901</v>
      </c>
      <c r="AF1823">
        <v>-2.9988697662046802</v>
      </c>
      <c r="AG1823">
        <v>-1.1106981602320001</v>
      </c>
      <c r="AH1823">
        <v>20.8163373484138</v>
      </c>
      <c r="AI1823">
        <v>93.023085979233997</v>
      </c>
      <c r="AJ1823">
        <v>98.197815136912695</v>
      </c>
      <c r="AK1823">
        <v>21.060550108693</v>
      </c>
      <c r="AL1823">
        <v>90.664173807959102</v>
      </c>
      <c r="AM1823">
        <v>91.694177491632303</v>
      </c>
      <c r="AN1823">
        <v>0.999999987633584</v>
      </c>
    </row>
    <row r="1824" spans="1:40" x14ac:dyDescent="0.3">
      <c r="A1824" t="str">
        <f>"20200111160441002"</f>
        <v>20200111160441002</v>
      </c>
      <c r="B1824" t="str">
        <f>"1578729880992865"</f>
        <v>1578729880992865</v>
      </c>
      <c r="C1824" t="s">
        <v>40</v>
      </c>
      <c r="D1824">
        <v>6.1231359999999997</v>
      </c>
      <c r="E1824">
        <v>0.45851999999999998</v>
      </c>
      <c r="F1824" t="s">
        <v>57</v>
      </c>
      <c r="G1824">
        <v>-337.74549999999999</v>
      </c>
      <c r="H1824" s="1">
        <v>2.6313609999999999E-6</v>
      </c>
      <c r="I1824">
        <v>283.55540000000002</v>
      </c>
      <c r="J1824">
        <v>-317.44589999999999</v>
      </c>
      <c r="K1824">
        <v>1.110668</v>
      </c>
      <c r="L1824">
        <v>286.36419999999998</v>
      </c>
      <c r="M1824">
        <v>-0.99993529999999997</v>
      </c>
      <c r="N1824">
        <v>0</v>
      </c>
      <c r="O1824">
        <v>4.2034239999999999E-3</v>
      </c>
      <c r="P1824">
        <v>-0.99946140000000006</v>
      </c>
      <c r="Q1824">
        <v>-2.1151380000000001E-2</v>
      </c>
      <c r="R1824">
        <v>-2.5092420000000001E-2</v>
      </c>
      <c r="S1824">
        <v>-2.9880369999999998</v>
      </c>
      <c r="T1824">
        <v>-0.1618521</v>
      </c>
      <c r="U1824">
        <v>-0.40930179999999999</v>
      </c>
      <c r="V1824">
        <v>-2.9271309999999998E-2</v>
      </c>
      <c r="W1824">
        <v>-1.064475E-2</v>
      </c>
      <c r="X1824">
        <v>0.99951480000000004</v>
      </c>
      <c r="Y1824">
        <v>-0.1396694</v>
      </c>
      <c r="Z1824">
        <v>-3.9889069999999999E-3</v>
      </c>
      <c r="AA1824">
        <v>0.99019009999999996</v>
      </c>
      <c r="AB1824">
        <v>26</v>
      </c>
      <c r="AC1824">
        <v>-20.299600000000002</v>
      </c>
      <c r="AD1824">
        <v>-1.110665368639</v>
      </c>
      <c r="AE1824">
        <v>-2.8087999999999602</v>
      </c>
      <c r="AF1824">
        <v>-2.8856316734137302</v>
      </c>
      <c r="AG1824">
        <v>-1.110665368639</v>
      </c>
      <c r="AH1824">
        <v>20.228196168791801</v>
      </c>
      <c r="AI1824">
        <v>93.111335981960593</v>
      </c>
      <c r="AJ1824">
        <v>98.118691636312903</v>
      </c>
      <c r="AK1824">
        <v>20.463146580104102</v>
      </c>
      <c r="AL1824">
        <v>90.609910781084693</v>
      </c>
      <c r="AM1824">
        <v>91.677457215925003</v>
      </c>
      <c r="AN1824">
        <v>0.99999997785535899</v>
      </c>
    </row>
    <row r="1825" spans="1:40" x14ac:dyDescent="0.3">
      <c r="A1825" t="str">
        <f>"20200111160441632"</f>
        <v>20200111160441632</v>
      </c>
      <c r="B1825" t="str">
        <f>"1578729881622213"</f>
        <v>1578729881622213</v>
      </c>
      <c r="C1825" t="s">
        <v>40</v>
      </c>
      <c r="D1825">
        <v>5.9009689999999999</v>
      </c>
      <c r="E1825">
        <v>0.49842259999999999</v>
      </c>
      <c r="F1825" t="s">
        <v>57</v>
      </c>
      <c r="G1825">
        <v>-338.08980000000003</v>
      </c>
      <c r="H1825" s="1">
        <v>2.8157380000000002E-6</v>
      </c>
      <c r="I1825">
        <v>283.52929999999998</v>
      </c>
      <c r="J1825">
        <v>-325.30160000000001</v>
      </c>
      <c r="K1825">
        <v>1.109674</v>
      </c>
      <c r="L1825">
        <v>286.23599999999999</v>
      </c>
      <c r="M1825">
        <v>-0.99965510000000002</v>
      </c>
      <c r="N1825">
        <v>0</v>
      </c>
      <c r="O1825">
        <v>-2.586428E-2</v>
      </c>
      <c r="P1825">
        <v>-0.99845119999999998</v>
      </c>
      <c r="Q1825">
        <v>-1.0464330000000001E-2</v>
      </c>
      <c r="R1825">
        <v>-5.4646779999999999E-2</v>
      </c>
      <c r="S1825">
        <v>-2.9879150000000001</v>
      </c>
      <c r="T1825">
        <v>-0.160752799999999</v>
      </c>
      <c r="U1825">
        <v>-0.41030879999999997</v>
      </c>
      <c r="V1825">
        <v>-2.8796789999999999E-2</v>
      </c>
      <c r="W1825">
        <v>-5.9028029999999999E-3</v>
      </c>
      <c r="X1825">
        <v>0.99956789999999995</v>
      </c>
      <c r="Y1825">
        <v>-0.1102567</v>
      </c>
      <c r="Z1825">
        <v>-1.56668E-3</v>
      </c>
      <c r="AA1825">
        <v>0.9939019</v>
      </c>
      <c r="AB1825">
        <v>30</v>
      </c>
      <c r="AC1825">
        <v>-12.7882</v>
      </c>
      <c r="AD1825">
        <v>-1.109671184262</v>
      </c>
      <c r="AE1825">
        <v>-2.7067000000000099</v>
      </c>
      <c r="AF1825">
        <v>-2.3580397595771698</v>
      </c>
      <c r="AG1825">
        <v>-1.109671184262</v>
      </c>
      <c r="AH1825">
        <v>12.7619575778476</v>
      </c>
      <c r="AI1825">
        <v>94.887141071099606</v>
      </c>
      <c r="AJ1825">
        <v>100.46853150445</v>
      </c>
      <c r="AK1825">
        <v>13.0253323513724</v>
      </c>
      <c r="AL1825">
        <v>90.338207648891</v>
      </c>
      <c r="AM1825">
        <v>91.650191338770995</v>
      </c>
      <c r="AN1825">
        <v>1.0000000424539801</v>
      </c>
    </row>
    <row r="1826" spans="1:40" x14ac:dyDescent="0.3">
      <c r="A1826" t="str">
        <f>"20200111160441646"</f>
        <v>20200111160441646</v>
      </c>
      <c r="B1826" t="str">
        <f>"1578729881642708"</f>
        <v>1578729881642708</v>
      </c>
      <c r="C1826" t="s">
        <v>40</v>
      </c>
      <c r="D1826">
        <v>5.9883119999999996</v>
      </c>
      <c r="E1826">
        <v>0.4897282</v>
      </c>
      <c r="F1826" t="s">
        <v>57</v>
      </c>
      <c r="G1826">
        <v>-360.99419999999998</v>
      </c>
      <c r="H1826" s="1">
        <v>-1.0077209999999901E-6</v>
      </c>
      <c r="I1826">
        <v>284.09629999999999</v>
      </c>
      <c r="J1826">
        <v>-325.47070000000002</v>
      </c>
      <c r="K1826">
        <v>1.1096790000000001</v>
      </c>
      <c r="L1826">
        <v>286.23129999999998</v>
      </c>
      <c r="M1826">
        <v>-0.99964500000000001</v>
      </c>
      <c r="N1826">
        <v>0</v>
      </c>
      <c r="O1826">
        <v>-2.6239720000000001E-2</v>
      </c>
      <c r="P1826">
        <v>-0.99846049999999997</v>
      </c>
      <c r="Q1826">
        <v>-1.049783E-2</v>
      </c>
      <c r="R1826">
        <v>-5.4464510000000001E-2</v>
      </c>
      <c r="S1826">
        <v>-2.9938959999999999</v>
      </c>
      <c r="T1826">
        <v>-9.3079449999999994E-2</v>
      </c>
      <c r="U1826">
        <v>-0.17947389999999999</v>
      </c>
      <c r="V1826">
        <v>-2.8238639999999999E-2</v>
      </c>
      <c r="W1826">
        <v>-5.9160230000000003E-3</v>
      </c>
      <c r="X1826">
        <v>0.99958369999999996</v>
      </c>
      <c r="Y1826">
        <v>-3.3622029999999997E-2</v>
      </c>
      <c r="Z1826">
        <v>2.9258099999999998E-4</v>
      </c>
      <c r="AA1826">
        <v>0.99943459999999995</v>
      </c>
      <c r="AB1826">
        <v>30</v>
      </c>
      <c r="AC1826">
        <v>-35.523499999999899</v>
      </c>
      <c r="AD1826">
        <v>-1.1096800077210001</v>
      </c>
      <c r="AE1826">
        <v>-2.13499999999999</v>
      </c>
      <c r="AF1826">
        <v>-1.20096052690925</v>
      </c>
      <c r="AG1826">
        <v>-1.1096800077210001</v>
      </c>
      <c r="AH1826">
        <v>35.532742348371301</v>
      </c>
      <c r="AI1826">
        <v>91.787733514205598</v>
      </c>
      <c r="AJ1826">
        <v>91.935786016294401</v>
      </c>
      <c r="AK1826">
        <v>35.5703454397405</v>
      </c>
      <c r="AL1826">
        <v>90.338965127795205</v>
      </c>
      <c r="AM1826">
        <v>91.618198331228498</v>
      </c>
      <c r="AN1826">
        <v>0.99999999671143802</v>
      </c>
    </row>
    <row r="1827" spans="1:40" x14ac:dyDescent="0.3">
      <c r="A1827" t="str">
        <f>"20200111160441662"</f>
        <v>20200111160441662</v>
      </c>
      <c r="B1827" t="str">
        <f>"1578729881652468"</f>
        <v>1578729881652468</v>
      </c>
      <c r="C1827" t="s">
        <v>40</v>
      </c>
      <c r="D1827">
        <v>5.721406</v>
      </c>
      <c r="E1827">
        <v>0.48778650000000001</v>
      </c>
      <c r="F1827" t="s">
        <v>57</v>
      </c>
      <c r="G1827">
        <v>-347.7509</v>
      </c>
      <c r="H1827" s="1">
        <v>2.58783E-6</v>
      </c>
      <c r="I1827">
        <v>284.35989999999998</v>
      </c>
      <c r="J1827">
        <v>-325.69119999999998</v>
      </c>
      <c r="K1827">
        <v>1.109683</v>
      </c>
      <c r="L1827">
        <v>286.22500000000002</v>
      </c>
      <c r="M1827">
        <v>-0.99963210000000002</v>
      </c>
      <c r="N1827">
        <v>0</v>
      </c>
      <c r="O1827">
        <v>-2.672832E-2</v>
      </c>
      <c r="P1827">
        <v>-0.99844180000000005</v>
      </c>
      <c r="Q1827">
        <v>-1.0126120000000001E-2</v>
      </c>
      <c r="R1827">
        <v>-5.4877080000000002E-2</v>
      </c>
      <c r="S1827">
        <v>-2.9894099999999999</v>
      </c>
      <c r="T1827">
        <v>-0.14888970000000001</v>
      </c>
      <c r="U1827">
        <v>-0.25109860000000001</v>
      </c>
      <c r="V1827">
        <v>-2.8163400000000002E-2</v>
      </c>
      <c r="W1827">
        <v>-5.5155839999999996E-3</v>
      </c>
      <c r="X1827">
        <v>0.99958809999999998</v>
      </c>
      <c r="Y1827">
        <v>-5.6999319999999999E-2</v>
      </c>
      <c r="Z1827" s="1">
        <v>-8.8489959999999904E-5</v>
      </c>
      <c r="AA1827">
        <v>0.99837419999999999</v>
      </c>
      <c r="AB1827">
        <v>30</v>
      </c>
      <c r="AC1827">
        <v>-22.059699999999999</v>
      </c>
      <c r="AD1827">
        <v>-1.1096804121699999</v>
      </c>
      <c r="AE1827">
        <v>-1.8651000000000399</v>
      </c>
      <c r="AF1827">
        <v>-1.27161375288003</v>
      </c>
      <c r="AG1827">
        <v>-1.1096804121699999</v>
      </c>
      <c r="AH1827">
        <v>22.046279275172701</v>
      </c>
      <c r="AI1827">
        <v>92.876728459098999</v>
      </c>
      <c r="AJ1827">
        <v>93.301122333746903</v>
      </c>
      <c r="AK1827">
        <v>22.110785197106299</v>
      </c>
      <c r="AL1827">
        <v>90.3160212920681</v>
      </c>
      <c r="AM1827">
        <v>91.613881931140398</v>
      </c>
      <c r="AN1827">
        <v>0.99999998421401504</v>
      </c>
    </row>
    <row r="1828" spans="1:40" x14ac:dyDescent="0.3">
      <c r="A1828" t="str">
        <f>"20200111160441674"</f>
        <v>20200111160441674</v>
      </c>
      <c r="B1828" t="str">
        <f>"1578729881662229"</f>
        <v>1578729881662229</v>
      </c>
      <c r="C1828" t="s">
        <v>40</v>
      </c>
      <c r="D1828">
        <v>5.6920789999999997</v>
      </c>
      <c r="E1828">
        <v>0.48619129999999999</v>
      </c>
      <c r="F1828" t="s">
        <v>57</v>
      </c>
      <c r="G1828">
        <v>-352.6934</v>
      </c>
      <c r="H1828" s="1">
        <v>-1.0351370000000001E-7</v>
      </c>
      <c r="I1828">
        <v>283.81470000000002</v>
      </c>
      <c r="J1828">
        <v>-325.85160000000002</v>
      </c>
      <c r="K1828">
        <v>1.109685</v>
      </c>
      <c r="L1828">
        <v>286.22030000000001</v>
      </c>
      <c r="M1828">
        <v>-0.99962229999999996</v>
      </c>
      <c r="N1828">
        <v>0</v>
      </c>
      <c r="O1828">
        <v>-2.7083869999999999E-2</v>
      </c>
      <c r="P1828">
        <v>-0.99844060000000001</v>
      </c>
      <c r="Q1828">
        <v>-9.855496E-3</v>
      </c>
      <c r="R1828">
        <v>-5.4949020000000001E-2</v>
      </c>
      <c r="S1828">
        <v>-2.9887700000000001</v>
      </c>
      <c r="T1828">
        <v>-0.1228268</v>
      </c>
      <c r="U1828">
        <v>-0.26678469999999999</v>
      </c>
      <c r="V1828">
        <v>-2.788032E-2</v>
      </c>
      <c r="W1828">
        <v>-5.2221280000000004E-3</v>
      </c>
      <c r="X1828">
        <v>0.99959759999999998</v>
      </c>
      <c r="Y1828">
        <v>-6.187024E-2</v>
      </c>
      <c r="Z1828">
        <v>-1.5831530000000001E-4</v>
      </c>
      <c r="AA1828">
        <v>0.99808419999999998</v>
      </c>
      <c r="AB1828">
        <v>30</v>
      </c>
      <c r="AC1828">
        <v>-26.8417999999999</v>
      </c>
      <c r="AD1828">
        <v>-1.1096851035136901</v>
      </c>
      <c r="AE1828">
        <v>-2.40559999999999</v>
      </c>
      <c r="AF1828">
        <v>-1.67489000148324</v>
      </c>
      <c r="AG1828">
        <v>-1.1096851035136901</v>
      </c>
      <c r="AH1828">
        <v>26.851579645820099</v>
      </c>
      <c r="AI1828">
        <v>92.361909323124806</v>
      </c>
      <c r="AJ1828">
        <v>93.569248508903101</v>
      </c>
      <c r="AK1828">
        <v>26.926640841773299</v>
      </c>
      <c r="AL1828">
        <v>90.299207262675196</v>
      </c>
      <c r="AM1828">
        <v>91.597653523935307</v>
      </c>
      <c r="AN1828">
        <v>0.99999997239495497</v>
      </c>
    </row>
    <row r="1829" spans="1:40" x14ac:dyDescent="0.3">
      <c r="A1829" t="str">
        <f>"20200111160441696"</f>
        <v>20200111160441696</v>
      </c>
      <c r="B1829" t="str">
        <f>"1578729881692485"</f>
        <v>1578729881692485</v>
      </c>
      <c r="C1829" t="s">
        <v>40</v>
      </c>
      <c r="D1829">
        <v>5.8712080000000002</v>
      </c>
      <c r="E1829">
        <v>0.48225289999999998</v>
      </c>
      <c r="F1829" t="s">
        <v>57</v>
      </c>
      <c r="G1829">
        <v>-348.02190000000002</v>
      </c>
      <c r="H1829" s="1">
        <v>2.7320330000000001E-6</v>
      </c>
      <c r="I1829">
        <v>284.13490000000002</v>
      </c>
      <c r="J1829">
        <v>-326.14120000000003</v>
      </c>
      <c r="K1829">
        <v>1.109686</v>
      </c>
      <c r="L1829">
        <v>286.21190000000001</v>
      </c>
      <c r="M1829">
        <v>-0.99960450000000001</v>
      </c>
      <c r="N1829">
        <v>0</v>
      </c>
      <c r="O1829">
        <v>-2.772703E-2</v>
      </c>
      <c r="P1829">
        <v>-0.99840189999999995</v>
      </c>
      <c r="Q1829">
        <v>-9.5878370000000001E-3</v>
      </c>
      <c r="R1829">
        <v>-5.5694149999999998E-2</v>
      </c>
      <c r="S1829">
        <v>-2.9877319999999998</v>
      </c>
      <c r="T1829">
        <v>-0.14954410000000001</v>
      </c>
      <c r="U1829">
        <v>-0.28103640000000002</v>
      </c>
      <c r="V1829">
        <v>-2.7983310000000001E-2</v>
      </c>
      <c r="W1829">
        <v>-4.9111010000000002E-3</v>
      </c>
      <c r="X1829">
        <v>0.99959629999999999</v>
      </c>
      <c r="Y1829">
        <v>-6.596117E-2</v>
      </c>
      <c r="Z1829">
        <v>-2.627803E-4</v>
      </c>
      <c r="AA1829">
        <v>0.99782219999999999</v>
      </c>
      <c r="AB1829">
        <v>30</v>
      </c>
      <c r="AC1829">
        <v>-21.880699999999901</v>
      </c>
      <c r="AD1829">
        <v>-1.1096832679669999</v>
      </c>
      <c r="AE1829">
        <v>-2.0769999999999902</v>
      </c>
      <c r="AF1829">
        <v>-1.46577158774545</v>
      </c>
      <c r="AG1829">
        <v>-1.1096832679669999</v>
      </c>
      <c r="AH1829">
        <v>21.874118634602301</v>
      </c>
      <c r="AI1829">
        <v>92.897662198914702</v>
      </c>
      <c r="AJ1829">
        <v>93.833624730869104</v>
      </c>
      <c r="AK1829">
        <v>21.951240268907501</v>
      </c>
      <c r="AL1829">
        <v>90.281386498575799</v>
      </c>
      <c r="AM1829">
        <v>91.603554270346805</v>
      </c>
      <c r="AN1829">
        <v>0.99999997376263805</v>
      </c>
    </row>
    <row r="1830" spans="1:40" x14ac:dyDescent="0.3">
      <c r="A1830" t="str">
        <f>"20200111160441718"</f>
        <v>20200111160441718</v>
      </c>
      <c r="B1830" t="str">
        <f>"1578729881712982"</f>
        <v>1578729881712982</v>
      </c>
      <c r="C1830" t="s">
        <v>40</v>
      </c>
      <c r="D1830">
        <v>5.7674120000000002</v>
      </c>
      <c r="E1830">
        <v>0.48156880000000002</v>
      </c>
      <c r="F1830" t="s">
        <v>57</v>
      </c>
      <c r="G1830">
        <v>-343.8415</v>
      </c>
      <c r="H1830" s="1">
        <v>5.0744899999999998E-7</v>
      </c>
      <c r="I1830">
        <v>284.33629999999999</v>
      </c>
      <c r="J1830">
        <v>-326.44670000000002</v>
      </c>
      <c r="K1830">
        <v>1.109688</v>
      </c>
      <c r="L1830">
        <v>286.20280000000002</v>
      </c>
      <c r="M1830">
        <v>-0.9995851</v>
      </c>
      <c r="N1830">
        <v>0</v>
      </c>
      <c r="O1830">
        <v>-2.8406919999999999E-2</v>
      </c>
      <c r="P1830">
        <v>-0.99835410000000002</v>
      </c>
      <c r="Q1830">
        <v>-9.7697429999999991E-3</v>
      </c>
      <c r="R1830">
        <v>-5.6512359999999998E-2</v>
      </c>
      <c r="S1830">
        <v>-2.985382</v>
      </c>
      <c r="T1830">
        <v>-0.1871633</v>
      </c>
      <c r="U1830">
        <v>-0.31634519999999999</v>
      </c>
      <c r="V1830">
        <v>-2.8122479999999998E-2</v>
      </c>
      <c r="W1830">
        <v>-5.0435619999999997E-3</v>
      </c>
      <c r="X1830">
        <v>0.99959180000000003</v>
      </c>
      <c r="Y1830">
        <v>-7.6988920000000002E-2</v>
      </c>
      <c r="Z1830">
        <v>-6.3086559999999997E-4</v>
      </c>
      <c r="AA1830">
        <v>0.99703169999999997</v>
      </c>
      <c r="AB1830">
        <v>30</v>
      </c>
      <c r="AC1830">
        <v>-17.394799999999901</v>
      </c>
      <c r="AD1830">
        <v>-1.1096874925510001</v>
      </c>
      <c r="AE1830">
        <v>-1.86650000000003</v>
      </c>
      <c r="AF1830">
        <v>-1.3661120640661</v>
      </c>
      <c r="AG1830">
        <v>-1.1096874925510001</v>
      </c>
      <c r="AH1830">
        <v>17.3709124215282</v>
      </c>
      <c r="AI1830">
        <v>93.643977619401596</v>
      </c>
      <c r="AJ1830">
        <v>94.496694402878603</v>
      </c>
      <c r="AK1830">
        <v>17.4598472747935</v>
      </c>
      <c r="AL1830">
        <v>90.288976030186305</v>
      </c>
      <c r="AM1830">
        <v>91.611532317507596</v>
      </c>
      <c r="AN1830">
        <v>1.0000000390131101</v>
      </c>
    </row>
    <row r="1831" spans="1:40" x14ac:dyDescent="0.3">
      <c r="A1831" t="str">
        <f>"20200111160441730"</f>
        <v>20200111160441730</v>
      </c>
      <c r="B1831" t="str">
        <f>"1578729881722740"</f>
        <v>1578729881722740</v>
      </c>
      <c r="C1831" t="s">
        <v>40</v>
      </c>
      <c r="D1831">
        <v>5.8302930000000002</v>
      </c>
      <c r="E1831">
        <v>0.48115970000000002</v>
      </c>
      <c r="F1831" t="s">
        <v>57</v>
      </c>
      <c r="G1831">
        <v>-342.30599999999998</v>
      </c>
      <c r="H1831" s="1">
        <v>-3.0964519999999998E-7</v>
      </c>
      <c r="I1831">
        <v>284.47469999999998</v>
      </c>
      <c r="J1831">
        <v>-326.61939999999998</v>
      </c>
      <c r="K1831">
        <v>1.109691</v>
      </c>
      <c r="L1831">
        <v>286.19749999999999</v>
      </c>
      <c r="M1831">
        <v>-0.99957410000000002</v>
      </c>
      <c r="N1831">
        <v>0</v>
      </c>
      <c r="O1831">
        <v>-2.8791710000000002E-2</v>
      </c>
      <c r="P1831">
        <v>-0.99832449999999995</v>
      </c>
      <c r="Q1831">
        <v>-1.004179E-2</v>
      </c>
      <c r="R1831">
        <v>-5.6988209999999997E-2</v>
      </c>
      <c r="S1831">
        <v>-2.9844970000000002</v>
      </c>
      <c r="T1831">
        <v>-0.20882790000000001</v>
      </c>
      <c r="U1831">
        <v>-0.32519530000000002</v>
      </c>
      <c r="V1831">
        <v>-2.8214429999999999E-2</v>
      </c>
      <c r="W1831">
        <v>-5.2860059999999898E-3</v>
      </c>
      <c r="X1831">
        <v>0.99958789999999997</v>
      </c>
      <c r="Y1831">
        <v>-7.9530340000000005E-2</v>
      </c>
      <c r="Z1831">
        <v>-7.6559860000000003E-4</v>
      </c>
      <c r="AA1831">
        <v>0.9968321</v>
      </c>
      <c r="AB1831">
        <v>30</v>
      </c>
      <c r="AC1831">
        <v>-15.6866</v>
      </c>
      <c r="AD1831">
        <v>-1.1096913096451999</v>
      </c>
      <c r="AE1831">
        <v>-1.7228000000000001</v>
      </c>
      <c r="AF1831">
        <v>-1.2641855981516401</v>
      </c>
      <c r="AG1831">
        <v>-1.1096913096451999</v>
      </c>
      <c r="AH1831">
        <v>15.6523037216602</v>
      </c>
      <c r="AI1831">
        <v>94.042158011494806</v>
      </c>
      <c r="AJ1831">
        <v>94.617570379844196</v>
      </c>
      <c r="AK1831">
        <v>15.742432843254299</v>
      </c>
      <c r="AL1831">
        <v>90.302867249924901</v>
      </c>
      <c r="AM1831">
        <v>91.616804938578994</v>
      </c>
      <c r="AN1831">
        <v>0.99999998287303304</v>
      </c>
    </row>
    <row r="1832" spans="1:40" x14ac:dyDescent="0.3">
      <c r="A1832" t="str">
        <f>"20200111160441742"</f>
        <v>20200111160441742</v>
      </c>
      <c r="B1832" t="str">
        <f>"1578729881732500"</f>
        <v>1578729881732500</v>
      </c>
      <c r="C1832" t="s">
        <v>40</v>
      </c>
      <c r="D1832">
        <v>5.7496589999999896</v>
      </c>
      <c r="E1832">
        <v>0.48091289999999998</v>
      </c>
      <c r="F1832" t="s">
        <v>57</v>
      </c>
      <c r="G1832">
        <v>-341.89210000000003</v>
      </c>
      <c r="H1832" s="1">
        <v>-5.2991779999999998E-7</v>
      </c>
      <c r="I1832">
        <v>284.50749999999999</v>
      </c>
      <c r="J1832">
        <v>-326.78370000000001</v>
      </c>
      <c r="K1832">
        <v>1.1096889999999999</v>
      </c>
      <c r="L1832">
        <v>286.19240000000002</v>
      </c>
      <c r="M1832">
        <v>-0.99956330000000004</v>
      </c>
      <c r="N1832">
        <v>0</v>
      </c>
      <c r="O1832">
        <v>-2.9158139999999999E-2</v>
      </c>
      <c r="P1832">
        <v>-0.99831599999999998</v>
      </c>
      <c r="Q1832">
        <v>-9.8824970000000005E-3</v>
      </c>
      <c r="R1832">
        <v>-5.7164449999999999E-2</v>
      </c>
      <c r="S1832">
        <v>-2.9840390000000001</v>
      </c>
      <c r="T1832">
        <v>-0.21681539999999999</v>
      </c>
      <c r="U1832">
        <v>-0.3302002</v>
      </c>
      <c r="V1832">
        <v>-2.8024279999999999E-2</v>
      </c>
      <c r="W1832">
        <v>-5.0972079999999998E-3</v>
      </c>
      <c r="X1832">
        <v>0.99959430000000005</v>
      </c>
      <c r="Y1832">
        <v>-8.0821329999999997E-2</v>
      </c>
      <c r="Z1832">
        <v>-8.1508630000000002E-4</v>
      </c>
      <c r="AA1832">
        <v>0.99672830000000001</v>
      </c>
      <c r="AB1832">
        <v>30</v>
      </c>
      <c r="AC1832">
        <v>-15.1084</v>
      </c>
      <c r="AD1832">
        <v>-1.1096895299178</v>
      </c>
      <c r="AE1832">
        <v>-1.68490000000002</v>
      </c>
      <c r="AF1832">
        <v>-1.2370541331020799</v>
      </c>
      <c r="AG1832">
        <v>-1.1096895299178</v>
      </c>
      <c r="AH1832">
        <v>15.0708015519531</v>
      </c>
      <c r="AI1832">
        <v>94.197124295546203</v>
      </c>
      <c r="AJ1832">
        <v>94.692480272508305</v>
      </c>
      <c r="AK1832">
        <v>15.162149359486801</v>
      </c>
      <c r="AL1832">
        <v>90.292049754823594</v>
      </c>
      <c r="AM1832">
        <v>91.605903996234403</v>
      </c>
      <c r="AN1832">
        <v>1.0000000531957001</v>
      </c>
    </row>
    <row r="1833" spans="1:40" x14ac:dyDescent="0.3">
      <c r="A1833" t="str">
        <f>"20200111160441753"</f>
        <v>20200111160441753</v>
      </c>
      <c r="B1833" t="str">
        <f>"1578729881742260"</f>
        <v>1578729881742260</v>
      </c>
      <c r="C1833" t="s">
        <v>40</v>
      </c>
      <c r="D1833">
        <v>5.7541890000000002</v>
      </c>
      <c r="E1833">
        <v>0.4807611</v>
      </c>
      <c r="F1833" t="s">
        <v>57</v>
      </c>
      <c r="G1833">
        <v>-341.6268</v>
      </c>
      <c r="H1833" s="1">
        <v>-6.7107809999999999E-7</v>
      </c>
      <c r="I1833">
        <v>284.53570000000002</v>
      </c>
      <c r="J1833">
        <v>-326.93150000000003</v>
      </c>
      <c r="K1833">
        <v>1.109691</v>
      </c>
      <c r="L1833">
        <v>286.18779999999998</v>
      </c>
      <c r="M1833">
        <v>-0.99955349999999998</v>
      </c>
      <c r="N1833">
        <v>0</v>
      </c>
      <c r="O1833">
        <v>-2.9488090000000002E-2</v>
      </c>
      <c r="P1833">
        <v>-0.99829690000000004</v>
      </c>
      <c r="Q1833">
        <v>-9.7839999999999993E-3</v>
      </c>
      <c r="R1833">
        <v>-5.7512849999999997E-2</v>
      </c>
      <c r="S1833">
        <v>-2.983765</v>
      </c>
      <c r="T1833">
        <v>-0.2230703</v>
      </c>
      <c r="U1833">
        <v>-0.33303829999999901</v>
      </c>
      <c r="V1833">
        <v>-2.8043370000000001E-2</v>
      </c>
      <c r="W1833">
        <v>-4.9698049999999999E-3</v>
      </c>
      <c r="X1833">
        <v>0.99959430000000005</v>
      </c>
      <c r="Y1833">
        <v>-8.1430199999999994E-2</v>
      </c>
      <c r="Z1833">
        <v>-8.3670490000000005E-4</v>
      </c>
      <c r="AA1833">
        <v>0.99667870000000003</v>
      </c>
      <c r="AB1833">
        <v>30</v>
      </c>
      <c r="AC1833">
        <v>-14.6952999999999</v>
      </c>
      <c r="AD1833">
        <v>-1.1096916710781</v>
      </c>
      <c r="AE1833">
        <v>-1.6520999999999599</v>
      </c>
      <c r="AF1833">
        <v>-1.21121967394896</v>
      </c>
      <c r="AG1833">
        <v>-1.1096916710781</v>
      </c>
      <c r="AH1833">
        <v>14.6551028573287</v>
      </c>
      <c r="AI1833">
        <v>94.315543406759801</v>
      </c>
      <c r="AJ1833">
        <v>94.724661960847897</v>
      </c>
      <c r="AK1833">
        <v>14.7468813130881</v>
      </c>
      <c r="AL1833">
        <v>90.284750038752605</v>
      </c>
      <c r="AM1833">
        <v>91.606997356625996</v>
      </c>
      <c r="AN1833">
        <v>0.99999994707759099</v>
      </c>
    </row>
    <row r="1834" spans="1:40" x14ac:dyDescent="0.3">
      <c r="A1834" t="str">
        <f>"20200111160441766"</f>
        <v>20200111160441766</v>
      </c>
      <c r="B1834" t="str">
        <f>"1578729881762756"</f>
        <v>1578729881762756</v>
      </c>
      <c r="C1834" t="s">
        <v>40</v>
      </c>
      <c r="D1834">
        <v>5.7548190000000004</v>
      </c>
      <c r="E1834">
        <v>0.48038839999999999</v>
      </c>
      <c r="F1834" t="s">
        <v>57</v>
      </c>
      <c r="G1834">
        <v>-341.42860000000002</v>
      </c>
      <c r="H1834" s="1">
        <v>-7.7653530000000004E-7</v>
      </c>
      <c r="I1834">
        <v>284.5573</v>
      </c>
      <c r="J1834">
        <v>-327.10140000000001</v>
      </c>
      <c r="K1834">
        <v>1.1096950000000001</v>
      </c>
      <c r="L1834">
        <v>286.1825</v>
      </c>
      <c r="M1834">
        <v>-0.99954200000000004</v>
      </c>
      <c r="N1834">
        <v>0</v>
      </c>
      <c r="O1834">
        <v>-2.9866940000000002E-2</v>
      </c>
      <c r="P1834">
        <v>-0.99827529999999998</v>
      </c>
      <c r="Q1834">
        <v>-9.6229760000000001E-3</v>
      </c>
      <c r="R1834">
        <v>-5.7912970000000001E-2</v>
      </c>
      <c r="S1834">
        <v>-2.9835509999999998</v>
      </c>
      <c r="T1834">
        <v>-0.22837830000000001</v>
      </c>
      <c r="U1834">
        <v>-0.33557130000000002</v>
      </c>
      <c r="V1834">
        <v>-2.806531E-2</v>
      </c>
      <c r="W1834">
        <v>-4.774169E-3</v>
      </c>
      <c r="X1834">
        <v>0.99959469999999995</v>
      </c>
      <c r="Y1834">
        <v>-8.1888859999999994E-2</v>
      </c>
      <c r="Z1834">
        <v>-8.4522549999999997E-4</v>
      </c>
      <c r="AA1834">
        <v>0.99664109999999995</v>
      </c>
      <c r="AB1834">
        <v>31</v>
      </c>
      <c r="AC1834">
        <v>-14.327199999999999</v>
      </c>
      <c r="AD1834">
        <v>-1.1096957765352999</v>
      </c>
      <c r="AE1834">
        <v>-1.6252</v>
      </c>
      <c r="AF1834">
        <v>-1.18951489955613</v>
      </c>
      <c r="AG1834">
        <v>-1.1096957765352999</v>
      </c>
      <c r="AH1834">
        <v>14.284741823084699</v>
      </c>
      <c r="AI1834">
        <v>94.426783300314298</v>
      </c>
      <c r="AJ1834">
        <v>94.760135349783695</v>
      </c>
      <c r="AK1834">
        <v>14.377072698046399</v>
      </c>
      <c r="AL1834">
        <v>90.273540770968907</v>
      </c>
      <c r="AM1834">
        <v>91.608253303207107</v>
      </c>
      <c r="AN1834">
        <v>1.00000000929156</v>
      </c>
    </row>
    <row r="1835" spans="1:40" x14ac:dyDescent="0.3">
      <c r="A1835" t="str">
        <f>"20200111160441778"</f>
        <v>20200111160441778</v>
      </c>
      <c r="B1835" t="str">
        <f>"1578729881772516"</f>
        <v>1578729881772516</v>
      </c>
      <c r="C1835" t="s">
        <v>40</v>
      </c>
      <c r="D1835">
        <v>5.7756530000000001</v>
      </c>
      <c r="E1835">
        <v>0.48026219999999997</v>
      </c>
      <c r="F1835" t="s">
        <v>57</v>
      </c>
      <c r="G1835">
        <v>-341.01080000000002</v>
      </c>
      <c r="H1835" s="1">
        <v>-9.9888120000000007E-7</v>
      </c>
      <c r="I1835">
        <v>284.59550000000002</v>
      </c>
      <c r="J1835">
        <v>-327.27969999999999</v>
      </c>
      <c r="K1835">
        <v>1.109701</v>
      </c>
      <c r="L1835">
        <v>286.17680000000001</v>
      </c>
      <c r="M1835">
        <v>-0.99952989999999997</v>
      </c>
      <c r="N1835">
        <v>0</v>
      </c>
      <c r="O1835">
        <v>-3.0265E-2</v>
      </c>
      <c r="P1835">
        <v>-0.99826720000000002</v>
      </c>
      <c r="Q1835">
        <v>-9.1369729999999996E-3</v>
      </c>
      <c r="R1835">
        <v>-5.8132789999999997E-2</v>
      </c>
      <c r="S1835">
        <v>-2.9831240000000001</v>
      </c>
      <c r="T1835">
        <v>-0.2379937</v>
      </c>
      <c r="U1835">
        <v>-0.34036250000000001</v>
      </c>
      <c r="V1835">
        <v>-2.7888070000000001E-2</v>
      </c>
      <c r="W1835">
        <v>-4.2462380000000003E-3</v>
      </c>
      <c r="X1835">
        <v>0.99960199999999999</v>
      </c>
      <c r="Y1835">
        <v>-8.307283E-2</v>
      </c>
      <c r="Z1835">
        <v>-8.9619699999999897E-4</v>
      </c>
      <c r="AA1835">
        <v>0.99654299999999996</v>
      </c>
      <c r="AB1835">
        <v>31</v>
      </c>
      <c r="AC1835">
        <v>-13.7311</v>
      </c>
      <c r="AD1835">
        <v>-1.1097019988812</v>
      </c>
      <c r="AE1835">
        <v>-1.5812999999999899</v>
      </c>
      <c r="AF1835">
        <v>-1.1575375608968199</v>
      </c>
      <c r="AG1835">
        <v>-1.1097019988812</v>
      </c>
      <c r="AH1835">
        <v>13.6844604067301</v>
      </c>
      <c r="AI1835">
        <v>94.619666359416499</v>
      </c>
      <c r="AJ1835">
        <v>94.835010707222594</v>
      </c>
      <c r="AK1835">
        <v>13.7780908820697</v>
      </c>
      <c r="AL1835">
        <v>90.243292255429694</v>
      </c>
      <c r="AM1835">
        <v>91.598090368796804</v>
      </c>
      <c r="AN1835">
        <v>0.99999996669473801</v>
      </c>
    </row>
    <row r="1836" spans="1:40" x14ac:dyDescent="0.3">
      <c r="A1836" t="str">
        <f>"20200111160441795"</f>
        <v>20200111160441795</v>
      </c>
      <c r="B1836" t="str">
        <f>"1578729881793012"</f>
        <v>1578729881793012</v>
      </c>
      <c r="C1836" t="s">
        <v>40</v>
      </c>
      <c r="D1836">
        <v>5.8117039999999998</v>
      </c>
      <c r="E1836">
        <v>0.479516</v>
      </c>
      <c r="F1836" t="s">
        <v>57</v>
      </c>
      <c r="G1836">
        <v>-341.05029999999999</v>
      </c>
      <c r="H1836" s="1">
        <v>-9.778767999999999E-7</v>
      </c>
      <c r="I1836">
        <v>284.59769999999997</v>
      </c>
      <c r="J1836">
        <v>-327.50709999999998</v>
      </c>
      <c r="K1836">
        <v>1.1097109999999999</v>
      </c>
      <c r="L1836">
        <v>286.1694</v>
      </c>
      <c r="M1836">
        <v>-0.99951400000000001</v>
      </c>
      <c r="N1836">
        <v>0</v>
      </c>
      <c r="O1836">
        <v>-3.0772440000000002E-2</v>
      </c>
      <c r="P1836">
        <v>-0.99823490000000004</v>
      </c>
      <c r="Q1836">
        <v>-8.4382459999999999E-3</v>
      </c>
      <c r="R1836">
        <v>-5.8785619999999997E-2</v>
      </c>
      <c r="S1836">
        <v>-2.9830930000000002</v>
      </c>
      <c r="T1836">
        <v>-0.2403923</v>
      </c>
      <c r="U1836">
        <v>-0.34207149999999997</v>
      </c>
      <c r="V1836">
        <v>-2.8034960000000001E-2</v>
      </c>
      <c r="W1836">
        <v>-3.4892600000000001E-3</v>
      </c>
      <c r="X1836">
        <v>0.99960079999999996</v>
      </c>
      <c r="Y1836">
        <v>-8.3129690000000006E-2</v>
      </c>
      <c r="Z1836">
        <v>-8.6681989999999999E-4</v>
      </c>
      <c r="AA1836">
        <v>0.99653829999999999</v>
      </c>
      <c r="AB1836">
        <v>31</v>
      </c>
      <c r="AC1836">
        <v>-13.543200000000001</v>
      </c>
      <c r="AD1836">
        <v>-1.1097119778768001</v>
      </c>
      <c r="AE1836">
        <v>-1.5717000000000201</v>
      </c>
      <c r="AF1836">
        <v>-1.14659727414489</v>
      </c>
      <c r="AG1836">
        <v>-1.1097119778768001</v>
      </c>
      <c r="AH1836">
        <v>13.4957460091067</v>
      </c>
      <c r="AI1836">
        <v>94.683874712759703</v>
      </c>
      <c r="AJ1836">
        <v>94.856182011704306</v>
      </c>
      <c r="AK1836">
        <v>13.5897500464592</v>
      </c>
      <c r="AL1836">
        <v>90.199920287962598</v>
      </c>
      <c r="AM1836">
        <v>91.606505241500599</v>
      </c>
      <c r="AN1836">
        <v>0.99999994663909297</v>
      </c>
    </row>
    <row r="1837" spans="1:40" x14ac:dyDescent="0.3">
      <c r="A1837" t="str">
        <f>"20200111160441807"</f>
        <v>20200111160441807</v>
      </c>
      <c r="B1837" t="str">
        <f>"1578729881802773"</f>
        <v>1578729881802773</v>
      </c>
      <c r="C1837" t="s">
        <v>40</v>
      </c>
      <c r="D1837">
        <v>5.9179199999999996</v>
      </c>
      <c r="E1837">
        <v>0.47921540000000001</v>
      </c>
      <c r="F1837" t="s">
        <v>57</v>
      </c>
      <c r="G1837">
        <v>-341.25099999999998</v>
      </c>
      <c r="H1837" s="1">
        <v>-8.7105489999999999E-7</v>
      </c>
      <c r="I1837">
        <v>284.55689999999998</v>
      </c>
      <c r="J1837">
        <v>-327.67919999999998</v>
      </c>
      <c r="K1837">
        <v>1.109723</v>
      </c>
      <c r="L1837">
        <v>286.16370000000001</v>
      </c>
      <c r="M1837">
        <v>-0.9995018</v>
      </c>
      <c r="N1837">
        <v>0</v>
      </c>
      <c r="O1837">
        <v>-3.1156219999999998E-2</v>
      </c>
      <c r="P1837">
        <v>-0.99820629999999999</v>
      </c>
      <c r="Q1837">
        <v>-7.9795479999999995E-3</v>
      </c>
      <c r="R1837">
        <v>-5.9336100000000003E-2</v>
      </c>
      <c r="S1837">
        <v>-2.9826969999999999</v>
      </c>
      <c r="T1837">
        <v>-0.2408296</v>
      </c>
      <c r="U1837">
        <v>-0.34994509999999901</v>
      </c>
      <c r="V1837">
        <v>-2.8202789999999998E-2</v>
      </c>
      <c r="W1837">
        <v>-2.9827389999999999E-3</v>
      </c>
      <c r="X1837">
        <v>0.99959779999999998</v>
      </c>
      <c r="Y1837">
        <v>-8.5351040000000003E-2</v>
      </c>
      <c r="Z1837">
        <v>-9.268341E-4</v>
      </c>
      <c r="AA1837">
        <v>0.99635050000000003</v>
      </c>
      <c r="AB1837">
        <v>31</v>
      </c>
      <c r="AC1837">
        <v>-13.5717999999999</v>
      </c>
      <c r="AD1837">
        <v>-1.10972387105489</v>
      </c>
      <c r="AE1837">
        <v>-1.60680000000002</v>
      </c>
      <c r="AF1837">
        <v>-1.17541854522908</v>
      </c>
      <c r="AG1837">
        <v>-1.10972387105489</v>
      </c>
      <c r="AH1837">
        <v>13.526090539059799</v>
      </c>
      <c r="AI1837">
        <v>94.672693373289803</v>
      </c>
      <c r="AJ1837">
        <v>94.966531929326905</v>
      </c>
      <c r="AK1837">
        <v>13.622342716922899</v>
      </c>
      <c r="AL1837">
        <v>90.170898604722893</v>
      </c>
      <c r="AM1837">
        <v>91.616122273956606</v>
      </c>
      <c r="AN1837">
        <v>1.0000000279302801</v>
      </c>
    </row>
    <row r="1838" spans="1:40" x14ac:dyDescent="0.3">
      <c r="A1838" t="str">
        <f>"20200111160441819"</f>
        <v>20200111160441819</v>
      </c>
      <c r="B1838" t="str">
        <f>"1578729881812532"</f>
        <v>1578729881812532</v>
      </c>
      <c r="C1838" t="s">
        <v>40</v>
      </c>
      <c r="D1838">
        <v>5.817526</v>
      </c>
      <c r="E1838">
        <v>0.47912189999999999</v>
      </c>
      <c r="F1838" t="s">
        <v>57</v>
      </c>
      <c r="G1838">
        <v>-341.3904</v>
      </c>
      <c r="H1838" s="1">
        <v>-7.9690659999999996E-7</v>
      </c>
      <c r="I1838">
        <v>284.53640000000001</v>
      </c>
      <c r="J1838">
        <v>-327.8451</v>
      </c>
      <c r="K1838">
        <v>1.109734</v>
      </c>
      <c r="L1838">
        <v>286.15820000000002</v>
      </c>
      <c r="M1838">
        <v>-0.99948999999999999</v>
      </c>
      <c r="N1838">
        <v>0</v>
      </c>
      <c r="O1838">
        <v>-3.15263E-2</v>
      </c>
      <c r="P1838">
        <v>-0.99817529999999999</v>
      </c>
      <c r="Q1838">
        <v>-7.759335E-3</v>
      </c>
      <c r="R1838">
        <v>-5.9885000000000001E-2</v>
      </c>
      <c r="S1838">
        <v>-2.9824220000000001</v>
      </c>
      <c r="T1838">
        <v>-0.2413846</v>
      </c>
      <c r="U1838">
        <v>-0.35397339999999999</v>
      </c>
      <c r="V1838">
        <v>-2.8382979999999999E-2</v>
      </c>
      <c r="W1838">
        <v>-2.7123669999999998E-3</v>
      </c>
      <c r="X1838">
        <v>0.99959339999999997</v>
      </c>
      <c r="Y1838">
        <v>-8.6317260000000007E-2</v>
      </c>
      <c r="Z1838">
        <v>-9.3812799999999999E-4</v>
      </c>
      <c r="AA1838">
        <v>0.99626729999999997</v>
      </c>
      <c r="AB1838">
        <v>31</v>
      </c>
      <c r="AC1838">
        <v>-13.5452999999999</v>
      </c>
      <c r="AD1838">
        <v>-1.1097347969066</v>
      </c>
      <c r="AE1838">
        <v>-1.6217999999999999</v>
      </c>
      <c r="AF1838">
        <v>-1.1861063152993301</v>
      </c>
      <c r="AG1838">
        <v>-1.1097347969066</v>
      </c>
      <c r="AH1838">
        <v>13.5003611184811</v>
      </c>
      <c r="AI1838">
        <v>94.681218195779195</v>
      </c>
      <c r="AJ1838">
        <v>95.020964575481599</v>
      </c>
      <c r="AK1838">
        <v>13.5977244360979</v>
      </c>
      <c r="AL1838">
        <v>90.155407378686306</v>
      </c>
      <c r="AM1838">
        <v>91.626449442196503</v>
      </c>
      <c r="AN1838">
        <v>0.99999995790598994</v>
      </c>
    </row>
    <row r="1839" spans="1:40" x14ac:dyDescent="0.3">
      <c r="A1839" t="str">
        <f>"20200111160441832"</f>
        <v>20200111160441832</v>
      </c>
      <c r="B1839" t="str">
        <f>"1578729881822293"</f>
        <v>1578729881822293</v>
      </c>
      <c r="C1839" t="s">
        <v>40</v>
      </c>
      <c r="D1839">
        <v>5.7810269999999999</v>
      </c>
      <c r="E1839">
        <v>0.47899340000000001</v>
      </c>
      <c r="F1839" t="s">
        <v>57</v>
      </c>
      <c r="G1839">
        <v>-341.4538</v>
      </c>
      <c r="H1839" s="1">
        <v>-7.6315960000000004E-7</v>
      </c>
      <c r="I1839">
        <v>284.53179999999998</v>
      </c>
      <c r="J1839">
        <v>-328.00909999999999</v>
      </c>
      <c r="K1839">
        <v>1.1097440000000001</v>
      </c>
      <c r="L1839">
        <v>286.15269999999998</v>
      </c>
      <c r="M1839">
        <v>-0.99947810000000004</v>
      </c>
      <c r="N1839">
        <v>0</v>
      </c>
      <c r="O1839">
        <v>-3.1892330000000003E-2</v>
      </c>
      <c r="P1839">
        <v>-0.99814890000000001</v>
      </c>
      <c r="Q1839">
        <v>-7.5895509999999999E-3</v>
      </c>
      <c r="R1839">
        <v>-6.0343170000000002E-2</v>
      </c>
      <c r="S1839">
        <v>-2.982208</v>
      </c>
      <c r="T1839">
        <v>-0.24318670000000001</v>
      </c>
      <c r="U1839">
        <v>-0.35641479999999998</v>
      </c>
      <c r="V1839">
        <v>-2.8475469999999999E-2</v>
      </c>
      <c r="W1839">
        <v>-2.4895289999999999E-3</v>
      </c>
      <c r="X1839">
        <v>0.99959140000000002</v>
      </c>
      <c r="Y1839">
        <v>-8.6762030000000004E-2</v>
      </c>
      <c r="Z1839">
        <v>-9.3352310000000005E-4</v>
      </c>
      <c r="AA1839">
        <v>0.99622860000000002</v>
      </c>
      <c r="AB1839">
        <v>31</v>
      </c>
      <c r="AC1839">
        <v>-13.444699999999999</v>
      </c>
      <c r="AD1839">
        <v>-1.1097447631596</v>
      </c>
      <c r="AE1839">
        <v>-1.6209</v>
      </c>
      <c r="AF1839">
        <v>-1.1833402752806299</v>
      </c>
      <c r="AG1839">
        <v>-1.1097447631596</v>
      </c>
      <c r="AH1839">
        <v>13.3995710572687</v>
      </c>
      <c r="AI1839">
        <v>94.716127222642797</v>
      </c>
      <c r="AJ1839">
        <v>95.046800793202905</v>
      </c>
      <c r="AK1839">
        <v>13.497419463188301</v>
      </c>
      <c r="AL1839">
        <v>90.142639650796994</v>
      </c>
      <c r="AM1839">
        <v>91.6317498627118</v>
      </c>
      <c r="AN1839">
        <v>1.0000000085501599</v>
      </c>
    </row>
    <row r="1840" spans="1:40" x14ac:dyDescent="0.3">
      <c r="A1840" t="str">
        <f>"20200111160441844"</f>
        <v>20200111160441844</v>
      </c>
      <c r="B1840" t="str">
        <f>"1578729881833028"</f>
        <v>1578729881833028</v>
      </c>
      <c r="C1840" t="s">
        <v>40</v>
      </c>
      <c r="D1840">
        <v>5.9970150000000002</v>
      </c>
      <c r="E1840">
        <v>0.47873939999999998</v>
      </c>
      <c r="F1840" t="s">
        <v>57</v>
      </c>
      <c r="G1840">
        <v>-341.49790000000002</v>
      </c>
      <c r="H1840" s="1">
        <v>-7.3969529999999998E-7</v>
      </c>
      <c r="I1840">
        <v>284.52820000000003</v>
      </c>
      <c r="J1840">
        <v>-328.18</v>
      </c>
      <c r="K1840">
        <v>1.1097570000000001</v>
      </c>
      <c r="L1840">
        <v>286.14690000000002</v>
      </c>
      <c r="M1840">
        <v>-0.99946550000000001</v>
      </c>
      <c r="N1840">
        <v>0</v>
      </c>
      <c r="O1840">
        <v>-3.2273530000000002E-2</v>
      </c>
      <c r="P1840">
        <v>-0.99811890000000003</v>
      </c>
      <c r="Q1840">
        <v>-7.5942539999999999E-3</v>
      </c>
      <c r="R1840">
        <v>-6.0834119999999998E-2</v>
      </c>
      <c r="S1840">
        <v>-2.981995</v>
      </c>
      <c r="T1840">
        <v>-0.2453332</v>
      </c>
      <c r="U1840">
        <v>-0.35913089999999998</v>
      </c>
      <c r="V1840">
        <v>-2.8585570000000001E-2</v>
      </c>
      <c r="W1840">
        <v>-2.4371620000000001E-3</v>
      </c>
      <c r="X1840">
        <v>0.99958840000000004</v>
      </c>
      <c r="Y1840">
        <v>-8.7281339999999999E-2</v>
      </c>
      <c r="Z1840">
        <v>-9.3185510000000002E-4</v>
      </c>
      <c r="AA1840">
        <v>0.99618329999999999</v>
      </c>
      <c r="AB1840">
        <v>31</v>
      </c>
      <c r="AC1840">
        <v>-13.3179</v>
      </c>
      <c r="AD1840">
        <v>-1.10975773969529</v>
      </c>
      <c r="AE1840">
        <v>-1.61869999999998</v>
      </c>
      <c r="AF1840">
        <v>-1.1799613684097501</v>
      </c>
      <c r="AG1840">
        <v>-1.10975773969529</v>
      </c>
      <c r="AH1840">
        <v>13.2723874666278</v>
      </c>
      <c r="AI1840">
        <v>94.760921964424696</v>
      </c>
      <c r="AJ1840">
        <v>95.080437034704502</v>
      </c>
      <c r="AK1840">
        <v>13.370869086789099</v>
      </c>
      <c r="AL1840">
        <v>90.139639231755993</v>
      </c>
      <c r="AM1840">
        <v>91.638060483169298</v>
      </c>
      <c r="AN1840">
        <v>1.0000000219926899</v>
      </c>
    </row>
    <row r="1841" spans="1:40" x14ac:dyDescent="0.3">
      <c r="A1841" t="str">
        <f>"20200111160441857"</f>
        <v>20200111160441857</v>
      </c>
      <c r="B1841" t="str">
        <f>"1578729881852548"</f>
        <v>1578729881852548</v>
      </c>
      <c r="C1841" t="s">
        <v>40</v>
      </c>
      <c r="D1841">
        <v>6.5570380000000004</v>
      </c>
      <c r="E1841">
        <v>0.4786204</v>
      </c>
      <c r="F1841" t="s">
        <v>57</v>
      </c>
      <c r="G1841">
        <v>-341.54689999999999</v>
      </c>
      <c r="H1841" s="1">
        <v>-7.136018E-7</v>
      </c>
      <c r="I1841">
        <v>284.52100000000002</v>
      </c>
      <c r="J1841">
        <v>-328.35879999999997</v>
      </c>
      <c r="K1841">
        <v>1.1097680000000001</v>
      </c>
      <c r="L1841">
        <v>286.14069999999998</v>
      </c>
      <c r="M1841">
        <v>-0.99945240000000002</v>
      </c>
      <c r="N1841">
        <v>0</v>
      </c>
      <c r="O1841">
        <v>-3.2672270000000003E-2</v>
      </c>
      <c r="P1841">
        <v>-0.99809590000000004</v>
      </c>
      <c r="Q1841">
        <v>-7.6732429999999997E-3</v>
      </c>
      <c r="R1841">
        <v>-6.1202050000000001E-2</v>
      </c>
      <c r="S1841">
        <v>-2.9816280000000002</v>
      </c>
      <c r="T1841">
        <v>-0.24754280000000001</v>
      </c>
      <c r="U1841">
        <v>-0.36267090000000002</v>
      </c>
      <c r="V1841">
        <v>-2.8556020000000001E-2</v>
      </c>
      <c r="W1841">
        <v>-2.450406E-3</v>
      </c>
      <c r="X1841">
        <v>0.99958919999999996</v>
      </c>
      <c r="Y1841">
        <v>-8.8059479999999996E-2</v>
      </c>
      <c r="Z1841">
        <v>-9.3952499999999997E-4</v>
      </c>
      <c r="AA1841">
        <v>0.99611479999999997</v>
      </c>
      <c r="AB1841">
        <v>31</v>
      </c>
      <c r="AC1841">
        <v>-13.1881</v>
      </c>
      <c r="AD1841">
        <v>-1.1097687136018</v>
      </c>
      <c r="AE1841">
        <v>-1.6197000000000199</v>
      </c>
      <c r="AF1841">
        <v>-1.1797146351208501</v>
      </c>
      <c r="AG1841">
        <v>-1.1097687136018</v>
      </c>
      <c r="AH1841">
        <v>13.142299890412399</v>
      </c>
      <c r="AI1841">
        <v>94.807509663591006</v>
      </c>
      <c r="AJ1841">
        <v>95.129391026321599</v>
      </c>
      <c r="AK1841">
        <v>13.241727969851301</v>
      </c>
      <c r="AL1841">
        <v>90.140398061026303</v>
      </c>
      <c r="AM1841">
        <v>91.636366769433096</v>
      </c>
      <c r="AN1841">
        <v>1.0000000097622199</v>
      </c>
    </row>
    <row r="1842" spans="1:40" x14ac:dyDescent="0.3">
      <c r="A1842" t="str">
        <f>"20200111160441874"</f>
        <v>20200111160441874</v>
      </c>
      <c r="B1842" t="str">
        <f>"1578729881862308"</f>
        <v>1578729881862308</v>
      </c>
      <c r="C1842" t="s">
        <v>40</v>
      </c>
      <c r="D1842">
        <v>5.9550029999999996</v>
      </c>
      <c r="E1842">
        <v>0.47844969999999998</v>
      </c>
      <c r="F1842" t="s">
        <v>57</v>
      </c>
      <c r="G1842">
        <v>-341.5788</v>
      </c>
      <c r="H1842" s="1">
        <v>-6.9664699999999995E-7</v>
      </c>
      <c r="I1842">
        <v>284.5224</v>
      </c>
      <c r="J1842">
        <v>-328.58859999999999</v>
      </c>
      <c r="K1842">
        <v>1.10978</v>
      </c>
      <c r="L1842">
        <v>286.1327</v>
      </c>
      <c r="M1842">
        <v>-0.99943510000000002</v>
      </c>
      <c r="N1842">
        <v>0</v>
      </c>
      <c r="O1842">
        <v>-3.3184350000000001E-2</v>
      </c>
      <c r="P1842">
        <v>-0.99803730000000002</v>
      </c>
      <c r="Q1842">
        <v>-7.8303309999999994E-3</v>
      </c>
      <c r="R1842">
        <v>-6.2132149999999997E-2</v>
      </c>
      <c r="S1842">
        <v>-2.9813839999999998</v>
      </c>
      <c r="T1842">
        <v>-0.25027690000000002</v>
      </c>
      <c r="U1842">
        <v>-0.3649597</v>
      </c>
      <c r="V1842">
        <v>-2.8974980000000001E-2</v>
      </c>
      <c r="W1842">
        <v>-2.5201580000000002E-3</v>
      </c>
      <c r="X1842">
        <v>0.99957700000000005</v>
      </c>
      <c r="Y1842">
        <v>-8.8309120000000005E-2</v>
      </c>
      <c r="Z1842">
        <v>-9.1763540000000001E-4</v>
      </c>
      <c r="AA1842">
        <v>0.99609270000000005</v>
      </c>
      <c r="AB1842">
        <v>31</v>
      </c>
      <c r="AC1842">
        <v>-12.9902</v>
      </c>
      <c r="AD1842">
        <v>-1.1097806966470001</v>
      </c>
      <c r="AE1842">
        <v>-1.6102999999999901</v>
      </c>
      <c r="AF1842">
        <v>-1.1699260060418</v>
      </c>
      <c r="AG1842">
        <v>-1.1097806966470001</v>
      </c>
      <c r="AH1842">
        <v>12.9434429661476</v>
      </c>
      <c r="AI1842">
        <v>94.880797940773405</v>
      </c>
      <c r="AJ1842">
        <v>95.164789953931106</v>
      </c>
      <c r="AK1842">
        <v>13.0435062721715</v>
      </c>
      <c r="AL1842">
        <v>90.144394564206493</v>
      </c>
      <c r="AM1842">
        <v>91.660381656886102</v>
      </c>
      <c r="AN1842">
        <v>1.0000000397956701</v>
      </c>
    </row>
    <row r="1843" spans="1:40" x14ac:dyDescent="0.3">
      <c r="A1843" t="str">
        <f>"20200111160441888"</f>
        <v>20200111160441888</v>
      </c>
      <c r="B1843" t="str">
        <f>"1578729881882805"</f>
        <v>1578729881882805</v>
      </c>
      <c r="C1843" t="s">
        <v>40</v>
      </c>
      <c r="D1843">
        <v>5.8353789999999996</v>
      </c>
      <c r="E1843">
        <v>0.47839389999999998</v>
      </c>
      <c r="F1843" t="s">
        <v>57</v>
      </c>
      <c r="G1843">
        <v>-341.68189999999998</v>
      </c>
      <c r="H1843" s="1">
        <v>-6.4176459999999995E-7</v>
      </c>
      <c r="I1843">
        <v>284.51209999999998</v>
      </c>
      <c r="J1843">
        <v>-328.7885</v>
      </c>
      <c r="K1843">
        <v>1.1097939999999999</v>
      </c>
      <c r="L1843">
        <v>286.12569999999999</v>
      </c>
      <c r="M1843">
        <v>-0.99941959999999996</v>
      </c>
      <c r="N1843">
        <v>0</v>
      </c>
      <c r="O1843">
        <v>-3.3629640000000002E-2</v>
      </c>
      <c r="P1843">
        <v>-0.99798699999999996</v>
      </c>
      <c r="Q1843">
        <v>-7.6124309999999898E-3</v>
      </c>
      <c r="R1843">
        <v>-6.2963969999999994E-2</v>
      </c>
      <c r="S1843">
        <v>-2.980988</v>
      </c>
      <c r="T1843">
        <v>-0.25266660000000002</v>
      </c>
      <c r="U1843">
        <v>-0.36895749999999999</v>
      </c>
      <c r="V1843">
        <v>-2.9362989999999999E-2</v>
      </c>
      <c r="W1843">
        <v>-2.2234799999999999E-3</v>
      </c>
      <c r="X1843">
        <v>0.99956630000000002</v>
      </c>
      <c r="Y1843">
        <v>-8.9191960000000001E-2</v>
      </c>
      <c r="Z1843">
        <v>-9.261537E-4</v>
      </c>
      <c r="AA1843">
        <v>0.99601399999999995</v>
      </c>
      <c r="AB1843">
        <v>31</v>
      </c>
      <c r="AC1843">
        <v>-12.8933999999999</v>
      </c>
      <c r="AD1843">
        <v>-1.1097946417646001</v>
      </c>
      <c r="AE1843">
        <v>-1.6136000000000099</v>
      </c>
      <c r="AF1843">
        <v>-1.1705418392435301</v>
      </c>
      <c r="AG1843">
        <v>-1.1097946417646001</v>
      </c>
      <c r="AH1843">
        <v>12.846661250034099</v>
      </c>
      <c r="AI1843">
        <v>94.917128794038703</v>
      </c>
      <c r="AJ1843">
        <v>95.206210652641502</v>
      </c>
      <c r="AK1843">
        <v>12.947529402068801</v>
      </c>
      <c r="AL1843">
        <v>90.127396130081394</v>
      </c>
      <c r="AM1843">
        <v>91.6826214781765</v>
      </c>
      <c r="AN1843">
        <v>0.99999995857036905</v>
      </c>
    </row>
    <row r="1844" spans="1:40" x14ac:dyDescent="0.3">
      <c r="A1844" t="str">
        <f>"20200111160441903"</f>
        <v>20200111160441903</v>
      </c>
      <c r="B1844" t="str">
        <f>"1578729881892565"</f>
        <v>1578729881892565</v>
      </c>
      <c r="C1844" t="s">
        <v>40</v>
      </c>
      <c r="D1844">
        <v>5.8179689999999997</v>
      </c>
      <c r="E1844">
        <v>0.47833799999999999</v>
      </c>
      <c r="F1844" t="s">
        <v>57</v>
      </c>
      <c r="G1844">
        <v>-341.73329999999999</v>
      </c>
      <c r="H1844" s="1">
        <v>-6.14427E-7</v>
      </c>
      <c r="I1844">
        <v>284.51049999999998</v>
      </c>
      <c r="J1844">
        <v>-328.99610000000001</v>
      </c>
      <c r="K1844">
        <v>1.10981</v>
      </c>
      <c r="L1844">
        <v>286.11829999999998</v>
      </c>
      <c r="M1844">
        <v>-0.9994035</v>
      </c>
      <c r="N1844">
        <v>0</v>
      </c>
      <c r="O1844">
        <v>-3.409235E-2</v>
      </c>
      <c r="P1844">
        <v>-0.99793909999999997</v>
      </c>
      <c r="Q1844">
        <v>-7.0909989999999997E-3</v>
      </c>
      <c r="R1844">
        <v>-6.3777070000000005E-2</v>
      </c>
      <c r="S1844">
        <v>-2.9806520000000001</v>
      </c>
      <c r="T1844">
        <v>-0.25553989999999999</v>
      </c>
      <c r="U1844">
        <v>-0.37191770000000002</v>
      </c>
      <c r="V1844">
        <v>-2.971524E-2</v>
      </c>
      <c r="W1844">
        <v>-1.618317E-3</v>
      </c>
      <c r="X1844">
        <v>0.99955709999999998</v>
      </c>
      <c r="Y1844">
        <v>-8.9713920000000003E-2</v>
      </c>
      <c r="Z1844">
        <v>-9.1956670000000005E-4</v>
      </c>
      <c r="AA1844">
        <v>0.99596709999999999</v>
      </c>
      <c r="AB1844">
        <v>31</v>
      </c>
      <c r="AC1844">
        <v>-12.7371999999999</v>
      </c>
      <c r="AD1844">
        <v>-1.1098106144269999</v>
      </c>
      <c r="AE1844">
        <v>-1.6077999999999899</v>
      </c>
      <c r="AF1844">
        <v>-1.1639199023594</v>
      </c>
      <c r="AG1844">
        <v>-1.1098106144269999</v>
      </c>
      <c r="AH1844">
        <v>12.6897815474052</v>
      </c>
      <c r="AI1844">
        <v>94.977413935839905</v>
      </c>
      <c r="AJ1844">
        <v>95.2405651923753</v>
      </c>
      <c r="AK1844">
        <v>12.791283941022799</v>
      </c>
      <c r="AL1844">
        <v>90.092722773995604</v>
      </c>
      <c r="AM1844">
        <v>91.702810718731101</v>
      </c>
      <c r="AN1844">
        <v>1.0000000052992899</v>
      </c>
    </row>
    <row r="1845" spans="1:40" x14ac:dyDescent="0.3">
      <c r="A1845" t="str">
        <f>"20200111160441919"</f>
        <v>20200111160441919</v>
      </c>
      <c r="B1845" t="str">
        <f>"1578729881913061"</f>
        <v>1578729881913061</v>
      </c>
      <c r="C1845" t="s">
        <v>40</v>
      </c>
      <c r="D1845">
        <v>5.8632330000000001</v>
      </c>
      <c r="E1845">
        <v>0.47828490000000001</v>
      </c>
      <c r="F1845" t="s">
        <v>57</v>
      </c>
      <c r="G1845">
        <v>-341.93360000000001</v>
      </c>
      <c r="H1845" s="1">
        <v>-5.0782230000000004E-7</v>
      </c>
      <c r="I1845">
        <v>284.49270000000001</v>
      </c>
      <c r="J1845">
        <v>-329.23680000000002</v>
      </c>
      <c r="K1845">
        <v>1.109828</v>
      </c>
      <c r="L1845">
        <v>286.10950000000003</v>
      </c>
      <c r="M1845">
        <v>-0.99938459999999996</v>
      </c>
      <c r="N1845">
        <v>0</v>
      </c>
      <c r="O1845">
        <v>-3.4628779999999998E-2</v>
      </c>
      <c r="P1845">
        <v>-0.99786090000000005</v>
      </c>
      <c r="Q1845">
        <v>-6.4059959999999997E-3</v>
      </c>
      <c r="R1845">
        <v>-6.5060740000000006E-2</v>
      </c>
      <c r="S1845">
        <v>-2.9804689999999998</v>
      </c>
      <c r="T1845">
        <v>-0.25567119999999999</v>
      </c>
      <c r="U1845">
        <v>-0.37448120000000001</v>
      </c>
      <c r="V1845">
        <v>-3.0465470000000001E-2</v>
      </c>
      <c r="W1845">
        <v>-8.3812049999999999E-4</v>
      </c>
      <c r="X1845">
        <v>0.99953539999999996</v>
      </c>
      <c r="Y1845">
        <v>-9.0030819999999998E-2</v>
      </c>
      <c r="Z1845">
        <v>-8.8788409999999995E-4</v>
      </c>
      <c r="AA1845">
        <v>0.99593860000000001</v>
      </c>
      <c r="AB1845">
        <v>31</v>
      </c>
      <c r="AC1845">
        <v>-12.6967999999999</v>
      </c>
      <c r="AD1845">
        <v>-1.1098285078223</v>
      </c>
      <c r="AE1845">
        <v>-1.61680000000001</v>
      </c>
      <c r="AF1845">
        <v>-1.1673717049288901</v>
      </c>
      <c r="AG1845">
        <v>-1.1098285078223</v>
      </c>
      <c r="AH1845">
        <v>12.6500625957308</v>
      </c>
      <c r="AI1845">
        <v>94.9927891700858</v>
      </c>
      <c r="AJ1845">
        <v>95.272430170552497</v>
      </c>
      <c r="AK1845">
        <v>12.752198229723099</v>
      </c>
      <c r="AL1845">
        <v>90.048020776280893</v>
      </c>
      <c r="AM1845">
        <v>91.745813717004907</v>
      </c>
      <c r="AN1845">
        <v>0.99999993158072398</v>
      </c>
    </row>
    <row r="1846" spans="1:40" x14ac:dyDescent="0.3">
      <c r="A1846" t="str">
        <f>"20200111160441933"</f>
        <v>20200111160441933</v>
      </c>
      <c r="B1846" t="str">
        <f>"1578729881922821"</f>
        <v>1578729881922821</v>
      </c>
      <c r="C1846" t="s">
        <v>40</v>
      </c>
      <c r="D1846">
        <v>5.8280070000000004</v>
      </c>
      <c r="E1846">
        <v>0.47825570000000001</v>
      </c>
      <c r="F1846" t="s">
        <v>57</v>
      </c>
      <c r="G1846">
        <v>-342.11680000000001</v>
      </c>
      <c r="H1846" s="1">
        <v>-4.1034930000000002E-7</v>
      </c>
      <c r="I1846">
        <v>284.47210000000001</v>
      </c>
      <c r="J1846">
        <v>-329.42489999999998</v>
      </c>
      <c r="K1846">
        <v>1.109837</v>
      </c>
      <c r="L1846">
        <v>286.1026</v>
      </c>
      <c r="M1846">
        <v>-0.99936950000000002</v>
      </c>
      <c r="N1846">
        <v>0</v>
      </c>
      <c r="O1846">
        <v>-3.5047839999999997E-2</v>
      </c>
      <c r="P1846">
        <v>-0.99782479999999996</v>
      </c>
      <c r="Q1846">
        <v>-6.1078840000000001E-3</v>
      </c>
      <c r="R1846">
        <v>-6.5642160000000005E-2</v>
      </c>
      <c r="S1846">
        <v>-2.9800719999999998</v>
      </c>
      <c r="T1846">
        <v>-0.25678420000000002</v>
      </c>
      <c r="U1846">
        <v>-0.37884519999999999</v>
      </c>
      <c r="V1846">
        <v>-3.062896E-2</v>
      </c>
      <c r="W1846">
        <v>-4.6560409999999998E-4</v>
      </c>
      <c r="X1846">
        <v>0.99953069999999999</v>
      </c>
      <c r="Y1846">
        <v>-9.1061119999999995E-2</v>
      </c>
      <c r="Z1846">
        <v>-9.0007550000000003E-4</v>
      </c>
      <c r="AA1846">
        <v>0.99584490000000003</v>
      </c>
      <c r="AB1846">
        <v>31</v>
      </c>
      <c r="AC1846">
        <v>-12.6919</v>
      </c>
      <c r="AD1846">
        <v>-1.1098374103493001</v>
      </c>
      <c r="AE1846">
        <v>-1.6304999999999801</v>
      </c>
      <c r="AF1846">
        <v>-1.17582238796</v>
      </c>
      <c r="AG1846">
        <v>-1.1098374103493001</v>
      </c>
      <c r="AH1846">
        <v>12.646119567444799</v>
      </c>
      <c r="AI1846">
        <v>94.994059805301305</v>
      </c>
      <c r="AJ1846">
        <v>95.312026516679794</v>
      </c>
      <c r="AK1846">
        <v>12.7490641805409</v>
      </c>
      <c r="AL1846">
        <v>90.026677151214997</v>
      </c>
      <c r="AM1846">
        <v>91.755184861136996</v>
      </c>
      <c r="AN1846">
        <v>0.99999998511017396</v>
      </c>
    </row>
    <row r="1847" spans="1:40" x14ac:dyDescent="0.3">
      <c r="A1847" t="str">
        <f>"20200111160441947"</f>
        <v>20200111160441947</v>
      </c>
      <c r="B1847" t="str">
        <f>"1578729881942340"</f>
        <v>1578729881942340</v>
      </c>
      <c r="C1847" t="s">
        <v>40</v>
      </c>
      <c r="D1847">
        <v>5.9372369999999997</v>
      </c>
      <c r="E1847">
        <v>0.47808410000000001</v>
      </c>
      <c r="F1847" t="s">
        <v>57</v>
      </c>
      <c r="G1847">
        <v>-342.26170000000002</v>
      </c>
      <c r="H1847" s="1">
        <v>-3.3319560000000002E-7</v>
      </c>
      <c r="I1847">
        <v>284.46249999999998</v>
      </c>
      <c r="J1847">
        <v>-329.61930000000001</v>
      </c>
      <c r="K1847">
        <v>1.109845</v>
      </c>
      <c r="L1847">
        <v>286.09539999999998</v>
      </c>
      <c r="M1847">
        <v>-0.99935370000000001</v>
      </c>
      <c r="N1847">
        <v>0</v>
      </c>
      <c r="O1847">
        <v>-3.5480730000000002E-2</v>
      </c>
      <c r="P1847">
        <v>-0.99777139999999997</v>
      </c>
      <c r="Q1847">
        <v>-6.1217700000000003E-3</v>
      </c>
      <c r="R1847">
        <v>-6.6445550000000006E-2</v>
      </c>
      <c r="S1847">
        <v>-2.9799190000000002</v>
      </c>
      <c r="T1847">
        <v>-0.25763510000000001</v>
      </c>
      <c r="U1847">
        <v>-0.3807373</v>
      </c>
      <c r="V1847">
        <v>-3.1000719999999999E-2</v>
      </c>
      <c r="W1847">
        <v>-4.0382630000000003E-4</v>
      </c>
      <c r="X1847">
        <v>0.9995193</v>
      </c>
      <c r="Y1847">
        <v>-9.1257829999999998E-2</v>
      </c>
      <c r="Z1847">
        <v>-8.7436920000000002E-4</v>
      </c>
      <c r="AA1847">
        <v>0.99582689999999996</v>
      </c>
      <c r="AB1847">
        <v>31</v>
      </c>
      <c r="AC1847">
        <v>-12.6424</v>
      </c>
      <c r="AD1847">
        <v>-1.1098453331956</v>
      </c>
      <c r="AE1847">
        <v>-1.6329</v>
      </c>
      <c r="AF1847">
        <v>-1.1744005893035001</v>
      </c>
      <c r="AG1847">
        <v>-1.1098453331956</v>
      </c>
      <c r="AH1847">
        <v>12.596890113442001</v>
      </c>
      <c r="AI1847">
        <v>95.013397910295495</v>
      </c>
      <c r="AJ1847">
        <v>95.326255680216804</v>
      </c>
      <c r="AK1847">
        <v>12.700102910524199</v>
      </c>
      <c r="AL1847">
        <v>90.023137542826504</v>
      </c>
      <c r="AM1847">
        <v>91.776495154326298</v>
      </c>
      <c r="AN1847">
        <v>1.0000000193943399</v>
      </c>
    </row>
    <row r="1848" spans="1:40" x14ac:dyDescent="0.3">
      <c r="A1848" t="str">
        <f>"20200111160441962"</f>
        <v>20200111160441962</v>
      </c>
      <c r="B1848" t="str">
        <f>"1578729881953076"</f>
        <v>1578729881953076</v>
      </c>
      <c r="C1848" t="s">
        <v>40</v>
      </c>
      <c r="D1848">
        <v>5.813758</v>
      </c>
      <c r="E1848">
        <v>0.47812209999999999</v>
      </c>
      <c r="F1848" t="s">
        <v>57</v>
      </c>
      <c r="G1848">
        <v>-342.33190000000002</v>
      </c>
      <c r="H1848" s="1">
        <v>-2.958776E-7</v>
      </c>
      <c r="I1848">
        <v>284.45519999999999</v>
      </c>
      <c r="J1848">
        <v>-329.83909999999997</v>
      </c>
      <c r="K1848">
        <v>1.1098539999999999</v>
      </c>
      <c r="L1848">
        <v>286.0872</v>
      </c>
      <c r="M1848">
        <v>-0.9993358</v>
      </c>
      <c r="N1848">
        <v>0</v>
      </c>
      <c r="O1848">
        <v>-3.597028E-2</v>
      </c>
      <c r="P1848">
        <v>-0.99767530000000004</v>
      </c>
      <c r="Q1848">
        <v>-6.0760750000000002E-3</v>
      </c>
      <c r="R1848">
        <v>-6.7874950000000003E-2</v>
      </c>
      <c r="S1848">
        <v>-2.979492</v>
      </c>
      <c r="T1848">
        <v>-0.26011810000000002</v>
      </c>
      <c r="U1848">
        <v>-0.38442989999999999</v>
      </c>
      <c r="V1848">
        <v>-3.1943430000000002E-2</v>
      </c>
      <c r="W1848">
        <v>-2.7575069999999998E-4</v>
      </c>
      <c r="X1848">
        <v>0.99948970000000004</v>
      </c>
      <c r="Y1848">
        <v>-9.1997170000000003E-2</v>
      </c>
      <c r="Z1848">
        <v>-8.7250209999999997E-4</v>
      </c>
      <c r="AA1848">
        <v>0.9957589</v>
      </c>
      <c r="AB1848">
        <v>31</v>
      </c>
      <c r="AC1848">
        <v>-12.492800000000001</v>
      </c>
      <c r="AD1848">
        <v>-1.1098542958776001</v>
      </c>
      <c r="AE1848">
        <v>-1.6319999999999999</v>
      </c>
      <c r="AF1848">
        <v>-1.1724682670958799</v>
      </c>
      <c r="AG1848">
        <v>-1.1098542958776001</v>
      </c>
      <c r="AH1848">
        <v>12.446831842151999</v>
      </c>
      <c r="AI1848">
        <v>95.073112129499904</v>
      </c>
      <c r="AJ1848">
        <v>95.381276160514503</v>
      </c>
      <c r="AK1848">
        <v>12.5510988085599</v>
      </c>
      <c r="AL1848">
        <v>90.015799350566596</v>
      </c>
      <c r="AM1848">
        <v>91.830535080469105</v>
      </c>
      <c r="AN1848">
        <v>1.0000000595823499</v>
      </c>
    </row>
    <row r="1849" spans="1:40" x14ac:dyDescent="0.3">
      <c r="A1849" t="str">
        <f>"20200111160441975"</f>
        <v>20200111160441975</v>
      </c>
      <c r="B1849" t="str">
        <f>"1578729881972596"</f>
        <v>1578729881972596</v>
      </c>
      <c r="C1849" t="s">
        <v>40</v>
      </c>
      <c r="D1849">
        <v>5.9410769999999999</v>
      </c>
      <c r="E1849">
        <v>0.47789490000000001</v>
      </c>
      <c r="F1849" t="s">
        <v>57</v>
      </c>
      <c r="G1849">
        <v>-342.6508</v>
      </c>
      <c r="H1849" s="1">
        <v>-1.2616939999999999E-7</v>
      </c>
      <c r="I1849">
        <v>284.41840000000002</v>
      </c>
      <c r="J1849">
        <v>-330.01310000000001</v>
      </c>
      <c r="K1849">
        <v>1.1098619999999999</v>
      </c>
      <c r="L1849">
        <v>286.08049999999997</v>
      </c>
      <c r="M1849">
        <v>-0.99932140000000003</v>
      </c>
      <c r="N1849">
        <v>0</v>
      </c>
      <c r="O1849">
        <v>-3.6357470000000003E-2</v>
      </c>
      <c r="P1849">
        <v>-0.99761889999999998</v>
      </c>
      <c r="Q1849">
        <v>-6.4178669999999998E-3</v>
      </c>
      <c r="R1849">
        <v>-6.8668580000000007E-2</v>
      </c>
      <c r="S1849">
        <v>-2.9790040000000002</v>
      </c>
      <c r="T1849">
        <v>-0.25806669999999998</v>
      </c>
      <c r="U1849">
        <v>-0.38803100000000001</v>
      </c>
      <c r="V1849">
        <v>-3.2350909999999997E-2</v>
      </c>
      <c r="W1849">
        <v>-5.5310530000000002E-4</v>
      </c>
      <c r="X1849">
        <v>0.99947640000000004</v>
      </c>
      <c r="Y1849">
        <v>-9.2817510000000006E-2</v>
      </c>
      <c r="Z1849">
        <v>-8.6776819999999995E-4</v>
      </c>
      <c r="AA1849">
        <v>0.99568279999999998</v>
      </c>
      <c r="AB1849">
        <v>31</v>
      </c>
      <c r="AC1849">
        <v>-12.637699999999899</v>
      </c>
      <c r="AD1849">
        <v>-1.1098621261693999</v>
      </c>
      <c r="AE1849">
        <v>-1.66209999999995</v>
      </c>
      <c r="AF1849">
        <v>-1.19247750495474</v>
      </c>
      <c r="AG1849">
        <v>-1.1098621261693999</v>
      </c>
      <c r="AH1849">
        <v>12.5942916888065</v>
      </c>
      <c r="AI1849">
        <v>95.0138266709303</v>
      </c>
      <c r="AJ1849">
        <v>95.408866593753999</v>
      </c>
      <c r="AK1849">
        <v>12.699211774030299</v>
      </c>
      <c r="AL1849">
        <v>90.031690601542806</v>
      </c>
      <c r="AM1849">
        <v>91.853894396932304</v>
      </c>
      <c r="AN1849">
        <v>0.99999998073012997</v>
      </c>
    </row>
    <row r="1850" spans="1:40" x14ac:dyDescent="0.3">
      <c r="A1850" t="str">
        <f>"20200111160441989"</f>
        <v>20200111160441989</v>
      </c>
      <c r="B1850" t="str">
        <f>"1578729881982356"</f>
        <v>1578729881982356</v>
      </c>
      <c r="C1850" t="s">
        <v>40</v>
      </c>
      <c r="D1850">
        <v>5.9620199999999999</v>
      </c>
      <c r="E1850">
        <v>0.47783720000000002</v>
      </c>
      <c r="F1850" t="s">
        <v>57</v>
      </c>
      <c r="G1850">
        <v>-342.73680000000002</v>
      </c>
      <c r="H1850" s="1">
        <v>-8.038674E-8</v>
      </c>
      <c r="I1850">
        <v>284.40629999999999</v>
      </c>
      <c r="J1850">
        <v>-330.20909999999998</v>
      </c>
      <c r="K1850">
        <v>1.1098669999999999</v>
      </c>
      <c r="L1850">
        <v>286.0729</v>
      </c>
      <c r="M1850">
        <v>-0.99930509999999995</v>
      </c>
      <c r="N1850">
        <v>0</v>
      </c>
      <c r="O1850">
        <v>-3.6793819999999998E-2</v>
      </c>
      <c r="P1850">
        <v>-0.99755400000000005</v>
      </c>
      <c r="Q1850">
        <v>-6.7493969999999999E-3</v>
      </c>
      <c r="R1850">
        <v>-6.9575239999999997E-2</v>
      </c>
      <c r="S1850">
        <v>-2.9785159999999999</v>
      </c>
      <c r="T1850">
        <v>-0.25980969999999998</v>
      </c>
      <c r="U1850">
        <v>-0.3919067</v>
      </c>
      <c r="V1850">
        <v>-3.2822249999999997E-2</v>
      </c>
      <c r="W1850">
        <v>-8.1230189999999996E-4</v>
      </c>
      <c r="X1850">
        <v>0.99946089999999999</v>
      </c>
      <c r="Y1850">
        <v>-9.3672980000000003E-2</v>
      </c>
      <c r="Z1850">
        <v>-8.7301109999999996E-4</v>
      </c>
      <c r="AA1850">
        <v>0.9956026</v>
      </c>
      <c r="AB1850">
        <v>32</v>
      </c>
      <c r="AC1850">
        <v>-12.527699999999999</v>
      </c>
      <c r="AD1850">
        <v>-1.1098670803867401</v>
      </c>
      <c r="AE1850">
        <v>-1.6666000000000101</v>
      </c>
      <c r="AF1850">
        <v>-1.1953028806917001</v>
      </c>
      <c r="AG1850">
        <v>-1.1098670803867401</v>
      </c>
      <c r="AH1850">
        <v>12.4842570324926</v>
      </c>
      <c r="AI1850">
        <v>95.057308501659307</v>
      </c>
      <c r="AJ1850">
        <v>95.469102589658505</v>
      </c>
      <c r="AK1850">
        <v>12.5903624874766</v>
      </c>
      <c r="AL1850">
        <v>90.046541474502206</v>
      </c>
      <c r="AM1850">
        <v>91.880914793646099</v>
      </c>
      <c r="AN1850">
        <v>1.0000000252791199</v>
      </c>
    </row>
    <row r="1851" spans="1:40" x14ac:dyDescent="0.3">
      <c r="A1851" t="str">
        <f>"20200111160442000"</f>
        <v>20200111160442000</v>
      </c>
      <c r="B1851" t="str">
        <f>"1578729881993092"</f>
        <v>1578729881993092</v>
      </c>
      <c r="C1851" t="s">
        <v>40</v>
      </c>
      <c r="D1851">
        <v>5.7945359999999999</v>
      </c>
      <c r="E1851">
        <v>0.4779331</v>
      </c>
      <c r="F1851" t="s">
        <v>57</v>
      </c>
      <c r="G1851">
        <v>-342.77730000000003</v>
      </c>
      <c r="H1851" s="1">
        <v>-5.8881140000000001E-8</v>
      </c>
      <c r="I1851">
        <v>284.4051</v>
      </c>
      <c r="J1851">
        <v>-330.38699999999898</v>
      </c>
      <c r="K1851">
        <v>1.1098749999999999</v>
      </c>
      <c r="L1851">
        <v>286.06599999999997</v>
      </c>
      <c r="M1851">
        <v>-0.99929000000000001</v>
      </c>
      <c r="N1851">
        <v>0</v>
      </c>
      <c r="O1851">
        <v>-3.7189609999999998E-2</v>
      </c>
      <c r="P1851">
        <v>-0.99749060000000001</v>
      </c>
      <c r="Q1851">
        <v>-7.1771999999999904E-3</v>
      </c>
      <c r="R1851">
        <v>-7.0436579999999999E-2</v>
      </c>
      <c r="S1851">
        <v>-2.9780579999999999</v>
      </c>
      <c r="T1851">
        <v>-0.26298579999999999</v>
      </c>
      <c r="U1851">
        <v>-0.39520260000000001</v>
      </c>
      <c r="V1851">
        <v>-3.3289279999999997E-2</v>
      </c>
      <c r="W1851">
        <v>-1.17471E-3</v>
      </c>
      <c r="X1851">
        <v>0.99944509999999998</v>
      </c>
      <c r="Y1851">
        <v>-9.4374970000000002E-2</v>
      </c>
      <c r="Z1851">
        <v>-8.7985679999999901E-4</v>
      </c>
      <c r="AA1851">
        <v>0.99553630000000004</v>
      </c>
      <c r="AB1851">
        <v>32</v>
      </c>
      <c r="AC1851">
        <v>-12.3903</v>
      </c>
      <c r="AD1851">
        <v>-1.1098750588811399</v>
      </c>
      <c r="AE1851">
        <v>-1.6608999999999601</v>
      </c>
      <c r="AF1851">
        <v>-1.1895756464509899</v>
      </c>
      <c r="AG1851">
        <v>-1.1098750588811399</v>
      </c>
      <c r="AH1851">
        <v>12.3461821156728</v>
      </c>
      <c r="AI1851">
        <v>95.113312052810102</v>
      </c>
      <c r="AJ1851">
        <v>95.503556737316401</v>
      </c>
      <c r="AK1851">
        <v>12.4529163531405</v>
      </c>
      <c r="AL1851">
        <v>90.067305938477006</v>
      </c>
      <c r="AM1851">
        <v>91.907688955711507</v>
      </c>
      <c r="AN1851">
        <v>1.00000003201025</v>
      </c>
    </row>
    <row r="1852" spans="1:40" x14ac:dyDescent="0.3">
      <c r="A1852" t="str">
        <f>"20200111160442014"</f>
        <v>20200111160442014</v>
      </c>
      <c r="B1852" t="str">
        <f>"1578729882002854"</f>
        <v>1578729882002854</v>
      </c>
      <c r="C1852" t="s">
        <v>40</v>
      </c>
      <c r="D1852">
        <v>5.8078849999999997</v>
      </c>
      <c r="E1852">
        <v>0.47791070000000002</v>
      </c>
      <c r="F1852" t="s">
        <v>57</v>
      </c>
      <c r="G1852">
        <v>-342.80720000000002</v>
      </c>
      <c r="H1852" s="1">
        <v>-4.296288E-8</v>
      </c>
      <c r="I1852">
        <v>284.41019999999997</v>
      </c>
      <c r="J1852">
        <v>-330.56060000000002</v>
      </c>
      <c r="K1852">
        <v>1.1098790000000001</v>
      </c>
      <c r="L1852">
        <v>286.05919999999998</v>
      </c>
      <c r="M1852">
        <v>-0.99927509999999997</v>
      </c>
      <c r="N1852">
        <v>0</v>
      </c>
      <c r="O1852">
        <v>-3.7576209999999999E-2</v>
      </c>
      <c r="P1852">
        <v>-0.99744239999999995</v>
      </c>
      <c r="Q1852">
        <v>-7.267646E-3</v>
      </c>
      <c r="R1852">
        <v>-7.1105089999999996E-2</v>
      </c>
      <c r="S1852">
        <v>-2.9775999999999998</v>
      </c>
      <c r="T1852">
        <v>-0.26607999999999998</v>
      </c>
      <c r="U1852">
        <v>-0.39697270000000001</v>
      </c>
      <c r="V1852">
        <v>-3.3572360000000002E-2</v>
      </c>
      <c r="W1852">
        <v>-1.2008559999999999E-3</v>
      </c>
      <c r="X1852">
        <v>0.99943550000000003</v>
      </c>
      <c r="Y1852">
        <v>-9.4586740000000002E-2</v>
      </c>
      <c r="Z1852">
        <v>-8.6541099999999996E-4</v>
      </c>
      <c r="AA1852">
        <v>0.99551619999999996</v>
      </c>
      <c r="AB1852">
        <v>32</v>
      </c>
      <c r="AC1852">
        <v>-12.246600000000001</v>
      </c>
      <c r="AD1852">
        <v>-1.10987904296287</v>
      </c>
      <c r="AE1852">
        <v>-1.649</v>
      </c>
      <c r="AF1852">
        <v>-1.17814180478209</v>
      </c>
      <c r="AG1852">
        <v>-1.10987904296287</v>
      </c>
      <c r="AH1852">
        <v>12.2014845772278</v>
      </c>
      <c r="AI1852">
        <v>95.173541107527896</v>
      </c>
      <c r="AJ1852">
        <v>95.515225313041498</v>
      </c>
      <c r="AK1852">
        <v>12.308374201758401</v>
      </c>
      <c r="AL1852">
        <v>90.068804001815707</v>
      </c>
      <c r="AM1852">
        <v>91.923917579009895</v>
      </c>
      <c r="AN1852">
        <v>0.99999993203567294</v>
      </c>
    </row>
    <row r="1853" spans="1:40" x14ac:dyDescent="0.3">
      <c r="A1853" t="str">
        <f>"20200111160442030"</f>
        <v>20200111160442030</v>
      </c>
      <c r="B1853" t="str">
        <f>"1578729882022372"</f>
        <v>1578729882022372</v>
      </c>
      <c r="C1853" t="s">
        <v>40</v>
      </c>
      <c r="D1853">
        <v>5.7938700000000001</v>
      </c>
      <c r="E1853">
        <v>0.47792950000000001</v>
      </c>
      <c r="F1853" t="s">
        <v>57</v>
      </c>
      <c r="G1853">
        <v>-342.9545</v>
      </c>
      <c r="H1853" s="1">
        <v>3.5429220000000003E-8</v>
      </c>
      <c r="I1853">
        <v>284.39859999999999</v>
      </c>
      <c r="J1853">
        <v>-330.79649999999998</v>
      </c>
      <c r="K1853">
        <v>1.1098889999999999</v>
      </c>
      <c r="L1853">
        <v>286.0498</v>
      </c>
      <c r="M1853">
        <v>-0.99925469999999905</v>
      </c>
      <c r="N1853">
        <v>0</v>
      </c>
      <c r="O1853">
        <v>-3.8101309999999999E-2</v>
      </c>
      <c r="P1853">
        <v>-0.99738859999999996</v>
      </c>
      <c r="Q1853">
        <v>-7.3145650000000003E-3</v>
      </c>
      <c r="R1853">
        <v>-7.1851129999999999E-2</v>
      </c>
      <c r="S1853">
        <v>-2.9773559999999999</v>
      </c>
      <c r="T1853">
        <v>-0.26662370000000002</v>
      </c>
      <c r="U1853">
        <v>-0.3989258</v>
      </c>
      <c r="V1853">
        <v>-3.3794919999999999E-2</v>
      </c>
      <c r="W1853">
        <v>-1.1611659999999999E-3</v>
      </c>
      <c r="X1853">
        <v>0.99942810000000004</v>
      </c>
      <c r="Y1853">
        <v>-9.4716529999999993E-2</v>
      </c>
      <c r="Z1853">
        <v>-8.2634989999999997E-4</v>
      </c>
      <c r="AA1853">
        <v>0.99550400000000006</v>
      </c>
      <c r="AB1853">
        <v>32</v>
      </c>
      <c r="AC1853">
        <v>-12.157999999999999</v>
      </c>
      <c r="AD1853">
        <v>-1.1098889645707799</v>
      </c>
      <c r="AE1853">
        <v>-1.65120000000001</v>
      </c>
      <c r="AF1853">
        <v>-1.1771243114715799</v>
      </c>
      <c r="AG1853">
        <v>-1.1098889645707799</v>
      </c>
      <c r="AH1853">
        <v>12.112968665610399</v>
      </c>
      <c r="AI1853">
        <v>95.210876714886595</v>
      </c>
      <c r="AJ1853">
        <v>95.5505089957027</v>
      </c>
      <c r="AK1853">
        <v>12.220535383214299</v>
      </c>
      <c r="AL1853">
        <v>90.066529926996097</v>
      </c>
      <c r="AM1853">
        <v>91.936676382591898</v>
      </c>
      <c r="AN1853">
        <v>0.99999998599694795</v>
      </c>
    </row>
    <row r="1854" spans="1:40" x14ac:dyDescent="0.3">
      <c r="A1854" t="str">
        <f>"20200111160442040"</f>
        <v>20200111160442040</v>
      </c>
      <c r="B1854" t="str">
        <f>"1578729882033108"</f>
        <v>1578729882033108</v>
      </c>
      <c r="C1854" t="s">
        <v>40</v>
      </c>
      <c r="D1854">
        <v>5.8313230000000003</v>
      </c>
      <c r="E1854">
        <v>0.47780040000000001</v>
      </c>
      <c r="F1854" t="s">
        <v>57</v>
      </c>
      <c r="G1854">
        <v>-343.05130000000003</v>
      </c>
      <c r="H1854" s="1">
        <v>8.6974470000000006E-8</v>
      </c>
      <c r="I1854">
        <v>284.3997</v>
      </c>
      <c r="J1854">
        <v>-330.95909999999998</v>
      </c>
      <c r="K1854">
        <v>1.1098980000000001</v>
      </c>
      <c r="L1854">
        <v>286.04329999999999</v>
      </c>
      <c r="M1854">
        <v>-0.99924049999999998</v>
      </c>
      <c r="N1854">
        <v>0</v>
      </c>
      <c r="O1854">
        <v>-3.8463219999999999E-2</v>
      </c>
      <c r="P1854">
        <v>-0.9973438</v>
      </c>
      <c r="Q1854">
        <v>-7.4357069999999997E-3</v>
      </c>
      <c r="R1854">
        <v>-7.2458869999999995E-2</v>
      </c>
      <c r="S1854">
        <v>-2.9769899999999998</v>
      </c>
      <c r="T1854">
        <v>-0.26961869999999999</v>
      </c>
      <c r="U1854">
        <v>-0.40084839999999999</v>
      </c>
      <c r="V1854">
        <v>-3.4041780000000001E-2</v>
      </c>
      <c r="W1854">
        <v>-1.223926E-3</v>
      </c>
      <c r="X1854">
        <v>0.99941970000000002</v>
      </c>
      <c r="Y1854">
        <v>-9.4998899999999997E-2</v>
      </c>
      <c r="Z1854">
        <v>-8.1586979999999896E-4</v>
      </c>
      <c r="AA1854">
        <v>0.99547699999999995</v>
      </c>
      <c r="AB1854">
        <v>32</v>
      </c>
      <c r="AC1854">
        <v>-12.0922</v>
      </c>
      <c r="AD1854">
        <v>-1.10989791302553</v>
      </c>
      <c r="AE1854">
        <v>-1.64359999999999</v>
      </c>
      <c r="AF1854">
        <v>-1.1676113357703399</v>
      </c>
      <c r="AG1854">
        <v>-1.10989791302553</v>
      </c>
      <c r="AH1854">
        <v>12.0468209455349</v>
      </c>
      <c r="AI1854">
        <v>95.239500522302706</v>
      </c>
      <c r="AJ1854">
        <v>95.535974227405703</v>
      </c>
      <c r="AK1854">
        <v>12.154056298312</v>
      </c>
      <c r="AL1854">
        <v>90.070125809025896</v>
      </c>
      <c r="AM1854">
        <v>91.950828614655194</v>
      </c>
      <c r="AN1854">
        <v>1.00000003876425</v>
      </c>
    </row>
    <row r="1855" spans="1:40" x14ac:dyDescent="0.3">
      <c r="A1855" t="str">
        <f>"20200111160442054"</f>
        <v>20200111160442054</v>
      </c>
      <c r="B1855" t="str">
        <f>"1578729882042869"</f>
        <v>1578729882042869</v>
      </c>
      <c r="C1855" t="s">
        <v>40</v>
      </c>
      <c r="D1855">
        <v>6.3696010000000003</v>
      </c>
      <c r="E1855">
        <v>0.47780040000000001</v>
      </c>
      <c r="F1855" t="s">
        <v>57</v>
      </c>
      <c r="G1855">
        <v>-343.21199999999999</v>
      </c>
      <c r="H1855" s="1">
        <v>1.72488299999999E-7</v>
      </c>
      <c r="I1855">
        <v>284.38159999999999</v>
      </c>
      <c r="J1855">
        <v>-331.13889999999998</v>
      </c>
      <c r="K1855">
        <v>1.109904</v>
      </c>
      <c r="L1855">
        <v>286.036</v>
      </c>
      <c r="M1855">
        <v>-0.99922460000000002</v>
      </c>
      <c r="N1855">
        <v>0</v>
      </c>
      <c r="O1855">
        <v>-3.8863170000000002E-2</v>
      </c>
      <c r="P1855">
        <v>-0.99731890000000001</v>
      </c>
      <c r="Q1855">
        <v>-7.5176389999999996E-3</v>
      </c>
      <c r="R1855">
        <v>-7.2791380000000003E-2</v>
      </c>
      <c r="S1855">
        <v>-2.9766539999999999</v>
      </c>
      <c r="T1855">
        <v>-0.26963229999999999</v>
      </c>
      <c r="U1855">
        <v>-0.4036865</v>
      </c>
      <c r="V1855">
        <v>-3.3975060000000001E-2</v>
      </c>
      <c r="W1855">
        <v>-1.244471E-3</v>
      </c>
      <c r="X1855">
        <v>0.99942189999999997</v>
      </c>
      <c r="Y1855">
        <v>-9.5546779999999998E-2</v>
      </c>
      <c r="Z1855">
        <v>-8.0469059999999895E-4</v>
      </c>
      <c r="AA1855">
        <v>0.99542459999999999</v>
      </c>
      <c r="AB1855">
        <v>32</v>
      </c>
      <c r="AC1855">
        <v>-12.0731</v>
      </c>
      <c r="AD1855">
        <v>-1.1099038275116999</v>
      </c>
      <c r="AE1855">
        <v>-1.6544000000000001</v>
      </c>
      <c r="AF1855">
        <v>-1.1742009994104501</v>
      </c>
      <c r="AG1855">
        <v>-1.1099038275116999</v>
      </c>
      <c r="AH1855">
        <v>12.0284905316582</v>
      </c>
      <c r="AI1855">
        <v>95.247118631462101</v>
      </c>
      <c r="AJ1855">
        <v>95.575452218274194</v>
      </c>
      <c r="AK1855">
        <v>12.1365241714229</v>
      </c>
      <c r="AL1855">
        <v>90.071302954872706</v>
      </c>
      <c r="AM1855">
        <v>91.947003761906501</v>
      </c>
      <c r="AN1855">
        <v>0.99999999380484095</v>
      </c>
    </row>
    <row r="1856" spans="1:40" x14ac:dyDescent="0.3">
      <c r="A1856" t="str">
        <f>"20200111160442067"</f>
        <v>20200111160442067</v>
      </c>
      <c r="B1856" t="str">
        <f>"1578729882062388"</f>
        <v>1578729882062388</v>
      </c>
      <c r="C1856" t="s">
        <v>40</v>
      </c>
      <c r="D1856">
        <v>5.7067839999999999</v>
      </c>
      <c r="E1856">
        <v>0.47769050000000002</v>
      </c>
      <c r="F1856" t="s">
        <v>57</v>
      </c>
      <c r="G1856">
        <v>-343.37900000000002</v>
      </c>
      <c r="H1856" s="1">
        <v>2.6134500000000002E-7</v>
      </c>
      <c r="I1856">
        <v>284.37139999999999</v>
      </c>
      <c r="J1856">
        <v>-331.31720000000001</v>
      </c>
      <c r="K1856">
        <v>1.10991</v>
      </c>
      <c r="L1856">
        <v>286.02870000000001</v>
      </c>
      <c r="M1856">
        <v>-0.99920869999999995</v>
      </c>
      <c r="N1856">
        <v>0</v>
      </c>
      <c r="O1856">
        <v>-3.9259660000000002E-2</v>
      </c>
      <c r="P1856">
        <v>-0.99730529999999995</v>
      </c>
      <c r="Q1856">
        <v>-7.6130659999999999E-3</v>
      </c>
      <c r="R1856">
        <v>-7.2968480000000002E-2</v>
      </c>
      <c r="S1856">
        <v>-2.9764710000000001</v>
      </c>
      <c r="T1856">
        <v>-0.26989980000000002</v>
      </c>
      <c r="U1856">
        <v>-0.40478520000000001</v>
      </c>
      <c r="V1856">
        <v>-3.375537E-2</v>
      </c>
      <c r="W1856">
        <v>-1.279987E-3</v>
      </c>
      <c r="X1856">
        <v>0.99942929999999996</v>
      </c>
      <c r="Y1856">
        <v>-9.5521919999999996E-2</v>
      </c>
      <c r="Z1856">
        <v>-7.6875139999999995E-4</v>
      </c>
      <c r="AA1856">
        <v>0.99542699999999995</v>
      </c>
      <c r="AB1856">
        <v>32</v>
      </c>
      <c r="AC1856">
        <v>-12.0618</v>
      </c>
      <c r="AD1856">
        <v>-1.1099097386550001</v>
      </c>
      <c r="AE1856">
        <v>-1.65730000000002</v>
      </c>
      <c r="AF1856">
        <v>-1.1727244904696601</v>
      </c>
      <c r="AG1856">
        <v>-1.1099097386550001</v>
      </c>
      <c r="AH1856">
        <v>12.0176934941727</v>
      </c>
      <c r="AI1856">
        <v>95.251852008515598</v>
      </c>
      <c r="AJ1856">
        <v>95.573456810606899</v>
      </c>
      <c r="AK1856">
        <v>12.1256809820475</v>
      </c>
      <c r="AL1856">
        <v>90.073337873358099</v>
      </c>
      <c r="AM1856">
        <v>91.934409303467206</v>
      </c>
      <c r="AN1856">
        <v>0.99999999453452304</v>
      </c>
    </row>
    <row r="1857" spans="1:40" x14ac:dyDescent="0.3">
      <c r="A1857" t="str">
        <f>"20200111160442079"</f>
        <v>20200111160442079</v>
      </c>
      <c r="B1857" t="str">
        <f>"1578729882073125"</f>
        <v>1578729882073125</v>
      </c>
      <c r="C1857" t="s">
        <v>40</v>
      </c>
      <c r="D1857">
        <v>5.7651669999999999</v>
      </c>
      <c r="E1857">
        <v>0.47768119999999997</v>
      </c>
      <c r="F1857" t="s">
        <v>57</v>
      </c>
      <c r="G1857">
        <v>-343.53039999999999</v>
      </c>
      <c r="H1857" s="1">
        <v>3.4191200000000002E-7</v>
      </c>
      <c r="I1857">
        <v>284.3621</v>
      </c>
      <c r="J1857">
        <v>-331.51010000000002</v>
      </c>
      <c r="K1857">
        <v>1.10992</v>
      </c>
      <c r="L1857">
        <v>286.02080000000001</v>
      </c>
      <c r="M1857">
        <v>-0.99919139999999995</v>
      </c>
      <c r="N1857">
        <v>0</v>
      </c>
      <c r="O1857">
        <v>-3.9688109999999999E-2</v>
      </c>
      <c r="P1857">
        <v>-0.9972799</v>
      </c>
      <c r="Q1857">
        <v>-7.8127319999999993E-3</v>
      </c>
      <c r="R1857">
        <v>-7.3294010000000007E-2</v>
      </c>
      <c r="S1857">
        <v>-2.9762879999999998</v>
      </c>
      <c r="T1857">
        <v>-0.27047929999999998</v>
      </c>
      <c r="U1857">
        <v>-0.40615839999999998</v>
      </c>
      <c r="V1857">
        <v>-3.3653379999999997E-2</v>
      </c>
      <c r="W1857">
        <v>-1.4168659999999999E-3</v>
      </c>
      <c r="X1857">
        <v>0.9994326</v>
      </c>
      <c r="Y1857">
        <v>-9.5554810000000004E-2</v>
      </c>
      <c r="Z1857">
        <v>-7.3330409999999998E-4</v>
      </c>
      <c r="AA1857">
        <v>0.99542390000000003</v>
      </c>
      <c r="AB1857">
        <v>32</v>
      </c>
      <c r="AC1857">
        <v>-12.020299999999899</v>
      </c>
      <c r="AD1857">
        <v>-1.109919658088</v>
      </c>
      <c r="AE1857">
        <v>-1.6587000000000101</v>
      </c>
      <c r="AF1857">
        <v>-1.17052663152396</v>
      </c>
      <c r="AG1857">
        <v>-1.109919658088</v>
      </c>
      <c r="AH1857">
        <v>11.9764561667035</v>
      </c>
      <c r="AI1857">
        <v>95.269803079790407</v>
      </c>
      <c r="AJ1857">
        <v>95.582110923530195</v>
      </c>
      <c r="AK1857">
        <v>12.084599974988301</v>
      </c>
      <c r="AL1857">
        <v>90.081180465872905</v>
      </c>
      <c r="AM1857">
        <v>91.928562649054498</v>
      </c>
      <c r="AN1857">
        <v>1.0000000397187201</v>
      </c>
    </row>
    <row r="1858" spans="1:40" x14ac:dyDescent="0.3">
      <c r="A1858" t="str">
        <f>"20200111160442091"</f>
        <v>20200111160442091</v>
      </c>
      <c r="B1858" t="str">
        <f>"1578729882082884"</f>
        <v>1578729882082884</v>
      </c>
      <c r="C1858" t="s">
        <v>40</v>
      </c>
      <c r="D1858">
        <v>5.6734289999999996</v>
      </c>
      <c r="E1858">
        <v>0.47762460000000001</v>
      </c>
      <c r="F1858" t="s">
        <v>57</v>
      </c>
      <c r="G1858">
        <v>-343.64389999999997</v>
      </c>
      <c r="H1858" s="1">
        <v>4.0230460000000001E-7</v>
      </c>
      <c r="I1858">
        <v>284.3614</v>
      </c>
      <c r="J1858">
        <v>-331.67790000000002</v>
      </c>
      <c r="K1858">
        <v>1.109928</v>
      </c>
      <c r="L1858">
        <v>286.0138</v>
      </c>
      <c r="M1858">
        <v>-0.99917610000000001</v>
      </c>
      <c r="N1858">
        <v>0</v>
      </c>
      <c r="O1858">
        <v>-4.0060619999999998E-2</v>
      </c>
      <c r="P1858">
        <v>-0.99726340000000002</v>
      </c>
      <c r="Q1858">
        <v>-7.9958230000000009E-3</v>
      </c>
      <c r="R1858">
        <v>-7.3498399999999894E-2</v>
      </c>
      <c r="S1858">
        <v>-2.9761350000000002</v>
      </c>
      <c r="T1858">
        <v>-0.2722367</v>
      </c>
      <c r="U1858">
        <v>-0.40701290000000001</v>
      </c>
      <c r="V1858">
        <v>-3.3485130000000002E-2</v>
      </c>
      <c r="W1858">
        <v>-1.546852E-3</v>
      </c>
      <c r="X1858">
        <v>0.99943800000000005</v>
      </c>
      <c r="Y1858">
        <v>-9.5470020000000003E-2</v>
      </c>
      <c r="Z1858">
        <v>-7.0044170000000002E-4</v>
      </c>
      <c r="AA1858">
        <v>0.99543210000000004</v>
      </c>
      <c r="AB1858">
        <v>32</v>
      </c>
      <c r="AC1858">
        <v>-11.9659999999999</v>
      </c>
      <c r="AD1858">
        <v>-1.1099275976953999</v>
      </c>
      <c r="AE1858">
        <v>-1.6524000000000001</v>
      </c>
      <c r="AF1858">
        <v>-1.16188835512321</v>
      </c>
      <c r="AG1858">
        <v>-1.1099275976953999</v>
      </c>
      <c r="AH1858">
        <v>11.921936680372299</v>
      </c>
      <c r="AI1858">
        <v>95.293944420225699</v>
      </c>
      <c r="AJ1858">
        <v>95.566354496987799</v>
      </c>
      <c r="AK1858">
        <v>12.029733913628499</v>
      </c>
      <c r="AL1858">
        <v>90.088628128136193</v>
      </c>
      <c r="AM1858">
        <v>91.918917670570593</v>
      </c>
      <c r="AN1858">
        <v>0.99999998126311296</v>
      </c>
    </row>
    <row r="1859" spans="1:40" x14ac:dyDescent="0.3">
      <c r="A1859" t="str">
        <f>"20200111160442109"</f>
        <v>20200111160442109</v>
      </c>
      <c r="B1859" t="str">
        <f>"1578729882102404"</f>
        <v>1578729882102404</v>
      </c>
      <c r="C1859" t="s">
        <v>40</v>
      </c>
      <c r="D1859">
        <v>6.0600809999999896</v>
      </c>
      <c r="E1859">
        <v>0.45576620000000001</v>
      </c>
      <c r="F1859" t="s">
        <v>57</v>
      </c>
      <c r="G1859">
        <v>-343.79329999999999</v>
      </c>
      <c r="H1859" s="1">
        <v>4.8183089999999995E-7</v>
      </c>
      <c r="I1859">
        <v>284.35219999999998</v>
      </c>
      <c r="J1859">
        <v>-331.9246</v>
      </c>
      <c r="K1859">
        <v>1.109936</v>
      </c>
      <c r="L1859">
        <v>286.0034</v>
      </c>
      <c r="M1859">
        <v>-0.99915339999999997</v>
      </c>
      <c r="N1859">
        <v>0</v>
      </c>
      <c r="O1859">
        <v>-4.0608459999999999E-2</v>
      </c>
      <c r="P1859">
        <v>-0.9972453</v>
      </c>
      <c r="Q1859">
        <v>-7.675126E-3</v>
      </c>
      <c r="R1859">
        <v>-7.3774699999999999E-2</v>
      </c>
      <c r="S1859">
        <v>-2.9759519999999999</v>
      </c>
      <c r="T1859">
        <v>-0.27263419999999999</v>
      </c>
      <c r="U1859">
        <v>-0.40814210000000001</v>
      </c>
      <c r="V1859">
        <v>-3.3214929999999997E-2</v>
      </c>
      <c r="W1859">
        <v>-1.1506730000000001E-3</v>
      </c>
      <c r="X1859">
        <v>0.99944759999999999</v>
      </c>
      <c r="Y1859">
        <v>-9.5305420000000002E-2</v>
      </c>
      <c r="Z1859">
        <v>-6.4424679999999996E-4</v>
      </c>
      <c r="AA1859">
        <v>0.99544790000000005</v>
      </c>
      <c r="AB1859">
        <v>32</v>
      </c>
      <c r="AC1859">
        <v>-11.868699999999899</v>
      </c>
      <c r="AD1859">
        <v>-1.1099355181691</v>
      </c>
      <c r="AE1859">
        <v>-1.65120000000001</v>
      </c>
      <c r="AF1859">
        <v>-1.15792338490438</v>
      </c>
      <c r="AG1859">
        <v>-1.1099355181691</v>
      </c>
      <c r="AH1859">
        <v>11.8245148241483</v>
      </c>
      <c r="AI1859">
        <v>95.337107956212904</v>
      </c>
      <c r="AJ1859">
        <v>95.592894784274705</v>
      </c>
      <c r="AK1859">
        <v>11.932807475456199</v>
      </c>
      <c r="AL1859">
        <v>90.065928719045203</v>
      </c>
      <c r="AM1859">
        <v>91.903426604507302</v>
      </c>
      <c r="AN1859">
        <v>1.0000000303845</v>
      </c>
    </row>
    <row r="1860" spans="1:40" x14ac:dyDescent="0.3">
      <c r="A1860" t="str">
        <f>"20200111160442124"</f>
        <v>20200111160442124</v>
      </c>
      <c r="B1860" t="str">
        <f>"1578729882113140"</f>
        <v>1578729882113140</v>
      </c>
      <c r="C1860" t="s">
        <v>40</v>
      </c>
      <c r="D1860">
        <v>5.6091959999999998</v>
      </c>
      <c r="E1860">
        <v>0.45576620000000001</v>
      </c>
      <c r="F1860" t="s">
        <v>57</v>
      </c>
      <c r="G1860">
        <v>-365.2355</v>
      </c>
      <c r="H1860">
        <v>8.0001390000000006E-2</v>
      </c>
      <c r="I1860">
        <v>279.53129999999999</v>
      </c>
      <c r="J1860">
        <v>-332.13979999999998</v>
      </c>
      <c r="K1860">
        <v>1.1099429999999999</v>
      </c>
      <c r="L1860">
        <v>285.99419999999998</v>
      </c>
      <c r="M1860">
        <v>-0.99913370000000001</v>
      </c>
      <c r="N1860">
        <v>0</v>
      </c>
      <c r="O1860">
        <v>-4.1085789999999997E-2</v>
      </c>
      <c r="P1860">
        <v>-0.99721070000000001</v>
      </c>
      <c r="Q1860">
        <v>-7.5381160000000001E-3</v>
      </c>
      <c r="R1860">
        <v>-7.4258569999999996E-2</v>
      </c>
      <c r="S1860">
        <v>-2.9649960000000002</v>
      </c>
      <c r="T1860">
        <v>-9.167409E-2</v>
      </c>
      <c r="U1860">
        <v>-0.57608029999999999</v>
      </c>
      <c r="V1860">
        <v>-3.3222099999999997E-2</v>
      </c>
      <c r="W1860">
        <v>-9.5152539999999997E-4</v>
      </c>
      <c r="X1860">
        <v>0.99944750000000004</v>
      </c>
      <c r="Y1860">
        <v>-0.1501835</v>
      </c>
      <c r="Z1860">
        <v>-1.0429199999999999E-3</v>
      </c>
      <c r="AA1860">
        <v>0.98865760000000003</v>
      </c>
      <c r="AB1860">
        <v>32</v>
      </c>
      <c r="AC1860">
        <v>-33.095700000000001</v>
      </c>
      <c r="AD1860">
        <v>-1.0299416100000001</v>
      </c>
      <c r="AE1860">
        <v>-6.4628999999999897</v>
      </c>
      <c r="AF1860">
        <v>-5.0928987731591198</v>
      </c>
      <c r="AG1860">
        <v>-1.0299416100000001</v>
      </c>
      <c r="AH1860">
        <v>33.302225490472402</v>
      </c>
      <c r="AI1860">
        <v>91.751082797506996</v>
      </c>
      <c r="AJ1860">
        <v>98.694859376478405</v>
      </c>
      <c r="AK1860">
        <v>33.705142341368699</v>
      </c>
      <c r="AL1860">
        <v>90.054518399965602</v>
      </c>
      <c r="AM1860">
        <v>91.903837379084294</v>
      </c>
      <c r="AN1860">
        <v>0.99999995929262198</v>
      </c>
    </row>
    <row r="1861" spans="1:40" x14ac:dyDescent="0.3">
      <c r="A1861" t="str">
        <f>"20200111160442142"</f>
        <v>20200111160442142</v>
      </c>
      <c r="B1861" t="str">
        <f>"1578729882132660"</f>
        <v>1578729882132660</v>
      </c>
      <c r="C1861" t="s">
        <v>40</v>
      </c>
      <c r="D1861">
        <v>5.6810429999999998</v>
      </c>
      <c r="E1861">
        <v>0.48378569999999999</v>
      </c>
      <c r="F1861" t="s">
        <v>57</v>
      </c>
      <c r="G1861">
        <v>-365.57889999999998</v>
      </c>
      <c r="H1861">
        <v>8.0001290000000003E-2</v>
      </c>
      <c r="I1861">
        <v>279.48099999999999</v>
      </c>
      <c r="J1861">
        <v>-332.40530000000001</v>
      </c>
      <c r="K1861">
        <v>1.109955</v>
      </c>
      <c r="L1861">
        <v>285.98270000000002</v>
      </c>
      <c r="M1861">
        <v>-0.99910869999999996</v>
      </c>
      <c r="N1861">
        <v>0</v>
      </c>
      <c r="O1861">
        <v>-4.1675339999999998E-2</v>
      </c>
      <c r="P1861">
        <v>-0.99717679999999997</v>
      </c>
      <c r="Q1861">
        <v>-7.4322110000000002E-3</v>
      </c>
      <c r="R1861">
        <v>-7.4721380000000004E-2</v>
      </c>
      <c r="S1861">
        <v>-2.964661</v>
      </c>
      <c r="T1861">
        <v>-9.1313119999999998E-2</v>
      </c>
      <c r="U1861">
        <v>-0.57745360000000001</v>
      </c>
      <c r="V1861">
        <v>-3.3096760000000003E-2</v>
      </c>
      <c r="W1861">
        <v>-7.7479939999999998E-4</v>
      </c>
      <c r="X1861">
        <v>0.99945189999999995</v>
      </c>
      <c r="Y1861">
        <v>-0.150063</v>
      </c>
      <c r="Z1861">
        <v>-1.0191130000000001E-3</v>
      </c>
      <c r="AA1861">
        <v>0.98867590000000005</v>
      </c>
      <c r="AB1861">
        <v>32</v>
      </c>
      <c r="AC1861">
        <v>-33.173599999999901</v>
      </c>
      <c r="AD1861">
        <v>-1.02995371</v>
      </c>
      <c r="AE1861">
        <v>-6.50170000000002</v>
      </c>
      <c r="AF1861">
        <v>-5.1087565858333503</v>
      </c>
      <c r="AG1861">
        <v>-1.02995371</v>
      </c>
      <c r="AH1861">
        <v>33.384753814220304</v>
      </c>
      <c r="AI1861">
        <v>91.746751951261899</v>
      </c>
      <c r="AJ1861">
        <v>98.700287397880402</v>
      </c>
      <c r="AK1861">
        <v>33.789080865482802</v>
      </c>
      <c r="AL1861">
        <v>90.044392737894398</v>
      </c>
      <c r="AM1861">
        <v>91.896651513118499</v>
      </c>
      <c r="AN1861">
        <v>1.0000000481250999</v>
      </c>
    </row>
    <row r="1862" spans="1:40" x14ac:dyDescent="0.3">
      <c r="A1862" t="str">
        <f>"20200111160442155"</f>
        <v>20200111160442155</v>
      </c>
      <c r="B1862" t="str">
        <f>"1578729882153156"</f>
        <v>1578729882153156</v>
      </c>
      <c r="C1862" t="s">
        <v>40</v>
      </c>
      <c r="D1862">
        <v>5.7271419999999997</v>
      </c>
      <c r="E1862">
        <v>0.48502210000000001</v>
      </c>
      <c r="F1862" t="s">
        <v>57</v>
      </c>
      <c r="G1862">
        <v>-381.73899999999998</v>
      </c>
      <c r="H1862" s="1">
        <v>-6.1136469999999899E-7</v>
      </c>
      <c r="I1862">
        <v>280.1123</v>
      </c>
      <c r="J1862">
        <v>-332.57909999999998</v>
      </c>
      <c r="K1862">
        <v>1.109958</v>
      </c>
      <c r="L1862">
        <v>285.9751</v>
      </c>
      <c r="M1862">
        <v>-0.99909230000000004</v>
      </c>
      <c r="N1862">
        <v>0</v>
      </c>
      <c r="O1862">
        <v>-4.2060809999999997E-2</v>
      </c>
      <c r="P1862">
        <v>-0.99715350000000003</v>
      </c>
      <c r="Q1862">
        <v>-7.3129340000000001E-3</v>
      </c>
      <c r="R1862">
        <v>-7.5043109999999996E-2</v>
      </c>
      <c r="S1862">
        <v>-2.9814150000000001</v>
      </c>
      <c r="T1862">
        <v>-6.7078589999999993E-2</v>
      </c>
      <c r="U1862">
        <v>-0.35476679999999999</v>
      </c>
      <c r="V1862">
        <v>-3.3033859999999998E-2</v>
      </c>
      <c r="W1862">
        <v>-6.1282440000000001E-4</v>
      </c>
      <c r="X1862">
        <v>0.99945399999999995</v>
      </c>
      <c r="Y1862">
        <v>-7.6278990000000005E-2</v>
      </c>
      <c r="Z1862" s="1">
        <v>8.7129769999999904E-5</v>
      </c>
      <c r="AA1862">
        <v>0.99708649999999999</v>
      </c>
      <c r="AB1862">
        <v>32</v>
      </c>
      <c r="AC1862">
        <v>-49.1599</v>
      </c>
      <c r="AD1862">
        <v>-1.1099586113647</v>
      </c>
      <c r="AE1862">
        <v>-5.8627999999999902</v>
      </c>
      <c r="AF1862">
        <v>-3.7879552928325602</v>
      </c>
      <c r="AG1862">
        <v>-1.1099586113647</v>
      </c>
      <c r="AH1862">
        <v>49.338194401922102</v>
      </c>
      <c r="AI1862">
        <v>91.284982276979605</v>
      </c>
      <c r="AJ1862">
        <v>94.390288783134196</v>
      </c>
      <c r="AK1862">
        <v>49.495838615597698</v>
      </c>
      <c r="AL1862">
        <v>90.035112255487803</v>
      </c>
      <c r="AM1862">
        <v>91.893045599896098</v>
      </c>
      <c r="AN1862">
        <v>0.99999995478812098</v>
      </c>
    </row>
    <row r="1863" spans="1:40" x14ac:dyDescent="0.3">
      <c r="A1863" t="str">
        <f>"20200111160442168"</f>
        <v>20200111160442168</v>
      </c>
      <c r="B1863" t="str">
        <f>"1578729882162916"</f>
        <v>1578729882162916</v>
      </c>
      <c r="C1863" t="s">
        <v>40</v>
      </c>
      <c r="D1863">
        <v>5.5387380000000004</v>
      </c>
      <c r="E1863">
        <v>0.48513689999999998</v>
      </c>
      <c r="F1863" t="s">
        <v>57</v>
      </c>
      <c r="G1863">
        <v>-380.02080000000001</v>
      </c>
      <c r="H1863" s="1">
        <v>-1.525742E-6</v>
      </c>
      <c r="I1863">
        <v>280.47089999999997</v>
      </c>
      <c r="J1863">
        <v>-332.76679999999999</v>
      </c>
      <c r="K1863">
        <v>1.109958</v>
      </c>
      <c r="L1863">
        <v>285.96679999999998</v>
      </c>
      <c r="M1863">
        <v>-0.99907429999999997</v>
      </c>
      <c r="N1863">
        <v>0</v>
      </c>
      <c r="O1863">
        <v>-4.247716E-2</v>
      </c>
      <c r="P1863">
        <v>-0.99712429999999996</v>
      </c>
      <c r="Q1863">
        <v>-7.1217969999999896E-3</v>
      </c>
      <c r="R1863">
        <v>-7.5447559999999997E-2</v>
      </c>
      <c r="S1863">
        <v>-2.9820250000000001</v>
      </c>
      <c r="T1863">
        <v>-6.976831E-2</v>
      </c>
      <c r="U1863">
        <v>-0.3459778</v>
      </c>
      <c r="V1863">
        <v>-3.3022900000000001E-2</v>
      </c>
      <c r="W1863">
        <v>-3.7649649999999999E-4</v>
      </c>
      <c r="X1863">
        <v>0.99945450000000002</v>
      </c>
      <c r="Y1863">
        <v>-7.2940679999999994E-2</v>
      </c>
      <c r="Z1863">
        <v>1.3924059999999999E-4</v>
      </c>
      <c r="AA1863">
        <v>0.99733629999999995</v>
      </c>
      <c r="AB1863">
        <v>32</v>
      </c>
      <c r="AC1863">
        <v>-47.253999999999998</v>
      </c>
      <c r="AD1863">
        <v>-1.1099595257420001</v>
      </c>
      <c r="AE1863">
        <v>-5.4958999999999998</v>
      </c>
      <c r="AF1863">
        <v>-3.4817818488316701</v>
      </c>
      <c r="AG1863">
        <v>-1.1099595257420001</v>
      </c>
      <c r="AH1863">
        <v>47.418990059401601</v>
      </c>
      <c r="AI1863">
        <v>91.337306717058695</v>
      </c>
      <c r="AJ1863">
        <v>94.199457854278407</v>
      </c>
      <c r="AK1863">
        <v>47.559598749834599</v>
      </c>
      <c r="AL1863">
        <v>90.021571661486902</v>
      </c>
      <c r="AM1863">
        <v>91.892417034462994</v>
      </c>
      <c r="AN1863">
        <v>0.99999997562213605</v>
      </c>
    </row>
    <row r="1864" spans="1:40" x14ac:dyDescent="0.3">
      <c r="A1864" t="str">
        <f>"20200111160442180"</f>
        <v>20200111160442180</v>
      </c>
      <c r="B1864" t="str">
        <f>"1578729882172676"</f>
        <v>1578729882172676</v>
      </c>
      <c r="C1864" t="s">
        <v>40</v>
      </c>
      <c r="D1864">
        <v>5.482132</v>
      </c>
      <c r="E1864">
        <v>0.48513689999999998</v>
      </c>
      <c r="F1864" t="s">
        <v>57</v>
      </c>
      <c r="G1864">
        <v>-376.10410000000002</v>
      </c>
      <c r="H1864" s="1">
        <v>1.7115080000000001E-6</v>
      </c>
      <c r="I1864">
        <v>280.92790000000002</v>
      </c>
      <c r="J1864">
        <v>-332.95940000000002</v>
      </c>
      <c r="K1864">
        <v>1.1099650000000001</v>
      </c>
      <c r="L1864">
        <v>285.95830000000001</v>
      </c>
      <c r="M1864">
        <v>-0.99905569999999999</v>
      </c>
      <c r="N1864">
        <v>0</v>
      </c>
      <c r="O1864">
        <v>-4.2904480000000002E-2</v>
      </c>
      <c r="P1864">
        <v>-0.99709700000000001</v>
      </c>
      <c r="Q1864">
        <v>-7.3284780000000002E-3</v>
      </c>
      <c r="R1864">
        <v>-7.5789999999999996E-2</v>
      </c>
      <c r="S1864">
        <v>-2.9818730000000002</v>
      </c>
      <c r="T1864">
        <v>-7.6371910000000001E-2</v>
      </c>
      <c r="U1864">
        <v>-0.34671020000000002</v>
      </c>
      <c r="V1864">
        <v>-3.2938540000000002E-2</v>
      </c>
      <c r="W1864">
        <v>-5.3768079999999996E-4</v>
      </c>
      <c r="X1864">
        <v>0.99945720000000005</v>
      </c>
      <c r="Y1864">
        <v>-7.2760190000000002E-2</v>
      </c>
      <c r="Z1864">
        <v>1.6560880000000001E-4</v>
      </c>
      <c r="AA1864">
        <v>0.99734940000000005</v>
      </c>
      <c r="AB1864">
        <v>32</v>
      </c>
      <c r="AC1864">
        <v>-43.1447</v>
      </c>
      <c r="AD1864">
        <v>-1.1099632884920001</v>
      </c>
      <c r="AE1864">
        <v>-5.0303999999999798</v>
      </c>
      <c r="AF1864">
        <v>-3.1725517377916401</v>
      </c>
      <c r="AG1864">
        <v>-1.1099632884920001</v>
      </c>
      <c r="AH1864">
        <v>43.292532289751797</v>
      </c>
      <c r="AI1864">
        <v>91.464740284969395</v>
      </c>
      <c r="AJ1864">
        <v>94.191242038699301</v>
      </c>
      <c r="AK1864">
        <v>43.422810308522898</v>
      </c>
      <c r="AL1864">
        <v>90.030806843110099</v>
      </c>
      <c r="AM1864">
        <v>91.887581089233805</v>
      </c>
      <c r="AN1864">
        <v>0.999999965574906</v>
      </c>
    </row>
    <row r="1865" spans="1:40" x14ac:dyDescent="0.3">
      <c r="A1865" t="str">
        <f>"20200111160442193"</f>
        <v>20200111160442193</v>
      </c>
      <c r="B1865" t="str">
        <f>"1578729882182436"</f>
        <v>1578729882182436</v>
      </c>
      <c r="C1865" t="s">
        <v>40</v>
      </c>
      <c r="D1865">
        <v>6.3291510000000004</v>
      </c>
      <c r="E1865">
        <v>0.48573810000000001</v>
      </c>
      <c r="F1865" t="s">
        <v>57</v>
      </c>
      <c r="G1865">
        <v>-375.95319999999998</v>
      </c>
      <c r="H1865" s="1">
        <v>1.631208E-6</v>
      </c>
      <c r="I1865">
        <v>280.9436</v>
      </c>
      <c r="J1865">
        <v>-333.13310000000001</v>
      </c>
      <c r="K1865">
        <v>1.109969</v>
      </c>
      <c r="L1865">
        <v>285.9504</v>
      </c>
      <c r="M1865">
        <v>-0.99903889999999995</v>
      </c>
      <c r="N1865">
        <v>0</v>
      </c>
      <c r="O1865">
        <v>-4.3289340000000003E-2</v>
      </c>
      <c r="P1865">
        <v>-0.99705169999999999</v>
      </c>
      <c r="Q1865">
        <v>-7.1175419999999897E-3</v>
      </c>
      <c r="R1865">
        <v>-7.6402750000000005E-2</v>
      </c>
      <c r="S1865">
        <v>-2.9817499999999999</v>
      </c>
      <c r="T1865">
        <v>-7.6979400000000003E-2</v>
      </c>
      <c r="U1865">
        <v>-0.34777829999999998</v>
      </c>
      <c r="V1865">
        <v>-3.3167780000000001E-2</v>
      </c>
      <c r="W1865">
        <v>-2.8743090000000001E-4</v>
      </c>
      <c r="X1865">
        <v>0.9994497</v>
      </c>
      <c r="Y1865">
        <v>-7.2733119999999998E-2</v>
      </c>
      <c r="Z1865">
        <v>1.7715689999999999E-4</v>
      </c>
      <c r="AA1865">
        <v>0.9973514</v>
      </c>
      <c r="AB1865">
        <v>32</v>
      </c>
      <c r="AC1865">
        <v>-42.820099999999897</v>
      </c>
      <c r="AD1865">
        <v>-1.109967368792</v>
      </c>
      <c r="AE1865">
        <v>-5.0067999999999904</v>
      </c>
      <c r="AF1865">
        <v>-3.1463229722424799</v>
      </c>
      <c r="AG1865">
        <v>-1.109967368792</v>
      </c>
      <c r="AH1865">
        <v>42.968221451903403</v>
      </c>
      <c r="AI1865">
        <v>91.475802403532199</v>
      </c>
      <c r="AJ1865">
        <v>94.187975682255995</v>
      </c>
      <c r="AK1865">
        <v>43.097557129671003</v>
      </c>
      <c r="AL1865">
        <v>90.016468578628206</v>
      </c>
      <c r="AM1865">
        <v>91.900722602378195</v>
      </c>
      <c r="AN1865">
        <v>0.99999994353836796</v>
      </c>
    </row>
    <row r="1866" spans="1:40" x14ac:dyDescent="0.3">
      <c r="A1866" t="str">
        <f>"20200111160442209"</f>
        <v>20200111160442209</v>
      </c>
      <c r="B1866" t="str">
        <f>"1578729882202932"</f>
        <v>1578729882202932</v>
      </c>
      <c r="C1866" t="s">
        <v>40</v>
      </c>
      <c r="D1866">
        <v>5.7895469999999998</v>
      </c>
      <c r="E1866">
        <v>0.48421500000000001</v>
      </c>
      <c r="F1866" t="s">
        <v>57</v>
      </c>
      <c r="G1866">
        <v>-371.35149999999999</v>
      </c>
      <c r="H1866" s="1">
        <v>-8.1756779999999999E-7</v>
      </c>
      <c r="I1866">
        <v>281.52929999999998</v>
      </c>
      <c r="J1866">
        <v>-333.37729999999999</v>
      </c>
      <c r="K1866">
        <v>1.109974</v>
      </c>
      <c r="L1866">
        <v>285.93939999999998</v>
      </c>
      <c r="M1866">
        <v>-0.99901499999999999</v>
      </c>
      <c r="N1866">
        <v>0</v>
      </c>
      <c r="O1866">
        <v>-4.3830309999999997E-2</v>
      </c>
      <c r="P1866">
        <v>-0.99700549999999999</v>
      </c>
      <c r="Q1866">
        <v>-7.036909E-3</v>
      </c>
      <c r="R1866">
        <v>-7.7012109999999995E-2</v>
      </c>
      <c r="S1866">
        <v>-2.9818120000000001</v>
      </c>
      <c r="T1866">
        <v>-8.6600070000000001E-2</v>
      </c>
      <c r="U1866">
        <v>-0.34494019999999997</v>
      </c>
      <c r="V1866">
        <v>-3.3237839999999998E-2</v>
      </c>
      <c r="W1866">
        <v>-1.52960499999999E-4</v>
      </c>
      <c r="X1866">
        <v>0.99944750000000004</v>
      </c>
      <c r="Y1866">
        <v>-7.1252259999999998E-2</v>
      </c>
      <c r="Z1866">
        <v>2.3635640000000001E-4</v>
      </c>
      <c r="AA1866">
        <v>0.99745830000000002</v>
      </c>
      <c r="AB1866">
        <v>32</v>
      </c>
      <c r="AC1866">
        <v>-37.974200000000003</v>
      </c>
      <c r="AD1866">
        <v>-1.1099748175677999</v>
      </c>
      <c r="AE1866">
        <v>-4.4100999999999999</v>
      </c>
      <c r="AF1866">
        <v>-2.7390917258404701</v>
      </c>
      <c r="AG1866">
        <v>-1.1099748175677999</v>
      </c>
      <c r="AH1866">
        <v>38.098887757254303</v>
      </c>
      <c r="AI1866">
        <v>91.664492203935097</v>
      </c>
      <c r="AJ1866">
        <v>94.112163021776894</v>
      </c>
      <c r="AK1866">
        <v>38.2133473529612</v>
      </c>
      <c r="AL1866">
        <v>90.008763990754105</v>
      </c>
      <c r="AM1866">
        <v>91.904738716807699</v>
      </c>
      <c r="AN1866">
        <v>1.0000000413305099</v>
      </c>
    </row>
    <row r="1867" spans="1:40" x14ac:dyDescent="0.3">
      <c r="A1867" t="str">
        <f>"20200111160442222"</f>
        <v>20200111160442222</v>
      </c>
      <c r="B1867" t="str">
        <f>"1578729882212692"</f>
        <v>1578729882212692</v>
      </c>
      <c r="C1867" t="s">
        <v>40</v>
      </c>
      <c r="D1867">
        <v>5.4953019999999997</v>
      </c>
      <c r="E1867">
        <v>0.48596660000000003</v>
      </c>
      <c r="F1867" t="s">
        <v>57</v>
      </c>
      <c r="G1867">
        <v>-344.62740000000002</v>
      </c>
      <c r="H1867" s="1">
        <v>9.2567590000000002E-7</v>
      </c>
      <c r="I1867">
        <v>284.55459999999999</v>
      </c>
      <c r="J1867">
        <v>-333.56630000000001</v>
      </c>
      <c r="K1867">
        <v>1.10998</v>
      </c>
      <c r="L1867">
        <v>285.9307</v>
      </c>
      <c r="M1867">
        <v>-0.99899610000000005</v>
      </c>
      <c r="N1867">
        <v>0</v>
      </c>
      <c r="O1867">
        <v>-4.4249030000000002E-2</v>
      </c>
      <c r="P1867">
        <v>-0.99697670000000005</v>
      </c>
      <c r="Q1867">
        <v>-6.9078269999999897E-3</v>
      </c>
      <c r="R1867">
        <v>-7.7394400000000002E-2</v>
      </c>
      <c r="S1867">
        <v>-2.978577</v>
      </c>
      <c r="T1867">
        <v>-0.29387570000000002</v>
      </c>
      <c r="U1867">
        <v>-0.36663820000000003</v>
      </c>
      <c r="V1867">
        <v>-3.3202570000000001E-2</v>
      </c>
      <c r="W1867" s="1">
        <v>1.60047799999999E-5</v>
      </c>
      <c r="X1867">
        <v>0.99944869999999997</v>
      </c>
      <c r="Y1867">
        <v>-7.7970220000000007E-2</v>
      </c>
      <c r="Z1867">
        <v>5.122719E-4</v>
      </c>
      <c r="AA1867">
        <v>0.99695560000000005</v>
      </c>
      <c r="AB1867">
        <v>33</v>
      </c>
      <c r="AC1867">
        <v>-11.0611</v>
      </c>
      <c r="AD1867">
        <v>-1.1099790743241</v>
      </c>
      <c r="AE1867">
        <v>-1.3761000000000001</v>
      </c>
      <c r="AF1867">
        <v>-0.87660426588800699</v>
      </c>
      <c r="AG1867">
        <v>-1.1099790743241</v>
      </c>
      <c r="AH1867">
        <v>11.002055122661201</v>
      </c>
      <c r="AI1867">
        <v>95.742905003393403</v>
      </c>
      <c r="AJ1867">
        <v>94.555498406360698</v>
      </c>
      <c r="AK1867">
        <v>11.0925968783909</v>
      </c>
      <c r="AL1867">
        <v>89.999082993706494</v>
      </c>
      <c r="AM1867">
        <v>91.902716726078296</v>
      </c>
      <c r="AN1867">
        <v>1.00000005742122</v>
      </c>
    </row>
    <row r="1868" spans="1:40" x14ac:dyDescent="0.3">
      <c r="A1868" t="str">
        <f>"20200111160442234"</f>
        <v>20200111160442234</v>
      </c>
      <c r="B1868" t="str">
        <f>"1578729882222453"</f>
        <v>1578729882222453</v>
      </c>
      <c r="C1868" t="s">
        <v>40</v>
      </c>
      <c r="D1868">
        <v>5.395797</v>
      </c>
      <c r="E1868">
        <v>0.48739749999999998</v>
      </c>
      <c r="F1868" t="s">
        <v>57</v>
      </c>
      <c r="G1868">
        <v>-345.20069999999998</v>
      </c>
      <c r="H1868" s="1">
        <v>1.2307740000000001E-6</v>
      </c>
      <c r="I1868">
        <v>284.55040000000002</v>
      </c>
      <c r="J1868">
        <v>-333.73309999999998</v>
      </c>
      <c r="K1868">
        <v>1.1099859999999999</v>
      </c>
      <c r="L1868">
        <v>285.923</v>
      </c>
      <c r="M1868">
        <v>-0.99897959999999997</v>
      </c>
      <c r="N1868">
        <v>0</v>
      </c>
      <c r="O1868">
        <v>-4.4618610000000003E-2</v>
      </c>
      <c r="P1868">
        <v>-0.99693759999999998</v>
      </c>
      <c r="Q1868">
        <v>-6.8661410000000001E-3</v>
      </c>
      <c r="R1868">
        <v>-7.7901949999999998E-2</v>
      </c>
      <c r="S1868">
        <v>-2.9796450000000001</v>
      </c>
      <c r="T1868">
        <v>-0.2842711</v>
      </c>
      <c r="U1868">
        <v>-0.35351559999999999</v>
      </c>
      <c r="V1868">
        <v>-3.3341250000000003E-2</v>
      </c>
      <c r="W1868" s="1">
        <v>8.9972339999999995E-5</v>
      </c>
      <c r="X1868">
        <v>0.999444</v>
      </c>
      <c r="Y1868">
        <v>-7.3262789999999994E-2</v>
      </c>
      <c r="Z1868">
        <v>7.5391559999999995E-4</v>
      </c>
      <c r="AA1868">
        <v>0.99731239999999999</v>
      </c>
      <c r="AB1868">
        <v>33</v>
      </c>
      <c r="AC1868">
        <v>-11.467599999999999</v>
      </c>
      <c r="AD1868">
        <v>-1.1099847692260001</v>
      </c>
      <c r="AE1868">
        <v>-1.3725999999999701</v>
      </c>
      <c r="AF1868">
        <v>-0.85168540014263205</v>
      </c>
      <c r="AG1868">
        <v>-1.1099847692260001</v>
      </c>
      <c r="AH1868">
        <v>11.4120158036683</v>
      </c>
      <c r="AI1868">
        <v>95.540063808059699</v>
      </c>
      <c r="AJ1868">
        <v>94.268105145360295</v>
      </c>
      <c r="AK1868">
        <v>11.4974579325999</v>
      </c>
      <c r="AL1868">
        <v>89.9948449645251</v>
      </c>
      <c r="AM1868">
        <v>91.910667065175303</v>
      </c>
      <c r="AN1868">
        <v>0.99999997809129204</v>
      </c>
    </row>
    <row r="1869" spans="1:40" x14ac:dyDescent="0.3">
      <c r="A1869" t="str">
        <f>"20200111160442247"</f>
        <v>20200111160442247</v>
      </c>
      <c r="B1869" t="str">
        <f>"1578729882242948"</f>
        <v>1578729882242948</v>
      </c>
      <c r="C1869" t="s">
        <v>40</v>
      </c>
      <c r="D1869">
        <v>5.4290010000000004</v>
      </c>
      <c r="E1869">
        <v>0.48890810000000001</v>
      </c>
      <c r="F1869" t="s">
        <v>57</v>
      </c>
      <c r="G1869">
        <v>-345.42290000000003</v>
      </c>
      <c r="H1869" s="1">
        <v>1.3489820000000001E-6</v>
      </c>
      <c r="I1869">
        <v>284.57589999999999</v>
      </c>
      <c r="J1869">
        <v>-333.9162</v>
      </c>
      <c r="K1869">
        <v>1.10999</v>
      </c>
      <c r="L1869">
        <v>285.9144</v>
      </c>
      <c r="M1869">
        <v>-0.99896119999999999</v>
      </c>
      <c r="N1869">
        <v>0</v>
      </c>
      <c r="O1869">
        <v>-4.5023710000000002E-2</v>
      </c>
      <c r="P1869">
        <v>-0.99690230000000002</v>
      </c>
      <c r="Q1869">
        <v>-6.8236979999999996E-3</v>
      </c>
      <c r="R1869">
        <v>-7.8355350000000004E-2</v>
      </c>
      <c r="S1869">
        <v>-2.9804379999999999</v>
      </c>
      <c r="T1869">
        <v>-0.28300419999999998</v>
      </c>
      <c r="U1869">
        <v>-0.34344479999999999</v>
      </c>
      <c r="V1869">
        <v>-3.3390820000000002E-2</v>
      </c>
      <c r="W1869">
        <v>1.6719509999999901E-4</v>
      </c>
      <c r="X1869">
        <v>0.99944230000000001</v>
      </c>
      <c r="Y1869">
        <v>-6.9521830000000007E-2</v>
      </c>
      <c r="Z1869">
        <v>9.6540669999999995E-4</v>
      </c>
      <c r="AA1869">
        <v>0.99758000000000002</v>
      </c>
      <c r="AB1869">
        <v>33</v>
      </c>
      <c r="AC1869">
        <v>-11.5067</v>
      </c>
      <c r="AD1869">
        <v>-1.1099886510179999</v>
      </c>
      <c r="AE1869">
        <v>-1.33850000000001</v>
      </c>
      <c r="AF1869">
        <v>-0.81160398734954797</v>
      </c>
      <c r="AG1869">
        <v>-1.1099886510179999</v>
      </c>
      <c r="AH1869">
        <v>11.4501703690069</v>
      </c>
      <c r="AI1869">
        <v>95.523225731534595</v>
      </c>
      <c r="AJ1869">
        <v>94.0544235060446</v>
      </c>
      <c r="AK1869">
        <v>11.532440215191</v>
      </c>
      <c r="AL1869">
        <v>89.990420425823302</v>
      </c>
      <c r="AM1869">
        <v>91.913508885650103</v>
      </c>
      <c r="AN1869">
        <v>0.99999994292187999</v>
      </c>
    </row>
    <row r="1870" spans="1:40" x14ac:dyDescent="0.3">
      <c r="A1870" t="str">
        <f>"20200111160442259"</f>
        <v>20200111160442259</v>
      </c>
      <c r="B1870" t="str">
        <f>"1578729882252709"</f>
        <v>1578729882252709</v>
      </c>
      <c r="C1870" t="s">
        <v>40</v>
      </c>
      <c r="D1870">
        <v>5.4146359999999998</v>
      </c>
      <c r="E1870">
        <v>0.48888619999999999</v>
      </c>
      <c r="F1870" t="s">
        <v>57</v>
      </c>
      <c r="G1870">
        <v>-346.0258</v>
      </c>
      <c r="H1870" s="1">
        <v>1.669858E-6</v>
      </c>
      <c r="I1870">
        <v>284.56400000000002</v>
      </c>
      <c r="J1870">
        <v>-334.1053</v>
      </c>
      <c r="K1870">
        <v>1.1099920000000001</v>
      </c>
      <c r="L1870">
        <v>285.90550000000002</v>
      </c>
      <c r="M1870">
        <v>-0.99894179999999999</v>
      </c>
      <c r="N1870">
        <v>0</v>
      </c>
      <c r="O1870">
        <v>-4.5442639999999999E-2</v>
      </c>
      <c r="P1870">
        <v>-0.99687250000000005</v>
      </c>
      <c r="Q1870">
        <v>-6.8602280000000003E-3</v>
      </c>
      <c r="R1870">
        <v>-7.8729400000000005E-2</v>
      </c>
      <c r="S1870">
        <v>-2.9813230000000002</v>
      </c>
      <c r="T1870">
        <v>-0.27327230000000002</v>
      </c>
      <c r="U1870">
        <v>-0.33245849999999999</v>
      </c>
      <c r="V1870">
        <v>-3.3346969999999997E-2</v>
      </c>
      <c r="W1870">
        <v>1.64334E-4</v>
      </c>
      <c r="X1870">
        <v>0.99944379999999999</v>
      </c>
      <c r="Y1870">
        <v>-6.5465549999999997E-2</v>
      </c>
      <c r="Z1870">
        <v>1.155421E-3</v>
      </c>
      <c r="AA1870">
        <v>0.99785420000000002</v>
      </c>
      <c r="AB1870">
        <v>33</v>
      </c>
      <c r="AC1870">
        <v>-11.920500000000001</v>
      </c>
      <c r="AD1870">
        <v>-1.109990330142</v>
      </c>
      <c r="AE1870">
        <v>-1.3414999999999899</v>
      </c>
      <c r="AF1870">
        <v>-0.79162347916402598</v>
      </c>
      <c r="AG1870">
        <v>-1.109990330142</v>
      </c>
      <c r="AH1870">
        <v>11.8675358868232</v>
      </c>
      <c r="AI1870">
        <v>95.331643777886697</v>
      </c>
      <c r="AJ1870">
        <v>93.816259034938795</v>
      </c>
      <c r="AK1870">
        <v>11.945591416535599</v>
      </c>
      <c r="AL1870">
        <v>89.990584355123602</v>
      </c>
      <c r="AM1870">
        <v>91.910994996897799</v>
      </c>
      <c r="AN1870">
        <v>0.99999997838614196</v>
      </c>
    </row>
    <row r="1871" spans="1:40" x14ac:dyDescent="0.3">
      <c r="A1871" t="str">
        <f>"20200111160442276"</f>
        <v>20200111160442276</v>
      </c>
      <c r="B1871" t="str">
        <f>"1578729882273204"</f>
        <v>1578729882273204</v>
      </c>
      <c r="C1871" t="s">
        <v>40</v>
      </c>
      <c r="D1871">
        <v>5.4170809999999996</v>
      </c>
      <c r="E1871">
        <v>0.48935459999999897</v>
      </c>
      <c r="F1871" t="s">
        <v>57</v>
      </c>
      <c r="G1871">
        <v>-346.48849999999999</v>
      </c>
      <c r="H1871" s="1">
        <v>1.9160860000000002E-6</v>
      </c>
      <c r="I1871">
        <v>284.5204</v>
      </c>
      <c r="J1871">
        <v>-334.33949999999999</v>
      </c>
      <c r="K1871">
        <v>1.109998</v>
      </c>
      <c r="L1871">
        <v>285.89440000000002</v>
      </c>
      <c r="M1871">
        <v>-0.99891779999999997</v>
      </c>
      <c r="N1871">
        <v>0</v>
      </c>
      <c r="O1871">
        <v>-4.5961259999999997E-2</v>
      </c>
      <c r="P1871">
        <v>-0.99684499999999998</v>
      </c>
      <c r="Q1871">
        <v>-7.3055180000000004E-3</v>
      </c>
      <c r="R1871">
        <v>-7.9035439999999998E-2</v>
      </c>
      <c r="S1871">
        <v>-2.9812620000000001</v>
      </c>
      <c r="T1871">
        <v>-0.26722889999999999</v>
      </c>
      <c r="U1871">
        <v>-0.33346559999999997</v>
      </c>
      <c r="V1871">
        <v>-3.3134419999999998E-2</v>
      </c>
      <c r="W1871">
        <v>-2.419814E-4</v>
      </c>
      <c r="X1871">
        <v>0.99945090000000003</v>
      </c>
      <c r="Y1871">
        <v>-6.5289029999999998E-2</v>
      </c>
      <c r="Z1871">
        <v>1.1839939999999901E-3</v>
      </c>
      <c r="AA1871">
        <v>0.99786569999999997</v>
      </c>
      <c r="AB1871">
        <v>33</v>
      </c>
      <c r="AC1871">
        <v>-12.148999999999999</v>
      </c>
      <c r="AD1871">
        <v>-1.109996083914</v>
      </c>
      <c r="AE1871">
        <v>-1.3740000000000201</v>
      </c>
      <c r="AF1871">
        <v>-0.80749486678745896</v>
      </c>
      <c r="AG1871">
        <v>-1.109996083914</v>
      </c>
      <c r="AH1871">
        <v>12.099585959877899</v>
      </c>
      <c r="AI1871">
        <v>95.229979937894697</v>
      </c>
      <c r="AJ1871">
        <v>93.818109409943503</v>
      </c>
      <c r="AK1871">
        <v>12.177196708055</v>
      </c>
      <c r="AL1871">
        <v>90.013864512730294</v>
      </c>
      <c r="AM1871">
        <v>91.898809986365805</v>
      </c>
      <c r="AN1871">
        <v>1.00000002492727</v>
      </c>
    </row>
    <row r="1872" spans="1:40" x14ac:dyDescent="0.3">
      <c r="A1872" t="str">
        <f>"20200111160442288"</f>
        <v>20200111160442288</v>
      </c>
      <c r="B1872" t="str">
        <f>"1578729882282966"</f>
        <v>1578729882282966</v>
      </c>
      <c r="C1872" t="s">
        <v>40</v>
      </c>
      <c r="D1872">
        <v>5.6328490000000002</v>
      </c>
      <c r="E1872">
        <v>0.48934149999999998</v>
      </c>
      <c r="F1872" t="s">
        <v>57</v>
      </c>
      <c r="G1872">
        <v>-346.74040000000002</v>
      </c>
      <c r="H1872" s="1">
        <v>2.0501489999999999E-6</v>
      </c>
      <c r="I1872">
        <v>284.51920000000001</v>
      </c>
      <c r="J1872">
        <v>-334.53129999999999</v>
      </c>
      <c r="K1872">
        <v>1.1100000000000001</v>
      </c>
      <c r="L1872">
        <v>285.8852</v>
      </c>
      <c r="M1872">
        <v>-0.99889810000000001</v>
      </c>
      <c r="N1872">
        <v>0</v>
      </c>
      <c r="O1872">
        <v>-4.6386139999999999E-2</v>
      </c>
      <c r="P1872">
        <v>-0.99680279999999999</v>
      </c>
      <c r="Q1872">
        <v>-7.522908E-3</v>
      </c>
      <c r="R1872">
        <v>-7.9548729999999998E-2</v>
      </c>
      <c r="S1872">
        <v>-2.9813230000000002</v>
      </c>
      <c r="T1872">
        <v>-0.26685579999999998</v>
      </c>
      <c r="U1872">
        <v>-0.33062740000000002</v>
      </c>
      <c r="V1872">
        <v>-3.322307E-2</v>
      </c>
      <c r="W1872">
        <v>-4.2940330000000002E-4</v>
      </c>
      <c r="X1872">
        <v>0.99944789999999994</v>
      </c>
      <c r="Y1872">
        <v>-6.3931199999999994E-2</v>
      </c>
      <c r="Z1872">
        <v>1.280633E-3</v>
      </c>
      <c r="AA1872">
        <v>0.99795350000000005</v>
      </c>
      <c r="AB1872">
        <v>33</v>
      </c>
      <c r="AC1872">
        <v>-12.209099999999999</v>
      </c>
      <c r="AD1872">
        <v>-1.109997949851</v>
      </c>
      <c r="AE1872">
        <v>-1.3659999999999799</v>
      </c>
      <c r="AF1872">
        <v>-0.79171893498399304</v>
      </c>
      <c r="AG1872">
        <v>-1.109997949851</v>
      </c>
      <c r="AH1872">
        <v>12.160054210836</v>
      </c>
      <c r="AI1872">
        <v>95.204678186039004</v>
      </c>
      <c r="AJ1872">
        <v>93.725165812487106</v>
      </c>
      <c r="AK1872">
        <v>12.2362507628422</v>
      </c>
      <c r="AL1872">
        <v>90.024602996797498</v>
      </c>
      <c r="AM1872">
        <v>91.903892163920105</v>
      </c>
      <c r="AN1872">
        <v>1.00000003079091</v>
      </c>
    </row>
    <row r="1873" spans="1:40" x14ac:dyDescent="0.3">
      <c r="A1873" t="str">
        <f>"20200111160442312"</f>
        <v>20200111160442312</v>
      </c>
      <c r="B1873" t="str">
        <f>"1578729882302484"</f>
        <v>1578729882302484</v>
      </c>
      <c r="C1873" t="s">
        <v>40</v>
      </c>
      <c r="D1873">
        <v>5.3908839999999998</v>
      </c>
      <c r="E1873">
        <v>0.48974800000000002</v>
      </c>
      <c r="F1873" t="s">
        <v>57</v>
      </c>
      <c r="G1873">
        <v>-347.04070000000002</v>
      </c>
      <c r="H1873" s="1">
        <v>2.2099229999999998E-6</v>
      </c>
      <c r="I1873">
        <v>284.49180000000001</v>
      </c>
      <c r="J1873">
        <v>-334.87599999999998</v>
      </c>
      <c r="K1873">
        <v>1.1100030000000001</v>
      </c>
      <c r="L1873">
        <v>285.86840000000001</v>
      </c>
      <c r="M1873">
        <v>-0.99886200000000003</v>
      </c>
      <c r="N1873">
        <v>0</v>
      </c>
      <c r="O1873">
        <v>-4.7148719999999998E-2</v>
      </c>
      <c r="P1873">
        <v>-0.99676310000000001</v>
      </c>
      <c r="Q1873">
        <v>-7.7153689999999997E-3</v>
      </c>
      <c r="R1873">
        <v>-8.0027230000000005E-2</v>
      </c>
      <c r="S1873">
        <v>-2.9811399999999999</v>
      </c>
      <c r="T1873">
        <v>-0.2645265</v>
      </c>
      <c r="U1873">
        <v>-0.33206180000000002</v>
      </c>
      <c r="V1873">
        <v>-3.2939969999999999E-2</v>
      </c>
      <c r="W1873">
        <v>-5.7181729999999996E-4</v>
      </c>
      <c r="X1873">
        <v>0.99945720000000005</v>
      </c>
      <c r="Y1873">
        <v>-6.3655550000000005E-2</v>
      </c>
      <c r="Z1873">
        <v>1.348887E-3</v>
      </c>
      <c r="AA1873">
        <v>0.99797100000000005</v>
      </c>
      <c r="AB1873">
        <v>33</v>
      </c>
      <c r="AC1873">
        <v>-12.1647</v>
      </c>
      <c r="AD1873">
        <v>-1.1100007900769999</v>
      </c>
      <c r="AE1873">
        <v>-1.3765999999999901</v>
      </c>
      <c r="AF1873">
        <v>-0.79496878441148899</v>
      </c>
      <c r="AG1873">
        <v>-1.1100007900769999</v>
      </c>
      <c r="AH1873">
        <v>12.11646944926</v>
      </c>
      <c r="AI1873">
        <v>95.223140267195703</v>
      </c>
      <c r="AJ1873">
        <v>93.753829989357897</v>
      </c>
      <c r="AK1873">
        <v>12.193150086709</v>
      </c>
      <c r="AL1873">
        <v>90.032762718692197</v>
      </c>
      <c r="AM1873">
        <v>91.887662977750693</v>
      </c>
      <c r="AN1873">
        <v>1.00000003161523</v>
      </c>
    </row>
    <row r="1874" spans="1:40" x14ac:dyDescent="0.3">
      <c r="A1874" t="str">
        <f>"20200111160442324"</f>
        <v>20200111160442324</v>
      </c>
      <c r="B1874" t="str">
        <f>"1578729882322981"</f>
        <v>1578729882322981</v>
      </c>
      <c r="C1874" t="s">
        <v>40</v>
      </c>
      <c r="D1874">
        <v>5.3996180000000003</v>
      </c>
      <c r="E1874">
        <v>0.4902474</v>
      </c>
      <c r="F1874" t="s">
        <v>57</v>
      </c>
      <c r="G1874">
        <v>-347.404</v>
      </c>
      <c r="H1874" s="1">
        <v>2.4032320000000002E-6</v>
      </c>
      <c r="I1874">
        <v>284.48099999999999</v>
      </c>
      <c r="J1874">
        <v>-335.06319999999999</v>
      </c>
      <c r="K1874">
        <v>1.1100080000000001</v>
      </c>
      <c r="L1874">
        <v>285.85930000000002</v>
      </c>
      <c r="M1874">
        <v>-0.99884220000000001</v>
      </c>
      <c r="N1874">
        <v>0</v>
      </c>
      <c r="O1874">
        <v>-4.7562609999999998E-2</v>
      </c>
      <c r="P1874">
        <v>-0.99675230000000004</v>
      </c>
      <c r="Q1874">
        <v>-7.9067159999999994E-3</v>
      </c>
      <c r="R1874">
        <v>-8.0139390000000005E-2</v>
      </c>
      <c r="S1874">
        <v>-2.981201</v>
      </c>
      <c r="T1874">
        <v>-0.26414009999999999</v>
      </c>
      <c r="U1874">
        <v>-0.33016970000000001</v>
      </c>
      <c r="V1874">
        <v>-3.263829E-2</v>
      </c>
      <c r="W1874">
        <v>-7.3753610000000004E-4</v>
      </c>
      <c r="X1874">
        <v>0.99946699999999999</v>
      </c>
      <c r="Y1874">
        <v>-6.2619859999999999E-2</v>
      </c>
      <c r="Z1874">
        <v>1.429025E-3</v>
      </c>
      <c r="AA1874">
        <v>0.99803640000000005</v>
      </c>
      <c r="AB1874">
        <v>33</v>
      </c>
      <c r="AC1874">
        <v>-12.3408</v>
      </c>
      <c r="AD1874">
        <v>-1.11000559676799</v>
      </c>
      <c r="AE1874">
        <v>-1.3783000000000201</v>
      </c>
      <c r="AF1874">
        <v>-0.78350343393816002</v>
      </c>
      <c r="AG1874">
        <v>-1.11000559676799</v>
      </c>
      <c r="AH1874">
        <v>12.294152165496101</v>
      </c>
      <c r="AI1874">
        <v>95.148703210092094</v>
      </c>
      <c r="AJ1874">
        <v>93.646515172090503</v>
      </c>
      <c r="AK1874">
        <v>12.369000263732801</v>
      </c>
      <c r="AL1874">
        <v>90.042257707781999</v>
      </c>
      <c r="AM1874">
        <v>91.870368867028901</v>
      </c>
      <c r="AN1874">
        <v>1.0000000430113101</v>
      </c>
    </row>
    <row r="1875" spans="1:40" x14ac:dyDescent="0.3">
      <c r="A1875" t="str">
        <f>"20200111160442337"</f>
        <v>20200111160442337</v>
      </c>
      <c r="B1875" t="str">
        <f>"1578729882332741"</f>
        <v>1578729882332741</v>
      </c>
      <c r="C1875" t="s">
        <v>40</v>
      </c>
      <c r="D1875">
        <v>5.4203849999999996</v>
      </c>
      <c r="E1875">
        <v>0.49043930000000002</v>
      </c>
      <c r="F1875" t="s">
        <v>57</v>
      </c>
      <c r="G1875">
        <v>-347.67189999999999</v>
      </c>
      <c r="H1875" s="1">
        <v>2.5458339999999999E-6</v>
      </c>
      <c r="I1875">
        <v>284.47829999999999</v>
      </c>
      <c r="J1875">
        <v>-335.26459999999997</v>
      </c>
      <c r="K1875">
        <v>1.1100110000000001</v>
      </c>
      <c r="L1875">
        <v>285.84930000000003</v>
      </c>
      <c r="M1875">
        <v>-0.99882070000000001</v>
      </c>
      <c r="N1875">
        <v>0</v>
      </c>
      <c r="O1875">
        <v>-4.8008090000000003E-2</v>
      </c>
      <c r="P1875">
        <v>-0.99670610000000004</v>
      </c>
      <c r="Q1875">
        <v>-7.9331450000000008E-3</v>
      </c>
      <c r="R1875">
        <v>-8.0711050000000006E-2</v>
      </c>
      <c r="S1875">
        <v>-2.9814759999999998</v>
      </c>
      <c r="T1875">
        <v>-0.26247320000000002</v>
      </c>
      <c r="U1875">
        <v>-0.3265381</v>
      </c>
      <c r="V1875">
        <v>-3.2765540000000003E-2</v>
      </c>
      <c r="W1875">
        <v>-7.3942810000000002E-4</v>
      </c>
      <c r="X1875">
        <v>0.99946279999999998</v>
      </c>
      <c r="Y1875">
        <v>-6.0972169999999999E-2</v>
      </c>
      <c r="Z1875">
        <v>1.531152E-3</v>
      </c>
      <c r="AA1875">
        <v>0.99813830000000003</v>
      </c>
      <c r="AB1875">
        <v>33</v>
      </c>
      <c r="AC1875">
        <v>-12.407299999999999</v>
      </c>
      <c r="AD1875">
        <v>-1.110008454166</v>
      </c>
      <c r="AE1875">
        <v>-1.37100000000003</v>
      </c>
      <c r="AF1875">
        <v>-0.76768240715725899</v>
      </c>
      <c r="AG1875">
        <v>-1.110008454166</v>
      </c>
      <c r="AH1875">
        <v>12.361071291641499</v>
      </c>
      <c r="AI1875">
        <v>95.121510133196495</v>
      </c>
      <c r="AJ1875">
        <v>93.553781160131606</v>
      </c>
      <c r="AK1875">
        <v>12.434530088572799</v>
      </c>
      <c r="AL1875">
        <v>90.042366112906095</v>
      </c>
      <c r="AM1875">
        <v>91.877663726706999</v>
      </c>
      <c r="AN1875">
        <v>1.0000000079746201</v>
      </c>
    </row>
    <row r="1876" spans="1:40" x14ac:dyDescent="0.3">
      <c r="A1876" t="str">
        <f>"20200111160442354"</f>
        <v>20200111160442354</v>
      </c>
      <c r="B1876" t="str">
        <f>"1578729882342501"</f>
        <v>1578729882342501</v>
      </c>
      <c r="C1876" t="s">
        <v>40</v>
      </c>
      <c r="D1876">
        <v>5.4728940000000001</v>
      </c>
      <c r="E1876">
        <v>0.49049179999999998</v>
      </c>
      <c r="F1876" t="s">
        <v>57</v>
      </c>
      <c r="G1876">
        <v>-347.88279999999997</v>
      </c>
      <c r="H1876" s="1">
        <v>2.658075E-6</v>
      </c>
      <c r="I1876">
        <v>284.46620000000001</v>
      </c>
      <c r="J1876">
        <v>-335.48820000000001</v>
      </c>
      <c r="K1876">
        <v>1.1100159999999999</v>
      </c>
      <c r="L1876">
        <v>285.83800000000002</v>
      </c>
      <c r="M1876">
        <v>-0.99879660000000003</v>
      </c>
      <c r="N1876">
        <v>0</v>
      </c>
      <c r="O1876">
        <v>-4.8502219999999999E-2</v>
      </c>
      <c r="P1876">
        <v>-0.99666270000000001</v>
      </c>
      <c r="Q1876">
        <v>-7.5811749999999999E-3</v>
      </c>
      <c r="R1876">
        <v>-8.1277589999999997E-2</v>
      </c>
      <c r="S1876">
        <v>-2.9813839999999998</v>
      </c>
      <c r="T1876">
        <v>-0.26226739999999998</v>
      </c>
      <c r="U1876">
        <v>-0.32678220000000002</v>
      </c>
      <c r="V1876">
        <v>-3.2839889999999997E-2</v>
      </c>
      <c r="W1876">
        <v>-3.6161659999999998E-4</v>
      </c>
      <c r="X1876">
        <v>0.99946060000000003</v>
      </c>
      <c r="Y1876">
        <v>-6.0565960000000002E-2</v>
      </c>
      <c r="Z1876">
        <v>1.5909349999999999E-3</v>
      </c>
      <c r="AA1876">
        <v>0.99816289999999996</v>
      </c>
      <c r="AB1876">
        <v>33</v>
      </c>
      <c r="AC1876">
        <v>-12.394599999999899</v>
      </c>
      <c r="AD1876">
        <v>-1.11001334192499</v>
      </c>
      <c r="AE1876">
        <v>-1.3717999999999499</v>
      </c>
      <c r="AF1876">
        <v>-0.76295877560180003</v>
      </c>
      <c r="AG1876">
        <v>-1.11001334192499</v>
      </c>
      <c r="AH1876">
        <v>12.348706820754501</v>
      </c>
      <c r="AI1876">
        <v>95.126734123077398</v>
      </c>
      <c r="AJ1876">
        <v>93.535497404459903</v>
      </c>
      <c r="AK1876">
        <v>12.4219481506512</v>
      </c>
      <c r="AL1876">
        <v>90.0207191046037</v>
      </c>
      <c r="AM1876">
        <v>91.881925510836098</v>
      </c>
      <c r="AN1876">
        <v>1.0000000400470599</v>
      </c>
    </row>
    <row r="1877" spans="1:40" x14ac:dyDescent="0.3">
      <c r="A1877" t="str">
        <f>"20200111160442364"</f>
        <v>20200111160442364</v>
      </c>
      <c r="B1877" t="str">
        <f>"1578729882362996"</f>
        <v>1578729882362996</v>
      </c>
      <c r="C1877" t="s">
        <v>40</v>
      </c>
      <c r="D1877">
        <v>5.3915839999999999</v>
      </c>
      <c r="E1877">
        <v>0.49099670000000001</v>
      </c>
      <c r="F1877" t="s">
        <v>57</v>
      </c>
      <c r="G1877">
        <v>-348.19420000000002</v>
      </c>
      <c r="H1877" s="1">
        <v>2.8237449999999999E-6</v>
      </c>
      <c r="I1877">
        <v>284.44119999999998</v>
      </c>
      <c r="J1877">
        <v>-335.66079999999999</v>
      </c>
      <c r="K1877">
        <v>1.1100209999999999</v>
      </c>
      <c r="L1877">
        <v>285.82929999999999</v>
      </c>
      <c r="M1877">
        <v>-0.99877780000000005</v>
      </c>
      <c r="N1877">
        <v>0</v>
      </c>
      <c r="O1877">
        <v>-4.8883669999999997E-2</v>
      </c>
      <c r="P1877">
        <v>-0.99663219999999997</v>
      </c>
      <c r="Q1877">
        <v>-7.283889E-3</v>
      </c>
      <c r="R1877">
        <v>-8.1678470000000003E-2</v>
      </c>
      <c r="S1877">
        <v>-2.9813540000000001</v>
      </c>
      <c r="T1877">
        <v>-0.26045459999999998</v>
      </c>
      <c r="U1877">
        <v>-0.32775880000000002</v>
      </c>
      <c r="V1877">
        <v>-3.2860380000000002E-2</v>
      </c>
      <c r="W1877" s="1">
        <v>-4.5121760000000003E-5</v>
      </c>
      <c r="X1877">
        <v>0.99945989999999996</v>
      </c>
      <c r="Y1877">
        <v>-6.0511179999999998E-2</v>
      </c>
      <c r="Z1877">
        <v>1.6154299999999999E-3</v>
      </c>
      <c r="AA1877">
        <v>0.9981662</v>
      </c>
      <c r="AB1877">
        <v>33</v>
      </c>
      <c r="AC1877">
        <v>-12.5334</v>
      </c>
      <c r="AD1877">
        <v>-1.1100181762550001</v>
      </c>
      <c r="AE1877">
        <v>-1.3880999999999999</v>
      </c>
      <c r="AF1877">
        <v>-0.76779608639003405</v>
      </c>
      <c r="AG1877">
        <v>-1.1100181762550001</v>
      </c>
      <c r="AH1877">
        <v>12.4894953836817</v>
      </c>
      <c r="AI1877">
        <v>95.069363216053105</v>
      </c>
      <c r="AJ1877">
        <v>93.517850917993599</v>
      </c>
      <c r="AK1877">
        <v>12.5622110363143</v>
      </c>
      <c r="AL1877">
        <v>90.002585286544502</v>
      </c>
      <c r="AM1877">
        <v>91.883100185309601</v>
      </c>
      <c r="AN1877">
        <v>0.99999994915886203</v>
      </c>
    </row>
    <row r="1878" spans="1:40" x14ac:dyDescent="0.3">
      <c r="A1878" t="str">
        <f>"20200111160442377"</f>
        <v>20200111160442377</v>
      </c>
      <c r="B1878" t="str">
        <f>"1578729882372756"</f>
        <v>1578729882372756</v>
      </c>
      <c r="C1878" t="s">
        <v>40</v>
      </c>
      <c r="D1878">
        <v>5.4196359999999997</v>
      </c>
      <c r="E1878">
        <v>0.4910254</v>
      </c>
      <c r="F1878" t="s">
        <v>57</v>
      </c>
      <c r="G1878">
        <v>-348.43779999999998</v>
      </c>
      <c r="H1878" s="1">
        <v>2.9533970000000001E-6</v>
      </c>
      <c r="I1878">
        <v>284.43650000000002</v>
      </c>
      <c r="J1878">
        <v>-335.83839999999998</v>
      </c>
      <c r="K1878">
        <v>1.110026</v>
      </c>
      <c r="L1878">
        <v>285.82029999999997</v>
      </c>
      <c r="M1878">
        <v>-0.99875840000000005</v>
      </c>
      <c r="N1878">
        <v>0</v>
      </c>
      <c r="O1878">
        <v>-4.9276430000000003E-2</v>
      </c>
      <c r="P1878">
        <v>-0.99660170000000003</v>
      </c>
      <c r="Q1878">
        <v>-7.0022879999999997E-3</v>
      </c>
      <c r="R1878">
        <v>-8.2074430000000004E-2</v>
      </c>
      <c r="S1878">
        <v>-2.9816280000000002</v>
      </c>
      <c r="T1878">
        <v>-0.25903300000000001</v>
      </c>
      <c r="U1878">
        <v>-0.32504270000000002</v>
      </c>
      <c r="V1878">
        <v>-3.2865159999999997E-2</v>
      </c>
      <c r="W1878">
        <v>2.5541000000000002E-4</v>
      </c>
      <c r="X1878">
        <v>0.99945969999999995</v>
      </c>
      <c r="Y1878">
        <v>-5.9216869999999998E-2</v>
      </c>
      <c r="Z1878">
        <v>1.696436E-3</v>
      </c>
      <c r="AA1878">
        <v>0.99824369999999996</v>
      </c>
      <c r="AB1878">
        <v>33</v>
      </c>
      <c r="AC1878">
        <v>-12.599399999999999</v>
      </c>
      <c r="AD1878">
        <v>-1.1100230466030001</v>
      </c>
      <c r="AE1878">
        <v>-1.38379999999995</v>
      </c>
      <c r="AF1878">
        <v>-0.75545495712218103</v>
      </c>
      <c r="AG1878">
        <v>-1.1100230466030001</v>
      </c>
      <c r="AH1878">
        <v>12.5559878314097</v>
      </c>
      <c r="AI1878">
        <v>95.043076076833501</v>
      </c>
      <c r="AJ1878">
        <v>93.443159053032304</v>
      </c>
      <c r="AK1878">
        <v>12.6275767183865</v>
      </c>
      <c r="AL1878">
        <v>89.985366083887399</v>
      </c>
      <c r="AM1878">
        <v>91.883374287808806</v>
      </c>
      <c r="AN1878">
        <v>0.99999993795008901</v>
      </c>
    </row>
    <row r="1879" spans="1:40" x14ac:dyDescent="0.3">
      <c r="A1879" t="str">
        <f>"20200111160442390"</f>
        <v>20200111160442390</v>
      </c>
      <c r="B1879" t="str">
        <f>"1578729882382516"</f>
        <v>1578729882382516</v>
      </c>
      <c r="C1879" t="s">
        <v>40</v>
      </c>
      <c r="D1879">
        <v>5.4162379999999999</v>
      </c>
      <c r="E1879">
        <v>0.49100290000000002</v>
      </c>
      <c r="F1879" t="s">
        <v>57</v>
      </c>
      <c r="G1879">
        <v>-348.7285</v>
      </c>
      <c r="H1879" s="1">
        <v>3.1081119999999998E-6</v>
      </c>
      <c r="I1879">
        <v>284.41070000000002</v>
      </c>
      <c r="J1879">
        <v>-336.02530000000002</v>
      </c>
      <c r="K1879">
        <v>1.1100289999999999</v>
      </c>
      <c r="L1879">
        <v>285.8107</v>
      </c>
      <c r="M1879">
        <v>-0.99873780000000001</v>
      </c>
      <c r="N1879">
        <v>0</v>
      </c>
      <c r="O1879">
        <v>-4.9689459999999998E-2</v>
      </c>
      <c r="P1879">
        <v>-0.99659410000000004</v>
      </c>
      <c r="Q1879">
        <v>-6.9427469999999896E-3</v>
      </c>
      <c r="R1879">
        <v>-8.2171969999999997E-2</v>
      </c>
      <c r="S1879">
        <v>-2.9815670000000001</v>
      </c>
      <c r="T1879">
        <v>-0.25675540000000002</v>
      </c>
      <c r="U1879">
        <v>-0.3260498</v>
      </c>
      <c r="V1879">
        <v>-3.2549179999999997E-2</v>
      </c>
      <c r="W1879">
        <v>3.3361129999999998E-4</v>
      </c>
      <c r="X1879">
        <v>0.99947010000000003</v>
      </c>
      <c r="Y1879">
        <v>-5.9141869999999999E-2</v>
      </c>
      <c r="Z1879">
        <v>1.720103E-3</v>
      </c>
      <c r="AA1879">
        <v>0.99824809999999997</v>
      </c>
      <c r="AB1879">
        <v>33</v>
      </c>
      <c r="AC1879">
        <v>-12.703199999999899</v>
      </c>
      <c r="AD1879">
        <v>-1.1100258918879999</v>
      </c>
      <c r="AE1879">
        <v>-1.3999999999999699</v>
      </c>
      <c r="AF1879">
        <v>-0.76129524456198805</v>
      </c>
      <c r="AG1879">
        <v>-1.1100258918879999</v>
      </c>
      <c r="AH1879">
        <v>12.6615564933917</v>
      </c>
      <c r="AI1879">
        <v>95.001267206387695</v>
      </c>
      <c r="AJ1879">
        <v>93.440852982772398</v>
      </c>
      <c r="AK1879">
        <v>12.7328999354194</v>
      </c>
      <c r="AL1879">
        <v>89.980885480551393</v>
      </c>
      <c r="AM1879">
        <v>91.865260162947607</v>
      </c>
      <c r="AN1879">
        <v>1.00000002060459</v>
      </c>
    </row>
    <row r="1880" spans="1:40" x14ac:dyDescent="0.3">
      <c r="A1880" t="str">
        <f>"20200111160442402"</f>
        <v>20200111160442402</v>
      </c>
      <c r="B1880" t="str">
        <f>"1578729882393252"</f>
        <v>1578729882393252</v>
      </c>
      <c r="C1880" t="s">
        <v>40</v>
      </c>
      <c r="D1880">
        <v>5.3841830000000002</v>
      </c>
      <c r="E1880">
        <v>0.49112470000000003</v>
      </c>
      <c r="F1880" t="s">
        <v>57</v>
      </c>
      <c r="G1880">
        <v>-349.01920000000001</v>
      </c>
      <c r="H1880" s="1">
        <v>3.2627979999999999E-6</v>
      </c>
      <c r="I1880">
        <v>284.387</v>
      </c>
      <c r="J1880">
        <v>-336.21519999999998</v>
      </c>
      <c r="K1880">
        <v>1.110031</v>
      </c>
      <c r="L1880">
        <v>285.80090000000001</v>
      </c>
      <c r="M1880">
        <v>-0.99871679999999996</v>
      </c>
      <c r="N1880">
        <v>0</v>
      </c>
      <c r="O1880">
        <v>-5.0108930000000003E-2</v>
      </c>
      <c r="P1880">
        <v>-0.99656699999999998</v>
      </c>
      <c r="Q1880">
        <v>-6.8466219999999897E-3</v>
      </c>
      <c r="R1880">
        <v>-8.2508499999999999E-2</v>
      </c>
      <c r="S1880">
        <v>-2.981598</v>
      </c>
      <c r="T1880">
        <v>-0.25470789999999999</v>
      </c>
      <c r="U1880">
        <v>-0.3266907</v>
      </c>
      <c r="V1880">
        <v>-3.2467210000000003E-2</v>
      </c>
      <c r="W1880">
        <v>4.4805209999999998E-4</v>
      </c>
      <c r="X1880">
        <v>0.99947269999999999</v>
      </c>
      <c r="Y1880">
        <v>-5.8936299999999997E-2</v>
      </c>
      <c r="Z1880">
        <v>1.7507110000000001E-3</v>
      </c>
      <c r="AA1880">
        <v>0.99826020000000004</v>
      </c>
      <c r="AB1880">
        <v>33</v>
      </c>
      <c r="AC1880">
        <v>-12.804</v>
      </c>
      <c r="AD1880">
        <v>-1.110027737202</v>
      </c>
      <c r="AE1880">
        <v>-1.4139000000000099</v>
      </c>
      <c r="AF1880">
        <v>-0.76483259677055204</v>
      </c>
      <c r="AG1880">
        <v>-1.110027737202</v>
      </c>
      <c r="AH1880">
        <v>12.763989005488501</v>
      </c>
      <c r="AI1880">
        <v>94.961401427542199</v>
      </c>
      <c r="AJ1880">
        <v>93.429127419290396</v>
      </c>
      <c r="AK1880">
        <v>12.834973541487001</v>
      </c>
      <c r="AL1880">
        <v>89.974328504790094</v>
      </c>
      <c r="AM1880">
        <v>91.860561267130194</v>
      </c>
      <c r="AN1880">
        <v>0.99999999926057903</v>
      </c>
    </row>
    <row r="1881" spans="1:40" x14ac:dyDescent="0.3">
      <c r="A1881" t="str">
        <f>"20200111160442415"</f>
        <v>20200111160442415</v>
      </c>
      <c r="B1881" t="str">
        <f>"1578729882412772"</f>
        <v>1578729882412772</v>
      </c>
      <c r="C1881" t="s">
        <v>40</v>
      </c>
      <c r="D1881">
        <v>5.3594860000000004</v>
      </c>
      <c r="E1881">
        <v>0.49132799999999999</v>
      </c>
      <c r="F1881" t="s">
        <v>57</v>
      </c>
      <c r="G1881">
        <v>-349.24970000000002</v>
      </c>
      <c r="H1881" s="1">
        <v>3.385461E-6</v>
      </c>
      <c r="I1881">
        <v>284.37279999999998</v>
      </c>
      <c r="J1881">
        <v>-336.4008</v>
      </c>
      <c r="K1881">
        <v>1.110034</v>
      </c>
      <c r="L1881">
        <v>285.79129999999998</v>
      </c>
      <c r="M1881">
        <v>-0.99869589999999997</v>
      </c>
      <c r="N1881">
        <v>0</v>
      </c>
      <c r="O1881">
        <v>-5.0518380000000002E-2</v>
      </c>
      <c r="P1881">
        <v>-0.99655729999999998</v>
      </c>
      <c r="Q1881">
        <v>-7.353961E-3</v>
      </c>
      <c r="R1881">
        <v>-8.2580299999999995E-2</v>
      </c>
      <c r="S1881">
        <v>-2.981506</v>
      </c>
      <c r="T1881">
        <v>-0.25390659999999998</v>
      </c>
      <c r="U1881">
        <v>-0.32666020000000001</v>
      </c>
      <c r="V1881">
        <v>-3.2128829999999997E-2</v>
      </c>
      <c r="W1881" s="1">
        <v>-4.2492990000000001E-5</v>
      </c>
      <c r="X1881">
        <v>0.99948380000000003</v>
      </c>
      <c r="Y1881">
        <v>-5.8523390000000002E-2</v>
      </c>
      <c r="Z1881">
        <v>1.7974009999999999E-3</v>
      </c>
      <c r="AA1881">
        <v>0.99828439999999996</v>
      </c>
      <c r="AB1881">
        <v>33</v>
      </c>
      <c r="AC1881">
        <v>-12.8489</v>
      </c>
      <c r="AD1881">
        <v>-1.110030614539</v>
      </c>
      <c r="AE1881">
        <v>-1.4184999999999901</v>
      </c>
      <c r="AF1881">
        <v>-0.76194713778590295</v>
      </c>
      <c r="AG1881">
        <v>-1.110030614539</v>
      </c>
      <c r="AH1881">
        <v>12.8097019848912</v>
      </c>
      <c r="AI1881">
        <v>94.943925219455593</v>
      </c>
      <c r="AJ1881">
        <v>93.404058677712598</v>
      </c>
      <c r="AK1881">
        <v>12.880263830672099</v>
      </c>
      <c r="AL1881">
        <v>90.0024346688284</v>
      </c>
      <c r="AM1881">
        <v>91.841163094729495</v>
      </c>
      <c r="AN1881">
        <v>1.00000006499262</v>
      </c>
    </row>
    <row r="1882" spans="1:40" x14ac:dyDescent="0.3">
      <c r="A1882" t="str">
        <f>"20200111160442429"</f>
        <v>20200111160442429</v>
      </c>
      <c r="B1882" t="str">
        <f>"1578729882422532"</f>
        <v>1578729882422532</v>
      </c>
      <c r="C1882" t="s">
        <v>40</v>
      </c>
      <c r="D1882">
        <v>5.4208030000000003</v>
      </c>
      <c r="E1882">
        <v>0.4911855</v>
      </c>
      <c r="F1882" t="s">
        <v>57</v>
      </c>
      <c r="G1882">
        <v>-349.3091</v>
      </c>
      <c r="H1882" s="1">
        <v>3.4170430000000002E-6</v>
      </c>
      <c r="I1882">
        <v>284.38189999999997</v>
      </c>
      <c r="J1882">
        <v>-336.6046</v>
      </c>
      <c r="K1882">
        <v>1.1100350000000001</v>
      </c>
      <c r="L1882">
        <v>285.78050000000002</v>
      </c>
      <c r="M1882">
        <v>-0.99867309999999998</v>
      </c>
      <c r="N1882">
        <v>0</v>
      </c>
      <c r="O1882">
        <v>-5.0967890000000002E-2</v>
      </c>
      <c r="P1882">
        <v>-0.99654169999999997</v>
      </c>
      <c r="Q1882">
        <v>-7.5769139999999997E-3</v>
      </c>
      <c r="R1882">
        <v>-8.2751130000000006E-2</v>
      </c>
      <c r="S1882">
        <v>-2.9814759999999998</v>
      </c>
      <c r="T1882">
        <v>-0.25638840000000002</v>
      </c>
      <c r="U1882">
        <v>-0.32553100000000001</v>
      </c>
      <c r="V1882">
        <v>-3.1850499999999997E-2</v>
      </c>
      <c r="W1882">
        <v>-2.4758879999999998E-4</v>
      </c>
      <c r="X1882">
        <v>0.99949259999999995</v>
      </c>
      <c r="Y1882">
        <v>-5.7705590000000001E-2</v>
      </c>
      <c r="Z1882">
        <v>1.8883459999999999E-3</v>
      </c>
      <c r="AA1882">
        <v>0.99833179999999999</v>
      </c>
      <c r="AB1882">
        <v>33</v>
      </c>
      <c r="AC1882">
        <v>-12.7044999999999</v>
      </c>
      <c r="AD1882">
        <v>-1.110031582957</v>
      </c>
      <c r="AE1882">
        <v>-1.39860000000004</v>
      </c>
      <c r="AF1882">
        <v>-0.74363401634505999</v>
      </c>
      <c r="AG1882">
        <v>-1.110031582957</v>
      </c>
      <c r="AH1882">
        <v>12.663754345684699</v>
      </c>
      <c r="AI1882">
        <v>95.0008430681508</v>
      </c>
      <c r="AJ1882">
        <v>93.3606320713413</v>
      </c>
      <c r="AK1882">
        <v>12.7340423979691</v>
      </c>
      <c r="AL1882">
        <v>90.014185793630404</v>
      </c>
      <c r="AM1882">
        <v>91.825207992993199</v>
      </c>
      <c r="AN1882">
        <v>0.99999998655261102</v>
      </c>
    </row>
    <row r="1883" spans="1:40" x14ac:dyDescent="0.3">
      <c r="A1883" t="str">
        <f>"20200111160442443"</f>
        <v>20200111160442443</v>
      </c>
      <c r="B1883" t="str">
        <f>"1578729882433268"</f>
        <v>1578729882433268</v>
      </c>
      <c r="C1883" t="s">
        <v>40</v>
      </c>
      <c r="D1883">
        <v>5.4690139999999996</v>
      </c>
      <c r="E1883">
        <v>0.49107149999999999</v>
      </c>
      <c r="F1883" t="s">
        <v>57</v>
      </c>
      <c r="G1883">
        <v>-349.35570000000001</v>
      </c>
      <c r="H1883" s="1">
        <v>3.44187E-6</v>
      </c>
      <c r="I1883">
        <v>284.38099999999997</v>
      </c>
      <c r="J1883">
        <v>-336.81959999999998</v>
      </c>
      <c r="K1883">
        <v>1.110033</v>
      </c>
      <c r="L1883">
        <v>285.76920000000001</v>
      </c>
      <c r="M1883">
        <v>-0.99864869999999994</v>
      </c>
      <c r="N1883">
        <v>0</v>
      </c>
      <c r="O1883">
        <v>-5.1442309999999998E-2</v>
      </c>
      <c r="P1883">
        <v>-0.99653599999999998</v>
      </c>
      <c r="Q1883">
        <v>-8.0150229999999996E-3</v>
      </c>
      <c r="R1883">
        <v>-8.2779099999999994E-2</v>
      </c>
      <c r="S1883">
        <v>-2.981293</v>
      </c>
      <c r="T1883">
        <v>-0.25953179999999998</v>
      </c>
      <c r="U1883">
        <v>-0.32720949999999999</v>
      </c>
      <c r="V1883">
        <v>-3.1402960000000001E-2</v>
      </c>
      <c r="W1883">
        <v>-6.6754659999999997E-4</v>
      </c>
      <c r="X1883">
        <v>0.99950660000000002</v>
      </c>
      <c r="Y1883">
        <v>-5.7794150000000002E-2</v>
      </c>
      <c r="Z1883">
        <v>1.9486219999999999E-3</v>
      </c>
      <c r="AA1883">
        <v>0.99832659999999995</v>
      </c>
      <c r="AB1883">
        <v>33</v>
      </c>
      <c r="AC1883">
        <v>-12.536099999999999</v>
      </c>
      <c r="AD1883">
        <v>-1.1100295581299999</v>
      </c>
      <c r="AE1883">
        <v>-1.3882000000000401</v>
      </c>
      <c r="AF1883">
        <v>-0.73575952795732602</v>
      </c>
      <c r="AG1883">
        <v>-1.1100295581299999</v>
      </c>
      <c r="AH1883">
        <v>12.494141330963901</v>
      </c>
      <c r="AI1883">
        <v>95.068321761486501</v>
      </c>
      <c r="AJ1883">
        <v>93.3701625213928</v>
      </c>
      <c r="AK1883">
        <v>12.5649144565733</v>
      </c>
      <c r="AL1883">
        <v>90.038247604980398</v>
      </c>
      <c r="AM1883">
        <v>91.799553294812995</v>
      </c>
      <c r="AN1883">
        <v>1.0000000174793899</v>
      </c>
    </row>
    <row r="1884" spans="1:40" x14ac:dyDescent="0.3">
      <c r="A1884" t="str">
        <f>"20200111160442455"</f>
        <v>20200111160442455</v>
      </c>
      <c r="B1884" t="str">
        <f>"1578729882452788"</f>
        <v>1578729882452788</v>
      </c>
      <c r="C1884" t="s">
        <v>40</v>
      </c>
      <c r="D1884">
        <v>6.110824</v>
      </c>
      <c r="E1884">
        <v>0.49074469999999998</v>
      </c>
      <c r="F1884" t="s">
        <v>57</v>
      </c>
      <c r="G1884">
        <v>-349.4083</v>
      </c>
      <c r="H1884" s="1">
        <v>3.469861E-6</v>
      </c>
      <c r="I1884">
        <v>284.38220000000001</v>
      </c>
      <c r="J1884">
        <v>-337.00009999999997</v>
      </c>
      <c r="K1884">
        <v>1.1100319999999999</v>
      </c>
      <c r="L1884">
        <v>285.7595</v>
      </c>
      <c r="M1884">
        <v>-0.99862790000000001</v>
      </c>
      <c r="N1884">
        <v>0</v>
      </c>
      <c r="O1884">
        <v>-5.184018E-2</v>
      </c>
      <c r="P1884">
        <v>-0.99655190000000005</v>
      </c>
      <c r="Q1884">
        <v>-7.8512630000000007E-3</v>
      </c>
      <c r="R1884">
        <v>-8.2601289999999994E-2</v>
      </c>
      <c r="S1884">
        <v>-2.9810490000000001</v>
      </c>
      <c r="T1884">
        <v>-0.26285819999999999</v>
      </c>
      <c r="U1884">
        <v>-0.32843020000000001</v>
      </c>
      <c r="V1884">
        <v>-3.082675E-2</v>
      </c>
      <c r="W1884">
        <v>-4.8907119999999995E-4</v>
      </c>
      <c r="X1884">
        <v>0.99952459999999999</v>
      </c>
      <c r="Y1884">
        <v>-5.7810029999999998E-2</v>
      </c>
      <c r="Z1884">
        <v>2.0077369999999999E-3</v>
      </c>
      <c r="AA1884">
        <v>0.99832560000000004</v>
      </c>
      <c r="AB1884">
        <v>33</v>
      </c>
      <c r="AC1884">
        <v>-12.408200000000001</v>
      </c>
      <c r="AD1884">
        <v>-1.1100285301389901</v>
      </c>
      <c r="AE1884">
        <v>-1.37729999999999</v>
      </c>
      <c r="AF1884">
        <v>-0.72644404307094901</v>
      </c>
      <c r="AG1884">
        <v>-1.1100285301389901</v>
      </c>
      <c r="AH1884">
        <v>12.3651628662607</v>
      </c>
      <c r="AI1884">
        <v>95.120945547729605</v>
      </c>
      <c r="AJ1884">
        <v>93.362219416982796</v>
      </c>
      <c r="AK1884">
        <v>12.4361222651834</v>
      </c>
      <c r="AL1884">
        <v>90.028021717407</v>
      </c>
      <c r="AM1884">
        <v>91.766522783051499</v>
      </c>
      <c r="AN1884">
        <v>0.99999997685567998</v>
      </c>
    </row>
    <row r="1885" spans="1:40" x14ac:dyDescent="0.3">
      <c r="A1885" t="str">
        <f>"20200111160442468"</f>
        <v>20200111160442468</v>
      </c>
      <c r="B1885" t="str">
        <f>"1578729882462548"</f>
        <v>1578729882462548</v>
      </c>
      <c r="C1885" t="s">
        <v>40</v>
      </c>
      <c r="D1885">
        <v>5.4695720000000003</v>
      </c>
      <c r="E1885">
        <v>0.4904329</v>
      </c>
      <c r="F1885" t="s">
        <v>57</v>
      </c>
      <c r="G1885">
        <v>-349.58229999999998</v>
      </c>
      <c r="H1885" s="1">
        <v>3.562462E-6</v>
      </c>
      <c r="I1885">
        <v>284.36380000000003</v>
      </c>
      <c r="J1885">
        <v>-337.1952</v>
      </c>
      <c r="K1885">
        <v>1.110031</v>
      </c>
      <c r="L1885">
        <v>285.74900000000002</v>
      </c>
      <c r="M1885">
        <v>-0.99860539999999998</v>
      </c>
      <c r="N1885">
        <v>0</v>
      </c>
      <c r="O1885">
        <v>-5.2270240000000003E-2</v>
      </c>
      <c r="P1885">
        <v>-0.99653380000000003</v>
      </c>
      <c r="Q1885">
        <v>-7.8739459999999997E-3</v>
      </c>
      <c r="R1885">
        <v>-8.2815589999999994E-2</v>
      </c>
      <c r="S1885">
        <v>-2.980896</v>
      </c>
      <c r="T1885">
        <v>-0.26297910000000002</v>
      </c>
      <c r="U1885">
        <v>-0.33065800000000001</v>
      </c>
      <c r="V1885">
        <v>-3.0611329999999999E-2</v>
      </c>
      <c r="W1885">
        <v>-4.9694339999999896E-4</v>
      </c>
      <c r="X1885">
        <v>0.99953130000000001</v>
      </c>
      <c r="Y1885">
        <v>-5.8123180000000003E-2</v>
      </c>
      <c r="Z1885">
        <v>2.0325719999999999E-3</v>
      </c>
      <c r="AA1885">
        <v>0.99830730000000001</v>
      </c>
      <c r="AB1885">
        <v>33</v>
      </c>
      <c r="AC1885">
        <v>-12.387099999999901</v>
      </c>
      <c r="AD1885">
        <v>-1.1100274375379999</v>
      </c>
      <c r="AE1885">
        <v>-1.38519999999999</v>
      </c>
      <c r="AF1885">
        <v>-0.73002192986619197</v>
      </c>
      <c r="AG1885">
        <v>-1.1100274375379999</v>
      </c>
      <c r="AH1885">
        <v>12.3446661209976</v>
      </c>
      <c r="AI1885">
        <v>95.129281791199503</v>
      </c>
      <c r="AJ1885">
        <v>93.384337710796402</v>
      </c>
      <c r="AK1885">
        <v>12.4159524229549</v>
      </c>
      <c r="AL1885">
        <v>90.028472758938193</v>
      </c>
      <c r="AM1885">
        <v>91.754174157460895</v>
      </c>
      <c r="AN1885">
        <v>1.00000006007839</v>
      </c>
    </row>
    <row r="1886" spans="1:40" x14ac:dyDescent="0.3">
      <c r="A1886" t="str">
        <f>"20200111160442481"</f>
        <v>20200111160442481</v>
      </c>
      <c r="B1886" t="str">
        <f>"1578729882472308"</f>
        <v>1578729882472308</v>
      </c>
      <c r="C1886" t="s">
        <v>40</v>
      </c>
      <c r="D1886">
        <v>5.5108160000000002</v>
      </c>
      <c r="E1886">
        <v>0.490093</v>
      </c>
      <c r="F1886" t="s">
        <v>57</v>
      </c>
      <c r="G1886">
        <v>-349.74430000000001</v>
      </c>
      <c r="H1886" s="1">
        <v>3.6486539999999999E-6</v>
      </c>
      <c r="I1886">
        <v>284.34309999999999</v>
      </c>
      <c r="J1886">
        <v>-337.3913</v>
      </c>
      <c r="K1886">
        <v>1.1100300000000001</v>
      </c>
      <c r="L1886">
        <v>285.73840000000001</v>
      </c>
      <c r="M1886">
        <v>-0.99858259999999999</v>
      </c>
      <c r="N1886">
        <v>0</v>
      </c>
      <c r="O1886">
        <v>-5.2701499999999998E-2</v>
      </c>
      <c r="P1886">
        <v>-0.99654909999999997</v>
      </c>
      <c r="Q1886">
        <v>-7.9306289999999998E-3</v>
      </c>
      <c r="R1886">
        <v>-8.2627969999999995E-2</v>
      </c>
      <c r="S1886">
        <v>-2.980591</v>
      </c>
      <c r="T1886">
        <v>-0.26364660000000001</v>
      </c>
      <c r="U1886">
        <v>-0.33392329999999998</v>
      </c>
      <c r="V1886">
        <v>-2.9991239999999999E-2</v>
      </c>
      <c r="W1886">
        <v>-5.3864470000000004E-4</v>
      </c>
      <c r="X1886">
        <v>0.99955000000000005</v>
      </c>
      <c r="Y1886">
        <v>-5.8782500000000001E-2</v>
      </c>
      <c r="Z1886">
        <v>2.0466099999999999E-3</v>
      </c>
      <c r="AA1886">
        <v>0.99826870000000001</v>
      </c>
      <c r="AB1886">
        <v>34</v>
      </c>
      <c r="AC1886">
        <v>-12.353</v>
      </c>
      <c r="AD1886">
        <v>-1.11002635134599</v>
      </c>
      <c r="AE1886">
        <v>-1.39530000000002</v>
      </c>
      <c r="AF1886">
        <v>-0.73644958023338003</v>
      </c>
      <c r="AG1886">
        <v>-1.11002635134599</v>
      </c>
      <c r="AH1886">
        <v>12.311212673854801</v>
      </c>
      <c r="AI1886">
        <v>95.142932999504197</v>
      </c>
      <c r="AJ1886">
        <v>93.423320793785393</v>
      </c>
      <c r="AK1886">
        <v>12.383072073835001</v>
      </c>
      <c r="AL1886">
        <v>90.030862069966901</v>
      </c>
      <c r="AM1886">
        <v>91.718629461564703</v>
      </c>
      <c r="AN1886">
        <v>0.99999998355742503</v>
      </c>
    </row>
    <row r="1887" spans="1:40" x14ac:dyDescent="0.3">
      <c r="A1887" t="str">
        <f>"20200111160442493"</f>
        <v>20200111160442493</v>
      </c>
      <c r="B1887" t="str">
        <f>"1578729882483044"</f>
        <v>1578729882483044</v>
      </c>
      <c r="C1887" t="s">
        <v>40</v>
      </c>
      <c r="D1887">
        <v>5.4317149999999996</v>
      </c>
      <c r="E1887">
        <v>0.48986629999999998</v>
      </c>
      <c r="F1887" t="s">
        <v>57</v>
      </c>
      <c r="G1887">
        <v>-349.87869999999998</v>
      </c>
      <c r="H1887" s="1">
        <v>3.720147E-6</v>
      </c>
      <c r="I1887">
        <v>284.32929999999999</v>
      </c>
      <c r="J1887">
        <v>-337.57040000000001</v>
      </c>
      <c r="K1887">
        <v>1.110026</v>
      </c>
      <c r="L1887">
        <v>285.72859999999997</v>
      </c>
      <c r="M1887">
        <v>-0.9985617</v>
      </c>
      <c r="N1887">
        <v>0</v>
      </c>
      <c r="O1887">
        <v>-5.3094820000000001E-2</v>
      </c>
      <c r="P1887">
        <v>-0.99653290000000005</v>
      </c>
      <c r="Q1887">
        <v>-7.7685969999999899E-3</v>
      </c>
      <c r="R1887">
        <v>-8.2837629999999995E-2</v>
      </c>
      <c r="S1887">
        <v>-2.9803470000000001</v>
      </c>
      <c r="T1887">
        <v>-0.26492870000000002</v>
      </c>
      <c r="U1887">
        <v>-0.33630369999999998</v>
      </c>
      <c r="V1887">
        <v>-2.980822E-2</v>
      </c>
      <c r="W1887">
        <v>-3.6438779999999998E-4</v>
      </c>
      <c r="X1887">
        <v>0.99955559999999999</v>
      </c>
      <c r="Y1887">
        <v>-5.9185420000000002E-2</v>
      </c>
      <c r="Z1887">
        <v>2.0734569999999999E-3</v>
      </c>
      <c r="AA1887">
        <v>0.99824489999999999</v>
      </c>
      <c r="AB1887">
        <v>34</v>
      </c>
      <c r="AC1887">
        <v>-12.3082999999999</v>
      </c>
      <c r="AD1887">
        <v>-1.1100222798529999</v>
      </c>
      <c r="AE1887">
        <v>-1.39929999999998</v>
      </c>
      <c r="AF1887">
        <v>-0.73787624591280898</v>
      </c>
      <c r="AG1887">
        <v>-1.1100222798529999</v>
      </c>
      <c r="AH1887">
        <v>12.266739388851899</v>
      </c>
      <c r="AI1887">
        <v>95.1613572015155</v>
      </c>
      <c r="AJ1887">
        <v>93.442342154069706</v>
      </c>
      <c r="AK1887">
        <v>12.338942663375301</v>
      </c>
      <c r="AL1887">
        <v>90.020877882879105</v>
      </c>
      <c r="AM1887">
        <v>91.708138281807507</v>
      </c>
      <c r="AN1887">
        <v>1.0000000301246901</v>
      </c>
    </row>
    <row r="1888" spans="1:40" x14ac:dyDescent="0.3">
      <c r="A1888" t="str">
        <f>"20200111160442507"</f>
        <v>20200111160442507</v>
      </c>
      <c r="B1888" t="str">
        <f>"1578729882502565"</f>
        <v>1578729882502565</v>
      </c>
      <c r="C1888" t="s">
        <v>40</v>
      </c>
      <c r="D1888">
        <v>5.4572349999999998</v>
      </c>
      <c r="E1888">
        <v>0.48948910000000001</v>
      </c>
      <c r="F1888" t="s">
        <v>57</v>
      </c>
      <c r="G1888">
        <v>-350.01170000000002</v>
      </c>
      <c r="H1888" s="1">
        <v>-1.53057E-6</v>
      </c>
      <c r="I1888">
        <v>284.31290000000001</v>
      </c>
      <c r="J1888">
        <v>-337.77510000000001</v>
      </c>
      <c r="K1888">
        <v>1.1100209999999999</v>
      </c>
      <c r="L1888">
        <v>285.71730000000002</v>
      </c>
      <c r="M1888">
        <v>-0.99853769999999997</v>
      </c>
      <c r="N1888">
        <v>0</v>
      </c>
      <c r="O1888">
        <v>-5.3542390000000002E-2</v>
      </c>
      <c r="P1888">
        <v>-0.99652790000000002</v>
      </c>
      <c r="Q1888">
        <v>-8.2558619999999992E-3</v>
      </c>
      <c r="R1888">
        <v>-8.2851449999999993E-2</v>
      </c>
      <c r="S1888">
        <v>-2.980194</v>
      </c>
      <c r="T1888">
        <v>-0.26589679999999999</v>
      </c>
      <c r="U1888">
        <v>-0.3391113</v>
      </c>
      <c r="V1888">
        <v>-2.9373050000000001E-2</v>
      </c>
      <c r="W1888">
        <v>-8.3767229999999904E-4</v>
      </c>
      <c r="X1888">
        <v>0.99956820000000002</v>
      </c>
      <c r="Y1888">
        <v>-5.967186E-2</v>
      </c>
      <c r="Z1888">
        <v>2.0990079999999999E-3</v>
      </c>
      <c r="AA1888">
        <v>0.99821590000000004</v>
      </c>
      <c r="AB1888">
        <v>34</v>
      </c>
      <c r="AC1888">
        <v>-12.236599999999999</v>
      </c>
      <c r="AD1888">
        <v>-1.11002253057</v>
      </c>
      <c r="AE1888">
        <v>-1.4044000000000001</v>
      </c>
      <c r="AF1888">
        <v>-0.74117060701492099</v>
      </c>
      <c r="AG1888">
        <v>-1.11002253057</v>
      </c>
      <c r="AH1888">
        <v>12.195195178489</v>
      </c>
      <c r="AI1888">
        <v>95.191279171256795</v>
      </c>
      <c r="AJ1888">
        <v>93.4779089199845</v>
      </c>
      <c r="AK1888">
        <v>12.268018149991301</v>
      </c>
      <c r="AL1888">
        <v>90.047995091477006</v>
      </c>
      <c r="AM1888">
        <v>91.683194428844999</v>
      </c>
      <c r="AN1888">
        <v>1.0000000321062099</v>
      </c>
    </row>
    <row r="1889" spans="1:40" x14ac:dyDescent="0.3">
      <c r="A1889" t="str">
        <f>"20200111160442522"</f>
        <v>20200111160442522</v>
      </c>
      <c r="B1889" t="str">
        <f>"1578729882512324"</f>
        <v>1578729882512324</v>
      </c>
      <c r="C1889" t="s">
        <v>40</v>
      </c>
      <c r="D1889">
        <v>5.4864889999999997</v>
      </c>
      <c r="E1889">
        <v>0.4892801</v>
      </c>
      <c r="F1889" t="s">
        <v>57</v>
      </c>
      <c r="G1889">
        <v>-350.02859999999998</v>
      </c>
      <c r="H1889" s="1">
        <v>-1.5215829999999999E-6</v>
      </c>
      <c r="I1889">
        <v>284.30869999999999</v>
      </c>
      <c r="J1889">
        <v>-338.0086</v>
      </c>
      <c r="K1889">
        <v>1.1100139999999901</v>
      </c>
      <c r="L1889">
        <v>285.70429999999999</v>
      </c>
      <c r="M1889">
        <v>-0.99851020000000001</v>
      </c>
      <c r="N1889">
        <v>0</v>
      </c>
      <c r="O1889">
        <v>-5.4048720000000001E-2</v>
      </c>
      <c r="P1889">
        <v>-0.99649520000000003</v>
      </c>
      <c r="Q1889">
        <v>-9.0353340000000008E-3</v>
      </c>
      <c r="R1889">
        <v>-8.3160399999999995E-2</v>
      </c>
      <c r="S1889">
        <v>-2.9797060000000002</v>
      </c>
      <c r="T1889">
        <v>-0.26992630000000001</v>
      </c>
      <c r="U1889">
        <v>-0.34252929999999998</v>
      </c>
      <c r="V1889">
        <v>-2.9175699999999999E-2</v>
      </c>
      <c r="W1889">
        <v>-1.602291E-3</v>
      </c>
      <c r="X1889">
        <v>0.99957300000000004</v>
      </c>
      <c r="Y1889">
        <v>-6.031301E-2</v>
      </c>
      <c r="Z1889">
        <v>2.1474810000000001E-3</v>
      </c>
      <c r="AA1889">
        <v>0.99817719999999999</v>
      </c>
      <c r="AB1889">
        <v>34</v>
      </c>
      <c r="AC1889">
        <v>-12.0199999999999</v>
      </c>
      <c r="AD1889">
        <v>-1.1100155215830001</v>
      </c>
      <c r="AE1889">
        <v>-1.3956</v>
      </c>
      <c r="AF1889">
        <v>-0.73766890119892103</v>
      </c>
      <c r="AG1889">
        <v>-1.1100155215830001</v>
      </c>
      <c r="AH1889">
        <v>11.977079505127801</v>
      </c>
      <c r="AI1889">
        <v>95.284993310223598</v>
      </c>
      <c r="AJ1889">
        <v>93.524397901219601</v>
      </c>
      <c r="AK1889">
        <v>12.0510050758476</v>
      </c>
      <c r="AL1889">
        <v>90.091804552458896</v>
      </c>
      <c r="AM1889">
        <v>91.671883892730406</v>
      </c>
      <c r="AN1889">
        <v>0.99999998556796899</v>
      </c>
    </row>
    <row r="1890" spans="1:40" x14ac:dyDescent="0.3">
      <c r="A1890" t="str">
        <f>"20200111160442534"</f>
        <v>20200111160442534</v>
      </c>
      <c r="B1890" t="str">
        <f>"1578729882523060"</f>
        <v>1578729882523060</v>
      </c>
      <c r="C1890" t="s">
        <v>40</v>
      </c>
      <c r="D1890">
        <v>5.4609959999999997</v>
      </c>
      <c r="E1890">
        <v>0.48907230000000002</v>
      </c>
      <c r="F1890" t="s">
        <v>57</v>
      </c>
      <c r="G1890">
        <v>-350.10890000000001</v>
      </c>
      <c r="H1890" s="1">
        <v>-1.47883999999999E-6</v>
      </c>
      <c r="I1890">
        <v>284.3014</v>
      </c>
      <c r="J1890">
        <v>-338.18560000000002</v>
      </c>
      <c r="K1890">
        <v>1.1100129999999999</v>
      </c>
      <c r="L1890">
        <v>285.69439999999997</v>
      </c>
      <c r="M1890">
        <v>-0.99848970000000004</v>
      </c>
      <c r="N1890">
        <v>0</v>
      </c>
      <c r="O1890">
        <v>-5.4427580000000003E-2</v>
      </c>
      <c r="P1890">
        <v>-0.99644889999999997</v>
      </c>
      <c r="Q1890">
        <v>-9.9197999999999995E-3</v>
      </c>
      <c r="R1890">
        <v>-8.3615610000000007E-2</v>
      </c>
      <c r="S1890">
        <v>-2.9792480000000001</v>
      </c>
      <c r="T1890">
        <v>-0.27330019999999999</v>
      </c>
      <c r="U1890">
        <v>-0.34542850000000003</v>
      </c>
      <c r="V1890">
        <v>-2.9252380000000001E-2</v>
      </c>
      <c r="W1890">
        <v>-2.4763580000000001E-3</v>
      </c>
      <c r="X1890">
        <v>0.99956900000000004</v>
      </c>
      <c r="Y1890">
        <v>-6.0908690000000001E-2</v>
      </c>
      <c r="Z1890">
        <v>2.1816909999999999E-3</v>
      </c>
      <c r="AA1890">
        <v>0.9981409</v>
      </c>
      <c r="AB1890">
        <v>34</v>
      </c>
      <c r="AC1890">
        <v>-11.9232999999999</v>
      </c>
      <c r="AD1890">
        <v>-1.1100144788399999</v>
      </c>
      <c r="AE1890">
        <v>-1.39299999999997</v>
      </c>
      <c r="AF1890">
        <v>-0.73567041252472898</v>
      </c>
      <c r="AG1890">
        <v>-1.1100144788399999</v>
      </c>
      <c r="AH1890">
        <v>11.8798697429398</v>
      </c>
      <c r="AI1890">
        <v>95.327876707969594</v>
      </c>
      <c r="AJ1890">
        <v>93.543561861939594</v>
      </c>
      <c r="AK1890">
        <v>11.9542732195778</v>
      </c>
      <c r="AL1890">
        <v>90.141885005570501</v>
      </c>
      <c r="AM1890">
        <v>91.676282162838206</v>
      </c>
      <c r="AN1890">
        <v>1.0000000099227999</v>
      </c>
    </row>
    <row r="1891" spans="1:40" x14ac:dyDescent="0.3">
      <c r="A1891" t="str">
        <f>"20200111160442548"</f>
        <v>20200111160442548</v>
      </c>
      <c r="B1891" t="str">
        <f>"1578729882542580"</f>
        <v>1578729882542580</v>
      </c>
      <c r="C1891" t="s">
        <v>40</v>
      </c>
      <c r="D1891">
        <v>5.4673870000000004</v>
      </c>
      <c r="E1891">
        <v>0.4888557</v>
      </c>
      <c r="F1891" t="s">
        <v>57</v>
      </c>
      <c r="G1891">
        <v>-350.13029999999998</v>
      </c>
      <c r="H1891" s="1">
        <v>-1.467443E-6</v>
      </c>
      <c r="I1891">
        <v>284.29680000000002</v>
      </c>
      <c r="J1891">
        <v>-338.3931</v>
      </c>
      <c r="K1891">
        <v>1.1100049999999999</v>
      </c>
      <c r="L1891">
        <v>285.68270000000001</v>
      </c>
      <c r="M1891">
        <v>-0.99846550000000001</v>
      </c>
      <c r="N1891">
        <v>0</v>
      </c>
      <c r="O1891">
        <v>-5.4866390000000001E-2</v>
      </c>
      <c r="P1891">
        <v>-0.99639279999999997</v>
      </c>
      <c r="Q1891">
        <v>-1.089975E-2</v>
      </c>
      <c r="R1891">
        <v>-8.4159289999999998E-2</v>
      </c>
      <c r="S1891">
        <v>-2.9786990000000002</v>
      </c>
      <c r="T1891">
        <v>-0.27680880000000002</v>
      </c>
      <c r="U1891">
        <v>-0.34851070000000001</v>
      </c>
      <c r="V1891">
        <v>-2.935716E-2</v>
      </c>
      <c r="W1891">
        <v>-3.4443120000000002E-3</v>
      </c>
      <c r="X1891">
        <v>0.99956299999999998</v>
      </c>
      <c r="Y1891">
        <v>-6.1508699999999999E-2</v>
      </c>
      <c r="Z1891">
        <v>2.222538E-3</v>
      </c>
      <c r="AA1891">
        <v>0.99810410000000005</v>
      </c>
      <c r="AB1891">
        <v>34</v>
      </c>
      <c r="AC1891">
        <v>-11.7371999999999</v>
      </c>
      <c r="AD1891">
        <v>-1.1100064674429999</v>
      </c>
      <c r="AE1891">
        <v>-1.3858999999999899</v>
      </c>
      <c r="AF1891">
        <v>-0.73334765424013804</v>
      </c>
      <c r="AG1891">
        <v>-1.1100064674429999</v>
      </c>
      <c r="AH1891">
        <v>11.6924240699223</v>
      </c>
      <c r="AI1891">
        <v>95.4124825042597</v>
      </c>
      <c r="AJ1891">
        <v>93.588884450992097</v>
      </c>
      <c r="AK1891">
        <v>11.7678670017401</v>
      </c>
      <c r="AL1891">
        <v>90.197344941274395</v>
      </c>
      <c r="AM1891">
        <v>91.682293137701706</v>
      </c>
      <c r="AN1891">
        <v>0.999999948548708</v>
      </c>
    </row>
    <row r="1892" spans="1:40" x14ac:dyDescent="0.3">
      <c r="A1892" t="str">
        <f>"20200111160442560"</f>
        <v>20200111160442560</v>
      </c>
      <c r="B1892" t="str">
        <f>"1578729882552341"</f>
        <v>1578729882552341</v>
      </c>
      <c r="C1892" t="s">
        <v>40</v>
      </c>
      <c r="D1892">
        <v>5.5816699999999999</v>
      </c>
      <c r="E1892">
        <v>0.48867719999999998</v>
      </c>
      <c r="F1892" t="s">
        <v>57</v>
      </c>
      <c r="G1892">
        <v>-350.11200000000002</v>
      </c>
      <c r="H1892" s="1">
        <v>-1.4772049999999999E-6</v>
      </c>
      <c r="I1892">
        <v>284.2971</v>
      </c>
      <c r="J1892">
        <v>-338.58839999999998</v>
      </c>
      <c r="K1892">
        <v>1.109996</v>
      </c>
      <c r="L1892">
        <v>285.67169999999999</v>
      </c>
      <c r="M1892">
        <v>-0.99844330000000003</v>
      </c>
      <c r="N1892">
        <v>0</v>
      </c>
      <c r="O1892">
        <v>-5.526963E-2</v>
      </c>
      <c r="P1892">
        <v>-0.99632520000000002</v>
      </c>
      <c r="Q1892">
        <v>-1.1932430000000001E-2</v>
      </c>
      <c r="R1892">
        <v>-8.481909E-2</v>
      </c>
      <c r="S1892">
        <v>-2.978027</v>
      </c>
      <c r="T1892">
        <v>-0.28207759999999998</v>
      </c>
      <c r="U1892">
        <v>-0.35211179999999997</v>
      </c>
      <c r="V1892">
        <v>-2.9614419999999999E-2</v>
      </c>
      <c r="W1892">
        <v>-4.4661900000000001E-3</v>
      </c>
      <c r="X1892">
        <v>0.99955139999999998</v>
      </c>
      <c r="Y1892">
        <v>-6.2319119999999999E-2</v>
      </c>
      <c r="Z1892">
        <v>2.2646709999999998E-3</v>
      </c>
      <c r="AA1892">
        <v>0.99805370000000004</v>
      </c>
      <c r="AB1892">
        <v>34</v>
      </c>
      <c r="AC1892">
        <v>-11.523599999999901</v>
      </c>
      <c r="AD1892">
        <v>-1.1099974772050001</v>
      </c>
      <c r="AE1892">
        <v>-1.3745999999999801</v>
      </c>
      <c r="AF1892">
        <v>-0.72890760820426703</v>
      </c>
      <c r="AG1892">
        <v>-1.1099974772050001</v>
      </c>
      <c r="AH1892">
        <v>11.4769679471617</v>
      </c>
      <c r="AI1892">
        <v>95.513153493854006</v>
      </c>
      <c r="AJ1892">
        <v>93.634001018236106</v>
      </c>
      <c r="AK1892">
        <v>11.553535993836499</v>
      </c>
      <c r="AL1892">
        <v>90.255894693090198</v>
      </c>
      <c r="AM1892">
        <v>91.697046356131196</v>
      </c>
      <c r="AN1892">
        <v>0.99999998098350595</v>
      </c>
    </row>
    <row r="1893" spans="1:40" x14ac:dyDescent="0.3">
      <c r="A1893" t="str">
        <f>"20200111160442572"</f>
        <v>20200111160442572</v>
      </c>
      <c r="B1893" t="str">
        <f>"1578729882563078"</f>
        <v>1578729882563078</v>
      </c>
      <c r="C1893" t="s">
        <v>40</v>
      </c>
      <c r="D1893">
        <v>5.5217070000000001</v>
      </c>
      <c r="E1893">
        <v>0.4884966</v>
      </c>
      <c r="F1893" t="s">
        <v>57</v>
      </c>
      <c r="G1893">
        <v>-350.14980000000003</v>
      </c>
      <c r="H1893" s="1">
        <v>-1.4570859999999901E-6</v>
      </c>
      <c r="I1893">
        <v>284.29090000000002</v>
      </c>
      <c r="J1893">
        <v>-338.76819999999998</v>
      </c>
      <c r="K1893">
        <v>1.1099889999999999</v>
      </c>
      <c r="L1893">
        <v>285.66140000000001</v>
      </c>
      <c r="M1893">
        <v>-0.99842319999999996</v>
      </c>
      <c r="N1893">
        <v>0</v>
      </c>
      <c r="O1893">
        <v>-5.5627660000000002E-2</v>
      </c>
      <c r="P1893">
        <v>-0.9962742</v>
      </c>
      <c r="Q1893">
        <v>-1.267045E-2</v>
      </c>
      <c r="R1893">
        <v>-8.5307330000000001E-2</v>
      </c>
      <c r="S1893">
        <v>-2.9773860000000001</v>
      </c>
      <c r="T1893">
        <v>-0.28585569999999999</v>
      </c>
      <c r="U1893">
        <v>-0.35559079999999998</v>
      </c>
      <c r="V1893">
        <v>-2.974539E-2</v>
      </c>
      <c r="W1893">
        <v>-5.1944280000000001E-3</v>
      </c>
      <c r="X1893">
        <v>0.99954399999999999</v>
      </c>
      <c r="Y1893">
        <v>-6.3133300000000003E-2</v>
      </c>
      <c r="Z1893">
        <v>2.2903799999999998E-3</v>
      </c>
      <c r="AA1893">
        <v>0.99800250000000001</v>
      </c>
      <c r="AB1893">
        <v>34</v>
      </c>
      <c r="AC1893">
        <v>-11.381600000000001</v>
      </c>
      <c r="AD1893">
        <v>-1.109990457086</v>
      </c>
      <c r="AE1893">
        <v>-1.3704999999999901</v>
      </c>
      <c r="AF1893">
        <v>-0.72839917610383698</v>
      </c>
      <c r="AG1893">
        <v>-1.109990457086</v>
      </c>
      <c r="AH1893">
        <v>11.333957410632699</v>
      </c>
      <c r="AI1893">
        <v>95.581979050714693</v>
      </c>
      <c r="AJ1893">
        <v>93.677169550978306</v>
      </c>
      <c r="AK1893">
        <v>11.411451912907699</v>
      </c>
      <c r="AL1893">
        <v>90.297620143034095</v>
      </c>
      <c r="AM1893">
        <v>91.704559750792399</v>
      </c>
      <c r="AN1893">
        <v>0.99999998912224897</v>
      </c>
    </row>
    <row r="1894" spans="1:40" x14ac:dyDescent="0.3">
      <c r="A1894" t="str">
        <f>"20200111160442589"</f>
        <v>20200111160442589</v>
      </c>
      <c r="B1894" t="str">
        <f>"1578729882582598"</f>
        <v>1578729882582598</v>
      </c>
      <c r="C1894" t="s">
        <v>40</v>
      </c>
      <c r="D1894">
        <v>5.4704959999999998</v>
      </c>
      <c r="E1894">
        <v>0.48826520000000001</v>
      </c>
      <c r="F1894" t="s">
        <v>57</v>
      </c>
      <c r="G1894">
        <v>-350.2056</v>
      </c>
      <c r="H1894" s="1">
        <v>-1.4273760000000001E-6</v>
      </c>
      <c r="I1894">
        <v>284.28460000000001</v>
      </c>
      <c r="J1894">
        <v>-339.0215</v>
      </c>
      <c r="K1894">
        <v>1.10997099999999</v>
      </c>
      <c r="L1894">
        <v>285.64679999999998</v>
      </c>
      <c r="M1894">
        <v>-0.9983959</v>
      </c>
      <c r="N1894">
        <v>0</v>
      </c>
      <c r="O1894">
        <v>-5.611435E-2</v>
      </c>
      <c r="P1894">
        <v>-0.99619270000000004</v>
      </c>
      <c r="Q1894">
        <v>-1.3455470000000001E-2</v>
      </c>
      <c r="R1894">
        <v>-8.613411E-2</v>
      </c>
      <c r="S1894">
        <v>-2.9768680000000001</v>
      </c>
      <c r="T1894">
        <v>-0.28890130000000003</v>
      </c>
      <c r="U1894">
        <v>-0.35833739999999997</v>
      </c>
      <c r="V1894">
        <v>-3.0087470000000002E-2</v>
      </c>
      <c r="W1894">
        <v>-5.9659209999999999E-3</v>
      </c>
      <c r="X1894">
        <v>0.99952949999999996</v>
      </c>
      <c r="Y1894">
        <v>-6.3574489999999997E-2</v>
      </c>
      <c r="Z1894">
        <v>2.3404480000000002E-3</v>
      </c>
      <c r="AA1894">
        <v>0.99797429999999998</v>
      </c>
      <c r="AB1894">
        <v>34</v>
      </c>
      <c r="AC1894">
        <v>-11.184100000000001</v>
      </c>
      <c r="AD1894">
        <v>-1.1099724273760001</v>
      </c>
      <c r="AE1894">
        <v>-1.3621999999999701</v>
      </c>
      <c r="AF1894">
        <v>-0.725406616518952</v>
      </c>
      <c r="AG1894">
        <v>-1.1099724273760001</v>
      </c>
      <c r="AH1894">
        <v>11.134846386433001</v>
      </c>
      <c r="AI1894">
        <v>95.680735704647603</v>
      </c>
      <c r="AJ1894">
        <v>93.727405424561994</v>
      </c>
      <c r="AK1894">
        <v>11.2135211953376</v>
      </c>
      <c r="AL1894">
        <v>90.341824110074398</v>
      </c>
      <c r="AM1894">
        <v>91.724175879352103</v>
      </c>
      <c r="AN1894">
        <v>1.0000000347173099</v>
      </c>
    </row>
    <row r="1895" spans="1:40" x14ac:dyDescent="0.3">
      <c r="A1895" t="str">
        <f>"20200111160442613"</f>
        <v>20200111160442613</v>
      </c>
      <c r="B1895" t="str">
        <f>"1578729882603093"</f>
        <v>1578729882603093</v>
      </c>
      <c r="C1895" t="s">
        <v>40</v>
      </c>
      <c r="D1895">
        <v>5.5551550000000001</v>
      </c>
      <c r="E1895">
        <v>0.48811539999999998</v>
      </c>
      <c r="F1895" t="s">
        <v>57</v>
      </c>
      <c r="G1895">
        <v>-350.3048</v>
      </c>
      <c r="H1895" s="1">
        <v>-1.3745909999999999E-6</v>
      </c>
      <c r="I1895">
        <v>284.27249999999998</v>
      </c>
      <c r="J1895">
        <v>-339.39139999999998</v>
      </c>
      <c r="K1895">
        <v>1.109934</v>
      </c>
      <c r="L1895">
        <v>285.62540000000001</v>
      </c>
      <c r="M1895">
        <v>-0.99835910000000005</v>
      </c>
      <c r="N1895">
        <v>0</v>
      </c>
      <c r="O1895">
        <v>-5.6766289999999997E-2</v>
      </c>
      <c r="P1895">
        <v>-0.99609939999999997</v>
      </c>
      <c r="Q1895">
        <v>-1.334251E-2</v>
      </c>
      <c r="R1895">
        <v>-8.7225919999999998E-2</v>
      </c>
      <c r="S1895">
        <v>-2.976105</v>
      </c>
      <c r="T1895">
        <v>-0.29276960000000002</v>
      </c>
      <c r="U1895">
        <v>-0.36248780000000003</v>
      </c>
      <c r="V1895">
        <v>-3.0530740000000001E-2</v>
      </c>
      <c r="W1895">
        <v>-5.8326230000000003E-3</v>
      </c>
      <c r="X1895">
        <v>0.99951679999999998</v>
      </c>
      <c r="Y1895">
        <v>-6.4323370000000005E-2</v>
      </c>
      <c r="Z1895">
        <v>2.3989369999999999E-3</v>
      </c>
      <c r="AA1895">
        <v>0.99792619999999999</v>
      </c>
      <c r="AB1895">
        <v>34</v>
      </c>
      <c r="AC1895">
        <v>-10.913399999999999</v>
      </c>
      <c r="AD1895">
        <v>-1.1099353745909999</v>
      </c>
      <c r="AE1895">
        <v>-1.35290000000003</v>
      </c>
      <c r="AF1895">
        <v>-0.72381393814417105</v>
      </c>
      <c r="AG1895">
        <v>-1.1099353745909999</v>
      </c>
      <c r="AH1895">
        <v>10.861950267878701</v>
      </c>
      <c r="AI1895">
        <v>95.821731772985999</v>
      </c>
      <c r="AJ1895">
        <v>93.812414917322698</v>
      </c>
      <c r="AK1895">
        <v>10.942478091122201</v>
      </c>
      <c r="AL1895">
        <v>90.334186579717993</v>
      </c>
      <c r="AM1895">
        <v>91.749584207928294</v>
      </c>
      <c r="AN1895">
        <v>0.99999998952912295</v>
      </c>
    </row>
    <row r="1896" spans="1:40" x14ac:dyDescent="0.3">
      <c r="A1896" t="str">
        <f>"20200111160442628"</f>
        <v>20200111160442628</v>
      </c>
      <c r="B1896" t="str">
        <f>"1578729882622612"</f>
        <v>1578729882622612</v>
      </c>
      <c r="C1896" t="s">
        <v>40</v>
      </c>
      <c r="D1896">
        <v>5.5094690000000002</v>
      </c>
      <c r="E1896">
        <v>0.48807460000000003</v>
      </c>
      <c r="F1896" t="s">
        <v>57</v>
      </c>
      <c r="G1896">
        <v>-350.7131</v>
      </c>
      <c r="H1896" s="1">
        <v>-1.157317E-6</v>
      </c>
      <c r="I1896">
        <v>284.23059999999998</v>
      </c>
      <c r="J1896">
        <v>-339.61130000000003</v>
      </c>
      <c r="K1896">
        <v>1.1099030000000001</v>
      </c>
      <c r="L1896">
        <v>285.61250000000001</v>
      </c>
      <c r="M1896">
        <v>-0.99833890000000003</v>
      </c>
      <c r="N1896">
        <v>0</v>
      </c>
      <c r="O1896">
        <v>-5.7118019999999999E-2</v>
      </c>
      <c r="P1896">
        <v>-0.9960772</v>
      </c>
      <c r="Q1896">
        <v>-1.2827069999999999E-2</v>
      </c>
      <c r="R1896">
        <v>-8.7554859999999998E-2</v>
      </c>
      <c r="S1896">
        <v>-2.9757690000000001</v>
      </c>
      <c r="T1896">
        <v>-0.29173339999999998</v>
      </c>
      <c r="U1896">
        <v>-0.36660769999999998</v>
      </c>
      <c r="V1896">
        <v>-3.0509379999999999E-2</v>
      </c>
      <c r="W1896">
        <v>-5.3044950000000002E-3</v>
      </c>
      <c r="X1896">
        <v>0.99952039999999998</v>
      </c>
      <c r="Y1896">
        <v>-6.5343540000000006E-2</v>
      </c>
      <c r="Z1896">
        <v>2.3749719999999999E-3</v>
      </c>
      <c r="AA1896">
        <v>0.99785999999999997</v>
      </c>
      <c r="AB1896">
        <v>34</v>
      </c>
      <c r="AC1896">
        <v>-11.1017999999999</v>
      </c>
      <c r="AD1896">
        <v>-1.1099041573170001</v>
      </c>
      <c r="AE1896">
        <v>-1.3819000000000301</v>
      </c>
      <c r="AF1896">
        <v>-0.73824671315504997</v>
      </c>
      <c r="AG1896">
        <v>-1.1099041573170001</v>
      </c>
      <c r="AH1896">
        <v>11.053810712669801</v>
      </c>
      <c r="AI1896">
        <v>95.721144389735699</v>
      </c>
      <c r="AJ1896">
        <v>93.820917485719207</v>
      </c>
      <c r="AK1896">
        <v>11.133895397364199</v>
      </c>
      <c r="AL1896">
        <v>90.303926602784202</v>
      </c>
      <c r="AM1896">
        <v>91.748354625786405</v>
      </c>
      <c r="AN1896">
        <v>0.99999999497567404</v>
      </c>
    </row>
    <row r="1897" spans="1:40" x14ac:dyDescent="0.3">
      <c r="A1897" t="str">
        <f>"20200111160442644"</f>
        <v>20200111160442644</v>
      </c>
      <c r="B1897" t="str">
        <f>"1578729882632373"</f>
        <v>1578729882632373</v>
      </c>
      <c r="C1897" t="s">
        <v>40</v>
      </c>
      <c r="D1897">
        <v>5.5680019999999999</v>
      </c>
      <c r="E1897">
        <v>0.48799029999999999</v>
      </c>
      <c r="F1897" t="s">
        <v>57</v>
      </c>
      <c r="G1897">
        <v>-351.00540000000001</v>
      </c>
      <c r="H1897" s="1">
        <v>-1.0017850000000001E-6</v>
      </c>
      <c r="I1897">
        <v>284.20409999999998</v>
      </c>
      <c r="J1897">
        <v>-339.85309999999998</v>
      </c>
      <c r="K1897">
        <v>1.1098629999999901</v>
      </c>
      <c r="L1897">
        <v>285.59840000000003</v>
      </c>
      <c r="M1897">
        <v>-0.9983187</v>
      </c>
      <c r="N1897">
        <v>0</v>
      </c>
      <c r="O1897">
        <v>-5.746619E-2</v>
      </c>
      <c r="P1897">
        <v>-0.99607520000000005</v>
      </c>
      <c r="Q1897">
        <v>-1.193807E-2</v>
      </c>
      <c r="R1897">
        <v>-8.7702459999999996E-2</v>
      </c>
      <c r="S1897">
        <v>-2.9757389999999999</v>
      </c>
      <c r="T1897">
        <v>-0.28986879999999998</v>
      </c>
      <c r="U1897">
        <v>-0.3678284</v>
      </c>
      <c r="V1897">
        <v>-3.030981E-2</v>
      </c>
      <c r="W1897">
        <v>-4.4009720000000004E-3</v>
      </c>
      <c r="X1897">
        <v>0.9995309</v>
      </c>
      <c r="Y1897">
        <v>-6.5401810000000005E-2</v>
      </c>
      <c r="Z1897">
        <v>2.390601E-3</v>
      </c>
      <c r="AA1897">
        <v>0.99785610000000002</v>
      </c>
      <c r="AB1897">
        <v>34</v>
      </c>
      <c r="AC1897">
        <v>-11.1523</v>
      </c>
      <c r="AD1897">
        <v>-1.1098640017850001</v>
      </c>
      <c r="AE1897">
        <v>-1.3943000000000401</v>
      </c>
      <c r="AF1897">
        <v>-0.74384348809997602</v>
      </c>
      <c r="AG1897">
        <v>-1.1098640017850001</v>
      </c>
      <c r="AH1897">
        <v>11.105698602789101</v>
      </c>
      <c r="AI1897">
        <v>95.694313271146896</v>
      </c>
      <c r="AJ1897">
        <v>93.831864476126299</v>
      </c>
      <c r="AK1897">
        <v>11.1857785912845</v>
      </c>
      <c r="AL1897">
        <v>90.252157926120802</v>
      </c>
      <c r="AM1897">
        <v>91.736906964815304</v>
      </c>
      <c r="AN1897">
        <v>1.00000003659579</v>
      </c>
    </row>
    <row r="1898" spans="1:40" x14ac:dyDescent="0.3">
      <c r="A1898" t="str">
        <f>"20200111160442656"</f>
        <v>20200111160442656</v>
      </c>
      <c r="B1898" t="str">
        <f>"1578729882652868"</f>
        <v>1578729882652868</v>
      </c>
      <c r="C1898" t="s">
        <v>40</v>
      </c>
      <c r="D1898">
        <v>5.5495010000000002</v>
      </c>
      <c r="E1898">
        <v>0.48801800000000001</v>
      </c>
      <c r="F1898" t="s">
        <v>57</v>
      </c>
      <c r="G1898">
        <v>-351.37639999999999</v>
      </c>
      <c r="H1898" s="1">
        <v>-8.043165E-7</v>
      </c>
      <c r="I1898">
        <v>284.1721</v>
      </c>
      <c r="J1898">
        <v>-340.05259999999998</v>
      </c>
      <c r="K1898">
        <v>1.109829</v>
      </c>
      <c r="L1898">
        <v>285.58670000000001</v>
      </c>
      <c r="M1898">
        <v>-0.99830490000000005</v>
      </c>
      <c r="N1898">
        <v>0</v>
      </c>
      <c r="O1898">
        <v>-5.7706489999999999E-2</v>
      </c>
      <c r="P1898">
        <v>-0.99608580000000002</v>
      </c>
      <c r="Q1898">
        <v>-1.139694E-2</v>
      </c>
      <c r="R1898">
        <v>-8.7657250000000006E-2</v>
      </c>
      <c r="S1898">
        <v>-2.9759220000000002</v>
      </c>
      <c r="T1898">
        <v>-0.28662459999999901</v>
      </c>
      <c r="U1898">
        <v>-0.36834719999999999</v>
      </c>
      <c r="V1898">
        <v>-3.0024390000000001E-2</v>
      </c>
      <c r="W1898">
        <v>-3.847643E-3</v>
      </c>
      <c r="X1898">
        <v>0.99954180000000004</v>
      </c>
      <c r="Y1898">
        <v>-6.5327730000000001E-2</v>
      </c>
      <c r="Z1898">
        <v>2.3902730000000001E-3</v>
      </c>
      <c r="AA1898">
        <v>0.997861</v>
      </c>
      <c r="AB1898">
        <v>34</v>
      </c>
      <c r="AC1898">
        <v>-11.3238</v>
      </c>
      <c r="AD1898">
        <v>-1.1098298043165</v>
      </c>
      <c r="AE1898">
        <v>-1.4146000000000001</v>
      </c>
      <c r="AF1898">
        <v>-0.75165784974140104</v>
      </c>
      <c r="AG1898">
        <v>-1.1098298043165</v>
      </c>
      <c r="AH1898">
        <v>11.2798767416499</v>
      </c>
      <c r="AI1898">
        <v>95.606904083080195</v>
      </c>
      <c r="AJ1898">
        <v>93.812386133931895</v>
      </c>
      <c r="AK1898">
        <v>11.359239896421</v>
      </c>
      <c r="AL1898">
        <v>90.220454240291801</v>
      </c>
      <c r="AM1898">
        <v>91.720542066983697</v>
      </c>
      <c r="AN1898">
        <v>1.00000003914938</v>
      </c>
    </row>
    <row r="1899" spans="1:40" x14ac:dyDescent="0.3">
      <c r="A1899" t="str">
        <f>"20200111160442670"</f>
        <v>20200111160442670</v>
      </c>
      <c r="B1899" t="str">
        <f>"1578729882662629"</f>
        <v>1578729882662629</v>
      </c>
      <c r="C1899" t="s">
        <v>40</v>
      </c>
      <c r="D1899">
        <v>5.4573530000000003</v>
      </c>
      <c r="E1899">
        <v>0.48796499999999998</v>
      </c>
      <c r="F1899" t="s">
        <v>57</v>
      </c>
      <c r="G1899">
        <v>-351.71379999999999</v>
      </c>
      <c r="H1899" s="1">
        <v>-6.2479599999999897E-7</v>
      </c>
      <c r="I1899">
        <v>284.14580000000001</v>
      </c>
      <c r="J1899">
        <v>-340.26429999999999</v>
      </c>
      <c r="K1899">
        <v>1.1097919999999999</v>
      </c>
      <c r="L1899">
        <v>285.57420000000002</v>
      </c>
      <c r="M1899">
        <v>-0.9982917</v>
      </c>
      <c r="N1899">
        <v>0</v>
      </c>
      <c r="O1899">
        <v>-5.7934600000000003E-2</v>
      </c>
      <c r="P1899">
        <v>-0.99613200000000002</v>
      </c>
      <c r="Q1899">
        <v>-1.11961E-2</v>
      </c>
      <c r="R1899">
        <v>-8.7157090000000007E-2</v>
      </c>
      <c r="S1899">
        <v>-2.9761660000000001</v>
      </c>
      <c r="T1899">
        <v>-0.28325129999999998</v>
      </c>
      <c r="U1899">
        <v>-0.36773679999999997</v>
      </c>
      <c r="V1899">
        <v>-2.9294710000000002E-2</v>
      </c>
      <c r="W1899">
        <v>-3.6334940000000001E-3</v>
      </c>
      <c r="X1899">
        <v>0.99956420000000001</v>
      </c>
      <c r="Y1899">
        <v>-6.489193E-2</v>
      </c>
      <c r="Z1899">
        <v>2.404242E-3</v>
      </c>
      <c r="AA1899">
        <v>0.99788940000000004</v>
      </c>
      <c r="AB1899">
        <v>34</v>
      </c>
      <c r="AC1899">
        <v>-11.4495</v>
      </c>
      <c r="AD1899">
        <v>-1.1097926247959999</v>
      </c>
      <c r="AE1899">
        <v>-1.4284000000000101</v>
      </c>
      <c r="AF1899">
        <v>-0.75566857387764197</v>
      </c>
      <c r="AG1899">
        <v>-1.1097926247959999</v>
      </c>
      <c r="AH1899">
        <v>11.4074900172114</v>
      </c>
      <c r="AI1899">
        <v>95.544532794824704</v>
      </c>
      <c r="AJ1899">
        <v>93.789918317573793</v>
      </c>
      <c r="AK1899">
        <v>11.486231024856499</v>
      </c>
      <c r="AL1899">
        <v>90.208184332062601</v>
      </c>
      <c r="AM1899">
        <v>91.678714516374299</v>
      </c>
      <c r="AN1899">
        <v>0.99999998611713503</v>
      </c>
    </row>
    <row r="1900" spans="1:40" x14ac:dyDescent="0.3">
      <c r="A1900" t="str">
        <f>"20200111160442682"</f>
        <v>20200111160442682</v>
      </c>
      <c r="B1900" t="str">
        <f>"1578729882672388"</f>
        <v>1578729882672388</v>
      </c>
      <c r="C1900" t="s">
        <v>40</v>
      </c>
      <c r="D1900">
        <v>5.6548829999999999</v>
      </c>
      <c r="E1900">
        <v>0.4878169</v>
      </c>
      <c r="F1900" t="s">
        <v>57</v>
      </c>
      <c r="G1900">
        <v>-351.97919999999999</v>
      </c>
      <c r="H1900" s="1">
        <v>-4.8354580000000002E-7</v>
      </c>
      <c r="I1900">
        <v>284.13240000000002</v>
      </c>
      <c r="J1900">
        <v>-340.44670000000002</v>
      </c>
      <c r="K1900">
        <v>1.109756</v>
      </c>
      <c r="L1900">
        <v>285.56349999999998</v>
      </c>
      <c r="M1900">
        <v>-0.99828139999999999</v>
      </c>
      <c r="N1900">
        <v>0</v>
      </c>
      <c r="O1900">
        <v>-5.81097E-2</v>
      </c>
      <c r="P1900">
        <v>-0.99617909999999998</v>
      </c>
      <c r="Q1900">
        <v>-1.060753E-2</v>
      </c>
      <c r="R1900">
        <v>-8.6688589999999996E-2</v>
      </c>
      <c r="S1900">
        <v>-2.97641</v>
      </c>
      <c r="T1900">
        <v>-0.28196379999999999</v>
      </c>
      <c r="U1900">
        <v>-0.36633300000000002</v>
      </c>
      <c r="V1900">
        <v>-2.8649870000000001E-2</v>
      </c>
      <c r="W1900">
        <v>-3.0335929999999998E-3</v>
      </c>
      <c r="X1900">
        <v>0.9995849</v>
      </c>
      <c r="Y1900">
        <v>-6.4247219999999994E-2</v>
      </c>
      <c r="Z1900">
        <v>2.44005E-3</v>
      </c>
      <c r="AA1900">
        <v>0.99793100000000001</v>
      </c>
      <c r="AB1900">
        <v>34</v>
      </c>
      <c r="AC1900">
        <v>-11.532499999999899</v>
      </c>
      <c r="AD1900">
        <v>-1.1097564835458</v>
      </c>
      <c r="AE1900">
        <v>-1.4310999999999501</v>
      </c>
      <c r="AF1900">
        <v>-0.75165745627104996</v>
      </c>
      <c r="AG1900">
        <v>-1.1097564835458</v>
      </c>
      <c r="AH1900">
        <v>11.4913786910897</v>
      </c>
      <c r="AI1900">
        <v>95.504426804100305</v>
      </c>
      <c r="AJ1900">
        <v>93.742417443245401</v>
      </c>
      <c r="AK1900">
        <v>11.569284014422401</v>
      </c>
      <c r="AL1900">
        <v>90.173812343116296</v>
      </c>
      <c r="AM1900">
        <v>91.6417488456878</v>
      </c>
      <c r="AN1900">
        <v>0.99999999502275805</v>
      </c>
    </row>
    <row r="1901" spans="1:40" x14ac:dyDescent="0.3">
      <c r="A1901" t="str">
        <f>"20200111160442694"</f>
        <v>20200111160442694</v>
      </c>
      <c r="B1901" t="str">
        <f>"1578729882692885"</f>
        <v>1578729882692885</v>
      </c>
      <c r="C1901" t="s">
        <v>40</v>
      </c>
      <c r="D1901">
        <v>5.697845</v>
      </c>
      <c r="E1901">
        <v>0.48764350000000001</v>
      </c>
      <c r="F1901" t="s">
        <v>57</v>
      </c>
      <c r="G1901">
        <v>-352.26979999999998</v>
      </c>
      <c r="H1901" s="1">
        <v>-3.2890879999999898E-7</v>
      </c>
      <c r="I1901">
        <v>284.10890000000001</v>
      </c>
      <c r="J1901">
        <v>-340.62970000000001</v>
      </c>
      <c r="K1901">
        <v>1.1097170000000001</v>
      </c>
      <c r="L1901">
        <v>285.55270000000002</v>
      </c>
      <c r="M1901">
        <v>-0.99827359999999998</v>
      </c>
      <c r="N1901">
        <v>0</v>
      </c>
      <c r="O1901">
        <v>-5.8239239999999998E-2</v>
      </c>
      <c r="P1901">
        <v>-0.9962531</v>
      </c>
      <c r="Q1901">
        <v>-1.0374130000000001E-2</v>
      </c>
      <c r="R1901">
        <v>-8.5863140000000004E-2</v>
      </c>
      <c r="S1901">
        <v>-2.9766539999999999</v>
      </c>
      <c r="T1901">
        <v>-0.27939960000000003</v>
      </c>
      <c r="U1901">
        <v>-0.36621090000000001</v>
      </c>
      <c r="V1901">
        <v>-2.7692310000000001E-2</v>
      </c>
      <c r="W1901">
        <v>-2.7884709999999998E-3</v>
      </c>
      <c r="X1901">
        <v>0.99961259999999996</v>
      </c>
      <c r="Y1901">
        <v>-6.4069310000000004E-2</v>
      </c>
      <c r="Z1901">
        <v>2.4381229999999999E-3</v>
      </c>
      <c r="AA1901">
        <v>0.99794240000000001</v>
      </c>
      <c r="AB1901">
        <v>34</v>
      </c>
      <c r="AC1901">
        <v>-11.640099999999901</v>
      </c>
      <c r="AD1901">
        <v>-1.1097173289088</v>
      </c>
      <c r="AE1901">
        <v>-1.44380000000001</v>
      </c>
      <c r="AF1901">
        <v>-0.75664611048364105</v>
      </c>
      <c r="AG1901">
        <v>-1.1097173289088</v>
      </c>
      <c r="AH1901">
        <v>11.6005908089573</v>
      </c>
      <c r="AI1901">
        <v>95.452794227765693</v>
      </c>
      <c r="AJ1901">
        <v>93.731819172150693</v>
      </c>
      <c r="AK1901">
        <v>11.678086016272299</v>
      </c>
      <c r="AL1901">
        <v>90.159767827466894</v>
      </c>
      <c r="AM1901">
        <v>91.586861528257003</v>
      </c>
      <c r="AN1901">
        <v>0.99999999484120605</v>
      </c>
    </row>
    <row r="1902" spans="1:40" x14ac:dyDescent="0.3">
      <c r="A1902" t="str">
        <f>"20200111160442712"</f>
        <v>20200111160442712</v>
      </c>
      <c r="B1902" t="str">
        <f>"1578729882702643"</f>
        <v>1578729882702643</v>
      </c>
      <c r="C1902" t="s">
        <v>40</v>
      </c>
      <c r="D1902">
        <v>5.4921030000000002</v>
      </c>
      <c r="E1902">
        <v>0.48764350000000001</v>
      </c>
      <c r="F1902" t="s">
        <v>57</v>
      </c>
      <c r="G1902">
        <v>-352.51549999999997</v>
      </c>
      <c r="H1902" s="1">
        <v>-1.9817640000000001E-7</v>
      </c>
      <c r="I1902">
        <v>284.096</v>
      </c>
      <c r="J1902">
        <v>-340.89389999999997</v>
      </c>
      <c r="K1902">
        <v>1.1096649999999999</v>
      </c>
      <c r="L1902">
        <v>285.53710000000001</v>
      </c>
      <c r="M1902">
        <v>-0.99826490000000001</v>
      </c>
      <c r="N1902">
        <v>0</v>
      </c>
      <c r="O1902">
        <v>-5.8388870000000002E-2</v>
      </c>
      <c r="P1902">
        <v>-0.99639520000000004</v>
      </c>
      <c r="Q1902">
        <v>-9.5875999999999999E-3</v>
      </c>
      <c r="R1902">
        <v>-8.4292590000000001E-2</v>
      </c>
      <c r="S1902">
        <v>-2.9769589999999999</v>
      </c>
      <c r="T1902">
        <v>-0.27794340000000001</v>
      </c>
      <c r="U1902">
        <v>-0.36483759999999998</v>
      </c>
      <c r="V1902">
        <v>-2.596731E-2</v>
      </c>
      <c r="W1902">
        <v>-1.985175E-3</v>
      </c>
      <c r="X1902">
        <v>0.99966080000000002</v>
      </c>
      <c r="Y1902">
        <v>-6.3457310000000003E-2</v>
      </c>
      <c r="Z1902">
        <v>2.4675579999999999E-3</v>
      </c>
      <c r="AA1902">
        <v>0.99798149999999997</v>
      </c>
      <c r="AB1902">
        <v>34</v>
      </c>
      <c r="AC1902">
        <v>-11.621600000000001</v>
      </c>
      <c r="AD1902">
        <v>-1.1096651981764001</v>
      </c>
      <c r="AE1902">
        <v>-1.4411</v>
      </c>
      <c r="AF1902">
        <v>-0.75328576418682103</v>
      </c>
      <c r="AG1902">
        <v>-1.1096651981764001</v>
      </c>
      <c r="AH1902">
        <v>11.581924657423899</v>
      </c>
      <c r="AI1902">
        <v>95.461339321032995</v>
      </c>
      <c r="AJ1902">
        <v>93.7212632716478</v>
      </c>
      <c r="AK1902">
        <v>11.659321380972999</v>
      </c>
      <c r="AL1902">
        <v>90.113742226239196</v>
      </c>
      <c r="AM1902">
        <v>91.487987489781304</v>
      </c>
      <c r="AN1902">
        <v>0.99999997858252798</v>
      </c>
    </row>
    <row r="1903" spans="1:40" x14ac:dyDescent="0.3">
      <c r="A1903" t="str">
        <f>"20200111160442741"</f>
        <v>20200111160442741</v>
      </c>
      <c r="B1903" t="str">
        <f>"1578729882732900"</f>
        <v>1578729882732900</v>
      </c>
      <c r="C1903" t="s">
        <v>40</v>
      </c>
      <c r="D1903">
        <v>5.6042249999999996</v>
      </c>
      <c r="E1903">
        <v>0.52908569999999999</v>
      </c>
      <c r="F1903" t="s">
        <v>57</v>
      </c>
      <c r="G1903">
        <v>-352.88319999999999</v>
      </c>
      <c r="H1903" s="1">
        <v>-2.480874E-9</v>
      </c>
      <c r="I1903">
        <v>284.08659999999998</v>
      </c>
      <c r="J1903">
        <v>-341.36500000000001</v>
      </c>
      <c r="K1903">
        <v>1.109561</v>
      </c>
      <c r="L1903">
        <v>285.50940000000003</v>
      </c>
      <c r="M1903">
        <v>-0.9982569</v>
      </c>
      <c r="N1903">
        <v>0</v>
      </c>
      <c r="O1903">
        <v>-5.852284E-2</v>
      </c>
      <c r="P1903">
        <v>-0.99652870000000005</v>
      </c>
      <c r="Q1903">
        <v>-9.0963889999999999E-3</v>
      </c>
      <c r="R1903">
        <v>-8.2752809999999996E-2</v>
      </c>
      <c r="S1903">
        <v>-2.9776919999999998</v>
      </c>
      <c r="T1903">
        <v>-0.27559820000000002</v>
      </c>
      <c r="U1903">
        <v>-0.36026000000000002</v>
      </c>
      <c r="V1903">
        <v>-2.4288919999999999E-2</v>
      </c>
      <c r="W1903">
        <v>-1.4670709999999999E-3</v>
      </c>
      <c r="X1903">
        <v>0.99970389999999998</v>
      </c>
      <c r="Y1903">
        <v>-6.1789789999999997E-2</v>
      </c>
      <c r="Z1903">
        <v>2.535533E-3</v>
      </c>
      <c r="AA1903">
        <v>0.99808600000000003</v>
      </c>
      <c r="AB1903">
        <v>35</v>
      </c>
      <c r="AC1903">
        <v>-11.518199999999901</v>
      </c>
      <c r="AD1903">
        <v>-1.10956100248087</v>
      </c>
      <c r="AE1903">
        <v>-1.42280000000005</v>
      </c>
      <c r="AF1903">
        <v>-0.73950464140594796</v>
      </c>
      <c r="AG1903">
        <v>-1.10956100248087</v>
      </c>
      <c r="AH1903">
        <v>11.4768255291253</v>
      </c>
      <c r="AI1903">
        <v>95.510744445455003</v>
      </c>
      <c r="AJ1903">
        <v>93.686733951837994</v>
      </c>
      <c r="AK1903">
        <v>11.554026006499599</v>
      </c>
      <c r="AL1903">
        <v>90.084057007051399</v>
      </c>
      <c r="AM1903">
        <v>91.391790979802806</v>
      </c>
      <c r="AN1903">
        <v>0.99999999580364696</v>
      </c>
    </row>
    <row r="1904" spans="1:40" x14ac:dyDescent="0.3">
      <c r="A1904" t="str">
        <f>"20200111160442756"</f>
        <v>20200111160442756</v>
      </c>
      <c r="B1904" t="str">
        <f>"1578729882752421"</f>
        <v>1578729882752421</v>
      </c>
      <c r="C1904" t="s">
        <v>40</v>
      </c>
      <c r="D1904">
        <v>5.5967859999999998</v>
      </c>
      <c r="E1904">
        <v>0.54632959999999997</v>
      </c>
      <c r="F1904" t="s">
        <v>42</v>
      </c>
      <c r="G1904">
        <v>-342.11770000000001</v>
      </c>
      <c r="H1904">
        <v>1.047102</v>
      </c>
      <c r="I1904">
        <v>285.50360000000001</v>
      </c>
      <c r="J1904">
        <v>-341.58080000000001</v>
      </c>
      <c r="K1904">
        <v>1.1095139999999999</v>
      </c>
      <c r="L1904">
        <v>285.49680000000001</v>
      </c>
      <c r="M1904">
        <v>-0.99825719999999996</v>
      </c>
      <c r="N1904">
        <v>0</v>
      </c>
      <c r="O1904">
        <v>-5.8516459999999999E-2</v>
      </c>
      <c r="P1904">
        <v>-0.99662640000000002</v>
      </c>
      <c r="Q1904">
        <v>-8.6053439999999991E-3</v>
      </c>
      <c r="R1904">
        <v>-8.1623260000000003E-2</v>
      </c>
      <c r="S1904">
        <v>-3.0061040000000001</v>
      </c>
      <c r="T1904">
        <v>-0.2497134</v>
      </c>
      <c r="U1904">
        <v>-2.4932860000000001E-2</v>
      </c>
      <c r="V1904">
        <v>-2.316201E-2</v>
      </c>
      <c r="W1904">
        <v>-9.6421189999999996E-4</v>
      </c>
      <c r="X1904">
        <v>0.99973120000000004</v>
      </c>
      <c r="Y1904">
        <v>4.9863520000000001E-2</v>
      </c>
      <c r="Z1904">
        <v>6.9176709999999898E-3</v>
      </c>
      <c r="AA1904">
        <v>0.99873210000000001</v>
      </c>
      <c r="AB1904">
        <v>35</v>
      </c>
      <c r="AC1904">
        <v>-0.53690000000000204</v>
      </c>
      <c r="AD1904">
        <v>-6.2411999999999898E-2</v>
      </c>
      <c r="AE1904">
        <v>6.7999999999983603E-3</v>
      </c>
      <c r="AF1904">
        <v>3.7697430845231403E-2</v>
      </c>
      <c r="AG1904">
        <v>-6.2411999999999898E-2</v>
      </c>
      <c r="AH1904">
        <v>0.52844235728821898</v>
      </c>
      <c r="AI1904">
        <v>96.718831533594596</v>
      </c>
      <c r="AJ1904">
        <v>85.9196099223212</v>
      </c>
      <c r="AK1904">
        <v>0.53344885323024305</v>
      </c>
      <c r="AL1904">
        <v>90.055245284282904</v>
      </c>
      <c r="AM1904">
        <v>91.3272048018096</v>
      </c>
      <c r="AN1904">
        <v>0.99999994033263195</v>
      </c>
    </row>
    <row r="1905" spans="1:40" x14ac:dyDescent="0.3">
      <c r="A1905" t="str">
        <f>"20200111160442769"</f>
        <v>20200111160442769</v>
      </c>
      <c r="B1905" t="str">
        <f>"1578729882763156"</f>
        <v>1578729882763156</v>
      </c>
      <c r="C1905" t="s">
        <v>40</v>
      </c>
      <c r="D1905">
        <v>5.6437280000000003</v>
      </c>
      <c r="E1905">
        <v>0.549606699999999</v>
      </c>
      <c r="F1905" t="s">
        <v>42</v>
      </c>
      <c r="G1905">
        <v>-342.42270000000002</v>
      </c>
      <c r="H1905">
        <v>1.0340800000000001</v>
      </c>
      <c r="I1905">
        <v>285.52870000000001</v>
      </c>
      <c r="J1905">
        <v>-341.77569999999997</v>
      </c>
      <c r="K1905">
        <v>1.109472</v>
      </c>
      <c r="L1905">
        <v>285.48540000000003</v>
      </c>
      <c r="M1905">
        <v>-0.99825920000000001</v>
      </c>
      <c r="N1905">
        <v>0</v>
      </c>
      <c r="O1905">
        <v>-5.8483279999999999E-2</v>
      </c>
      <c r="P1905">
        <v>-0.99665119999999896</v>
      </c>
      <c r="Q1905">
        <v>-8.2709649999999999E-3</v>
      </c>
      <c r="R1905">
        <v>-8.1354339999999997E-2</v>
      </c>
      <c r="S1905">
        <v>-3.0172119999999998</v>
      </c>
      <c r="T1905">
        <v>-0.27035900000000002</v>
      </c>
      <c r="U1905">
        <v>0.11477660000000001</v>
      </c>
      <c r="V1905">
        <v>-2.2925569999999999E-2</v>
      </c>
      <c r="W1905">
        <v>-6.1963000000000003E-4</v>
      </c>
      <c r="X1905">
        <v>0.99973699999999999</v>
      </c>
      <c r="Y1905">
        <v>9.5773469999999999E-2</v>
      </c>
      <c r="Z1905">
        <v>9.5082350000000003E-3</v>
      </c>
      <c r="AA1905">
        <v>0.99535779999999996</v>
      </c>
      <c r="AB1905">
        <v>35</v>
      </c>
      <c r="AC1905">
        <v>-0.64700000000004798</v>
      </c>
      <c r="AD1905">
        <v>-7.5392000000000098E-2</v>
      </c>
      <c r="AE1905">
        <v>4.3299999999987897E-2</v>
      </c>
      <c r="AF1905">
        <v>7.9984465690494305E-2</v>
      </c>
      <c r="AG1905">
        <v>-7.5392000000000098E-2</v>
      </c>
      <c r="AH1905">
        <v>0.63477939760716695</v>
      </c>
      <c r="AI1905">
        <v>96.7205742350028</v>
      </c>
      <c r="AJ1905">
        <v>82.818375362648993</v>
      </c>
      <c r="AK1905">
        <v>0.64422538916307204</v>
      </c>
      <c r="AL1905">
        <v>90.035502185512499</v>
      </c>
      <c r="AM1905">
        <v>91.313653722444201</v>
      </c>
      <c r="AN1905">
        <v>1.00000001743508</v>
      </c>
    </row>
    <row r="1906" spans="1:40" x14ac:dyDescent="0.3">
      <c r="A1906" t="str">
        <f>"20200111160442781"</f>
        <v>20200111160442781</v>
      </c>
      <c r="B1906" t="str">
        <f>"1578729882772916"</f>
        <v>1578729882772916</v>
      </c>
      <c r="C1906" t="s">
        <v>40</v>
      </c>
      <c r="D1906">
        <v>5.6151090000000003</v>
      </c>
      <c r="E1906">
        <v>0.55165450000000005</v>
      </c>
      <c r="F1906" t="s">
        <v>42</v>
      </c>
      <c r="G1906">
        <v>-342.72910000000002</v>
      </c>
      <c r="H1906">
        <v>1.0240849999999999</v>
      </c>
      <c r="I1906">
        <v>285.53030000000001</v>
      </c>
      <c r="J1906">
        <v>-341.97609999999997</v>
      </c>
      <c r="K1906">
        <v>1.109424</v>
      </c>
      <c r="L1906">
        <v>285.47370000000001</v>
      </c>
      <c r="M1906">
        <v>-0.99826309999999996</v>
      </c>
      <c r="N1906">
        <v>0</v>
      </c>
      <c r="O1906">
        <v>-5.8415620000000001E-2</v>
      </c>
      <c r="P1906">
        <v>-0.9966701</v>
      </c>
      <c r="Q1906">
        <v>-7.6253659999999997E-3</v>
      </c>
      <c r="R1906">
        <v>-8.1183119999999998E-2</v>
      </c>
      <c r="S1906">
        <v>-3.0194399999999999</v>
      </c>
      <c r="T1906">
        <v>-0.27053159999999998</v>
      </c>
      <c r="U1906">
        <v>0.14160159999999999</v>
      </c>
      <c r="V1906">
        <v>-2.2821649999999999E-2</v>
      </c>
      <c r="W1906" s="1">
        <v>3.6469600000000001E-5</v>
      </c>
      <c r="X1906">
        <v>0.9997395</v>
      </c>
      <c r="Y1906">
        <v>0.10446709999999999</v>
      </c>
      <c r="Z1906">
        <v>9.8882759999999997E-3</v>
      </c>
      <c r="AA1906">
        <v>0.99447920000000001</v>
      </c>
      <c r="AB1906">
        <v>35</v>
      </c>
      <c r="AC1906">
        <v>-0.75300000000004197</v>
      </c>
      <c r="AD1906">
        <v>-8.5338999999999804E-2</v>
      </c>
      <c r="AE1906">
        <v>5.6600000000003002E-2</v>
      </c>
      <c r="AF1906">
        <v>9.92242966478874E-2</v>
      </c>
      <c r="AG1906">
        <v>-8.5338999999999804E-2</v>
      </c>
      <c r="AH1906">
        <v>0.73896953736848303</v>
      </c>
      <c r="AI1906">
        <v>96.529466325603494</v>
      </c>
      <c r="AJ1906">
        <v>82.352415901271698</v>
      </c>
      <c r="AK1906">
        <v>0.75046930858287397</v>
      </c>
      <c r="AL1906">
        <v>89.997910445731307</v>
      </c>
      <c r="AM1906">
        <v>91.307697825778703</v>
      </c>
      <c r="AN1906">
        <v>0.99999994844950002</v>
      </c>
    </row>
    <row r="1907" spans="1:40" x14ac:dyDescent="0.3">
      <c r="A1907" t="str">
        <f>"20200111160442794"</f>
        <v>20200111160442794</v>
      </c>
      <c r="B1907" t="str">
        <f>"1578729882782676"</f>
        <v>1578729882782676</v>
      </c>
      <c r="C1907" t="s">
        <v>40</v>
      </c>
      <c r="D1907">
        <v>6.8674749999999998</v>
      </c>
      <c r="E1907">
        <v>0.55165450000000005</v>
      </c>
      <c r="F1907" t="s">
        <v>42</v>
      </c>
      <c r="G1907">
        <v>-342.73660000000001</v>
      </c>
      <c r="H1907">
        <v>1.041687</v>
      </c>
      <c r="I1907">
        <v>285.5138</v>
      </c>
      <c r="J1907">
        <v>-342.1703</v>
      </c>
      <c r="K1907">
        <v>1.109375</v>
      </c>
      <c r="L1907">
        <v>285.4624</v>
      </c>
      <c r="M1907">
        <v>-0.99826939999999997</v>
      </c>
      <c r="N1907">
        <v>0</v>
      </c>
      <c r="O1907">
        <v>-5.8305160000000002E-2</v>
      </c>
      <c r="P1907">
        <v>-0.99666770000000005</v>
      </c>
      <c r="Q1907">
        <v>-7.1903959999999999E-3</v>
      </c>
      <c r="R1907">
        <v>-8.1253450000000005E-2</v>
      </c>
      <c r="S1907">
        <v>-3.0208439999999999</v>
      </c>
      <c r="T1907">
        <v>-0.26921070000000002</v>
      </c>
      <c r="U1907">
        <v>0.1582336</v>
      </c>
      <c r="V1907">
        <v>-2.3002330000000001E-2</v>
      </c>
      <c r="W1907">
        <v>4.814307E-4</v>
      </c>
      <c r="X1907">
        <v>0.99973529999999999</v>
      </c>
      <c r="Y1907">
        <v>0.1097823</v>
      </c>
      <c r="Z1907">
        <v>1.0060909999999999E-2</v>
      </c>
      <c r="AA1907">
        <v>0.99390469999999997</v>
      </c>
      <c r="AB1907">
        <v>35</v>
      </c>
      <c r="AC1907">
        <v>-0.56630000000001202</v>
      </c>
      <c r="AD1907">
        <v>-6.7687999999999901E-2</v>
      </c>
      <c r="AE1907">
        <v>5.1400000000000903E-2</v>
      </c>
      <c r="AF1907">
        <v>8.3153458001657798E-2</v>
      </c>
      <c r="AG1907">
        <v>-6.7687999999999901E-2</v>
      </c>
      <c r="AH1907">
        <v>0.55448261598735404</v>
      </c>
      <c r="AI1907">
        <v>96.883673350565502</v>
      </c>
      <c r="AJ1907">
        <v>81.471147874877005</v>
      </c>
      <c r="AK1907">
        <v>0.56475404766483295</v>
      </c>
      <c r="AL1907">
        <v>89.9724160518209</v>
      </c>
      <c r="AM1907">
        <v>91.318052824076702</v>
      </c>
      <c r="AN1907">
        <v>1.00000000451351</v>
      </c>
    </row>
    <row r="1908" spans="1:40" x14ac:dyDescent="0.3">
      <c r="A1908" t="str">
        <f>"20200111160442807"</f>
        <v>20200111160442807</v>
      </c>
      <c r="B1908" t="str">
        <f>"1578729882803172"</f>
        <v>1578729882803172</v>
      </c>
      <c r="C1908" t="s">
        <v>40</v>
      </c>
      <c r="D1908">
        <v>5.7587919999999997</v>
      </c>
      <c r="E1908">
        <v>0.55460129999999996</v>
      </c>
      <c r="F1908" t="s">
        <v>42</v>
      </c>
      <c r="G1908">
        <v>-343.04340000000002</v>
      </c>
      <c r="H1908">
        <v>1.0319739999999999</v>
      </c>
      <c r="I1908">
        <v>285.50830000000002</v>
      </c>
      <c r="J1908">
        <v>-342.36</v>
      </c>
      <c r="K1908">
        <v>1.109329</v>
      </c>
      <c r="L1908">
        <v>285.45139999999998</v>
      </c>
      <c r="M1908">
        <v>-0.99827679999999996</v>
      </c>
      <c r="N1908">
        <v>0</v>
      </c>
      <c r="O1908">
        <v>-5.8178019999999997E-2</v>
      </c>
      <c r="P1908">
        <v>-0.99668909999999999</v>
      </c>
      <c r="Q1908">
        <v>-6.5978310000000002E-3</v>
      </c>
      <c r="R1908">
        <v>-8.1040379999999995E-2</v>
      </c>
      <c r="S1908">
        <v>-3.020966</v>
      </c>
      <c r="T1908">
        <v>-0.26789220000000002</v>
      </c>
      <c r="U1908">
        <v>0.1579895</v>
      </c>
      <c r="V1908">
        <v>-2.2915560000000001E-2</v>
      </c>
      <c r="W1908">
        <v>1.0846300000000001E-3</v>
      </c>
      <c r="X1908">
        <v>0.99973679999999998</v>
      </c>
      <c r="Y1908">
        <v>0.10958130000000001</v>
      </c>
      <c r="Z1908">
        <v>9.9913169999999996E-3</v>
      </c>
      <c r="AA1908">
        <v>0.99392760000000002</v>
      </c>
      <c r="AB1908">
        <v>35</v>
      </c>
      <c r="AC1908">
        <v>-0.683400000000006</v>
      </c>
      <c r="AD1908">
        <v>-7.7354999999999993E-2</v>
      </c>
      <c r="AE1908">
        <v>5.6900000000041397E-2</v>
      </c>
      <c r="AF1908">
        <v>9.5350398692038305E-2</v>
      </c>
      <c r="AG1908">
        <v>-7.7354999999999993E-2</v>
      </c>
      <c r="AH1908">
        <v>0.67040173027894301</v>
      </c>
      <c r="AI1908">
        <v>96.517011471596007</v>
      </c>
      <c r="AJ1908">
        <v>81.905185036760301</v>
      </c>
      <c r="AK1908">
        <v>0.68155262050463195</v>
      </c>
      <c r="AL1908">
        <v>89.937855265505803</v>
      </c>
      <c r="AM1908">
        <v>91.313080604791395</v>
      </c>
      <c r="AN1908">
        <v>0.99999998429329495</v>
      </c>
    </row>
    <row r="1909" spans="1:40" x14ac:dyDescent="0.3">
      <c r="A1909" t="str">
        <f>"20200111160442836"</f>
        <v>20200111160442836</v>
      </c>
      <c r="B1909" t="str">
        <f>"1578729882832452"</f>
        <v>1578729882832452</v>
      </c>
      <c r="C1909" t="s">
        <v>40</v>
      </c>
      <c r="D1909">
        <v>5.8893579999999996</v>
      </c>
      <c r="E1909">
        <v>0.55574230000000002</v>
      </c>
      <c r="F1909" t="s">
        <v>42</v>
      </c>
      <c r="G1909">
        <v>-343.35390000000001</v>
      </c>
      <c r="H1909">
        <v>1.0270760000000001</v>
      </c>
      <c r="I1909">
        <v>285.51150000000001</v>
      </c>
      <c r="J1909">
        <v>-342.82490000000001</v>
      </c>
      <c r="K1909">
        <v>1.1092059999999999</v>
      </c>
      <c r="L1909">
        <v>285.42469999999997</v>
      </c>
      <c r="M1909">
        <v>-0.99830319999999995</v>
      </c>
      <c r="N1909">
        <v>0</v>
      </c>
      <c r="O1909">
        <v>-5.772124E-2</v>
      </c>
      <c r="P1909">
        <v>-0.99669050000000003</v>
      </c>
      <c r="Q1909">
        <v>-5.6143740000000001E-3</v>
      </c>
      <c r="R1909">
        <v>-8.1098539999999997E-2</v>
      </c>
      <c r="S1909">
        <v>-3.0231629999999998</v>
      </c>
      <c r="T1909">
        <v>-0.25023899999999999</v>
      </c>
      <c r="U1909">
        <v>0.18252560000000001</v>
      </c>
      <c r="V1909">
        <v>-2.3430360000000001E-2</v>
      </c>
      <c r="W1909">
        <v>2.0926619999999999E-3</v>
      </c>
      <c r="X1909">
        <v>0.99972329999999998</v>
      </c>
      <c r="Y1909">
        <v>0.11718720000000001</v>
      </c>
      <c r="Z1909">
        <v>9.6029210000000004E-3</v>
      </c>
      <c r="AA1909">
        <v>0.99306340000000004</v>
      </c>
      <c r="AB1909">
        <v>35</v>
      </c>
      <c r="AC1909">
        <v>-0.52899999999999603</v>
      </c>
      <c r="AD1909">
        <v>-8.21299999999998E-2</v>
      </c>
      <c r="AE1909">
        <v>8.6800000000039207E-2</v>
      </c>
      <c r="AF1909">
        <v>0.114503067675689</v>
      </c>
      <c r="AG1909">
        <v>-8.21299999999998E-2</v>
      </c>
      <c r="AH1909">
        <v>0.51111070901975597</v>
      </c>
      <c r="AI1909">
        <v>98.911562652039905</v>
      </c>
      <c r="AJ1909">
        <v>77.372640008147201</v>
      </c>
      <c r="AK1909">
        <v>0.53017963586111205</v>
      </c>
      <c r="AL1909">
        <v>89.880099214192299</v>
      </c>
      <c r="AM1909">
        <v>91.342586516974094</v>
      </c>
      <c r="AN1909">
        <v>1.0000000187834299</v>
      </c>
    </row>
    <row r="1910" spans="1:40" x14ac:dyDescent="0.3">
      <c r="A1910" t="str">
        <f>"20200111160442850"</f>
        <v>20200111160442850</v>
      </c>
      <c r="B1910" t="str">
        <f>"1578729882843188"</f>
        <v>1578729882843188</v>
      </c>
      <c r="C1910" t="s">
        <v>40</v>
      </c>
      <c r="D1910">
        <v>5.7204119999999996</v>
      </c>
      <c r="E1910">
        <v>0.55673359999999905</v>
      </c>
      <c r="F1910" t="s">
        <v>42</v>
      </c>
      <c r="G1910">
        <v>-343.67020000000002</v>
      </c>
      <c r="H1910">
        <v>1.03806</v>
      </c>
      <c r="I1910">
        <v>285.47820000000002</v>
      </c>
      <c r="J1910">
        <v>-343.03879999999998</v>
      </c>
      <c r="K1910">
        <v>1.1091500000000001</v>
      </c>
      <c r="L1910">
        <v>285.4126</v>
      </c>
      <c r="M1910">
        <v>-0.99831829999999999</v>
      </c>
      <c r="N1910">
        <v>0</v>
      </c>
      <c r="O1910">
        <v>-5.7455890000000003E-2</v>
      </c>
      <c r="P1910">
        <v>-0.99671290000000001</v>
      </c>
      <c r="Q1910">
        <v>-5.2037369999999999E-3</v>
      </c>
      <c r="R1910">
        <v>-8.0848970000000006E-2</v>
      </c>
      <c r="S1910">
        <v>-3.0241090000000002</v>
      </c>
      <c r="T1910">
        <v>-0.25458340000000002</v>
      </c>
      <c r="U1910">
        <v>0.19107060000000001</v>
      </c>
      <c r="V1910">
        <v>-2.3444639999999999E-2</v>
      </c>
      <c r="W1910">
        <v>2.514662E-3</v>
      </c>
      <c r="X1910">
        <v>0.99972190000000005</v>
      </c>
      <c r="Y1910">
        <v>0.11967129999999999</v>
      </c>
      <c r="Z1910">
        <v>9.8472750000000008E-3</v>
      </c>
      <c r="AA1910">
        <v>0.99276470000000006</v>
      </c>
      <c r="AB1910">
        <v>35</v>
      </c>
      <c r="AC1910">
        <v>-0.63140000000004104</v>
      </c>
      <c r="AD1910">
        <v>-7.1090000000000098E-2</v>
      </c>
      <c r="AE1910">
        <v>6.5600000000017603E-2</v>
      </c>
      <c r="AF1910">
        <v>0.100509820634668</v>
      </c>
      <c r="AG1910">
        <v>-7.1090000000000098E-2</v>
      </c>
      <c r="AH1910">
        <v>0.61882673957182599</v>
      </c>
      <c r="AI1910">
        <v>96.469293411109504</v>
      </c>
      <c r="AJ1910">
        <v>80.774581212189304</v>
      </c>
      <c r="AK1910">
        <v>0.63095367956222403</v>
      </c>
      <c r="AL1910">
        <v>89.855920317987895</v>
      </c>
      <c r="AM1910">
        <v>91.3434063581917</v>
      </c>
      <c r="AN1910">
        <v>0.99999992600465404</v>
      </c>
    </row>
    <row r="1911" spans="1:40" x14ac:dyDescent="0.3">
      <c r="A1911" t="str">
        <f>"20200111160442862"</f>
        <v>20200111160442862</v>
      </c>
      <c r="B1911" t="str">
        <f>"1578729882852948"</f>
        <v>1578729882852948</v>
      </c>
      <c r="C1911" t="s">
        <v>40</v>
      </c>
      <c r="D1911">
        <v>7.2077629999999999</v>
      </c>
      <c r="E1911">
        <v>0.55673359999999905</v>
      </c>
      <c r="F1911" t="s">
        <v>42</v>
      </c>
      <c r="G1911">
        <v>-343.9796</v>
      </c>
      <c r="H1911">
        <v>1.0292410000000001</v>
      </c>
      <c r="I1911">
        <v>285.47469999999998</v>
      </c>
      <c r="J1911">
        <v>-343.24439999999998</v>
      </c>
      <c r="K1911">
        <v>1.109097</v>
      </c>
      <c r="L1911">
        <v>285.40089999999998</v>
      </c>
      <c r="M1911">
        <v>-0.99833450000000001</v>
      </c>
      <c r="N1911">
        <v>0</v>
      </c>
      <c r="O1911">
        <v>-5.7173769999999999E-2</v>
      </c>
      <c r="P1911">
        <v>-0.99673449999999997</v>
      </c>
      <c r="Q1911">
        <v>-5.1528900000000002E-3</v>
      </c>
      <c r="R1911">
        <v>-8.05844E-2</v>
      </c>
      <c r="S1911">
        <v>-3.024689</v>
      </c>
      <c r="T1911">
        <v>-0.25695230000000002</v>
      </c>
      <c r="U1911">
        <v>0.19940189999999999</v>
      </c>
      <c r="V1911">
        <v>-2.3461800000000001E-2</v>
      </c>
      <c r="W1911">
        <v>2.5761740000000001E-3</v>
      </c>
      <c r="X1911">
        <v>0.99972139999999998</v>
      </c>
      <c r="Y1911">
        <v>0.1220827</v>
      </c>
      <c r="Z1911">
        <v>1.001414E-2</v>
      </c>
      <c r="AA1911">
        <v>0.99246939999999995</v>
      </c>
      <c r="AB1911">
        <v>35</v>
      </c>
      <c r="AC1911">
        <v>-0.73520000000001995</v>
      </c>
      <c r="AD1911">
        <v>-7.9855999999999899E-2</v>
      </c>
      <c r="AE1911">
        <v>7.3800000000005597E-2</v>
      </c>
      <c r="AF1911">
        <v>0.11437871264197599</v>
      </c>
      <c r="AG1911">
        <v>-7.9855999999999899E-2</v>
      </c>
      <c r="AH1911">
        <v>0.72135223837553797</v>
      </c>
      <c r="AI1911">
        <v>96.239777848089702</v>
      </c>
      <c r="AJ1911">
        <v>80.990102232837103</v>
      </c>
      <c r="AK1911">
        <v>0.73471662731357501</v>
      </c>
      <c r="AL1911">
        <v>89.852395937053402</v>
      </c>
      <c r="AM1911">
        <v>91.344389958442093</v>
      </c>
      <c r="AN1911">
        <v>0.99999998517483801</v>
      </c>
    </row>
    <row r="1912" spans="1:40" x14ac:dyDescent="0.3">
      <c r="A1912" t="str">
        <f>"20200111160442881"</f>
        <v>20200111160442881</v>
      </c>
      <c r="B1912" t="str">
        <f>"1578729882872468"</f>
        <v>1578729882872468</v>
      </c>
      <c r="C1912" t="s">
        <v>40</v>
      </c>
      <c r="D1912">
        <v>5.7215989999999897</v>
      </c>
      <c r="E1912">
        <v>0.56681499999999996</v>
      </c>
      <c r="F1912" t="s">
        <v>42</v>
      </c>
      <c r="G1912">
        <v>-343.98630000000003</v>
      </c>
      <c r="H1912">
        <v>1.0461229999999999</v>
      </c>
      <c r="I1912">
        <v>285.4502</v>
      </c>
      <c r="J1912">
        <v>-343.52730000000003</v>
      </c>
      <c r="K1912">
        <v>1.109027</v>
      </c>
      <c r="L1912">
        <v>285.38510000000002</v>
      </c>
      <c r="M1912">
        <v>-0.99836000000000003</v>
      </c>
      <c r="N1912">
        <v>0</v>
      </c>
      <c r="O1912">
        <v>-5.672692E-2</v>
      </c>
      <c r="P1912">
        <v>-0.99677309999999997</v>
      </c>
      <c r="Q1912">
        <v>-5.1457289999999999E-3</v>
      </c>
      <c r="R1912">
        <v>-8.0106060000000007E-2</v>
      </c>
      <c r="S1912">
        <v>-3.02475</v>
      </c>
      <c r="T1912">
        <v>-0.25682680000000002</v>
      </c>
      <c r="U1912">
        <v>0.20047000000000001</v>
      </c>
      <c r="V1912">
        <v>-2.342938E-2</v>
      </c>
      <c r="W1912">
        <v>2.598108E-3</v>
      </c>
      <c r="X1912">
        <v>0.99972209999999995</v>
      </c>
      <c r="Y1912">
        <v>0.12198870000000001</v>
      </c>
      <c r="Z1912">
        <v>9.9671619999999999E-3</v>
      </c>
      <c r="AA1912">
        <v>0.99248139999999996</v>
      </c>
      <c r="AB1912">
        <v>35</v>
      </c>
      <c r="AC1912">
        <v>-0.45900000000000302</v>
      </c>
      <c r="AD1912">
        <v>-6.2904000000000002E-2</v>
      </c>
      <c r="AE1912">
        <v>6.5099999999972596E-2</v>
      </c>
      <c r="AF1912">
        <v>8.9387858299289094E-2</v>
      </c>
      <c r="AG1912">
        <v>-6.2904000000000002E-2</v>
      </c>
      <c r="AH1912">
        <v>0.44634997971644302</v>
      </c>
      <c r="AI1912">
        <v>97.867647817861396</v>
      </c>
      <c r="AJ1912">
        <v>78.675520747364004</v>
      </c>
      <c r="AK1912">
        <v>0.45953825392474401</v>
      </c>
      <c r="AL1912">
        <v>89.851139206672002</v>
      </c>
      <c r="AM1912">
        <v>91.342531993296305</v>
      </c>
      <c r="AN1912">
        <v>0.99999998162038595</v>
      </c>
    </row>
    <row r="1913" spans="1:40" x14ac:dyDescent="0.3">
      <c r="A1913" t="str">
        <f>"20200111160442901"</f>
        <v>20200111160442901</v>
      </c>
      <c r="B1913" t="str">
        <f>"1578729882892964"</f>
        <v>1578729882892964</v>
      </c>
      <c r="C1913" t="s">
        <v>40</v>
      </c>
      <c r="D1913">
        <v>5.6746119999999998</v>
      </c>
      <c r="E1913">
        <v>0.56724069999999904</v>
      </c>
      <c r="F1913" t="s">
        <v>59</v>
      </c>
      <c r="G1913">
        <v>-511.82190000000003</v>
      </c>
      <c r="H1913">
        <v>5.3746470000000004</v>
      </c>
      <c r="I1913">
        <v>301.7319</v>
      </c>
      <c r="J1913">
        <v>-343.84530000000001</v>
      </c>
      <c r="K1913">
        <v>1.1089560000000001</v>
      </c>
      <c r="L1913">
        <v>285.36759999999998</v>
      </c>
      <c r="M1913">
        <v>-0.99839140000000004</v>
      </c>
      <c r="N1913">
        <v>0</v>
      </c>
      <c r="O1913">
        <v>-5.6167540000000002E-2</v>
      </c>
      <c r="P1913">
        <v>-0.99682400000000004</v>
      </c>
      <c r="Q1913">
        <v>-4.9416390000000003E-3</v>
      </c>
      <c r="R1913">
        <v>-7.9482919999999999E-2</v>
      </c>
      <c r="S1913">
        <v>-3.0337830000000001</v>
      </c>
      <c r="T1913">
        <v>7.6896190000000003E-2</v>
      </c>
      <c r="U1913">
        <v>0.29467769999999999</v>
      </c>
      <c r="V1913">
        <v>-2.3364059999999999E-2</v>
      </c>
      <c r="W1913">
        <v>2.8174530000000001E-3</v>
      </c>
      <c r="X1913">
        <v>0.99972309999999998</v>
      </c>
      <c r="Y1913">
        <v>0.15236420000000001</v>
      </c>
      <c r="Z1913">
        <v>-3.3466580000000002E-3</v>
      </c>
      <c r="AA1913">
        <v>0.98831869999999999</v>
      </c>
      <c r="AB1913">
        <v>35</v>
      </c>
      <c r="AC1913">
        <v>-167.97659999999999</v>
      </c>
      <c r="AD1913">
        <v>4.2656910000000003</v>
      </c>
      <c r="AE1913">
        <v>16.3643</v>
      </c>
      <c r="AF1913">
        <v>25.757125502172102</v>
      </c>
      <c r="AG1913">
        <v>4.2656910000000003</v>
      </c>
      <c r="AH1913">
        <v>166.685756892988</v>
      </c>
      <c r="AI1913">
        <v>88.551238627031196</v>
      </c>
      <c r="AJ1913">
        <v>81.215842912277793</v>
      </c>
      <c r="AK1913">
        <v>168.718010848962</v>
      </c>
      <c r="AL1913">
        <v>89.8385716281405</v>
      </c>
      <c r="AM1913">
        <v>91.338789103247706</v>
      </c>
      <c r="AN1913">
        <v>1.00000004700734</v>
      </c>
    </row>
    <row r="1914" spans="1:40" x14ac:dyDescent="0.3">
      <c r="A1914" t="str">
        <f>"20200111160442916"</f>
        <v>20200111160442916</v>
      </c>
      <c r="B1914" t="str">
        <f>"1578729882912484"</f>
        <v>1578729882912484</v>
      </c>
      <c r="C1914" t="s">
        <v>40</v>
      </c>
      <c r="D1914">
        <v>5.6832099999999999</v>
      </c>
      <c r="E1914">
        <v>0.56239659999999903</v>
      </c>
      <c r="F1914" t="s">
        <v>59</v>
      </c>
      <c r="G1914">
        <v>-511.82170000000002</v>
      </c>
      <c r="H1914">
        <v>4.6158020000000004</v>
      </c>
      <c r="I1914">
        <v>301.94889999999998</v>
      </c>
      <c r="J1914">
        <v>-344.0675</v>
      </c>
      <c r="K1914">
        <v>1.1089119999999999</v>
      </c>
      <c r="L1914">
        <v>285.35539999999997</v>
      </c>
      <c r="M1914">
        <v>-0.99841530000000001</v>
      </c>
      <c r="N1914">
        <v>0</v>
      </c>
      <c r="O1914">
        <v>-5.5740089999999999E-2</v>
      </c>
      <c r="P1914">
        <v>-0.99685979999999996</v>
      </c>
      <c r="Q1914">
        <v>-4.5728239999999996E-3</v>
      </c>
      <c r="R1914">
        <v>-7.9056810000000005E-2</v>
      </c>
      <c r="S1914">
        <v>-3.0337519999999998</v>
      </c>
      <c r="T1914">
        <v>6.3337210000000005E-2</v>
      </c>
      <c r="U1914">
        <v>0.29946899999999999</v>
      </c>
      <c r="V1914">
        <v>-2.3363080000000001E-2</v>
      </c>
      <c r="W1914">
        <v>3.1974899999999999E-3</v>
      </c>
      <c r="X1914">
        <v>0.99972190000000005</v>
      </c>
      <c r="Y1914">
        <v>0.15350920000000001</v>
      </c>
      <c r="Z1914">
        <v>-2.7595359999999999E-3</v>
      </c>
      <c r="AA1914">
        <v>0.98814340000000001</v>
      </c>
      <c r="AB1914">
        <v>35</v>
      </c>
      <c r="AC1914">
        <v>-167.7542</v>
      </c>
      <c r="AD1914">
        <v>3.5068899999999901</v>
      </c>
      <c r="AE1914">
        <v>16.593499999999999</v>
      </c>
      <c r="AF1914">
        <v>25.907402914021901</v>
      </c>
      <c r="AG1914">
        <v>3.5068899999999901</v>
      </c>
      <c r="AH1914">
        <v>166.49637154423201</v>
      </c>
      <c r="AI1914">
        <v>88.807708934578699</v>
      </c>
      <c r="AJ1914">
        <v>81.155508464567603</v>
      </c>
      <c r="AK1914">
        <v>168.53644573390201</v>
      </c>
      <c r="AL1914">
        <v>89.816796999814201</v>
      </c>
      <c r="AM1914">
        <v>91.338734574831804</v>
      </c>
      <c r="AN1914">
        <v>0.99999996739449704</v>
      </c>
    </row>
    <row r="1915" spans="1:40" x14ac:dyDescent="0.3">
      <c r="A1915" t="str">
        <f>"20200111160442932"</f>
        <v>20200111160442932</v>
      </c>
      <c r="B1915" t="str">
        <f>"1578729882923224"</f>
        <v>1578729882923224</v>
      </c>
      <c r="C1915" t="s">
        <v>40</v>
      </c>
      <c r="D1915">
        <v>5.6457790000000001</v>
      </c>
      <c r="E1915">
        <v>0.56225649999999905</v>
      </c>
      <c r="F1915" t="s">
        <v>42</v>
      </c>
      <c r="G1915">
        <v>-344.92140000000001</v>
      </c>
      <c r="H1915">
        <v>1.0276620000000001</v>
      </c>
      <c r="I1915">
        <v>285.42570000000001</v>
      </c>
      <c r="J1915">
        <v>-344.3227</v>
      </c>
      <c r="K1915">
        <v>1.108865</v>
      </c>
      <c r="L1915">
        <v>285.34160000000003</v>
      </c>
      <c r="M1915">
        <v>-0.998444</v>
      </c>
      <c r="N1915">
        <v>0</v>
      </c>
      <c r="O1915">
        <v>-5.5225969999999999E-2</v>
      </c>
      <c r="P1915">
        <v>-0.99688739999999998</v>
      </c>
      <c r="Q1915">
        <v>-3.9131119999999998E-3</v>
      </c>
      <c r="R1915">
        <v>-7.8744229999999998E-2</v>
      </c>
      <c r="S1915">
        <v>-3.027863</v>
      </c>
      <c r="T1915">
        <v>-0.288174599999999</v>
      </c>
      <c r="U1915">
        <v>0.24865719999999999</v>
      </c>
      <c r="V1915">
        <v>-2.3563239999999999E-2</v>
      </c>
      <c r="W1915">
        <v>3.8688730000000001E-3</v>
      </c>
      <c r="X1915">
        <v>0.99971489999999996</v>
      </c>
      <c r="Y1915">
        <v>0.1359062</v>
      </c>
      <c r="Z1915">
        <v>1.1678640000000001E-2</v>
      </c>
      <c r="AA1915">
        <v>0.99065289999999995</v>
      </c>
      <c r="AB1915">
        <v>35</v>
      </c>
      <c r="AC1915">
        <v>-0.598700000000007</v>
      </c>
      <c r="AD1915">
        <v>-8.12029999999999E-2</v>
      </c>
      <c r="AE1915">
        <v>8.4099999999977998E-2</v>
      </c>
      <c r="AF1915">
        <v>0.114962482992611</v>
      </c>
      <c r="AG1915">
        <v>-8.12029999999999E-2</v>
      </c>
      <c r="AH1915">
        <v>0.58263088185246603</v>
      </c>
      <c r="AI1915">
        <v>97.786142120163802</v>
      </c>
      <c r="AJ1915">
        <v>78.838002422655094</v>
      </c>
      <c r="AK1915">
        <v>0.59939056064723695</v>
      </c>
      <c r="AL1915">
        <v>89.778329361019203</v>
      </c>
      <c r="AM1915">
        <v>91.3502092235113</v>
      </c>
      <c r="AN1915">
        <v>1.00000003786979</v>
      </c>
    </row>
    <row r="1916" spans="1:40" x14ac:dyDescent="0.3">
      <c r="A1916" t="str">
        <f>"20200111160442946"</f>
        <v>20200111160442946</v>
      </c>
      <c r="B1916" t="str">
        <f>"1578729882942742"</f>
        <v>1578729882942742</v>
      </c>
      <c r="C1916" t="s">
        <v>40</v>
      </c>
      <c r="D1916">
        <v>5.8051190000000004</v>
      </c>
      <c r="E1916">
        <v>0.56197200000000003</v>
      </c>
      <c r="F1916" t="s">
        <v>42</v>
      </c>
      <c r="G1916">
        <v>-345.23489999999998</v>
      </c>
      <c r="H1916">
        <v>1.022715</v>
      </c>
      <c r="I1916">
        <v>285.41680000000002</v>
      </c>
      <c r="J1916">
        <v>-344.54570000000001</v>
      </c>
      <c r="K1916">
        <v>1.1088359999999999</v>
      </c>
      <c r="L1916">
        <v>285.32960000000003</v>
      </c>
      <c r="M1916">
        <v>-0.99846950000000001</v>
      </c>
      <c r="N1916">
        <v>0</v>
      </c>
      <c r="O1916">
        <v>-5.475878E-2</v>
      </c>
      <c r="P1916">
        <v>-0.99691410000000003</v>
      </c>
      <c r="Q1916">
        <v>-2.43553E-3</v>
      </c>
      <c r="R1916">
        <v>-7.8464859999999997E-2</v>
      </c>
      <c r="S1916">
        <v>-3.027863</v>
      </c>
      <c r="T1916">
        <v>-0.2861513</v>
      </c>
      <c r="U1916">
        <v>0.24835209999999999</v>
      </c>
      <c r="V1916">
        <v>-2.374803E-2</v>
      </c>
      <c r="W1916">
        <v>5.3565890000000001E-3</v>
      </c>
      <c r="X1916">
        <v>0.99970360000000003</v>
      </c>
      <c r="Y1916">
        <v>0.13535999999999901</v>
      </c>
      <c r="Z1916">
        <v>1.152736E-2</v>
      </c>
      <c r="AA1916">
        <v>0.99072950000000004</v>
      </c>
      <c r="AB1916">
        <v>35</v>
      </c>
      <c r="AC1916">
        <v>-0.68919999999997095</v>
      </c>
      <c r="AD1916">
        <v>-8.61210000000001E-2</v>
      </c>
      <c r="AE1916">
        <v>8.7199999999995698E-2</v>
      </c>
      <c r="AF1916">
        <v>0.12292093862235</v>
      </c>
      <c r="AG1916">
        <v>-8.61210000000001E-2</v>
      </c>
      <c r="AH1916">
        <v>0.67304706392733504</v>
      </c>
      <c r="AI1916">
        <v>97.174363322963401</v>
      </c>
      <c r="AJ1916">
        <v>79.649940786757597</v>
      </c>
      <c r="AK1916">
        <v>0.689578664152253</v>
      </c>
      <c r="AL1916">
        <v>89.6930885822986</v>
      </c>
      <c r="AM1916">
        <v>91.360809379229494</v>
      </c>
      <c r="AN1916">
        <v>0.99999997491377701</v>
      </c>
    </row>
    <row r="1917" spans="1:40" x14ac:dyDescent="0.3">
      <c r="A1917" t="str">
        <f>"20200111160442960"</f>
        <v>20200111160442960</v>
      </c>
      <c r="B1917" t="str">
        <f>"1578729882952501"</f>
        <v>1578729882952501</v>
      </c>
      <c r="C1917" t="s">
        <v>40</v>
      </c>
      <c r="D1917">
        <v>5.796176</v>
      </c>
      <c r="E1917">
        <v>0.56152709999999995</v>
      </c>
      <c r="F1917" t="s">
        <v>42</v>
      </c>
      <c r="G1917">
        <v>-345.54820000000001</v>
      </c>
      <c r="H1917">
        <v>1.0150600000000001</v>
      </c>
      <c r="I1917">
        <v>285.41140000000001</v>
      </c>
      <c r="J1917">
        <v>-344.77249999999998</v>
      </c>
      <c r="K1917">
        <v>1.1088020000000001</v>
      </c>
      <c r="L1917">
        <v>285.31760000000003</v>
      </c>
      <c r="M1917">
        <v>-0.99849639999999995</v>
      </c>
      <c r="N1917">
        <v>0</v>
      </c>
      <c r="O1917">
        <v>-5.4266229999999999E-2</v>
      </c>
      <c r="P1917">
        <v>-0.99696189999999996</v>
      </c>
      <c r="Q1917">
        <v>-1.5468910000000001E-3</v>
      </c>
      <c r="R1917">
        <v>-7.7876879999999996E-2</v>
      </c>
      <c r="S1917">
        <v>-3.0280149999999999</v>
      </c>
      <c r="T1917">
        <v>-0.28334720000000002</v>
      </c>
      <c r="U1917">
        <v>0.2467346</v>
      </c>
      <c r="V1917">
        <v>-2.3650190000000001E-2</v>
      </c>
      <c r="W1917">
        <v>6.2554119999999897E-3</v>
      </c>
      <c r="X1917">
        <v>0.9997007</v>
      </c>
      <c r="Y1917">
        <v>0.13436429999999999</v>
      </c>
      <c r="Z1917">
        <v>1.1322219999999999E-2</v>
      </c>
      <c r="AA1917">
        <v>0.99086730000000001</v>
      </c>
      <c r="AB1917">
        <v>35</v>
      </c>
      <c r="AC1917">
        <v>-0.77570000000002803</v>
      </c>
      <c r="AD1917">
        <v>-9.3742000000000006E-2</v>
      </c>
      <c r="AE1917">
        <v>9.3799999999987393E-2</v>
      </c>
      <c r="AF1917">
        <v>0.13383101647303899</v>
      </c>
      <c r="AG1917">
        <v>-9.3742000000000006E-2</v>
      </c>
      <c r="AH1917">
        <v>0.75854819904381499</v>
      </c>
      <c r="AI1917">
        <v>96.938841012069702</v>
      </c>
      <c r="AJ1917">
        <v>79.994249310689696</v>
      </c>
      <c r="AK1917">
        <v>0.77594695295930005</v>
      </c>
      <c r="AL1917">
        <v>89.641588947073501</v>
      </c>
      <c r="AM1917">
        <v>91.355208977441507</v>
      </c>
      <c r="AN1917">
        <v>0.99999997562340703</v>
      </c>
    </row>
    <row r="1918" spans="1:40" x14ac:dyDescent="0.3">
      <c r="A1918" t="str">
        <f>"20200111160442972"</f>
        <v>20200111160442972</v>
      </c>
      <c r="B1918" t="str">
        <f>"1578729882962260"</f>
        <v>1578729882962260</v>
      </c>
      <c r="C1918" t="s">
        <v>40</v>
      </c>
      <c r="D1918">
        <v>5.6744479999999999</v>
      </c>
      <c r="E1918">
        <v>0.56181199999999998</v>
      </c>
      <c r="F1918" t="s">
        <v>42</v>
      </c>
      <c r="G1918">
        <v>-345.55619999999999</v>
      </c>
      <c r="H1918">
        <v>1.0361279999999999</v>
      </c>
      <c r="I1918">
        <v>285.38119999999998</v>
      </c>
      <c r="J1918">
        <v>-344.96370000000002</v>
      </c>
      <c r="K1918">
        <v>1.1087849999999999</v>
      </c>
      <c r="L1918">
        <v>285.3075</v>
      </c>
      <c r="M1918">
        <v>-0.99851920000000005</v>
      </c>
      <c r="N1918">
        <v>0</v>
      </c>
      <c r="O1918">
        <v>-5.3842170000000002E-2</v>
      </c>
      <c r="P1918">
        <v>-0.99703030000000004</v>
      </c>
      <c r="Q1918">
        <v>-1.392489E-3</v>
      </c>
      <c r="R1918">
        <v>-7.700071E-2</v>
      </c>
      <c r="S1918">
        <v>-3.0278320000000001</v>
      </c>
      <c r="T1918">
        <v>-0.28085060000000001</v>
      </c>
      <c r="U1918">
        <v>0.2449646</v>
      </c>
      <c r="V1918">
        <v>-2.3195400000000001E-2</v>
      </c>
      <c r="W1918">
        <v>6.4165799999999999E-3</v>
      </c>
      <c r="X1918">
        <v>0.9997104</v>
      </c>
      <c r="Y1918">
        <v>0.13339300000000001</v>
      </c>
      <c r="Z1918">
        <v>1.113974E-2</v>
      </c>
      <c r="AA1918">
        <v>0.99100060000000001</v>
      </c>
      <c r="AB1918">
        <v>35</v>
      </c>
      <c r="AC1918">
        <v>-0.59249999999997205</v>
      </c>
      <c r="AD1918">
        <v>-7.2656999999999902E-2</v>
      </c>
      <c r="AE1918">
        <v>7.3699999999973898E-2</v>
      </c>
      <c r="AF1918">
        <v>0.103956107734282</v>
      </c>
      <c r="AG1918">
        <v>-7.2656999999999902E-2</v>
      </c>
      <c r="AH1918">
        <v>0.57909668057223795</v>
      </c>
      <c r="AI1918">
        <v>97.039932633122902</v>
      </c>
      <c r="AJ1918">
        <v>79.822986407322006</v>
      </c>
      <c r="AK1918">
        <v>0.59282280441464597</v>
      </c>
      <c r="AL1918">
        <v>89.632354539496603</v>
      </c>
      <c r="AM1918">
        <v>91.329145037901498</v>
      </c>
      <c r="AN1918">
        <v>1.0000000414740999</v>
      </c>
    </row>
    <row r="1919" spans="1:40" x14ac:dyDescent="0.3">
      <c r="A1919" t="str">
        <f>"20200111160442984"</f>
        <v>20200111160442984</v>
      </c>
      <c r="B1919" t="str">
        <f>"1578729882982756"</f>
        <v>1578729882982756</v>
      </c>
      <c r="C1919" t="s">
        <v>40</v>
      </c>
      <c r="D1919">
        <v>5.6498699999999999</v>
      </c>
      <c r="E1919">
        <v>0.56246509999999905</v>
      </c>
      <c r="F1919" t="s">
        <v>42</v>
      </c>
      <c r="G1919">
        <v>-345.8691</v>
      </c>
      <c r="H1919">
        <v>1.0255270000000001</v>
      </c>
      <c r="I1919">
        <v>285.3827</v>
      </c>
      <c r="J1919">
        <v>-345.15899999999999</v>
      </c>
      <c r="K1919">
        <v>1.1087629999999999</v>
      </c>
      <c r="L1919">
        <v>285.29730000000001</v>
      </c>
      <c r="M1919">
        <v>-0.99854270000000001</v>
      </c>
      <c r="N1919">
        <v>0</v>
      </c>
      <c r="O1919">
        <v>-5.3405250000000001E-2</v>
      </c>
      <c r="P1919">
        <v>-0.99706850000000002</v>
      </c>
      <c r="Q1919">
        <v>-1.229972E-3</v>
      </c>
      <c r="R1919">
        <v>-7.6506790000000005E-2</v>
      </c>
      <c r="S1919">
        <v>-3.027863</v>
      </c>
      <c r="T1919">
        <v>-0.2786595</v>
      </c>
      <c r="U1919">
        <v>0.2497559</v>
      </c>
      <c r="V1919">
        <v>-2.3136739999999999E-2</v>
      </c>
      <c r="W1919">
        <v>6.5877599999999998E-3</v>
      </c>
      <c r="X1919">
        <v>0.9997106</v>
      </c>
      <c r="Y1919">
        <v>0.1345259</v>
      </c>
      <c r="Z1919">
        <v>1.1064299999999999E-2</v>
      </c>
      <c r="AA1919">
        <v>0.99084830000000002</v>
      </c>
      <c r="AB1919">
        <v>35</v>
      </c>
      <c r="AC1919">
        <v>-0.71010000000001094</v>
      </c>
      <c r="AD1919">
        <v>-8.3235999999999796E-2</v>
      </c>
      <c r="AE1919">
        <v>8.5399999999992801E-2</v>
      </c>
      <c r="AF1919">
        <v>0.12155597861261</v>
      </c>
      <c r="AG1919">
        <v>-8.3235999999999796E-2</v>
      </c>
      <c r="AH1919">
        <v>0.69511104119286404</v>
      </c>
      <c r="AI1919">
        <v>96.727234499733996</v>
      </c>
      <c r="AJ1919">
        <v>80.080828942809802</v>
      </c>
      <c r="AK1919">
        <v>0.71055150919598797</v>
      </c>
      <c r="AL1919">
        <v>89.622546423678003</v>
      </c>
      <c r="AM1919">
        <v>91.325784633038495</v>
      </c>
      <c r="AN1919">
        <v>0.99999999553600205</v>
      </c>
    </row>
    <row r="1920" spans="1:40" x14ac:dyDescent="0.3">
      <c r="A1920" t="str">
        <f>"20200111160443260"</f>
        <v>20200111160443260</v>
      </c>
      <c r="B1920" t="str">
        <f>"1578729883252481"</f>
        <v>1578729883252481</v>
      </c>
      <c r="C1920" t="s">
        <v>40</v>
      </c>
      <c r="D1920">
        <v>5.5046140000000001</v>
      </c>
      <c r="E1920">
        <v>0.5210342</v>
      </c>
      <c r="F1920" t="s">
        <v>42</v>
      </c>
      <c r="G1920">
        <v>-350.05250000000001</v>
      </c>
      <c r="H1920">
        <v>1.040459</v>
      </c>
      <c r="I1920">
        <v>285.17630000000003</v>
      </c>
      <c r="J1920">
        <v>-349.5838</v>
      </c>
      <c r="K1920">
        <v>1.1085959999999999</v>
      </c>
      <c r="L1920">
        <v>285.09019999999998</v>
      </c>
      <c r="M1920">
        <v>-0.99903200000000003</v>
      </c>
      <c r="N1920">
        <v>0</v>
      </c>
      <c r="O1920">
        <v>-4.3271980000000002E-2</v>
      </c>
      <c r="P1920">
        <v>-0.9978148</v>
      </c>
      <c r="Q1920">
        <v>-2.8992440000000003E-4</v>
      </c>
      <c r="R1920">
        <v>-6.6075789999999995E-2</v>
      </c>
      <c r="S1920">
        <v>-3.0257869999999998</v>
      </c>
      <c r="T1920">
        <v>-0.26806439999999998</v>
      </c>
      <c r="U1920">
        <v>0.28823850000000001</v>
      </c>
      <c r="V1920">
        <v>-2.2819550000000001E-2</v>
      </c>
      <c r="W1920">
        <v>7.6854119999999904E-3</v>
      </c>
      <c r="X1920">
        <v>0.99971010000000005</v>
      </c>
      <c r="Y1920">
        <v>0.13711999999999999</v>
      </c>
      <c r="Z1920">
        <v>9.8671809999999992E-3</v>
      </c>
      <c r="AA1920">
        <v>0.99050530000000003</v>
      </c>
      <c r="AB1920">
        <v>36</v>
      </c>
      <c r="AC1920">
        <v>-0.468700000000012</v>
      </c>
      <c r="AD1920">
        <v>-6.8136999999999795E-2</v>
      </c>
      <c r="AE1920">
        <v>8.6100000000044405E-2</v>
      </c>
      <c r="AF1920">
        <v>0.104171886142192</v>
      </c>
      <c r="AG1920">
        <v>-6.8136999999999795E-2</v>
      </c>
      <c r="AH1920">
        <v>0.455228502423356</v>
      </c>
      <c r="AI1920">
        <v>98.301168691396299</v>
      </c>
      <c r="AJ1920">
        <v>77.110686789823902</v>
      </c>
      <c r="AK1920">
        <v>0.47194006192527599</v>
      </c>
      <c r="AL1920">
        <v>89.559654011563893</v>
      </c>
      <c r="AM1920">
        <v>91.307615976543403</v>
      </c>
      <c r="AN1920">
        <v>1.00000004073091</v>
      </c>
    </row>
    <row r="1921" spans="1:40" x14ac:dyDescent="0.3">
      <c r="A1921" t="str">
        <f>"20200111160443272"</f>
        <v>20200111160443272</v>
      </c>
      <c r="B1921" t="str">
        <f>"1578729883263219"</f>
        <v>1578729883263219</v>
      </c>
      <c r="C1921" t="s">
        <v>40</v>
      </c>
      <c r="D1921">
        <v>5.3895359999999997</v>
      </c>
      <c r="E1921">
        <v>0.5090095</v>
      </c>
      <c r="F1921" t="s">
        <v>57</v>
      </c>
      <c r="G1921">
        <v>-395.1995</v>
      </c>
      <c r="H1921" s="1">
        <v>1.230127E-6</v>
      </c>
      <c r="I1921">
        <v>284.57870000000003</v>
      </c>
      <c r="J1921">
        <v>-349.79489999999998</v>
      </c>
      <c r="K1921">
        <v>1.108592</v>
      </c>
      <c r="L1921">
        <v>285.08150000000001</v>
      </c>
      <c r="M1921">
        <v>-0.99905259999999996</v>
      </c>
      <c r="N1921">
        <v>0</v>
      </c>
      <c r="O1921">
        <v>-4.2789309999999997E-2</v>
      </c>
      <c r="P1921">
        <v>-0.99784720000000005</v>
      </c>
      <c r="Q1921">
        <v>-5.0755220000000005E-4</v>
      </c>
      <c r="R1921">
        <v>-6.5583580000000002E-2</v>
      </c>
      <c r="S1921">
        <v>-3.0043030000000002</v>
      </c>
      <c r="T1921">
        <v>-7.3013309999999998E-2</v>
      </c>
      <c r="U1921">
        <v>-3.3691409999999998E-2</v>
      </c>
      <c r="V1921">
        <v>-2.2810049999999998E-2</v>
      </c>
      <c r="W1921">
        <v>7.4751330000000001E-3</v>
      </c>
      <c r="X1921">
        <v>0.99971189999999999</v>
      </c>
      <c r="Y1921">
        <v>3.156262E-2</v>
      </c>
      <c r="Z1921">
        <v>1.4229139999999999E-3</v>
      </c>
      <c r="AA1921">
        <v>0.99950079999999997</v>
      </c>
      <c r="AB1921">
        <v>36</v>
      </c>
      <c r="AC1921">
        <v>-45.404600000000002</v>
      </c>
      <c r="AD1921">
        <v>-1.108590769873</v>
      </c>
      <c r="AE1921">
        <v>-0.50279999999997904</v>
      </c>
      <c r="AF1921">
        <v>1.4396950755859701</v>
      </c>
      <c r="AG1921">
        <v>-1.108590769873</v>
      </c>
      <c r="AH1921">
        <v>45.357491508875</v>
      </c>
      <c r="AI1921">
        <v>91.399393425225497</v>
      </c>
      <c r="AJ1921">
        <v>88.181981336090601</v>
      </c>
      <c r="AK1921">
        <v>45.3938732802498</v>
      </c>
      <c r="AL1921">
        <v>89.571702451664393</v>
      </c>
      <c r="AM1921">
        <v>91.307069439626403</v>
      </c>
      <c r="AN1921">
        <v>1.0000000294979801</v>
      </c>
    </row>
    <row r="1922" spans="1:40" x14ac:dyDescent="0.3">
      <c r="A1922" t="str">
        <f>"20200111160443286"</f>
        <v>20200111160443286</v>
      </c>
      <c r="B1922" t="str">
        <f>"1578729883282476"</f>
        <v>1578729883282476</v>
      </c>
      <c r="C1922" t="s">
        <v>40</v>
      </c>
      <c r="D1922">
        <v>5.5260360000000004</v>
      </c>
      <c r="E1922">
        <v>0.49499280000000001</v>
      </c>
      <c r="F1922" t="s">
        <v>57</v>
      </c>
      <c r="G1922">
        <v>-372.86259999999999</v>
      </c>
      <c r="H1922" s="1">
        <v>-1.347496E-8</v>
      </c>
      <c r="I1922">
        <v>284.0745</v>
      </c>
      <c r="J1922">
        <v>-350.00709999999998</v>
      </c>
      <c r="K1922">
        <v>1.1085879999999999</v>
      </c>
      <c r="L1922">
        <v>285.07279999999997</v>
      </c>
      <c r="M1922">
        <v>-0.99907310000000005</v>
      </c>
      <c r="N1922">
        <v>0</v>
      </c>
      <c r="O1922">
        <v>-4.2304620000000001E-2</v>
      </c>
      <c r="P1922">
        <v>-0.99786370000000002</v>
      </c>
      <c r="Q1922">
        <v>-8.9555419999999997E-4</v>
      </c>
      <c r="R1922">
        <v>-6.5326309999999999E-2</v>
      </c>
      <c r="S1922">
        <v>-2.9977719999999999</v>
      </c>
      <c r="T1922">
        <v>-0.1440679</v>
      </c>
      <c r="U1922">
        <v>-0.13085939999999999</v>
      </c>
      <c r="V1922">
        <v>-2.303798E-2</v>
      </c>
      <c r="W1922">
        <v>7.0946259999999997E-3</v>
      </c>
      <c r="X1922">
        <v>0.99970939999999997</v>
      </c>
      <c r="Y1922">
        <v>-1.3530599999999999E-3</v>
      </c>
      <c r="Z1922">
        <v>1.9976130000000001E-3</v>
      </c>
      <c r="AA1922">
        <v>0.99999709999999997</v>
      </c>
      <c r="AB1922">
        <v>36</v>
      </c>
      <c r="AC1922">
        <v>-22.855499999999999</v>
      </c>
      <c r="AD1922">
        <v>-1.1085880134749599</v>
      </c>
      <c r="AE1922">
        <v>-0.99829999999997199</v>
      </c>
      <c r="AF1922">
        <v>-3.0410987063282199E-2</v>
      </c>
      <c r="AG1922">
        <v>-1.1085880134749599</v>
      </c>
      <c r="AH1922">
        <v>22.823677486833201</v>
      </c>
      <c r="AI1922">
        <v>92.780773526489796</v>
      </c>
      <c r="AJ1922">
        <v>90.076342656848695</v>
      </c>
      <c r="AK1922">
        <v>22.850604942423999</v>
      </c>
      <c r="AL1922">
        <v>89.5935044560851</v>
      </c>
      <c r="AM1922">
        <v>91.320129065014498</v>
      </c>
      <c r="AN1922">
        <v>0.99999998334445905</v>
      </c>
    </row>
    <row r="1923" spans="1:40" x14ac:dyDescent="0.3">
      <c r="A1923" t="str">
        <f>"20200111160443299"</f>
        <v>20200111160443299</v>
      </c>
      <c r="B1923" t="str">
        <f>"1578729883293211"</f>
        <v>1578729883293211</v>
      </c>
      <c r="C1923" t="s">
        <v>40</v>
      </c>
      <c r="D1923">
        <v>5.3891159999999996</v>
      </c>
      <c r="E1923">
        <v>0.49240349999999999</v>
      </c>
      <c r="F1923" t="s">
        <v>57</v>
      </c>
      <c r="G1923">
        <v>-367.4409</v>
      </c>
      <c r="H1923" s="1">
        <v>2.422919E-6</v>
      </c>
      <c r="I1923">
        <v>283.654</v>
      </c>
      <c r="J1923">
        <v>-350.22750000000002</v>
      </c>
      <c r="K1923">
        <v>1.108581</v>
      </c>
      <c r="L1923">
        <v>285.06380000000001</v>
      </c>
      <c r="M1923">
        <v>-0.99909440000000005</v>
      </c>
      <c r="N1923">
        <v>0</v>
      </c>
      <c r="O1923">
        <v>-4.1801209999999998E-2</v>
      </c>
      <c r="P1923">
        <v>-0.99789899999999998</v>
      </c>
      <c r="Q1923">
        <v>-1.1577079999999999E-3</v>
      </c>
      <c r="R1923">
        <v>-6.4783660000000007E-2</v>
      </c>
      <c r="S1923">
        <v>-2.990326</v>
      </c>
      <c r="T1923">
        <v>-0.19014890000000001</v>
      </c>
      <c r="U1923">
        <v>-0.24334720000000001</v>
      </c>
      <c r="V1923">
        <v>-2.299845E-2</v>
      </c>
      <c r="W1923">
        <v>6.8400020000000004E-3</v>
      </c>
      <c r="X1923">
        <v>0.99971209999999999</v>
      </c>
      <c r="Y1923">
        <v>-3.9379150000000002E-2</v>
      </c>
      <c r="Z1923">
        <v>1.4006859999999999E-3</v>
      </c>
      <c r="AA1923">
        <v>0.99922339999999998</v>
      </c>
      <c r="AB1923">
        <v>37</v>
      </c>
      <c r="AC1923">
        <v>-17.213399999999901</v>
      </c>
      <c r="AD1923">
        <v>-1.1085785770809999</v>
      </c>
      <c r="AE1923">
        <v>-1.4098000000000099</v>
      </c>
      <c r="AF1923">
        <v>-0.68617701156081101</v>
      </c>
      <c r="AG1923">
        <v>-1.1085785770809999</v>
      </c>
      <c r="AH1923">
        <v>17.1864787118772</v>
      </c>
      <c r="AI1923">
        <v>93.687704130933795</v>
      </c>
      <c r="AJ1923">
        <v>92.286342507463999</v>
      </c>
      <c r="AK1923">
        <v>17.235859011565601</v>
      </c>
      <c r="AL1923">
        <v>89.608093697022497</v>
      </c>
      <c r="AM1923">
        <v>91.317861146916599</v>
      </c>
      <c r="AN1923">
        <v>0.99999999860808597</v>
      </c>
    </row>
    <row r="1924" spans="1:40" x14ac:dyDescent="0.3">
      <c r="A1924" t="str">
        <f>"20200111160443314"</f>
        <v>20200111160443314</v>
      </c>
      <c r="B1924" t="str">
        <f>"1578729883302970"</f>
        <v>1578729883302970</v>
      </c>
      <c r="C1924" t="s">
        <v>40</v>
      </c>
      <c r="D1924">
        <v>5.5240390000000001</v>
      </c>
      <c r="E1924">
        <v>0.49003029999999997</v>
      </c>
      <c r="F1924" t="s">
        <v>57</v>
      </c>
      <c r="G1924">
        <v>-366.27929999999998</v>
      </c>
      <c r="H1924" s="1">
        <v>1.8047310000000001E-6</v>
      </c>
      <c r="I1924">
        <v>283.65100000000001</v>
      </c>
      <c r="J1924">
        <v>-350.47129999999999</v>
      </c>
      <c r="K1924">
        <v>1.108576</v>
      </c>
      <c r="L1924">
        <v>285.05410000000001</v>
      </c>
      <c r="M1924">
        <v>-0.99911740000000004</v>
      </c>
      <c r="N1924">
        <v>0</v>
      </c>
      <c r="O1924">
        <v>-4.124452E-2</v>
      </c>
      <c r="P1924">
        <v>-0.99792890000000001</v>
      </c>
      <c r="Q1924">
        <v>-1.835752E-3</v>
      </c>
      <c r="R1924">
        <v>-6.4304639999999996E-2</v>
      </c>
      <c r="S1924">
        <v>-2.9889830000000002</v>
      </c>
      <c r="T1924">
        <v>-0.20642750000000001</v>
      </c>
      <c r="U1924">
        <v>-0.26309199999999999</v>
      </c>
      <c r="V1924">
        <v>-2.3077210000000001E-2</v>
      </c>
      <c r="W1924">
        <v>6.1705359999999999E-3</v>
      </c>
      <c r="X1924">
        <v>0.99971460000000001</v>
      </c>
      <c r="Y1924">
        <v>-4.650754E-2</v>
      </c>
      <c r="Z1924">
        <v>1.2368289999999901E-3</v>
      </c>
      <c r="AA1924">
        <v>0.99891719999999895</v>
      </c>
      <c r="AB1924">
        <v>37</v>
      </c>
      <c r="AC1924">
        <v>-15.8079999999999</v>
      </c>
      <c r="AD1924">
        <v>-1.108574195269</v>
      </c>
      <c r="AE1924">
        <v>-1.40309999999999</v>
      </c>
      <c r="AF1924">
        <v>-0.74625072410747295</v>
      </c>
      <c r="AG1924">
        <v>-1.108574195269</v>
      </c>
      <c r="AH1924">
        <v>15.7754449420302</v>
      </c>
      <c r="AI1924">
        <v>94.015213552155004</v>
      </c>
      <c r="AJ1924">
        <v>92.708333557268006</v>
      </c>
      <c r="AK1924">
        <v>15.831945237672899</v>
      </c>
      <c r="AL1924">
        <v>89.646452071157199</v>
      </c>
      <c r="AM1924">
        <v>91.322369360533301</v>
      </c>
      <c r="AN1924">
        <v>0.99999995729453395</v>
      </c>
    </row>
    <row r="1925" spans="1:40" x14ac:dyDescent="0.3">
      <c r="A1925" t="str">
        <f>"20200111160443327"</f>
        <v>20200111160443327</v>
      </c>
      <c r="B1925" t="str">
        <f>"1578729883322490"</f>
        <v>1578729883322490</v>
      </c>
      <c r="C1925" t="s">
        <v>40</v>
      </c>
      <c r="D1925">
        <v>5.3891169999999997</v>
      </c>
      <c r="E1925">
        <v>0.48732969999999998</v>
      </c>
      <c r="F1925" t="s">
        <v>57</v>
      </c>
      <c r="G1925">
        <v>-365.74680000000001</v>
      </c>
      <c r="H1925" s="1">
        <v>1.521355E-6</v>
      </c>
      <c r="I1925">
        <v>283.6182</v>
      </c>
      <c r="J1925">
        <v>-350.68430000000001</v>
      </c>
      <c r="K1925">
        <v>1.1085719999999999</v>
      </c>
      <c r="L1925">
        <v>285.04570000000001</v>
      </c>
      <c r="M1925">
        <v>-0.99913719999999995</v>
      </c>
      <c r="N1925">
        <v>0</v>
      </c>
      <c r="O1925">
        <v>-4.0758280000000001E-2</v>
      </c>
      <c r="P1925">
        <v>-0.99795089999999997</v>
      </c>
      <c r="Q1925">
        <v>-1.9996020000000001E-3</v>
      </c>
      <c r="R1925">
        <v>-6.395439E-2</v>
      </c>
      <c r="S1925">
        <v>-2.9877009999999999</v>
      </c>
      <c r="T1925">
        <v>-0.2168243</v>
      </c>
      <c r="U1925">
        <v>-0.28085329999999997</v>
      </c>
      <c r="V1925">
        <v>-2.321262E-2</v>
      </c>
      <c r="W1925">
        <v>6.0141369999999897E-3</v>
      </c>
      <c r="X1925">
        <v>0.9997125</v>
      </c>
      <c r="Y1925">
        <v>-5.2900410000000002E-2</v>
      </c>
      <c r="Z1925">
        <v>1.032809E-3</v>
      </c>
      <c r="AA1925">
        <v>0.99859920000000002</v>
      </c>
      <c r="AB1925">
        <v>37</v>
      </c>
      <c r="AC1925">
        <v>-15.0625</v>
      </c>
      <c r="AD1925">
        <v>-1.1085704786449999</v>
      </c>
      <c r="AE1925">
        <v>-1.4275</v>
      </c>
      <c r="AF1925">
        <v>-0.80803470483814499</v>
      </c>
      <c r="AG1925">
        <v>-1.1085704786449999</v>
      </c>
      <c r="AH1925">
        <v>15.027492705478499</v>
      </c>
      <c r="AI1925">
        <v>94.212974239480801</v>
      </c>
      <c r="AJ1925">
        <v>93.077854542177505</v>
      </c>
      <c r="AK1925">
        <v>15.089976328793799</v>
      </c>
      <c r="AL1925">
        <v>89.655413268668596</v>
      </c>
      <c r="AM1925">
        <v>91.330128632556395</v>
      </c>
      <c r="AN1925">
        <v>1.0000000391136801</v>
      </c>
    </row>
    <row r="1926" spans="1:40" x14ac:dyDescent="0.3">
      <c r="A1926" t="str">
        <f>"20200111160443341"</f>
        <v>20200111160443341</v>
      </c>
      <c r="B1926" t="str">
        <f>"1578729883333228"</f>
        <v>1578729883333228</v>
      </c>
      <c r="C1926" t="s">
        <v>40</v>
      </c>
      <c r="D1926">
        <v>5.3471570000000002</v>
      </c>
      <c r="E1926">
        <v>0.48677409999999999</v>
      </c>
      <c r="F1926" t="s">
        <v>57</v>
      </c>
      <c r="G1926">
        <v>-364.79820000000001</v>
      </c>
      <c r="H1926" s="1">
        <v>1.016594E-6</v>
      </c>
      <c r="I1926">
        <v>283.61849999999998</v>
      </c>
      <c r="J1926">
        <v>-350.92070000000001</v>
      </c>
      <c r="K1926">
        <v>1.1085670000000001</v>
      </c>
      <c r="L1926">
        <v>285.03649999999999</v>
      </c>
      <c r="M1926">
        <v>-0.99915909999999997</v>
      </c>
      <c r="N1926">
        <v>0</v>
      </c>
      <c r="O1926">
        <v>-4.0218749999999998E-2</v>
      </c>
      <c r="P1926">
        <v>-0.99798580000000003</v>
      </c>
      <c r="Q1926">
        <v>-2.322434E-3</v>
      </c>
      <c r="R1926">
        <v>-6.3397090000000003E-2</v>
      </c>
      <c r="S1926">
        <v>-2.986389</v>
      </c>
      <c r="T1926">
        <v>-0.23456450000000001</v>
      </c>
      <c r="U1926">
        <v>-0.3019714</v>
      </c>
      <c r="V1926">
        <v>-2.3195500000000001E-2</v>
      </c>
      <c r="W1926">
        <v>5.6989519999999898E-3</v>
      </c>
      <c r="X1926">
        <v>0.99971469999999996</v>
      </c>
      <c r="Y1926">
        <v>-6.044389E-2</v>
      </c>
      <c r="Z1926">
        <v>7.7987369999999996E-4</v>
      </c>
      <c r="AA1926">
        <v>0.99817129999999998</v>
      </c>
      <c r="AB1926">
        <v>37</v>
      </c>
      <c r="AC1926">
        <v>-13.8774999999999</v>
      </c>
      <c r="AD1926">
        <v>-1.108565983406</v>
      </c>
      <c r="AE1926">
        <v>-1.4179999999999999</v>
      </c>
      <c r="AF1926">
        <v>-0.85331032552017305</v>
      </c>
      <c r="AG1926">
        <v>-1.108565983406</v>
      </c>
      <c r="AH1926">
        <v>13.8359258053031</v>
      </c>
      <c r="AI1926">
        <v>94.572232686168107</v>
      </c>
      <c r="AJ1926">
        <v>93.529162723164006</v>
      </c>
      <c r="AK1926">
        <v>13.9064697152461</v>
      </c>
      <c r="AL1926">
        <v>89.673472333715594</v>
      </c>
      <c r="AM1926">
        <v>91.329145051127</v>
      </c>
      <c r="AN1926">
        <v>0.99999999533511896</v>
      </c>
    </row>
    <row r="1927" spans="1:40" x14ac:dyDescent="0.3">
      <c r="A1927" t="str">
        <f>"20200111160443353"</f>
        <v>20200111160443353</v>
      </c>
      <c r="B1927" t="str">
        <f>"1578729883342989"</f>
        <v>1578729883342989</v>
      </c>
      <c r="C1927" t="s">
        <v>40</v>
      </c>
      <c r="D1927">
        <v>5.4352140000000002</v>
      </c>
      <c r="E1927">
        <v>0.48619220000000002</v>
      </c>
      <c r="F1927" t="s">
        <v>57</v>
      </c>
      <c r="G1927">
        <v>-364.65570000000002</v>
      </c>
      <c r="H1927" s="1">
        <v>9.4074430000000003E-7</v>
      </c>
      <c r="I1927">
        <v>283.6336</v>
      </c>
      <c r="J1927">
        <v>-351.1148</v>
      </c>
      <c r="K1927">
        <v>1.108565</v>
      </c>
      <c r="L1927">
        <v>285.029</v>
      </c>
      <c r="M1927">
        <v>-0.99917679999999998</v>
      </c>
      <c r="N1927">
        <v>0</v>
      </c>
      <c r="O1927">
        <v>-3.9775779999999997E-2</v>
      </c>
      <c r="P1927">
        <v>-0.99802519999999995</v>
      </c>
      <c r="Q1927">
        <v>-2.5981369999999999E-3</v>
      </c>
      <c r="R1927">
        <v>-6.2760640000000006E-2</v>
      </c>
      <c r="S1927">
        <v>-2.986084</v>
      </c>
      <c r="T1927">
        <v>-0.24101069999999999</v>
      </c>
      <c r="U1927">
        <v>-0.30499270000000001</v>
      </c>
      <c r="V1927">
        <v>-2.3001509999999999E-2</v>
      </c>
      <c r="W1927">
        <v>5.4295439999999997E-3</v>
      </c>
      <c r="X1927">
        <v>0.99972070000000002</v>
      </c>
      <c r="Y1927">
        <v>-6.1886669999999998E-2</v>
      </c>
      <c r="Z1927">
        <v>7.0773600000000004E-4</v>
      </c>
      <c r="AA1927">
        <v>0.9980829</v>
      </c>
      <c r="AB1927">
        <v>37</v>
      </c>
      <c r="AC1927">
        <v>-13.540900000000001</v>
      </c>
      <c r="AD1927">
        <v>-1.1085640592557</v>
      </c>
      <c r="AE1927">
        <v>-1.39539999999999</v>
      </c>
      <c r="AF1927">
        <v>-0.850041262115519</v>
      </c>
      <c r="AG1927">
        <v>-1.1085640592557</v>
      </c>
      <c r="AH1927">
        <v>13.4961828311773</v>
      </c>
      <c r="AI1927">
        <v>94.686436533339105</v>
      </c>
      <c r="AJ1927">
        <v>93.603946995543595</v>
      </c>
      <c r="AK1927">
        <v>13.568287859318801</v>
      </c>
      <c r="AL1927">
        <v>89.688908519878098</v>
      </c>
      <c r="AM1927">
        <v>91.318025095434194</v>
      </c>
      <c r="AN1927">
        <v>1.0000000137094001</v>
      </c>
    </row>
    <row r="1928" spans="1:40" x14ac:dyDescent="0.3">
      <c r="A1928" t="str">
        <f>"20200111160443366"</f>
        <v>20200111160443366</v>
      </c>
      <c r="B1928" t="str">
        <f>"1578729883362507"</f>
        <v>1578729883362507</v>
      </c>
      <c r="C1928" t="s">
        <v>40</v>
      </c>
      <c r="D1928">
        <v>5.4440330000000001</v>
      </c>
      <c r="E1928">
        <v>0.4852764</v>
      </c>
      <c r="F1928" t="s">
        <v>57</v>
      </c>
      <c r="G1928">
        <v>-364.65910000000002</v>
      </c>
      <c r="H1928" s="1">
        <v>9.4257640000000003E-7</v>
      </c>
      <c r="I1928">
        <v>283.63350000000003</v>
      </c>
      <c r="J1928">
        <v>-351.3202</v>
      </c>
      <c r="K1928">
        <v>1.108563</v>
      </c>
      <c r="L1928">
        <v>285.02120000000002</v>
      </c>
      <c r="M1928">
        <v>-0.99919519999999995</v>
      </c>
      <c r="N1928">
        <v>0</v>
      </c>
      <c r="O1928">
        <v>-3.9306819999999999E-2</v>
      </c>
      <c r="P1928">
        <v>-0.99805940000000004</v>
      </c>
      <c r="Q1928">
        <v>-2.863109E-3</v>
      </c>
      <c r="R1928">
        <v>-6.2203219999999997E-2</v>
      </c>
      <c r="S1928">
        <v>-2.9859309999999999</v>
      </c>
      <c r="T1928">
        <v>-0.24438960000000001</v>
      </c>
      <c r="U1928">
        <v>-0.30764770000000002</v>
      </c>
      <c r="V1928">
        <v>-2.291288E-2</v>
      </c>
      <c r="W1928">
        <v>5.1720560000000004E-3</v>
      </c>
      <c r="X1928">
        <v>0.9997241</v>
      </c>
      <c r="Y1928">
        <v>-6.3230430000000004E-2</v>
      </c>
      <c r="Z1928">
        <v>6.2470229999999998E-4</v>
      </c>
      <c r="AA1928">
        <v>0.99799879999999996</v>
      </c>
      <c r="AB1928">
        <v>37</v>
      </c>
      <c r="AC1928">
        <v>-13.338900000000001</v>
      </c>
      <c r="AD1928">
        <v>-1.1085620574235999</v>
      </c>
      <c r="AE1928">
        <v>-1.3876999999999899</v>
      </c>
      <c r="AF1928">
        <v>-0.856448972917773</v>
      </c>
      <c r="AG1928">
        <v>-1.1085620574235999</v>
      </c>
      <c r="AH1928">
        <v>13.2923136988148</v>
      </c>
      <c r="AI1928">
        <v>94.757542935272696</v>
      </c>
      <c r="AJ1928">
        <v>93.686579764205803</v>
      </c>
      <c r="AK1928">
        <v>13.365927507886299</v>
      </c>
      <c r="AL1928">
        <v>89.703661702506494</v>
      </c>
      <c r="AM1928">
        <v>91.312943765260201</v>
      </c>
      <c r="AN1928">
        <v>1.00000001317698</v>
      </c>
    </row>
    <row r="1929" spans="1:40" x14ac:dyDescent="0.3">
      <c r="A1929" t="str">
        <f>"20200111160443381"</f>
        <v>20200111160443381</v>
      </c>
      <c r="B1929" t="str">
        <f>"1578729883372267"</f>
        <v>1578729883372267</v>
      </c>
      <c r="C1929" t="s">
        <v>40</v>
      </c>
      <c r="D1929">
        <v>5.4547049999999997</v>
      </c>
      <c r="E1929">
        <v>0.48485780000000001</v>
      </c>
      <c r="F1929" t="s">
        <v>57</v>
      </c>
      <c r="G1929">
        <v>-364.48489999999998</v>
      </c>
      <c r="H1929" s="1">
        <v>8.4986980000000004E-7</v>
      </c>
      <c r="I1929">
        <v>283.63760000000002</v>
      </c>
      <c r="J1929">
        <v>-351.5752</v>
      </c>
      <c r="K1929">
        <v>1.1085590000000001</v>
      </c>
      <c r="L1929">
        <v>285.01170000000002</v>
      </c>
      <c r="M1929">
        <v>-0.99921789999999999</v>
      </c>
      <c r="N1929">
        <v>0</v>
      </c>
      <c r="O1929">
        <v>-3.8725219999999998E-2</v>
      </c>
      <c r="P1929">
        <v>-0.99809110000000001</v>
      </c>
      <c r="Q1929">
        <v>-3.3997189999999998E-3</v>
      </c>
      <c r="R1929">
        <v>-6.1665749999999998E-2</v>
      </c>
      <c r="S1929">
        <v>-2.9855960000000001</v>
      </c>
      <c r="T1929">
        <v>-0.25140709999999999</v>
      </c>
      <c r="U1929">
        <v>-0.3137817</v>
      </c>
      <c r="V1929">
        <v>-2.2957269999999998E-2</v>
      </c>
      <c r="W1929">
        <v>4.6437259999999999E-3</v>
      </c>
      <c r="X1929">
        <v>0.99972559999999999</v>
      </c>
      <c r="Y1929">
        <v>-6.5835270000000001E-2</v>
      </c>
      <c r="Z1929">
        <v>4.8469080000000002E-4</v>
      </c>
      <c r="AA1929">
        <v>0.99783040000000001</v>
      </c>
      <c r="AB1929">
        <v>37</v>
      </c>
      <c r="AC1929">
        <v>-12.9096999999999</v>
      </c>
      <c r="AD1929">
        <v>-1.1085581501302</v>
      </c>
      <c r="AE1929">
        <v>-1.3740999999999901</v>
      </c>
      <c r="AF1929">
        <v>-0.86680233246721505</v>
      </c>
      <c r="AG1929">
        <v>-1.1085581501302</v>
      </c>
      <c r="AH1929">
        <v>12.8594703383125</v>
      </c>
      <c r="AI1929">
        <v>94.9159349408189</v>
      </c>
      <c r="AJ1929">
        <v>93.8562321390622</v>
      </c>
      <c r="AK1929">
        <v>12.9362368885905</v>
      </c>
      <c r="AL1929">
        <v>89.733933126194302</v>
      </c>
      <c r="AM1929">
        <v>91.315484515485494</v>
      </c>
      <c r="AN1929">
        <v>0.99999993786618602</v>
      </c>
    </row>
    <row r="1930" spans="1:40" x14ac:dyDescent="0.3">
      <c r="A1930" t="str">
        <f>"20200111160443393"</f>
        <v>20200111160443393</v>
      </c>
      <c r="B1930" t="str">
        <f>"1578729883383003"</f>
        <v>1578729883383003</v>
      </c>
      <c r="C1930" t="s">
        <v>40</v>
      </c>
      <c r="D1930">
        <v>5.7006629999999996</v>
      </c>
      <c r="E1930">
        <v>0.48355350000000002</v>
      </c>
      <c r="F1930" t="s">
        <v>57</v>
      </c>
      <c r="G1930">
        <v>-364.5188</v>
      </c>
      <c r="H1930" s="1">
        <v>8.6789730000000004E-7</v>
      </c>
      <c r="I1930">
        <v>283.64420000000001</v>
      </c>
      <c r="J1930">
        <v>-351.77449999999999</v>
      </c>
      <c r="K1930">
        <v>1.1085560000000001</v>
      </c>
      <c r="L1930">
        <v>285.0043</v>
      </c>
      <c r="M1930">
        <v>-0.9992354</v>
      </c>
      <c r="N1930">
        <v>0</v>
      </c>
      <c r="O1930">
        <v>-3.8270810000000002E-2</v>
      </c>
      <c r="P1930">
        <v>-0.99811419999999995</v>
      </c>
      <c r="Q1930">
        <v>-3.750073E-3</v>
      </c>
      <c r="R1930">
        <v>-6.1272069999999998E-2</v>
      </c>
      <c r="S1930">
        <v>-2.9854129999999999</v>
      </c>
      <c r="T1930">
        <v>-0.25568619999999997</v>
      </c>
      <c r="U1930">
        <v>-0.31539919999999999</v>
      </c>
      <c r="V1930">
        <v>-2.3018799999999999E-2</v>
      </c>
      <c r="W1930">
        <v>4.2999300000000004E-3</v>
      </c>
      <c r="X1930">
        <v>0.9997258</v>
      </c>
      <c r="Y1930">
        <v>-6.6821580000000005E-2</v>
      </c>
      <c r="Z1930">
        <v>4.1219569999999999E-4</v>
      </c>
      <c r="AA1930">
        <v>0.99776480000000001</v>
      </c>
      <c r="AB1930">
        <v>37</v>
      </c>
      <c r="AC1930">
        <v>-12.744300000000001</v>
      </c>
      <c r="AD1930">
        <v>-1.1085551321026901</v>
      </c>
      <c r="AE1930">
        <v>-1.3600999999999801</v>
      </c>
      <c r="AF1930">
        <v>-0.86488299393134604</v>
      </c>
      <c r="AG1930">
        <v>-1.1085551321026901</v>
      </c>
      <c r="AH1930">
        <v>12.6920664491492</v>
      </c>
      <c r="AI1930">
        <v>94.980190220139207</v>
      </c>
      <c r="AJ1930">
        <v>93.898313655289897</v>
      </c>
      <c r="AK1930">
        <v>12.7697089952638</v>
      </c>
      <c r="AL1930">
        <v>89.753631403256307</v>
      </c>
      <c r="AM1930">
        <v>91.319008765103902</v>
      </c>
      <c r="AN1930">
        <v>1.00000001486854</v>
      </c>
    </row>
    <row r="1931" spans="1:40" x14ac:dyDescent="0.3">
      <c r="A1931" t="str">
        <f>"20200111160443407"</f>
        <v>20200111160443407</v>
      </c>
      <c r="B1931" t="str">
        <f>"1578729883402523"</f>
        <v>1578729883402523</v>
      </c>
      <c r="C1931" t="s">
        <v>40</v>
      </c>
      <c r="D1931">
        <v>5.5000669999999996</v>
      </c>
      <c r="E1931">
        <v>0.48312270000000002</v>
      </c>
      <c r="F1931" t="s">
        <v>57</v>
      </c>
      <c r="G1931">
        <v>-364.9119</v>
      </c>
      <c r="H1931" s="1">
        <v>1.0770579999999999E-6</v>
      </c>
      <c r="I1931">
        <v>283.57650000000001</v>
      </c>
      <c r="J1931">
        <v>-351.9975</v>
      </c>
      <c r="K1931">
        <v>1.1085499999999999</v>
      </c>
      <c r="L1931">
        <v>284.99619999999999</v>
      </c>
      <c r="M1931">
        <v>-0.9992548</v>
      </c>
      <c r="N1931">
        <v>0</v>
      </c>
      <c r="O1931">
        <v>-3.776239E-2</v>
      </c>
      <c r="P1931">
        <v>-0.99814099999999994</v>
      </c>
      <c r="Q1931">
        <v>-3.9570999999999999E-3</v>
      </c>
      <c r="R1931">
        <v>-6.0822550000000003E-2</v>
      </c>
      <c r="S1931">
        <v>-2.9848020000000002</v>
      </c>
      <c r="T1931">
        <v>-0.2518628</v>
      </c>
      <c r="U1931">
        <v>-0.32440190000000002</v>
      </c>
      <c r="V1931">
        <v>-2.3077449999999999E-2</v>
      </c>
      <c r="W1931">
        <v>4.1001359999999999E-3</v>
      </c>
      <c r="X1931">
        <v>0.99972530000000004</v>
      </c>
      <c r="Y1931">
        <v>-7.0314429999999997E-2</v>
      </c>
      <c r="Z1931">
        <v>2.16715E-4</v>
      </c>
      <c r="AA1931">
        <v>0.99752490000000005</v>
      </c>
      <c r="AB1931">
        <v>37</v>
      </c>
      <c r="AC1931">
        <v>-12.914400000000001</v>
      </c>
      <c r="AD1931">
        <v>-1.108548922942</v>
      </c>
      <c r="AE1931">
        <v>-1.41969999999997</v>
      </c>
      <c r="AF1931">
        <v>-0.92426430670043103</v>
      </c>
      <c r="AG1931">
        <v>-1.108548922942</v>
      </c>
      <c r="AH1931">
        <v>12.8651401424674</v>
      </c>
      <c r="AI1931">
        <v>94.912235410823101</v>
      </c>
      <c r="AJ1931">
        <v>94.109214166184699</v>
      </c>
      <c r="AK1931">
        <v>12.9458478327425</v>
      </c>
      <c r="AL1931">
        <v>89.765078860045307</v>
      </c>
      <c r="AM1931">
        <v>91.322368959758805</v>
      </c>
      <c r="AN1931">
        <v>1.0000000276369001</v>
      </c>
    </row>
    <row r="1932" spans="1:40" x14ac:dyDescent="0.3">
      <c r="A1932" t="str">
        <f>"20200111160443420"</f>
        <v>20200111160443420</v>
      </c>
      <c r="B1932" t="str">
        <f>"1578729883413258"</f>
        <v>1578729883413258</v>
      </c>
      <c r="C1932" t="s">
        <v>40</v>
      </c>
      <c r="D1932">
        <v>5.438186</v>
      </c>
      <c r="E1932">
        <v>0.48273700000000003</v>
      </c>
      <c r="F1932" t="s">
        <v>57</v>
      </c>
      <c r="G1932">
        <v>-364.93799999999999</v>
      </c>
      <c r="H1932" s="1">
        <v>1.0909640000000001E-6</v>
      </c>
      <c r="I1932">
        <v>283.58100000000002</v>
      </c>
      <c r="J1932">
        <v>-352.22809999999998</v>
      </c>
      <c r="K1932">
        <v>1.108544</v>
      </c>
      <c r="L1932">
        <v>284.98790000000002</v>
      </c>
      <c r="M1932">
        <v>-0.99927440000000001</v>
      </c>
      <c r="N1932">
        <v>0</v>
      </c>
      <c r="O1932">
        <v>-3.7236810000000002E-2</v>
      </c>
      <c r="P1932">
        <v>-0.99818130000000005</v>
      </c>
      <c r="Q1932">
        <v>-4.1555259999999997E-3</v>
      </c>
      <c r="R1932">
        <v>-6.0145669999999998E-2</v>
      </c>
      <c r="S1932">
        <v>-2.9847410000000001</v>
      </c>
      <c r="T1932">
        <v>-0.25568750000000001</v>
      </c>
      <c r="U1932">
        <v>-0.32641599999999998</v>
      </c>
      <c r="V1932">
        <v>-2.292541E-2</v>
      </c>
      <c r="W1932">
        <v>3.909404E-3</v>
      </c>
      <c r="X1932">
        <v>0.99972950000000005</v>
      </c>
      <c r="Y1932">
        <v>-7.1496809999999994E-2</v>
      </c>
      <c r="Z1932">
        <v>1.2483819999999999E-4</v>
      </c>
      <c r="AA1932">
        <v>0.99744080000000002</v>
      </c>
      <c r="AB1932">
        <v>37</v>
      </c>
      <c r="AC1932">
        <v>-12.709899999999999</v>
      </c>
      <c r="AD1932">
        <v>-1.1085429090359999</v>
      </c>
      <c r="AE1932">
        <v>-1.40690000000006</v>
      </c>
      <c r="AF1932">
        <v>-0.92567640888902103</v>
      </c>
      <c r="AG1932">
        <v>-1.1085429090359999</v>
      </c>
      <c r="AH1932">
        <v>12.6583468118656</v>
      </c>
      <c r="AI1932">
        <v>94.991594750195901</v>
      </c>
      <c r="AJ1932">
        <v>94.182466506996306</v>
      </c>
      <c r="AK1932">
        <v>12.740466561496699</v>
      </c>
      <c r="AL1932">
        <v>89.776007072098196</v>
      </c>
      <c r="AM1932">
        <v>91.313654409073905</v>
      </c>
      <c r="AN1932">
        <v>0.99999996551677595</v>
      </c>
    </row>
    <row r="1933" spans="1:40" x14ac:dyDescent="0.3">
      <c r="A1933" t="str">
        <f>"20200111160443438"</f>
        <v>20200111160443438</v>
      </c>
      <c r="B1933" t="str">
        <f>"1578729883432780"</f>
        <v>1578729883432780</v>
      </c>
      <c r="C1933" t="s">
        <v>40</v>
      </c>
      <c r="D1933">
        <v>5.5659479999999997</v>
      </c>
      <c r="E1933">
        <v>0.48132239999999998</v>
      </c>
      <c r="F1933" t="s">
        <v>57</v>
      </c>
      <c r="G1933">
        <v>-365.03359999999998</v>
      </c>
      <c r="H1933" s="1">
        <v>1.1418320000000001E-6</v>
      </c>
      <c r="I1933">
        <v>283.58159999999998</v>
      </c>
      <c r="J1933">
        <v>-352.50639999999999</v>
      </c>
      <c r="K1933">
        <v>1.1085419999999999</v>
      </c>
      <c r="L1933">
        <v>284.97809999999998</v>
      </c>
      <c r="M1933">
        <v>-0.99929780000000001</v>
      </c>
      <c r="N1933">
        <v>0</v>
      </c>
      <c r="O1933">
        <v>-3.6602750000000003E-2</v>
      </c>
      <c r="P1933">
        <v>-0.99821199999999999</v>
      </c>
      <c r="Q1933">
        <v>-4.018148E-3</v>
      </c>
      <c r="R1933">
        <v>-5.9641899999999998E-2</v>
      </c>
      <c r="S1933">
        <v>-2.9846499999999998</v>
      </c>
      <c r="T1933">
        <v>-0.25837559999999998</v>
      </c>
      <c r="U1933">
        <v>-0.32775880000000002</v>
      </c>
      <c r="V1933">
        <v>-2.3055050000000001E-2</v>
      </c>
      <c r="W1933">
        <v>4.0567449999999996E-3</v>
      </c>
      <c r="X1933">
        <v>0.99972589999999995</v>
      </c>
      <c r="Y1933">
        <v>-7.256746E-2</v>
      </c>
      <c r="Z1933" s="1">
        <v>2.5480990000000001E-5</v>
      </c>
      <c r="AA1933">
        <v>0.99736349999999996</v>
      </c>
      <c r="AB1933">
        <v>37</v>
      </c>
      <c r="AC1933">
        <v>-12.527199999999899</v>
      </c>
      <c r="AD1933">
        <v>-1.1085408581680001</v>
      </c>
      <c r="AE1933">
        <v>-1.3965000000000001</v>
      </c>
      <c r="AF1933">
        <v>-0.929827719783892</v>
      </c>
      <c r="AG1933">
        <v>-1.1085408581680001</v>
      </c>
      <c r="AH1933">
        <v>12.4734465754717</v>
      </c>
      <c r="AI1933">
        <v>95.064672000817495</v>
      </c>
      <c r="AJ1933">
        <v>94.263204229646405</v>
      </c>
      <c r="AK1933">
        <v>12.5570821409217</v>
      </c>
      <c r="AL1933">
        <v>89.767564980016303</v>
      </c>
      <c r="AM1933">
        <v>91.321085072104395</v>
      </c>
      <c r="AN1933">
        <v>0.999999933820651</v>
      </c>
    </row>
    <row r="1934" spans="1:40" x14ac:dyDescent="0.3">
      <c r="A1934" t="str">
        <f>"20200111160443451"</f>
        <v>20200111160443451</v>
      </c>
      <c r="B1934" t="str">
        <f>"1578729883442540"</f>
        <v>1578729883442540</v>
      </c>
      <c r="C1934" t="s">
        <v>40</v>
      </c>
      <c r="D1934">
        <v>5.5826789999999997</v>
      </c>
      <c r="E1934">
        <v>0.4808964</v>
      </c>
      <c r="F1934" t="s">
        <v>57</v>
      </c>
      <c r="G1934">
        <v>-365.44299999999998</v>
      </c>
      <c r="H1934" s="1">
        <v>1.3596979999999901E-6</v>
      </c>
      <c r="I1934">
        <v>283.51459999999997</v>
      </c>
      <c r="J1934">
        <v>-352.7269</v>
      </c>
      <c r="K1934">
        <v>1.1085389999999999</v>
      </c>
      <c r="L1934">
        <v>284.97039999999998</v>
      </c>
      <c r="M1934">
        <v>-0.99931590000000003</v>
      </c>
      <c r="N1934">
        <v>0</v>
      </c>
      <c r="O1934">
        <v>-3.6100779999999999E-2</v>
      </c>
      <c r="P1934">
        <v>-0.99822520000000003</v>
      </c>
      <c r="Q1934">
        <v>-4.0877459999999997E-3</v>
      </c>
      <c r="R1934">
        <v>-5.9413720000000003E-2</v>
      </c>
      <c r="S1934">
        <v>-2.9841609999999998</v>
      </c>
      <c r="T1934">
        <v>-0.255714</v>
      </c>
      <c r="U1934">
        <v>-0.33758539999999998</v>
      </c>
      <c r="V1934">
        <v>-2.332917E-2</v>
      </c>
      <c r="W1934">
        <v>3.9947560000000003E-3</v>
      </c>
      <c r="X1934">
        <v>0.99971989999999999</v>
      </c>
      <c r="Y1934">
        <v>-7.6316930000000005E-2</v>
      </c>
      <c r="Z1934">
        <v>-1.774104E-4</v>
      </c>
      <c r="AA1934">
        <v>0.99708359999999996</v>
      </c>
      <c r="AB1934">
        <v>37</v>
      </c>
      <c r="AC1934">
        <v>-12.716100000000001</v>
      </c>
      <c r="AD1934">
        <v>-1.108537640302</v>
      </c>
      <c r="AE1934">
        <v>-1.45580000000001</v>
      </c>
      <c r="AF1934">
        <v>-0.98836104150573501</v>
      </c>
      <c r="AG1934">
        <v>-1.108537640302</v>
      </c>
      <c r="AH1934">
        <v>12.665360792674001</v>
      </c>
      <c r="AI1934">
        <v>94.986990010485002</v>
      </c>
      <c r="AJ1934">
        <v>94.4621218723303</v>
      </c>
      <c r="AK1934">
        <v>12.752140104975901</v>
      </c>
      <c r="AL1934">
        <v>89.771116742179203</v>
      </c>
      <c r="AM1934">
        <v>91.336794867108395</v>
      </c>
      <c r="AN1934">
        <v>1.0000000433521901</v>
      </c>
    </row>
    <row r="1935" spans="1:40" x14ac:dyDescent="0.3">
      <c r="A1935" t="str">
        <f>"20200111160443464"</f>
        <v>20200111160443464</v>
      </c>
      <c r="B1935" t="str">
        <f>"1578729883463035"</f>
        <v>1578729883463035</v>
      </c>
      <c r="C1935" t="s">
        <v>40</v>
      </c>
      <c r="D1935">
        <v>5.4063569999999999</v>
      </c>
      <c r="E1935">
        <v>0.4805218</v>
      </c>
      <c r="F1935" t="s">
        <v>57</v>
      </c>
      <c r="G1935">
        <v>-365.6198</v>
      </c>
      <c r="H1935" s="1">
        <v>1.4537960000000001E-6</v>
      </c>
      <c r="I1935">
        <v>283.50049999999999</v>
      </c>
      <c r="J1935">
        <v>-352.95190000000002</v>
      </c>
      <c r="K1935">
        <v>1.108536</v>
      </c>
      <c r="L1935">
        <v>284.96260000000001</v>
      </c>
      <c r="M1935">
        <v>-0.99933419999999895</v>
      </c>
      <c r="N1935">
        <v>0</v>
      </c>
      <c r="O1935">
        <v>-3.5588309999999998E-2</v>
      </c>
      <c r="P1935">
        <v>-0.99824769999999896</v>
      </c>
      <c r="Q1935">
        <v>-4.0206499999999997E-3</v>
      </c>
      <c r="R1935">
        <v>-5.9037350000000002E-2</v>
      </c>
      <c r="S1935">
        <v>-2.9840089999999999</v>
      </c>
      <c r="T1935">
        <v>-0.2565656</v>
      </c>
      <c r="U1935">
        <v>-0.34017940000000002</v>
      </c>
      <c r="V1935">
        <v>-2.3464539999999999E-2</v>
      </c>
      <c r="W1935">
        <v>4.0700959999999996E-3</v>
      </c>
      <c r="X1935">
        <v>0.99971639999999995</v>
      </c>
      <c r="Y1935">
        <v>-7.7681799999999995E-2</v>
      </c>
      <c r="Z1935">
        <v>-2.8016629999999998E-4</v>
      </c>
      <c r="AA1935">
        <v>0.99697820000000004</v>
      </c>
      <c r="AB1935">
        <v>37</v>
      </c>
      <c r="AC1935">
        <v>-12.6678999999999</v>
      </c>
      <c r="AD1935">
        <v>-1.1085345462039999</v>
      </c>
      <c r="AE1935">
        <v>-1.4621000000000199</v>
      </c>
      <c r="AF1935">
        <v>-1.0027523592054</v>
      </c>
      <c r="AG1935">
        <v>-1.1085345462039999</v>
      </c>
      <c r="AH1935">
        <v>12.6165683739017</v>
      </c>
      <c r="AI1935">
        <v>95.005602302063906</v>
      </c>
      <c r="AJ1935">
        <v>94.544259313002598</v>
      </c>
      <c r="AK1935">
        <v>12.7048084860558</v>
      </c>
      <c r="AL1935">
        <v>89.766800036716404</v>
      </c>
      <c r="AM1935">
        <v>91.344553628349701</v>
      </c>
      <c r="AN1935">
        <v>1.0000000153739099</v>
      </c>
    </row>
    <row r="1936" spans="1:40" x14ac:dyDescent="0.3">
      <c r="A1936" t="str">
        <f>"20200111160443478"</f>
        <v>20200111160443478</v>
      </c>
      <c r="B1936" t="str">
        <f>"1578729883472795"</f>
        <v>1578729883472795</v>
      </c>
      <c r="C1936" t="s">
        <v>40</v>
      </c>
      <c r="D1936">
        <v>5.3960910000000002</v>
      </c>
      <c r="E1936">
        <v>0.4803347</v>
      </c>
      <c r="F1936" t="s">
        <v>57</v>
      </c>
      <c r="G1936">
        <v>-365.80959999999999</v>
      </c>
      <c r="H1936" s="1">
        <v>1.554771E-6</v>
      </c>
      <c r="I1936">
        <v>283.48919999999998</v>
      </c>
      <c r="J1936">
        <v>-353.19540000000001</v>
      </c>
      <c r="K1936">
        <v>1.108528</v>
      </c>
      <c r="L1936">
        <v>284.95440000000002</v>
      </c>
      <c r="M1936">
        <v>-0.99935379999999996</v>
      </c>
      <c r="N1936">
        <v>0</v>
      </c>
      <c r="O1936">
        <v>-3.503448E-2</v>
      </c>
      <c r="P1936">
        <v>-0.99828030000000001</v>
      </c>
      <c r="Q1936">
        <v>-4.2819420000000004E-3</v>
      </c>
      <c r="R1936">
        <v>-5.8465639999999999E-2</v>
      </c>
      <c r="S1936">
        <v>-2.9840089999999999</v>
      </c>
      <c r="T1936">
        <v>-0.25726949999999998</v>
      </c>
      <c r="U1936">
        <v>-0.34194950000000002</v>
      </c>
      <c r="V1936">
        <v>-2.3446450000000001E-2</v>
      </c>
      <c r="W1936">
        <v>3.816898E-3</v>
      </c>
      <c r="X1936">
        <v>0.99971779999999999</v>
      </c>
      <c r="Y1936">
        <v>-7.8811019999999996E-2</v>
      </c>
      <c r="Z1936">
        <v>-3.7679940000000001E-4</v>
      </c>
      <c r="AA1936">
        <v>0.99688949999999998</v>
      </c>
      <c r="AB1936">
        <v>37</v>
      </c>
      <c r="AC1936">
        <v>-12.614199999999901</v>
      </c>
      <c r="AD1936">
        <v>-1.108526445229</v>
      </c>
      <c r="AE1936">
        <v>-1.46520000000003</v>
      </c>
      <c r="AF1936">
        <v>-1.0146228757767899</v>
      </c>
      <c r="AG1936">
        <v>-1.108526445229</v>
      </c>
      <c r="AH1936">
        <v>12.562067486658799</v>
      </c>
      <c r="AI1936">
        <v>95.026658120959695</v>
      </c>
      <c r="AJ1936">
        <v>94.617686360755499</v>
      </c>
      <c r="AK1936">
        <v>12.651633491339901</v>
      </c>
      <c r="AL1936">
        <v>89.781307321044494</v>
      </c>
      <c r="AM1936">
        <v>91.343515543305202</v>
      </c>
      <c r="AN1936">
        <v>0.99999999218239199</v>
      </c>
    </row>
    <row r="1937" spans="1:40" x14ac:dyDescent="0.3">
      <c r="A1937" t="str">
        <f>"20200111160443493"</f>
        <v>20200111160443493</v>
      </c>
      <c r="B1937" t="str">
        <f>"1578729883482555"</f>
        <v>1578729883482555</v>
      </c>
      <c r="C1937" t="s">
        <v>40</v>
      </c>
      <c r="D1937">
        <v>5.4875319999999999</v>
      </c>
      <c r="E1937">
        <v>0.48034969999999999</v>
      </c>
      <c r="F1937" t="s">
        <v>57</v>
      </c>
      <c r="G1937">
        <v>-365.96199999999999</v>
      </c>
      <c r="H1937" s="1">
        <v>1.635882E-6</v>
      </c>
      <c r="I1937">
        <v>283.49160000000001</v>
      </c>
      <c r="J1937">
        <v>-353.42689999999999</v>
      </c>
      <c r="K1937">
        <v>1.108528</v>
      </c>
      <c r="L1937">
        <v>284.94670000000002</v>
      </c>
      <c r="M1937">
        <v>-0.99937200000000004</v>
      </c>
      <c r="N1937">
        <v>0</v>
      </c>
      <c r="O1937">
        <v>-3.4507580000000003E-2</v>
      </c>
      <c r="P1937">
        <v>-0.99827160000000004</v>
      </c>
      <c r="Q1937">
        <v>-4.2295529999999996E-3</v>
      </c>
      <c r="R1937">
        <v>-5.8616380000000003E-2</v>
      </c>
      <c r="S1937">
        <v>-2.98407</v>
      </c>
      <c r="T1937">
        <v>-0.25910840000000002</v>
      </c>
      <c r="U1937">
        <v>-0.34191890000000003</v>
      </c>
      <c r="V1937">
        <v>-2.412479E-2</v>
      </c>
      <c r="W1937">
        <v>3.8750719999999998E-3</v>
      </c>
      <c r="X1937">
        <v>0.99970139999999996</v>
      </c>
      <c r="Y1937">
        <v>-7.9318109999999997E-2</v>
      </c>
      <c r="Z1937">
        <v>-4.4683059999999999E-4</v>
      </c>
      <c r="AA1937">
        <v>0.99684919999999999</v>
      </c>
      <c r="AB1937">
        <v>37</v>
      </c>
      <c r="AC1937">
        <v>-12.5351</v>
      </c>
      <c r="AD1937">
        <v>-1.1085263641180001</v>
      </c>
      <c r="AE1937">
        <v>-1.4551000000000101</v>
      </c>
      <c r="AF1937">
        <v>-1.0138399992752301</v>
      </c>
      <c r="AG1937">
        <v>-1.1085263641180001</v>
      </c>
      <c r="AH1937">
        <v>12.481533247322099</v>
      </c>
      <c r="AI1937">
        <v>95.058737698925299</v>
      </c>
      <c r="AJ1937">
        <v>94.643780655694201</v>
      </c>
      <c r="AK1937">
        <v>12.5716098590468</v>
      </c>
      <c r="AL1937">
        <v>89.777974163526594</v>
      </c>
      <c r="AM1937">
        <v>91.382393205980904</v>
      </c>
      <c r="AN1937">
        <v>0.99999995541875297</v>
      </c>
    </row>
    <row r="1938" spans="1:40" x14ac:dyDescent="0.3">
      <c r="A1938" t="str">
        <f>"20200111160443506"</f>
        <v>20200111160443506</v>
      </c>
      <c r="B1938" t="str">
        <f>"1578729883503051"</f>
        <v>1578729883503051</v>
      </c>
      <c r="C1938" t="s">
        <v>40</v>
      </c>
      <c r="D1938">
        <v>5.6068350000000002</v>
      </c>
      <c r="E1938">
        <v>0.47963879999999998</v>
      </c>
      <c r="F1938" t="s">
        <v>57</v>
      </c>
      <c r="G1938">
        <v>-366.57589999999999</v>
      </c>
      <c r="H1938" s="1">
        <v>1.9625540000000001E-6</v>
      </c>
      <c r="I1938">
        <v>283.44080000000002</v>
      </c>
      <c r="J1938">
        <v>-353.65530000000001</v>
      </c>
      <c r="K1938">
        <v>1.1085240000000001</v>
      </c>
      <c r="L1938">
        <v>284.93920000000003</v>
      </c>
      <c r="M1938">
        <v>-0.99938979999999999</v>
      </c>
      <c r="N1938">
        <v>0</v>
      </c>
      <c r="O1938">
        <v>-3.3987950000000003E-2</v>
      </c>
      <c r="P1938">
        <v>-0.99829270000000003</v>
      </c>
      <c r="Q1938">
        <v>-4.0972810000000004E-3</v>
      </c>
      <c r="R1938">
        <v>-5.8266220000000001E-2</v>
      </c>
      <c r="S1938">
        <v>-2.98407</v>
      </c>
      <c r="T1938">
        <v>-0.25157299999999999</v>
      </c>
      <c r="U1938">
        <v>-0.34176640000000003</v>
      </c>
      <c r="V1938">
        <v>-2.429305E-2</v>
      </c>
      <c r="W1938">
        <v>4.0095390000000003E-3</v>
      </c>
      <c r="X1938">
        <v>0.9996969</v>
      </c>
      <c r="Y1938">
        <v>-7.9792130000000003E-2</v>
      </c>
      <c r="Z1938">
        <v>-4.9729199999999998E-4</v>
      </c>
      <c r="AA1938">
        <v>0.99681140000000001</v>
      </c>
      <c r="AB1938">
        <v>37</v>
      </c>
      <c r="AC1938">
        <v>-12.920599999999901</v>
      </c>
      <c r="AD1938">
        <v>-1.1085220374460001</v>
      </c>
      <c r="AE1938">
        <v>-1.4984</v>
      </c>
      <c r="AF1938">
        <v>-1.05074364113528</v>
      </c>
      <c r="AG1938">
        <v>-1.1085220374460001</v>
      </c>
      <c r="AH1938">
        <v>12.870583539963301</v>
      </c>
      <c r="AI1938">
        <v>94.906399120788507</v>
      </c>
      <c r="AJ1938">
        <v>94.667228777438993</v>
      </c>
      <c r="AK1938">
        <v>12.960895183823601</v>
      </c>
      <c r="AL1938">
        <v>89.770269735811794</v>
      </c>
      <c r="AM1938">
        <v>91.392037285105005</v>
      </c>
      <c r="AN1938">
        <v>1.00000006027545</v>
      </c>
    </row>
    <row r="1939" spans="1:40" x14ac:dyDescent="0.3">
      <c r="A1939" t="str">
        <f>"20200111160443519"</f>
        <v>20200111160443519</v>
      </c>
      <c r="B1939" t="str">
        <f>"1578729883512810"</f>
        <v>1578729883512810</v>
      </c>
      <c r="C1939" t="s">
        <v>40</v>
      </c>
      <c r="D1939">
        <v>5.4197629999999997</v>
      </c>
      <c r="E1939">
        <v>0.47951739999999998</v>
      </c>
      <c r="F1939" t="s">
        <v>57</v>
      </c>
      <c r="G1939">
        <v>-367.23349999999999</v>
      </c>
      <c r="H1939" s="1">
        <v>2.312513E-6</v>
      </c>
      <c r="I1939">
        <v>283.36399999999998</v>
      </c>
      <c r="J1939">
        <v>-353.87650000000002</v>
      </c>
      <c r="K1939">
        <v>1.1085229999999999</v>
      </c>
      <c r="L1939">
        <v>284.93209999999999</v>
      </c>
      <c r="M1939">
        <v>-0.99940680000000004</v>
      </c>
      <c r="N1939">
        <v>0</v>
      </c>
      <c r="O1939">
        <v>-3.3484760000000002E-2</v>
      </c>
      <c r="P1939">
        <v>-0.99831959999999997</v>
      </c>
      <c r="Q1939">
        <v>-4.0893029999999999E-3</v>
      </c>
      <c r="R1939">
        <v>-5.7806179999999999E-2</v>
      </c>
      <c r="S1939">
        <v>-2.9839169999999999</v>
      </c>
      <c r="T1939">
        <v>-0.24360619999999999</v>
      </c>
      <c r="U1939">
        <v>-0.34616089999999999</v>
      </c>
      <c r="V1939">
        <v>-2.4335949999999999E-2</v>
      </c>
      <c r="W1939">
        <v>4.0166910000000002E-3</v>
      </c>
      <c r="X1939">
        <v>0.99969580000000002</v>
      </c>
      <c r="Y1939">
        <v>-8.1750329999999996E-2</v>
      </c>
      <c r="Z1939">
        <v>-6.0195309999999896E-4</v>
      </c>
      <c r="AA1939">
        <v>0.99665269999999995</v>
      </c>
      <c r="AB1939">
        <v>37</v>
      </c>
      <c r="AC1939">
        <v>-13.3569999999999</v>
      </c>
      <c r="AD1939">
        <v>-1.1085206874869999</v>
      </c>
      <c r="AE1939">
        <v>-1.5680999999999501</v>
      </c>
      <c r="AF1939">
        <v>-1.11239257666583</v>
      </c>
      <c r="AG1939">
        <v>-1.1085206874869999</v>
      </c>
      <c r="AH1939">
        <v>13.311579692238601</v>
      </c>
      <c r="AI1939">
        <v>94.743858640877306</v>
      </c>
      <c r="AJ1939">
        <v>94.776867955941</v>
      </c>
      <c r="AK1939">
        <v>13.4038945557635</v>
      </c>
      <c r="AL1939">
        <v>89.769859946707101</v>
      </c>
      <c r="AM1939">
        <v>91.394496099480094</v>
      </c>
      <c r="AN1939">
        <v>1.00000003240331</v>
      </c>
    </row>
    <row r="1940" spans="1:40" x14ac:dyDescent="0.3">
      <c r="A1940" t="str">
        <f>"20200111160443533"</f>
        <v>20200111160443533</v>
      </c>
      <c r="B1940" t="str">
        <f>"1578729883522570"</f>
        <v>1578729883522570</v>
      </c>
      <c r="C1940" t="s">
        <v>40</v>
      </c>
      <c r="D1940">
        <v>5.947927</v>
      </c>
      <c r="E1940">
        <v>0.47927340000000002</v>
      </c>
      <c r="F1940" t="s">
        <v>57</v>
      </c>
      <c r="G1940">
        <v>-367.36750000000001</v>
      </c>
      <c r="H1940" s="1">
        <v>2.3838099999999998E-6</v>
      </c>
      <c r="I1940">
        <v>283.36849999999998</v>
      </c>
      <c r="J1940">
        <v>-354.08839999999998</v>
      </c>
      <c r="K1940">
        <v>1.1085199999999999</v>
      </c>
      <c r="L1940">
        <v>284.92540000000002</v>
      </c>
      <c r="M1940">
        <v>-0.9994229</v>
      </c>
      <c r="N1940">
        <v>0</v>
      </c>
      <c r="O1940">
        <v>-3.3002660000000003E-2</v>
      </c>
      <c r="P1940">
        <v>-0.99834409999999896</v>
      </c>
      <c r="Q1940">
        <v>-4.1817989999999999E-3</v>
      </c>
      <c r="R1940">
        <v>-5.7373109999999998E-2</v>
      </c>
      <c r="S1940">
        <v>-2.9840390000000001</v>
      </c>
      <c r="T1940">
        <v>-0.24519070000000001</v>
      </c>
      <c r="U1940">
        <v>-0.34585569999999999</v>
      </c>
      <c r="V1940">
        <v>-2.438506E-2</v>
      </c>
      <c r="W1940">
        <v>3.9203700000000003E-3</v>
      </c>
      <c r="X1940">
        <v>0.99969490000000005</v>
      </c>
      <c r="Y1940">
        <v>-8.2120970000000001E-2</v>
      </c>
      <c r="Z1940">
        <v>-6.6034609999999995E-4</v>
      </c>
      <c r="AA1940">
        <v>0.99662209999999996</v>
      </c>
      <c r="AB1940">
        <v>37</v>
      </c>
      <c r="AC1940">
        <v>-13.2791</v>
      </c>
      <c r="AD1940">
        <v>-1.1085176161900001</v>
      </c>
      <c r="AE1940">
        <v>-1.5569000000000399</v>
      </c>
      <c r="AF1940">
        <v>-1.11016064229631</v>
      </c>
      <c r="AG1940">
        <v>-1.1085176161900001</v>
      </c>
      <c r="AH1940">
        <v>13.232288764683499</v>
      </c>
      <c r="AI1940">
        <v>94.772009725083393</v>
      </c>
      <c r="AJ1940">
        <v>94.795761820979905</v>
      </c>
      <c r="AK1940">
        <v>13.324966563150401</v>
      </c>
      <c r="AL1940">
        <v>89.775378757532394</v>
      </c>
      <c r="AM1940">
        <v>91.397310338556295</v>
      </c>
      <c r="AN1940">
        <v>0.999999946769073</v>
      </c>
    </row>
    <row r="1941" spans="1:40" x14ac:dyDescent="0.3">
      <c r="A1941" t="str">
        <f>"20200111160443549"</f>
        <v>20200111160443549</v>
      </c>
      <c r="B1941" t="str">
        <f>"1578729883543066"</f>
        <v>1578729883543066</v>
      </c>
      <c r="C1941" t="s">
        <v>40</v>
      </c>
      <c r="D1941">
        <v>5.5199040000000004</v>
      </c>
      <c r="E1941">
        <v>0.47895019999999999</v>
      </c>
      <c r="F1941" t="s">
        <v>57</v>
      </c>
      <c r="G1941">
        <v>-367.96510000000001</v>
      </c>
      <c r="H1941" s="1">
        <v>2.7018570000000002E-6</v>
      </c>
      <c r="I1941">
        <v>283.31450000000001</v>
      </c>
      <c r="J1941">
        <v>-354.38049999999998</v>
      </c>
      <c r="K1941">
        <v>1.108517</v>
      </c>
      <c r="L1941">
        <v>284.91629999999998</v>
      </c>
      <c r="M1941">
        <v>-0.99944480000000002</v>
      </c>
      <c r="N1941">
        <v>0</v>
      </c>
      <c r="O1941">
        <v>-3.2338510000000001E-2</v>
      </c>
      <c r="P1941">
        <v>-0.9983824</v>
      </c>
      <c r="Q1941">
        <v>-4.3577420000000004E-3</v>
      </c>
      <c r="R1941">
        <v>-5.6691930000000001E-2</v>
      </c>
      <c r="S1941">
        <v>-2.98407</v>
      </c>
      <c r="T1941">
        <v>-0.23837720000000001</v>
      </c>
      <c r="U1941">
        <v>-0.34640500000000002</v>
      </c>
      <c r="V1941">
        <v>-2.4367429999999999E-2</v>
      </c>
      <c r="W1941">
        <v>3.7353590000000002E-3</v>
      </c>
      <c r="X1941">
        <v>0.99969609999999998</v>
      </c>
      <c r="Y1941">
        <v>-8.2967260000000001E-2</v>
      </c>
      <c r="Z1941">
        <v>-7.2840369999999999E-4</v>
      </c>
      <c r="AA1941">
        <v>0.99655199999999999</v>
      </c>
      <c r="AB1941">
        <v>37</v>
      </c>
      <c r="AC1941">
        <v>-13.5846</v>
      </c>
      <c r="AD1941">
        <v>-1.1085142981430001</v>
      </c>
      <c r="AE1941">
        <v>-1.6017999999999599</v>
      </c>
      <c r="AF1941">
        <v>-1.15406313879444</v>
      </c>
      <c r="AG1941">
        <v>-1.1085142981430001</v>
      </c>
      <c r="AH1941">
        <v>13.540371138907499</v>
      </c>
      <c r="AI1941">
        <v>94.663383574807995</v>
      </c>
      <c r="AJ1941">
        <v>94.871618870313696</v>
      </c>
      <c r="AK1941">
        <v>13.634599966881</v>
      </c>
      <c r="AL1941">
        <v>89.785979198438994</v>
      </c>
      <c r="AM1941">
        <v>91.396298830684003</v>
      </c>
      <c r="AN1941">
        <v>1.00000000845343</v>
      </c>
    </row>
    <row r="1942" spans="1:40" x14ac:dyDescent="0.3">
      <c r="A1942" t="str">
        <f>"20200111160443571"</f>
        <v>20200111160443571</v>
      </c>
      <c r="B1942" t="str">
        <f>"1578729883562590"</f>
        <v>1578729883562590</v>
      </c>
      <c r="C1942" t="s">
        <v>40</v>
      </c>
      <c r="D1942">
        <v>5.5851600000000001</v>
      </c>
      <c r="E1942">
        <v>0.47818159999999998</v>
      </c>
      <c r="F1942" t="s">
        <v>57</v>
      </c>
      <c r="G1942">
        <v>-368.46870000000001</v>
      </c>
      <c r="H1942" s="1">
        <v>2.9698389999999999E-6</v>
      </c>
      <c r="I1942">
        <v>283.27929999999998</v>
      </c>
      <c r="J1942">
        <v>-354.73660000000001</v>
      </c>
      <c r="K1942">
        <v>1.108509</v>
      </c>
      <c r="L1942">
        <v>284.90550000000002</v>
      </c>
      <c r="M1942">
        <v>-0.99947059999999999</v>
      </c>
      <c r="N1942">
        <v>0</v>
      </c>
      <c r="O1942">
        <v>-3.152903E-2</v>
      </c>
      <c r="P1942">
        <v>-0.99844829999999996</v>
      </c>
      <c r="Q1942">
        <v>-4.2138509999999898E-3</v>
      </c>
      <c r="R1942">
        <v>-5.5527710000000001E-2</v>
      </c>
      <c r="S1942">
        <v>-2.9841609999999998</v>
      </c>
      <c r="T1942">
        <v>-0.2348055</v>
      </c>
      <c r="U1942">
        <v>-0.34674070000000001</v>
      </c>
      <c r="V1942">
        <v>-2.4010859999999998E-2</v>
      </c>
      <c r="W1942">
        <v>3.8621969999999999E-3</v>
      </c>
      <c r="X1942">
        <v>0.99970420000000004</v>
      </c>
      <c r="Y1942">
        <v>-8.3880949999999996E-2</v>
      </c>
      <c r="Z1942">
        <v>-8.1657149999999896E-4</v>
      </c>
      <c r="AA1942">
        <v>0.99647549999999996</v>
      </c>
      <c r="AB1942">
        <v>37</v>
      </c>
      <c r="AC1942">
        <v>-13.732100000000001</v>
      </c>
      <c r="AD1942">
        <v>-1.1085060301609999</v>
      </c>
      <c r="AE1942">
        <v>-1.6262000000000301</v>
      </c>
      <c r="AF1942">
        <v>-1.18480393531043</v>
      </c>
      <c r="AG1942">
        <v>-1.1085060301609999</v>
      </c>
      <c r="AH1942">
        <v>13.688581122222599</v>
      </c>
      <c r="AI1942">
        <v>94.612558646117094</v>
      </c>
      <c r="AJ1942">
        <v>94.946860539901706</v>
      </c>
      <c r="AK1942">
        <v>13.784404199083101</v>
      </c>
      <c r="AL1942">
        <v>89.778711853859093</v>
      </c>
      <c r="AM1942">
        <v>91.375863478423398</v>
      </c>
      <c r="AN1942">
        <v>0.99999996273062197</v>
      </c>
    </row>
    <row r="1943" spans="1:40" x14ac:dyDescent="0.3">
      <c r="A1943" t="str">
        <f>"20200111160443585"</f>
        <v>20200111160443585</v>
      </c>
      <c r="B1943" t="str">
        <f>"1578729883572347"</f>
        <v>1578729883572347</v>
      </c>
      <c r="C1943" t="s">
        <v>40</v>
      </c>
      <c r="D1943">
        <v>5.4821770000000001</v>
      </c>
      <c r="E1943">
        <v>0.47807729999999998</v>
      </c>
      <c r="F1943" t="s">
        <v>57</v>
      </c>
      <c r="G1943">
        <v>-368.89080000000001</v>
      </c>
      <c r="H1943" s="1">
        <v>3.194452E-6</v>
      </c>
      <c r="I1943">
        <v>283.24919999999997</v>
      </c>
      <c r="J1943">
        <v>-354.95519999999999</v>
      </c>
      <c r="K1943">
        <v>1.1085020000000001</v>
      </c>
      <c r="L1943">
        <v>284.899</v>
      </c>
      <c r="M1943">
        <v>-0.99948630000000005</v>
      </c>
      <c r="N1943">
        <v>0</v>
      </c>
      <c r="O1943">
        <v>-3.1031889999999999E-2</v>
      </c>
      <c r="P1943">
        <v>-0.99847660000000005</v>
      </c>
      <c r="Q1943">
        <v>-4.2593780000000003E-3</v>
      </c>
      <c r="R1943">
        <v>-5.5013510000000002E-2</v>
      </c>
      <c r="S1943">
        <v>-2.9842529999999998</v>
      </c>
      <c r="T1943">
        <v>-0.23371639999999999</v>
      </c>
      <c r="U1943">
        <v>-0.34921259999999998</v>
      </c>
      <c r="V1943">
        <v>-2.3993230000000001E-2</v>
      </c>
      <c r="W1943">
        <v>3.8045000000000002E-3</v>
      </c>
      <c r="X1943">
        <v>0.99970490000000001</v>
      </c>
      <c r="Y1943">
        <v>-8.5183419999999996E-2</v>
      </c>
      <c r="Z1943">
        <v>-9.0218679999999997E-4</v>
      </c>
      <c r="AA1943">
        <v>0.9963649</v>
      </c>
      <c r="AB1943">
        <v>37</v>
      </c>
      <c r="AC1943">
        <v>-13.935600000000001</v>
      </c>
      <c r="AD1943">
        <v>-1.1084988055480001</v>
      </c>
      <c r="AE1943">
        <v>-1.6498000000000199</v>
      </c>
      <c r="AF1943">
        <v>-1.2089995359618</v>
      </c>
      <c r="AG1943">
        <v>-1.1084988055480001</v>
      </c>
      <c r="AH1943">
        <v>13.893393410506</v>
      </c>
      <c r="AI1943">
        <v>94.5446376703282</v>
      </c>
      <c r="AJ1943">
        <v>94.973335884627801</v>
      </c>
      <c r="AK1943">
        <v>13.989883128137601</v>
      </c>
      <c r="AL1943">
        <v>89.782017684952507</v>
      </c>
      <c r="AM1943">
        <v>91.374852674747302</v>
      </c>
      <c r="AN1943">
        <v>1.0000000181950399</v>
      </c>
    </row>
    <row r="1944" spans="1:40" x14ac:dyDescent="0.3">
      <c r="A1944" t="str">
        <f>"20200111160443597"</f>
        <v>20200111160443597</v>
      </c>
      <c r="B1944" t="str">
        <f>"1578729883592843"</f>
        <v>1578729883592843</v>
      </c>
      <c r="C1944" t="s">
        <v>40</v>
      </c>
      <c r="D1944">
        <v>5.4367700000000001</v>
      </c>
      <c r="E1944">
        <v>0.4779988</v>
      </c>
      <c r="F1944" t="s">
        <v>57</v>
      </c>
      <c r="G1944">
        <v>-369.02229999999997</v>
      </c>
      <c r="H1944" s="1">
        <v>3.264414E-6</v>
      </c>
      <c r="I1944">
        <v>283.2559</v>
      </c>
      <c r="J1944">
        <v>-355.17829999999998</v>
      </c>
      <c r="K1944">
        <v>1.1084959999999999</v>
      </c>
      <c r="L1944">
        <v>284.89249999999998</v>
      </c>
      <c r="M1944">
        <v>-0.99950209999999995</v>
      </c>
      <c r="N1944">
        <v>0</v>
      </c>
      <c r="O1944">
        <v>-3.0525449999999999E-2</v>
      </c>
      <c r="P1944">
        <v>-0.99852180000000001</v>
      </c>
      <c r="Q1944">
        <v>-4.4992900000000004E-3</v>
      </c>
      <c r="R1944">
        <v>-5.4172110000000002E-2</v>
      </c>
      <c r="S1944">
        <v>-2.984375</v>
      </c>
      <c r="T1944">
        <v>-0.2351712</v>
      </c>
      <c r="U1944">
        <v>-0.34857179999999999</v>
      </c>
      <c r="V1944">
        <v>-2.365766E-2</v>
      </c>
      <c r="W1944">
        <v>3.5522549999999998E-3</v>
      </c>
      <c r="X1944">
        <v>0.99971379999999999</v>
      </c>
      <c r="Y1944">
        <v>-8.546803E-2</v>
      </c>
      <c r="Z1944">
        <v>-9.5858119999999998E-4</v>
      </c>
      <c r="AA1944">
        <v>0.99634049999999996</v>
      </c>
      <c r="AB1944">
        <v>38</v>
      </c>
      <c r="AC1944">
        <v>-13.8439999999999</v>
      </c>
      <c r="AD1944">
        <v>-1.1084927355859999</v>
      </c>
      <c r="AE1944">
        <v>-1.6365999999999801</v>
      </c>
      <c r="AF1944">
        <v>-1.2056065696620699</v>
      </c>
      <c r="AG1944">
        <v>-1.1084927355859999</v>
      </c>
      <c r="AH1944">
        <v>13.8002503222679</v>
      </c>
      <c r="AI1944">
        <v>94.575021794779005</v>
      </c>
      <c r="AJ1944">
        <v>94.992752854995999</v>
      </c>
      <c r="AK1944">
        <v>13.8970915051645</v>
      </c>
      <c r="AL1944">
        <v>89.7964703512082</v>
      </c>
      <c r="AM1944">
        <v>91.355619108204607</v>
      </c>
      <c r="AN1944">
        <v>0.99999999265134998</v>
      </c>
    </row>
    <row r="1945" spans="1:40" x14ac:dyDescent="0.3">
      <c r="A1945" t="str">
        <f>"20200111160443610"</f>
        <v>20200111160443610</v>
      </c>
      <c r="B1945" t="str">
        <f>"1578729883602603"</f>
        <v>1578729883602603</v>
      </c>
      <c r="C1945" t="s">
        <v>40</v>
      </c>
      <c r="D1945">
        <v>6.0908049999999996</v>
      </c>
      <c r="E1945">
        <v>0.47751070000000001</v>
      </c>
      <c r="F1945" t="s">
        <v>57</v>
      </c>
      <c r="G1945">
        <v>-369.57440000000003</v>
      </c>
      <c r="H1945" s="1">
        <v>3.5582320000000001E-6</v>
      </c>
      <c r="I1945">
        <v>283.2217</v>
      </c>
      <c r="J1945">
        <v>-355.39620000000002</v>
      </c>
      <c r="K1945">
        <v>1.108482</v>
      </c>
      <c r="L1945">
        <v>284.8861</v>
      </c>
      <c r="M1945">
        <v>-0.99951710000000005</v>
      </c>
      <c r="N1945">
        <v>0</v>
      </c>
      <c r="O1945">
        <v>-3.0030569999999999E-2</v>
      </c>
      <c r="P1945">
        <v>-0.99855720000000003</v>
      </c>
      <c r="Q1945">
        <v>-4.6526989999999997E-3</v>
      </c>
      <c r="R1945">
        <v>-5.3499409999999997E-2</v>
      </c>
      <c r="S1945">
        <v>-2.9845579999999998</v>
      </c>
      <c r="T1945">
        <v>-0.22981019999999999</v>
      </c>
      <c r="U1945">
        <v>-0.34637449999999997</v>
      </c>
      <c r="V1945">
        <v>-2.3479860000000002E-2</v>
      </c>
      <c r="W1945">
        <v>3.38727E-3</v>
      </c>
      <c r="X1945">
        <v>0.99971849999999995</v>
      </c>
      <c r="Y1945">
        <v>-8.5237359999999998E-2</v>
      </c>
      <c r="Z1945">
        <v>-9.6580920000000005E-4</v>
      </c>
      <c r="AA1945">
        <v>0.99636020000000003</v>
      </c>
      <c r="AB1945">
        <v>38</v>
      </c>
      <c r="AC1945">
        <v>-14.1782</v>
      </c>
      <c r="AD1945">
        <v>-1.108478441768</v>
      </c>
      <c r="AE1945">
        <v>-1.6644000000000001</v>
      </c>
      <c r="AF1945">
        <v>-1.2304375789781701</v>
      </c>
      <c r="AG1945">
        <v>-1.108478441768</v>
      </c>
      <c r="AH1945">
        <v>14.1365556213206</v>
      </c>
      <c r="AI1945">
        <v>94.466695398914993</v>
      </c>
      <c r="AJ1945">
        <v>94.974454676750199</v>
      </c>
      <c r="AK1945">
        <v>14.233232448263999</v>
      </c>
      <c r="AL1945">
        <v>89.805923339892303</v>
      </c>
      <c r="AM1945">
        <v>91.345428339788199</v>
      </c>
      <c r="AN1945">
        <v>0.99999992833295803</v>
      </c>
    </row>
    <row r="1946" spans="1:40" x14ac:dyDescent="0.3">
      <c r="A1946" t="str">
        <f>"20200111160443622"</f>
        <v>20200111160443622</v>
      </c>
      <c r="B1946" t="str">
        <f>"1578729883612363"</f>
        <v>1578729883612363</v>
      </c>
      <c r="C1946" t="s">
        <v>40</v>
      </c>
      <c r="D1946">
        <v>5.6678100000000002</v>
      </c>
      <c r="E1946">
        <v>0.477404</v>
      </c>
      <c r="F1946" t="s">
        <v>57</v>
      </c>
      <c r="G1946">
        <v>-370.02820000000003</v>
      </c>
      <c r="H1946" s="1">
        <v>-1.521801E-6</v>
      </c>
      <c r="I1946">
        <v>283.18009999999998</v>
      </c>
      <c r="J1946">
        <v>-355.60730000000001</v>
      </c>
      <c r="K1946">
        <v>1.108476</v>
      </c>
      <c r="L1946">
        <v>284.8802</v>
      </c>
      <c r="M1946">
        <v>-0.99953150000000002</v>
      </c>
      <c r="N1946">
        <v>0</v>
      </c>
      <c r="O1946">
        <v>-2.955108E-2</v>
      </c>
      <c r="P1946">
        <v>-0.99857600000000002</v>
      </c>
      <c r="Q1946">
        <v>-4.8180260000000004E-3</v>
      </c>
      <c r="R1946">
        <v>-5.3134300000000002E-2</v>
      </c>
      <c r="S1946">
        <v>-2.98468</v>
      </c>
      <c r="T1946">
        <v>-0.22611249999999999</v>
      </c>
      <c r="U1946">
        <v>-0.34799190000000002</v>
      </c>
      <c r="V1946">
        <v>-2.3594279999999999E-2</v>
      </c>
      <c r="W1946">
        <v>3.2113179999999999E-3</v>
      </c>
      <c r="X1946">
        <v>0.99971650000000001</v>
      </c>
      <c r="Y1946">
        <v>-8.6244310000000005E-2</v>
      </c>
      <c r="Z1946">
        <v>-1.0243190000000001E-3</v>
      </c>
      <c r="AA1946">
        <v>0.99627350000000003</v>
      </c>
      <c r="AB1946">
        <v>38</v>
      </c>
      <c r="AC1946">
        <v>-14.4209</v>
      </c>
      <c r="AD1946">
        <v>-1.1084775218009999</v>
      </c>
      <c r="AE1946">
        <v>-1.7001000000000199</v>
      </c>
      <c r="AF1946">
        <v>-1.2658143639649699</v>
      </c>
      <c r="AG1946">
        <v>-1.1084775218009999</v>
      </c>
      <c r="AH1946">
        <v>14.3810389419116</v>
      </c>
      <c r="AI1946">
        <v>94.390683312262396</v>
      </c>
      <c r="AJ1946">
        <v>95.030192172641804</v>
      </c>
      <c r="AK1946">
        <v>14.4791328976958</v>
      </c>
      <c r="AL1946">
        <v>89.816004723315203</v>
      </c>
      <c r="AM1946">
        <v>91.351985039655702</v>
      </c>
      <c r="AN1946">
        <v>1.00000004149213</v>
      </c>
    </row>
    <row r="1947" spans="1:40" x14ac:dyDescent="0.3">
      <c r="A1947" t="str">
        <f>"20200111160443639"</f>
        <v>20200111160443639</v>
      </c>
      <c r="B1947" t="str">
        <f>"1578729883632858"</f>
        <v>1578729883632858</v>
      </c>
      <c r="C1947" t="s">
        <v>40</v>
      </c>
      <c r="D1947">
        <v>5.5214600000000003</v>
      </c>
      <c r="E1947">
        <v>0.47723470000000001</v>
      </c>
      <c r="F1947" t="s">
        <v>57</v>
      </c>
      <c r="G1947">
        <v>-370.14929999999998</v>
      </c>
      <c r="H1947" s="1">
        <v>-1.457361E-6</v>
      </c>
      <c r="I1947">
        <v>283.18560000000002</v>
      </c>
      <c r="J1947">
        <v>-355.88199999999898</v>
      </c>
      <c r="K1947">
        <v>1.1084689999999999</v>
      </c>
      <c r="L1947">
        <v>284.87259999999998</v>
      </c>
      <c r="M1947">
        <v>-0.99954980000000004</v>
      </c>
      <c r="N1947">
        <v>0</v>
      </c>
      <c r="O1947">
        <v>-2.892805E-2</v>
      </c>
      <c r="P1947">
        <v>-0.99861009999999995</v>
      </c>
      <c r="Q1947">
        <v>-5.1032159999999998E-3</v>
      </c>
      <c r="R1947">
        <v>-5.2457009999999998E-2</v>
      </c>
      <c r="S1947">
        <v>-2.9847410000000001</v>
      </c>
      <c r="T1947">
        <v>-0.22751579999999999</v>
      </c>
      <c r="U1947">
        <v>-0.34780879999999997</v>
      </c>
      <c r="V1947">
        <v>-2.353995E-2</v>
      </c>
      <c r="W1947">
        <v>2.9128190000000001E-3</v>
      </c>
      <c r="X1947">
        <v>0.99971869999999996</v>
      </c>
      <c r="Y1947">
        <v>-8.6797289999999999E-2</v>
      </c>
      <c r="Z1947">
        <v>-1.098824E-3</v>
      </c>
      <c r="AA1947">
        <v>0.99622540000000004</v>
      </c>
      <c r="AB1947">
        <v>38</v>
      </c>
      <c r="AC1947">
        <v>-14.267300000000001</v>
      </c>
      <c r="AD1947">
        <v>-1.108470457361</v>
      </c>
      <c r="AE1947">
        <v>-1.6869999999999501</v>
      </c>
      <c r="AF1947">
        <v>-1.26601910338878</v>
      </c>
      <c r="AG1947">
        <v>-1.108470457361</v>
      </c>
      <c r="AH1947">
        <v>14.225448004925299</v>
      </c>
      <c r="AI1947">
        <v>94.438108073978995</v>
      </c>
      <c r="AJ1947">
        <v>95.085741194164498</v>
      </c>
      <c r="AK1947">
        <v>14.3246250235677</v>
      </c>
      <c r="AL1947">
        <v>89.833107536564995</v>
      </c>
      <c r="AM1947">
        <v>91.348870039376294</v>
      </c>
      <c r="AN1947">
        <v>1.0000000464451</v>
      </c>
    </row>
    <row r="1948" spans="1:40" x14ac:dyDescent="0.3">
      <c r="A1948" t="str">
        <f>"20200111160443651"</f>
        <v>20200111160443651</v>
      </c>
      <c r="B1948" t="str">
        <f>"1578729883642619"</f>
        <v>1578729883642619</v>
      </c>
      <c r="C1948" t="s">
        <v>40</v>
      </c>
      <c r="D1948">
        <v>5.4111940000000001</v>
      </c>
      <c r="E1948">
        <v>0.4771512</v>
      </c>
      <c r="F1948" t="s">
        <v>57</v>
      </c>
      <c r="G1948">
        <v>-370.29469999999998</v>
      </c>
      <c r="H1948" s="1">
        <v>-1.3799760000000001E-6</v>
      </c>
      <c r="I1948">
        <v>283.19569999999999</v>
      </c>
      <c r="J1948">
        <v>-356.09030000000001</v>
      </c>
      <c r="K1948">
        <v>1.108465</v>
      </c>
      <c r="L1948">
        <v>284.86689999999999</v>
      </c>
      <c r="M1948">
        <v>-0.99956330000000004</v>
      </c>
      <c r="N1948">
        <v>0</v>
      </c>
      <c r="O1948">
        <v>-2.8455000000000001E-2</v>
      </c>
      <c r="P1948">
        <v>-0.99862249999999997</v>
      </c>
      <c r="Q1948">
        <v>-4.8750340000000003E-3</v>
      </c>
      <c r="R1948">
        <v>-5.224177E-2</v>
      </c>
      <c r="S1948">
        <v>-2.9847410000000001</v>
      </c>
      <c r="T1948">
        <v>-0.22955390000000001</v>
      </c>
      <c r="U1948">
        <v>-0.3472595</v>
      </c>
      <c r="V1948">
        <v>-2.379736E-2</v>
      </c>
      <c r="W1948">
        <v>3.1331169999999999E-3</v>
      </c>
      <c r="X1948">
        <v>0.99971189999999999</v>
      </c>
      <c r="Y1948">
        <v>-8.7082670000000001E-2</v>
      </c>
      <c r="Z1948">
        <v>-1.1557379999999999E-3</v>
      </c>
      <c r="AA1948">
        <v>0.99620039999999999</v>
      </c>
      <c r="AB1948">
        <v>38</v>
      </c>
      <c r="AC1948">
        <v>-14.2043999999999</v>
      </c>
      <c r="AD1948">
        <v>-1.1084663799759999</v>
      </c>
      <c r="AE1948">
        <v>-1.67119999999999</v>
      </c>
      <c r="AF1948">
        <v>-1.25876331590804</v>
      </c>
      <c r="AG1948">
        <v>-1.1084663799759999</v>
      </c>
      <c r="AH1948">
        <v>14.1611430744762</v>
      </c>
      <c r="AI1948">
        <v>94.458206282896398</v>
      </c>
      <c r="AJ1948">
        <v>95.079587959768006</v>
      </c>
      <c r="AK1948">
        <v>14.2601246830734</v>
      </c>
      <c r="AL1948">
        <v>89.820485326715499</v>
      </c>
      <c r="AM1948">
        <v>91.363623703035501</v>
      </c>
      <c r="AN1948">
        <v>1.0000000068833499</v>
      </c>
    </row>
    <row r="1949" spans="1:40" x14ac:dyDescent="0.3">
      <c r="A1949" t="str">
        <f>"20200111160443664"</f>
        <v>20200111160443664</v>
      </c>
      <c r="B1949" t="str">
        <f>"1578729883652379"</f>
        <v>1578729883652379</v>
      </c>
      <c r="C1949" t="s">
        <v>40</v>
      </c>
      <c r="D1949">
        <v>5.4561449999999896</v>
      </c>
      <c r="E1949">
        <v>0.47701290000000002</v>
      </c>
      <c r="F1949" t="s">
        <v>57</v>
      </c>
      <c r="G1949">
        <v>-370.4753</v>
      </c>
      <c r="H1949" s="1">
        <v>-1.283833E-6</v>
      </c>
      <c r="I1949">
        <v>283.19260000000003</v>
      </c>
      <c r="J1949">
        <v>-356.30160000000001</v>
      </c>
      <c r="K1949">
        <v>1.1084609999999999</v>
      </c>
      <c r="L1949">
        <v>284.8612</v>
      </c>
      <c r="M1949">
        <v>-0.99957700000000005</v>
      </c>
      <c r="N1949">
        <v>0</v>
      </c>
      <c r="O1949">
        <v>-2.7975860000000002E-2</v>
      </c>
      <c r="P1949">
        <v>-0.99863420000000003</v>
      </c>
      <c r="Q1949">
        <v>-4.670581E-3</v>
      </c>
      <c r="R1949">
        <v>-5.204073E-2</v>
      </c>
      <c r="S1949">
        <v>-2.9848330000000001</v>
      </c>
      <c r="T1949">
        <v>-0.23000219999999999</v>
      </c>
      <c r="U1949">
        <v>-0.347412099999999</v>
      </c>
      <c r="V1949">
        <v>-2.407478E-2</v>
      </c>
      <c r="W1949">
        <v>3.3295730000000002E-3</v>
      </c>
      <c r="X1949">
        <v>0.99970460000000005</v>
      </c>
      <c r="Y1949">
        <v>-8.7603349999999997E-2</v>
      </c>
      <c r="Z1949">
        <v>-1.2146170000000001E-3</v>
      </c>
      <c r="AA1949">
        <v>0.99615469999999895</v>
      </c>
      <c r="AB1949">
        <v>38</v>
      </c>
      <c r="AC1949">
        <v>-14.173699999999901</v>
      </c>
      <c r="AD1949">
        <v>-1.1084622838330001</v>
      </c>
      <c r="AE1949">
        <v>-1.6685999999999599</v>
      </c>
      <c r="AF1949">
        <v>-1.2637890804693701</v>
      </c>
      <c r="AG1949">
        <v>-1.1084622838330001</v>
      </c>
      <c r="AH1949">
        <v>14.1295971718584</v>
      </c>
      <c r="AI1949">
        <v>94.467884883324501</v>
      </c>
      <c r="AJ1949">
        <v>95.111087642157102</v>
      </c>
      <c r="AK1949">
        <v>14.229243399196699</v>
      </c>
      <c r="AL1949">
        <v>89.8092291640165</v>
      </c>
      <c r="AM1949">
        <v>91.379524238831095</v>
      </c>
      <c r="AN1949">
        <v>0.99999998417478497</v>
      </c>
    </row>
    <row r="1950" spans="1:40" x14ac:dyDescent="0.3">
      <c r="A1950" t="str">
        <f>"20200111160443677"</f>
        <v>20200111160443677</v>
      </c>
      <c r="B1950" t="str">
        <f>"1578729883672875"</f>
        <v>1578729883672875</v>
      </c>
      <c r="C1950" t="s">
        <v>40</v>
      </c>
      <c r="D1950">
        <v>5.463355</v>
      </c>
      <c r="E1950">
        <v>0.4478992</v>
      </c>
      <c r="F1950" t="s">
        <v>57</v>
      </c>
      <c r="G1950">
        <v>-370.6687</v>
      </c>
      <c r="H1950" s="1">
        <v>-1.180955E-6</v>
      </c>
      <c r="I1950">
        <v>283.18680000000001</v>
      </c>
      <c r="J1950">
        <v>-356.5301</v>
      </c>
      <c r="K1950">
        <v>1.108457</v>
      </c>
      <c r="L1950">
        <v>284.8553</v>
      </c>
      <c r="M1950">
        <v>-0.99959140000000002</v>
      </c>
      <c r="N1950">
        <v>0</v>
      </c>
      <c r="O1950">
        <v>-2.745823E-2</v>
      </c>
      <c r="P1950">
        <v>-0.99864419999999998</v>
      </c>
      <c r="Q1950">
        <v>-4.5412220000000001E-3</v>
      </c>
      <c r="R1950">
        <v>-5.1855900000000003E-2</v>
      </c>
      <c r="S1950">
        <v>-2.9848940000000002</v>
      </c>
      <c r="T1950">
        <v>-0.2302939</v>
      </c>
      <c r="U1950">
        <v>-0.34786990000000001</v>
      </c>
      <c r="V1950">
        <v>-2.440703E-2</v>
      </c>
      <c r="W1950">
        <v>3.452119E-3</v>
      </c>
      <c r="X1950">
        <v>0.99969609999999998</v>
      </c>
      <c r="Y1950">
        <v>-8.8263690000000006E-2</v>
      </c>
      <c r="Z1950">
        <v>-1.281171E-3</v>
      </c>
      <c r="AA1950">
        <v>0.99609630000000005</v>
      </c>
      <c r="AB1950">
        <v>38</v>
      </c>
      <c r="AC1950">
        <v>-14.138599999999901</v>
      </c>
      <c r="AD1950">
        <v>-1.108458180955</v>
      </c>
      <c r="AE1950">
        <v>-1.6684999999999901</v>
      </c>
      <c r="AF1950">
        <v>-1.27192719608478</v>
      </c>
      <c r="AG1950">
        <v>-1.108458180955</v>
      </c>
      <c r="AH1950">
        <v>14.0936478611276</v>
      </c>
      <c r="AI1950">
        <v>94.478898211799105</v>
      </c>
      <c r="AJ1950">
        <v>95.156874202671204</v>
      </c>
      <c r="AK1950">
        <v>14.194273083343599</v>
      </c>
      <c r="AL1950">
        <v>89.802207749425094</v>
      </c>
      <c r="AM1950">
        <v>91.398567083450601</v>
      </c>
      <c r="AN1950">
        <v>0.99999995629710903</v>
      </c>
    </row>
    <row r="1951" spans="1:40" x14ac:dyDescent="0.3">
      <c r="A1951" t="str">
        <f>"20200111160443694"</f>
        <v>20200111160443694</v>
      </c>
      <c r="B1951" t="str">
        <f>"1578729883682634"</f>
        <v>1578729883682634</v>
      </c>
      <c r="C1951" t="s">
        <v>40</v>
      </c>
      <c r="D1951">
        <v>5.4331870000000002</v>
      </c>
      <c r="E1951">
        <v>0.45246550000000002</v>
      </c>
      <c r="F1951" t="s">
        <v>58</v>
      </c>
      <c r="G1951">
        <v>-440.6841</v>
      </c>
      <c r="H1951">
        <v>3.744996</v>
      </c>
      <c r="I1951">
        <v>268.83019999999999</v>
      </c>
      <c r="J1951">
        <v>-356.8098</v>
      </c>
      <c r="K1951">
        <v>1.108455</v>
      </c>
      <c r="L1951">
        <v>284.84809999999999</v>
      </c>
      <c r="M1951">
        <v>-0.99960879999999996</v>
      </c>
      <c r="N1951">
        <v>0</v>
      </c>
      <c r="O1951">
        <v>-2.6824839999999999E-2</v>
      </c>
      <c r="P1951">
        <v>-0.99868179999999995</v>
      </c>
      <c r="Q1951">
        <v>-4.4015979999999996E-3</v>
      </c>
      <c r="R1951">
        <v>-5.1142680000000003E-2</v>
      </c>
      <c r="S1951">
        <v>-2.9750670000000001</v>
      </c>
      <c r="T1951">
        <v>9.3209029999999998E-2</v>
      </c>
      <c r="U1951">
        <v>-0.56652829999999998</v>
      </c>
      <c r="V1951">
        <v>-2.4325980000000001E-2</v>
      </c>
      <c r="W1951">
        <v>3.5832490000000002E-3</v>
      </c>
      <c r="X1951">
        <v>0.99969770000000002</v>
      </c>
      <c r="Y1951">
        <v>-0.16058129999999901</v>
      </c>
      <c r="Z1951">
        <v>1.660349E-3</v>
      </c>
      <c r="AA1951">
        <v>0.98702120000000004</v>
      </c>
      <c r="AB1951">
        <v>38</v>
      </c>
      <c r="AC1951">
        <v>-83.874300000000005</v>
      </c>
      <c r="AD1951">
        <v>2.6365409999999998</v>
      </c>
      <c r="AE1951">
        <v>-16.017899999999901</v>
      </c>
      <c r="AF1951">
        <v>-13.749042701906699</v>
      </c>
      <c r="AG1951">
        <v>2.6365409999999998</v>
      </c>
      <c r="AH1951">
        <v>84.193540754760605</v>
      </c>
      <c r="AI1951">
        <v>88.229788342232993</v>
      </c>
      <c r="AJ1951">
        <v>99.274695392960595</v>
      </c>
      <c r="AK1951">
        <v>85.349515689821402</v>
      </c>
      <c r="AL1951">
        <v>89.7946945246713</v>
      </c>
      <c r="AM1951">
        <v>91.393922376801001</v>
      </c>
      <c r="AN1951">
        <v>1.0000000421808199</v>
      </c>
    </row>
    <row r="1952" spans="1:40" x14ac:dyDescent="0.3">
      <c r="A1952" t="str">
        <f>"20200111160443708"</f>
        <v>20200111160443708</v>
      </c>
      <c r="B1952" t="str">
        <f>"1578729883703131"</f>
        <v>1578729883703131</v>
      </c>
      <c r="C1952" t="s">
        <v>40</v>
      </c>
      <c r="D1952">
        <v>5.4674930000000002</v>
      </c>
      <c r="E1952">
        <v>0.45489980000000002</v>
      </c>
      <c r="F1952" t="s">
        <v>58</v>
      </c>
      <c r="G1952">
        <v>-440.40789999999998</v>
      </c>
      <c r="H1952">
        <v>4.451219</v>
      </c>
      <c r="I1952">
        <v>270.05149999999998</v>
      </c>
      <c r="J1952">
        <v>-357.03910000000002</v>
      </c>
      <c r="K1952">
        <v>1.1084499999999999</v>
      </c>
      <c r="L1952">
        <v>284.84230000000002</v>
      </c>
      <c r="M1952">
        <v>-0.99962249999999997</v>
      </c>
      <c r="N1952">
        <v>0</v>
      </c>
      <c r="O1952">
        <v>-2.6305889999999998E-2</v>
      </c>
      <c r="P1952">
        <v>-0.99868670000000004</v>
      </c>
      <c r="Q1952">
        <v>-4.1439069999999996E-3</v>
      </c>
      <c r="R1952">
        <v>-5.1064999999999999E-2</v>
      </c>
      <c r="S1952">
        <v>-2.977509</v>
      </c>
      <c r="T1952">
        <v>0.1190594</v>
      </c>
      <c r="U1952">
        <v>-0.52700809999999998</v>
      </c>
      <c r="V1952">
        <v>-2.476689E-2</v>
      </c>
      <c r="W1952">
        <v>3.8359710000000001E-3</v>
      </c>
      <c r="X1952">
        <v>0.99968590000000002</v>
      </c>
      <c r="Y1952">
        <v>-0.14822859999999999</v>
      </c>
      <c r="Z1952">
        <v>1.8968570000000001E-3</v>
      </c>
      <c r="AA1952">
        <v>0.98895129999999998</v>
      </c>
      <c r="AB1952">
        <v>38</v>
      </c>
      <c r="AC1952">
        <v>-83.368799999999894</v>
      </c>
      <c r="AD1952">
        <v>3.3427690000000001</v>
      </c>
      <c r="AE1952">
        <v>-14.790800000000001</v>
      </c>
      <c r="AF1952">
        <v>-12.5729250656725</v>
      </c>
      <c r="AG1952">
        <v>3.3427690000000001</v>
      </c>
      <c r="AH1952">
        <v>83.598744399298397</v>
      </c>
      <c r="AI1952">
        <v>87.735636579952896</v>
      </c>
      <c r="AJ1952">
        <v>98.552959741473899</v>
      </c>
      <c r="AK1952">
        <v>84.604979844176995</v>
      </c>
      <c r="AL1952">
        <v>89.780214513688904</v>
      </c>
      <c r="AM1952">
        <v>91.4191938164834</v>
      </c>
      <c r="AN1952">
        <v>1.0000000060862899</v>
      </c>
    </row>
    <row r="1953" spans="1:40" x14ac:dyDescent="0.3">
      <c r="A1953" t="str">
        <f>"20200111160443720"</f>
        <v>20200111160443720</v>
      </c>
      <c r="B1953" t="str">
        <f>"1578729883712891"</f>
        <v>1578729883712891</v>
      </c>
      <c r="C1953" t="s">
        <v>40</v>
      </c>
      <c r="D1953">
        <v>5.8395760000000001</v>
      </c>
      <c r="E1953">
        <v>0.45366020000000001</v>
      </c>
      <c r="F1953" t="s">
        <v>58</v>
      </c>
      <c r="G1953">
        <v>-443.72140000000002</v>
      </c>
      <c r="H1953">
        <v>4.7770210000000004</v>
      </c>
      <c r="I1953">
        <v>270.08530000000002</v>
      </c>
      <c r="J1953">
        <v>-357.26900000000001</v>
      </c>
      <c r="K1953">
        <v>1.108449</v>
      </c>
      <c r="L1953">
        <v>284.83659999999998</v>
      </c>
      <c r="M1953">
        <v>-0.99963619999999997</v>
      </c>
      <c r="N1953">
        <v>0</v>
      </c>
      <c r="O1953">
        <v>-2.5786239999999998E-2</v>
      </c>
      <c r="P1953">
        <v>-0.99872179999999999</v>
      </c>
      <c r="Q1953">
        <v>-3.7085099999999999E-3</v>
      </c>
      <c r="R1953">
        <v>-5.0415290000000001E-2</v>
      </c>
      <c r="S1953">
        <v>-2.978577</v>
      </c>
      <c r="T1953">
        <v>0.1260599</v>
      </c>
      <c r="U1953">
        <v>-0.50708009999999903</v>
      </c>
      <c r="V1953">
        <v>-2.4635290000000001E-2</v>
      </c>
      <c r="W1953">
        <v>4.2665519999999998E-3</v>
      </c>
      <c r="X1953">
        <v>0.9996874</v>
      </c>
      <c r="Y1953">
        <v>-0.1422494</v>
      </c>
      <c r="Z1953">
        <v>1.90493E-3</v>
      </c>
      <c r="AA1953">
        <v>0.98982899999999996</v>
      </c>
      <c r="AB1953">
        <v>38</v>
      </c>
      <c r="AC1953">
        <v>-86.452399999999997</v>
      </c>
      <c r="AD1953">
        <v>3.66857199999999</v>
      </c>
      <c r="AE1953">
        <v>-14.751299999999899</v>
      </c>
      <c r="AF1953">
        <v>-12.4951790822613</v>
      </c>
      <c r="AG1953">
        <v>3.66857199999999</v>
      </c>
      <c r="AH1953">
        <v>86.652423268644597</v>
      </c>
      <c r="AI1953">
        <v>87.600525914904196</v>
      </c>
      <c r="AJ1953">
        <v>98.205424380522999</v>
      </c>
      <c r="AK1953">
        <v>87.625512147691893</v>
      </c>
      <c r="AL1953">
        <v>89.755543835505705</v>
      </c>
      <c r="AM1953">
        <v>91.411653807612893</v>
      </c>
      <c r="AN1953">
        <v>0.99999999934905603</v>
      </c>
    </row>
    <row r="1954" spans="1:40" x14ac:dyDescent="0.3">
      <c r="A1954" t="str">
        <f>"20200111160443733"</f>
        <v>20200111160443733</v>
      </c>
      <c r="B1954" t="str">
        <f>"1578729883722651"</f>
        <v>1578729883722651</v>
      </c>
      <c r="C1954" t="s">
        <v>40</v>
      </c>
      <c r="D1954">
        <v>5.6793300000000002</v>
      </c>
      <c r="E1954">
        <v>0.4539937</v>
      </c>
      <c r="F1954" t="s">
        <v>58</v>
      </c>
      <c r="G1954">
        <v>-440.91230000000002</v>
      </c>
      <c r="H1954">
        <v>3.8302160000000001</v>
      </c>
      <c r="I1954">
        <v>270.33100000000002</v>
      </c>
      <c r="J1954">
        <v>-357.48259999999999</v>
      </c>
      <c r="K1954">
        <v>1.108447</v>
      </c>
      <c r="L1954">
        <v>284.83150000000001</v>
      </c>
      <c r="M1954">
        <v>-0.99964850000000005</v>
      </c>
      <c r="N1954">
        <v>0</v>
      </c>
      <c r="O1954">
        <v>-2.5303309999999999E-2</v>
      </c>
      <c r="P1954">
        <v>-0.99874209999999997</v>
      </c>
      <c r="Q1954">
        <v>-3.3026280000000002E-3</v>
      </c>
      <c r="R1954">
        <v>-5.003345E-2</v>
      </c>
      <c r="S1954">
        <v>-2.9781490000000002</v>
      </c>
      <c r="T1954">
        <v>9.6911070000000002E-2</v>
      </c>
      <c r="U1954">
        <v>-0.51647949999999998</v>
      </c>
      <c r="V1954">
        <v>-2.4735340000000001E-2</v>
      </c>
      <c r="W1954">
        <v>4.6709050000000004E-3</v>
      </c>
      <c r="X1954">
        <v>0.99968310000000005</v>
      </c>
      <c r="Y1954">
        <v>-0.14582390000000001</v>
      </c>
      <c r="Z1954">
        <v>1.537828E-3</v>
      </c>
      <c r="AA1954">
        <v>0.98930940000000001</v>
      </c>
      <c r="AB1954">
        <v>38</v>
      </c>
      <c r="AC1954">
        <v>-83.429699999999997</v>
      </c>
      <c r="AD1954">
        <v>2.7217690000000001</v>
      </c>
      <c r="AE1954">
        <v>-14.500500000000001</v>
      </c>
      <c r="AF1954">
        <v>-12.371961986180301</v>
      </c>
      <c r="AG1954">
        <v>2.7217690000000001</v>
      </c>
      <c r="AH1954">
        <v>83.6834557947885</v>
      </c>
      <c r="AI1954">
        <v>88.157152696005994</v>
      </c>
      <c r="AJ1954">
        <v>98.409825768449807</v>
      </c>
      <c r="AK1954">
        <v>84.636837391499796</v>
      </c>
      <c r="AL1954">
        <v>89.732375877800607</v>
      </c>
      <c r="AM1954">
        <v>91.417390642772901</v>
      </c>
      <c r="AN1954">
        <v>0.99999997741202196</v>
      </c>
    </row>
    <row r="1955" spans="1:40" x14ac:dyDescent="0.3">
      <c r="A1955" t="str">
        <f>"20200111160443748"</f>
        <v>20200111160443748</v>
      </c>
      <c r="B1955" t="str">
        <f>"1578729883743146"</f>
        <v>1578729883743146</v>
      </c>
      <c r="C1955" t="s">
        <v>40</v>
      </c>
      <c r="D1955">
        <v>5.5401099999999897</v>
      </c>
      <c r="E1955">
        <v>0.46382489999999998</v>
      </c>
      <c r="F1955" t="s">
        <v>58</v>
      </c>
      <c r="G1955">
        <v>-442.96260000000001</v>
      </c>
      <c r="H1955">
        <v>3.0335830000000001</v>
      </c>
      <c r="I1955">
        <v>270.08589999999998</v>
      </c>
      <c r="J1955">
        <v>-357.72629999999998</v>
      </c>
      <c r="K1955">
        <v>1.1084449999999999</v>
      </c>
      <c r="L1955">
        <v>284.82569999999998</v>
      </c>
      <c r="M1955">
        <v>-0.9996623</v>
      </c>
      <c r="N1955">
        <v>0</v>
      </c>
      <c r="O1955">
        <v>-2.4752670000000001E-2</v>
      </c>
      <c r="P1955">
        <v>-0.99877689999999997</v>
      </c>
      <c r="Q1955">
        <v>-3.179051E-3</v>
      </c>
      <c r="R1955">
        <v>-4.9342669999999998E-2</v>
      </c>
      <c r="S1955">
        <v>-2.9782709999999999</v>
      </c>
      <c r="T1955">
        <v>6.7075609999999994E-2</v>
      </c>
      <c r="U1955">
        <v>-0.51376339999999998</v>
      </c>
      <c r="V1955">
        <v>-2.4594230000000002E-2</v>
      </c>
      <c r="W1955">
        <v>4.7939280000000003E-3</v>
      </c>
      <c r="X1955">
        <v>0.99968599999999996</v>
      </c>
      <c r="Y1955">
        <v>-0.14551819999999999</v>
      </c>
      <c r="Z1955">
        <v>1.0734430000000001E-3</v>
      </c>
      <c r="AA1955">
        <v>0.98935499999999998</v>
      </c>
      <c r="AB1955">
        <v>38</v>
      </c>
      <c r="AC1955">
        <v>-85.2363</v>
      </c>
      <c r="AD1955">
        <v>1.925138</v>
      </c>
      <c r="AE1955">
        <v>-14.739800000000001</v>
      </c>
      <c r="AF1955">
        <v>-12.6191410944783</v>
      </c>
      <c r="AG1955">
        <v>1.925138</v>
      </c>
      <c r="AH1955">
        <v>85.532678027704804</v>
      </c>
      <c r="AI1955">
        <v>88.724428618329597</v>
      </c>
      <c r="AJ1955">
        <v>98.392640426401201</v>
      </c>
      <c r="AK1955">
        <v>86.479985481453497</v>
      </c>
      <c r="AL1955">
        <v>89.725327100250993</v>
      </c>
      <c r="AM1955">
        <v>91.409303905971299</v>
      </c>
      <c r="AN1955">
        <v>0.99999997824548004</v>
      </c>
    </row>
    <row r="1956" spans="1:40" x14ac:dyDescent="0.3">
      <c r="A1956" t="str">
        <f>"20200111160443761"</f>
        <v>20200111160443761</v>
      </c>
      <c r="B1956" t="str">
        <f>"1578729883752907"</f>
        <v>1578729883752907</v>
      </c>
      <c r="C1956" t="s">
        <v>40</v>
      </c>
      <c r="D1956">
        <v>5.5263540000000004</v>
      </c>
      <c r="E1956">
        <v>0.46460469999999998</v>
      </c>
      <c r="F1956" t="s">
        <v>57</v>
      </c>
      <c r="G1956">
        <v>-372.89049999999997</v>
      </c>
      <c r="H1956" s="1">
        <v>1.403635E-9</v>
      </c>
      <c r="I1956">
        <v>282.56270000000001</v>
      </c>
      <c r="J1956">
        <v>-357.96589999999998</v>
      </c>
      <c r="K1956">
        <v>1.1084459999999901</v>
      </c>
      <c r="L1956">
        <v>284.8202</v>
      </c>
      <c r="M1956">
        <v>-0.99967550000000005</v>
      </c>
      <c r="N1956">
        <v>0</v>
      </c>
      <c r="O1956">
        <v>-2.421098E-2</v>
      </c>
      <c r="P1956">
        <v>-0.99882070000000001</v>
      </c>
      <c r="Q1956">
        <v>-3.1855120000000002E-3</v>
      </c>
      <c r="R1956">
        <v>-4.8444920000000002E-2</v>
      </c>
      <c r="S1956">
        <v>-2.9810180000000002</v>
      </c>
      <c r="T1956">
        <v>-0.21790100000000001</v>
      </c>
      <c r="U1956">
        <v>-0.44488529999999998</v>
      </c>
      <c r="V1956">
        <v>-2.4237189999999999E-2</v>
      </c>
      <c r="W1956">
        <v>4.7891599999999998E-3</v>
      </c>
      <c r="X1956">
        <v>0.99969479999999999</v>
      </c>
      <c r="Y1956">
        <v>-0.1233563</v>
      </c>
      <c r="Z1956">
        <v>-2.720919E-3</v>
      </c>
      <c r="AA1956">
        <v>0.99235870000000004</v>
      </c>
      <c r="AB1956">
        <v>38</v>
      </c>
      <c r="AC1956">
        <v>-14.9245999999999</v>
      </c>
      <c r="AD1956">
        <v>-1.1084459985963599</v>
      </c>
      <c r="AE1956">
        <v>-2.2574999999999901</v>
      </c>
      <c r="AF1956">
        <v>-1.8853208926396099</v>
      </c>
      <c r="AG1956">
        <v>-1.1084459985963599</v>
      </c>
      <c r="AH1956">
        <v>14.894562311599399</v>
      </c>
      <c r="AI1956">
        <v>94.2225095337444</v>
      </c>
      <c r="AJ1956">
        <v>97.2140093486084</v>
      </c>
      <c r="AK1956">
        <v>15.0542709506022</v>
      </c>
      <c r="AL1956">
        <v>89.7256003053228</v>
      </c>
      <c r="AM1956">
        <v>91.388840573861202</v>
      </c>
      <c r="AN1956">
        <v>1.00000003528982</v>
      </c>
    </row>
    <row r="1957" spans="1:40" x14ac:dyDescent="0.3">
      <c r="A1957" t="str">
        <f>"20200111160443776"</f>
        <v>20200111160443776</v>
      </c>
      <c r="B1957" t="str">
        <f>"1578729883772427"</f>
        <v>1578729883772427</v>
      </c>
      <c r="C1957" t="s">
        <v>40</v>
      </c>
      <c r="D1957">
        <v>5.4712009999999998</v>
      </c>
      <c r="E1957">
        <v>0.4671305</v>
      </c>
      <c r="F1957" t="s">
        <v>57</v>
      </c>
      <c r="G1957">
        <v>-372.13749999999999</v>
      </c>
      <c r="H1957" s="1">
        <v>-3.9932979999999998E-7</v>
      </c>
      <c r="I1957">
        <v>282.74509999999998</v>
      </c>
      <c r="J1957">
        <v>-358.20569999999998</v>
      </c>
      <c r="K1957">
        <v>1.1084480000000001</v>
      </c>
      <c r="L1957">
        <v>284.81479999999999</v>
      </c>
      <c r="M1957">
        <v>-0.99968849999999998</v>
      </c>
      <c r="N1957">
        <v>0</v>
      </c>
      <c r="O1957">
        <v>-2.3669780000000001E-2</v>
      </c>
      <c r="P1957">
        <v>-0.99885109999999999</v>
      </c>
      <c r="Q1957">
        <v>-3.0165779999999998E-3</v>
      </c>
      <c r="R1957">
        <v>-4.7828250000000003E-2</v>
      </c>
      <c r="S1957">
        <v>-2.981598</v>
      </c>
      <c r="T1957">
        <v>-0.23320979999999999</v>
      </c>
      <c r="U1957">
        <v>-0.43658449999999999</v>
      </c>
      <c r="V1957">
        <v>-2.4160899999999999E-2</v>
      </c>
      <c r="W1957">
        <v>4.9636799999999998E-3</v>
      </c>
      <c r="X1957">
        <v>0.99969580000000002</v>
      </c>
      <c r="Y1957">
        <v>-0.1211289</v>
      </c>
      <c r="Z1957">
        <v>-2.867016E-3</v>
      </c>
      <c r="AA1957">
        <v>0.99263259999999998</v>
      </c>
      <c r="AB1957">
        <v>38</v>
      </c>
      <c r="AC1957">
        <v>-13.931800000000001</v>
      </c>
      <c r="AD1957">
        <v>-1.10844839932979</v>
      </c>
      <c r="AE1957">
        <v>-2.0697000000000099</v>
      </c>
      <c r="AF1957">
        <v>-1.7286407977140901</v>
      </c>
      <c r="AG1957">
        <v>-1.10844839932979</v>
      </c>
      <c r="AH1957">
        <v>13.8908544231641</v>
      </c>
      <c r="AI1957">
        <v>94.527587005638196</v>
      </c>
      <c r="AJ1957">
        <v>97.093677542671898</v>
      </c>
      <c r="AK1957">
        <v>14.0418194500227</v>
      </c>
      <c r="AL1957">
        <v>89.715600928635098</v>
      </c>
      <c r="AM1957">
        <v>91.384469320556605</v>
      </c>
      <c r="AN1957">
        <v>1.00000003987279</v>
      </c>
    </row>
    <row r="1958" spans="1:40" x14ac:dyDescent="0.3">
      <c r="A1958" t="str">
        <f>"20200111160443789"</f>
        <v>20200111160443789</v>
      </c>
      <c r="B1958" t="str">
        <f>"1578729883783162"</f>
        <v>1578729883783162</v>
      </c>
      <c r="C1958" t="s">
        <v>40</v>
      </c>
      <c r="D1958">
        <v>5.4441290000000002</v>
      </c>
      <c r="E1958">
        <v>0.46740029999999999</v>
      </c>
      <c r="F1958" t="s">
        <v>57</v>
      </c>
      <c r="G1958">
        <v>-378.90219999999999</v>
      </c>
      <c r="H1958" s="1">
        <v>3.2005309999999999E-6</v>
      </c>
      <c r="I1958">
        <v>281.95949999999999</v>
      </c>
      <c r="J1958">
        <v>-358.44909999999999</v>
      </c>
      <c r="K1958">
        <v>1.108447</v>
      </c>
      <c r="L1958">
        <v>284.80950000000001</v>
      </c>
      <c r="M1958">
        <v>-0.99970119999999896</v>
      </c>
      <c r="N1958">
        <v>0</v>
      </c>
      <c r="O1958">
        <v>-2.312024E-2</v>
      </c>
      <c r="P1958">
        <v>-0.99887789999999999</v>
      </c>
      <c r="Q1958">
        <v>-3.0282489999999998E-3</v>
      </c>
      <c r="R1958">
        <v>-4.7263689999999997E-2</v>
      </c>
      <c r="S1958">
        <v>-2.9833069999999999</v>
      </c>
      <c r="T1958">
        <v>-0.15977749999999999</v>
      </c>
      <c r="U1958">
        <v>-0.41159059999999997</v>
      </c>
      <c r="V1958">
        <v>-2.4145170000000001E-2</v>
      </c>
      <c r="W1958">
        <v>4.9598659999999899E-3</v>
      </c>
      <c r="X1958">
        <v>0.99969609999999998</v>
      </c>
      <c r="Y1958">
        <v>-0.1136023</v>
      </c>
      <c r="Z1958">
        <v>-1.7946150000000001E-3</v>
      </c>
      <c r="AA1958">
        <v>0.99352470000000004</v>
      </c>
      <c r="AB1958">
        <v>38</v>
      </c>
      <c r="AC1958">
        <v>-20.453099999999999</v>
      </c>
      <c r="AD1958">
        <v>-1.108443799469</v>
      </c>
      <c r="AE1958">
        <v>-2.8500000000000201</v>
      </c>
      <c r="AF1958">
        <v>-2.36951585634591</v>
      </c>
      <c r="AG1958">
        <v>-1.108443799469</v>
      </c>
      <c r="AH1958">
        <v>20.454595517947499</v>
      </c>
      <c r="AI1958">
        <v>93.081284626703905</v>
      </c>
      <c r="AJ1958">
        <v>96.607845560818703</v>
      </c>
      <c r="AK1958">
        <v>20.6211961547552</v>
      </c>
      <c r="AL1958">
        <v>89.715819429301703</v>
      </c>
      <c r="AM1958">
        <v>91.3835678946039</v>
      </c>
      <c r="AN1958">
        <v>0.999999940930136</v>
      </c>
    </row>
    <row r="1959" spans="1:40" x14ac:dyDescent="0.3">
      <c r="A1959" t="str">
        <f>"20200111160443806"</f>
        <v>20200111160443806</v>
      </c>
      <c r="B1959" t="str">
        <f>"1578729883802683"</f>
        <v>1578729883802683</v>
      </c>
      <c r="C1959" t="s">
        <v>40</v>
      </c>
      <c r="D1959">
        <v>5.7856459999999998</v>
      </c>
      <c r="E1959">
        <v>0.46545550000000002</v>
      </c>
      <c r="F1959" t="s">
        <v>57</v>
      </c>
      <c r="G1959">
        <v>-377.0634</v>
      </c>
      <c r="H1959" s="1">
        <v>2.2220289999999998E-6</v>
      </c>
      <c r="I1959">
        <v>282.26060000000001</v>
      </c>
      <c r="J1959">
        <v>-358.72879999999998</v>
      </c>
      <c r="K1959">
        <v>1.1084480000000001</v>
      </c>
      <c r="L1959">
        <v>284.80349999999999</v>
      </c>
      <c r="M1959">
        <v>-0.99971560000000004</v>
      </c>
      <c r="N1959">
        <v>0</v>
      </c>
      <c r="O1959">
        <v>-2.2488930000000001E-2</v>
      </c>
      <c r="P1959">
        <v>-0.99890760000000001</v>
      </c>
      <c r="Q1959">
        <v>-2.8765370000000002E-3</v>
      </c>
      <c r="R1959">
        <v>-4.6644610000000003E-2</v>
      </c>
      <c r="S1959">
        <v>-2.9834900000000002</v>
      </c>
      <c r="T1959">
        <v>-0.17766080000000001</v>
      </c>
      <c r="U1959">
        <v>-0.40853879999999998</v>
      </c>
      <c r="V1959">
        <v>-2.4156589999999999E-2</v>
      </c>
      <c r="W1959">
        <v>5.1238949999999998E-3</v>
      </c>
      <c r="X1959">
        <v>0.99969509999999995</v>
      </c>
      <c r="Y1959">
        <v>-0.11319360000000001</v>
      </c>
      <c r="Z1959">
        <v>-2.020408E-3</v>
      </c>
      <c r="AA1959">
        <v>0.99357090000000003</v>
      </c>
      <c r="AB1959">
        <v>38</v>
      </c>
      <c r="AC1959">
        <v>-18.334599999999998</v>
      </c>
      <c r="AD1959">
        <v>-1.108445777971</v>
      </c>
      <c r="AE1959">
        <v>-2.5428999999999702</v>
      </c>
      <c r="AF1959">
        <v>-2.12230770929941</v>
      </c>
      <c r="AG1959">
        <v>-1.108445777971</v>
      </c>
      <c r="AH1959">
        <v>18.3214507728717</v>
      </c>
      <c r="AI1959">
        <v>93.439226804575</v>
      </c>
      <c r="AJ1959">
        <v>96.607540461543095</v>
      </c>
      <c r="AK1959">
        <v>18.4772400665905</v>
      </c>
      <c r="AL1959">
        <v>89.706421170137304</v>
      </c>
      <c r="AM1959">
        <v>91.384223413653004</v>
      </c>
      <c r="AN1959">
        <v>1.0000000440522001</v>
      </c>
    </row>
    <row r="1960" spans="1:40" x14ac:dyDescent="0.3">
      <c r="A1960" t="str">
        <f>"20200111160443820"</f>
        <v>20200111160443820</v>
      </c>
      <c r="B1960" t="str">
        <f>"1578729883812443"</f>
        <v>1578729883812443</v>
      </c>
      <c r="C1960" t="s">
        <v>40</v>
      </c>
      <c r="D1960">
        <v>5.5666270000000004</v>
      </c>
      <c r="E1960">
        <v>0.46498139999999999</v>
      </c>
      <c r="F1960" t="s">
        <v>57</v>
      </c>
      <c r="G1960">
        <v>-377.06279999999998</v>
      </c>
      <c r="H1960" s="1">
        <v>2.2216890000000002E-6</v>
      </c>
      <c r="I1960">
        <v>282.209</v>
      </c>
      <c r="J1960">
        <v>-358.97480000000002</v>
      </c>
      <c r="K1960">
        <v>1.1084459999999901</v>
      </c>
      <c r="L1960">
        <v>284.79840000000002</v>
      </c>
      <c r="M1960">
        <v>-0.99972780000000006</v>
      </c>
      <c r="N1960">
        <v>0</v>
      </c>
      <c r="O1960">
        <v>-2.1933089999999999E-2</v>
      </c>
      <c r="P1960">
        <v>-0.99893670000000001</v>
      </c>
      <c r="Q1960">
        <v>-2.464768E-3</v>
      </c>
      <c r="R1960">
        <v>-4.604167E-2</v>
      </c>
      <c r="S1960">
        <v>-2.983063</v>
      </c>
      <c r="T1960">
        <v>-0.1803515</v>
      </c>
      <c r="U1960">
        <v>-0.42214970000000002</v>
      </c>
      <c r="V1960">
        <v>-2.410791E-2</v>
      </c>
      <c r="W1960">
        <v>5.5497059999999997E-3</v>
      </c>
      <c r="X1960">
        <v>0.99969390000000002</v>
      </c>
      <c r="Y1960">
        <v>-0.1181961</v>
      </c>
      <c r="Z1960">
        <v>-2.234336E-3</v>
      </c>
      <c r="AA1960">
        <v>0.99298779999999998</v>
      </c>
      <c r="AB1960">
        <v>38</v>
      </c>
      <c r="AC1960">
        <v>-18.087999999999901</v>
      </c>
      <c r="AD1960">
        <v>-1.1084437783109899</v>
      </c>
      <c r="AE1960">
        <v>-2.5894000000000101</v>
      </c>
      <c r="AF1960">
        <v>-2.1840018669414798</v>
      </c>
      <c r="AG1960">
        <v>-1.1084437783109899</v>
      </c>
      <c r="AH1960">
        <v>18.073933568503598</v>
      </c>
      <c r="AI1960">
        <v>93.484175800700996</v>
      </c>
      <c r="AJ1960">
        <v>96.890050629832899</v>
      </c>
      <c r="AK1960">
        <v>18.239122413185399</v>
      </c>
      <c r="AL1960">
        <v>89.682023618007307</v>
      </c>
      <c r="AM1960">
        <v>91.381436686869606</v>
      </c>
      <c r="AN1960">
        <v>0.99999994212923005</v>
      </c>
    </row>
    <row r="1961" spans="1:40" x14ac:dyDescent="0.3">
      <c r="A1961" t="str">
        <f>"20200111160443832"</f>
        <v>20200111160443832</v>
      </c>
      <c r="B1961" t="str">
        <f>"1578729883823179"</f>
        <v>1578729883823179</v>
      </c>
      <c r="C1961" t="s">
        <v>40</v>
      </c>
      <c r="D1961">
        <v>5.3852399999999996</v>
      </c>
      <c r="E1961">
        <v>0.46509879999999998</v>
      </c>
      <c r="F1961" t="s">
        <v>57</v>
      </c>
      <c r="G1961">
        <v>-377.1574</v>
      </c>
      <c r="H1961" s="1">
        <v>2.2720090000000001E-6</v>
      </c>
      <c r="I1961">
        <v>282.2133</v>
      </c>
      <c r="J1961">
        <v>-359.18060000000003</v>
      </c>
      <c r="K1961">
        <v>1.108447</v>
      </c>
      <c r="L1961">
        <v>284.79419999999999</v>
      </c>
      <c r="M1961">
        <v>-0.99973780000000001</v>
      </c>
      <c r="N1961">
        <v>0</v>
      </c>
      <c r="O1961">
        <v>-2.1468560000000001E-2</v>
      </c>
      <c r="P1961">
        <v>-0.9989538</v>
      </c>
      <c r="Q1961">
        <v>-2.415862E-3</v>
      </c>
      <c r="R1961">
        <v>-4.5668920000000002E-2</v>
      </c>
      <c r="S1961">
        <v>-2.9831850000000002</v>
      </c>
      <c r="T1961">
        <v>-0.18186079999999999</v>
      </c>
      <c r="U1961">
        <v>-0.42413329999999999</v>
      </c>
      <c r="V1961">
        <v>-2.4199430000000001E-2</v>
      </c>
      <c r="W1961">
        <v>5.6121699999999997E-3</v>
      </c>
      <c r="X1961">
        <v>0.99969140000000001</v>
      </c>
      <c r="Y1961">
        <v>-0.11929339999999999</v>
      </c>
      <c r="Z1961">
        <v>-2.3141799999999999E-3</v>
      </c>
      <c r="AA1961">
        <v>0.99285639999999997</v>
      </c>
      <c r="AB1961">
        <v>38</v>
      </c>
      <c r="AC1961">
        <v>-17.976799999999901</v>
      </c>
      <c r="AD1961">
        <v>-1.1084447279909999</v>
      </c>
      <c r="AE1961">
        <v>-2.5808999999999802</v>
      </c>
      <c r="AF1961">
        <v>-2.18621292518303</v>
      </c>
      <c r="AG1961">
        <v>-1.1084447279909999</v>
      </c>
      <c r="AH1961">
        <v>17.961158633649699</v>
      </c>
      <c r="AI1961">
        <v>93.505632347994904</v>
      </c>
      <c r="AJ1961">
        <v>96.939842660938496</v>
      </c>
      <c r="AK1961">
        <v>18.1276417697498</v>
      </c>
      <c r="AL1961">
        <v>89.678444657758504</v>
      </c>
      <c r="AM1961">
        <v>91.386682408407907</v>
      </c>
      <c r="AN1961">
        <v>1.0000000020491899</v>
      </c>
    </row>
    <row r="1962" spans="1:40" x14ac:dyDescent="0.3">
      <c r="A1962" t="str">
        <f>"20200111160443846"</f>
        <v>20200111160443846</v>
      </c>
      <c r="B1962" t="str">
        <f>"1578729883842698"</f>
        <v>1578729883842698</v>
      </c>
      <c r="C1962" t="s">
        <v>40</v>
      </c>
      <c r="D1962">
        <v>5.4364710000000001</v>
      </c>
      <c r="E1962">
        <v>0.4657058</v>
      </c>
      <c r="F1962" t="s">
        <v>57</v>
      </c>
      <c r="G1962">
        <v>-376.78590000000003</v>
      </c>
      <c r="H1962" s="1">
        <v>2.074324E-6</v>
      </c>
      <c r="I1962">
        <v>282.30090000000001</v>
      </c>
      <c r="J1962">
        <v>-359.4153</v>
      </c>
      <c r="K1962">
        <v>1.1084480000000001</v>
      </c>
      <c r="L1962">
        <v>284.78960000000001</v>
      </c>
      <c r="M1962">
        <v>-0.99974890000000005</v>
      </c>
      <c r="N1962">
        <v>0</v>
      </c>
      <c r="O1962">
        <v>-2.093896E-2</v>
      </c>
      <c r="P1962">
        <v>-0.99898019999999998</v>
      </c>
      <c r="Q1962">
        <v>-2.3944880000000002E-3</v>
      </c>
      <c r="R1962">
        <v>-4.509316E-2</v>
      </c>
      <c r="S1962">
        <v>-2.983368</v>
      </c>
      <c r="T1962">
        <v>-0.18783520000000001</v>
      </c>
      <c r="U1962">
        <v>-0.4225159</v>
      </c>
      <c r="V1962">
        <v>-2.415223E-2</v>
      </c>
      <c r="W1962">
        <v>5.6507930000000003E-3</v>
      </c>
      <c r="X1962">
        <v>0.99969229999999998</v>
      </c>
      <c r="Y1962">
        <v>-0.1192703</v>
      </c>
      <c r="Z1962">
        <v>-2.4223970000000002E-3</v>
      </c>
      <c r="AA1962">
        <v>0.99285889999999999</v>
      </c>
      <c r="AB1962">
        <v>38</v>
      </c>
      <c r="AC1962">
        <v>-17.3706</v>
      </c>
      <c r="AD1962">
        <v>-1.108445925676</v>
      </c>
      <c r="AE1962">
        <v>-2.4886999999999899</v>
      </c>
      <c r="AF1962">
        <v>-2.1159776560114301</v>
      </c>
      <c r="AG1962">
        <v>-1.108445925676</v>
      </c>
      <c r="AH1962">
        <v>17.3496782407775</v>
      </c>
      <c r="AI1962">
        <v>93.628760873426202</v>
      </c>
      <c r="AJ1962">
        <v>96.953488641701995</v>
      </c>
      <c r="AK1962">
        <v>17.513347734496499</v>
      </c>
      <c r="AL1962">
        <v>89.676231680050805</v>
      </c>
      <c r="AM1962">
        <v>91.383977548471606</v>
      </c>
      <c r="AN1962">
        <v>0.99999997817739505</v>
      </c>
    </row>
    <row r="1963" spans="1:40" x14ac:dyDescent="0.3">
      <c r="A1963" t="str">
        <f>"20200111160443861"</f>
        <v>20200111160443861</v>
      </c>
      <c r="B1963" t="str">
        <f>"1578729883852459"</f>
        <v>1578729883852459</v>
      </c>
      <c r="C1963" t="s">
        <v>40</v>
      </c>
      <c r="D1963">
        <v>5.4620139999999999</v>
      </c>
      <c r="E1963">
        <v>0.46589469999999999</v>
      </c>
      <c r="F1963" t="s">
        <v>57</v>
      </c>
      <c r="G1963">
        <v>-375.83210000000003</v>
      </c>
      <c r="H1963" s="1">
        <v>1.5667730000000001E-6</v>
      </c>
      <c r="I1963">
        <v>282.49759999999998</v>
      </c>
      <c r="J1963">
        <v>-359.68889999999999</v>
      </c>
      <c r="K1963">
        <v>1.1084499999999999</v>
      </c>
      <c r="L1963">
        <v>284.78440000000001</v>
      </c>
      <c r="M1963">
        <v>-0.99976140000000002</v>
      </c>
      <c r="N1963">
        <v>0</v>
      </c>
      <c r="O1963">
        <v>-2.0322349999999999E-2</v>
      </c>
      <c r="P1963">
        <v>-0.99900520000000004</v>
      </c>
      <c r="Q1963">
        <v>-2.3299789999999998E-3</v>
      </c>
      <c r="R1963">
        <v>-4.4534909999999997E-2</v>
      </c>
      <c r="S1963">
        <v>-2.983765</v>
      </c>
      <c r="T1963">
        <v>-0.20146020000000001</v>
      </c>
      <c r="U1963">
        <v>-0.41656490000000002</v>
      </c>
      <c r="V1963">
        <v>-2.4210849999999999E-2</v>
      </c>
      <c r="W1963">
        <v>5.7409130000000003E-3</v>
      </c>
      <c r="X1963">
        <v>0.99969039999999998</v>
      </c>
      <c r="Y1963">
        <v>-0.1178954</v>
      </c>
      <c r="Z1963">
        <v>-2.5929500000000001E-3</v>
      </c>
      <c r="AA1963">
        <v>0.99302259999999998</v>
      </c>
      <c r="AB1963">
        <v>39</v>
      </c>
      <c r="AC1963">
        <v>-16.1432</v>
      </c>
      <c r="AD1963">
        <v>-1.1084484332269999</v>
      </c>
      <c r="AE1963">
        <v>-2.2868000000000199</v>
      </c>
      <c r="AF1963">
        <v>-1.9492401691435199</v>
      </c>
      <c r="AG1963">
        <v>-1.1084484332269999</v>
      </c>
      <c r="AH1963">
        <v>16.111872619425501</v>
      </c>
      <c r="AI1963">
        <v>93.9071755528431</v>
      </c>
      <c r="AJ1963">
        <v>96.898210256222896</v>
      </c>
      <c r="AK1963">
        <v>16.267164303305002</v>
      </c>
      <c r="AL1963">
        <v>89.671068110860404</v>
      </c>
      <c r="AM1963">
        <v>91.387337931930801</v>
      </c>
      <c r="AN1963">
        <v>1.00000000959597</v>
      </c>
    </row>
    <row r="1964" spans="1:40" x14ac:dyDescent="0.3">
      <c r="A1964" t="str">
        <f>"20200111160443874"</f>
        <v>20200111160443874</v>
      </c>
      <c r="B1964" t="str">
        <f>"1578729883872955"</f>
        <v>1578729883872955</v>
      </c>
      <c r="C1964" t="s">
        <v>40</v>
      </c>
      <c r="D1964">
        <v>5.4466619999999999</v>
      </c>
      <c r="E1964">
        <v>0.46641179999999899</v>
      </c>
      <c r="F1964" t="s">
        <v>57</v>
      </c>
      <c r="G1964">
        <v>-375.67669999999998</v>
      </c>
      <c r="H1964" s="1">
        <v>1.484064E-6</v>
      </c>
      <c r="I1964">
        <v>282.56920000000002</v>
      </c>
      <c r="J1964">
        <v>-359.90980000000002</v>
      </c>
      <c r="K1964">
        <v>1.108449</v>
      </c>
      <c r="L1964">
        <v>284.78019999999998</v>
      </c>
      <c r="M1964">
        <v>-0.99977119999999997</v>
      </c>
      <c r="N1964">
        <v>0</v>
      </c>
      <c r="O1964">
        <v>-1.982424E-2</v>
      </c>
      <c r="P1964">
        <v>-0.99903600000000004</v>
      </c>
      <c r="Q1964">
        <v>-2.5347149999999999E-3</v>
      </c>
      <c r="R1964">
        <v>-4.3825290000000003E-2</v>
      </c>
      <c r="S1964">
        <v>-2.9841000000000002</v>
      </c>
      <c r="T1964">
        <v>-0.20689009999999999</v>
      </c>
      <c r="U1964">
        <v>-0.41345209999999999</v>
      </c>
      <c r="V1964">
        <v>-2.3998749999999999E-2</v>
      </c>
      <c r="W1964">
        <v>5.5616260000000001E-3</v>
      </c>
      <c r="X1964">
        <v>0.99969649999999999</v>
      </c>
      <c r="Y1964">
        <v>-0.1173469</v>
      </c>
      <c r="Z1964">
        <v>-2.677965E-3</v>
      </c>
      <c r="AA1964">
        <v>0.99308739999999995</v>
      </c>
      <c r="AB1964">
        <v>39</v>
      </c>
      <c r="AC1964">
        <v>-15.7668999999999</v>
      </c>
      <c r="AD1964">
        <v>-1.1084475159360001</v>
      </c>
      <c r="AE1964">
        <v>-2.2109999999999501</v>
      </c>
      <c r="AF1964">
        <v>-1.88883324110749</v>
      </c>
      <c r="AG1964">
        <v>-1.1084475159360001</v>
      </c>
      <c r="AH1964">
        <v>15.7313828133963</v>
      </c>
      <c r="AI1964">
        <v>94.001803438452001</v>
      </c>
      <c r="AJ1964">
        <v>96.846605460625298</v>
      </c>
      <c r="AK1964">
        <v>15.8830964276465</v>
      </c>
      <c r="AL1964">
        <v>89.6813406544088</v>
      </c>
      <c r="AM1964">
        <v>91.375180409129499</v>
      </c>
      <c r="AN1964">
        <v>0.99999998189878803</v>
      </c>
    </row>
    <row r="1965" spans="1:40" x14ac:dyDescent="0.3">
      <c r="A1965" t="str">
        <f>"20200111160443891"</f>
        <v>20200111160443891</v>
      </c>
      <c r="B1965" t="str">
        <f>"1578729883882715"</f>
        <v>1578729883882715</v>
      </c>
      <c r="C1965" t="s">
        <v>40</v>
      </c>
      <c r="D1965">
        <v>5.5482500000000003</v>
      </c>
      <c r="E1965">
        <v>0.46627879999999999</v>
      </c>
      <c r="F1965" t="s">
        <v>57</v>
      </c>
      <c r="G1965">
        <v>-378.83159999999998</v>
      </c>
      <c r="H1965" s="1">
        <v>3.1629370000000002E-6</v>
      </c>
      <c r="I1965">
        <v>282.20609999999999</v>
      </c>
      <c r="J1965">
        <v>-360.19400000000002</v>
      </c>
      <c r="K1965">
        <v>1.1084529999999999</v>
      </c>
      <c r="L1965">
        <v>284.77510000000001</v>
      </c>
      <c r="M1965">
        <v>-0.99978319999999998</v>
      </c>
      <c r="N1965">
        <v>0</v>
      </c>
      <c r="O1965">
        <v>-1.9184329999999999E-2</v>
      </c>
      <c r="P1965">
        <v>-0.99906790000000001</v>
      </c>
      <c r="Q1965">
        <v>-2.5446840000000002E-3</v>
      </c>
      <c r="R1965">
        <v>-4.3092129999999999E-2</v>
      </c>
      <c r="S1965">
        <v>-2.9846189999999999</v>
      </c>
      <c r="T1965">
        <v>-0.17484050000000001</v>
      </c>
      <c r="U1965">
        <v>-0.40603640000000002</v>
      </c>
      <c r="V1965">
        <v>-2.3904359999999999E-2</v>
      </c>
      <c r="W1965">
        <v>5.6002489999999999E-3</v>
      </c>
      <c r="X1965">
        <v>0.99969859999999999</v>
      </c>
      <c r="Y1965">
        <v>-0.115604399999999</v>
      </c>
      <c r="Z1965">
        <v>-2.250358E-3</v>
      </c>
      <c r="AA1965">
        <v>0.99329279999999998</v>
      </c>
      <c r="AB1965">
        <v>39</v>
      </c>
      <c r="AC1965">
        <v>-18.6375999999999</v>
      </c>
      <c r="AD1965">
        <v>-1.108449837063</v>
      </c>
      <c r="AE1965">
        <v>-2.5690000000000102</v>
      </c>
      <c r="AF1965">
        <v>-2.2033174709979999</v>
      </c>
      <c r="AG1965">
        <v>-1.108449837063</v>
      </c>
      <c r="AH1965">
        <v>18.618826509083402</v>
      </c>
      <c r="AI1965">
        <v>93.383462122713297</v>
      </c>
      <c r="AJ1965">
        <v>96.748889669278498</v>
      </c>
      <c r="AK1965">
        <v>18.7814794277404</v>
      </c>
      <c r="AL1965">
        <v>89.679127702381706</v>
      </c>
      <c r="AM1965">
        <v>91.369770845913493</v>
      </c>
      <c r="AN1965">
        <v>1.0000000360289101</v>
      </c>
    </row>
    <row r="1966" spans="1:40" x14ac:dyDescent="0.3">
      <c r="A1966" t="str">
        <f>"20200111160443908"</f>
        <v>20200111160443908</v>
      </c>
      <c r="B1966" t="str">
        <f>"1578729883903211"</f>
        <v>1578729883903211</v>
      </c>
      <c r="C1966" t="s">
        <v>40</v>
      </c>
      <c r="D1966">
        <v>5.5237999999999996</v>
      </c>
      <c r="E1966">
        <v>0.46607100000000001</v>
      </c>
      <c r="F1966" t="s">
        <v>57</v>
      </c>
      <c r="G1966">
        <v>-380.42200000000003</v>
      </c>
      <c r="H1966" s="1">
        <v>-1.312235E-6</v>
      </c>
      <c r="I1966">
        <v>282.0342</v>
      </c>
      <c r="J1966">
        <v>-360.47609999999997</v>
      </c>
      <c r="K1966">
        <v>1.1084670000000001</v>
      </c>
      <c r="L1966">
        <v>284.77010000000001</v>
      </c>
      <c r="M1966">
        <v>-0.99979470000000004</v>
      </c>
      <c r="N1966">
        <v>0</v>
      </c>
      <c r="O1966">
        <v>-1.8550460000000001E-2</v>
      </c>
      <c r="P1966">
        <v>-0.99910379999999999</v>
      </c>
      <c r="Q1966">
        <v>-2.8058250000000001E-3</v>
      </c>
      <c r="R1966">
        <v>-4.2238280000000003E-2</v>
      </c>
      <c r="S1966">
        <v>-2.9849239999999999</v>
      </c>
      <c r="T1966">
        <v>-0.1635682</v>
      </c>
      <c r="U1966">
        <v>-0.40444950000000002</v>
      </c>
      <c r="V1966">
        <v>-2.3684630000000002E-2</v>
      </c>
      <c r="W1966">
        <v>5.4133310000000004E-3</v>
      </c>
      <c r="X1966">
        <v>0.99970479999999995</v>
      </c>
      <c r="Y1966">
        <v>-0.1157212</v>
      </c>
      <c r="Z1966">
        <v>-2.1430630000000002E-3</v>
      </c>
      <c r="AA1966">
        <v>0.99327949999999998</v>
      </c>
      <c r="AB1966">
        <v>39</v>
      </c>
      <c r="AC1966">
        <v>-19.945899999999899</v>
      </c>
      <c r="AD1966">
        <v>-1.1084683122350001</v>
      </c>
      <c r="AE1966">
        <v>-2.7359000000000102</v>
      </c>
      <c r="AF1966">
        <v>-2.3582624260316698</v>
      </c>
      <c r="AG1966">
        <v>-1.1084683122350001</v>
      </c>
      <c r="AH1966">
        <v>19.932797070233299</v>
      </c>
      <c r="AI1966">
        <v>93.160955069852093</v>
      </c>
      <c r="AJ1966">
        <v>96.747336534878798</v>
      </c>
      <c r="AK1966">
        <v>20.102400421650199</v>
      </c>
      <c r="AL1966">
        <v>89.689837458448494</v>
      </c>
      <c r="AM1966">
        <v>91.357176165165598</v>
      </c>
      <c r="AN1966">
        <v>0.99999997649689598</v>
      </c>
    </row>
    <row r="1967" spans="1:40" x14ac:dyDescent="0.3">
      <c r="A1967" t="str">
        <f>"20200111160443921"</f>
        <v>20200111160443921</v>
      </c>
      <c r="B1967" t="str">
        <f>"1578729883912971"</f>
        <v>1578729883912971</v>
      </c>
      <c r="C1967" t="s">
        <v>40</v>
      </c>
      <c r="D1967">
        <v>5.4651259999999997</v>
      </c>
      <c r="E1967">
        <v>0.46606839999999999</v>
      </c>
      <c r="F1967" t="s">
        <v>57</v>
      </c>
      <c r="G1967">
        <v>-380.61540000000002</v>
      </c>
      <c r="H1967" s="1">
        <v>-1.2093180000000001E-6</v>
      </c>
      <c r="I1967">
        <v>282.04730000000001</v>
      </c>
      <c r="J1967">
        <v>-360.73149999999998</v>
      </c>
      <c r="K1967">
        <v>1.1084830000000001</v>
      </c>
      <c r="L1967">
        <v>284.76589999999999</v>
      </c>
      <c r="M1967">
        <v>-0.99980429999999998</v>
      </c>
      <c r="N1967">
        <v>0</v>
      </c>
      <c r="O1967">
        <v>-1.7976849999999999E-2</v>
      </c>
      <c r="P1967">
        <v>-0.99912909999999999</v>
      </c>
      <c r="Q1967">
        <v>-2.7165150000000001E-3</v>
      </c>
      <c r="R1967">
        <v>-4.1641209999999998E-2</v>
      </c>
      <c r="S1967">
        <v>-2.9851990000000002</v>
      </c>
      <c r="T1967">
        <v>-0.16430539999999999</v>
      </c>
      <c r="U1967">
        <v>-0.40359499999999998</v>
      </c>
      <c r="V1967">
        <v>-2.366029E-2</v>
      </c>
      <c r="W1967">
        <v>5.5978649999999996E-3</v>
      </c>
      <c r="X1967">
        <v>0.99970440000000005</v>
      </c>
      <c r="Y1967">
        <v>-0.11599710000000001</v>
      </c>
      <c r="Z1967">
        <v>-2.191489E-3</v>
      </c>
      <c r="AA1967">
        <v>0.9932472</v>
      </c>
      <c r="AB1967">
        <v>39</v>
      </c>
      <c r="AC1967">
        <v>-19.883900000000001</v>
      </c>
      <c r="AD1967">
        <v>-1.1084842093179901</v>
      </c>
      <c r="AE1967">
        <v>-2.7185999999999799</v>
      </c>
      <c r="AF1967">
        <v>-2.35351848490774</v>
      </c>
      <c r="AG1967">
        <v>-1.1084842093179901</v>
      </c>
      <c r="AH1967">
        <v>19.868944152006801</v>
      </c>
      <c r="AI1967">
        <v>93.1710858712826</v>
      </c>
      <c r="AJ1967">
        <v>96.755329236231901</v>
      </c>
      <c r="AK1967">
        <v>20.038531089295802</v>
      </c>
      <c r="AL1967">
        <v>89.679264291359701</v>
      </c>
      <c r="AM1967">
        <v>91.355782498117506</v>
      </c>
      <c r="AN1967">
        <v>1.0000000163974001</v>
      </c>
    </row>
    <row r="1968" spans="1:40" x14ac:dyDescent="0.3">
      <c r="A1968" t="str">
        <f>"20200111160443938"</f>
        <v>20200111160443938</v>
      </c>
      <c r="B1968" t="str">
        <f>"1578729883932491"</f>
        <v>1578729883932491</v>
      </c>
      <c r="C1968" t="s">
        <v>40</v>
      </c>
      <c r="D1968">
        <v>5.7158369999999996</v>
      </c>
      <c r="E1968">
        <v>0.46687149999999999</v>
      </c>
      <c r="F1968" t="s">
        <v>57</v>
      </c>
      <c r="G1968">
        <v>-380.29410000000001</v>
      </c>
      <c r="H1968" s="1">
        <v>-1.3803060000000001E-6</v>
      </c>
      <c r="I1968">
        <v>282.13200000000001</v>
      </c>
      <c r="J1968">
        <v>-360.99489999999997</v>
      </c>
      <c r="K1968">
        <v>1.108508</v>
      </c>
      <c r="L1968">
        <v>284.76159999999999</v>
      </c>
      <c r="M1968">
        <v>-0.99981370000000003</v>
      </c>
      <c r="N1968">
        <v>0</v>
      </c>
      <c r="O1968">
        <v>-1.7386680000000002E-2</v>
      </c>
      <c r="P1968">
        <v>-0.99915379999999998</v>
      </c>
      <c r="Q1968">
        <v>-2.8674379999999999E-3</v>
      </c>
      <c r="R1968">
        <v>-4.1034639999999997E-2</v>
      </c>
      <c r="S1968">
        <v>-2.985382</v>
      </c>
      <c r="T1968">
        <v>-0.16916220000000001</v>
      </c>
      <c r="U1968">
        <v>-0.401947</v>
      </c>
      <c r="V1968">
        <v>-2.364314E-2</v>
      </c>
      <c r="W1968">
        <v>5.5849899999999997E-3</v>
      </c>
      <c r="X1968">
        <v>0.99970479999999995</v>
      </c>
      <c r="Y1968">
        <v>-0.11602709999999999</v>
      </c>
      <c r="Z1968">
        <v>-2.290196E-3</v>
      </c>
      <c r="AA1968">
        <v>0.9932434</v>
      </c>
      <c r="AB1968">
        <v>39</v>
      </c>
      <c r="AC1968">
        <v>-19.299199999999999</v>
      </c>
      <c r="AD1968">
        <v>-1.108509380306</v>
      </c>
      <c r="AE1968">
        <v>-2.62959999999998</v>
      </c>
      <c r="AF1968">
        <v>-2.2862365520380399</v>
      </c>
      <c r="AG1968">
        <v>-1.108509380306</v>
      </c>
      <c r="AH1968">
        <v>19.2795576186011</v>
      </c>
      <c r="AI1968">
        <v>93.267844689651497</v>
      </c>
      <c r="AJ1968">
        <v>96.762750143988299</v>
      </c>
      <c r="AK1968">
        <v>19.446259604023101</v>
      </c>
      <c r="AL1968">
        <v>89.680001961165402</v>
      </c>
      <c r="AM1968">
        <v>91.354799592934398</v>
      </c>
      <c r="AN1968">
        <v>0.99999993866269699</v>
      </c>
    </row>
    <row r="1969" spans="1:40" x14ac:dyDescent="0.3">
      <c r="A1969" t="str">
        <f>"20200111160443952"</f>
        <v>20200111160443952</v>
      </c>
      <c r="B1969" t="str">
        <f>"1578729883943227"</f>
        <v>1578729883943227</v>
      </c>
      <c r="C1969" t="s">
        <v>40</v>
      </c>
      <c r="D1969">
        <v>6.52773</v>
      </c>
      <c r="E1969">
        <v>0.46687149999999999</v>
      </c>
      <c r="F1969" t="s">
        <v>57</v>
      </c>
      <c r="G1969">
        <v>-381.11309999999997</v>
      </c>
      <c r="H1969" s="1">
        <v>-9.4443660000000001E-7</v>
      </c>
      <c r="I1969">
        <v>282.11070000000001</v>
      </c>
      <c r="J1969">
        <v>-361.24259999999998</v>
      </c>
      <c r="K1969">
        <v>1.108538</v>
      </c>
      <c r="L1969">
        <v>284.75779999999997</v>
      </c>
      <c r="M1969">
        <v>-0.99982159999999998</v>
      </c>
      <c r="N1969">
        <v>0</v>
      </c>
      <c r="O1969">
        <v>-1.6830950000000001E-2</v>
      </c>
      <c r="P1969">
        <v>-0.99918700000000005</v>
      </c>
      <c r="Q1969">
        <v>-3.1860080000000002E-3</v>
      </c>
      <c r="R1969">
        <v>-4.0188990000000001E-2</v>
      </c>
      <c r="S1969">
        <v>-2.9859010000000001</v>
      </c>
      <c r="T1969">
        <v>-0.1645221</v>
      </c>
      <c r="U1969">
        <v>-0.39343260000000002</v>
      </c>
      <c r="V1969">
        <v>-2.335284E-2</v>
      </c>
      <c r="W1969">
        <v>5.4381269999999897E-3</v>
      </c>
      <c r="X1969">
        <v>0.9997125</v>
      </c>
      <c r="Y1969">
        <v>-0.113784</v>
      </c>
      <c r="Z1969">
        <v>-2.1964609999999998E-3</v>
      </c>
      <c r="AA1969">
        <v>0.99350309999999997</v>
      </c>
      <c r="AB1969">
        <v>39</v>
      </c>
      <c r="AC1969">
        <v>-19.8705</v>
      </c>
      <c r="AD1969">
        <v>-1.1085389444366001</v>
      </c>
      <c r="AE1969">
        <v>-2.64709999999996</v>
      </c>
      <c r="AF1969">
        <v>-2.3052238395356999</v>
      </c>
      <c r="AG1969">
        <v>-1.1085389444366001</v>
      </c>
      <c r="AH1969">
        <v>19.851533000400401</v>
      </c>
      <c r="AI1969">
        <v>93.174871433491504</v>
      </c>
      <c r="AJ1969">
        <v>96.623703778890999</v>
      </c>
      <c r="AK1969">
        <v>20.015650826482901</v>
      </c>
      <c r="AL1969">
        <v>89.688416740393805</v>
      </c>
      <c r="AM1969">
        <v>91.338160600671699</v>
      </c>
      <c r="AN1969">
        <v>1.0000000055087901</v>
      </c>
    </row>
    <row r="1970" spans="1:40" x14ac:dyDescent="0.3">
      <c r="A1970" t="str">
        <f>"20200111160444187"</f>
        <v>20200111160444187</v>
      </c>
      <c r="B1970" t="str">
        <f>"1578729884183323"</f>
        <v>1578729884183323</v>
      </c>
      <c r="C1970" t="s">
        <v>40</v>
      </c>
      <c r="D1970">
        <v>6.3443259999999997</v>
      </c>
      <c r="E1970">
        <v>0.52600100000000005</v>
      </c>
      <c r="F1970" t="s">
        <v>57</v>
      </c>
      <c r="G1970">
        <v>-381.24489999999997</v>
      </c>
      <c r="H1970" s="1">
        <v>-8.7429410000000003E-7</v>
      </c>
      <c r="I1970">
        <v>282.13900000000001</v>
      </c>
      <c r="J1970">
        <v>-365.2722</v>
      </c>
      <c r="K1970">
        <v>1.109132</v>
      </c>
      <c r="L1970">
        <v>284.71449999999999</v>
      </c>
      <c r="M1970">
        <v>-0.99988319999999997</v>
      </c>
      <c r="N1970">
        <v>0</v>
      </c>
      <c r="O1970">
        <v>-7.9362410000000001E-3</v>
      </c>
      <c r="P1970">
        <v>-0.999421</v>
      </c>
      <c r="Q1970">
        <v>-7.9927590000000003E-3</v>
      </c>
      <c r="R1970">
        <v>-3.3076929999999997E-2</v>
      </c>
      <c r="S1970">
        <v>-2.9862060000000001</v>
      </c>
      <c r="T1970">
        <v>-0.16549659999999999</v>
      </c>
      <c r="U1970">
        <v>-0.39096069999999999</v>
      </c>
      <c r="V1970">
        <v>-2.5132370000000001E-2</v>
      </c>
      <c r="W1970">
        <v>5.1172199999999996E-3</v>
      </c>
      <c r="X1970">
        <v>0.99967099999999998</v>
      </c>
      <c r="Y1970">
        <v>-0.1217689</v>
      </c>
      <c r="Z1970">
        <v>-2.91975E-3</v>
      </c>
      <c r="AA1970">
        <v>0.99255420000000005</v>
      </c>
      <c r="AB1970">
        <v>38</v>
      </c>
      <c r="AC1970">
        <v>-15.9726999999999</v>
      </c>
      <c r="AD1970">
        <v>-1.1091328742941</v>
      </c>
      <c r="AE1970">
        <v>-2.5754999999999701</v>
      </c>
      <c r="AF1970">
        <v>-2.4371909801149001</v>
      </c>
      <c r="AG1970">
        <v>-1.1091328742941</v>
      </c>
      <c r="AH1970">
        <v>15.917830576189701</v>
      </c>
      <c r="AI1970">
        <v>93.940081276231993</v>
      </c>
      <c r="AJ1970">
        <v>98.704996423111496</v>
      </c>
      <c r="AK1970">
        <v>16.141480906616799</v>
      </c>
      <c r="AL1970">
        <v>89.706803601314505</v>
      </c>
      <c r="AM1970">
        <v>91.440149273868002</v>
      </c>
      <c r="AN1970">
        <v>0.99999996510167199</v>
      </c>
    </row>
    <row r="1971" spans="1:40" x14ac:dyDescent="0.3">
      <c r="A1971" t="str">
        <f>"20200111160444199"</f>
        <v>20200111160444199</v>
      </c>
      <c r="B1971" t="str">
        <f>"1578729884193083"</f>
        <v>1578729884193083</v>
      </c>
      <c r="C1971" t="s">
        <v>40</v>
      </c>
      <c r="D1971">
        <v>6.47865</v>
      </c>
      <c r="E1971">
        <v>0.52693469999999998</v>
      </c>
      <c r="F1971" t="s">
        <v>61</v>
      </c>
      <c r="G1971">
        <v>-406.56670000000003</v>
      </c>
      <c r="H1971" s="1">
        <v>5.1689840000000004E-6</v>
      </c>
      <c r="I1971">
        <v>286.17070000000001</v>
      </c>
      <c r="J1971">
        <v>-365.52370000000002</v>
      </c>
      <c r="K1971">
        <v>1.1091420000000001</v>
      </c>
      <c r="L1971">
        <v>284.71300000000002</v>
      </c>
      <c r="M1971">
        <v>-0.99988529999999998</v>
      </c>
      <c r="N1971">
        <v>0</v>
      </c>
      <c r="O1971">
        <v>-7.3800430000000002E-3</v>
      </c>
      <c r="P1971">
        <v>-0.99942730000000002</v>
      </c>
      <c r="Q1971">
        <v>-8.4136799999999998E-3</v>
      </c>
      <c r="R1971">
        <v>-3.2777220000000003E-2</v>
      </c>
      <c r="S1971">
        <v>-3.0046080000000002</v>
      </c>
      <c r="T1971">
        <v>-8.0700519999999998E-2</v>
      </c>
      <c r="U1971">
        <v>0.105957</v>
      </c>
      <c r="V1971">
        <v>-2.5389330000000002E-2</v>
      </c>
      <c r="W1971">
        <v>4.8635450000000004E-3</v>
      </c>
      <c r="X1971">
        <v>0.99966580000000005</v>
      </c>
      <c r="Y1971">
        <v>4.2600079999999999E-2</v>
      </c>
      <c r="Z1971">
        <v>7.6996029999999997E-4</v>
      </c>
      <c r="AA1971">
        <v>0.99909190000000003</v>
      </c>
      <c r="AB1971">
        <v>38</v>
      </c>
      <c r="AC1971">
        <v>-41.042999999999999</v>
      </c>
      <c r="AD1971">
        <v>-1.1091368310159999</v>
      </c>
      <c r="AE1971">
        <v>1.45770000000004</v>
      </c>
      <c r="AF1971">
        <v>1.7593027230039799</v>
      </c>
      <c r="AG1971">
        <v>-1.1091368310159999</v>
      </c>
      <c r="AH1971">
        <v>41.001218425092603</v>
      </c>
      <c r="AI1971">
        <v>91.548124409237204</v>
      </c>
      <c r="AJ1971">
        <v>87.543028470075399</v>
      </c>
      <c r="AK1971">
        <v>41.053930907079199</v>
      </c>
      <c r="AL1971">
        <v>89.721338297188097</v>
      </c>
      <c r="AM1971">
        <v>91.454875009245498</v>
      </c>
      <c r="AN1971">
        <v>0.99999999191872802</v>
      </c>
    </row>
    <row r="1972" spans="1:40" x14ac:dyDescent="0.3">
      <c r="A1972" t="str">
        <f>"20200111160444213"</f>
        <v>20200111160444213</v>
      </c>
      <c r="B1972" t="str">
        <f>"1578729884202843"</f>
        <v>1578729884202843</v>
      </c>
      <c r="C1972" t="s">
        <v>40</v>
      </c>
      <c r="D1972">
        <v>5.5224630000000001</v>
      </c>
      <c r="E1972">
        <v>0.52773119999999996</v>
      </c>
      <c r="F1972" t="s">
        <v>61</v>
      </c>
      <c r="G1972">
        <v>-430.29199999999997</v>
      </c>
      <c r="H1972" s="1">
        <v>2.1206160000000001E-6</v>
      </c>
      <c r="I1972">
        <v>287.19990000000001</v>
      </c>
      <c r="J1972">
        <v>-365.74220000000003</v>
      </c>
      <c r="K1972">
        <v>1.109145</v>
      </c>
      <c r="L1972">
        <v>284.71190000000001</v>
      </c>
      <c r="M1972">
        <v>-0.99988690000000002</v>
      </c>
      <c r="N1972">
        <v>0</v>
      </c>
      <c r="O1972">
        <v>-6.8972069999999998E-3</v>
      </c>
      <c r="P1972">
        <v>-0.99943530000000003</v>
      </c>
      <c r="Q1972">
        <v>-8.6669780000000005E-3</v>
      </c>
      <c r="R1972">
        <v>-3.246686E-2</v>
      </c>
      <c r="S1972">
        <v>-3.005096</v>
      </c>
      <c r="T1972">
        <v>-5.1461460000000001E-2</v>
      </c>
      <c r="U1972">
        <v>0.115387</v>
      </c>
      <c r="V1972">
        <v>-2.5561899999999999E-2</v>
      </c>
      <c r="W1972">
        <v>4.7438609999999898E-3</v>
      </c>
      <c r="X1972">
        <v>0.99966200000000005</v>
      </c>
      <c r="Y1972">
        <v>4.5253019999999998E-2</v>
      </c>
      <c r="Z1972">
        <v>5.0537610000000001E-4</v>
      </c>
      <c r="AA1972">
        <v>0.99897550000000002</v>
      </c>
      <c r="AB1972">
        <v>38</v>
      </c>
      <c r="AC1972">
        <v>-64.549799999999905</v>
      </c>
      <c r="AD1972">
        <v>-1.1091428793839999</v>
      </c>
      <c r="AE1972">
        <v>2.4879999999999902</v>
      </c>
      <c r="AF1972">
        <v>2.93232943204579</v>
      </c>
      <c r="AG1972">
        <v>-1.1091428793839999</v>
      </c>
      <c r="AH1972">
        <v>64.512083828382302</v>
      </c>
      <c r="AI1972">
        <v>90.983961674412498</v>
      </c>
      <c r="AJ1972">
        <v>87.397471490272807</v>
      </c>
      <c r="AK1972">
        <v>64.588216523644306</v>
      </c>
      <c r="AL1972">
        <v>89.728195770607201</v>
      </c>
      <c r="AM1972">
        <v>91.464764993605201</v>
      </c>
      <c r="AN1972">
        <v>1.0000000145963901</v>
      </c>
    </row>
    <row r="1973" spans="1:40" x14ac:dyDescent="0.3">
      <c r="A1973" t="str">
        <f>"20200111160444227"</f>
        <v>20200111160444227</v>
      </c>
      <c r="B1973" t="str">
        <f>"1578729884223339"</f>
        <v>1578729884223339</v>
      </c>
      <c r="C1973" t="s">
        <v>40</v>
      </c>
      <c r="D1973">
        <v>5.4972539999999999</v>
      </c>
      <c r="E1973">
        <v>0.52879529999999997</v>
      </c>
      <c r="F1973" t="s">
        <v>61</v>
      </c>
      <c r="G1973">
        <v>-404.05040000000002</v>
      </c>
      <c r="H1973" s="1">
        <v>6.2666040000000004E-6</v>
      </c>
      <c r="I1973">
        <v>286.25909999999999</v>
      </c>
      <c r="J1973">
        <v>-365.97820000000002</v>
      </c>
      <c r="K1973">
        <v>1.1091519999999999</v>
      </c>
      <c r="L1973">
        <v>284.71069999999997</v>
      </c>
      <c r="M1973">
        <v>-0.99988869999999996</v>
      </c>
      <c r="N1973">
        <v>0</v>
      </c>
      <c r="O1973">
        <v>-6.375894E-3</v>
      </c>
      <c r="P1973">
        <v>-0.99944029999999995</v>
      </c>
      <c r="Q1973">
        <v>-8.941694E-3</v>
      </c>
      <c r="R1973">
        <v>-3.2238389999999999E-2</v>
      </c>
      <c r="S1973">
        <v>-3.004883</v>
      </c>
      <c r="T1973">
        <v>-8.7000369999999994E-2</v>
      </c>
      <c r="U1973">
        <v>0.1213684</v>
      </c>
      <c r="V1973">
        <v>-2.5854599999999998E-2</v>
      </c>
      <c r="W1973">
        <v>4.6051019999999998E-3</v>
      </c>
      <c r="X1973">
        <v>0.99965510000000002</v>
      </c>
      <c r="Y1973">
        <v>4.6705749999999997E-2</v>
      </c>
      <c r="Z1973">
        <v>8.6022799999999999E-4</v>
      </c>
      <c r="AA1973">
        <v>0.99890829999999997</v>
      </c>
      <c r="AB1973">
        <v>38</v>
      </c>
      <c r="AC1973">
        <v>-38.072200000000002</v>
      </c>
      <c r="AD1973">
        <v>-1.109145733396</v>
      </c>
      <c r="AE1973">
        <v>1.54840000000001</v>
      </c>
      <c r="AF1973">
        <v>1.78961855176957</v>
      </c>
      <c r="AG1973">
        <v>-1.109145733396</v>
      </c>
      <c r="AH1973">
        <v>38.0293299427683</v>
      </c>
      <c r="AI1973">
        <v>91.668742775203</v>
      </c>
      <c r="AJ1973">
        <v>87.305711162609697</v>
      </c>
      <c r="AK1973">
        <v>38.0875685062027</v>
      </c>
      <c r="AL1973">
        <v>89.736146156764804</v>
      </c>
      <c r="AM1973">
        <v>91.481540272255899</v>
      </c>
      <c r="AN1973">
        <v>0.99999999313080001</v>
      </c>
    </row>
    <row r="1974" spans="1:40" x14ac:dyDescent="0.3">
      <c r="A1974" t="str">
        <f>"20200111160444241"</f>
        <v>20200111160444241</v>
      </c>
      <c r="B1974" t="str">
        <f>"1578729884233098"</f>
        <v>1578729884233098</v>
      </c>
      <c r="C1974" t="s">
        <v>40</v>
      </c>
      <c r="D1974">
        <v>5.5337699999999996</v>
      </c>
      <c r="E1974">
        <v>0.52911169999999996</v>
      </c>
      <c r="F1974" t="s">
        <v>57</v>
      </c>
      <c r="G1974">
        <v>-392.04390000000001</v>
      </c>
      <c r="H1974" s="1">
        <v>-4.4913829999999998E-7</v>
      </c>
      <c r="I1974">
        <v>285.8322</v>
      </c>
      <c r="J1974">
        <v>-366.23149999999998</v>
      </c>
      <c r="K1974">
        <v>1.109164</v>
      </c>
      <c r="L1974">
        <v>284.70960000000002</v>
      </c>
      <c r="M1974">
        <v>-0.99989019999999995</v>
      </c>
      <c r="N1974">
        <v>0</v>
      </c>
      <c r="O1974">
        <v>-5.8169129999999999E-3</v>
      </c>
      <c r="P1974">
        <v>-0.99943070000000001</v>
      </c>
      <c r="Q1974">
        <v>-9.0363059999999992E-3</v>
      </c>
      <c r="R1974">
        <v>-3.2512099999999898E-2</v>
      </c>
      <c r="S1974">
        <v>-3.0047000000000001</v>
      </c>
      <c r="T1974">
        <v>-0.1278569</v>
      </c>
      <c r="U1974">
        <v>0.12927249999999901</v>
      </c>
      <c r="V1974">
        <v>-2.6687329999999999E-2</v>
      </c>
      <c r="W1974">
        <v>4.6437259999999999E-3</v>
      </c>
      <c r="X1974">
        <v>0.99963299999999999</v>
      </c>
      <c r="Y1974">
        <v>4.8745730000000001E-2</v>
      </c>
      <c r="Z1974">
        <v>1.2834999999999999E-3</v>
      </c>
      <c r="AA1974">
        <v>0.99881039999999999</v>
      </c>
      <c r="AB1974">
        <v>38</v>
      </c>
      <c r="AC1974">
        <v>-25.8124</v>
      </c>
      <c r="AD1974">
        <v>-1.1091644491382999</v>
      </c>
      <c r="AE1974">
        <v>1.1225999999999701</v>
      </c>
      <c r="AF1974">
        <v>1.2704021436876201</v>
      </c>
      <c r="AG1974">
        <v>-1.1091644491382999</v>
      </c>
      <c r="AH1974">
        <v>25.7579618088375</v>
      </c>
      <c r="AI1974">
        <v>92.462702416757296</v>
      </c>
      <c r="AJ1974">
        <v>87.176416858439893</v>
      </c>
      <c r="AK1974">
        <v>25.813112247992301</v>
      </c>
      <c r="AL1974">
        <v>89.733933131080704</v>
      </c>
      <c r="AM1974">
        <v>91.5292694975887</v>
      </c>
      <c r="AN1974">
        <v>0.99999995623134497</v>
      </c>
    </row>
    <row r="1975" spans="1:40" x14ac:dyDescent="0.3">
      <c r="A1975" t="str">
        <f>"20200111160444256"</f>
        <v>20200111160444256</v>
      </c>
      <c r="B1975" t="str">
        <f>"1578729884252619"</f>
        <v>1578729884252619</v>
      </c>
      <c r="C1975" t="s">
        <v>40</v>
      </c>
      <c r="D1975">
        <v>5.5162040000000001</v>
      </c>
      <c r="E1975">
        <v>0.52948989999999996</v>
      </c>
      <c r="F1975" t="s">
        <v>57</v>
      </c>
      <c r="G1975">
        <v>-389.80930000000001</v>
      </c>
      <c r="H1975" s="1">
        <v>3.6832350000000001E-6</v>
      </c>
      <c r="I1975">
        <v>285.7312</v>
      </c>
      <c r="J1975">
        <v>-366.46859999999998</v>
      </c>
      <c r="K1975">
        <v>1.1091719999999901</v>
      </c>
      <c r="L1975">
        <v>284.70870000000002</v>
      </c>
      <c r="M1975">
        <v>-0.99989159999999999</v>
      </c>
      <c r="N1975">
        <v>0</v>
      </c>
      <c r="O1975">
        <v>-5.296678E-3</v>
      </c>
      <c r="P1975">
        <v>-0.99944630000000001</v>
      </c>
      <c r="Q1975">
        <v>-8.8572849999999995E-3</v>
      </c>
      <c r="R1975">
        <v>-3.2074569999999997E-2</v>
      </c>
      <c r="S1975">
        <v>-3.0046689999999998</v>
      </c>
      <c r="T1975">
        <v>-0.14134749999999999</v>
      </c>
      <c r="U1975">
        <v>0.130188</v>
      </c>
      <c r="V1975">
        <v>-2.6769279999999999E-2</v>
      </c>
      <c r="W1975">
        <v>4.9336390000000001E-3</v>
      </c>
      <c r="X1975">
        <v>0.9996294</v>
      </c>
      <c r="Y1975">
        <v>4.8520149999999998E-2</v>
      </c>
      <c r="Z1975">
        <v>1.389038E-3</v>
      </c>
      <c r="AA1975">
        <v>0.99882130000000002</v>
      </c>
      <c r="AB1975">
        <v>38</v>
      </c>
      <c r="AC1975">
        <v>-23.340699999999998</v>
      </c>
      <c r="AD1975">
        <v>-1.1091683167649899</v>
      </c>
      <c r="AE1975">
        <v>1.02249999999997</v>
      </c>
      <c r="AF1975">
        <v>1.14354805230818</v>
      </c>
      <c r="AG1975">
        <v>-1.1091683167649899</v>
      </c>
      <c r="AH1975">
        <v>23.282479798370101</v>
      </c>
      <c r="AI1975">
        <v>92.724207598850597</v>
      </c>
      <c r="AJ1975">
        <v>87.188105973304204</v>
      </c>
      <c r="AK1975">
        <v>23.336919720999301</v>
      </c>
      <c r="AL1975">
        <v>89.717322142861505</v>
      </c>
      <c r="AM1975">
        <v>91.533968776539595</v>
      </c>
      <c r="AN1975">
        <v>0.999999936244928</v>
      </c>
    </row>
    <row r="1976" spans="1:40" x14ac:dyDescent="0.3">
      <c r="A1976" t="str">
        <f>"20200111160444270"</f>
        <v>20200111160444270</v>
      </c>
      <c r="B1976" t="str">
        <f>"1578729884263355"</f>
        <v>1578729884263355</v>
      </c>
      <c r="C1976" t="s">
        <v>40</v>
      </c>
      <c r="D1976">
        <v>5.5046269999999904</v>
      </c>
      <c r="E1976">
        <v>0.52977240000000003</v>
      </c>
      <c r="F1976" t="s">
        <v>57</v>
      </c>
      <c r="G1976">
        <v>-387.24959999999999</v>
      </c>
      <c r="H1976" s="1">
        <v>2.321075E-6</v>
      </c>
      <c r="I1976">
        <v>285.63459999999998</v>
      </c>
      <c r="J1976">
        <v>-366.71949999999998</v>
      </c>
      <c r="K1976">
        <v>1.1091819999999999</v>
      </c>
      <c r="L1976">
        <v>284.7079</v>
      </c>
      <c r="M1976">
        <v>-0.99989289999999997</v>
      </c>
      <c r="N1976">
        <v>0</v>
      </c>
      <c r="O1976">
        <v>-4.7487980000000003E-3</v>
      </c>
      <c r="P1976">
        <v>-0.99945439999999997</v>
      </c>
      <c r="Q1976">
        <v>-8.9398059999999998E-3</v>
      </c>
      <c r="R1976">
        <v>-3.180086E-2</v>
      </c>
      <c r="S1976">
        <v>-3.004578</v>
      </c>
      <c r="T1976">
        <v>-0.16036739999999999</v>
      </c>
      <c r="U1976">
        <v>0.13388059999999999</v>
      </c>
      <c r="V1976">
        <v>-2.7042879999999998E-2</v>
      </c>
      <c r="W1976">
        <v>4.9598659999999899E-3</v>
      </c>
      <c r="X1976">
        <v>0.99962200000000001</v>
      </c>
      <c r="Y1976">
        <v>4.9182139999999999E-2</v>
      </c>
      <c r="Z1976">
        <v>1.5641380000000001E-3</v>
      </c>
      <c r="AA1976">
        <v>0.99878860000000003</v>
      </c>
      <c r="AB1976">
        <v>38</v>
      </c>
      <c r="AC1976">
        <v>-20.530100000000001</v>
      </c>
      <c r="AD1976">
        <v>-1.1091796789249999</v>
      </c>
      <c r="AE1976">
        <v>0.92669999999998198</v>
      </c>
      <c r="AF1976">
        <v>1.0212174024709599</v>
      </c>
      <c r="AG1976">
        <v>-1.1091796789249999</v>
      </c>
      <c r="AH1976">
        <v>20.465850691688701</v>
      </c>
      <c r="AI1976">
        <v>93.098354588398607</v>
      </c>
      <c r="AJ1976">
        <v>87.1433898133253</v>
      </c>
      <c r="AK1976">
        <v>20.521311095486698</v>
      </c>
      <c r="AL1976">
        <v>89.715819454686795</v>
      </c>
      <c r="AM1976">
        <v>91.549650826585705</v>
      </c>
      <c r="AN1976">
        <v>1.00000003025671</v>
      </c>
    </row>
    <row r="1977" spans="1:40" x14ac:dyDescent="0.3">
      <c r="A1977" t="str">
        <f>"20200111160444287"</f>
        <v>20200111160444287</v>
      </c>
      <c r="B1977" t="str">
        <f>"1578729884282875"</f>
        <v>1578729884282875</v>
      </c>
      <c r="C1977" t="s">
        <v>40</v>
      </c>
      <c r="D1977">
        <v>5.519298</v>
      </c>
      <c r="E1977">
        <v>0.53004779999999996</v>
      </c>
      <c r="F1977" t="s">
        <v>57</v>
      </c>
      <c r="G1977">
        <v>-386.5668</v>
      </c>
      <c r="H1977" s="1">
        <v>1.9577389999999999E-6</v>
      </c>
      <c r="I1977">
        <v>285.6121</v>
      </c>
      <c r="J1977">
        <v>-366.99740000000003</v>
      </c>
      <c r="K1977">
        <v>1.1092010000000001</v>
      </c>
      <c r="L1977">
        <v>284.70710000000003</v>
      </c>
      <c r="M1977">
        <v>-0.99989410000000001</v>
      </c>
      <c r="N1977">
        <v>0</v>
      </c>
      <c r="O1977">
        <v>-4.1467199999999996E-3</v>
      </c>
      <c r="P1977">
        <v>-0.99946710000000005</v>
      </c>
      <c r="Q1977">
        <v>-8.7085830000000006E-3</v>
      </c>
      <c r="R1977">
        <v>-3.1462869999999997E-2</v>
      </c>
      <c r="S1977">
        <v>-3.0044559999999998</v>
      </c>
      <c r="T1977">
        <v>-0.16790639999999901</v>
      </c>
      <c r="U1977">
        <v>0.1368713</v>
      </c>
      <c r="V1977">
        <v>-2.7306420000000001E-2</v>
      </c>
      <c r="W1977">
        <v>5.3007990000000001E-3</v>
      </c>
      <c r="X1977">
        <v>0.99961299999999997</v>
      </c>
      <c r="Y1977">
        <v>4.9567710000000001E-2</v>
      </c>
      <c r="Z1977">
        <v>1.6147399999999999E-3</v>
      </c>
      <c r="AA1977">
        <v>0.99876949999999998</v>
      </c>
      <c r="AB1977">
        <v>38</v>
      </c>
      <c r="AC1977">
        <v>-19.569399999999899</v>
      </c>
      <c r="AD1977">
        <v>-1.1091990422610001</v>
      </c>
      <c r="AE1977">
        <v>0.90499999999997205</v>
      </c>
      <c r="AF1977">
        <v>0.98299764488143504</v>
      </c>
      <c r="AG1977">
        <v>-1.1091990422610001</v>
      </c>
      <c r="AH1977">
        <v>19.502956034416901</v>
      </c>
      <c r="AI1977">
        <v>93.250980147255305</v>
      </c>
      <c r="AJ1977">
        <v>87.114591478964797</v>
      </c>
      <c r="AK1977">
        <v>19.559189680699799</v>
      </c>
      <c r="AL1977">
        <v>89.696285150036303</v>
      </c>
      <c r="AM1977">
        <v>91.564759192260595</v>
      </c>
      <c r="AN1977">
        <v>0.99999994440612505</v>
      </c>
    </row>
    <row r="1978" spans="1:40" x14ac:dyDescent="0.3">
      <c r="A1978" t="str">
        <f>"20200111160444300"</f>
        <v>20200111160444300</v>
      </c>
      <c r="B1978" t="str">
        <f>"1578729884292635"</f>
        <v>1578729884292635</v>
      </c>
      <c r="C1978" t="s">
        <v>40</v>
      </c>
      <c r="D1978">
        <v>5.4622729999999997</v>
      </c>
      <c r="E1978">
        <v>0.53005819999999904</v>
      </c>
      <c r="F1978" t="s">
        <v>42</v>
      </c>
      <c r="G1978">
        <v>-368.02019999999999</v>
      </c>
      <c r="H1978">
        <v>1.0487660000000001</v>
      </c>
      <c r="I1978">
        <v>284.75479999999999</v>
      </c>
      <c r="J1978">
        <v>-367.23410000000001</v>
      </c>
      <c r="K1978">
        <v>1.1092120000000001</v>
      </c>
      <c r="L1978">
        <v>284.70659999999998</v>
      </c>
      <c r="M1978">
        <v>-0.99989499999999998</v>
      </c>
      <c r="N1978">
        <v>0</v>
      </c>
      <c r="O1978">
        <v>-3.6390340000000002E-3</v>
      </c>
      <c r="P1978">
        <v>-0.99949699999999997</v>
      </c>
      <c r="Q1978">
        <v>-8.2950439999999997E-3</v>
      </c>
      <c r="R1978">
        <v>-3.061444E-2</v>
      </c>
      <c r="S1978">
        <v>-3.0044559999999998</v>
      </c>
      <c r="T1978">
        <v>-0.17765359999999999</v>
      </c>
      <c r="U1978">
        <v>0.1394348</v>
      </c>
      <c r="V1978">
        <v>-2.6964579999999998E-2</v>
      </c>
      <c r="W1978">
        <v>5.7971790000000004E-3</v>
      </c>
      <c r="X1978">
        <v>0.99961960000000005</v>
      </c>
      <c r="Y1978">
        <v>4.9901309999999997E-2</v>
      </c>
      <c r="Z1978">
        <v>1.688153E-3</v>
      </c>
      <c r="AA1978">
        <v>0.99875270000000005</v>
      </c>
      <c r="AB1978">
        <v>38</v>
      </c>
      <c r="AC1978">
        <v>-0.78609999999997604</v>
      </c>
      <c r="AD1978">
        <v>-6.0446E-2</v>
      </c>
      <c r="AE1978">
        <v>4.8200000000008403E-2</v>
      </c>
      <c r="AF1978">
        <v>5.07615972780531E-2</v>
      </c>
      <c r="AG1978">
        <v>-6.0446E-2</v>
      </c>
      <c r="AH1978">
        <v>0.78131705175618205</v>
      </c>
      <c r="AI1978">
        <v>94.414562378718301</v>
      </c>
      <c r="AJ1978">
        <v>86.282759410561297</v>
      </c>
      <c r="AK1978">
        <v>0.78529408124548505</v>
      </c>
      <c r="AL1978">
        <v>89.667844256461606</v>
      </c>
      <c r="AM1978">
        <v>91.545169851327401</v>
      </c>
      <c r="AN1978">
        <v>1.00000002028154</v>
      </c>
    </row>
    <row r="1979" spans="1:40" x14ac:dyDescent="0.3">
      <c r="A1979" t="str">
        <f>"20200111160444315"</f>
        <v>20200111160444315</v>
      </c>
      <c r="B1979" t="str">
        <f>"1578729884302396"</f>
        <v>1578729884302396</v>
      </c>
      <c r="C1979" t="s">
        <v>40</v>
      </c>
      <c r="D1979">
        <v>5.5202059999999999</v>
      </c>
      <c r="E1979">
        <v>0.53023699999999996</v>
      </c>
      <c r="F1979" t="s">
        <v>57</v>
      </c>
      <c r="G1979">
        <v>-385.66719999999998</v>
      </c>
      <c r="H1979" s="1">
        <v>1.4790369999999999E-6</v>
      </c>
      <c r="I1979">
        <v>285.57819999999998</v>
      </c>
      <c r="J1979">
        <v>-367.4676</v>
      </c>
      <c r="K1979">
        <v>1.1092280000000001</v>
      </c>
      <c r="L1979">
        <v>284.70620000000002</v>
      </c>
      <c r="M1979">
        <v>-0.99989550000000005</v>
      </c>
      <c r="N1979">
        <v>0</v>
      </c>
      <c r="O1979">
        <v>-3.1446709999999999E-3</v>
      </c>
      <c r="P1979">
        <v>-0.99951509999999999</v>
      </c>
      <c r="Q1979">
        <v>-8.3739360000000002E-3</v>
      </c>
      <c r="R1979">
        <v>-2.9993059999999998E-2</v>
      </c>
      <c r="S1979">
        <v>-3.0043639999999998</v>
      </c>
      <c r="T1979">
        <v>-0.18078730000000001</v>
      </c>
      <c r="U1979">
        <v>0.142059299999999</v>
      </c>
      <c r="V1979">
        <v>-2.6837320000000001E-2</v>
      </c>
      <c r="W1979">
        <v>5.7924109999999999E-3</v>
      </c>
      <c r="X1979">
        <v>0.99962309999999999</v>
      </c>
      <c r="Y1979">
        <v>5.0276380000000002E-2</v>
      </c>
      <c r="Z1979">
        <v>1.699456E-3</v>
      </c>
      <c r="AA1979">
        <v>0.99873389999999995</v>
      </c>
      <c r="AB1979">
        <v>38</v>
      </c>
      <c r="AC1979">
        <v>-18.199599999999901</v>
      </c>
      <c r="AD1979">
        <v>-1.1092265209629999</v>
      </c>
      <c r="AE1979">
        <v>0.87199999999995703</v>
      </c>
      <c r="AF1979">
        <v>0.92580199522780104</v>
      </c>
      <c r="AG1979">
        <v>-1.1092265209629999</v>
      </c>
      <c r="AH1979">
        <v>18.129576952628099</v>
      </c>
      <c r="AI1979">
        <v>93.496633029762407</v>
      </c>
      <c r="AJ1979">
        <v>87.076682445255599</v>
      </c>
      <c r="AK1979">
        <v>18.187057301565801</v>
      </c>
      <c r="AL1979">
        <v>89.668117463127501</v>
      </c>
      <c r="AM1979">
        <v>91.537875512432294</v>
      </c>
      <c r="AN1979">
        <v>1.00000006791179</v>
      </c>
    </row>
    <row r="1980" spans="1:40" x14ac:dyDescent="0.3">
      <c r="A1980" t="str">
        <f>"20200111160444331"</f>
        <v>20200111160444331</v>
      </c>
      <c r="B1980" t="str">
        <f>"1578729884322891"</f>
        <v>1578729884322891</v>
      </c>
      <c r="C1980" t="s">
        <v>40</v>
      </c>
      <c r="D1980">
        <v>5.5167159999999997</v>
      </c>
      <c r="E1980">
        <v>0.53031269999999997</v>
      </c>
      <c r="F1980" t="s">
        <v>57</v>
      </c>
      <c r="G1980">
        <v>-385.46589999999998</v>
      </c>
      <c r="H1980" s="1">
        <v>1.371895E-6</v>
      </c>
      <c r="I1980">
        <v>285.5745</v>
      </c>
      <c r="J1980">
        <v>-367.75560000000002</v>
      </c>
      <c r="K1980">
        <v>1.109251</v>
      </c>
      <c r="L1980">
        <v>284.70589999999999</v>
      </c>
      <c r="M1980">
        <v>-0.99989609999999995</v>
      </c>
      <c r="N1980">
        <v>0</v>
      </c>
      <c r="O1980">
        <v>-2.5469759999999998E-3</v>
      </c>
      <c r="P1980">
        <v>-0.99956330000000004</v>
      </c>
      <c r="Q1980">
        <v>-7.8308560000000006E-3</v>
      </c>
      <c r="R1980">
        <v>-2.8503569999999999E-2</v>
      </c>
      <c r="S1980">
        <v>-3.0042420000000001</v>
      </c>
      <c r="T1980">
        <v>-0.1851498</v>
      </c>
      <c r="U1980">
        <v>0.144928</v>
      </c>
      <c r="V1980">
        <v>-2.594395E-2</v>
      </c>
      <c r="W1980">
        <v>6.417056E-3</v>
      </c>
      <c r="X1980">
        <v>0.99964280000000005</v>
      </c>
      <c r="Y1980">
        <v>5.062854E-2</v>
      </c>
      <c r="Z1980">
        <v>1.7144700000000001E-3</v>
      </c>
      <c r="AA1980">
        <v>0.9987161</v>
      </c>
      <c r="AB1980">
        <v>38</v>
      </c>
      <c r="AC1980">
        <v>-17.710299999999901</v>
      </c>
      <c r="AD1980">
        <v>-1.1092496281049999</v>
      </c>
      <c r="AE1980">
        <v>0.86860000000001403</v>
      </c>
      <c r="AF1980">
        <v>0.91014758570080201</v>
      </c>
      <c r="AG1980">
        <v>-1.1092496281049999</v>
      </c>
      <c r="AH1980">
        <v>17.639000107407099</v>
      </c>
      <c r="AI1980">
        <v>93.593607074906998</v>
      </c>
      <c r="AJ1980">
        <v>87.046237919450306</v>
      </c>
      <c r="AK1980">
        <v>17.6972632956148</v>
      </c>
      <c r="AL1980">
        <v>89.632327249929304</v>
      </c>
      <c r="AM1980">
        <v>91.486676265465206</v>
      </c>
      <c r="AN1980">
        <v>0.99999999737057399</v>
      </c>
    </row>
    <row r="1981" spans="1:40" x14ac:dyDescent="0.3">
      <c r="A1981" t="str">
        <f>"20200111160444354"</f>
        <v>20200111160444354</v>
      </c>
      <c r="B1981" t="str">
        <f>"1578729884342410"</f>
        <v>1578729884342410</v>
      </c>
      <c r="C1981" t="s">
        <v>40</v>
      </c>
      <c r="D1981">
        <v>6.1408310000000004</v>
      </c>
      <c r="E1981">
        <v>0.53042069999999997</v>
      </c>
      <c r="F1981" t="s">
        <v>42</v>
      </c>
      <c r="G1981">
        <v>-368.69940000000003</v>
      </c>
      <c r="H1981">
        <v>1.0493300000000001</v>
      </c>
      <c r="I1981">
        <v>284.75310000000002</v>
      </c>
      <c r="J1981">
        <v>-368.12650000000002</v>
      </c>
      <c r="K1981">
        <v>1.1092850000000001</v>
      </c>
      <c r="L1981">
        <v>284.70569999999998</v>
      </c>
      <c r="M1981">
        <v>-0.99989620000000001</v>
      </c>
      <c r="N1981">
        <v>0</v>
      </c>
      <c r="O1981">
        <v>-1.804204E-3</v>
      </c>
      <c r="P1981">
        <v>-0.99961999999999995</v>
      </c>
      <c r="Q1981">
        <v>-7.7244549999999999E-3</v>
      </c>
      <c r="R1981">
        <v>-2.6468189999999999E-2</v>
      </c>
      <c r="S1981">
        <v>-3.0041199999999999</v>
      </c>
      <c r="T1981">
        <v>-0.1908059</v>
      </c>
      <c r="U1981">
        <v>0.1495667</v>
      </c>
      <c r="V1981">
        <v>-2.4651659999999999E-2</v>
      </c>
      <c r="W1981">
        <v>6.6149399999999997E-3</v>
      </c>
      <c r="X1981">
        <v>0.99967419999999996</v>
      </c>
      <c r="Y1981">
        <v>5.1420680000000003E-2</v>
      </c>
      <c r="Z1981">
        <v>1.7447560000000001E-3</v>
      </c>
      <c r="AA1981">
        <v>0.9986756</v>
      </c>
      <c r="AB1981">
        <v>38</v>
      </c>
      <c r="AC1981">
        <v>-0.57290000000000396</v>
      </c>
      <c r="AD1981">
        <v>-5.9955000000000203E-2</v>
      </c>
      <c r="AE1981">
        <v>4.7400000000038703E-2</v>
      </c>
      <c r="AF1981">
        <v>4.7912487303143403E-2</v>
      </c>
      <c r="AG1981">
        <v>-5.9955000000000203E-2</v>
      </c>
      <c r="AH1981">
        <v>0.56664978803389598</v>
      </c>
      <c r="AI1981">
        <v>96.018453871367498</v>
      </c>
      <c r="AJ1981">
        <v>85.166910544104994</v>
      </c>
      <c r="AK1981">
        <v>0.57182356609660001</v>
      </c>
      <c r="AL1981">
        <v>89.620989086062906</v>
      </c>
      <c r="AM1981">
        <v>91.4126101077442</v>
      </c>
      <c r="AN1981">
        <v>0.99999998395879897</v>
      </c>
    </row>
    <row r="1982" spans="1:40" x14ac:dyDescent="0.3">
      <c r="A1982" t="str">
        <f>"20200111160444369"</f>
        <v>20200111160444369</v>
      </c>
      <c r="B1982" t="str">
        <f>"1578729884362907"</f>
        <v>1578729884362907</v>
      </c>
      <c r="C1982" t="s">
        <v>40</v>
      </c>
      <c r="D1982">
        <v>6.7632139999999996</v>
      </c>
      <c r="E1982">
        <v>0.53053640000000002</v>
      </c>
      <c r="F1982" t="s">
        <v>42</v>
      </c>
      <c r="G1982">
        <v>-369.03919999999999</v>
      </c>
      <c r="H1982">
        <v>1.050578</v>
      </c>
      <c r="I1982">
        <v>284.7534</v>
      </c>
      <c r="J1982">
        <v>-368.39859999999999</v>
      </c>
      <c r="K1982">
        <v>1.1093120000000001</v>
      </c>
      <c r="L1982">
        <v>284.70569999999998</v>
      </c>
      <c r="M1982">
        <v>-0.99989629999999996</v>
      </c>
      <c r="N1982">
        <v>0</v>
      </c>
      <c r="O1982">
        <v>-1.2813739999999901E-3</v>
      </c>
      <c r="P1982">
        <v>-0.99964799999999998</v>
      </c>
      <c r="Q1982">
        <v>-7.5998230000000003E-3</v>
      </c>
      <c r="R1982">
        <v>-2.5433230000000001E-2</v>
      </c>
      <c r="S1982">
        <v>-3.0038149999999999</v>
      </c>
      <c r="T1982">
        <v>-0.19333330000000001</v>
      </c>
      <c r="U1982">
        <v>0.1563416</v>
      </c>
      <c r="V1982">
        <v>-2.4138710000000001E-2</v>
      </c>
      <c r="W1982">
        <v>6.798994E-3</v>
      </c>
      <c r="X1982">
        <v>0.9996855</v>
      </c>
      <c r="Y1982">
        <v>5.3144730000000001E-2</v>
      </c>
      <c r="Z1982">
        <v>1.7896870000000001E-3</v>
      </c>
      <c r="AA1982">
        <v>0.99858519999999995</v>
      </c>
      <c r="AB1982">
        <v>38</v>
      </c>
      <c r="AC1982">
        <v>-0.64060000000000605</v>
      </c>
      <c r="AD1982">
        <v>-5.8734000000000001E-2</v>
      </c>
      <c r="AE1982">
        <v>4.7700000000020198E-2</v>
      </c>
      <c r="AF1982">
        <v>4.8118623894916002E-2</v>
      </c>
      <c r="AG1982">
        <v>-5.8734000000000001E-2</v>
      </c>
      <c r="AH1982">
        <v>0.63522786912297902</v>
      </c>
      <c r="AI1982">
        <v>95.267616882839206</v>
      </c>
      <c r="AJ1982">
        <v>85.668107482062496</v>
      </c>
      <c r="AK1982">
        <v>0.63974958415935002</v>
      </c>
      <c r="AL1982">
        <v>89.610443338027494</v>
      </c>
      <c r="AM1982">
        <v>91.383212527958904</v>
      </c>
      <c r="AN1982">
        <v>1.0000000012750601</v>
      </c>
    </row>
    <row r="1983" spans="1:40" x14ac:dyDescent="0.3">
      <c r="A1983" t="str">
        <f>"20200111160444387"</f>
        <v>20200111160444387</v>
      </c>
      <c r="B1983" t="str">
        <f>"1578729884382426"</f>
        <v>1578729884382426</v>
      </c>
      <c r="C1983" t="s">
        <v>40</v>
      </c>
      <c r="D1983">
        <v>5.5774019999999904</v>
      </c>
      <c r="E1983">
        <v>0.53086809999999995</v>
      </c>
      <c r="F1983" t="s">
        <v>42</v>
      </c>
      <c r="G1983">
        <v>-369.37310000000002</v>
      </c>
      <c r="H1983">
        <v>1.0459400000000001</v>
      </c>
      <c r="I1983">
        <v>284.75799999999998</v>
      </c>
      <c r="J1983">
        <v>-368.69220000000001</v>
      </c>
      <c r="K1983">
        <v>1.1093489999999999</v>
      </c>
      <c r="L1983">
        <v>284.70580000000001</v>
      </c>
      <c r="M1983">
        <v>-0.99989589999999995</v>
      </c>
      <c r="N1983">
        <v>0</v>
      </c>
      <c r="O1983">
        <v>-7.4145729999999896E-4</v>
      </c>
      <c r="P1983">
        <v>-0.99967700000000004</v>
      </c>
      <c r="Q1983">
        <v>-7.4402259999999899E-3</v>
      </c>
      <c r="R1983">
        <v>-2.4304829999999999E-2</v>
      </c>
      <c r="S1983">
        <v>-3.0036320000000001</v>
      </c>
      <c r="T1983">
        <v>-0.1953993</v>
      </c>
      <c r="U1983">
        <v>0.16018679999999999</v>
      </c>
      <c r="V1983">
        <v>-2.3550439999999999E-2</v>
      </c>
      <c r="W1983">
        <v>7.0154739999999998E-3</v>
      </c>
      <c r="X1983">
        <v>0.99969799999999998</v>
      </c>
      <c r="Y1983">
        <v>5.3880690000000002E-2</v>
      </c>
      <c r="Z1983">
        <v>1.7976520000000001E-3</v>
      </c>
      <c r="AA1983">
        <v>0.99854580000000004</v>
      </c>
      <c r="AB1983">
        <v>38</v>
      </c>
      <c r="AC1983">
        <v>-0.68090000000000805</v>
      </c>
      <c r="AD1983">
        <v>-6.3408999999999993E-2</v>
      </c>
      <c r="AE1983">
        <v>5.21999999999707E-2</v>
      </c>
      <c r="AF1983">
        <v>5.22543776354574E-2</v>
      </c>
      <c r="AG1983">
        <v>-6.3408999999999993E-2</v>
      </c>
      <c r="AH1983">
        <v>0.67504113942006305</v>
      </c>
      <c r="AI1983">
        <v>95.350336139358305</v>
      </c>
      <c r="AJ1983">
        <v>85.573608144571494</v>
      </c>
      <c r="AK1983">
        <v>0.68002335340237097</v>
      </c>
      <c r="AL1983">
        <v>89.598039637458001</v>
      </c>
      <c r="AM1983">
        <v>91.349498840080301</v>
      </c>
      <c r="AN1983">
        <v>0.99999996565181803</v>
      </c>
    </row>
    <row r="1984" spans="1:40" x14ac:dyDescent="0.3">
      <c r="A1984" t="str">
        <f>"20200111160444400"</f>
        <v>20200111160444400</v>
      </c>
      <c r="B1984" t="str">
        <f>"1578729884393162"</f>
        <v>1578729884393162</v>
      </c>
      <c r="C1984" t="s">
        <v>40</v>
      </c>
      <c r="D1984">
        <v>5.5460000000000003</v>
      </c>
      <c r="E1984">
        <v>0.53079189999999998</v>
      </c>
      <c r="F1984" t="s">
        <v>42</v>
      </c>
      <c r="G1984">
        <v>-369.71179999999998</v>
      </c>
      <c r="H1984">
        <v>1.046918</v>
      </c>
      <c r="I1984">
        <v>284.76260000000002</v>
      </c>
      <c r="J1984">
        <v>-368.93490000000003</v>
      </c>
      <c r="K1984">
        <v>1.1093740000000001</v>
      </c>
      <c r="L1984">
        <v>284.70600000000002</v>
      </c>
      <c r="M1984">
        <v>-0.99989550000000005</v>
      </c>
      <c r="N1984">
        <v>0</v>
      </c>
      <c r="O1984">
        <v>-3.1824140000000001E-4</v>
      </c>
      <c r="P1984">
        <v>-0.9996929</v>
      </c>
      <c r="Q1984">
        <v>-7.4579640000000001E-3</v>
      </c>
      <c r="R1984">
        <v>-2.3636899999999999E-2</v>
      </c>
      <c r="S1984">
        <v>-3.0036619999999998</v>
      </c>
      <c r="T1984">
        <v>-0.18405279999999999</v>
      </c>
      <c r="U1984">
        <v>0.166687</v>
      </c>
      <c r="V1984">
        <v>-2.3305889999999999E-2</v>
      </c>
      <c r="W1984">
        <v>7.0388380000000004E-3</v>
      </c>
      <c r="X1984">
        <v>0.99970360000000003</v>
      </c>
      <c r="Y1984">
        <v>5.5622520000000002E-2</v>
      </c>
      <c r="Z1984">
        <v>1.7207349999999999E-3</v>
      </c>
      <c r="AA1984">
        <v>0.99845039999999996</v>
      </c>
      <c r="AB1984">
        <v>38</v>
      </c>
      <c r="AC1984">
        <v>-0.77689999999995496</v>
      </c>
      <c r="AD1984">
        <v>-6.2455999999999998E-2</v>
      </c>
      <c r="AE1984">
        <v>5.6600000000059901E-2</v>
      </c>
      <c r="AF1984">
        <v>5.6484148452464501E-2</v>
      </c>
      <c r="AG1984">
        <v>-6.2455999999999998E-2</v>
      </c>
      <c r="AH1984">
        <v>0.77191955345132501</v>
      </c>
      <c r="AI1984">
        <v>94.613443158004699</v>
      </c>
      <c r="AJ1984">
        <v>85.814919241345393</v>
      </c>
      <c r="AK1984">
        <v>0.77649920023326102</v>
      </c>
      <c r="AL1984">
        <v>89.596700959135305</v>
      </c>
      <c r="AM1984">
        <v>91.335483139671894</v>
      </c>
      <c r="AN1984">
        <v>0.99999999880102097</v>
      </c>
    </row>
    <row r="1985" spans="1:40" x14ac:dyDescent="0.3">
      <c r="A1985" t="str">
        <f>"20200111160444414"</f>
        <v>20200111160444414</v>
      </c>
      <c r="B1985" t="str">
        <f>"1578729884402923"</f>
        <v>1578729884402923</v>
      </c>
      <c r="C1985" t="s">
        <v>40</v>
      </c>
      <c r="D1985">
        <v>5.5323270000000004</v>
      </c>
      <c r="E1985">
        <v>0.53079619999999905</v>
      </c>
      <c r="F1985" t="s">
        <v>57</v>
      </c>
      <c r="G1985">
        <v>-386.76580000000001</v>
      </c>
      <c r="H1985" s="1">
        <v>2.0636410000000001E-6</v>
      </c>
      <c r="I1985">
        <v>285.70269999999999</v>
      </c>
      <c r="J1985">
        <v>-369.1583</v>
      </c>
      <c r="K1985">
        <v>1.1094059999999999</v>
      </c>
      <c r="L1985">
        <v>284.7063</v>
      </c>
      <c r="M1985">
        <v>-0.99989510000000004</v>
      </c>
      <c r="N1985">
        <v>0</v>
      </c>
      <c r="O1985" s="1">
        <v>4.9531009999999998E-5</v>
      </c>
      <c r="P1985">
        <v>-0.9997085</v>
      </c>
      <c r="Q1985">
        <v>-7.287951E-3</v>
      </c>
      <c r="R1985">
        <v>-2.3022549999999999E-2</v>
      </c>
      <c r="S1985">
        <v>-3.0035099999999999</v>
      </c>
      <c r="T1985">
        <v>-0.18686710000000001</v>
      </c>
      <c r="U1985">
        <v>0.1678772</v>
      </c>
      <c r="V1985">
        <v>-2.3059409999999999E-2</v>
      </c>
      <c r="W1985">
        <v>7.2429180000000001E-3</v>
      </c>
      <c r="X1985">
        <v>0.99970789999999998</v>
      </c>
      <c r="Y1985">
        <v>5.5649940000000002E-2</v>
      </c>
      <c r="Z1985">
        <v>1.725072E-3</v>
      </c>
      <c r="AA1985">
        <v>0.99844880000000003</v>
      </c>
      <c r="AB1985">
        <v>38</v>
      </c>
      <c r="AC1985">
        <v>-17.607500000000002</v>
      </c>
      <c r="AD1985">
        <v>-1.10940393635899</v>
      </c>
      <c r="AE1985">
        <v>0.99639999999999396</v>
      </c>
      <c r="AF1985">
        <v>0.99160374827536601</v>
      </c>
      <c r="AG1985">
        <v>-1.10940393635899</v>
      </c>
      <c r="AH1985">
        <v>17.5381461921301</v>
      </c>
      <c r="AI1985">
        <v>93.613758861912203</v>
      </c>
      <c r="AJ1985">
        <v>86.763951895839199</v>
      </c>
      <c r="AK1985">
        <v>17.601154136707301</v>
      </c>
      <c r="AL1985">
        <v>89.585007755706997</v>
      </c>
      <c r="AM1985">
        <v>91.321358599889706</v>
      </c>
      <c r="AN1985">
        <v>1.0000000407865499</v>
      </c>
    </row>
    <row r="1986" spans="1:40" x14ac:dyDescent="0.3">
      <c r="A1986" t="str">
        <f>"20200111160444431"</f>
        <v>20200111160444431</v>
      </c>
      <c r="B1986" t="str">
        <f>"1578729884422443"</f>
        <v>1578729884422443</v>
      </c>
      <c r="C1986" t="s">
        <v>40</v>
      </c>
      <c r="D1986">
        <v>5.5610819999999999</v>
      </c>
      <c r="E1986">
        <v>0.53095919999999996</v>
      </c>
      <c r="F1986" t="s">
        <v>57</v>
      </c>
      <c r="G1986">
        <v>-386.77010000000001</v>
      </c>
      <c r="H1986" s="1">
        <v>2.0659189999999999E-6</v>
      </c>
      <c r="I1986">
        <v>285.70060000000001</v>
      </c>
      <c r="J1986">
        <v>-369.44580000000002</v>
      </c>
      <c r="K1986">
        <v>1.10945</v>
      </c>
      <c r="L1986">
        <v>284.70679999999999</v>
      </c>
      <c r="M1986">
        <v>-0.99989419999999996</v>
      </c>
      <c r="N1986">
        <v>0</v>
      </c>
      <c r="O1986">
        <v>4.9774870000000003E-4</v>
      </c>
      <c r="P1986">
        <v>-0.99971920000000003</v>
      </c>
      <c r="Q1986">
        <v>-6.7903529999999998E-3</v>
      </c>
      <c r="R1986">
        <v>-2.2706230000000001E-2</v>
      </c>
      <c r="S1986">
        <v>-3.003387</v>
      </c>
      <c r="T1986">
        <v>-0.18918989999999999</v>
      </c>
      <c r="U1986">
        <v>0.1695557</v>
      </c>
      <c r="V1986">
        <v>-2.3190880000000001E-2</v>
      </c>
      <c r="W1986">
        <v>7.7807750000000002E-3</v>
      </c>
      <c r="X1986">
        <v>0.99970079999999995</v>
      </c>
      <c r="Y1986">
        <v>5.575886E-2</v>
      </c>
      <c r="Z1986">
        <v>1.721754E-3</v>
      </c>
      <c r="AA1986">
        <v>0.99844279999999996</v>
      </c>
      <c r="AB1986">
        <v>38</v>
      </c>
      <c r="AC1986">
        <v>-17.324299999999901</v>
      </c>
      <c r="AD1986">
        <v>-1.109447934081</v>
      </c>
      <c r="AE1986">
        <v>0.993800000000021</v>
      </c>
      <c r="AF1986">
        <v>0.98116513976894904</v>
      </c>
      <c r="AG1986">
        <v>-1.109447934081</v>
      </c>
      <c r="AH1986">
        <v>17.254262859851</v>
      </c>
      <c r="AI1986">
        <v>93.673132289432402</v>
      </c>
      <c r="AJ1986">
        <v>86.745375648335298</v>
      </c>
      <c r="AK1986">
        <v>17.317711932780501</v>
      </c>
      <c r="AL1986">
        <v>89.554189943277606</v>
      </c>
      <c r="AM1986">
        <v>91.328898881860994</v>
      </c>
      <c r="AN1986">
        <v>1.0000000234477</v>
      </c>
    </row>
    <row r="1987" spans="1:40" x14ac:dyDescent="0.3">
      <c r="A1987" t="str">
        <f>"20200111160444453"</f>
        <v>20200111160444453</v>
      </c>
      <c r="B1987" t="str">
        <f>"1578729884442938"</f>
        <v>1578729884442938</v>
      </c>
      <c r="C1987" t="s">
        <v>40</v>
      </c>
      <c r="D1987">
        <v>5.5096059999999998</v>
      </c>
      <c r="E1987">
        <v>0.53094699999999995</v>
      </c>
      <c r="F1987" t="s">
        <v>42</v>
      </c>
      <c r="G1987">
        <v>-370.3879</v>
      </c>
      <c r="H1987">
        <v>1.0485199999999999</v>
      </c>
      <c r="I1987">
        <v>284.76049999999998</v>
      </c>
      <c r="J1987">
        <v>-369.81189999999998</v>
      </c>
      <c r="K1987">
        <v>1.109505</v>
      </c>
      <c r="L1987">
        <v>284.70749999999998</v>
      </c>
      <c r="M1987">
        <v>-0.99989320000000004</v>
      </c>
      <c r="N1987">
        <v>0</v>
      </c>
      <c r="O1987">
        <v>1.0187320000000001E-3</v>
      </c>
      <c r="P1987">
        <v>-0.99973140000000005</v>
      </c>
      <c r="Q1987">
        <v>-6.8027169999999998E-3</v>
      </c>
      <c r="R1987">
        <v>-2.2161130000000001E-2</v>
      </c>
      <c r="S1987">
        <v>-3.0034179999999999</v>
      </c>
      <c r="T1987">
        <v>-0.1941358</v>
      </c>
      <c r="U1987">
        <v>0.17160029999999901</v>
      </c>
      <c r="V1987">
        <v>-2.316752E-2</v>
      </c>
      <c r="W1987">
        <v>7.8122460000000001E-3</v>
      </c>
      <c r="X1987">
        <v>0.99970110000000001</v>
      </c>
      <c r="Y1987">
        <v>5.5910599999999998E-2</v>
      </c>
      <c r="Z1987">
        <v>1.737899E-3</v>
      </c>
      <c r="AA1987">
        <v>0.99843419999999905</v>
      </c>
      <c r="AB1987">
        <v>38</v>
      </c>
      <c r="AC1987">
        <v>-0.57600000000002105</v>
      </c>
      <c r="AD1987">
        <v>-6.0984999999999803E-2</v>
      </c>
      <c r="AE1987">
        <v>5.2999999999997202E-2</v>
      </c>
      <c r="AF1987">
        <v>5.18369132342794E-2</v>
      </c>
      <c r="AG1987">
        <v>-6.0984999999999803E-2</v>
      </c>
      <c r="AH1987">
        <v>0.56972081350943005</v>
      </c>
      <c r="AI1987">
        <v>96.084938751599594</v>
      </c>
      <c r="AJ1987">
        <v>84.801171222082701</v>
      </c>
      <c r="AK1987">
        <v>0.57531560133939097</v>
      </c>
      <c r="AL1987">
        <v>89.552386734742001</v>
      </c>
      <c r="AM1987">
        <v>91.327560372993204</v>
      </c>
      <c r="AN1987">
        <v>1.00000002725586</v>
      </c>
    </row>
    <row r="1988" spans="1:40" x14ac:dyDescent="0.3">
      <c r="A1988" t="str">
        <f>"20200111160444476"</f>
        <v>20200111160444476</v>
      </c>
      <c r="B1988" t="str">
        <f>"1578729884473194"</f>
        <v>1578729884473194</v>
      </c>
      <c r="C1988" t="s">
        <v>40</v>
      </c>
      <c r="D1988">
        <v>5.5555940000000001</v>
      </c>
      <c r="E1988">
        <v>0.52643180000000001</v>
      </c>
      <c r="F1988" t="s">
        <v>42</v>
      </c>
      <c r="G1988">
        <v>-370.7242</v>
      </c>
      <c r="H1988">
        <v>1.048168</v>
      </c>
      <c r="I1988">
        <v>284.76029999999997</v>
      </c>
      <c r="J1988">
        <v>-370.19229999999999</v>
      </c>
      <c r="K1988">
        <v>1.1095649999999999</v>
      </c>
      <c r="L1988">
        <v>284.70839999999998</v>
      </c>
      <c r="M1988">
        <v>-0.99989209999999995</v>
      </c>
      <c r="N1988">
        <v>0</v>
      </c>
      <c r="O1988">
        <v>1.5058440000000001E-3</v>
      </c>
      <c r="P1988">
        <v>-0.9997393</v>
      </c>
      <c r="Q1988">
        <v>-6.7296569999999896E-3</v>
      </c>
      <c r="R1988">
        <v>-2.182388E-2</v>
      </c>
      <c r="S1988">
        <v>-3.0032649999999999</v>
      </c>
      <c r="T1988">
        <v>-0.20208789999999999</v>
      </c>
      <c r="U1988">
        <v>0.17269899999999999</v>
      </c>
      <c r="V1988">
        <v>-2.3318129999999999E-2</v>
      </c>
      <c r="W1988">
        <v>7.923823E-3</v>
      </c>
      <c r="X1988">
        <v>0.99969669999999999</v>
      </c>
      <c r="Y1988">
        <v>5.5782980000000003E-2</v>
      </c>
      <c r="Z1988">
        <v>1.7719999999999999E-3</v>
      </c>
      <c r="AA1988">
        <v>0.99844129999999998</v>
      </c>
      <c r="AB1988">
        <v>38</v>
      </c>
      <c r="AC1988">
        <v>-0.53190000000000703</v>
      </c>
      <c r="AD1988">
        <v>-6.1396999999999903E-2</v>
      </c>
      <c r="AE1988">
        <v>5.1899999999989101E-2</v>
      </c>
      <c r="AF1988">
        <v>5.04332622736429E-2</v>
      </c>
      <c r="AG1988">
        <v>-6.1396999999999903E-2</v>
      </c>
      <c r="AH1988">
        <v>0.52504780341051804</v>
      </c>
      <c r="AI1988">
        <v>96.639366099130598</v>
      </c>
      <c r="AJ1988">
        <v>84.513309191056607</v>
      </c>
      <c r="AK1988">
        <v>0.53102570692836704</v>
      </c>
      <c r="AL1988">
        <v>89.545993636671199</v>
      </c>
      <c r="AM1988">
        <v>91.336193485812004</v>
      </c>
      <c r="AN1988">
        <v>1.0000000070742601</v>
      </c>
    </row>
    <row r="1989" spans="1:40" x14ac:dyDescent="0.3">
      <c r="A1989" t="str">
        <f>"20200111160444490"</f>
        <v>20200111160444490</v>
      </c>
      <c r="B1989" t="str">
        <f>"1578729884482955"</f>
        <v>1578729884482955</v>
      </c>
      <c r="C1989" t="s">
        <v>40</v>
      </c>
      <c r="D1989">
        <v>6.4015360000000001</v>
      </c>
      <c r="E1989">
        <v>0.52611149999999995</v>
      </c>
      <c r="F1989" t="s">
        <v>64</v>
      </c>
      <c r="G1989">
        <v>-617.97500000000002</v>
      </c>
      <c r="H1989">
        <v>-0.1</v>
      </c>
      <c r="I1989">
        <v>296.73110000000003</v>
      </c>
      <c r="J1989">
        <v>-370.43770000000001</v>
      </c>
      <c r="K1989">
        <v>1.1096010000000001</v>
      </c>
      <c r="L1989">
        <v>284.709</v>
      </c>
      <c r="M1989">
        <v>-0.99989110000000003</v>
      </c>
      <c r="N1989">
        <v>0</v>
      </c>
      <c r="O1989">
        <v>1.794372E-3</v>
      </c>
      <c r="P1989">
        <v>-0.99974090000000004</v>
      </c>
      <c r="Q1989">
        <v>-6.8285890000000004E-3</v>
      </c>
      <c r="R1989">
        <v>-2.172197E-2</v>
      </c>
      <c r="S1989">
        <v>-3.003876</v>
      </c>
      <c r="T1989">
        <v>-1.4663580000000001E-2</v>
      </c>
      <c r="U1989">
        <v>0.14575199999999999</v>
      </c>
      <c r="V1989">
        <v>-2.350549E-2</v>
      </c>
      <c r="W1989">
        <v>7.84657699999999E-3</v>
      </c>
      <c r="X1989">
        <v>0.9996929</v>
      </c>
      <c r="Y1989">
        <v>4.6671219999999999E-2</v>
      </c>
      <c r="Z1989">
        <v>1.050914E-4</v>
      </c>
      <c r="AA1989">
        <v>0.99891030000000003</v>
      </c>
      <c r="AB1989">
        <v>38</v>
      </c>
      <c r="AC1989">
        <v>-247.53729999999999</v>
      </c>
      <c r="AD1989">
        <v>-1.2096009999999999</v>
      </c>
      <c r="AE1989">
        <v>12.0221</v>
      </c>
      <c r="AF1989">
        <v>11.5775831788491</v>
      </c>
      <c r="AG1989">
        <v>-1.2096009999999999</v>
      </c>
      <c r="AH1989">
        <v>247.55257862288499</v>
      </c>
      <c r="AI1989">
        <v>90.279652964201603</v>
      </c>
      <c r="AJ1989">
        <v>87.322331874884895</v>
      </c>
      <c r="AK1989">
        <v>247.826113938144</v>
      </c>
      <c r="AL1989">
        <v>89.550419634356103</v>
      </c>
      <c r="AM1989">
        <v>91.346930911842804</v>
      </c>
      <c r="AN1989">
        <v>0.99999998557058301</v>
      </c>
    </row>
    <row r="1990" spans="1:40" x14ac:dyDescent="0.3">
      <c r="A1990" t="str">
        <f>"20200111160444510"</f>
        <v>20200111160444510</v>
      </c>
      <c r="B1990" t="str">
        <f>"1578729884502475"</f>
        <v>1578729884502475</v>
      </c>
      <c r="C1990" t="s">
        <v>40</v>
      </c>
      <c r="D1990">
        <v>5.6179509999999997</v>
      </c>
      <c r="E1990">
        <v>0.52593159999999906</v>
      </c>
      <c r="F1990" t="s">
        <v>64</v>
      </c>
      <c r="G1990">
        <v>-580.15030000000002</v>
      </c>
      <c r="H1990">
        <v>-0.1</v>
      </c>
      <c r="I1990">
        <v>294.71010000000001</v>
      </c>
      <c r="J1990">
        <v>-370.76339999999999</v>
      </c>
      <c r="K1990">
        <v>1.1096349999999999</v>
      </c>
      <c r="L1990">
        <v>284.70999999999998</v>
      </c>
      <c r="M1990">
        <v>-0.9998901</v>
      </c>
      <c r="N1990">
        <v>0</v>
      </c>
      <c r="O1990">
        <v>2.150285E-3</v>
      </c>
      <c r="P1990">
        <v>-0.99974830000000003</v>
      </c>
      <c r="Q1990">
        <v>-7.05041E-3</v>
      </c>
      <c r="R1990">
        <v>-2.1293820000000001E-2</v>
      </c>
      <c r="S1990">
        <v>-3.003784</v>
      </c>
      <c r="T1990">
        <v>-1.7325520000000001E-2</v>
      </c>
      <c r="U1990">
        <v>0.1432495</v>
      </c>
      <c r="V1990">
        <v>-2.34345E-2</v>
      </c>
      <c r="W1990">
        <v>7.6501249999999998E-3</v>
      </c>
      <c r="X1990">
        <v>0.99969609999999998</v>
      </c>
      <c r="Y1990">
        <v>4.5486650000000003E-2</v>
      </c>
      <c r="Z1990">
        <v>1.187089E-4</v>
      </c>
      <c r="AA1990">
        <v>0.99896499999999999</v>
      </c>
      <c r="AB1990">
        <v>38</v>
      </c>
      <c r="AC1990">
        <v>-209.3869</v>
      </c>
      <c r="AD1990">
        <v>-1.209635</v>
      </c>
      <c r="AE1990">
        <v>10.0001</v>
      </c>
      <c r="AF1990">
        <v>9.5494689404004198</v>
      </c>
      <c r="AG1990">
        <v>-1.209635</v>
      </c>
      <c r="AH1990">
        <v>209.40094853431401</v>
      </c>
      <c r="AI1990">
        <v>90.330630092705206</v>
      </c>
      <c r="AJ1990">
        <v>87.388906572520199</v>
      </c>
      <c r="AK1990">
        <v>209.622071406966</v>
      </c>
      <c r="AL1990">
        <v>89.561675847606594</v>
      </c>
      <c r="AM1990">
        <v>91.342860179401995</v>
      </c>
      <c r="AN1990">
        <v>0.99999999627898695</v>
      </c>
    </row>
    <row r="1991" spans="1:40" x14ac:dyDescent="0.3">
      <c r="A1991" t="str">
        <f>"20200111160444531"</f>
        <v>20200111160444531</v>
      </c>
      <c r="B1991" t="str">
        <f>"1578729884522970"</f>
        <v>1578729884522970</v>
      </c>
      <c r="C1991" t="s">
        <v>40</v>
      </c>
      <c r="D1991">
        <v>5.5989519999999997</v>
      </c>
      <c r="E1991">
        <v>0.53106249999999999</v>
      </c>
      <c r="F1991" t="s">
        <v>44</v>
      </c>
      <c r="G1991">
        <v>-534.98490000000004</v>
      </c>
      <c r="H1991">
        <v>-0.05</v>
      </c>
      <c r="I1991">
        <v>292.53519999999997</v>
      </c>
      <c r="J1991">
        <v>-371.13130000000001</v>
      </c>
      <c r="K1991">
        <v>1.109677</v>
      </c>
      <c r="L1991">
        <v>284.71109999999999</v>
      </c>
      <c r="M1991">
        <v>-0.99988889999999997</v>
      </c>
      <c r="N1991">
        <v>0</v>
      </c>
      <c r="O1991">
        <v>2.5233289999999999E-3</v>
      </c>
      <c r="P1991">
        <v>-0.99975570000000002</v>
      </c>
      <c r="Q1991">
        <v>-7.0488169999999998E-3</v>
      </c>
      <c r="R1991">
        <v>-2.0951350000000001E-2</v>
      </c>
      <c r="S1991">
        <v>-3.0036930000000002</v>
      </c>
      <c r="T1991">
        <v>-2.121031E-2</v>
      </c>
      <c r="U1991">
        <v>0.14312739999999999</v>
      </c>
      <c r="V1991">
        <v>-2.346548E-2</v>
      </c>
      <c r="W1991">
        <v>7.6758750000000004E-3</v>
      </c>
      <c r="X1991">
        <v>0.99969520000000001</v>
      </c>
      <c r="Y1991">
        <v>4.5074540000000003E-2</v>
      </c>
      <c r="Z1991">
        <v>1.412432E-4</v>
      </c>
      <c r="AA1991">
        <v>0.99898359999999997</v>
      </c>
      <c r="AB1991">
        <v>38</v>
      </c>
      <c r="AC1991">
        <v>-163.8536</v>
      </c>
      <c r="AD1991">
        <v>-1.1596770000000001</v>
      </c>
      <c r="AE1991">
        <v>7.8240999999999801</v>
      </c>
      <c r="AF1991">
        <v>7.4102035796262298</v>
      </c>
      <c r="AG1991">
        <v>-1.1596770000000001</v>
      </c>
      <c r="AH1991">
        <v>163.864633636463</v>
      </c>
      <c r="AI1991">
        <v>90.405063956386201</v>
      </c>
      <c r="AJ1991">
        <v>87.410763259750695</v>
      </c>
      <c r="AK1991">
        <v>164.03619760482201</v>
      </c>
      <c r="AL1991">
        <v>89.560200448548002</v>
      </c>
      <c r="AM1991">
        <v>91.344635975898498</v>
      </c>
      <c r="AN1991">
        <v>1.0000000203558399</v>
      </c>
    </row>
    <row r="1992" spans="1:40" x14ac:dyDescent="0.3">
      <c r="A1992" t="str">
        <f>"20200111160444546"</f>
        <v>20200111160444546</v>
      </c>
      <c r="B1992" t="str">
        <f>"1578729884542490"</f>
        <v>1578729884542490</v>
      </c>
      <c r="C1992" t="s">
        <v>40</v>
      </c>
      <c r="D1992">
        <v>5.568937</v>
      </c>
      <c r="E1992">
        <v>0.53085729999999998</v>
      </c>
      <c r="F1992" t="s">
        <v>42</v>
      </c>
      <c r="G1992">
        <v>-372.0478</v>
      </c>
      <c r="H1992">
        <v>1.0150079999999999</v>
      </c>
      <c r="I1992">
        <v>284.76420000000002</v>
      </c>
      <c r="J1992">
        <v>-371.3655</v>
      </c>
      <c r="K1992">
        <v>1.109704</v>
      </c>
      <c r="L1992">
        <v>284.71190000000001</v>
      </c>
      <c r="M1992">
        <v>-0.99988809999999995</v>
      </c>
      <c r="N1992">
        <v>0</v>
      </c>
      <c r="O1992">
        <v>2.7503419999999998E-3</v>
      </c>
      <c r="P1992">
        <v>-0.99975749999999997</v>
      </c>
      <c r="Q1992">
        <v>-7.2752440000000002E-3</v>
      </c>
      <c r="R1992">
        <v>-2.078882E-2</v>
      </c>
      <c r="S1992">
        <v>-3.002167</v>
      </c>
      <c r="T1992">
        <v>-0.31027280000000002</v>
      </c>
      <c r="U1992">
        <v>0.1729126</v>
      </c>
      <c r="V1992">
        <v>-2.3530349999999998E-2</v>
      </c>
      <c r="W1992">
        <v>7.4632119999999899E-3</v>
      </c>
      <c r="X1992">
        <v>0.99969520000000001</v>
      </c>
      <c r="Y1992">
        <v>5.4479720000000002E-2</v>
      </c>
      <c r="Z1992">
        <v>2.5221620000000001E-3</v>
      </c>
      <c r="AA1992">
        <v>0.9985117</v>
      </c>
      <c r="AB1992">
        <v>38</v>
      </c>
      <c r="AC1992">
        <v>-0.68229999999999702</v>
      </c>
      <c r="AD1992">
        <v>-9.46960000000001E-2</v>
      </c>
      <c r="AE1992">
        <v>5.23000000000024E-2</v>
      </c>
      <c r="AF1992">
        <v>4.94755845968219E-2</v>
      </c>
      <c r="AG1992">
        <v>-9.46960000000001E-2</v>
      </c>
      <c r="AH1992">
        <v>0.66961810613019102</v>
      </c>
      <c r="AI1992">
        <v>98.027677929487893</v>
      </c>
      <c r="AJ1992">
        <v>85.774306975099293</v>
      </c>
      <c r="AK1992">
        <v>0.67808817564132595</v>
      </c>
      <c r="AL1992">
        <v>89.572385453234503</v>
      </c>
      <c r="AM1992">
        <v>91.348351833363907</v>
      </c>
      <c r="AN1992">
        <v>0.99999993490375705</v>
      </c>
    </row>
    <row r="1993" spans="1:40" x14ac:dyDescent="0.3">
      <c r="A1993" t="str">
        <f>"20200111160444565"</f>
        <v>20200111160444565</v>
      </c>
      <c r="B1993" t="str">
        <f>"1578729884562987"</f>
        <v>1578729884562987</v>
      </c>
      <c r="C1993" t="s">
        <v>40</v>
      </c>
      <c r="D1993">
        <v>5.6331930000000003</v>
      </c>
      <c r="E1993">
        <v>0.53038699999999905</v>
      </c>
      <c r="F1993" t="s">
        <v>42</v>
      </c>
      <c r="G1993">
        <v>-372.37700000000001</v>
      </c>
      <c r="H1993">
        <v>1.0041070000000001</v>
      </c>
      <c r="I1993">
        <v>284.76990000000001</v>
      </c>
      <c r="J1993">
        <v>-371.69749999999999</v>
      </c>
      <c r="K1993">
        <v>1.1097379999999999</v>
      </c>
      <c r="L1993">
        <v>284.7131</v>
      </c>
      <c r="M1993">
        <v>-0.99988679999999996</v>
      </c>
      <c r="N1993">
        <v>0</v>
      </c>
      <c r="O1993">
        <v>3.059717E-3</v>
      </c>
      <c r="P1993">
        <v>-0.99976050000000005</v>
      </c>
      <c r="Q1993">
        <v>-7.1880690000000001E-3</v>
      </c>
      <c r="R1993">
        <v>-2.0680270000000001E-2</v>
      </c>
      <c r="S1993">
        <v>-3.002014</v>
      </c>
      <c r="T1993">
        <v>-0.31342769999999998</v>
      </c>
      <c r="U1993">
        <v>0.17175289999999999</v>
      </c>
      <c r="V1993">
        <v>-2.373101E-2</v>
      </c>
      <c r="W1993">
        <v>7.5671590000000004E-3</v>
      </c>
      <c r="X1993">
        <v>0.99968979999999996</v>
      </c>
      <c r="Y1993">
        <v>5.3789009999999998E-2</v>
      </c>
      <c r="Z1993">
        <v>2.4797069999999998E-3</v>
      </c>
      <c r="AA1993">
        <v>0.99854920000000003</v>
      </c>
      <c r="AB1993">
        <v>37</v>
      </c>
      <c r="AC1993">
        <v>-0.67949999999996102</v>
      </c>
      <c r="AD1993">
        <v>-0.105631</v>
      </c>
      <c r="AE1993">
        <v>5.6800000000009697E-2</v>
      </c>
      <c r="AF1993">
        <v>5.3438011269985999E-2</v>
      </c>
      <c r="AG1993">
        <v>-0.105631</v>
      </c>
      <c r="AH1993">
        <v>0.66374197489828901</v>
      </c>
      <c r="AI1993">
        <v>99.013802284887802</v>
      </c>
      <c r="AJ1993">
        <v>85.397032471166497</v>
      </c>
      <c r="AK1993">
        <v>0.67421579516603702</v>
      </c>
      <c r="AL1993">
        <v>89.566429614272593</v>
      </c>
      <c r="AM1993">
        <v>91.359853230177805</v>
      </c>
      <c r="AN1993">
        <v>1.00000005947749</v>
      </c>
    </row>
    <row r="1994" spans="1:40" x14ac:dyDescent="0.3">
      <c r="A1994" t="str">
        <f>"20200111160444588"</f>
        <v>20200111160444588</v>
      </c>
      <c r="B1994" t="str">
        <f>"1578729884582506"</f>
        <v>1578729884582506</v>
      </c>
      <c r="C1994" t="s">
        <v>40</v>
      </c>
      <c r="D1994">
        <v>5.7174719999999999</v>
      </c>
      <c r="E1994">
        <v>0.52901229999999999</v>
      </c>
      <c r="F1994" t="s">
        <v>42</v>
      </c>
      <c r="G1994">
        <v>-372.71129999999999</v>
      </c>
      <c r="H1994">
        <v>1.0041249999999999</v>
      </c>
      <c r="I1994">
        <v>284.77030000000002</v>
      </c>
      <c r="J1994">
        <v>-372.07409999999999</v>
      </c>
      <c r="K1994">
        <v>1.1097649999999999</v>
      </c>
      <c r="L1994">
        <v>284.71469999999999</v>
      </c>
      <c r="M1994">
        <v>-0.99988549999999998</v>
      </c>
      <c r="N1994">
        <v>0</v>
      </c>
      <c r="O1994">
        <v>3.4009159999999999E-3</v>
      </c>
      <c r="P1994">
        <v>-0.99976620000000005</v>
      </c>
      <c r="Q1994">
        <v>-7.3219819999999899E-3</v>
      </c>
      <c r="R1994">
        <v>-2.0348680000000001E-2</v>
      </c>
      <c r="S1994">
        <v>-3.0019230000000001</v>
      </c>
      <c r="T1994">
        <v>-0.31284250000000002</v>
      </c>
      <c r="U1994">
        <v>0.16833499999999901</v>
      </c>
      <c r="V1994">
        <v>-2.3741519999999999E-2</v>
      </c>
      <c r="W1994">
        <v>7.4493839999999999E-3</v>
      </c>
      <c r="X1994">
        <v>0.99969039999999998</v>
      </c>
      <c r="Y1994">
        <v>5.2327360000000003E-2</v>
      </c>
      <c r="Z1994">
        <v>2.363923E-3</v>
      </c>
      <c r="AA1994">
        <v>0.99862720000000005</v>
      </c>
      <c r="AB1994">
        <v>37</v>
      </c>
      <c r="AC1994">
        <v>-0.63720000000000698</v>
      </c>
      <c r="AD1994">
        <v>-0.105639999999999</v>
      </c>
      <c r="AE1994">
        <v>5.5600000000026698E-2</v>
      </c>
      <c r="AF1994">
        <v>5.2013557693019803E-2</v>
      </c>
      <c r="AG1994">
        <v>-0.105639999999999</v>
      </c>
      <c r="AH1994">
        <v>0.62046055546065104</v>
      </c>
      <c r="AI1994">
        <v>99.629417064750001</v>
      </c>
      <c r="AJ1994">
        <v>85.208066790528903</v>
      </c>
      <c r="AK1994">
        <v>0.631535051019676</v>
      </c>
      <c r="AL1994">
        <v>89.573177799581003</v>
      </c>
      <c r="AM1994">
        <v>91.360454440056898</v>
      </c>
      <c r="AN1994">
        <v>1.0000000244730201</v>
      </c>
    </row>
    <row r="1995" spans="1:40" x14ac:dyDescent="0.3">
      <c r="A1995" t="str">
        <f>"20200111160444601"</f>
        <v>20200111160444601</v>
      </c>
      <c r="B1995" t="str">
        <f>"1578729884593242"</f>
        <v>1578729884593242</v>
      </c>
      <c r="C1995" t="s">
        <v>40</v>
      </c>
      <c r="D1995">
        <v>5.6206779999999998</v>
      </c>
      <c r="E1995">
        <v>0.52901229999999999</v>
      </c>
      <c r="F1995" t="s">
        <v>61</v>
      </c>
      <c r="G1995">
        <v>-407.22190000000001</v>
      </c>
      <c r="H1995" s="1">
        <v>4.7748459999999996E-6</v>
      </c>
      <c r="I1995">
        <v>286.6721</v>
      </c>
      <c r="J1995">
        <v>-372.2944</v>
      </c>
      <c r="K1995">
        <v>1.1097779999999999</v>
      </c>
      <c r="L1995">
        <v>284.71559999999999</v>
      </c>
      <c r="M1995">
        <v>-0.99988469999999996</v>
      </c>
      <c r="N1995">
        <v>0</v>
      </c>
      <c r="O1995">
        <v>3.5986350000000002E-3</v>
      </c>
      <c r="P1995">
        <v>-0.99977609999999995</v>
      </c>
      <c r="Q1995">
        <v>-7.2387750000000002E-3</v>
      </c>
      <c r="R1995">
        <v>-1.9887559999999999E-2</v>
      </c>
      <c r="S1995">
        <v>-3.003387</v>
      </c>
      <c r="T1995">
        <v>-9.4829319999999995E-2</v>
      </c>
      <c r="U1995">
        <v>0.16726679999999999</v>
      </c>
      <c r="V1995">
        <v>-2.3478369999999998E-2</v>
      </c>
      <c r="W1995">
        <v>7.54045699999999E-3</v>
      </c>
      <c r="X1995">
        <v>0.99969589999999997</v>
      </c>
      <c r="Y1995">
        <v>5.1988699999999902E-2</v>
      </c>
      <c r="Z1995">
        <v>7.0639270000000004E-4</v>
      </c>
      <c r="AA1995">
        <v>0.99864750000000002</v>
      </c>
      <c r="AB1995">
        <v>37</v>
      </c>
      <c r="AC1995">
        <v>-34.927500000000002</v>
      </c>
      <c r="AD1995">
        <v>-1.109773225154</v>
      </c>
      <c r="AE1995">
        <v>1.9564999999999999</v>
      </c>
      <c r="AF1995">
        <v>1.82894166851024</v>
      </c>
      <c r="AG1995">
        <v>-1.109773225154</v>
      </c>
      <c r="AH1995">
        <v>34.899192556892501</v>
      </c>
      <c r="AI1995">
        <v>91.818863096356097</v>
      </c>
      <c r="AJ1995">
        <v>87.000077789493204</v>
      </c>
      <c r="AK1995">
        <v>34.96470027558</v>
      </c>
      <c r="AL1995">
        <v>89.567959540761507</v>
      </c>
      <c r="AM1995">
        <v>91.345373394936502</v>
      </c>
      <c r="AN1995">
        <v>0.99999999241321702</v>
      </c>
    </row>
    <row r="1996" spans="1:40" x14ac:dyDescent="0.3">
      <c r="A1996" t="str">
        <f>"20200111160444614"</f>
        <v>20200111160444614</v>
      </c>
      <c r="B1996" t="str">
        <f>"1578729884603003"</f>
        <v>1578729884603003</v>
      </c>
      <c r="C1996" t="s">
        <v>40</v>
      </c>
      <c r="D1996">
        <v>7.7912509999999902</v>
      </c>
      <c r="E1996">
        <v>0.529389</v>
      </c>
      <c r="F1996" t="s">
        <v>61</v>
      </c>
      <c r="G1996">
        <v>-407.5317</v>
      </c>
      <c r="H1996" s="1">
        <v>4.6325379999999999E-6</v>
      </c>
      <c r="I1996">
        <v>286.69600000000003</v>
      </c>
      <c r="J1996">
        <v>-372.51249999999999</v>
      </c>
      <c r="K1996">
        <v>1.1097889999999999</v>
      </c>
      <c r="L1996">
        <v>284.71660000000003</v>
      </c>
      <c r="M1996">
        <v>-0.99988379999999999</v>
      </c>
      <c r="N1996">
        <v>0</v>
      </c>
      <c r="O1996">
        <v>3.7937629999999999E-3</v>
      </c>
      <c r="P1996">
        <v>-0.99978330000000004</v>
      </c>
      <c r="Q1996">
        <v>-7.3954440000000001E-3</v>
      </c>
      <c r="R1996">
        <v>-1.945527E-2</v>
      </c>
      <c r="S1996">
        <v>-3.0033569999999998</v>
      </c>
      <c r="T1996">
        <v>-9.4588519999999995E-2</v>
      </c>
      <c r="U1996">
        <v>0.16879269999999999</v>
      </c>
      <c r="V1996">
        <v>-2.3241479999999998E-2</v>
      </c>
      <c r="W1996">
        <v>7.3907340000000004E-3</v>
      </c>
      <c r="X1996">
        <v>0.9997026</v>
      </c>
      <c r="Y1996">
        <v>5.2300230000000003E-2</v>
      </c>
      <c r="Z1996">
        <v>7.0335809999999999E-4</v>
      </c>
      <c r="AA1996">
        <v>0.99863120000000005</v>
      </c>
      <c r="AB1996">
        <v>37</v>
      </c>
      <c r="AC1996">
        <v>-35.019199999999998</v>
      </c>
      <c r="AD1996">
        <v>-1.1097843674619901</v>
      </c>
      <c r="AE1996">
        <v>1.9793999999999401</v>
      </c>
      <c r="AF1996">
        <v>1.8446700164530501</v>
      </c>
      <c r="AG1996">
        <v>-1.1097843674619901</v>
      </c>
      <c r="AH1996">
        <v>34.9914280483098</v>
      </c>
      <c r="AI1996">
        <v>91.814060495551601</v>
      </c>
      <c r="AJ1996">
        <v>86.982287840788899</v>
      </c>
      <c r="AK1996">
        <v>35.0575878473107</v>
      </c>
      <c r="AL1996">
        <v>89.576538295585607</v>
      </c>
      <c r="AM1996">
        <v>91.331794955724106</v>
      </c>
      <c r="AN1996">
        <v>1.0000000388942001</v>
      </c>
    </row>
    <row r="1997" spans="1:40" x14ac:dyDescent="0.3">
      <c r="A1997" t="str">
        <f>"20200111160444629"</f>
        <v>20200111160444629</v>
      </c>
      <c r="B1997" t="str">
        <f>"1578729884622522"</f>
        <v>1578729884622522</v>
      </c>
      <c r="C1997" t="s">
        <v>40</v>
      </c>
      <c r="D1997">
        <v>5.6124349999999996</v>
      </c>
      <c r="E1997">
        <v>0.52977200000000002</v>
      </c>
      <c r="F1997" t="s">
        <v>61</v>
      </c>
      <c r="G1997">
        <v>-413.8372</v>
      </c>
      <c r="H1997" s="1">
        <v>2.668778E-6</v>
      </c>
      <c r="I1997">
        <v>287.10579999999999</v>
      </c>
      <c r="J1997">
        <v>-372.76159999999999</v>
      </c>
      <c r="K1997">
        <v>1.109799</v>
      </c>
      <c r="L1997">
        <v>284.71769999999998</v>
      </c>
      <c r="M1997">
        <v>-0.99988290000000002</v>
      </c>
      <c r="N1997">
        <v>0</v>
      </c>
      <c r="O1997">
        <v>4.0165409999999898E-3</v>
      </c>
      <c r="P1997">
        <v>-0.9997897</v>
      </c>
      <c r="Q1997">
        <v>-7.5363369999999997E-3</v>
      </c>
      <c r="R1997">
        <v>-1.9083030000000001E-2</v>
      </c>
      <c r="S1997">
        <v>-3.0034179999999999</v>
      </c>
      <c r="T1997">
        <v>-8.0657480000000004E-2</v>
      </c>
      <c r="U1997">
        <v>0.17364499999999999</v>
      </c>
      <c r="V1997">
        <v>-2.3091819999999999E-2</v>
      </c>
      <c r="W1997">
        <v>7.2576999999999997E-3</v>
      </c>
      <c r="X1997">
        <v>0.99970700000000001</v>
      </c>
      <c r="Y1997">
        <v>5.369082E-2</v>
      </c>
      <c r="Z1997">
        <v>6.1244459999999995E-4</v>
      </c>
      <c r="AA1997">
        <v>0.99855740000000004</v>
      </c>
      <c r="AB1997">
        <v>37</v>
      </c>
      <c r="AC1997">
        <v>-41.075600000000001</v>
      </c>
      <c r="AD1997">
        <v>-1.1097963312220001</v>
      </c>
      <c r="AE1997">
        <v>2.3881000000000001</v>
      </c>
      <c r="AF1997">
        <v>2.2214647198288602</v>
      </c>
      <c r="AG1997">
        <v>-1.1097963312220001</v>
      </c>
      <c r="AH1997">
        <v>41.054992647258103</v>
      </c>
      <c r="AI1997">
        <v>91.546178586737994</v>
      </c>
      <c r="AJ1997">
        <v>86.902774950283401</v>
      </c>
      <c r="AK1997">
        <v>41.1300252208123</v>
      </c>
      <c r="AL1997">
        <v>89.584160768686402</v>
      </c>
      <c r="AM1997">
        <v>91.323216300358595</v>
      </c>
      <c r="AN1997">
        <v>0.999999996104601</v>
      </c>
    </row>
    <row r="1998" spans="1:40" x14ac:dyDescent="0.3">
      <c r="A1998" t="str">
        <f>"20200111160444643"</f>
        <v>20200111160444643</v>
      </c>
      <c r="B1998" t="str">
        <f>"1578729884633258"</f>
        <v>1578729884633258</v>
      </c>
      <c r="C1998" t="s">
        <v>40</v>
      </c>
      <c r="D1998">
        <v>5.6055299999999999</v>
      </c>
      <c r="E1998">
        <v>0.52890490000000001</v>
      </c>
      <c r="F1998" t="s">
        <v>61</v>
      </c>
      <c r="G1998">
        <v>-410.22750000000002</v>
      </c>
      <c r="H1998" s="1">
        <v>2.0435800000000001E-6</v>
      </c>
      <c r="I1998">
        <v>286.93299999999999</v>
      </c>
      <c r="J1998">
        <v>-372.99299999999999</v>
      </c>
      <c r="K1998">
        <v>1.1098049999999999</v>
      </c>
      <c r="L1998">
        <v>284.71879999999999</v>
      </c>
      <c r="M1998">
        <v>-0.99988189999999999</v>
      </c>
      <c r="N1998">
        <v>0</v>
      </c>
      <c r="O1998">
        <v>4.2240929999999999E-3</v>
      </c>
      <c r="P1998">
        <v>-0.99979249999999997</v>
      </c>
      <c r="Q1998">
        <v>-7.6230500000000001E-3</v>
      </c>
      <c r="R1998">
        <v>-1.8901999999999999E-2</v>
      </c>
      <c r="S1998">
        <v>-3.0033569999999998</v>
      </c>
      <c r="T1998">
        <v>-8.8963990000000007E-2</v>
      </c>
      <c r="U1998">
        <v>0.17758180000000001</v>
      </c>
      <c r="V1998">
        <v>-2.3118530000000002E-2</v>
      </c>
      <c r="W1998">
        <v>7.1766399999999998E-3</v>
      </c>
      <c r="X1998">
        <v>0.99970700000000001</v>
      </c>
      <c r="Y1998">
        <v>5.4784859999999998E-2</v>
      </c>
      <c r="Z1998">
        <v>6.8552309999999998E-4</v>
      </c>
      <c r="AA1998">
        <v>0.998498</v>
      </c>
      <c r="AB1998">
        <v>37</v>
      </c>
      <c r="AC1998">
        <v>-37.234499999999898</v>
      </c>
      <c r="AD1998">
        <v>-1.10980295641999</v>
      </c>
      <c r="AE1998">
        <v>2.2141999999999999</v>
      </c>
      <c r="AF1998">
        <v>2.05506182670005</v>
      </c>
      <c r="AG1998">
        <v>-1.10980295641999</v>
      </c>
      <c r="AH1998">
        <v>37.210580951101001</v>
      </c>
      <c r="AI1998">
        <v>91.705738339115001</v>
      </c>
      <c r="AJ1998">
        <v>86.838886375781897</v>
      </c>
      <c r="AK1998">
        <v>37.283807161180299</v>
      </c>
      <c r="AL1998">
        <v>89.588805298761301</v>
      </c>
      <c r="AM1998">
        <v>91.3247463018904</v>
      </c>
      <c r="AN1998">
        <v>1.0000000282200201</v>
      </c>
    </row>
    <row r="1999" spans="1:40" x14ac:dyDescent="0.3">
      <c r="A1999" t="str">
        <f>"20200111160444656"</f>
        <v>20200111160444656</v>
      </c>
      <c r="B1999" t="str">
        <f>"1578729884652778"</f>
        <v>1578729884652778</v>
      </c>
      <c r="C1999" t="s">
        <v>40</v>
      </c>
      <c r="D1999">
        <v>6.7736509999999903</v>
      </c>
      <c r="E1999">
        <v>0.52904739999999995</v>
      </c>
      <c r="F1999" t="s">
        <v>61</v>
      </c>
      <c r="G1999">
        <v>-407.28050000000002</v>
      </c>
      <c r="H1999" s="1">
        <v>4.749546E-6</v>
      </c>
      <c r="I1999">
        <v>286.6687</v>
      </c>
      <c r="J1999">
        <v>-373.2072</v>
      </c>
      <c r="K1999">
        <v>1.109812</v>
      </c>
      <c r="L1999">
        <v>284.7199</v>
      </c>
      <c r="M1999">
        <v>-0.99988100000000002</v>
      </c>
      <c r="N1999">
        <v>0</v>
      </c>
      <c r="O1999">
        <v>4.4169580000000003E-3</v>
      </c>
      <c r="P1999">
        <v>-0.99979189999999996</v>
      </c>
      <c r="Q1999">
        <v>-7.5011940000000001E-3</v>
      </c>
      <c r="R1999">
        <v>-1.8978410000000001E-2</v>
      </c>
      <c r="S1999">
        <v>-3.003082</v>
      </c>
      <c r="T1999">
        <v>-9.7201940000000001E-2</v>
      </c>
      <c r="U1999">
        <v>0.17077639999999999</v>
      </c>
      <c r="V1999">
        <v>-2.338784E-2</v>
      </c>
      <c r="W1999">
        <v>7.3034750000000002E-3</v>
      </c>
      <c r="X1999">
        <v>0.99969980000000003</v>
      </c>
      <c r="Y1999">
        <v>5.2339419999999998E-2</v>
      </c>
      <c r="Z1999">
        <v>7.0331699999999996E-4</v>
      </c>
      <c r="AA1999">
        <v>0.99862910000000005</v>
      </c>
      <c r="AB1999">
        <v>37</v>
      </c>
      <c r="AC1999">
        <v>-34.073300000000003</v>
      </c>
      <c r="AD1999">
        <v>-1.109807250454</v>
      </c>
      <c r="AE1999">
        <v>1.9488000000000001</v>
      </c>
      <c r="AF1999">
        <v>1.7963646918751901</v>
      </c>
      <c r="AG1999">
        <v>-1.109807250454</v>
      </c>
      <c r="AH1999">
        <v>34.0455757132695</v>
      </c>
      <c r="AI1999">
        <v>91.864457468636004</v>
      </c>
      <c r="AJ1999">
        <v>86.979673301094707</v>
      </c>
      <c r="AK1999">
        <v>34.110992713307802</v>
      </c>
      <c r="AL1999">
        <v>89.581537991072906</v>
      </c>
      <c r="AM1999">
        <v>91.340182453046495</v>
      </c>
      <c r="AN1999">
        <v>1.0000000109634899</v>
      </c>
    </row>
    <row r="2000" spans="1:40" x14ac:dyDescent="0.3">
      <c r="A2000" t="str">
        <f>"20200111160444671"</f>
        <v>20200111160444671</v>
      </c>
      <c r="B2000" t="str">
        <f>"1578729884662538"</f>
        <v>1578729884662538</v>
      </c>
      <c r="C2000" t="s">
        <v>40</v>
      </c>
      <c r="D2000">
        <v>6.2685570000000004</v>
      </c>
      <c r="E2000">
        <v>0.52763579999999999</v>
      </c>
      <c r="F2000" t="s">
        <v>61</v>
      </c>
      <c r="G2000">
        <v>-414.17290000000003</v>
      </c>
      <c r="H2000" s="1">
        <v>2.7312569999999999E-6</v>
      </c>
      <c r="I2000">
        <v>287.07220000000001</v>
      </c>
      <c r="J2000">
        <v>-373.45139999999998</v>
      </c>
      <c r="K2000">
        <v>1.1098250000000001</v>
      </c>
      <c r="L2000">
        <v>284.72129999999999</v>
      </c>
      <c r="M2000">
        <v>-0.99987990000000004</v>
      </c>
      <c r="N2000">
        <v>0</v>
      </c>
      <c r="O2000">
        <v>4.637296E-3</v>
      </c>
      <c r="P2000">
        <v>-0.99979430000000002</v>
      </c>
      <c r="Q2000">
        <v>-7.3482059999999899E-3</v>
      </c>
      <c r="R2000">
        <v>-1.89093E-2</v>
      </c>
      <c r="S2000">
        <v>-3.0032960000000002</v>
      </c>
      <c r="T2000">
        <v>-8.1362840000000006E-2</v>
      </c>
      <c r="U2000">
        <v>0.17245479999999899</v>
      </c>
      <c r="V2000">
        <v>-2.3538920000000001E-2</v>
      </c>
      <c r="W2000">
        <v>7.4617809999999998E-3</v>
      </c>
      <c r="X2000">
        <v>0.99969509999999995</v>
      </c>
      <c r="Y2000">
        <v>5.2679080000000003E-2</v>
      </c>
      <c r="Z2000">
        <v>5.8733899999999998E-4</v>
      </c>
      <c r="AA2000">
        <v>0.99861129999999998</v>
      </c>
      <c r="AB2000">
        <v>37</v>
      </c>
      <c r="AC2000">
        <v>-40.721499999999999</v>
      </c>
      <c r="AD2000">
        <v>-1.1098222687429999</v>
      </c>
      <c r="AE2000">
        <v>2.3509000000000202</v>
      </c>
      <c r="AF2000">
        <v>2.1604170359864998</v>
      </c>
      <c r="AG2000">
        <v>-1.1098222687429999</v>
      </c>
      <c r="AH2000">
        <v>40.7018330446231</v>
      </c>
      <c r="AI2000">
        <v>91.559710064933498</v>
      </c>
      <c r="AJ2000">
        <v>86.961642343368993</v>
      </c>
      <c r="AK2000">
        <v>40.774235988304603</v>
      </c>
      <c r="AL2000">
        <v>89.572467484708099</v>
      </c>
      <c r="AM2000">
        <v>91.348842870713497</v>
      </c>
      <c r="AN2000">
        <v>1.0000000259472299</v>
      </c>
    </row>
    <row r="2001" spans="1:40" x14ac:dyDescent="0.3">
      <c r="A2001" t="str">
        <f>"20200111160444684"</f>
        <v>20200111160444684</v>
      </c>
      <c r="B2001" t="str">
        <f>"1578729884673275"</f>
        <v>1578729884673275</v>
      </c>
      <c r="C2001" t="s">
        <v>40</v>
      </c>
      <c r="D2001">
        <v>6.33134</v>
      </c>
      <c r="E2001">
        <v>0.52707899999999996</v>
      </c>
      <c r="F2001" t="s">
        <v>61</v>
      </c>
      <c r="G2001">
        <v>-417.584</v>
      </c>
      <c r="H2001" s="1">
        <v>3.334063E-6</v>
      </c>
      <c r="I2001">
        <v>287.09820000000002</v>
      </c>
      <c r="J2001">
        <v>-373.67320000000001</v>
      </c>
      <c r="K2001">
        <v>1.1098319999999999</v>
      </c>
      <c r="L2001">
        <v>284.72239999999999</v>
      </c>
      <c r="M2001">
        <v>-0.99987890000000001</v>
      </c>
      <c r="N2001">
        <v>0</v>
      </c>
      <c r="O2001">
        <v>4.8378099999999997E-3</v>
      </c>
      <c r="P2001">
        <v>-0.99979410000000002</v>
      </c>
      <c r="Q2001">
        <v>-6.9608519999999896E-3</v>
      </c>
      <c r="R2001">
        <v>-1.9065680000000002E-2</v>
      </c>
      <c r="S2001">
        <v>-3.003082</v>
      </c>
      <c r="T2001">
        <v>-7.5519680000000006E-2</v>
      </c>
      <c r="U2001">
        <v>0.1617432</v>
      </c>
      <c r="V2001">
        <v>-2.3895900000000001E-2</v>
      </c>
      <c r="W2001">
        <v>7.8532529999999993E-3</v>
      </c>
      <c r="X2001">
        <v>0.99968360000000001</v>
      </c>
      <c r="Y2001">
        <v>4.8935239999999998E-2</v>
      </c>
      <c r="Z2001">
        <v>4.9319429999999996E-4</v>
      </c>
      <c r="AA2001">
        <v>0.99880179999999996</v>
      </c>
      <c r="AB2001">
        <v>37</v>
      </c>
      <c r="AC2001">
        <v>-43.910800000000002</v>
      </c>
      <c r="AD2001">
        <v>-1.109828665937</v>
      </c>
      <c r="AE2001">
        <v>2.3758000000000199</v>
      </c>
      <c r="AF2001">
        <v>2.1619398127912799</v>
      </c>
      <c r="AG2001">
        <v>-1.109828665937</v>
      </c>
      <c r="AH2001">
        <v>43.893823150804501</v>
      </c>
      <c r="AI2001">
        <v>91.446627489753993</v>
      </c>
      <c r="AJ2001">
        <v>87.180240946485398</v>
      </c>
      <c r="AK2001">
        <v>43.961044280316699</v>
      </c>
      <c r="AL2001">
        <v>89.550037119672595</v>
      </c>
      <c r="AM2001">
        <v>91.369306792425107</v>
      </c>
      <c r="AN2001">
        <v>0.999999993864226</v>
      </c>
    </row>
    <row r="2002" spans="1:40" x14ac:dyDescent="0.3">
      <c r="A2002" t="str">
        <f>"20200111160444700"</f>
        <v>20200111160444700</v>
      </c>
      <c r="B2002" t="str">
        <f>"1578729884693301"</f>
        <v>1578729884693301</v>
      </c>
      <c r="C2002" t="s">
        <v>40</v>
      </c>
      <c r="D2002">
        <v>5.5985829999999996</v>
      </c>
      <c r="E2002">
        <v>0.52640549999999997</v>
      </c>
      <c r="F2002" t="s">
        <v>61</v>
      </c>
      <c r="G2002">
        <v>-421.36799999999999</v>
      </c>
      <c r="H2002" s="1">
        <v>3.4949990000000002E-6</v>
      </c>
      <c r="I2002">
        <v>287.2122</v>
      </c>
      <c r="J2002">
        <v>-373.9391</v>
      </c>
      <c r="K2002">
        <v>1.109839</v>
      </c>
      <c r="L2002">
        <v>284.72390000000001</v>
      </c>
      <c r="M2002">
        <v>-0.99987780000000004</v>
      </c>
      <c r="N2002">
        <v>0</v>
      </c>
      <c r="O2002">
        <v>5.0786770000000002E-3</v>
      </c>
      <c r="P2002">
        <v>-0.99979229999999997</v>
      </c>
      <c r="Q2002">
        <v>-7.3243249999999996E-3</v>
      </c>
      <c r="R2002">
        <v>-1.9033399999999999E-2</v>
      </c>
      <c r="S2002">
        <v>-3.0031129999999999</v>
      </c>
      <c r="T2002">
        <v>-6.9880490000000003E-2</v>
      </c>
      <c r="U2002">
        <v>0.15676880000000001</v>
      </c>
      <c r="V2002">
        <v>-2.4104270000000001E-2</v>
      </c>
      <c r="W2002">
        <v>7.4937290000000002E-3</v>
      </c>
      <c r="X2002">
        <v>0.99968140000000005</v>
      </c>
      <c r="Y2002">
        <v>4.70468E-2</v>
      </c>
      <c r="Z2002">
        <v>4.2883819999999998E-4</v>
      </c>
      <c r="AA2002">
        <v>0.99889260000000002</v>
      </c>
      <c r="AB2002">
        <v>37</v>
      </c>
      <c r="AC2002">
        <v>-47.428899999999999</v>
      </c>
      <c r="AD2002">
        <v>-1.109835505001</v>
      </c>
      <c r="AE2002">
        <v>2.4882999999999802</v>
      </c>
      <c r="AF2002">
        <v>2.2461389895180499</v>
      </c>
      <c r="AG2002">
        <v>-1.109835505001</v>
      </c>
      <c r="AH2002">
        <v>47.415035572747698</v>
      </c>
      <c r="AI2002">
        <v>91.339366079002801</v>
      </c>
      <c r="AJ2002">
        <v>87.287819258371201</v>
      </c>
      <c r="AK2002">
        <v>47.481180204090599</v>
      </c>
      <c r="AL2002">
        <v>89.570636952610201</v>
      </c>
      <c r="AM2002">
        <v>91.381245451771505</v>
      </c>
      <c r="AN2002">
        <v>1.00000003665625</v>
      </c>
    </row>
    <row r="2003" spans="1:40" x14ac:dyDescent="0.3">
      <c r="A2003" t="str">
        <f>"20200111160444713"</f>
        <v>20200111160444713</v>
      </c>
      <c r="B2003" t="str">
        <f>"1578729884703062"</f>
        <v>1578729884703062</v>
      </c>
      <c r="C2003" t="s">
        <v>40</v>
      </c>
      <c r="D2003">
        <v>6.3219139999999996</v>
      </c>
      <c r="E2003">
        <v>0.5263854</v>
      </c>
      <c r="F2003" t="s">
        <v>61</v>
      </c>
      <c r="G2003">
        <v>-421.63069999999999</v>
      </c>
      <c r="H2003" s="1">
        <v>3.4553449999999999E-6</v>
      </c>
      <c r="I2003">
        <v>287.1327</v>
      </c>
      <c r="J2003">
        <v>-374.15640000000002</v>
      </c>
      <c r="K2003">
        <v>1.1098440000000001</v>
      </c>
      <c r="L2003">
        <v>284.72519999999997</v>
      </c>
      <c r="M2003">
        <v>-0.9998766</v>
      </c>
      <c r="N2003">
        <v>0</v>
      </c>
      <c r="O2003">
        <v>5.2749889999999999E-3</v>
      </c>
      <c r="P2003">
        <v>-0.99979450000000003</v>
      </c>
      <c r="Q2003">
        <v>-7.4872259999999996E-3</v>
      </c>
      <c r="R2003">
        <v>-1.883874E-2</v>
      </c>
      <c r="S2003">
        <v>-3.0029910000000002</v>
      </c>
      <c r="T2003">
        <v>-6.9882749999999993E-2</v>
      </c>
      <c r="U2003">
        <v>0.15167240000000001</v>
      </c>
      <c r="V2003">
        <v>-2.410669E-2</v>
      </c>
      <c r="W2003">
        <v>7.3330380000000001E-3</v>
      </c>
      <c r="X2003">
        <v>0.99968250000000003</v>
      </c>
      <c r="Y2003">
        <v>4.516249E-2</v>
      </c>
      <c r="Z2003">
        <v>4.0241490000000001E-4</v>
      </c>
      <c r="AA2003">
        <v>0.99897959999999997</v>
      </c>
      <c r="AB2003">
        <v>37</v>
      </c>
      <c r="AC2003">
        <v>-47.4742999999999</v>
      </c>
      <c r="AD2003">
        <v>-1.1098405446549999</v>
      </c>
      <c r="AE2003">
        <v>2.4075000000000202</v>
      </c>
      <c r="AF2003">
        <v>2.1558374854714999</v>
      </c>
      <c r="AG2003">
        <v>-1.1098405446549999</v>
      </c>
      <c r="AH2003">
        <v>47.460468837506802</v>
      </c>
      <c r="AI2003">
        <v>91.338211105580697</v>
      </c>
      <c r="AJ2003">
        <v>87.399192570759695</v>
      </c>
      <c r="AK2003">
        <v>47.522368244588499</v>
      </c>
      <c r="AL2003">
        <v>89.579844107414303</v>
      </c>
      <c r="AM2003">
        <v>91.381382551732202</v>
      </c>
      <c r="AN2003">
        <v>1.0000000033776499</v>
      </c>
    </row>
    <row r="2004" spans="1:40" x14ac:dyDescent="0.3">
      <c r="A2004" t="str">
        <f>"20200111160444733"</f>
        <v>20200111160444733</v>
      </c>
      <c r="B2004" t="str">
        <f>"1578729884722581"</f>
        <v>1578729884722581</v>
      </c>
      <c r="C2004" t="s">
        <v>40</v>
      </c>
      <c r="D2004">
        <v>6.947349</v>
      </c>
      <c r="E2004">
        <v>0.52669699999999997</v>
      </c>
      <c r="F2004" t="s">
        <v>61</v>
      </c>
      <c r="G2004">
        <v>-421.70569999999998</v>
      </c>
      <c r="H2004" s="1">
        <v>3.442181E-6</v>
      </c>
      <c r="I2004">
        <v>287.13119999999998</v>
      </c>
      <c r="J2004">
        <v>-374.47539999999998</v>
      </c>
      <c r="K2004">
        <v>1.1098520000000001</v>
      </c>
      <c r="L2004">
        <v>284.72719999999998</v>
      </c>
      <c r="M2004">
        <v>-0.99987510000000002</v>
      </c>
      <c r="N2004">
        <v>0</v>
      </c>
      <c r="O2004">
        <v>5.562048E-3</v>
      </c>
      <c r="P2004">
        <v>-0.99979359999999995</v>
      </c>
      <c r="Q2004">
        <v>-8.1192139999999996E-3</v>
      </c>
      <c r="R2004">
        <v>-1.8631089999999999E-2</v>
      </c>
      <c r="S2004">
        <v>-3.0029300000000001</v>
      </c>
      <c r="T2004">
        <v>-7.0090890000000003E-2</v>
      </c>
      <c r="U2004">
        <v>0.151947</v>
      </c>
      <c r="V2004">
        <v>-2.418592E-2</v>
      </c>
      <c r="W2004">
        <v>6.7041059999999996E-3</v>
      </c>
      <c r="X2004">
        <v>0.99968500000000005</v>
      </c>
      <c r="Y2004">
        <v>4.496791E-2</v>
      </c>
      <c r="Z2004">
        <v>3.9465609999999999E-4</v>
      </c>
      <c r="AA2004">
        <v>0.99898830000000005</v>
      </c>
      <c r="AB2004">
        <v>37</v>
      </c>
      <c r="AC2004">
        <v>-47.2303</v>
      </c>
      <c r="AD2004">
        <v>-1.109848557819</v>
      </c>
      <c r="AE2004">
        <v>2.4039999999999901</v>
      </c>
      <c r="AF2004">
        <v>2.1400582019836101</v>
      </c>
      <c r="AG2004">
        <v>-1.109848557819</v>
      </c>
      <c r="AH2004">
        <v>47.216936697169103</v>
      </c>
      <c r="AI2004">
        <v>91.345126496788694</v>
      </c>
      <c r="AJ2004">
        <v>87.404904831964402</v>
      </c>
      <c r="AK2004">
        <v>47.278438256711098</v>
      </c>
      <c r="AL2004">
        <v>89.615880143948701</v>
      </c>
      <c r="AM2004">
        <v>91.385917425829206</v>
      </c>
      <c r="AN2004">
        <v>1.0000000014942501</v>
      </c>
    </row>
    <row r="2005" spans="1:40" x14ac:dyDescent="0.3">
      <c r="A2005" t="str">
        <f>"20200111160444746"</f>
        <v>20200111160444746</v>
      </c>
      <c r="B2005" t="str">
        <f>"1578729884743078"</f>
        <v>1578729884743078</v>
      </c>
      <c r="C2005" t="s">
        <v>40</v>
      </c>
      <c r="D2005">
        <v>5.6502420000000004</v>
      </c>
      <c r="E2005">
        <v>0.52671730000000005</v>
      </c>
      <c r="F2005" t="s">
        <v>61</v>
      </c>
      <c r="G2005">
        <v>-417.89800000000002</v>
      </c>
      <c r="H2005" s="1">
        <v>3.4011590000000001E-6</v>
      </c>
      <c r="I2005">
        <v>286.96769999999998</v>
      </c>
      <c r="J2005">
        <v>-374.71719999999999</v>
      </c>
      <c r="K2005">
        <v>1.1098570000000001</v>
      </c>
      <c r="L2005">
        <v>284.72879999999998</v>
      </c>
      <c r="M2005">
        <v>-0.99987380000000003</v>
      </c>
      <c r="N2005">
        <v>0</v>
      </c>
      <c r="O2005">
        <v>5.778989E-3</v>
      </c>
      <c r="P2005">
        <v>-0.99979680000000004</v>
      </c>
      <c r="Q2005">
        <v>-8.4447819999999996E-3</v>
      </c>
      <c r="R2005">
        <v>-1.8309740000000001E-2</v>
      </c>
      <c r="S2005">
        <v>-3.0028990000000002</v>
      </c>
      <c r="T2005">
        <v>-7.6751829999999993E-2</v>
      </c>
      <c r="U2005">
        <v>0.15493770000000001</v>
      </c>
      <c r="V2005">
        <v>-2.4082530000000001E-2</v>
      </c>
      <c r="W2005">
        <v>6.38034E-3</v>
      </c>
      <c r="X2005">
        <v>0.99968959999999996</v>
      </c>
      <c r="Y2005">
        <v>4.5741690000000002E-2</v>
      </c>
      <c r="Z2005">
        <v>4.3648329999999998E-4</v>
      </c>
      <c r="AA2005">
        <v>0.99895319999999999</v>
      </c>
      <c r="AB2005">
        <v>37</v>
      </c>
      <c r="AC2005">
        <v>-43.180799999999998</v>
      </c>
      <c r="AD2005">
        <v>-1.1098535988410001</v>
      </c>
      <c r="AE2005">
        <v>2.2389000000000001</v>
      </c>
      <c r="AF2005">
        <v>1.9879841338511199</v>
      </c>
      <c r="AG2005">
        <v>-1.1098535988410001</v>
      </c>
      <c r="AH2005">
        <v>43.164579963503698</v>
      </c>
      <c r="AI2005">
        <v>91.471313494754</v>
      </c>
      <c r="AJ2005">
        <v>87.3630539676669</v>
      </c>
      <c r="AK2005">
        <v>43.2245858204912</v>
      </c>
      <c r="AL2005">
        <v>89.634430960930302</v>
      </c>
      <c r="AM2005">
        <v>91.379988852747402</v>
      </c>
      <c r="AN2005">
        <v>0.99999998666893797</v>
      </c>
    </row>
    <row r="2006" spans="1:40" x14ac:dyDescent="0.3">
      <c r="A2006" t="str">
        <f>"20200111160444766"</f>
        <v>20200111160444766</v>
      </c>
      <c r="B2006" t="str">
        <f>"1578729884762598"</f>
        <v>1578729884762598</v>
      </c>
      <c r="C2006" t="s">
        <v>40</v>
      </c>
      <c r="D2006">
        <v>5.7311880000000004</v>
      </c>
      <c r="E2006">
        <v>0.52723240000000005</v>
      </c>
      <c r="F2006" t="s">
        <v>61</v>
      </c>
      <c r="G2006">
        <v>-417.9828</v>
      </c>
      <c r="H2006" s="1">
        <v>3.4152669999999999E-6</v>
      </c>
      <c r="I2006">
        <v>286.97829999999999</v>
      </c>
      <c r="J2006">
        <v>-375.03969999999998</v>
      </c>
      <c r="K2006">
        <v>1.1098629999999901</v>
      </c>
      <c r="L2006">
        <v>284.73090000000002</v>
      </c>
      <c r="M2006">
        <v>-0.99987199999999998</v>
      </c>
      <c r="N2006">
        <v>0</v>
      </c>
      <c r="O2006">
        <v>6.0669640000000002E-3</v>
      </c>
      <c r="P2006">
        <v>-0.99979810000000002</v>
      </c>
      <c r="Q2006">
        <v>-9.1916710000000002E-3</v>
      </c>
      <c r="R2006">
        <v>-1.7868200000000001E-2</v>
      </c>
      <c r="S2006">
        <v>-3.002777</v>
      </c>
      <c r="T2006">
        <v>-7.7027680000000001E-2</v>
      </c>
      <c r="U2006">
        <v>0.15612789999999999</v>
      </c>
      <c r="V2006">
        <v>-2.3929619999999999E-2</v>
      </c>
      <c r="W2006">
        <v>5.6350590000000004E-3</v>
      </c>
      <c r="X2006">
        <v>0.99969770000000002</v>
      </c>
      <c r="Y2006">
        <v>4.5850920000000003E-2</v>
      </c>
      <c r="Z2006">
        <v>4.3208359999999998E-4</v>
      </c>
      <c r="AA2006">
        <v>0.99894819999999995</v>
      </c>
      <c r="AB2006">
        <v>37</v>
      </c>
      <c r="AC2006">
        <v>-42.943100000000001</v>
      </c>
      <c r="AD2006">
        <v>-1.10985958473299</v>
      </c>
      <c r="AE2006">
        <v>2.2473999999999701</v>
      </c>
      <c r="AF2006">
        <v>1.9854732408137099</v>
      </c>
      <c r="AG2006">
        <v>-1.10985958473299</v>
      </c>
      <c r="AH2006">
        <v>42.9273505262912</v>
      </c>
      <c r="AI2006">
        <v>91.479435436457194</v>
      </c>
      <c r="AJ2006">
        <v>87.351846314948702</v>
      </c>
      <c r="AK2006">
        <v>42.987571639892501</v>
      </c>
      <c r="AL2006">
        <v>89.677133172599</v>
      </c>
      <c r="AM2006">
        <v>91.371218979488802</v>
      </c>
      <c r="AN2006">
        <v>0.99999993599428105</v>
      </c>
    </row>
    <row r="2007" spans="1:40" x14ac:dyDescent="0.3">
      <c r="A2007" t="str">
        <f>"20200111160444782"</f>
        <v>20200111160444782</v>
      </c>
      <c r="B2007" t="str">
        <f>"1578729884773334"</f>
        <v>1578729884773334</v>
      </c>
      <c r="C2007" t="s">
        <v>40</v>
      </c>
      <c r="D2007">
        <v>5.6677819999999999</v>
      </c>
      <c r="E2007">
        <v>0.52742419999999901</v>
      </c>
      <c r="F2007" t="s">
        <v>61</v>
      </c>
      <c r="G2007">
        <v>-416.05869999999999</v>
      </c>
      <c r="H2007" s="1">
        <v>3.0776599999999902E-6</v>
      </c>
      <c r="I2007">
        <v>286.93619999999999</v>
      </c>
      <c r="J2007">
        <v>-375.29480000000001</v>
      </c>
      <c r="K2007">
        <v>1.1098669999999999</v>
      </c>
      <c r="L2007">
        <v>284.73259999999999</v>
      </c>
      <c r="M2007">
        <v>-0.99987060000000005</v>
      </c>
      <c r="N2007">
        <v>0</v>
      </c>
      <c r="O2007">
        <v>6.2939919999999896E-3</v>
      </c>
      <c r="P2007">
        <v>-0.99980009999999997</v>
      </c>
      <c r="Q2007">
        <v>-9.4673250000000004E-3</v>
      </c>
      <c r="R2007">
        <v>-1.7629780000000001E-2</v>
      </c>
      <c r="S2007">
        <v>-3.0027469999999998</v>
      </c>
      <c r="T2007">
        <v>-8.1245899999999996E-2</v>
      </c>
      <c r="U2007">
        <v>0.161438</v>
      </c>
      <c r="V2007">
        <v>-2.391774E-2</v>
      </c>
      <c r="W2007">
        <v>5.360404E-3</v>
      </c>
      <c r="X2007">
        <v>0.99969949999999996</v>
      </c>
      <c r="Y2007">
        <v>4.7384250000000003E-2</v>
      </c>
      <c r="Z2007">
        <v>4.7030850000000002E-4</v>
      </c>
      <c r="AA2007">
        <v>0.9988766</v>
      </c>
      <c r="AB2007">
        <v>37</v>
      </c>
      <c r="AC2007">
        <v>-40.7638999999999</v>
      </c>
      <c r="AD2007">
        <v>-1.10986392234</v>
      </c>
      <c r="AE2007">
        <v>2.20359999999999</v>
      </c>
      <c r="AF2007">
        <v>1.9455225681311801</v>
      </c>
      <c r="AG2007">
        <v>-1.10986392234</v>
      </c>
      <c r="AH2007">
        <v>40.746846147172</v>
      </c>
      <c r="AI2007">
        <v>91.558463977409104</v>
      </c>
      <c r="AJ2007">
        <v>87.266398488554302</v>
      </c>
      <c r="AK2007">
        <v>40.808360992945097</v>
      </c>
      <c r="AL2007">
        <v>89.692869985419605</v>
      </c>
      <c r="AM2007">
        <v>91.370536022737497</v>
      </c>
      <c r="AN2007">
        <v>0.99999994125899805</v>
      </c>
    </row>
    <row r="2008" spans="1:40" x14ac:dyDescent="0.3">
      <c r="A2008" t="str">
        <f>"20200111160444795"</f>
        <v>20200111160444795</v>
      </c>
      <c r="B2008" t="str">
        <f>"1578729884792854"</f>
        <v>1578729884792854</v>
      </c>
      <c r="C2008" t="s">
        <v>40</v>
      </c>
      <c r="D2008">
        <v>6.025353</v>
      </c>
      <c r="E2008">
        <v>0.52802099999999996</v>
      </c>
      <c r="F2008" t="s">
        <v>61</v>
      </c>
      <c r="G2008">
        <v>-415.57729999999998</v>
      </c>
      <c r="H2008" s="1">
        <v>2.9930960000000001E-6</v>
      </c>
      <c r="I2008">
        <v>286.92660000000001</v>
      </c>
      <c r="J2008">
        <v>-375.5188</v>
      </c>
      <c r="K2008">
        <v>1.109869</v>
      </c>
      <c r="L2008">
        <v>284.73419999999999</v>
      </c>
      <c r="M2008">
        <v>-0.99986920000000001</v>
      </c>
      <c r="N2008">
        <v>0</v>
      </c>
      <c r="O2008">
        <v>6.4930810000000004E-3</v>
      </c>
      <c r="P2008">
        <v>-0.99979949999999995</v>
      </c>
      <c r="Q2008">
        <v>-9.8696600000000006E-3</v>
      </c>
      <c r="R2008">
        <v>-1.742343E-2</v>
      </c>
      <c r="S2008">
        <v>-3.0027159999999999</v>
      </c>
      <c r="T2008">
        <v>-8.2730890000000001E-2</v>
      </c>
      <c r="U2008">
        <v>0.16354369999999999</v>
      </c>
      <c r="V2008">
        <v>-2.3911109999999999E-2</v>
      </c>
      <c r="W2008">
        <v>4.9584349999999998E-3</v>
      </c>
      <c r="X2008">
        <v>0.99970179999999997</v>
      </c>
      <c r="Y2008">
        <v>4.7883670000000003E-2</v>
      </c>
      <c r="Z2008">
        <v>4.8029069999999999E-4</v>
      </c>
      <c r="AA2008">
        <v>0.99885279999999999</v>
      </c>
      <c r="AB2008">
        <v>37</v>
      </c>
      <c r="AC2008">
        <v>-40.058499999999903</v>
      </c>
      <c r="AD2008">
        <v>-1.1098660069040001</v>
      </c>
      <c r="AE2008">
        <v>2.1924000000000201</v>
      </c>
      <c r="AF2008">
        <v>1.9307444767442501</v>
      </c>
      <c r="AG2008">
        <v>-1.1098660069040001</v>
      </c>
      <c r="AH2008">
        <v>40.041247308475398</v>
      </c>
      <c r="AI2008">
        <v>91.585880151099801</v>
      </c>
      <c r="AJ2008">
        <v>87.239399339649097</v>
      </c>
      <c r="AK2008">
        <v>40.103130336748599</v>
      </c>
      <c r="AL2008">
        <v>89.715901439655696</v>
      </c>
      <c r="AM2008">
        <v>91.370153103755797</v>
      </c>
      <c r="AN2008">
        <v>1.00000000809116</v>
      </c>
    </row>
    <row r="2009" spans="1:40" x14ac:dyDescent="0.3">
      <c r="A2009" t="str">
        <f>"20200111160444856"</f>
        <v>20200111160444856</v>
      </c>
      <c r="B2009" t="str">
        <f>"1578729884852389"</f>
        <v>1578729884852389</v>
      </c>
      <c r="C2009" t="s">
        <v>40</v>
      </c>
      <c r="D2009">
        <v>6.6115950000000003</v>
      </c>
      <c r="E2009">
        <v>0.52802099999999996</v>
      </c>
      <c r="F2009" t="s">
        <v>61</v>
      </c>
      <c r="G2009">
        <v>-415.72730000000001</v>
      </c>
      <c r="H2009" s="1">
        <v>3.0133060000000002E-6</v>
      </c>
      <c r="I2009">
        <v>286.99979999999999</v>
      </c>
      <c r="J2009">
        <v>-376.50479999999999</v>
      </c>
      <c r="K2009">
        <v>1.1098790000000001</v>
      </c>
      <c r="L2009">
        <v>284.74180000000001</v>
      </c>
      <c r="M2009">
        <v>-0.99986330000000001</v>
      </c>
      <c r="N2009">
        <v>0</v>
      </c>
      <c r="O2009">
        <v>7.3648330000000003E-3</v>
      </c>
      <c r="P2009">
        <v>-0.99979220000000002</v>
      </c>
      <c r="Q2009">
        <v>-1.0447959999999999E-2</v>
      </c>
      <c r="R2009">
        <v>-1.7510189999999998E-2</v>
      </c>
      <c r="S2009">
        <v>-3.0027469999999998</v>
      </c>
      <c r="T2009">
        <v>-8.2884310000000003E-2</v>
      </c>
      <c r="U2009">
        <v>0.16918949999999999</v>
      </c>
      <c r="V2009">
        <v>-2.4870280000000002E-2</v>
      </c>
      <c r="W2009">
        <v>4.3800380000000002E-3</v>
      </c>
      <c r="X2009">
        <v>0.99968109999999999</v>
      </c>
      <c r="Y2009">
        <v>4.8884410000000003E-2</v>
      </c>
      <c r="Z2009">
        <v>4.7091039999999998E-4</v>
      </c>
      <c r="AA2009">
        <v>0.99880429999999998</v>
      </c>
      <c r="AB2009">
        <v>37</v>
      </c>
      <c r="AC2009">
        <v>-39.222499999999997</v>
      </c>
      <c r="AD2009">
        <v>-1.109875986694</v>
      </c>
      <c r="AE2009">
        <v>2.25799999999998</v>
      </c>
      <c r="AF2009">
        <v>1.96746974899745</v>
      </c>
      <c r="AG2009">
        <v>-1.109875986694</v>
      </c>
      <c r="AH2009">
        <v>39.206777854598997</v>
      </c>
      <c r="AI2009">
        <v>91.619474526467101</v>
      </c>
      <c r="AJ2009">
        <v>87.127200005009101</v>
      </c>
      <c r="AK2009">
        <v>39.271798935864098</v>
      </c>
      <c r="AL2009">
        <v>89.749041508225503</v>
      </c>
      <c r="AM2009">
        <v>91.425122678257907</v>
      </c>
      <c r="AN2009">
        <v>1.00000000862868</v>
      </c>
    </row>
    <row r="2010" spans="1:40" x14ac:dyDescent="0.3">
      <c r="A2010" t="str">
        <f>"20200111160444897"</f>
        <v>20200111160444897</v>
      </c>
      <c r="B2010" t="str">
        <f>"1578729884892406"</f>
        <v>1578729884892406</v>
      </c>
      <c r="C2010" t="s">
        <v>40</v>
      </c>
      <c r="D2010">
        <v>6.5057</v>
      </c>
      <c r="E2010">
        <v>0.50620779999999999</v>
      </c>
      <c r="F2010" t="s">
        <v>61</v>
      </c>
      <c r="G2010">
        <v>-415.80290000000002</v>
      </c>
      <c r="H2010" s="1">
        <v>3.0309949999999999E-6</v>
      </c>
      <c r="I2010">
        <v>286.95089999999999</v>
      </c>
      <c r="J2010">
        <v>-377.19200000000001</v>
      </c>
      <c r="K2010">
        <v>1.109893</v>
      </c>
      <c r="L2010">
        <v>284.74759999999998</v>
      </c>
      <c r="M2010">
        <v>-0.99985860000000004</v>
      </c>
      <c r="N2010">
        <v>0</v>
      </c>
      <c r="O2010">
        <v>7.9701659999999903E-3</v>
      </c>
      <c r="P2010">
        <v>-0.99980959999999997</v>
      </c>
      <c r="Q2010">
        <v>-1.002721E-2</v>
      </c>
      <c r="R2010">
        <v>-1.6748030000000001E-2</v>
      </c>
      <c r="S2010">
        <v>-3.0026860000000002</v>
      </c>
      <c r="T2010">
        <v>-8.4803340000000005E-2</v>
      </c>
      <c r="U2010">
        <v>0.16879269999999999</v>
      </c>
      <c r="V2010">
        <v>-2.4712919999999999E-2</v>
      </c>
      <c r="W2010">
        <v>4.7982190000000003E-3</v>
      </c>
      <c r="X2010">
        <v>0.99968310000000005</v>
      </c>
      <c r="Y2010">
        <v>4.8149089999999999E-2</v>
      </c>
      <c r="Z2010">
        <v>4.543684E-4</v>
      </c>
      <c r="AA2010">
        <v>0.99883999999999995</v>
      </c>
      <c r="AB2010">
        <v>37</v>
      </c>
      <c r="AC2010">
        <v>-38.610900000000001</v>
      </c>
      <c r="AD2010">
        <v>-1.1098899690049999</v>
      </c>
      <c r="AE2010">
        <v>2.2033000000000098</v>
      </c>
      <c r="AF2010">
        <v>1.8939011191961099</v>
      </c>
      <c r="AG2010">
        <v>-1.1098899690049999</v>
      </c>
      <c r="AH2010">
        <v>38.595447881539101</v>
      </c>
      <c r="AI2010">
        <v>91.645223268706999</v>
      </c>
      <c r="AJ2010">
        <v>87.190716109491603</v>
      </c>
      <c r="AK2010">
        <v>38.657823456180203</v>
      </c>
      <c r="AL2010">
        <v>89.725081254321907</v>
      </c>
      <c r="AM2010">
        <v>91.416106449689295</v>
      </c>
      <c r="AN2010">
        <v>1.0000000258730499</v>
      </c>
    </row>
    <row r="2011" spans="1:40" x14ac:dyDescent="0.3">
      <c r="A2011" t="str">
        <f>"20200111160444912"</f>
        <v>20200111160444912</v>
      </c>
      <c r="B2011" t="str">
        <f>"1578729884903142"</f>
        <v>1578729884903142</v>
      </c>
      <c r="C2011" t="s">
        <v>40</v>
      </c>
      <c r="D2011">
        <v>6.3130439999999997</v>
      </c>
      <c r="E2011">
        <v>0.50441480000000005</v>
      </c>
      <c r="F2011" t="s">
        <v>61</v>
      </c>
      <c r="G2011">
        <v>-413.20490000000001</v>
      </c>
      <c r="H2011" s="1">
        <v>2.7662930000000001E-6</v>
      </c>
      <c r="I2011">
        <v>284.70729999999998</v>
      </c>
      <c r="J2011">
        <v>-377.43680000000001</v>
      </c>
      <c r="K2011">
        <v>1.109896</v>
      </c>
      <c r="L2011">
        <v>284.74979999999999</v>
      </c>
      <c r="M2011">
        <v>-0.99985690000000005</v>
      </c>
      <c r="N2011">
        <v>0</v>
      </c>
      <c r="O2011">
        <v>8.1853749999999999E-3</v>
      </c>
      <c r="P2011">
        <v>-0.99982269999999895</v>
      </c>
      <c r="Q2011">
        <v>-9.8874289999999997E-3</v>
      </c>
      <c r="R2011">
        <v>-1.603547E-2</v>
      </c>
      <c r="S2011">
        <v>-2.9996339999999999</v>
      </c>
      <c r="T2011">
        <v>-9.2446449999999999E-2</v>
      </c>
      <c r="U2011">
        <v>-3.3569339999999998E-3</v>
      </c>
      <c r="V2011">
        <v>-2.421572E-2</v>
      </c>
      <c r="W2011">
        <v>4.9365009999999898E-3</v>
      </c>
      <c r="X2011">
        <v>0.99969459999999999</v>
      </c>
      <c r="Y2011">
        <v>-9.2970429999999996E-3</v>
      </c>
      <c r="Z2011">
        <v>-3.9546280000000002E-4</v>
      </c>
      <c r="AA2011">
        <v>0.99995670000000003</v>
      </c>
      <c r="AB2011">
        <v>37</v>
      </c>
      <c r="AC2011">
        <v>-35.768099999999997</v>
      </c>
      <c r="AD2011">
        <v>-1.109893233707</v>
      </c>
      <c r="AE2011">
        <v>-4.25000000000181E-2</v>
      </c>
      <c r="AF2011">
        <v>-0.33498343056650098</v>
      </c>
      <c r="AG2011">
        <v>-1.109893233707</v>
      </c>
      <c r="AH2011">
        <v>35.732147959635498</v>
      </c>
      <c r="AI2011">
        <v>91.779041291323693</v>
      </c>
      <c r="AJ2011">
        <v>90.537123448301799</v>
      </c>
      <c r="AK2011">
        <v>35.750950682440099</v>
      </c>
      <c r="AL2011">
        <v>89.717158187332899</v>
      </c>
      <c r="AM2011">
        <v>91.387611057652705</v>
      </c>
      <c r="AN2011">
        <v>1.0000000317032001</v>
      </c>
    </row>
    <row r="2012" spans="1:40" x14ac:dyDescent="0.3">
      <c r="A2012" t="str">
        <f>"20200111160444956"</f>
        <v>20200111160444956</v>
      </c>
      <c r="B2012" t="str">
        <f>"1578729884952918"</f>
        <v>1578729884952918</v>
      </c>
      <c r="C2012" t="s">
        <v>40</v>
      </c>
      <c r="D2012">
        <v>5.7767059999999999</v>
      </c>
      <c r="E2012">
        <v>0.50375939999999997</v>
      </c>
      <c r="F2012" t="s">
        <v>61</v>
      </c>
      <c r="G2012">
        <v>-411.99470000000002</v>
      </c>
      <c r="H2012" s="1">
        <v>2.56362E-6</v>
      </c>
      <c r="I2012">
        <v>284.57010000000002</v>
      </c>
      <c r="J2012">
        <v>-378.16219999999998</v>
      </c>
      <c r="K2012">
        <v>1.1099060000000001</v>
      </c>
      <c r="L2012">
        <v>284.75650000000002</v>
      </c>
      <c r="M2012">
        <v>-0.9998515</v>
      </c>
      <c r="N2012">
        <v>0</v>
      </c>
      <c r="O2012">
        <v>8.8218869999999901E-3</v>
      </c>
      <c r="P2012">
        <v>-0.99984810000000002</v>
      </c>
      <c r="Q2012">
        <v>-9.6903200000000005E-3</v>
      </c>
      <c r="R2012">
        <v>-1.4491399999999899E-2</v>
      </c>
      <c r="S2012">
        <v>-2.9993590000000001</v>
      </c>
      <c r="T2012">
        <v>-9.633005E-2</v>
      </c>
      <c r="U2012">
        <v>-1.5594480000000001E-2</v>
      </c>
      <c r="V2012">
        <v>-2.330807E-2</v>
      </c>
      <c r="W2012">
        <v>5.1286630000000003E-3</v>
      </c>
      <c r="X2012">
        <v>0.99971509999999997</v>
      </c>
      <c r="Y2012">
        <v>-1.400996E-2</v>
      </c>
      <c r="Z2012">
        <v>-5.082051E-4</v>
      </c>
      <c r="AA2012">
        <v>0.9999017</v>
      </c>
      <c r="AB2012">
        <v>37</v>
      </c>
      <c r="AC2012">
        <v>-33.832500000000003</v>
      </c>
      <c r="AD2012">
        <v>-1.10990343638</v>
      </c>
      <c r="AE2012">
        <v>-0.18639999999999099</v>
      </c>
      <c r="AF2012">
        <v>-0.48437067205623502</v>
      </c>
      <c r="AG2012">
        <v>-1.10990343638</v>
      </c>
      <c r="AH2012">
        <v>33.793170708239998</v>
      </c>
      <c r="AI2012">
        <v>91.880954203503194</v>
      </c>
      <c r="AJ2012">
        <v>90.821186480622998</v>
      </c>
      <c r="AK2012">
        <v>33.814861926411602</v>
      </c>
      <c r="AL2012">
        <v>89.706147945369395</v>
      </c>
      <c r="AM2012">
        <v>91.335592655325996</v>
      </c>
      <c r="AN2012">
        <v>0.99999992523964798</v>
      </c>
    </row>
    <row r="2013" spans="1:40" x14ac:dyDescent="0.3">
      <c r="A2013" t="str">
        <f>"20200111160444993"</f>
        <v>20200111160444993</v>
      </c>
      <c r="B2013" t="str">
        <f>"1578729884983174"</f>
        <v>1578729884983174</v>
      </c>
      <c r="C2013" t="s">
        <v>40</v>
      </c>
      <c r="D2013">
        <v>6.7560440000000002</v>
      </c>
      <c r="E2013">
        <v>0.50331729999999997</v>
      </c>
      <c r="F2013" t="s">
        <v>61</v>
      </c>
      <c r="G2013">
        <v>-431.08370000000002</v>
      </c>
      <c r="H2013" s="1">
        <v>2.7082709999999998E-6</v>
      </c>
      <c r="I2013">
        <v>284.49369999999999</v>
      </c>
      <c r="J2013">
        <v>-378.76280000000003</v>
      </c>
      <c r="K2013">
        <v>1.1099209999999999</v>
      </c>
      <c r="L2013">
        <v>284.76240000000001</v>
      </c>
      <c r="M2013">
        <v>-0.99984700000000004</v>
      </c>
      <c r="N2013">
        <v>0</v>
      </c>
      <c r="O2013">
        <v>9.3423510000000005E-3</v>
      </c>
      <c r="P2013">
        <v>-0.99987230000000005</v>
      </c>
      <c r="Q2013">
        <v>-8.6428990000000008E-3</v>
      </c>
      <c r="R2013">
        <v>-1.3454399999999899E-2</v>
      </c>
      <c r="S2013">
        <v>-2.999603</v>
      </c>
      <c r="T2013">
        <v>-6.2909599999999996E-2</v>
      </c>
      <c r="U2013">
        <v>-1.4892580000000001E-2</v>
      </c>
      <c r="V2013">
        <v>-2.2791189999999999E-2</v>
      </c>
      <c r="W2013">
        <v>6.1710119999999896E-3</v>
      </c>
      <c r="X2013">
        <v>0.99972119999999998</v>
      </c>
      <c r="Y2013">
        <v>-1.430263E-2</v>
      </c>
      <c r="Z2013">
        <v>-3.4589609999999998E-4</v>
      </c>
      <c r="AA2013">
        <v>0.9998977</v>
      </c>
      <c r="AB2013">
        <v>37</v>
      </c>
      <c r="AC2013">
        <v>-52.320900000000002</v>
      </c>
      <c r="AD2013">
        <v>-1.109918291729</v>
      </c>
      <c r="AE2013">
        <v>-0.26870000000002298</v>
      </c>
      <c r="AF2013">
        <v>-0.75720119543610298</v>
      </c>
      <c r="AG2013">
        <v>-1.109918291729</v>
      </c>
      <c r="AH2013">
        <v>52.292573542932899</v>
      </c>
      <c r="AI2013">
        <v>91.2158021551882</v>
      </c>
      <c r="AJ2013">
        <v>90.829590092842906</v>
      </c>
      <c r="AK2013">
        <v>52.309831963099697</v>
      </c>
      <c r="AL2013">
        <v>89.646424812496406</v>
      </c>
      <c r="AM2013">
        <v>91.305976946898994</v>
      </c>
      <c r="AN2013">
        <v>0.99999999873008005</v>
      </c>
    </row>
    <row r="2014" spans="1:40" x14ac:dyDescent="0.3">
      <c r="A2014" t="str">
        <f>"20200111160445061"</f>
        <v>20200111160445061</v>
      </c>
      <c r="B2014" t="str">
        <f>"1578729885052470"</f>
        <v>1578729885052470</v>
      </c>
      <c r="C2014" t="s">
        <v>40</v>
      </c>
      <c r="D2014">
        <v>6.2521170000000001</v>
      </c>
      <c r="E2014">
        <v>0.50331729999999997</v>
      </c>
      <c r="F2014" t="s">
        <v>61</v>
      </c>
      <c r="G2014">
        <v>-435.66059999999999</v>
      </c>
      <c r="H2014" s="1">
        <v>4.7397779999999997E-6</v>
      </c>
      <c r="I2014">
        <v>284.47289999999998</v>
      </c>
      <c r="J2014">
        <v>-379.87119999999999</v>
      </c>
      <c r="K2014">
        <v>1.1099509999999999</v>
      </c>
      <c r="L2014">
        <v>284.774</v>
      </c>
      <c r="M2014">
        <v>-0.99983809999999995</v>
      </c>
      <c r="N2014">
        <v>0</v>
      </c>
      <c r="O2014">
        <v>1.0267449999999999E-2</v>
      </c>
      <c r="P2014">
        <v>-0.99987820000000005</v>
      </c>
      <c r="Q2014">
        <v>-8.243373E-3</v>
      </c>
      <c r="R2014">
        <v>-1.3275220000000001E-2</v>
      </c>
      <c r="S2014">
        <v>-2.9996339999999999</v>
      </c>
      <c r="T2014">
        <v>-5.8514480000000001E-2</v>
      </c>
      <c r="U2014">
        <v>-1.525879E-2</v>
      </c>
      <c r="V2014">
        <v>-2.3536689999999999E-2</v>
      </c>
      <c r="W2014">
        <v>6.5610579999999998E-3</v>
      </c>
      <c r="X2014">
        <v>0.99970139999999996</v>
      </c>
      <c r="Y2014">
        <v>-1.535012E-2</v>
      </c>
      <c r="Z2014">
        <v>-3.4999329999999999E-4</v>
      </c>
      <c r="AA2014">
        <v>0.9998821</v>
      </c>
      <c r="AB2014">
        <v>36</v>
      </c>
      <c r="AC2014">
        <v>-55.789400000000001</v>
      </c>
      <c r="AD2014">
        <v>-1.109946260222</v>
      </c>
      <c r="AE2014">
        <v>-0.30110000000001902</v>
      </c>
      <c r="AF2014">
        <v>-0.87361576158644605</v>
      </c>
      <c r="AG2014">
        <v>-1.109946260222</v>
      </c>
      <c r="AH2014">
        <v>55.761295804463401</v>
      </c>
      <c r="AI2014">
        <v>91.140200161944506</v>
      </c>
      <c r="AJ2014">
        <v>90.897583180756399</v>
      </c>
      <c r="AK2014">
        <v>55.779183348201997</v>
      </c>
      <c r="AL2014">
        <v>89.624076353870393</v>
      </c>
      <c r="AM2014">
        <v>91.348706636665895</v>
      </c>
      <c r="AN2014">
        <v>0.99999995621009596</v>
      </c>
    </row>
    <row r="2015" spans="1:40" x14ac:dyDescent="0.3">
      <c r="A2015" t="str">
        <f>"20200111160445073"</f>
        <v>20200111160445073</v>
      </c>
      <c r="B2015" t="str">
        <f>"1578729885063206"</f>
        <v>1578729885063206</v>
      </c>
      <c r="C2015" t="s">
        <v>40</v>
      </c>
      <c r="D2015">
        <v>6.7042869999999999</v>
      </c>
      <c r="E2015">
        <v>0.52717080000000005</v>
      </c>
      <c r="F2015" t="s">
        <v>61</v>
      </c>
      <c r="G2015">
        <v>-437.93790000000001</v>
      </c>
      <c r="H2015" s="1">
        <v>5.7482240000000001E-6</v>
      </c>
      <c r="I2015">
        <v>284.48930000000001</v>
      </c>
      <c r="J2015">
        <v>-380.0761</v>
      </c>
      <c r="K2015">
        <v>1.1099559999999999</v>
      </c>
      <c r="L2015">
        <v>284.77620000000002</v>
      </c>
      <c r="M2015">
        <v>-0.99983630000000001</v>
      </c>
      <c r="N2015">
        <v>0</v>
      </c>
      <c r="O2015">
        <v>1.0430699999999999E-2</v>
      </c>
      <c r="P2015">
        <v>-0.99988189999999999</v>
      </c>
      <c r="Q2015">
        <v>-7.7128500000000003E-3</v>
      </c>
      <c r="R2015">
        <v>-1.3302039999999999E-2</v>
      </c>
      <c r="S2015">
        <v>-2.9996640000000001</v>
      </c>
      <c r="T2015">
        <v>-5.7338600000000003E-2</v>
      </c>
      <c r="U2015">
        <v>-1.4709470000000001E-2</v>
      </c>
      <c r="V2015">
        <v>-2.372633E-2</v>
      </c>
      <c r="W2015">
        <v>7.0898580000000001E-3</v>
      </c>
      <c r="X2015">
        <v>0.99969330000000001</v>
      </c>
      <c r="Y2015">
        <v>-1.5330389999999999E-2</v>
      </c>
      <c r="Z2015">
        <v>-3.458898E-4</v>
      </c>
      <c r="AA2015">
        <v>0.99988239999999995</v>
      </c>
      <c r="AB2015">
        <v>36</v>
      </c>
      <c r="AC2015">
        <v>-57.861800000000002</v>
      </c>
      <c r="AD2015">
        <v>-1.109950251776</v>
      </c>
      <c r="AE2015">
        <v>-0.28690000000000199</v>
      </c>
      <c r="AF2015">
        <v>-0.89016188292156095</v>
      </c>
      <c r="AG2015">
        <v>-1.109950251776</v>
      </c>
      <c r="AH2015">
        <v>57.834377345037502</v>
      </c>
      <c r="AI2015">
        <v>91.099348393715402</v>
      </c>
      <c r="AJ2015">
        <v>90.881802387818993</v>
      </c>
      <c r="AK2015">
        <v>57.851876206631403</v>
      </c>
      <c r="AL2015">
        <v>89.593777635465599</v>
      </c>
      <c r="AM2015">
        <v>91.359580395538302</v>
      </c>
      <c r="AN2015">
        <v>0.99999994944330794</v>
      </c>
    </row>
    <row r="2016" spans="1:40" x14ac:dyDescent="0.3">
      <c r="A2016" t="str">
        <f>"20200111160445101"</f>
        <v>20200111160445101</v>
      </c>
      <c r="B2016" t="str">
        <f>"1578729885092486"</f>
        <v>1578729885092486</v>
      </c>
      <c r="C2016" t="s">
        <v>40</v>
      </c>
      <c r="D2016">
        <v>6.6951049999999999</v>
      </c>
      <c r="E2016">
        <v>0.52884849999999906</v>
      </c>
      <c r="F2016" t="s">
        <v>57</v>
      </c>
      <c r="G2016">
        <v>-453.69130000000001</v>
      </c>
      <c r="H2016" s="1">
        <v>2.319833E-7</v>
      </c>
      <c r="I2016">
        <v>289.08999999999997</v>
      </c>
      <c r="J2016">
        <v>-380.5258</v>
      </c>
      <c r="K2016">
        <v>1.1099680000000001</v>
      </c>
      <c r="L2016">
        <v>284.78129999999999</v>
      </c>
      <c r="M2016">
        <v>-0.99983259999999996</v>
      </c>
      <c r="N2016">
        <v>0</v>
      </c>
      <c r="O2016">
        <v>1.0779149999999999E-2</v>
      </c>
      <c r="P2016">
        <v>-0.99987950000000003</v>
      </c>
      <c r="Q2016">
        <v>-7.3370930000000003E-3</v>
      </c>
      <c r="R2016">
        <v>-1.368172E-2</v>
      </c>
      <c r="S2016">
        <v>-3.0023499999999999</v>
      </c>
      <c r="T2016">
        <v>-4.5268889999999999E-2</v>
      </c>
      <c r="U2016">
        <v>0.1759338</v>
      </c>
      <c r="V2016">
        <v>-2.445464E-2</v>
      </c>
      <c r="W2016">
        <v>7.4617809999999998E-3</v>
      </c>
      <c r="X2016">
        <v>0.99967309999999998</v>
      </c>
      <c r="Y2016">
        <v>4.7728909999999999E-2</v>
      </c>
      <c r="Z2016">
        <v>1.9711500000000001E-4</v>
      </c>
      <c r="AA2016">
        <v>0.99886030000000003</v>
      </c>
      <c r="AB2016">
        <v>36</v>
      </c>
      <c r="AC2016">
        <v>-73.165499999999994</v>
      </c>
      <c r="AD2016">
        <v>-1.1099677680166999</v>
      </c>
      <c r="AE2016">
        <v>4.3086999999999804</v>
      </c>
      <c r="AF2016">
        <v>3.5188944476788402</v>
      </c>
      <c r="AG2016">
        <v>-1.1099677680166999</v>
      </c>
      <c r="AH2016">
        <v>73.190911036571293</v>
      </c>
      <c r="AI2016">
        <v>90.867843212754195</v>
      </c>
      <c r="AJ2016">
        <v>87.247435991638397</v>
      </c>
      <c r="AK2016">
        <v>73.283859784697697</v>
      </c>
      <c r="AL2016">
        <v>89.5724674767051</v>
      </c>
      <c r="AM2016">
        <v>91.401326363534096</v>
      </c>
      <c r="AN2016">
        <v>1.0000000072284101</v>
      </c>
    </row>
    <row r="2017" spans="1:40" x14ac:dyDescent="0.3">
      <c r="A2017" t="str">
        <f>"20200111160445123"</f>
        <v>20200111160445123</v>
      </c>
      <c r="B2017" t="str">
        <f>"1578729885112982"</f>
        <v>1578729885112982</v>
      </c>
      <c r="C2017" t="s">
        <v>40</v>
      </c>
      <c r="D2017">
        <v>5.7920369999999997</v>
      </c>
      <c r="E2017">
        <v>0.52942299999999998</v>
      </c>
      <c r="F2017" t="s">
        <v>61</v>
      </c>
      <c r="G2017">
        <v>-434.85399999999998</v>
      </c>
      <c r="H2017" s="1">
        <v>4.0586849999999996E-6</v>
      </c>
      <c r="I2017">
        <v>288.17230000000001</v>
      </c>
      <c r="J2017">
        <v>-380.88130000000001</v>
      </c>
      <c r="K2017">
        <v>1.109977</v>
      </c>
      <c r="L2017">
        <v>284.78539999999998</v>
      </c>
      <c r="M2017">
        <v>-0.99982979999999999</v>
      </c>
      <c r="N2017">
        <v>0</v>
      </c>
      <c r="O2017">
        <v>1.1043590000000001E-2</v>
      </c>
      <c r="P2017">
        <v>-0.99987599999999999</v>
      </c>
      <c r="Q2017">
        <v>-7.4061079999999998E-3</v>
      </c>
      <c r="R2017">
        <v>-1.390737E-2</v>
      </c>
      <c r="S2017">
        <v>-3.0025019999999998</v>
      </c>
      <c r="T2017">
        <v>-6.1343189999999999E-2</v>
      </c>
      <c r="U2017">
        <v>0.1874084</v>
      </c>
      <c r="V2017">
        <v>-2.494468E-2</v>
      </c>
      <c r="W2017">
        <v>7.3893040000000002E-3</v>
      </c>
      <c r="X2017">
        <v>0.99966149999999998</v>
      </c>
      <c r="Y2017">
        <v>5.1260689999999998E-2</v>
      </c>
      <c r="Z2017">
        <v>2.9769509999999998E-4</v>
      </c>
      <c r="AA2017">
        <v>0.99868520000000005</v>
      </c>
      <c r="AB2017">
        <v>36</v>
      </c>
      <c r="AC2017">
        <v>-53.972700000000003</v>
      </c>
      <c r="AD2017">
        <v>-1.1099729413149999</v>
      </c>
      <c r="AE2017">
        <v>3.3869000000000198</v>
      </c>
      <c r="AF2017">
        <v>2.7894008256968501</v>
      </c>
      <c r="AG2017">
        <v>-1.1099729413149999</v>
      </c>
      <c r="AH2017">
        <v>53.984073172517299</v>
      </c>
      <c r="AI2017">
        <v>91.176330520286299</v>
      </c>
      <c r="AJ2017">
        <v>87.042111146871804</v>
      </c>
      <c r="AK2017">
        <v>54.067485175404201</v>
      </c>
      <c r="AL2017">
        <v>89.576620204464106</v>
      </c>
      <c r="AM2017">
        <v>91.429412212423998</v>
      </c>
      <c r="AN2017">
        <v>0.99999997672807805</v>
      </c>
    </row>
    <row r="2018" spans="1:40" x14ac:dyDescent="0.3">
      <c r="A2018" t="str">
        <f>"20200111160445147"</f>
        <v>20200111160445147</v>
      </c>
      <c r="B2018" t="str">
        <f>"1578729885143239"</f>
        <v>1578729885143239</v>
      </c>
      <c r="C2018" t="s">
        <v>40</v>
      </c>
      <c r="D2018">
        <v>5.7954330000000001</v>
      </c>
      <c r="E2018">
        <v>0.52874019999999899</v>
      </c>
      <c r="F2018" t="s">
        <v>61</v>
      </c>
      <c r="G2018">
        <v>-417.11540000000002</v>
      </c>
      <c r="H2018" s="1">
        <v>3.2526E-6</v>
      </c>
      <c r="I2018">
        <v>287.07909999999998</v>
      </c>
      <c r="J2018">
        <v>-381.24220000000003</v>
      </c>
      <c r="K2018">
        <v>1.109982</v>
      </c>
      <c r="L2018">
        <v>284.78960000000001</v>
      </c>
      <c r="M2018">
        <v>-0.99982700000000002</v>
      </c>
      <c r="N2018">
        <v>0</v>
      </c>
      <c r="O2018">
        <v>1.130074E-2</v>
      </c>
      <c r="P2018">
        <v>-0.99987349999999997</v>
      </c>
      <c r="Q2018">
        <v>-8.0421529999999998E-3</v>
      </c>
      <c r="R2018">
        <v>-1.3732090000000001E-2</v>
      </c>
      <c r="S2018">
        <v>-3.00238</v>
      </c>
      <c r="T2018">
        <v>-9.1973070000000004E-2</v>
      </c>
      <c r="U2018">
        <v>0.1900635</v>
      </c>
      <c r="V2018">
        <v>-2.5027250000000001E-2</v>
      </c>
      <c r="W2018">
        <v>6.749405E-3</v>
      </c>
      <c r="X2018">
        <v>0.999664</v>
      </c>
      <c r="Y2018">
        <v>5.1875419999999998E-2</v>
      </c>
      <c r="Z2018">
        <v>4.4782550000000001E-4</v>
      </c>
      <c r="AA2018">
        <v>0.99865349999999997</v>
      </c>
      <c r="AB2018">
        <v>36</v>
      </c>
      <c r="AC2018">
        <v>-35.873199999999997</v>
      </c>
      <c r="AD2018">
        <v>-1.1099787474</v>
      </c>
      <c r="AE2018">
        <v>2.2894999999999701</v>
      </c>
      <c r="AF2018">
        <v>1.8821212014950901</v>
      </c>
      <c r="AG2018">
        <v>-1.1099787474</v>
      </c>
      <c r="AH2018">
        <v>35.862589455721697</v>
      </c>
      <c r="AI2018">
        <v>91.770354110200699</v>
      </c>
      <c r="AJ2018">
        <v>86.995789750302606</v>
      </c>
      <c r="AK2018">
        <v>35.929093441199399</v>
      </c>
      <c r="AL2018">
        <v>89.613284649053597</v>
      </c>
      <c r="AM2018">
        <v>91.434138187173403</v>
      </c>
      <c r="AN2018">
        <v>1.0000000153032</v>
      </c>
    </row>
    <row r="2019" spans="1:40" x14ac:dyDescent="0.3">
      <c r="A2019" t="str">
        <f>"20200111160445160"</f>
        <v>20200111160445160</v>
      </c>
      <c r="B2019" t="str">
        <f>"1578729885152998"</f>
        <v>1578729885152998</v>
      </c>
      <c r="C2019" t="s">
        <v>40</v>
      </c>
      <c r="D2019">
        <v>6.4892640000000004</v>
      </c>
      <c r="E2019">
        <v>0.52874019999999899</v>
      </c>
      <c r="F2019" t="s">
        <v>61</v>
      </c>
      <c r="G2019">
        <v>-416.6619</v>
      </c>
      <c r="H2019" s="1">
        <v>3.1814149999999999E-6</v>
      </c>
      <c r="I2019">
        <v>286.97329999999999</v>
      </c>
      <c r="J2019">
        <v>-381.4855</v>
      </c>
      <c r="K2019">
        <v>1.1099889999999999</v>
      </c>
      <c r="L2019">
        <v>284.79259999999999</v>
      </c>
      <c r="M2019">
        <v>-0.99982510000000002</v>
      </c>
      <c r="N2019">
        <v>0</v>
      </c>
      <c r="O2019">
        <v>1.146759E-2</v>
      </c>
      <c r="P2019">
        <v>-0.99987360000000003</v>
      </c>
      <c r="Q2019">
        <v>-8.347152E-3</v>
      </c>
      <c r="R2019">
        <v>-1.354529E-2</v>
      </c>
      <c r="S2019">
        <v>-3.0021969999999998</v>
      </c>
      <c r="T2019">
        <v>-9.4082360000000004E-2</v>
      </c>
      <c r="U2019">
        <v>0.18508910000000001</v>
      </c>
      <c r="V2019">
        <v>-2.5007290000000001E-2</v>
      </c>
      <c r="W2019">
        <v>6.4418510000000002E-3</v>
      </c>
      <c r="X2019">
        <v>0.99966650000000001</v>
      </c>
      <c r="Y2019">
        <v>5.0064369999999997E-2</v>
      </c>
      <c r="Z2019">
        <v>4.2457649999999998E-4</v>
      </c>
      <c r="AA2019">
        <v>0.99874589999999996</v>
      </c>
      <c r="AB2019">
        <v>36</v>
      </c>
      <c r="AC2019">
        <v>-35.176400000000001</v>
      </c>
      <c r="AD2019">
        <v>-1.10998581858499</v>
      </c>
      <c r="AE2019">
        <v>2.1806999999999999</v>
      </c>
      <c r="AF2019">
        <v>1.7753630383971</v>
      </c>
      <c r="AG2019">
        <v>-1.10998581858499</v>
      </c>
      <c r="AH2019">
        <v>35.164217322533602</v>
      </c>
      <c r="AI2019">
        <v>91.805687056883201</v>
      </c>
      <c r="AJ2019">
        <v>87.109717787306707</v>
      </c>
      <c r="AK2019">
        <v>35.226498014164498</v>
      </c>
      <c r="AL2019">
        <v>89.630906567736503</v>
      </c>
      <c r="AM2019">
        <v>91.432991312865695</v>
      </c>
      <c r="AN2019">
        <v>0.99999998660985001</v>
      </c>
    </row>
    <row r="2020" spans="1:40" x14ac:dyDescent="0.3">
      <c r="A2020" t="str">
        <f>"20200111160445175"</f>
        <v>20200111160445175</v>
      </c>
      <c r="B2020" t="str">
        <f>"1578729885172518"</f>
        <v>1578729885172518</v>
      </c>
      <c r="C2020" t="s">
        <v>40</v>
      </c>
      <c r="D2020">
        <v>5.996855</v>
      </c>
      <c r="E2020">
        <v>0.5287425</v>
      </c>
      <c r="F2020" t="s">
        <v>61</v>
      </c>
      <c r="G2020">
        <v>-416.56020000000001</v>
      </c>
      <c r="H2020" s="1">
        <v>3.1644780000000002E-6</v>
      </c>
      <c r="I2020">
        <v>286.96069999999997</v>
      </c>
      <c r="J2020">
        <v>-381.70949999999999</v>
      </c>
      <c r="K2020">
        <v>1.1100000000000001</v>
      </c>
      <c r="L2020">
        <v>284.7953</v>
      </c>
      <c r="M2020">
        <v>-0.99982349999999998</v>
      </c>
      <c r="N2020">
        <v>0</v>
      </c>
      <c r="O2020">
        <v>1.1616970000000001E-2</v>
      </c>
      <c r="P2020">
        <v>-0.99987700000000002</v>
      </c>
      <c r="Q2020">
        <v>-8.5303669999999901E-3</v>
      </c>
      <c r="R2020">
        <v>-1.3173880000000001E-2</v>
      </c>
      <c r="S2020">
        <v>-3.002167</v>
      </c>
      <c r="T2020">
        <v>-9.5007540000000001E-2</v>
      </c>
      <c r="U2020">
        <v>0.1855774</v>
      </c>
      <c r="V2020">
        <v>-2.4785660000000001E-2</v>
      </c>
      <c r="W2020">
        <v>6.2558880000000002E-3</v>
      </c>
      <c r="X2020">
        <v>0.99967320000000004</v>
      </c>
      <c r="Y2020">
        <v>5.007727E-2</v>
      </c>
      <c r="Z2020">
        <v>4.2423450000000001E-4</v>
      </c>
      <c r="AA2020">
        <v>0.99874529999999995</v>
      </c>
      <c r="AB2020">
        <v>36</v>
      </c>
      <c r="AC2020">
        <v>-34.850700000000003</v>
      </c>
      <c r="AD2020">
        <v>-1.109996835522</v>
      </c>
      <c r="AE2020">
        <v>2.1653999999999698</v>
      </c>
      <c r="AF2020">
        <v>1.75857309013453</v>
      </c>
      <c r="AG2020">
        <v>-1.109996835522</v>
      </c>
      <c r="AH2020">
        <v>34.838300942251799</v>
      </c>
      <c r="AI2020">
        <v>91.822587089977205</v>
      </c>
      <c r="AJ2020">
        <v>87.110267590314393</v>
      </c>
      <c r="AK2020">
        <v>34.900313534854099</v>
      </c>
      <c r="AL2020">
        <v>89.641561677445097</v>
      </c>
      <c r="AM2020">
        <v>91.420286971697195</v>
      </c>
      <c r="AN2020">
        <v>0.99999998593727202</v>
      </c>
    </row>
    <row r="2021" spans="1:40" x14ac:dyDescent="0.3">
      <c r="A2021" t="str">
        <f>"20200111160445190"</f>
        <v>20200111160445190</v>
      </c>
      <c r="B2021" t="str">
        <f>"1578729885183254"</f>
        <v>1578729885183254</v>
      </c>
      <c r="C2021" t="s">
        <v>40</v>
      </c>
      <c r="D2021">
        <v>5.831073</v>
      </c>
      <c r="E2021">
        <v>0.56385229999999997</v>
      </c>
      <c r="F2021" t="s">
        <v>61</v>
      </c>
      <c r="G2021">
        <v>-416.40649999999999</v>
      </c>
      <c r="H2021" s="1">
        <v>3.1377949999999999E-6</v>
      </c>
      <c r="I2021">
        <v>286.95389999999998</v>
      </c>
      <c r="J2021">
        <v>-381.96409999999997</v>
      </c>
      <c r="K2021">
        <v>1.110009</v>
      </c>
      <c r="L2021">
        <v>284.79840000000002</v>
      </c>
      <c r="M2021">
        <v>-0.99982159999999998</v>
      </c>
      <c r="N2021">
        <v>0</v>
      </c>
      <c r="O2021">
        <v>1.1782330000000001E-2</v>
      </c>
      <c r="P2021">
        <v>-0.99987709999999996</v>
      </c>
      <c r="Q2021">
        <v>-8.8353359999999992E-3</v>
      </c>
      <c r="R2021">
        <v>-1.2961540000000001E-2</v>
      </c>
      <c r="S2021">
        <v>-3.0019840000000002</v>
      </c>
      <c r="T2021">
        <v>-9.6036910000000003E-2</v>
      </c>
      <c r="U2021">
        <v>0.18676760000000001</v>
      </c>
      <c r="V2021">
        <v>-2.4738989999999999E-2</v>
      </c>
      <c r="W2021">
        <v>5.9478569999999904E-3</v>
      </c>
      <c r="X2021">
        <v>0.99967620000000001</v>
      </c>
      <c r="Y2021">
        <v>5.0309850000000003E-2</v>
      </c>
      <c r="Z2021">
        <v>4.2728260000000001E-4</v>
      </c>
      <c r="AA2021">
        <v>0.9987336</v>
      </c>
      <c r="AB2021">
        <v>36</v>
      </c>
      <c r="AC2021">
        <v>-34.442399999999999</v>
      </c>
      <c r="AD2021">
        <v>-1.110005862205</v>
      </c>
      <c r="AE2021">
        <v>2.15549999999996</v>
      </c>
      <c r="AF2021">
        <v>1.7476862634058901</v>
      </c>
      <c r="AG2021">
        <v>-1.110005862205</v>
      </c>
      <c r="AH2021">
        <v>34.429787736990598</v>
      </c>
      <c r="AI2021">
        <v>91.844186119498204</v>
      </c>
      <c r="AJ2021">
        <v>87.0941100361254</v>
      </c>
      <c r="AK2021">
        <v>34.491981733493603</v>
      </c>
      <c r="AL2021">
        <v>89.659210870253901</v>
      </c>
      <c r="AM2021">
        <v>91.417609491260507</v>
      </c>
      <c r="AN2021">
        <v>0.99999994973777495</v>
      </c>
    </row>
    <row r="2022" spans="1:40" x14ac:dyDescent="0.3">
      <c r="A2022" t="str">
        <f>"20200111160445203"</f>
        <v>20200111160445203</v>
      </c>
      <c r="B2022" t="str">
        <f>"1578729885193117"</f>
        <v>1578729885193117</v>
      </c>
      <c r="C2022" t="s">
        <v>40</v>
      </c>
      <c r="D2022">
        <v>5.7429730000000001</v>
      </c>
      <c r="E2022">
        <v>0.57167040000000002</v>
      </c>
      <c r="F2022" t="s">
        <v>42</v>
      </c>
      <c r="G2022">
        <v>-382.89499999999998</v>
      </c>
      <c r="H2022">
        <v>1.019795</v>
      </c>
      <c r="I2022">
        <v>284.9409</v>
      </c>
      <c r="J2022">
        <v>-382.17509999999999</v>
      </c>
      <c r="K2022">
        <v>1.110015</v>
      </c>
      <c r="L2022">
        <v>284.80099999999999</v>
      </c>
      <c r="M2022">
        <v>-0.99982000000000004</v>
      </c>
      <c r="N2022">
        <v>0</v>
      </c>
      <c r="O2022">
        <v>1.191629E-2</v>
      </c>
      <c r="P2022">
        <v>-0.99988679999999996</v>
      </c>
      <c r="Q2022">
        <v>-8.5657570000000002E-3</v>
      </c>
      <c r="R2022">
        <v>-1.237274E-2</v>
      </c>
      <c r="S2022">
        <v>-3.0037229999999999</v>
      </c>
      <c r="T2022">
        <v>-0.29117979999999999</v>
      </c>
      <c r="U2022">
        <v>0.45922849999999998</v>
      </c>
      <c r="V2022">
        <v>-2.4284199999999999E-2</v>
      </c>
      <c r="W2022">
        <v>6.2153579999999998E-3</v>
      </c>
      <c r="X2022">
        <v>0.99968579999999996</v>
      </c>
      <c r="Y2022">
        <v>0.1387582</v>
      </c>
      <c r="Z2022">
        <v>5.5256709999999898E-3</v>
      </c>
      <c r="AA2022">
        <v>0.99031089999999999</v>
      </c>
      <c r="AB2022">
        <v>36</v>
      </c>
      <c r="AC2022">
        <v>-0.71989999999999499</v>
      </c>
      <c r="AD2022">
        <v>-9.0219999999999897E-2</v>
      </c>
      <c r="AE2022">
        <v>0.13990000000001099</v>
      </c>
      <c r="AF2022">
        <v>0.12935292699654999</v>
      </c>
      <c r="AG2022">
        <v>-9.0219999999999897E-2</v>
      </c>
      <c r="AH2022">
        <v>0.71075930393888498</v>
      </c>
      <c r="AI2022">
        <v>97.118436674289299</v>
      </c>
      <c r="AJ2022">
        <v>79.685480715108397</v>
      </c>
      <c r="AK2022">
        <v>0.72804575148699502</v>
      </c>
      <c r="AL2022">
        <v>89.643883934795497</v>
      </c>
      <c r="AM2022">
        <v>91.391545807717705</v>
      </c>
      <c r="AN2022">
        <v>1.0000000258831701</v>
      </c>
    </row>
    <row r="2023" spans="1:40" x14ac:dyDescent="0.3">
      <c r="A2023" t="str">
        <f>"20200111160445225"</f>
        <v>20200111160445225</v>
      </c>
      <c r="B2023" t="str">
        <f>"1578729885212637"</f>
        <v>1578729885212637</v>
      </c>
      <c r="C2023" t="s">
        <v>40</v>
      </c>
      <c r="D2023">
        <v>5.7214640000000001</v>
      </c>
      <c r="E2023">
        <v>0.57826199999999905</v>
      </c>
      <c r="F2023" t="s">
        <v>42</v>
      </c>
      <c r="G2023">
        <v>-382.90649999999999</v>
      </c>
      <c r="H2023">
        <v>1.039998</v>
      </c>
      <c r="I2023">
        <v>284.92860000000002</v>
      </c>
      <c r="J2023">
        <v>-382.50510000000003</v>
      </c>
      <c r="K2023">
        <v>1.110026</v>
      </c>
      <c r="L2023">
        <v>284.80509999999998</v>
      </c>
      <c r="M2023">
        <v>-0.99981770000000003</v>
      </c>
      <c r="N2023">
        <v>0</v>
      </c>
      <c r="O2023">
        <v>1.211839E-2</v>
      </c>
      <c r="P2023">
        <v>-0.99989740000000005</v>
      </c>
      <c r="Q2023">
        <v>-8.2114430000000006E-3</v>
      </c>
      <c r="R2023">
        <v>-1.174591E-2</v>
      </c>
      <c r="S2023">
        <v>-3.0044249999999999</v>
      </c>
      <c r="T2023">
        <v>-0.28770980000000002</v>
      </c>
      <c r="U2023">
        <v>0.52349849999999998</v>
      </c>
      <c r="V2023">
        <v>-2.385988E-2</v>
      </c>
      <c r="W2023">
        <v>6.5658259999999899E-3</v>
      </c>
      <c r="X2023">
        <v>0.99969379999999997</v>
      </c>
      <c r="Y2023">
        <v>0.15905169999999999</v>
      </c>
      <c r="Z2023">
        <v>6.3927089999999999E-3</v>
      </c>
      <c r="AA2023">
        <v>0.98724959999999995</v>
      </c>
      <c r="AB2023">
        <v>36</v>
      </c>
      <c r="AC2023">
        <v>-0.40139999999996601</v>
      </c>
      <c r="AD2023">
        <v>-7.0027999999999896E-2</v>
      </c>
      <c r="AE2023">
        <v>0.123500000000035</v>
      </c>
      <c r="AF2023">
        <v>0.115417015321455</v>
      </c>
      <c r="AG2023">
        <v>-7.0027999999999896E-2</v>
      </c>
      <c r="AH2023">
        <v>0.39196897026114103</v>
      </c>
      <c r="AI2023">
        <v>99.724971174840206</v>
      </c>
      <c r="AJ2023">
        <v>73.592699270176297</v>
      </c>
      <c r="AK2023">
        <v>0.41456565445932902</v>
      </c>
      <c r="AL2023">
        <v>89.623803196549105</v>
      </c>
      <c r="AM2023">
        <v>91.367229577521599</v>
      </c>
      <c r="AN2023">
        <v>1.0000000488515499</v>
      </c>
    </row>
    <row r="2024" spans="1:40" x14ac:dyDescent="0.3">
      <c r="A2024" t="str">
        <f>"20200111160445246"</f>
        <v>20200111160445246</v>
      </c>
      <c r="B2024" t="str">
        <f>"1578729885242893"</f>
        <v>1578729885242893</v>
      </c>
      <c r="C2024" t="s">
        <v>40</v>
      </c>
      <c r="D2024">
        <v>5.7027130000000001</v>
      </c>
      <c r="E2024">
        <v>0.58217509999999995</v>
      </c>
      <c r="F2024" t="s">
        <v>57</v>
      </c>
      <c r="G2024">
        <v>-394.89280000000002</v>
      </c>
      <c r="H2024" s="1">
        <v>1.0669060000000001E-6</v>
      </c>
      <c r="I2024">
        <v>287.19049999999999</v>
      </c>
      <c r="J2024">
        <v>-382.86540000000002</v>
      </c>
      <c r="K2024">
        <v>1.1100410000000001</v>
      </c>
      <c r="L2024">
        <v>284.8098</v>
      </c>
      <c r="M2024">
        <v>-0.99981500000000001</v>
      </c>
      <c r="N2024">
        <v>0</v>
      </c>
      <c r="O2024">
        <v>1.2330020000000001E-2</v>
      </c>
      <c r="P2024">
        <v>-0.99990469999999998</v>
      </c>
      <c r="Q2024">
        <v>-7.8406910000000003E-3</v>
      </c>
      <c r="R2024">
        <v>-1.136298E-2</v>
      </c>
      <c r="S2024">
        <v>-3.004883</v>
      </c>
      <c r="T2024">
        <v>-0.26925830000000001</v>
      </c>
      <c r="U2024">
        <v>0.5786133</v>
      </c>
      <c r="V2024">
        <v>-2.3688219999999999E-2</v>
      </c>
      <c r="W2024">
        <v>6.9320290000000001E-3</v>
      </c>
      <c r="X2024">
        <v>0.99969540000000001</v>
      </c>
      <c r="Y2024">
        <v>0.1763276</v>
      </c>
      <c r="Z2024">
        <v>6.7205040000000004E-3</v>
      </c>
      <c r="AA2024">
        <v>0.98430859999999998</v>
      </c>
      <c r="AB2024">
        <v>36</v>
      </c>
      <c r="AC2024">
        <v>-12.0274</v>
      </c>
      <c r="AD2024">
        <v>-1.1100399330940001</v>
      </c>
      <c r="AE2024">
        <v>2.3806999999999898</v>
      </c>
      <c r="AF2024">
        <v>2.2140566228469298</v>
      </c>
      <c r="AG2024">
        <v>-1.1100399330940001</v>
      </c>
      <c r="AH2024">
        <v>11.957827199575</v>
      </c>
      <c r="AI2024">
        <v>95.215399277229295</v>
      </c>
      <c r="AJ2024">
        <v>79.510171381817898</v>
      </c>
      <c r="AK2024">
        <v>12.211628340116301</v>
      </c>
      <c r="AL2024">
        <v>89.602820829256402</v>
      </c>
      <c r="AM2024">
        <v>91.357394560813404</v>
      </c>
      <c r="AN2024">
        <v>1.0000000387869901</v>
      </c>
    </row>
    <row r="2025" spans="1:40" x14ac:dyDescent="0.3">
      <c r="A2025" t="str">
        <f>"20200111160445270"</f>
        <v>20200111160445270</v>
      </c>
      <c r="B2025" t="str">
        <f>"1578729885262413"</f>
        <v>1578729885262413</v>
      </c>
      <c r="C2025" t="s">
        <v>40</v>
      </c>
      <c r="D2025">
        <v>5.8694629999999997</v>
      </c>
      <c r="E2025">
        <v>0.58295469999999905</v>
      </c>
      <c r="F2025" t="s">
        <v>57</v>
      </c>
      <c r="G2025">
        <v>-395.68810000000002</v>
      </c>
      <c r="H2025" s="1">
        <v>1.4901600000000001E-6</v>
      </c>
      <c r="I2025">
        <v>287.42</v>
      </c>
      <c r="J2025">
        <v>-383.24579999999997</v>
      </c>
      <c r="K2025">
        <v>1.1100559999999999</v>
      </c>
      <c r="L2025">
        <v>284.81459999999998</v>
      </c>
      <c r="M2025">
        <v>-0.99981240000000005</v>
      </c>
      <c r="N2025">
        <v>0</v>
      </c>
      <c r="O2025">
        <v>1.2546E-2</v>
      </c>
      <c r="P2025">
        <v>-0.99990650000000003</v>
      </c>
      <c r="Q2025">
        <v>-7.5594540000000002E-3</v>
      </c>
      <c r="R2025">
        <v>-1.1381219999999999E-2</v>
      </c>
      <c r="S2025">
        <v>-3.005188</v>
      </c>
      <c r="T2025">
        <v>-0.2601522</v>
      </c>
      <c r="U2025">
        <v>0.61175539999999995</v>
      </c>
      <c r="V2025">
        <v>-2.3922229999999999E-2</v>
      </c>
      <c r="W2025">
        <v>7.2090640000000003E-3</v>
      </c>
      <c r="X2025">
        <v>0.99968789999999996</v>
      </c>
      <c r="Y2025">
        <v>0.18653990000000001</v>
      </c>
      <c r="Z2025">
        <v>6.9048740000000001E-3</v>
      </c>
      <c r="AA2025">
        <v>0.98242309999999999</v>
      </c>
      <c r="AB2025">
        <v>36</v>
      </c>
      <c r="AC2025">
        <v>-12.442299999999999</v>
      </c>
      <c r="AD2025">
        <v>-1.1100545098400001</v>
      </c>
      <c r="AE2025">
        <v>2.6054000000000301</v>
      </c>
      <c r="AF2025">
        <v>2.4305434726578699</v>
      </c>
      <c r="AG2025">
        <v>-1.1100545098400001</v>
      </c>
      <c r="AH2025">
        <v>12.3796146424</v>
      </c>
      <c r="AI2025">
        <v>95.028398450801404</v>
      </c>
      <c r="AJ2025">
        <v>78.892158029942394</v>
      </c>
      <c r="AK2025">
        <v>12.6646998101661</v>
      </c>
      <c r="AL2025">
        <v>89.5869475098838</v>
      </c>
      <c r="AM2025">
        <v>91.370809110970498</v>
      </c>
      <c r="AN2025">
        <v>1.0000000705491601</v>
      </c>
    </row>
    <row r="2026" spans="1:40" x14ac:dyDescent="0.3">
      <c r="A2026" t="str">
        <f>"20200111160445283"</f>
        <v>20200111160445283</v>
      </c>
      <c r="B2026" t="str">
        <f>"1578729885273149"</f>
        <v>1578729885273149</v>
      </c>
      <c r="C2026" t="s">
        <v>40</v>
      </c>
      <c r="D2026">
        <v>5.6987990000000002</v>
      </c>
      <c r="E2026">
        <v>0.59370529999999999</v>
      </c>
      <c r="F2026" t="s">
        <v>57</v>
      </c>
      <c r="G2026">
        <v>-396.20650000000001</v>
      </c>
      <c r="H2026" s="1">
        <v>1.7660060000000001E-6</v>
      </c>
      <c r="I2026">
        <v>287.4794</v>
      </c>
      <c r="J2026">
        <v>-383.46440000000001</v>
      </c>
      <c r="K2026">
        <v>1.1100620000000001</v>
      </c>
      <c r="L2026">
        <v>284.8175</v>
      </c>
      <c r="M2026">
        <v>-0.99981109999999895</v>
      </c>
      <c r="N2026">
        <v>0</v>
      </c>
      <c r="O2026">
        <v>1.2667889999999999E-2</v>
      </c>
      <c r="P2026">
        <v>-0.99991010000000002</v>
      </c>
      <c r="Q2026">
        <v>-7.4252579999999997E-3</v>
      </c>
      <c r="R2026">
        <v>-1.117775E-2</v>
      </c>
      <c r="S2026">
        <v>-3.0053709999999998</v>
      </c>
      <c r="T2026">
        <v>-0.25740259999999998</v>
      </c>
      <c r="U2026">
        <v>0.61791989999999997</v>
      </c>
      <c r="V2026">
        <v>-2.3841169999999998E-2</v>
      </c>
      <c r="W2026">
        <v>7.3406679999999998E-3</v>
      </c>
      <c r="X2026">
        <v>0.99968880000000004</v>
      </c>
      <c r="Y2026">
        <v>0.18834989999999999</v>
      </c>
      <c r="Z2026">
        <v>6.8966319999999998E-3</v>
      </c>
      <c r="AA2026">
        <v>0.9820778</v>
      </c>
      <c r="AB2026">
        <v>36</v>
      </c>
      <c r="AC2026">
        <v>-12.742099999999899</v>
      </c>
      <c r="AD2026">
        <v>-1.110060233994</v>
      </c>
      <c r="AE2026">
        <v>2.6619000000000002</v>
      </c>
      <c r="AF2026">
        <v>2.48220248232936</v>
      </c>
      <c r="AG2026">
        <v>-1.110060233994</v>
      </c>
      <c r="AH2026">
        <v>12.6825727622491</v>
      </c>
      <c r="AI2026">
        <v>94.909469351081498</v>
      </c>
      <c r="AJ2026">
        <v>78.926187993947195</v>
      </c>
      <c r="AK2026">
        <v>12.9707831203871</v>
      </c>
      <c r="AL2026">
        <v>89.579406923990007</v>
      </c>
      <c r="AM2026">
        <v>91.366164685485003</v>
      </c>
      <c r="AN2026">
        <v>0.99999999181954702</v>
      </c>
    </row>
    <row r="2027" spans="1:40" x14ac:dyDescent="0.3">
      <c r="A2027" t="str">
        <f>"20200111160445325"</f>
        <v>20200111160445325</v>
      </c>
      <c r="B2027" t="str">
        <f>"1578729885322519"</f>
        <v>1578729885322519</v>
      </c>
      <c r="C2027" t="s">
        <v>40</v>
      </c>
      <c r="D2027">
        <v>5.3385300000000004</v>
      </c>
      <c r="E2027">
        <v>0.48577310000000001</v>
      </c>
      <c r="F2027" t="s">
        <v>60</v>
      </c>
      <c r="G2027">
        <v>-447.36259999999999</v>
      </c>
      <c r="H2027">
        <v>0.66408730000000005</v>
      </c>
      <c r="I2027">
        <v>299.99520000000001</v>
      </c>
      <c r="J2027">
        <v>-384.11660000000001</v>
      </c>
      <c r="K2027">
        <v>1.1100749999999999</v>
      </c>
      <c r="L2027">
        <v>284.8261</v>
      </c>
      <c r="M2027">
        <v>-0.99980650000000004</v>
      </c>
      <c r="N2027">
        <v>0</v>
      </c>
      <c r="O2027">
        <v>1.3022999999999899E-2</v>
      </c>
      <c r="P2027">
        <v>-0.99990950000000001</v>
      </c>
      <c r="Q2027">
        <v>-7.7636559999999999E-3</v>
      </c>
      <c r="R2027">
        <v>-1.100318E-2</v>
      </c>
      <c r="S2027">
        <v>-3.0080870000000002</v>
      </c>
      <c r="T2027">
        <v>-2.0994309999999999E-2</v>
      </c>
      <c r="U2027">
        <v>0.71450809999999998</v>
      </c>
      <c r="V2027">
        <v>-2.4021890000000001E-2</v>
      </c>
      <c r="W2027">
        <v>6.9949699999999997E-3</v>
      </c>
      <c r="X2027">
        <v>0.99968699999999999</v>
      </c>
      <c r="Y2027">
        <v>0.21840300000000001</v>
      </c>
      <c r="Z2027">
        <v>6.6206589999999997E-4</v>
      </c>
      <c r="AA2027">
        <v>0.97585840000000001</v>
      </c>
      <c r="AB2027">
        <v>36</v>
      </c>
      <c r="AC2027">
        <v>-63.245999999999903</v>
      </c>
      <c r="AD2027">
        <v>-0.44598769999999899</v>
      </c>
      <c r="AE2027">
        <v>15.1691</v>
      </c>
      <c r="AF2027">
        <v>14.343396711754499</v>
      </c>
      <c r="AG2027">
        <v>-0.44598769999999899</v>
      </c>
      <c r="AH2027">
        <v>63.435221285799301</v>
      </c>
      <c r="AI2027">
        <v>90.392898912307899</v>
      </c>
      <c r="AJ2027">
        <v>77.259046576030997</v>
      </c>
      <c r="AK2027">
        <v>65.038136764806296</v>
      </c>
      <c r="AL2027">
        <v>89.599214488540298</v>
      </c>
      <c r="AM2027">
        <v>91.376518947257495</v>
      </c>
      <c r="AN2027">
        <v>1.0000000393867301</v>
      </c>
    </row>
    <row r="2028" spans="1:40" x14ac:dyDescent="0.3">
      <c r="A2028" t="str">
        <f>"20200111160445352"</f>
        <v>20200111160445352</v>
      </c>
      <c r="B2028" t="str">
        <f>"1578729885343016"</f>
        <v>1578729885343016</v>
      </c>
      <c r="C2028" t="s">
        <v>40</v>
      </c>
      <c r="D2028">
        <v>5.5346970000000004</v>
      </c>
      <c r="E2028">
        <v>0.4033486</v>
      </c>
      <c r="F2028" t="s">
        <v>61</v>
      </c>
      <c r="G2028">
        <v>-415.30840000000001</v>
      </c>
      <c r="H2028" s="1">
        <v>3.265587E-6</v>
      </c>
      <c r="I2028">
        <v>283.26420000000002</v>
      </c>
      <c r="J2028">
        <v>-384.56169999999997</v>
      </c>
      <c r="K2028">
        <v>1.11008</v>
      </c>
      <c r="L2028">
        <v>284.8322</v>
      </c>
      <c r="M2028">
        <v>-0.99980340000000001</v>
      </c>
      <c r="N2028">
        <v>0</v>
      </c>
      <c r="O2028">
        <v>1.326243E-2</v>
      </c>
      <c r="P2028">
        <v>-0.99990809999999997</v>
      </c>
      <c r="Q2028">
        <v>-7.8981850000000003E-3</v>
      </c>
      <c r="R2028">
        <v>-1.103113E-2</v>
      </c>
      <c r="S2028">
        <v>-2.9977719999999999</v>
      </c>
      <c r="T2028">
        <v>-0.1066865</v>
      </c>
      <c r="U2028">
        <v>-0.150116</v>
      </c>
      <c r="V2028">
        <v>-2.428934E-2</v>
      </c>
      <c r="W2028">
        <v>6.8562149999999997E-3</v>
      </c>
      <c r="X2028">
        <v>0.9996815</v>
      </c>
      <c r="Y2028">
        <v>-6.3207749999999993E-2</v>
      </c>
      <c r="Z2028">
        <v>-1.595305E-3</v>
      </c>
      <c r="AA2028">
        <v>0.99799910000000003</v>
      </c>
      <c r="AB2028">
        <v>36</v>
      </c>
      <c r="AC2028">
        <v>-30.746700000000001</v>
      </c>
      <c r="AD2028">
        <v>-1.110076734413</v>
      </c>
      <c r="AE2028">
        <v>-1.5679999999999801</v>
      </c>
      <c r="AF2028">
        <v>-1.9731170525734401</v>
      </c>
      <c r="AG2028">
        <v>-1.110076734413</v>
      </c>
      <c r="AH2028">
        <v>30.6833057415074</v>
      </c>
      <c r="AI2028">
        <v>92.067705989547804</v>
      </c>
      <c r="AJ2028">
        <v>93.679389516077094</v>
      </c>
      <c r="AK2028">
        <v>30.766714359616898</v>
      </c>
      <c r="AL2028">
        <v>89.607164755254303</v>
      </c>
      <c r="AM2028">
        <v>91.391846211278803</v>
      </c>
      <c r="AN2028">
        <v>1.000000040582</v>
      </c>
    </row>
    <row r="2029" spans="1:40" x14ac:dyDescent="0.3">
      <c r="A2029" t="str">
        <f>"20200111160445368"</f>
        <v>20200111160445368</v>
      </c>
      <c r="B2029" t="str">
        <f>"1578729885362536"</f>
        <v>1578729885362536</v>
      </c>
      <c r="C2029" t="s">
        <v>40</v>
      </c>
      <c r="D2029">
        <v>5.3382509999999996</v>
      </c>
      <c r="E2029">
        <v>0.40754439999999997</v>
      </c>
      <c r="F2029" t="s">
        <v>58</v>
      </c>
      <c r="G2029">
        <v>-440.40789999999998</v>
      </c>
      <c r="H2029">
        <v>0.45532610000000001</v>
      </c>
      <c r="I2029">
        <v>269.80540000000002</v>
      </c>
      <c r="J2029">
        <v>-384.80040000000002</v>
      </c>
      <c r="K2029">
        <v>1.1100829999999999</v>
      </c>
      <c r="L2029">
        <v>284.83539999999999</v>
      </c>
      <c r="M2029">
        <v>-0.99980179999999996</v>
      </c>
      <c r="N2029">
        <v>0</v>
      </c>
      <c r="O2029">
        <v>1.3390859999999999E-2</v>
      </c>
      <c r="P2029">
        <v>-0.99990809999999997</v>
      </c>
      <c r="Q2029">
        <v>-7.9030509999999995E-3</v>
      </c>
      <c r="R2029">
        <v>-1.1024849999999999E-2</v>
      </c>
      <c r="S2029">
        <v>-2.9911500000000002</v>
      </c>
      <c r="T2029">
        <v>-3.5068040000000002E-2</v>
      </c>
      <c r="U2029">
        <v>-0.80484009999999995</v>
      </c>
      <c r="V2029">
        <v>-2.441136E-2</v>
      </c>
      <c r="W2029">
        <v>6.8481059999999996E-3</v>
      </c>
      <c r="X2029">
        <v>0.99967859999999997</v>
      </c>
      <c r="Y2029">
        <v>-0.27272279999999999</v>
      </c>
      <c r="Z2029">
        <v>-1.7250329999999999E-3</v>
      </c>
      <c r="AA2029">
        <v>0.96209109999999998</v>
      </c>
      <c r="AB2029">
        <v>36</v>
      </c>
      <c r="AC2029">
        <v>-55.607499999999902</v>
      </c>
      <c r="AD2029">
        <v>-0.65475689999999998</v>
      </c>
      <c r="AE2029">
        <v>-15.0299999999999</v>
      </c>
      <c r="AF2029">
        <v>-15.7713274669771</v>
      </c>
      <c r="AG2029">
        <v>-0.65475689999999998</v>
      </c>
      <c r="AH2029">
        <v>55.394069530271999</v>
      </c>
      <c r="AI2029">
        <v>90.6513219457849</v>
      </c>
      <c r="AJ2029">
        <v>105.892261598527</v>
      </c>
      <c r="AK2029">
        <v>57.599187631366199</v>
      </c>
      <c r="AL2029">
        <v>89.607629384129993</v>
      </c>
      <c r="AM2029">
        <v>91.398839579137402</v>
      </c>
      <c r="AN2029">
        <v>1.00000005717539</v>
      </c>
    </row>
    <row r="2030" spans="1:40" x14ac:dyDescent="0.3">
      <c r="A2030" t="str">
        <f>"20200111160445381"</f>
        <v>20200111160445381</v>
      </c>
      <c r="B2030" t="str">
        <f>"1578729885373272"</f>
        <v>1578729885373272</v>
      </c>
      <c r="C2030" t="s">
        <v>40</v>
      </c>
      <c r="D2030">
        <v>5.3564639999999999</v>
      </c>
      <c r="E2030">
        <v>0.40841490000000003</v>
      </c>
      <c r="F2030" t="s">
        <v>61</v>
      </c>
      <c r="G2030">
        <v>-411.89870000000002</v>
      </c>
      <c r="H2030" s="1">
        <v>3.5438089999999999E-6</v>
      </c>
      <c r="I2030">
        <v>277.8109</v>
      </c>
      <c r="J2030">
        <v>-385.03410000000002</v>
      </c>
      <c r="K2030">
        <v>1.1100779999999999</v>
      </c>
      <c r="L2030">
        <v>284.83870000000002</v>
      </c>
      <c r="M2030">
        <v>-0.99980000000000002</v>
      </c>
      <c r="N2030">
        <v>0</v>
      </c>
      <c r="O2030">
        <v>1.351608E-2</v>
      </c>
      <c r="P2030">
        <v>-0.99990429999999997</v>
      </c>
      <c r="Q2030">
        <v>-8.0087409999999998E-3</v>
      </c>
      <c r="R2030">
        <v>-1.1271959999999999E-2</v>
      </c>
      <c r="S2030">
        <v>-2.990723</v>
      </c>
      <c r="T2030">
        <v>-0.12251479999999999</v>
      </c>
      <c r="U2030">
        <v>-0.77526859999999997</v>
      </c>
      <c r="V2030">
        <v>-2.4784150000000001E-2</v>
      </c>
      <c r="W2030">
        <v>6.7398680000000004E-3</v>
      </c>
      <c r="X2030">
        <v>0.99967010000000001</v>
      </c>
      <c r="Y2030">
        <v>-0.26377469999999997</v>
      </c>
      <c r="Z2030">
        <v>-5.8575509999999999E-3</v>
      </c>
      <c r="AA2030">
        <v>0.96456649999999999</v>
      </c>
      <c r="AB2030">
        <v>36</v>
      </c>
      <c r="AC2030">
        <v>-26.864599999999999</v>
      </c>
      <c r="AD2030">
        <v>-1.1100744561910001</v>
      </c>
      <c r="AE2030">
        <v>-7.0278000000000098</v>
      </c>
      <c r="AF2030">
        <v>-7.3785100684418099</v>
      </c>
      <c r="AG2030">
        <v>-1.1100744561910001</v>
      </c>
      <c r="AH2030">
        <v>26.724439371917001</v>
      </c>
      <c r="AI2030">
        <v>92.2928828874592</v>
      </c>
      <c r="AJ2030">
        <v>105.434614494814</v>
      </c>
      <c r="AK2030">
        <v>27.746537367240101</v>
      </c>
      <c r="AL2030">
        <v>89.613831083240697</v>
      </c>
      <c r="AM2030">
        <v>91.4202048822238</v>
      </c>
      <c r="AN2030">
        <v>0.99999999437294496</v>
      </c>
    </row>
    <row r="2031" spans="1:40" x14ac:dyDescent="0.3">
      <c r="A2031" t="str">
        <f>"20200111160445403"</f>
        <v>20200111160445403</v>
      </c>
      <c r="B2031" t="str">
        <f>"1578729885392729"</f>
        <v>1578729885392729</v>
      </c>
      <c r="C2031" t="s">
        <v>40</v>
      </c>
      <c r="D2031">
        <v>5.2839099999999997</v>
      </c>
      <c r="E2031">
        <v>0.4089602</v>
      </c>
      <c r="F2031" t="s">
        <v>61</v>
      </c>
      <c r="G2031">
        <v>-406.55309999999997</v>
      </c>
      <c r="H2031">
        <v>8.0001450000000002E-2</v>
      </c>
      <c r="I2031">
        <v>279.29790000000003</v>
      </c>
      <c r="J2031">
        <v>-385.3691</v>
      </c>
      <c r="K2031">
        <v>1.110079</v>
      </c>
      <c r="L2031">
        <v>284.84339999999997</v>
      </c>
      <c r="M2031">
        <v>-0.99979759999999995</v>
      </c>
      <c r="N2031">
        <v>0</v>
      </c>
      <c r="O2031">
        <v>1.369589E-2</v>
      </c>
      <c r="P2031">
        <v>-0.99989790000000001</v>
      </c>
      <c r="Q2031">
        <v>-8.2301500000000003E-3</v>
      </c>
      <c r="R2031">
        <v>-1.1693E-2</v>
      </c>
      <c r="S2031">
        <v>-2.9904480000000002</v>
      </c>
      <c r="T2031">
        <v>-0.14314749999999901</v>
      </c>
      <c r="U2031">
        <v>-0.76998900000000003</v>
      </c>
      <c r="V2031">
        <v>-2.5384799999999999E-2</v>
      </c>
      <c r="W2031">
        <v>6.5152819999999998E-3</v>
      </c>
      <c r="X2031">
        <v>0.99965649999999995</v>
      </c>
      <c r="Y2031">
        <v>-0.26229449999999999</v>
      </c>
      <c r="Z2031">
        <v>-6.8187430000000004E-3</v>
      </c>
      <c r="AA2031">
        <v>0.96496380000000004</v>
      </c>
      <c r="AB2031">
        <v>36</v>
      </c>
      <c r="AC2031">
        <v>-21.183999999999902</v>
      </c>
      <c r="AD2031">
        <v>-1.0300775499999999</v>
      </c>
      <c r="AE2031">
        <v>-5.5454999999999401</v>
      </c>
      <c r="AF2031">
        <v>-5.8222616201569197</v>
      </c>
      <c r="AG2031">
        <v>-1.0300775499999999</v>
      </c>
      <c r="AH2031">
        <v>21.059453917625</v>
      </c>
      <c r="AI2031">
        <v>92.699169821707699</v>
      </c>
      <c r="AJ2031">
        <v>105.45440964062099</v>
      </c>
      <c r="AK2031">
        <v>21.873737436504499</v>
      </c>
      <c r="AL2031">
        <v>89.626699189589601</v>
      </c>
      <c r="AM2031">
        <v>91.454629066693002</v>
      </c>
      <c r="AN2031">
        <v>0.999999977481414</v>
      </c>
    </row>
    <row r="2032" spans="1:40" x14ac:dyDescent="0.3">
      <c r="A2032" t="str">
        <f>"20200111160445425"</f>
        <v>20200111160445425</v>
      </c>
      <c r="B2032" t="str">
        <f>"1578729885422986"</f>
        <v>1578729885422986</v>
      </c>
      <c r="C2032" t="s">
        <v>40</v>
      </c>
      <c r="D2032">
        <v>5.3117049999999999</v>
      </c>
      <c r="E2032">
        <v>0.40941620000000001</v>
      </c>
      <c r="F2032" t="s">
        <v>61</v>
      </c>
      <c r="G2032">
        <v>-405.12860000000001</v>
      </c>
      <c r="H2032" s="1">
        <v>7.1292409999999999E-6</v>
      </c>
      <c r="I2032">
        <v>279.7704</v>
      </c>
      <c r="J2032">
        <v>-385.72199999999998</v>
      </c>
      <c r="K2032">
        <v>1.110077</v>
      </c>
      <c r="L2032">
        <v>284.84840000000003</v>
      </c>
      <c r="M2032">
        <v>-0.99979499999999999</v>
      </c>
      <c r="N2032">
        <v>0</v>
      </c>
      <c r="O2032">
        <v>1.3886259999999999E-2</v>
      </c>
      <c r="P2032">
        <v>-0.99988960000000005</v>
      </c>
      <c r="Q2032">
        <v>-8.6384859999999904E-3</v>
      </c>
      <c r="R2032">
        <v>-1.2086660000000001E-2</v>
      </c>
      <c r="S2032">
        <v>-2.9899900000000001</v>
      </c>
      <c r="T2032">
        <v>-0.16797479999999901</v>
      </c>
      <c r="U2032">
        <v>-0.76763919999999997</v>
      </c>
      <c r="V2032">
        <v>-2.5968789999999999E-2</v>
      </c>
      <c r="W2032">
        <v>6.1028269999999999E-3</v>
      </c>
      <c r="X2032">
        <v>0.99964410000000004</v>
      </c>
      <c r="Y2032">
        <v>-0.26169120000000001</v>
      </c>
      <c r="Z2032">
        <v>-7.99554699999999E-3</v>
      </c>
      <c r="AA2032">
        <v>0.96511849999999999</v>
      </c>
      <c r="AB2032">
        <v>36</v>
      </c>
      <c r="AC2032">
        <v>-19.406600000000001</v>
      </c>
      <c r="AD2032">
        <v>-1.110069870759</v>
      </c>
      <c r="AE2032">
        <v>-5.0780000000000296</v>
      </c>
      <c r="AF2032">
        <v>-5.3307007094710901</v>
      </c>
      <c r="AG2032">
        <v>-1.110069870759</v>
      </c>
      <c r="AH2032">
        <v>19.2751809754234</v>
      </c>
      <c r="AI2032">
        <v>93.177058596936206</v>
      </c>
      <c r="AJ2032">
        <v>105.459195574018</v>
      </c>
      <c r="AK2032">
        <v>20.029508900800501</v>
      </c>
      <c r="AL2032">
        <v>89.650331590362399</v>
      </c>
      <c r="AM2032">
        <v>91.488097107582405</v>
      </c>
      <c r="AN2032">
        <v>0.99999997460813195</v>
      </c>
    </row>
    <row r="2033" spans="1:40" x14ac:dyDescent="0.3">
      <c r="A2033" t="str">
        <f>"20200111160445439"</f>
        <v>20200111160445439</v>
      </c>
      <c r="B2033" t="str">
        <f>"1578729885432745"</f>
        <v>1578729885432745</v>
      </c>
      <c r="C2033" t="s">
        <v>40</v>
      </c>
      <c r="D2033">
        <v>5.315035</v>
      </c>
      <c r="E2033">
        <v>0.40943380000000001</v>
      </c>
      <c r="F2033" t="s">
        <v>61</v>
      </c>
      <c r="G2033">
        <v>-403.28550000000001</v>
      </c>
      <c r="H2033" s="1">
        <v>7.8276649999999904E-6</v>
      </c>
      <c r="I2033">
        <v>280.346</v>
      </c>
      <c r="J2033">
        <v>-385.96179999999998</v>
      </c>
      <c r="K2033">
        <v>1.1100810000000001</v>
      </c>
      <c r="L2033">
        <v>284.8519</v>
      </c>
      <c r="M2033">
        <v>-0.9997933</v>
      </c>
      <c r="N2033">
        <v>0</v>
      </c>
      <c r="O2033">
        <v>1.401548E-2</v>
      </c>
      <c r="P2033">
        <v>-0.99988860000000002</v>
      </c>
      <c r="Q2033">
        <v>-8.7177469999999996E-3</v>
      </c>
      <c r="R2033">
        <v>-1.212336E-2</v>
      </c>
      <c r="S2033">
        <v>-2.989471</v>
      </c>
      <c r="T2033">
        <v>-0.18894459999999999</v>
      </c>
      <c r="U2033">
        <v>-0.76635739999999997</v>
      </c>
      <c r="V2033">
        <v>-2.613468E-2</v>
      </c>
      <c r="W2033">
        <v>6.0208120000000004E-3</v>
      </c>
      <c r="X2033">
        <v>0.99964030000000004</v>
      </c>
      <c r="Y2033">
        <v>-0.26135999999999998</v>
      </c>
      <c r="Z2033">
        <v>-8.9916400000000004E-3</v>
      </c>
      <c r="AA2033">
        <v>0.96519949999999999</v>
      </c>
      <c r="AB2033">
        <v>36</v>
      </c>
      <c r="AC2033">
        <v>-17.323699999999999</v>
      </c>
      <c r="AD2033">
        <v>-1.1100731723349999</v>
      </c>
      <c r="AE2033">
        <v>-4.5058999999999898</v>
      </c>
      <c r="AF2033">
        <v>-4.7300924202254802</v>
      </c>
      <c r="AG2033">
        <v>-1.1100731723349999</v>
      </c>
      <c r="AH2033">
        <v>17.192718285016699</v>
      </c>
      <c r="AI2033">
        <v>93.562260068372396</v>
      </c>
      <c r="AJ2033">
        <v>105.382741556322</v>
      </c>
      <c r="AK2033">
        <v>17.866045974970501</v>
      </c>
      <c r="AL2033">
        <v>89.655030799120595</v>
      </c>
      <c r="AM2033">
        <v>91.4976045253688</v>
      </c>
      <c r="AN2033">
        <v>1.0000000005299601</v>
      </c>
    </row>
    <row r="2034" spans="1:40" x14ac:dyDescent="0.3">
      <c r="A2034" t="str">
        <f>"20200111160445453"</f>
        <v>20200111160445453</v>
      </c>
      <c r="B2034" t="str">
        <f>"1578729885442505"</f>
        <v>1578729885442505</v>
      </c>
      <c r="C2034" t="s">
        <v>40</v>
      </c>
      <c r="D2034">
        <v>5.301253</v>
      </c>
      <c r="E2034">
        <v>0.40947729999999999</v>
      </c>
      <c r="F2034" t="s">
        <v>61</v>
      </c>
      <c r="G2034">
        <v>-402.98869999999999</v>
      </c>
      <c r="H2034" s="1">
        <v>7.9301659999999994E-6</v>
      </c>
      <c r="I2034">
        <v>280.48689999999999</v>
      </c>
      <c r="J2034">
        <v>-386.16770000000002</v>
      </c>
      <c r="K2034">
        <v>1.1100829999999999</v>
      </c>
      <c r="L2034">
        <v>284.85489999999999</v>
      </c>
      <c r="M2034">
        <v>-0.99979189999999996</v>
      </c>
      <c r="N2034">
        <v>0</v>
      </c>
      <c r="O2034">
        <v>1.4126639999999999E-2</v>
      </c>
      <c r="P2034">
        <v>-0.99988319999999997</v>
      </c>
      <c r="Q2034">
        <v>-8.9478660000000005E-3</v>
      </c>
      <c r="R2034">
        <v>-1.240109E-2</v>
      </c>
      <c r="S2034">
        <v>-2.9893800000000001</v>
      </c>
      <c r="T2034">
        <v>-0.19489300000000001</v>
      </c>
      <c r="U2034">
        <v>-0.76635739999999997</v>
      </c>
      <c r="V2034">
        <v>-2.6523680000000001E-2</v>
      </c>
      <c r="W2034">
        <v>5.7885949999999997E-3</v>
      </c>
      <c r="X2034">
        <v>0.99963139999999995</v>
      </c>
      <c r="Y2034">
        <v>-0.26144099999999998</v>
      </c>
      <c r="Z2034">
        <v>-9.284156E-3</v>
      </c>
      <c r="AA2034">
        <v>0.9651748</v>
      </c>
      <c r="AB2034">
        <v>36</v>
      </c>
      <c r="AC2034">
        <v>-16.820999999999898</v>
      </c>
      <c r="AD2034">
        <v>-1.1100750698339901</v>
      </c>
      <c r="AE2034">
        <v>-4.3679999999999897</v>
      </c>
      <c r="AF2034">
        <v>-4.5865010240608104</v>
      </c>
      <c r="AG2034">
        <v>-1.1100750698339901</v>
      </c>
      <c r="AH2034">
        <v>16.689515912019299</v>
      </c>
      <c r="AI2034">
        <v>93.6696708229546</v>
      </c>
      <c r="AJ2034">
        <v>105.366306003153</v>
      </c>
      <c r="AK2034">
        <v>17.343823098784299</v>
      </c>
      <c r="AL2034">
        <v>89.668336076540697</v>
      </c>
      <c r="AM2034">
        <v>91.519898672219497</v>
      </c>
      <c r="AN2034">
        <v>0.99999997464938795</v>
      </c>
    </row>
    <row r="2035" spans="1:40" x14ac:dyDescent="0.3">
      <c r="A2035" t="str">
        <f>"20200111160445481"</f>
        <v>20200111160445481</v>
      </c>
      <c r="B2035" t="str">
        <f>"1578729885472761"</f>
        <v>1578729885472761</v>
      </c>
      <c r="C2035" t="s">
        <v>40</v>
      </c>
      <c r="D2035">
        <v>5.2711649999999999</v>
      </c>
      <c r="E2035">
        <v>0.40976950000000001</v>
      </c>
      <c r="F2035" t="s">
        <v>61</v>
      </c>
      <c r="G2035">
        <v>-402.74369999999999</v>
      </c>
      <c r="H2035" s="1">
        <v>8.0150349999999994E-6</v>
      </c>
      <c r="I2035">
        <v>280.60210000000001</v>
      </c>
      <c r="J2035">
        <v>-386.61950000000002</v>
      </c>
      <c r="K2035">
        <v>1.110093</v>
      </c>
      <c r="L2035">
        <v>284.86149999999998</v>
      </c>
      <c r="M2035">
        <v>-0.99978840000000002</v>
      </c>
      <c r="N2035">
        <v>0</v>
      </c>
      <c r="O2035">
        <v>1.437066E-2</v>
      </c>
      <c r="P2035">
        <v>-0.99989070000000002</v>
      </c>
      <c r="Q2035">
        <v>-8.3629810000000002E-3</v>
      </c>
      <c r="R2035">
        <v>-1.219022E-2</v>
      </c>
      <c r="S2035">
        <v>-2.9890140000000001</v>
      </c>
      <c r="T2035">
        <v>-0.20017170000000001</v>
      </c>
      <c r="U2035">
        <v>-0.76687620000000001</v>
      </c>
      <c r="V2035">
        <v>-2.6556469999999999E-2</v>
      </c>
      <c r="W2035">
        <v>6.3679419999999997E-3</v>
      </c>
      <c r="X2035">
        <v>0.99962709999999999</v>
      </c>
      <c r="Y2035">
        <v>-0.26183060000000002</v>
      </c>
      <c r="Z2035">
        <v>-9.5649189999999999E-3</v>
      </c>
      <c r="AA2035">
        <v>0.96506639999999999</v>
      </c>
      <c r="AB2035">
        <v>36</v>
      </c>
      <c r="AC2035">
        <v>-16.124199999999899</v>
      </c>
      <c r="AD2035">
        <v>-1.1100849849650001</v>
      </c>
      <c r="AE2035">
        <v>-4.2593999999999701</v>
      </c>
      <c r="AF2035">
        <v>-4.4708919008946797</v>
      </c>
      <c r="AG2035">
        <v>-1.1100849849650001</v>
      </c>
      <c r="AH2035">
        <v>15.9904704531438</v>
      </c>
      <c r="AI2035">
        <v>93.824962887478094</v>
      </c>
      <c r="AJ2035">
        <v>105.620847084696</v>
      </c>
      <c r="AK2035">
        <v>16.640802515990501</v>
      </c>
      <c r="AL2035">
        <v>89.635141358090607</v>
      </c>
      <c r="AM2035">
        <v>91.521783312725503</v>
      </c>
      <c r="AN2035">
        <v>1.00000006791929</v>
      </c>
    </row>
    <row r="2036" spans="1:40" x14ac:dyDescent="0.3">
      <c r="A2036" t="str">
        <f>"20200111160445569"</f>
        <v>20200111160445569</v>
      </c>
      <c r="B2036" t="str">
        <f>"1578729885563060"</f>
        <v>1578729885563060</v>
      </c>
      <c r="C2036" t="s">
        <v>40</v>
      </c>
      <c r="D2036">
        <v>5.1199779999999997</v>
      </c>
      <c r="E2036">
        <v>0.40981329999999999</v>
      </c>
      <c r="F2036" t="s">
        <v>61</v>
      </c>
      <c r="G2036">
        <v>-402.90750000000003</v>
      </c>
      <c r="H2036" s="1">
        <v>7.9225329999999994E-6</v>
      </c>
      <c r="I2036">
        <v>280.69799999999998</v>
      </c>
      <c r="J2036">
        <v>-388.01260000000002</v>
      </c>
      <c r="K2036">
        <v>1.110109</v>
      </c>
      <c r="L2036">
        <v>284.88279999999997</v>
      </c>
      <c r="M2036">
        <v>-0.99977760000000004</v>
      </c>
      <c r="N2036">
        <v>0</v>
      </c>
      <c r="O2036">
        <v>1.5123849999999999E-2</v>
      </c>
      <c r="P2036">
        <v>-0.99992049999999999</v>
      </c>
      <c r="Q2036">
        <v>-6.2435600000000004E-3</v>
      </c>
      <c r="R2036">
        <v>-1.09701E-2</v>
      </c>
      <c r="S2036">
        <v>-2.9893190000000001</v>
      </c>
      <c r="T2036">
        <v>-0.20373230000000001</v>
      </c>
      <c r="U2036">
        <v>-0.76412959999999996</v>
      </c>
      <c r="V2036">
        <v>-2.608941E-2</v>
      </c>
      <c r="W2036">
        <v>8.4721680000000004E-3</v>
      </c>
      <c r="X2036">
        <v>0.9996237</v>
      </c>
      <c r="Y2036">
        <v>-0.26167950000000001</v>
      </c>
      <c r="Z2036">
        <v>-9.7802600000000007E-3</v>
      </c>
      <c r="AA2036">
        <v>0.96510530000000005</v>
      </c>
      <c r="AB2036">
        <v>35</v>
      </c>
      <c r="AC2036">
        <v>-14.8949</v>
      </c>
      <c r="AD2036">
        <v>-1.1101010774669999</v>
      </c>
      <c r="AE2036">
        <v>-4.1847999999999903</v>
      </c>
      <c r="AF2036">
        <v>-4.3870286012345003</v>
      </c>
      <c r="AG2036">
        <v>-1.1101010774669999</v>
      </c>
      <c r="AH2036">
        <v>14.7539429033164</v>
      </c>
      <c r="AI2036">
        <v>94.125043858406798</v>
      </c>
      <c r="AJ2036">
        <v>106.55964480767599</v>
      </c>
      <c r="AK2036">
        <v>15.4323418684451</v>
      </c>
      <c r="AL2036">
        <v>89.514574717350797</v>
      </c>
      <c r="AM2036">
        <v>91.495036396622098</v>
      </c>
      <c r="AN2036">
        <v>0.999999988273229</v>
      </c>
    </row>
    <row r="2037" spans="1:40" x14ac:dyDescent="0.3">
      <c r="A2037" t="str">
        <f>"20200111160445581"</f>
        <v>20200111160445581</v>
      </c>
      <c r="B2037" t="str">
        <f>"1578729885572820"</f>
        <v>1578729885572820</v>
      </c>
      <c r="C2037" t="s">
        <v>40</v>
      </c>
      <c r="D2037">
        <v>6.497744</v>
      </c>
      <c r="E2037">
        <v>0.40981329999999999</v>
      </c>
      <c r="F2037" t="s">
        <v>61</v>
      </c>
      <c r="G2037">
        <v>-404.79399999999998</v>
      </c>
      <c r="H2037" s="1">
        <v>7.1028939999999996E-6</v>
      </c>
      <c r="I2037">
        <v>280.61599999999999</v>
      </c>
      <c r="J2037">
        <v>-388.21170000000001</v>
      </c>
      <c r="K2037">
        <v>1.110114</v>
      </c>
      <c r="L2037">
        <v>284.88580000000002</v>
      </c>
      <c r="M2037">
        <v>-0.999776</v>
      </c>
      <c r="N2037">
        <v>0</v>
      </c>
      <c r="O2037">
        <v>1.523126E-2</v>
      </c>
      <c r="P2037">
        <v>-0.99991870000000005</v>
      </c>
      <c r="Q2037">
        <v>-5.0941409999999999E-3</v>
      </c>
      <c r="R2037">
        <v>-1.1703750000000001E-2</v>
      </c>
      <c r="S2037">
        <v>-2.990631</v>
      </c>
      <c r="T2037">
        <v>-0.19783229999999999</v>
      </c>
      <c r="U2037">
        <v>-0.76037600000000005</v>
      </c>
      <c r="V2037">
        <v>-2.692947E-2</v>
      </c>
      <c r="W2037">
        <v>9.6193909999999997E-3</v>
      </c>
      <c r="X2037">
        <v>0.99959109999999995</v>
      </c>
      <c r="Y2037">
        <v>-0.2605806</v>
      </c>
      <c r="Z2037">
        <v>-9.4662949999999996E-3</v>
      </c>
      <c r="AA2037">
        <v>0.96540570000000003</v>
      </c>
      <c r="AB2037">
        <v>35</v>
      </c>
      <c r="AC2037">
        <v>-16.5823</v>
      </c>
      <c r="AD2037">
        <v>-1.110106897106</v>
      </c>
      <c r="AE2037">
        <v>-4.2698000000000302</v>
      </c>
      <c r="AF2037">
        <v>-4.5029751581841797</v>
      </c>
      <c r="AG2037">
        <v>-1.110106897106</v>
      </c>
      <c r="AH2037">
        <v>16.4462110331133</v>
      </c>
      <c r="AI2037">
        <v>93.724874592248398</v>
      </c>
      <c r="AJ2037">
        <v>105.31231909514101</v>
      </c>
      <c r="AK2037">
        <v>17.087626515813302</v>
      </c>
      <c r="AL2037">
        <v>89.448841020475797</v>
      </c>
      <c r="AM2037">
        <v>91.543202869081895</v>
      </c>
      <c r="AN2037">
        <v>1.0000000481184399</v>
      </c>
    </row>
    <row r="2038" spans="1:40" x14ac:dyDescent="0.3">
      <c r="A2038" t="str">
        <f>"20200111160445604"</f>
        <v>20200111160445604</v>
      </c>
      <c r="B2038" t="str">
        <f>"1578729885592847"</f>
        <v>1578729885592847</v>
      </c>
      <c r="C2038" t="s">
        <v>40</v>
      </c>
      <c r="D2038">
        <v>5.5475680000000001</v>
      </c>
      <c r="E2038">
        <v>0.46154129999999899</v>
      </c>
      <c r="F2038" t="s">
        <v>61</v>
      </c>
      <c r="G2038">
        <v>-405.24810000000002</v>
      </c>
      <c r="H2038" s="1">
        <v>6.9165989999999997E-6</v>
      </c>
      <c r="I2038">
        <v>280.54309999999998</v>
      </c>
      <c r="J2038">
        <v>-388.55329999999998</v>
      </c>
      <c r="K2038">
        <v>1.110117</v>
      </c>
      <c r="L2038">
        <v>284.8913</v>
      </c>
      <c r="M2038">
        <v>-0.99977309999999997</v>
      </c>
      <c r="N2038">
        <v>0</v>
      </c>
      <c r="O2038">
        <v>1.541615E-2</v>
      </c>
      <c r="P2038">
        <v>-0.99991240000000003</v>
      </c>
      <c r="Q2038">
        <v>-5.7778639999999997E-3</v>
      </c>
      <c r="R2038">
        <v>-1.191148E-2</v>
      </c>
      <c r="S2038">
        <v>-2.990326</v>
      </c>
      <c r="T2038">
        <v>-0.19485250000000001</v>
      </c>
      <c r="U2038">
        <v>-0.7622681</v>
      </c>
      <c r="V2038">
        <v>-2.73224E-2</v>
      </c>
      <c r="W2038">
        <v>8.9318190000000006E-3</v>
      </c>
      <c r="X2038">
        <v>0.9995868</v>
      </c>
      <c r="Y2038">
        <v>-0.26137120000000003</v>
      </c>
      <c r="Z2038">
        <v>-9.3613930000000008E-3</v>
      </c>
      <c r="AA2038">
        <v>0.96519299999999997</v>
      </c>
      <c r="AB2038">
        <v>35</v>
      </c>
      <c r="AC2038">
        <v>-16.694800000000001</v>
      </c>
      <c r="AD2038">
        <v>-1.110110083401</v>
      </c>
      <c r="AE2038">
        <v>-4.3482000000000198</v>
      </c>
      <c r="AF2038">
        <v>-4.5860912600866399</v>
      </c>
      <c r="AG2038">
        <v>-1.110110083401</v>
      </c>
      <c r="AH2038">
        <v>16.557218738964099</v>
      </c>
      <c r="AI2038">
        <v>93.696975155060102</v>
      </c>
      <c r="AJ2038">
        <v>105.481901294433</v>
      </c>
      <c r="AK2038">
        <v>17.216447653712201</v>
      </c>
      <c r="AL2038">
        <v>89.488237679040495</v>
      </c>
      <c r="AM2038">
        <v>91.565715467105306</v>
      </c>
      <c r="AN2038">
        <v>1.0000000308333199</v>
      </c>
    </row>
    <row r="2039" spans="1:40" x14ac:dyDescent="0.3">
      <c r="A2039" t="str">
        <f>"20200111160445627"</f>
        <v>20200111160445627</v>
      </c>
      <c r="B2039" t="str">
        <f>"1578729885623103"</f>
        <v>1578729885623103</v>
      </c>
      <c r="C2039" t="s">
        <v>40</v>
      </c>
      <c r="D2039">
        <v>5.4542960000000003</v>
      </c>
      <c r="E2039">
        <v>0.51703140000000003</v>
      </c>
      <c r="F2039" t="s">
        <v>62</v>
      </c>
      <c r="G2039">
        <v>-512.82539999999995</v>
      </c>
      <c r="H2039">
        <v>0.63586319999999996</v>
      </c>
      <c r="I2039">
        <v>270.68520000000001</v>
      </c>
      <c r="J2039">
        <v>-388.90570000000002</v>
      </c>
      <c r="K2039">
        <v>1.1101099999999999</v>
      </c>
      <c r="L2039">
        <v>284.89690000000002</v>
      </c>
      <c r="M2039">
        <v>-0.9997703</v>
      </c>
      <c r="N2039">
        <v>0</v>
      </c>
      <c r="O2039">
        <v>1.5601790000000001E-2</v>
      </c>
      <c r="P2039">
        <v>-0.99990730000000005</v>
      </c>
      <c r="Q2039">
        <v>-7.7806489999999997E-3</v>
      </c>
      <c r="R2039">
        <v>-1.1190820000000001E-2</v>
      </c>
      <c r="S2039">
        <v>-2.996124</v>
      </c>
      <c r="T2039">
        <v>-1.1432049999999999E-2</v>
      </c>
      <c r="U2039">
        <v>-0.34249879999999999</v>
      </c>
      <c r="V2039">
        <v>-2.6788030000000001E-2</v>
      </c>
      <c r="W2039">
        <v>6.9243990000000004E-3</v>
      </c>
      <c r="X2039">
        <v>0.99961719999999998</v>
      </c>
      <c r="Y2039">
        <v>-0.12906189999999901</v>
      </c>
      <c r="Z2039">
        <v>-3.0477990000000001E-4</v>
      </c>
      <c r="AA2039">
        <v>0.99163650000000003</v>
      </c>
      <c r="AB2039">
        <v>35</v>
      </c>
      <c r="AC2039">
        <v>-123.919699999999</v>
      </c>
      <c r="AD2039">
        <v>-0.47424680000000002</v>
      </c>
      <c r="AE2039">
        <v>-14.2117</v>
      </c>
      <c r="AF2039">
        <v>-16.143314381699</v>
      </c>
      <c r="AG2039">
        <v>-0.47424680000000002</v>
      </c>
      <c r="AH2039">
        <v>123.681073958196</v>
      </c>
      <c r="AI2039">
        <v>90.217847933019499</v>
      </c>
      <c r="AJ2039">
        <v>97.436418641113306</v>
      </c>
      <c r="AK2039">
        <v>124.73106896321499</v>
      </c>
      <c r="AL2039">
        <v>89.603258009468306</v>
      </c>
      <c r="AM2039">
        <v>91.535061425738107</v>
      </c>
      <c r="AN2039">
        <v>1.0000000461943099</v>
      </c>
    </row>
    <row r="2040" spans="1:40" x14ac:dyDescent="0.3">
      <c r="A2040" t="str">
        <f>"20200111160445639"</f>
        <v>20200111160445639</v>
      </c>
      <c r="B2040" t="str">
        <f>"1578729885632864"</f>
        <v>1578729885632864</v>
      </c>
      <c r="C2040" t="s">
        <v>40</v>
      </c>
      <c r="D2040">
        <v>5.4426399999999999</v>
      </c>
      <c r="E2040">
        <v>0.5182561</v>
      </c>
      <c r="F2040" t="s">
        <v>42</v>
      </c>
      <c r="G2040">
        <v>-389.89429999999999</v>
      </c>
      <c r="H2040">
        <v>1.0045740000000001</v>
      </c>
      <c r="I2040">
        <v>284.92660000000001</v>
      </c>
      <c r="J2040">
        <v>-389.12349999999998</v>
      </c>
      <c r="K2040">
        <v>1.110107</v>
      </c>
      <c r="L2040">
        <v>284.90039999999999</v>
      </c>
      <c r="M2040">
        <v>-0.99976860000000001</v>
      </c>
      <c r="N2040">
        <v>0</v>
      </c>
      <c r="O2040">
        <v>1.5710089999999999E-2</v>
      </c>
      <c r="P2040">
        <v>-0.99990129999999999</v>
      </c>
      <c r="Q2040">
        <v>-9.1972240000000004E-3</v>
      </c>
      <c r="R2040">
        <v>-1.0617E-2</v>
      </c>
      <c r="S2040">
        <v>-2.99884</v>
      </c>
      <c r="T2040">
        <v>-0.3201929</v>
      </c>
      <c r="U2040">
        <v>9.0057369999999998E-2</v>
      </c>
      <c r="V2040">
        <v>-2.632352E-2</v>
      </c>
      <c r="W2040">
        <v>5.5048819999999896E-3</v>
      </c>
      <c r="X2040">
        <v>0.99963829999999998</v>
      </c>
      <c r="Y2040">
        <v>1.43167E-2</v>
      </c>
      <c r="Z2040">
        <v>-9.1032859999999995E-4</v>
      </c>
      <c r="AA2040">
        <v>0.99989709999999998</v>
      </c>
      <c r="AB2040">
        <v>35</v>
      </c>
      <c r="AC2040">
        <v>-0.77080000000000803</v>
      </c>
      <c r="AD2040">
        <v>-0.105532999999999</v>
      </c>
      <c r="AE2040">
        <v>2.6200000000017099E-2</v>
      </c>
      <c r="AF2040">
        <v>1.38272241073699E-2</v>
      </c>
      <c r="AG2040">
        <v>-0.105532999999999</v>
      </c>
      <c r="AH2040">
        <v>0.75694371584411302</v>
      </c>
      <c r="AI2040">
        <v>97.935701122676704</v>
      </c>
      <c r="AJ2040">
        <v>88.953484302948695</v>
      </c>
      <c r="AK2040">
        <v>0.76439008050301704</v>
      </c>
      <c r="AL2040">
        <v>89.684591895709801</v>
      </c>
      <c r="AM2040">
        <v>91.508423723619799</v>
      </c>
      <c r="AN2040">
        <v>0.99999998112895605</v>
      </c>
    </row>
    <row r="2041" spans="1:40" x14ac:dyDescent="0.3">
      <c r="A2041" t="str">
        <f>"20200111160446049"</f>
        <v>20200111160446049</v>
      </c>
      <c r="B2041" t="str">
        <f>"1578729886042783"</f>
        <v>1578729886042783</v>
      </c>
      <c r="C2041" t="s">
        <v>40</v>
      </c>
      <c r="D2041">
        <v>3.7202579999999998</v>
      </c>
      <c r="E2041">
        <v>0.5182561</v>
      </c>
      <c r="F2041" t="s">
        <v>42</v>
      </c>
      <c r="G2041">
        <v>-396.11489999999998</v>
      </c>
      <c r="H2041">
        <v>1.0179260000000001</v>
      </c>
      <c r="I2041">
        <v>285.02359999999999</v>
      </c>
      <c r="J2041">
        <v>-395.47899999999998</v>
      </c>
      <c r="K2041">
        <v>1.11063</v>
      </c>
      <c r="L2041">
        <v>284.99290000000002</v>
      </c>
      <c r="M2041">
        <v>-0.9998205</v>
      </c>
      <c r="N2041">
        <v>0</v>
      </c>
      <c r="O2041">
        <v>1.204909E-2</v>
      </c>
      <c r="P2041">
        <v>-0.9999152</v>
      </c>
      <c r="Q2041">
        <v>-1.2050419999999999E-2</v>
      </c>
      <c r="R2041">
        <v>-4.9596659999999997E-3</v>
      </c>
      <c r="S2041">
        <v>-2.9968870000000001</v>
      </c>
      <c r="T2041">
        <v>-0.3232912</v>
      </c>
      <c r="U2041">
        <v>0.115356399999999</v>
      </c>
      <c r="V2041">
        <v>-1.701107E-2</v>
      </c>
      <c r="W2041">
        <v>2.5590080000000002E-3</v>
      </c>
      <c r="X2041">
        <v>0.99985199999999996</v>
      </c>
      <c r="Y2041">
        <v>2.6336600000000002E-2</v>
      </c>
      <c r="Z2041">
        <v>1.203022E-4</v>
      </c>
      <c r="AA2041">
        <v>0.99965309999999996</v>
      </c>
      <c r="AB2041">
        <v>34</v>
      </c>
      <c r="AC2041">
        <v>-0.63589999999993496</v>
      </c>
      <c r="AD2041">
        <v>-9.2703999999999898E-2</v>
      </c>
      <c r="AE2041">
        <v>3.06999999999675E-2</v>
      </c>
      <c r="AF2041">
        <v>2.25566546613175E-2</v>
      </c>
      <c r="AG2041">
        <v>-9.2703999999999898E-2</v>
      </c>
      <c r="AH2041">
        <v>0.62301368356199704</v>
      </c>
      <c r="AI2041">
        <v>98.458011017762502</v>
      </c>
      <c r="AJ2041">
        <v>87.926471161691794</v>
      </c>
      <c r="AK2041">
        <v>0.63027683139315605</v>
      </c>
      <c r="AL2041">
        <v>89.853379477944102</v>
      </c>
      <c r="AM2041">
        <v>90.974712747173299</v>
      </c>
      <c r="AN2041">
        <v>0.99999997346424396</v>
      </c>
    </row>
    <row r="2042" spans="1:40" x14ac:dyDescent="0.3">
      <c r="A2042" t="str">
        <f>"20200111160446061"</f>
        <v>20200111160446061</v>
      </c>
      <c r="B2042" t="str">
        <f>"1578729886052543"</f>
        <v>1578729886052543</v>
      </c>
      <c r="C2042" t="s">
        <v>40</v>
      </c>
      <c r="D2042">
        <v>3.7589779999999999</v>
      </c>
      <c r="E2042">
        <v>0.5182561</v>
      </c>
      <c r="F2042" t="s">
        <v>42</v>
      </c>
      <c r="G2042">
        <v>-396.41759999999999</v>
      </c>
      <c r="H2042">
        <v>1.009531</v>
      </c>
      <c r="I2042">
        <v>285.02969999999999</v>
      </c>
      <c r="J2042">
        <v>-395.6721</v>
      </c>
      <c r="K2042">
        <v>1.110635</v>
      </c>
      <c r="L2042">
        <v>284.99509999999998</v>
      </c>
      <c r="M2042">
        <v>-0.99982329999999997</v>
      </c>
      <c r="N2042">
        <v>0</v>
      </c>
      <c r="O2042">
        <v>1.181781E-2</v>
      </c>
      <c r="P2042">
        <v>-0.99992219999999998</v>
      </c>
      <c r="Q2042">
        <v>-1.1655270000000001E-2</v>
      </c>
      <c r="R2042">
        <v>-4.5259970000000004E-3</v>
      </c>
      <c r="S2042">
        <v>-2.9969790000000001</v>
      </c>
      <c r="T2042">
        <v>-0.32308629999999999</v>
      </c>
      <c r="U2042">
        <v>0.1156006</v>
      </c>
      <c r="V2042">
        <v>-1.634644E-2</v>
      </c>
      <c r="W2042">
        <v>2.9523969999999998E-3</v>
      </c>
      <c r="X2042">
        <v>0.99986200000000003</v>
      </c>
      <c r="Y2042">
        <v>2.6644959999999999E-2</v>
      </c>
      <c r="Z2042">
        <v>1.616392E-4</v>
      </c>
      <c r="AA2042">
        <v>0.99964489999999995</v>
      </c>
      <c r="AB2042">
        <v>34</v>
      </c>
      <c r="AC2042">
        <v>-0.74549999999999195</v>
      </c>
      <c r="AD2042">
        <v>-0.101104</v>
      </c>
      <c r="AE2042">
        <v>3.4600000000011698E-2</v>
      </c>
      <c r="AF2042">
        <v>2.5321734747703401E-2</v>
      </c>
      <c r="AG2042">
        <v>-0.101104</v>
      </c>
      <c r="AH2042">
        <v>0.73241486382082199</v>
      </c>
      <c r="AI2042">
        <v>97.854916986331105</v>
      </c>
      <c r="AJ2042">
        <v>88.019905160138094</v>
      </c>
      <c r="AK2042">
        <v>0.73979371571560804</v>
      </c>
      <c r="AL2042">
        <v>89.830839861777505</v>
      </c>
      <c r="AM2042">
        <v>90.936627846913595</v>
      </c>
      <c r="AN2042">
        <v>0.99999997089635895</v>
      </c>
    </row>
    <row r="2043" spans="1:40" x14ac:dyDescent="0.3">
      <c r="A2043" t="str">
        <f>"20200111160446074"</f>
        <v>20200111160446074</v>
      </c>
      <c r="B2043" t="str">
        <f>"1578729886063280"</f>
        <v>1578729886063280</v>
      </c>
      <c r="C2043" t="s">
        <v>40</v>
      </c>
      <c r="D2043">
        <v>3.8028810000000002</v>
      </c>
      <c r="E2043">
        <v>0.5182561</v>
      </c>
      <c r="F2043" t="s">
        <v>42</v>
      </c>
      <c r="G2043">
        <v>-396.42759999999998</v>
      </c>
      <c r="H2043">
        <v>1.029593</v>
      </c>
      <c r="I2043">
        <v>285.02499999999998</v>
      </c>
      <c r="J2043">
        <v>-395.87200000000001</v>
      </c>
      <c r="K2043">
        <v>1.1106419999999999</v>
      </c>
      <c r="L2043">
        <v>284.99720000000002</v>
      </c>
      <c r="M2043">
        <v>-0.9998262</v>
      </c>
      <c r="N2043">
        <v>0</v>
      </c>
      <c r="O2043">
        <v>1.1578679999999999E-2</v>
      </c>
      <c r="P2043">
        <v>-0.99992619999999999</v>
      </c>
      <c r="Q2043">
        <v>-1.1218789999999999E-2</v>
      </c>
      <c r="R2043">
        <v>-4.717616E-3</v>
      </c>
      <c r="S2043">
        <v>-2.9970089999999998</v>
      </c>
      <c r="T2043">
        <v>-0.32185180000000002</v>
      </c>
      <c r="U2043">
        <v>0.1168213</v>
      </c>
      <c r="V2043">
        <v>-1.6299210000000001E-2</v>
      </c>
      <c r="W2043">
        <v>3.38727E-3</v>
      </c>
      <c r="X2043">
        <v>0.99986140000000001</v>
      </c>
      <c r="Y2043">
        <v>2.7285799999999999E-2</v>
      </c>
      <c r="Z2043">
        <v>2.2091799999999999E-4</v>
      </c>
      <c r="AA2043">
        <v>0.99962759999999995</v>
      </c>
      <c r="AB2043">
        <v>34</v>
      </c>
      <c r="AC2043">
        <v>-0.55560000000002596</v>
      </c>
      <c r="AD2043">
        <v>-8.1048999999999899E-2</v>
      </c>
      <c r="AE2043">
        <v>2.7799999999956498E-2</v>
      </c>
      <c r="AF2043">
        <v>2.09202639139906E-2</v>
      </c>
      <c r="AG2043">
        <v>-8.1048999999999899E-2</v>
      </c>
      <c r="AH2043">
        <v>0.54433026916230698</v>
      </c>
      <c r="AI2043">
        <v>98.462776900797493</v>
      </c>
      <c r="AJ2043">
        <v>87.799032594893603</v>
      </c>
      <c r="AK2043">
        <v>0.55072864440624503</v>
      </c>
      <c r="AL2043">
        <v>89.8059233496339</v>
      </c>
      <c r="AM2043">
        <v>90.933922675188597</v>
      </c>
      <c r="AN2043">
        <v>0.99999997852731803</v>
      </c>
    </row>
    <row r="2044" spans="1:40" x14ac:dyDescent="0.3">
      <c r="A2044" t="str">
        <f>"20200111160446095"</f>
        <v>20200111160446095</v>
      </c>
      <c r="B2044" t="str">
        <f>"1578729886092559"</f>
        <v>1578729886092559</v>
      </c>
      <c r="C2044" t="s">
        <v>40</v>
      </c>
      <c r="D2044">
        <v>3.8630429999999998</v>
      </c>
      <c r="E2044">
        <v>0.5182561</v>
      </c>
      <c r="F2044" t="s">
        <v>42</v>
      </c>
      <c r="G2044">
        <v>-396.72890000000001</v>
      </c>
      <c r="H2044">
        <v>1.0190570000000001</v>
      </c>
      <c r="I2044">
        <v>285.03089999999997</v>
      </c>
      <c r="J2044">
        <v>-396.1857</v>
      </c>
      <c r="K2044">
        <v>1.1106499999999999</v>
      </c>
      <c r="L2044">
        <v>285.00040000000001</v>
      </c>
      <c r="M2044">
        <v>-0.99983049999999996</v>
      </c>
      <c r="N2044">
        <v>0</v>
      </c>
      <c r="O2044">
        <v>1.120355E-2</v>
      </c>
      <c r="P2044">
        <v>-0.99993469999999995</v>
      </c>
      <c r="Q2044">
        <v>-1.0469300000000001E-2</v>
      </c>
      <c r="R2044">
        <v>-4.6281689999999997E-3</v>
      </c>
      <c r="S2044">
        <v>-2.9971619999999999</v>
      </c>
      <c r="T2044">
        <v>-0.32056059999999997</v>
      </c>
      <c r="U2044">
        <v>0.11621090000000001</v>
      </c>
      <c r="V2044">
        <v>-1.5835269999999999E-2</v>
      </c>
      <c r="W2044">
        <v>4.1330380000000003E-3</v>
      </c>
      <c r="X2044">
        <v>0.99986609999999998</v>
      </c>
      <c r="Y2044">
        <v>2.745326E-2</v>
      </c>
      <c r="Z2044">
        <v>2.689441E-4</v>
      </c>
      <c r="AA2044">
        <v>0.99962309999999999</v>
      </c>
      <c r="AB2044">
        <v>34</v>
      </c>
      <c r="AC2044">
        <v>-0.54320000000001301</v>
      </c>
      <c r="AD2044">
        <v>-9.1592999999999994E-2</v>
      </c>
      <c r="AE2044">
        <v>3.0499999999960802E-2</v>
      </c>
      <c r="AF2044">
        <v>2.37388492797771E-2</v>
      </c>
      <c r="AG2044">
        <v>-9.1592999999999994E-2</v>
      </c>
      <c r="AH2044">
        <v>0.52852784983484702</v>
      </c>
      <c r="AI2044">
        <v>99.821908532643207</v>
      </c>
      <c r="AJ2044">
        <v>87.428286225813196</v>
      </c>
      <c r="AK2044">
        <v>0.536930627423297</v>
      </c>
      <c r="AL2044">
        <v>89.763193698437902</v>
      </c>
      <c r="AM2044">
        <v>90.907339785933004</v>
      </c>
      <c r="AN2044">
        <v>1.0000000278541401</v>
      </c>
    </row>
    <row r="2045" spans="1:40" x14ac:dyDescent="0.3">
      <c r="A2045" t="str">
        <f>"20200111160446110"</f>
        <v>20200111160446110</v>
      </c>
      <c r="B2045" t="str">
        <f>"1578729886103295"</f>
        <v>1578729886103295</v>
      </c>
      <c r="C2045" t="s">
        <v>40</v>
      </c>
      <c r="D2045">
        <v>3.8138260000000002</v>
      </c>
      <c r="E2045">
        <v>0.5182561</v>
      </c>
      <c r="F2045" t="s">
        <v>42</v>
      </c>
      <c r="G2045">
        <v>-397.03579999999999</v>
      </c>
      <c r="H2045">
        <v>1.020389</v>
      </c>
      <c r="I2045">
        <v>285.03379999999999</v>
      </c>
      <c r="J2045">
        <v>-396.40699999999998</v>
      </c>
      <c r="K2045">
        <v>1.110654</v>
      </c>
      <c r="L2045">
        <v>285.0027</v>
      </c>
      <c r="M2045">
        <v>-0.99983350000000004</v>
      </c>
      <c r="N2045">
        <v>0</v>
      </c>
      <c r="O2045">
        <v>1.0939040000000001E-2</v>
      </c>
      <c r="P2045">
        <v>-0.99993620000000005</v>
      </c>
      <c r="Q2045">
        <v>-1.022521E-2</v>
      </c>
      <c r="R2045">
        <v>-4.8281770000000003E-3</v>
      </c>
      <c r="S2045">
        <v>-2.9974370000000001</v>
      </c>
      <c r="T2045">
        <v>-0.3183745</v>
      </c>
      <c r="U2045">
        <v>0.1165161</v>
      </c>
      <c r="V2045">
        <v>-1.5771360000000002E-2</v>
      </c>
      <c r="W2045">
        <v>4.3752690000000002E-3</v>
      </c>
      <c r="X2045">
        <v>0.99986609999999998</v>
      </c>
      <c r="Y2045">
        <v>2.7813549999999999E-2</v>
      </c>
      <c r="Z2045">
        <v>3.1417309999999998E-4</v>
      </c>
      <c r="AA2045">
        <v>0.99961310000000003</v>
      </c>
      <c r="AB2045">
        <v>34</v>
      </c>
      <c r="AC2045">
        <v>-0.62880000000001202</v>
      </c>
      <c r="AD2045">
        <v>-9.0264999999999998E-2</v>
      </c>
      <c r="AE2045">
        <v>3.1099999999980799E-2</v>
      </c>
      <c r="AF2045">
        <v>2.3731104378681599E-2</v>
      </c>
      <c r="AG2045">
        <v>-9.0264999999999998E-2</v>
      </c>
      <c r="AH2045">
        <v>0.61643084793473502</v>
      </c>
      <c r="AI2045">
        <v>98.324630467040393</v>
      </c>
      <c r="AJ2045">
        <v>87.795339074811096</v>
      </c>
      <c r="AK2045">
        <v>0.62345643458510203</v>
      </c>
      <c r="AL2045">
        <v>89.749314764372002</v>
      </c>
      <c r="AM2045">
        <v>90.903678436936204</v>
      </c>
      <c r="AN2045">
        <v>1.0000000483521301</v>
      </c>
    </row>
    <row r="2046" spans="1:40" x14ac:dyDescent="0.3">
      <c r="A2046" t="str">
        <f>"20200111160446130"</f>
        <v>20200111160446130</v>
      </c>
      <c r="B2046" t="str">
        <f>"1578729886122815"</f>
        <v>1578729886122815</v>
      </c>
      <c r="C2046" t="s">
        <v>40</v>
      </c>
      <c r="D2046">
        <v>3.7764489999999999</v>
      </c>
      <c r="E2046">
        <v>0.63902250000000005</v>
      </c>
      <c r="F2046" t="s">
        <v>42</v>
      </c>
      <c r="G2046">
        <v>-397.33760000000001</v>
      </c>
      <c r="H2046">
        <v>1.0120880000000001</v>
      </c>
      <c r="I2046">
        <v>285.03890000000001</v>
      </c>
      <c r="J2046">
        <v>-396.7167</v>
      </c>
      <c r="K2046">
        <v>1.1106590000000001</v>
      </c>
      <c r="L2046">
        <v>285.00569999999999</v>
      </c>
      <c r="M2046">
        <v>-0.99983750000000005</v>
      </c>
      <c r="N2046">
        <v>0</v>
      </c>
      <c r="O2046">
        <v>1.056899E-2</v>
      </c>
      <c r="P2046">
        <v>-0.99994179999999999</v>
      </c>
      <c r="Q2046">
        <v>-9.620076E-3</v>
      </c>
      <c r="R2046">
        <v>-4.896213E-3</v>
      </c>
      <c r="S2046">
        <v>-2.997528</v>
      </c>
      <c r="T2046">
        <v>-0.3176215</v>
      </c>
      <c r="U2046">
        <v>0.11593630000000001</v>
      </c>
      <c r="V2046">
        <v>-1.5469999999999999E-2</v>
      </c>
      <c r="W2046">
        <v>4.9770309999999998E-3</v>
      </c>
      <c r="X2046">
        <v>0.99986790000000003</v>
      </c>
      <c r="Y2046">
        <v>2.7986670000000002E-2</v>
      </c>
      <c r="Z2046">
        <v>3.616542E-4</v>
      </c>
      <c r="AA2046">
        <v>0.99960819999999995</v>
      </c>
      <c r="AB2046">
        <v>34</v>
      </c>
      <c r="AC2046">
        <v>-0.620900000000006</v>
      </c>
      <c r="AD2046">
        <v>-9.85710000000002E-2</v>
      </c>
      <c r="AE2046">
        <v>3.3200000000022101E-2</v>
      </c>
      <c r="AF2046">
        <v>2.5982193031458399E-2</v>
      </c>
      <c r="AG2046">
        <v>-9.85710000000002E-2</v>
      </c>
      <c r="AH2046">
        <v>0.60598699592009198</v>
      </c>
      <c r="AI2046">
        <v>99.230589515487594</v>
      </c>
      <c r="AJ2046">
        <v>87.544899820239706</v>
      </c>
      <c r="AK2046">
        <v>0.61450106234243496</v>
      </c>
      <c r="AL2046">
        <v>89.714835938945598</v>
      </c>
      <c r="AM2046">
        <v>90.886412086962906</v>
      </c>
      <c r="AN2046">
        <v>0.99999995459399105</v>
      </c>
    </row>
    <row r="2047" spans="1:40" x14ac:dyDescent="0.3">
      <c r="A2047" t="str">
        <f>"20200111160446152"</f>
        <v>20200111160446152</v>
      </c>
      <c r="B2047" t="str">
        <f>"1578729886143311"</f>
        <v>1578729886143311</v>
      </c>
      <c r="C2047" t="s">
        <v>40</v>
      </c>
      <c r="D2047">
        <v>3.5284080000000002</v>
      </c>
      <c r="E2047">
        <v>0.63911110000000004</v>
      </c>
      <c r="F2047" t="s">
        <v>42</v>
      </c>
      <c r="G2047">
        <v>-397.48230000000001</v>
      </c>
      <c r="H2047">
        <v>1.240561</v>
      </c>
      <c r="I2047">
        <v>285.2919</v>
      </c>
      <c r="J2047">
        <v>-397.04509999999999</v>
      </c>
      <c r="K2047">
        <v>1.110668</v>
      </c>
      <c r="L2047">
        <v>285.00880000000001</v>
      </c>
      <c r="M2047">
        <v>-0.99984150000000005</v>
      </c>
      <c r="N2047">
        <v>0</v>
      </c>
      <c r="O2047">
        <v>1.0176660000000001E-2</v>
      </c>
      <c r="P2047">
        <v>-0.99994019999999995</v>
      </c>
      <c r="Q2047">
        <v>-9.4230010000000003E-3</v>
      </c>
      <c r="R2047">
        <v>-5.541715E-3</v>
      </c>
      <c r="S2047">
        <v>-3.0105900000000001</v>
      </c>
      <c r="T2047">
        <v>0.51062129999999994</v>
      </c>
      <c r="U2047">
        <v>1.124298</v>
      </c>
      <c r="V2047">
        <v>-1.5723150000000002E-2</v>
      </c>
      <c r="W2047">
        <v>5.1701480000000003E-3</v>
      </c>
      <c r="X2047">
        <v>0.99986299999999995</v>
      </c>
      <c r="Y2047">
        <v>0.3362097</v>
      </c>
      <c r="Z2047">
        <v>-2.5745839999999999E-2</v>
      </c>
      <c r="AA2047">
        <v>0.94143520000000003</v>
      </c>
      <c r="AB2047">
        <v>34</v>
      </c>
      <c r="AC2047">
        <v>-0.43720000000001802</v>
      </c>
      <c r="AD2047">
        <v>0.12989300000000001</v>
      </c>
      <c r="AE2047">
        <v>0.28309999999999003</v>
      </c>
      <c r="AF2047">
        <v>0.26232119391973402</v>
      </c>
      <c r="AG2047">
        <v>0.12989300000000001</v>
      </c>
      <c r="AH2047">
        <v>0.41429273998374799</v>
      </c>
      <c r="AI2047">
        <v>75.163433635901299</v>
      </c>
      <c r="AJ2047">
        <v>57.658894654338198</v>
      </c>
      <c r="AK2047">
        <v>0.50727021855389498</v>
      </c>
      <c r="AL2047">
        <v>89.703771015470295</v>
      </c>
      <c r="AM2047">
        <v>90.900919315329901</v>
      </c>
      <c r="AN2047">
        <v>0.99999998332263196</v>
      </c>
    </row>
    <row r="2048" spans="1:40" x14ac:dyDescent="0.3">
      <c r="A2048" t="str">
        <f>"20200111160446173"</f>
        <v>20200111160446173</v>
      </c>
      <c r="B2048" t="str">
        <f>"1578729886162831"</f>
        <v>1578729886162831</v>
      </c>
      <c r="C2048" t="s">
        <v>40</v>
      </c>
      <c r="D2048">
        <v>3.4997579999999999</v>
      </c>
      <c r="E2048">
        <v>0.63911110000000004</v>
      </c>
      <c r="F2048" t="s">
        <v>60</v>
      </c>
      <c r="G2048">
        <v>-440.87389999999999</v>
      </c>
      <c r="H2048">
        <v>8.5770970000000002</v>
      </c>
      <c r="I2048">
        <v>301.3569</v>
      </c>
      <c r="J2048">
        <v>-397.37540000000001</v>
      </c>
      <c r="K2048">
        <v>1.1106689999999999</v>
      </c>
      <c r="L2048">
        <v>285.01170000000002</v>
      </c>
      <c r="M2048">
        <v>-0.9998456</v>
      </c>
      <c r="N2048">
        <v>0</v>
      </c>
      <c r="O2048">
        <v>9.7816469999999992E-3</v>
      </c>
      <c r="P2048">
        <v>-0.99994019999999995</v>
      </c>
      <c r="Q2048">
        <v>-9.0391770000000007E-3</v>
      </c>
      <c r="R2048">
        <v>-6.1770899999999997E-3</v>
      </c>
      <c r="S2048">
        <v>-3.0112610000000002</v>
      </c>
      <c r="T2048">
        <v>0.51298189999999999</v>
      </c>
      <c r="U2048">
        <v>1.1231990000000001</v>
      </c>
      <c r="V2048">
        <v>-1.5963890000000001E-2</v>
      </c>
      <c r="W2048">
        <v>5.5501810000000004E-3</v>
      </c>
      <c r="X2048">
        <v>0.9998572</v>
      </c>
      <c r="Y2048">
        <v>0.33616960000000001</v>
      </c>
      <c r="Z2048">
        <v>-2.59209E-2</v>
      </c>
      <c r="AA2048">
        <v>0.94144470000000002</v>
      </c>
      <c r="AB2048">
        <v>34</v>
      </c>
      <c r="AC2048">
        <v>-43.4984999999999</v>
      </c>
      <c r="AD2048">
        <v>7.4664279999999996</v>
      </c>
      <c r="AE2048">
        <v>16.345199999999899</v>
      </c>
      <c r="AF2048">
        <v>15.5182418594209</v>
      </c>
      <c r="AG2048">
        <v>7.4664279999999996</v>
      </c>
      <c r="AH2048">
        <v>42.557584074068998</v>
      </c>
      <c r="AI2048">
        <v>80.640271394642198</v>
      </c>
      <c r="AJ2048">
        <v>69.966068775597094</v>
      </c>
      <c r="AK2048">
        <v>45.909817465419302</v>
      </c>
      <c r="AL2048">
        <v>89.681996431733793</v>
      </c>
      <c r="AM2048">
        <v>90.914716433426804</v>
      </c>
      <c r="AN2048">
        <v>1.0000000353424501</v>
      </c>
    </row>
    <row r="2049" spans="1:40" x14ac:dyDescent="0.3">
      <c r="A2049" t="str">
        <f>"20200111160446196"</f>
        <v>20200111160446196</v>
      </c>
      <c r="B2049" t="str">
        <f>"1578729886193087"</f>
        <v>1578729886193087</v>
      </c>
      <c r="C2049" t="s">
        <v>40</v>
      </c>
      <c r="D2049">
        <v>3.4968189999999999</v>
      </c>
      <c r="E2049">
        <v>0.38756980000000002</v>
      </c>
      <c r="F2049" t="s">
        <v>60</v>
      </c>
      <c r="G2049">
        <v>-439.9366</v>
      </c>
      <c r="H2049">
        <v>8.3765660000000004</v>
      </c>
      <c r="I2049">
        <v>300.85809999999998</v>
      </c>
      <c r="J2049">
        <v>-397.72179999999997</v>
      </c>
      <c r="K2049">
        <v>1.11067</v>
      </c>
      <c r="L2049">
        <v>285.0147</v>
      </c>
      <c r="M2049">
        <v>-0.99984949999999995</v>
      </c>
      <c r="N2049">
        <v>0</v>
      </c>
      <c r="O2049">
        <v>9.3674520000000001E-3</v>
      </c>
      <c r="P2049">
        <v>-0.99993460000000001</v>
      </c>
      <c r="Q2049">
        <v>-9.0545269999999997E-3</v>
      </c>
      <c r="R2049">
        <v>-6.9799170000000004E-3</v>
      </c>
      <c r="S2049">
        <v>-3.011749</v>
      </c>
      <c r="T2049">
        <v>0.51415730000000004</v>
      </c>
      <c r="U2049">
        <v>1.1213379999999999</v>
      </c>
      <c r="V2049">
        <v>-1.6352450000000001E-2</v>
      </c>
      <c r="W2049">
        <v>5.5301539999999998E-3</v>
      </c>
      <c r="X2049">
        <v>0.99985100000000005</v>
      </c>
      <c r="Y2049">
        <v>0.33597660000000001</v>
      </c>
      <c r="Z2049">
        <v>-2.6030370000000001E-2</v>
      </c>
      <c r="AA2049">
        <v>0.94151059999999998</v>
      </c>
      <c r="AB2049">
        <v>34</v>
      </c>
      <c r="AC2049">
        <v>-42.214799999999997</v>
      </c>
      <c r="AD2049">
        <v>7.2658959999999997</v>
      </c>
      <c r="AE2049">
        <v>15.8433999999999</v>
      </c>
      <c r="AF2049">
        <v>15.0562541430139</v>
      </c>
      <c r="AG2049">
        <v>7.2658959999999997</v>
      </c>
      <c r="AH2049">
        <v>41.289224963151199</v>
      </c>
      <c r="AI2049">
        <v>80.612396650937001</v>
      </c>
      <c r="AJ2049">
        <v>69.965446482961795</v>
      </c>
      <c r="AK2049">
        <v>44.545304259366702</v>
      </c>
      <c r="AL2049">
        <v>89.683143901857605</v>
      </c>
      <c r="AM2049">
        <v>90.936982456407705</v>
      </c>
      <c r="AN2049">
        <v>1.00000000371263</v>
      </c>
    </row>
    <row r="2050" spans="1:40" x14ac:dyDescent="0.3">
      <c r="A2050" t="str">
        <f>"20200111160446211"</f>
        <v>20200111160446211</v>
      </c>
      <c r="B2050" t="str">
        <f>"1578729886202847"</f>
        <v>1578729886202847</v>
      </c>
      <c r="C2050" t="s">
        <v>40</v>
      </c>
      <c r="D2050">
        <v>4.6963689999999998</v>
      </c>
      <c r="E2050">
        <v>0.38756980000000002</v>
      </c>
      <c r="F2050" t="s">
        <v>65</v>
      </c>
      <c r="G2050">
        <v>-458.29559999999998</v>
      </c>
      <c r="H2050">
        <v>17.501919999999998</v>
      </c>
      <c r="I2050">
        <v>267.37299999999999</v>
      </c>
      <c r="J2050">
        <v>-397.96199999999999</v>
      </c>
      <c r="K2050">
        <v>1.110668</v>
      </c>
      <c r="L2050">
        <v>285.01659999999998</v>
      </c>
      <c r="M2050">
        <v>-0.99985219999999997</v>
      </c>
      <c r="N2050">
        <v>0</v>
      </c>
      <c r="O2050">
        <v>9.0800789999999996E-3</v>
      </c>
      <c r="P2050">
        <v>-0.99993120000000002</v>
      </c>
      <c r="Q2050">
        <v>-9.1426059999999993E-3</v>
      </c>
      <c r="R2050">
        <v>-7.3762119999999896E-3</v>
      </c>
      <c r="S2050">
        <v>-3.0014340000000002</v>
      </c>
      <c r="T2050">
        <v>0.81219149999999996</v>
      </c>
      <c r="U2050">
        <v>-0.87414550000000002</v>
      </c>
      <c r="V2050">
        <v>-1.6461170000000001E-2</v>
      </c>
      <c r="W2050">
        <v>5.4395579999999997E-3</v>
      </c>
      <c r="X2050">
        <v>0.99984969999999995</v>
      </c>
      <c r="Y2050">
        <v>-0.2787694</v>
      </c>
      <c r="Z2050">
        <v>3.8702609999999998E-2</v>
      </c>
      <c r="AA2050">
        <v>0.95957789999999998</v>
      </c>
      <c r="AB2050">
        <v>34</v>
      </c>
      <c r="AC2050">
        <v>-60.333599999999898</v>
      </c>
      <c r="AD2050">
        <v>16.391251999999898</v>
      </c>
      <c r="AE2050">
        <v>-17.6435999999999</v>
      </c>
      <c r="AF2050">
        <v>-17.032651230109899</v>
      </c>
      <c r="AG2050">
        <v>16.391251999999898</v>
      </c>
      <c r="AH2050">
        <v>56.3401152367964</v>
      </c>
      <c r="AI2050">
        <v>74.438232248205907</v>
      </c>
      <c r="AJ2050">
        <v>106.821030774516</v>
      </c>
      <c r="AK2050">
        <v>61.098223664437</v>
      </c>
      <c r="AL2050">
        <v>89.688334744320997</v>
      </c>
      <c r="AM2050">
        <v>90.943212130881193</v>
      </c>
      <c r="AN2050">
        <v>0.99999999074954704</v>
      </c>
    </row>
    <row r="2051" spans="1:40" x14ac:dyDescent="0.3">
      <c r="A2051" t="str">
        <f>"20200111160446240"</f>
        <v>20200111160446240</v>
      </c>
      <c r="B2051" t="str">
        <f>"1578729886233103"</f>
        <v>1578729886233103</v>
      </c>
      <c r="C2051" t="s">
        <v>40</v>
      </c>
      <c r="D2051">
        <v>3.8710079999999998</v>
      </c>
      <c r="E2051">
        <v>0.38756980000000002</v>
      </c>
      <c r="F2051" t="s">
        <v>65</v>
      </c>
      <c r="G2051">
        <v>-458.29559999999998</v>
      </c>
      <c r="H2051">
        <v>17.4316</v>
      </c>
      <c r="I2051">
        <v>267.41390000000001</v>
      </c>
      <c r="J2051">
        <v>-398.40620000000001</v>
      </c>
      <c r="K2051">
        <v>1.1106609999999999</v>
      </c>
      <c r="L2051">
        <v>285.02010000000001</v>
      </c>
      <c r="M2051">
        <v>-0.999857</v>
      </c>
      <c r="N2051">
        <v>0</v>
      </c>
      <c r="O2051">
        <v>8.5484259999999996E-3</v>
      </c>
      <c r="P2051">
        <v>-0.99991850000000004</v>
      </c>
      <c r="Q2051">
        <v>-9.6686610000000003E-3</v>
      </c>
      <c r="R2051">
        <v>-8.3694440000000002E-3</v>
      </c>
      <c r="S2051">
        <v>-3.00116</v>
      </c>
      <c r="T2051">
        <v>0.81185260000000004</v>
      </c>
      <c r="U2051">
        <v>-0.87561039999999901</v>
      </c>
      <c r="V2051">
        <v>-1.6921769999999999E-2</v>
      </c>
      <c r="W2051">
        <v>4.9083679999999998E-3</v>
      </c>
      <c r="X2051">
        <v>0.99984479999999998</v>
      </c>
      <c r="Y2051">
        <v>-0.27874209999999999</v>
      </c>
      <c r="Z2051">
        <v>3.8545639999999999E-2</v>
      </c>
      <c r="AA2051">
        <v>0.95959209999999995</v>
      </c>
      <c r="AB2051">
        <v>34</v>
      </c>
      <c r="AC2051">
        <v>-59.889399999999902</v>
      </c>
      <c r="AD2051">
        <v>16.320938999999999</v>
      </c>
      <c r="AE2051">
        <v>-17.606200000000001</v>
      </c>
      <c r="AF2051">
        <v>-16.9583286666589</v>
      </c>
      <c r="AG2051">
        <v>16.320938999999999</v>
      </c>
      <c r="AH2051">
        <v>55.9144717558613</v>
      </c>
      <c r="AI2051">
        <v>74.393528985478298</v>
      </c>
      <c r="AJ2051">
        <v>106.87205266255</v>
      </c>
      <c r="AK2051">
        <v>60.666185908998401</v>
      </c>
      <c r="AL2051">
        <v>89.718770108843202</v>
      </c>
      <c r="AM2051">
        <v>90.969603930625198</v>
      </c>
      <c r="AN2051">
        <v>1.0000000312316899</v>
      </c>
    </row>
    <row r="2052" spans="1:40" x14ac:dyDescent="0.3">
      <c r="A2052" t="str">
        <f>"20200111160446254"</f>
        <v>20200111160446254</v>
      </c>
      <c r="B2052" t="str">
        <f>"1578729886242864"</f>
        <v>1578729886242864</v>
      </c>
      <c r="C2052" t="s">
        <v>40</v>
      </c>
      <c r="D2052">
        <v>5.5788479999999998</v>
      </c>
      <c r="E2052">
        <v>0.38756980000000002</v>
      </c>
      <c r="F2052" t="s">
        <v>65</v>
      </c>
      <c r="G2052">
        <v>-458.29559999999998</v>
      </c>
      <c r="H2052">
        <v>17.278559999999999</v>
      </c>
      <c r="I2052">
        <v>267.48110000000003</v>
      </c>
      <c r="J2052">
        <v>-398.60680000000002</v>
      </c>
      <c r="K2052">
        <v>1.11066</v>
      </c>
      <c r="L2052">
        <v>285.02159999999998</v>
      </c>
      <c r="M2052">
        <v>-0.99985900000000005</v>
      </c>
      <c r="N2052">
        <v>0</v>
      </c>
      <c r="O2052">
        <v>8.308256E-3</v>
      </c>
      <c r="P2052">
        <v>-0.99991359999999996</v>
      </c>
      <c r="Q2052">
        <v>-9.8261549999999996E-3</v>
      </c>
      <c r="R2052">
        <v>-8.7378239999999999E-3</v>
      </c>
      <c r="S2052">
        <v>-3.0007320000000002</v>
      </c>
      <c r="T2052">
        <v>0.81009039999999999</v>
      </c>
      <c r="U2052">
        <v>-0.87878419999999902</v>
      </c>
      <c r="V2052">
        <v>-1.7050030000000001E-2</v>
      </c>
      <c r="W2052">
        <v>4.7486280000000004E-3</v>
      </c>
      <c r="X2052">
        <v>0.99984340000000005</v>
      </c>
      <c r="Y2052">
        <v>-0.27950809999999998</v>
      </c>
      <c r="Z2052">
        <v>3.8501559999999997E-2</v>
      </c>
      <c r="AA2052">
        <v>0.95937110000000003</v>
      </c>
      <c r="AB2052">
        <v>34</v>
      </c>
      <c r="AC2052">
        <v>-59.688799999999901</v>
      </c>
      <c r="AD2052">
        <v>16.167899999999999</v>
      </c>
      <c r="AE2052">
        <v>-17.540499999999899</v>
      </c>
      <c r="AF2052">
        <v>-16.894813335872399</v>
      </c>
      <c r="AG2052">
        <v>16.167899999999999</v>
      </c>
      <c r="AH2052">
        <v>55.774114614752399</v>
      </c>
      <c r="AI2052">
        <v>74.494239206384705</v>
      </c>
      <c r="AJ2052">
        <v>106.852345382218</v>
      </c>
      <c r="AK2052">
        <v>60.477992436286399</v>
      </c>
      <c r="AL2052">
        <v>89.727922645127506</v>
      </c>
      <c r="AM2052">
        <v>90.976953075036505</v>
      </c>
      <c r="AN2052">
        <v>1.0000000387572201</v>
      </c>
    </row>
    <row r="2053" spans="1:40" x14ac:dyDescent="0.3">
      <c r="A2053" t="str">
        <f>"20200111160446274"</f>
        <v>20200111160446274</v>
      </c>
      <c r="B2053" t="str">
        <f>"1578729886263360"</f>
        <v>1578729886263360</v>
      </c>
      <c r="C2053" t="s">
        <v>40</v>
      </c>
      <c r="D2053">
        <v>5.2883800000000001</v>
      </c>
      <c r="E2053">
        <v>0.46964430000000001</v>
      </c>
      <c r="F2053" t="s">
        <v>65</v>
      </c>
      <c r="G2053">
        <v>-458.29559999999998</v>
      </c>
      <c r="H2053">
        <v>17.211950000000002</v>
      </c>
      <c r="I2053">
        <v>267.5172</v>
      </c>
      <c r="J2053">
        <v>-398.90280000000001</v>
      </c>
      <c r="K2053">
        <v>1.110662</v>
      </c>
      <c r="L2053">
        <v>285.02370000000002</v>
      </c>
      <c r="M2053">
        <v>-0.99986200000000003</v>
      </c>
      <c r="N2053">
        <v>0</v>
      </c>
      <c r="O2053">
        <v>7.9535439999999999E-3</v>
      </c>
      <c r="P2053">
        <v>-0.99991140000000001</v>
      </c>
      <c r="Q2053">
        <v>-9.669179E-3</v>
      </c>
      <c r="R2053">
        <v>-9.1631409999999996E-3</v>
      </c>
      <c r="S2053">
        <v>-3.0005489999999999</v>
      </c>
      <c r="T2053">
        <v>0.80941370000000001</v>
      </c>
      <c r="U2053">
        <v>-0.87994380000000005</v>
      </c>
      <c r="V2053">
        <v>-1.712106E-2</v>
      </c>
      <c r="W2053">
        <v>4.901692E-3</v>
      </c>
      <c r="X2053">
        <v>0.99984139999999999</v>
      </c>
      <c r="Y2053">
        <v>-0.27955200000000002</v>
      </c>
      <c r="Z2053">
        <v>3.8384149999999999E-2</v>
      </c>
      <c r="AA2053">
        <v>0.95936299999999997</v>
      </c>
      <c r="AB2053">
        <v>34</v>
      </c>
      <c r="AC2053">
        <v>-59.392799999999902</v>
      </c>
      <c r="AD2053">
        <v>16.101288</v>
      </c>
      <c r="AE2053">
        <v>-17.506499999999999</v>
      </c>
      <c r="AF2053">
        <v>-16.839690347101001</v>
      </c>
      <c r="AG2053">
        <v>16.101288</v>
      </c>
      <c r="AH2053">
        <v>55.498868764854002</v>
      </c>
      <c r="AI2053">
        <v>74.484238723618901</v>
      </c>
      <c r="AJ2053">
        <v>106.879058033257</v>
      </c>
      <c r="AK2053">
        <v>60.190955137991303</v>
      </c>
      <c r="AL2053">
        <v>89.719152608818604</v>
      </c>
      <c r="AM2053">
        <v>90.981024205416801</v>
      </c>
      <c r="AN2053">
        <v>0.99999999121697303</v>
      </c>
    </row>
    <row r="2054" spans="1:40" x14ac:dyDescent="0.3">
      <c r="A2054" t="str">
        <f>"20200111160446289"</f>
        <v>20200111160446289</v>
      </c>
      <c r="B2054" t="str">
        <f>"1578729886282880"</f>
        <v>1578729886282880</v>
      </c>
      <c r="C2054" t="s">
        <v>40</v>
      </c>
      <c r="D2054">
        <v>5.1741619999999999</v>
      </c>
      <c r="E2054">
        <v>0.45668039999999999</v>
      </c>
      <c r="F2054" t="s">
        <v>61</v>
      </c>
      <c r="G2054">
        <v>-413.92360000000002</v>
      </c>
      <c r="H2054" s="1">
        <v>2.9889220000000001E-6</v>
      </c>
      <c r="I2054">
        <v>283.61900000000003</v>
      </c>
      <c r="J2054">
        <v>-399.13869999999997</v>
      </c>
      <c r="K2054">
        <v>1.110665</v>
      </c>
      <c r="L2054">
        <v>285.02530000000002</v>
      </c>
      <c r="M2054">
        <v>-0.99986430000000004</v>
      </c>
      <c r="N2054">
        <v>0</v>
      </c>
      <c r="O2054">
        <v>7.6706439999999999E-3</v>
      </c>
      <c r="P2054">
        <v>-0.99990789999999996</v>
      </c>
      <c r="Q2054">
        <v>-9.5625610000000007E-3</v>
      </c>
      <c r="R2054">
        <v>-9.6665919999999999E-3</v>
      </c>
      <c r="S2054">
        <v>-2.9955750000000001</v>
      </c>
      <c r="T2054">
        <v>-0.221497</v>
      </c>
      <c r="U2054">
        <v>-0.2801208</v>
      </c>
      <c r="V2054">
        <v>-1.7341309999999999E-2</v>
      </c>
      <c r="W2054">
        <v>5.0056409999999999E-3</v>
      </c>
      <c r="X2054">
        <v>0.99983710000000003</v>
      </c>
      <c r="Y2054">
        <v>-0.1004481</v>
      </c>
      <c r="Z2054">
        <v>-4.2658189999999997E-3</v>
      </c>
      <c r="AA2054">
        <v>0.99493310000000001</v>
      </c>
      <c r="AB2054">
        <v>34</v>
      </c>
      <c r="AC2054">
        <v>-14.7849</v>
      </c>
      <c r="AD2054">
        <v>-1.1106620110780001</v>
      </c>
      <c r="AE2054">
        <v>-1.4062999999999799</v>
      </c>
      <c r="AF2054">
        <v>-1.5112286449943499</v>
      </c>
      <c r="AG2054">
        <v>-1.1106620110780001</v>
      </c>
      <c r="AH2054">
        <v>14.6915124780824</v>
      </c>
      <c r="AI2054">
        <v>94.300666611748696</v>
      </c>
      <c r="AJ2054">
        <v>95.873020547297898</v>
      </c>
      <c r="AK2054">
        <v>14.810736680326</v>
      </c>
      <c r="AL2054">
        <v>89.713196699797294</v>
      </c>
      <c r="AM2054">
        <v>90.993646127514396</v>
      </c>
      <c r="AN2054">
        <v>1.0000000020053701</v>
      </c>
    </row>
    <row r="2055" spans="1:40" x14ac:dyDescent="0.3">
      <c r="A2055" t="str">
        <f>"20200111160446308"</f>
        <v>20200111160446308</v>
      </c>
      <c r="B2055" t="str">
        <f>"1578729886303376"</f>
        <v>1578729886303376</v>
      </c>
      <c r="C2055" t="s">
        <v>40</v>
      </c>
      <c r="D2055">
        <v>5.1407080000000001</v>
      </c>
      <c r="E2055">
        <v>0.45188040000000002</v>
      </c>
      <c r="F2055" t="s">
        <v>61</v>
      </c>
      <c r="G2055">
        <v>-414.86630000000002</v>
      </c>
      <c r="H2055" s="1">
        <v>3.2098190000000001E-6</v>
      </c>
      <c r="I2055">
        <v>283.00490000000002</v>
      </c>
      <c r="J2055">
        <v>-399.42039999999997</v>
      </c>
      <c r="K2055">
        <v>1.1106659999999999</v>
      </c>
      <c r="L2055">
        <v>285.02710000000002</v>
      </c>
      <c r="M2055">
        <v>-0.9998669</v>
      </c>
      <c r="N2055">
        <v>0</v>
      </c>
      <c r="O2055">
        <v>7.3327979999999997E-3</v>
      </c>
      <c r="P2055">
        <v>-0.99990489999999999</v>
      </c>
      <c r="Q2055">
        <v>-9.5460969999999999E-3</v>
      </c>
      <c r="R2055">
        <v>-9.9750299999999993E-3</v>
      </c>
      <c r="S2055">
        <v>-2.9945369999999998</v>
      </c>
      <c r="T2055">
        <v>-0.2114704</v>
      </c>
      <c r="U2055">
        <v>-0.38467410000000002</v>
      </c>
      <c r="V2055">
        <v>-1.7312230000000001E-2</v>
      </c>
      <c r="W2055">
        <v>5.0194690000000004E-3</v>
      </c>
      <c r="X2055">
        <v>0.99983750000000005</v>
      </c>
      <c r="Y2055">
        <v>-0.13433490000000001</v>
      </c>
      <c r="Z2055">
        <v>-5.2332580000000002E-3</v>
      </c>
      <c r="AA2055">
        <v>0.99092219999999998</v>
      </c>
      <c r="AB2055">
        <v>34</v>
      </c>
      <c r="AC2055">
        <v>-15.4459</v>
      </c>
      <c r="AD2055">
        <v>-1.110662790181</v>
      </c>
      <c r="AE2055">
        <v>-2.02219999999999</v>
      </c>
      <c r="AF2055">
        <v>-2.1246189588337399</v>
      </c>
      <c r="AG2055">
        <v>-1.110662790181</v>
      </c>
      <c r="AH2055">
        <v>15.352610719300401</v>
      </c>
      <c r="AI2055">
        <v>94.098845391651693</v>
      </c>
      <c r="AJ2055">
        <v>97.879011926146902</v>
      </c>
      <c r="AK2055">
        <v>15.5386689729882</v>
      </c>
      <c r="AL2055">
        <v>89.712404393851301</v>
      </c>
      <c r="AM2055">
        <v>90.991979798311206</v>
      </c>
      <c r="AN2055">
        <v>0.99999996739143104</v>
      </c>
    </row>
    <row r="2056" spans="1:40" x14ac:dyDescent="0.3">
      <c r="A2056" t="str">
        <f>"20200111160446321"</f>
        <v>20200111160446321</v>
      </c>
      <c r="B2056" t="str">
        <f>"1578729886313135"</f>
        <v>1578729886313135</v>
      </c>
      <c r="C2056" t="s">
        <v>40</v>
      </c>
      <c r="D2056">
        <v>5.1314149999999996</v>
      </c>
      <c r="E2056">
        <v>0.45044650000000003</v>
      </c>
      <c r="F2056" t="s">
        <v>61</v>
      </c>
      <c r="G2056">
        <v>-415.23419999999999</v>
      </c>
      <c r="H2056" s="1">
        <v>3.2939919999999999E-6</v>
      </c>
      <c r="I2056">
        <v>282.78870000000001</v>
      </c>
      <c r="J2056">
        <v>-399.63760000000002</v>
      </c>
      <c r="K2056">
        <v>1.110662</v>
      </c>
      <c r="L2056">
        <v>285.02839999999998</v>
      </c>
      <c r="M2056">
        <v>-0.9998688</v>
      </c>
      <c r="N2056">
        <v>0</v>
      </c>
      <c r="O2056">
        <v>7.0724859999999898E-3</v>
      </c>
      <c r="P2056">
        <v>-0.99990420000000002</v>
      </c>
      <c r="Q2056">
        <v>-9.4248060000000008E-3</v>
      </c>
      <c r="R2056">
        <v>-1.0152329999999999E-2</v>
      </c>
      <c r="S2056">
        <v>-2.994049</v>
      </c>
      <c r="T2056">
        <v>-0.21028269999999999</v>
      </c>
      <c r="U2056">
        <v>-0.4237976</v>
      </c>
      <c r="V2056">
        <v>-1.722926E-2</v>
      </c>
      <c r="W2056">
        <v>5.1381999999999999E-3</v>
      </c>
      <c r="X2056">
        <v>0.99983840000000002</v>
      </c>
      <c r="Y2056">
        <v>-0.14677789999999999</v>
      </c>
      <c r="Z2056">
        <v>-5.6163630000000001E-3</v>
      </c>
      <c r="AA2056">
        <v>0.98915350000000002</v>
      </c>
      <c r="AB2056">
        <v>34</v>
      </c>
      <c r="AC2056">
        <v>-15.596599999999899</v>
      </c>
      <c r="AD2056">
        <v>-1.110658706008</v>
      </c>
      <c r="AE2056">
        <v>-2.2396999999999698</v>
      </c>
      <c r="AF2056">
        <v>-2.3383440549965</v>
      </c>
      <c r="AG2056">
        <v>-1.110658706008</v>
      </c>
      <c r="AH2056">
        <v>15.503337559974099</v>
      </c>
      <c r="AI2056">
        <v>94.051992226013496</v>
      </c>
      <c r="AJ2056">
        <v>98.577180995218697</v>
      </c>
      <c r="AK2056">
        <v>15.7179798695402</v>
      </c>
      <c r="AL2056">
        <v>89.705601541272202</v>
      </c>
      <c r="AM2056">
        <v>90.987225724627507</v>
      </c>
      <c r="AN2056">
        <v>1.00000003730697</v>
      </c>
    </row>
    <row r="2057" spans="1:40" x14ac:dyDescent="0.3">
      <c r="A2057" t="str">
        <f>"20200111160446341"</f>
        <v>20200111160446341</v>
      </c>
      <c r="B2057" t="str">
        <f>"1578729886332658"</f>
        <v>1578729886332658</v>
      </c>
      <c r="C2057" t="s">
        <v>40</v>
      </c>
      <c r="D2057">
        <v>5.1162289999999997</v>
      </c>
      <c r="E2057">
        <v>0.44848339999999998</v>
      </c>
      <c r="F2057" t="s">
        <v>61</v>
      </c>
      <c r="G2057">
        <v>-415.47129999999999</v>
      </c>
      <c r="H2057" s="1">
        <v>3.3416159999999999E-6</v>
      </c>
      <c r="I2057">
        <v>282.72500000000002</v>
      </c>
      <c r="J2057">
        <v>-399.9298</v>
      </c>
      <c r="K2057">
        <v>1.1106609999999999</v>
      </c>
      <c r="L2057">
        <v>285.0301</v>
      </c>
      <c r="M2057">
        <v>-0.99987119999999996</v>
      </c>
      <c r="N2057">
        <v>0</v>
      </c>
      <c r="O2057">
        <v>6.7220659999999996E-3</v>
      </c>
      <c r="P2057">
        <v>-0.99989899999999998</v>
      </c>
      <c r="Q2057">
        <v>-9.4014500000000004E-3</v>
      </c>
      <c r="R2057">
        <v>-1.066516E-2</v>
      </c>
      <c r="S2057">
        <v>-2.9939269999999998</v>
      </c>
      <c r="T2057">
        <v>-0.21000949999999999</v>
      </c>
      <c r="U2057">
        <v>-0.43554690000000001</v>
      </c>
      <c r="V2057">
        <v>-1.739135E-2</v>
      </c>
      <c r="W2057">
        <v>5.1587040000000001E-3</v>
      </c>
      <c r="X2057">
        <v>0.99983540000000004</v>
      </c>
      <c r="Y2057">
        <v>-0.15023310000000001</v>
      </c>
      <c r="Z2057">
        <v>-5.7037329999999999E-3</v>
      </c>
      <c r="AA2057">
        <v>0.98863420000000002</v>
      </c>
      <c r="AB2057">
        <v>34</v>
      </c>
      <c r="AC2057">
        <v>-15.5414999999999</v>
      </c>
      <c r="AD2057">
        <v>-1.110657658384</v>
      </c>
      <c r="AE2057">
        <v>-2.3050999999999799</v>
      </c>
      <c r="AF2057">
        <v>-2.3975490294311599</v>
      </c>
      <c r="AG2057">
        <v>-1.110657658384</v>
      </c>
      <c r="AH2057">
        <v>15.4484535320719</v>
      </c>
      <c r="AI2057">
        <v>94.063689805384897</v>
      </c>
      <c r="AJ2057">
        <v>98.821738403424305</v>
      </c>
      <c r="AK2057">
        <v>15.672795485019201</v>
      </c>
      <c r="AL2057">
        <v>89.704426707036703</v>
      </c>
      <c r="AM2057">
        <v>90.996514504610104</v>
      </c>
      <c r="AN2057">
        <v>0.99999994918746904</v>
      </c>
    </row>
    <row r="2058" spans="1:40" x14ac:dyDescent="0.3">
      <c r="A2058" t="str">
        <f>"20200111160446362"</f>
        <v>20200111160446362</v>
      </c>
      <c r="B2058" t="str">
        <f>"1578729886353151"</f>
        <v>1578729886353151</v>
      </c>
      <c r="C2058" t="s">
        <v>40</v>
      </c>
      <c r="D2058">
        <v>5.1334109999999997</v>
      </c>
      <c r="E2058">
        <v>0.4471425</v>
      </c>
      <c r="F2058" t="s">
        <v>61</v>
      </c>
      <c r="G2058">
        <v>-415.77609999999999</v>
      </c>
      <c r="H2058" s="1">
        <v>3.4037620000000001E-6</v>
      </c>
      <c r="I2058">
        <v>282.63260000000002</v>
      </c>
      <c r="J2058">
        <v>-400.25009999999997</v>
      </c>
      <c r="K2058">
        <v>1.110663</v>
      </c>
      <c r="L2058">
        <v>285.03190000000001</v>
      </c>
      <c r="M2058">
        <v>-0.99987380000000003</v>
      </c>
      <c r="N2058">
        <v>0</v>
      </c>
      <c r="O2058">
        <v>6.337858E-3</v>
      </c>
      <c r="P2058">
        <v>-0.99989519999999998</v>
      </c>
      <c r="Q2058">
        <v>-9.6730219999999999E-3</v>
      </c>
      <c r="R2058">
        <v>-1.0786479999999999E-2</v>
      </c>
      <c r="S2058">
        <v>-2.9935</v>
      </c>
      <c r="T2058">
        <v>-0.20981250000000001</v>
      </c>
      <c r="U2058">
        <v>-0.45291140000000002</v>
      </c>
      <c r="V2058">
        <v>-1.712868E-2</v>
      </c>
      <c r="W2058">
        <v>4.8830949999999996E-3</v>
      </c>
      <c r="X2058">
        <v>0.99984139999999999</v>
      </c>
      <c r="Y2058">
        <v>-0.15547179999999999</v>
      </c>
      <c r="Z2058">
        <v>-5.8523739999999996E-3</v>
      </c>
      <c r="AA2058">
        <v>0.98782300000000001</v>
      </c>
      <c r="AB2058">
        <v>34</v>
      </c>
      <c r="AC2058">
        <v>-15.526</v>
      </c>
      <c r="AD2058">
        <v>-1.1106595962379999</v>
      </c>
      <c r="AE2058">
        <v>-2.3992999999999798</v>
      </c>
      <c r="AF2058">
        <v>-2.48524266725037</v>
      </c>
      <c r="AG2058">
        <v>-1.1106595962379999</v>
      </c>
      <c r="AH2058">
        <v>15.433344723462</v>
      </c>
      <c r="AI2058">
        <v>94.064015057396205</v>
      </c>
      <c r="AJ2058">
        <v>99.147849652273607</v>
      </c>
      <c r="AK2058">
        <v>15.671570604347499</v>
      </c>
      <c r="AL2058">
        <v>89.720218162245502</v>
      </c>
      <c r="AM2058">
        <v>90.981460740451993</v>
      </c>
      <c r="AN2058">
        <v>1.0000000307246399</v>
      </c>
    </row>
    <row r="2059" spans="1:40" x14ac:dyDescent="0.3">
      <c r="A2059" t="str">
        <f>"20200111160446377"</f>
        <v>20200111160446377</v>
      </c>
      <c r="B2059" t="str">
        <f>"1578729886372671"</f>
        <v>1578729886372671</v>
      </c>
      <c r="C2059" t="s">
        <v>40</v>
      </c>
      <c r="D2059">
        <v>5.1883290000000004</v>
      </c>
      <c r="E2059">
        <v>0.44592039999999999</v>
      </c>
      <c r="F2059" t="s">
        <v>61</v>
      </c>
      <c r="G2059">
        <v>-416.06659999999999</v>
      </c>
      <c r="H2059" s="1">
        <v>3.4598100000000002E-6</v>
      </c>
      <c r="I2059">
        <v>282.58080000000001</v>
      </c>
      <c r="J2059">
        <v>-400.46319999999997</v>
      </c>
      <c r="K2059">
        <v>1.110665</v>
      </c>
      <c r="L2059">
        <v>285.03300000000002</v>
      </c>
      <c r="M2059">
        <v>-0.99987539999999997</v>
      </c>
      <c r="N2059">
        <v>0</v>
      </c>
      <c r="O2059">
        <v>6.082255E-3</v>
      </c>
      <c r="P2059">
        <v>-0.99989399999999995</v>
      </c>
      <c r="Q2059">
        <v>-9.5990260000000001E-3</v>
      </c>
      <c r="R2059">
        <v>-1.0955589999999999E-2</v>
      </c>
      <c r="S2059">
        <v>-2.9932859999999999</v>
      </c>
      <c r="T2059">
        <v>-0.21019350000000001</v>
      </c>
      <c r="U2059">
        <v>-0.46386719999999998</v>
      </c>
      <c r="V2059">
        <v>-1.7042379999999999E-2</v>
      </c>
      <c r="W2059">
        <v>4.9550970000000003E-3</v>
      </c>
      <c r="X2059">
        <v>0.99984249999999997</v>
      </c>
      <c r="Y2059">
        <v>-0.15875310000000001</v>
      </c>
      <c r="Z2059">
        <v>-5.958339E-3</v>
      </c>
      <c r="AA2059">
        <v>0.98730030000000002</v>
      </c>
      <c r="AB2059">
        <v>34</v>
      </c>
      <c r="AC2059">
        <v>-15.603400000000001</v>
      </c>
      <c r="AD2059">
        <v>-1.11066154019</v>
      </c>
      <c r="AE2059">
        <v>-2.4521999999999999</v>
      </c>
      <c r="AF2059">
        <v>-2.5345363592063799</v>
      </c>
      <c r="AG2059">
        <v>-1.11066154019</v>
      </c>
      <c r="AH2059">
        <v>15.511497098990301</v>
      </c>
      <c r="AI2059">
        <v>94.042107071108006</v>
      </c>
      <c r="AJ2059">
        <v>99.279966573041705</v>
      </c>
      <c r="AK2059">
        <v>15.756395078347699</v>
      </c>
      <c r="AL2059">
        <v>89.716092695929902</v>
      </c>
      <c r="AM2059">
        <v>90.976515699888907</v>
      </c>
      <c r="AN2059">
        <v>1.0000000102542901</v>
      </c>
    </row>
    <row r="2060" spans="1:40" x14ac:dyDescent="0.3">
      <c r="A2060" t="str">
        <f>"20200111160446392"</f>
        <v>20200111160446392</v>
      </c>
      <c r="B2060" t="str">
        <f>"1578729886382431"</f>
        <v>1578729886382431</v>
      </c>
      <c r="C2060" t="s">
        <v>40</v>
      </c>
      <c r="D2060">
        <v>5.152838</v>
      </c>
      <c r="E2060">
        <v>0.44537139999999997</v>
      </c>
      <c r="F2060" t="s">
        <v>61</v>
      </c>
      <c r="G2060">
        <v>-416.34859999999998</v>
      </c>
      <c r="H2060" s="1">
        <v>3.5154269999999999E-6</v>
      </c>
      <c r="I2060">
        <v>282.51679999999999</v>
      </c>
      <c r="J2060">
        <v>-400.68430000000001</v>
      </c>
      <c r="K2060">
        <v>1.110663</v>
      </c>
      <c r="L2060">
        <v>285.03410000000002</v>
      </c>
      <c r="M2060">
        <v>-0.99987720000000002</v>
      </c>
      <c r="N2060">
        <v>0</v>
      </c>
      <c r="O2060">
        <v>5.8169370000000003E-3</v>
      </c>
      <c r="P2060">
        <v>-0.99989260000000002</v>
      </c>
      <c r="Q2060">
        <v>-9.2972780000000008E-3</v>
      </c>
      <c r="R2060">
        <v>-1.134689E-2</v>
      </c>
      <c r="S2060">
        <v>-2.993134</v>
      </c>
      <c r="T2060">
        <v>-0.2092717</v>
      </c>
      <c r="U2060">
        <v>-0.47409059999999997</v>
      </c>
      <c r="V2060">
        <v>-1.7168220000000001E-2</v>
      </c>
      <c r="W2060">
        <v>5.2545469999999896E-3</v>
      </c>
      <c r="X2060">
        <v>0.99983880000000003</v>
      </c>
      <c r="Y2060">
        <v>-0.1617865</v>
      </c>
      <c r="Z2060">
        <v>-6.0178599999999999E-3</v>
      </c>
      <c r="AA2060">
        <v>0.98680749999999995</v>
      </c>
      <c r="AB2060">
        <v>34</v>
      </c>
      <c r="AC2060">
        <v>-15.6642999999999</v>
      </c>
      <c r="AD2060">
        <v>-1.110659484573</v>
      </c>
      <c r="AE2060">
        <v>-2.5173000000000298</v>
      </c>
      <c r="AF2060">
        <v>-2.5956644811949001</v>
      </c>
      <c r="AG2060">
        <v>-1.110659484573</v>
      </c>
      <c r="AH2060">
        <v>15.573070000680399</v>
      </c>
      <c r="AI2060">
        <v>94.024056982726904</v>
      </c>
      <c r="AJ2060">
        <v>99.4628692401173</v>
      </c>
      <c r="AK2060">
        <v>15.8269247750692</v>
      </c>
      <c r="AL2060">
        <v>89.698935245818703</v>
      </c>
      <c r="AM2060">
        <v>90.983728466204198</v>
      </c>
      <c r="AN2060">
        <v>0.99999999201379097</v>
      </c>
    </row>
    <row r="2061" spans="1:40" x14ac:dyDescent="0.3">
      <c r="A2061" t="str">
        <f>"20200111160446407"</f>
        <v>20200111160446407</v>
      </c>
      <c r="B2061" t="str">
        <f>"1578729886402930"</f>
        <v>1578729886402930</v>
      </c>
      <c r="C2061" t="s">
        <v>40</v>
      </c>
      <c r="D2061">
        <v>5.2027539999999997</v>
      </c>
      <c r="E2061">
        <v>0.44445319999999999</v>
      </c>
      <c r="F2061" t="s">
        <v>61</v>
      </c>
      <c r="G2061">
        <v>-416.69110000000001</v>
      </c>
      <c r="H2061" s="1">
        <v>3.5803330000000001E-6</v>
      </c>
      <c r="I2061">
        <v>282.46949999999998</v>
      </c>
      <c r="J2061">
        <v>-400.93099999999998</v>
      </c>
      <c r="K2061">
        <v>1.1106609999999999</v>
      </c>
      <c r="L2061">
        <v>285.03519999999997</v>
      </c>
      <c r="M2061">
        <v>-0.99987879999999996</v>
      </c>
      <c r="N2061">
        <v>0</v>
      </c>
      <c r="O2061">
        <v>5.5209289999999999E-3</v>
      </c>
      <c r="P2061">
        <v>-0.99988929999999998</v>
      </c>
      <c r="Q2061">
        <v>-8.3908079999999996E-3</v>
      </c>
      <c r="R2061">
        <v>-1.2295520000000001E-2</v>
      </c>
      <c r="S2061">
        <v>-2.9929199999999998</v>
      </c>
      <c r="T2061">
        <v>-0.20766809999999999</v>
      </c>
      <c r="U2061">
        <v>-0.47952270000000002</v>
      </c>
      <c r="V2061">
        <v>-1.7821759999999999E-2</v>
      </c>
      <c r="W2061">
        <v>6.1571849999999999E-3</v>
      </c>
      <c r="X2061">
        <v>0.99982219999999999</v>
      </c>
      <c r="Y2061">
        <v>-0.16325519999999999</v>
      </c>
      <c r="Z2061">
        <v>-6.0016130000000003E-3</v>
      </c>
      <c r="AA2061">
        <v>0.98656560000000004</v>
      </c>
      <c r="AB2061">
        <v>34</v>
      </c>
      <c r="AC2061">
        <v>-15.7601</v>
      </c>
      <c r="AD2061">
        <v>-1.110657419667</v>
      </c>
      <c r="AE2061">
        <v>-2.5656999999999899</v>
      </c>
      <c r="AF2061">
        <v>-2.6399081492911902</v>
      </c>
      <c r="AG2061">
        <v>-1.110657419667</v>
      </c>
      <c r="AH2061">
        <v>15.6698794956386</v>
      </c>
      <c r="AI2061">
        <v>93.998104297651196</v>
      </c>
      <c r="AJ2061">
        <v>99.562836204513204</v>
      </c>
      <c r="AK2061">
        <v>15.929463215952699</v>
      </c>
      <c r="AL2061">
        <v>89.647217049273195</v>
      </c>
      <c r="AM2061">
        <v>91.021185073525501</v>
      </c>
      <c r="AN2061">
        <v>0.99999997883473002</v>
      </c>
    </row>
    <row r="2062" spans="1:40" x14ac:dyDescent="0.3">
      <c r="A2062" t="str">
        <f>"20200111160446431"</f>
        <v>20200111160446431</v>
      </c>
      <c r="B2062" t="str">
        <f>"1578729886422447"</f>
        <v>1578729886422447</v>
      </c>
      <c r="C2062" t="s">
        <v>40</v>
      </c>
      <c r="D2062">
        <v>5.1492329999999997</v>
      </c>
      <c r="E2062">
        <v>0.44351309999999999</v>
      </c>
      <c r="F2062" t="s">
        <v>61</v>
      </c>
      <c r="G2062">
        <v>-417.27289999999999</v>
      </c>
      <c r="H2062" s="1">
        <v>3.6928660000000002E-6</v>
      </c>
      <c r="I2062">
        <v>282.36259999999999</v>
      </c>
      <c r="J2062">
        <v>-401.27539999999999</v>
      </c>
      <c r="K2062">
        <v>1.1106670000000001</v>
      </c>
      <c r="L2062">
        <v>285.0367</v>
      </c>
      <c r="M2062">
        <v>-0.99988089999999996</v>
      </c>
      <c r="N2062">
        <v>0</v>
      </c>
      <c r="O2062">
        <v>5.1077539999999999E-3</v>
      </c>
      <c r="P2062">
        <v>-0.99988690000000002</v>
      </c>
      <c r="Q2062">
        <v>-7.3085240000000003E-3</v>
      </c>
      <c r="R2062">
        <v>-1.315713E-2</v>
      </c>
      <c r="S2062">
        <v>-2.9926149999999998</v>
      </c>
      <c r="T2062">
        <v>-0.20338980000000001</v>
      </c>
      <c r="U2062">
        <v>-0.48941040000000002</v>
      </c>
      <c r="V2062">
        <v>-1.827121E-2</v>
      </c>
      <c r="W2062">
        <v>7.2352900000000001E-3</v>
      </c>
      <c r="X2062">
        <v>0.99980690000000005</v>
      </c>
      <c r="Y2062">
        <v>-0.1660499</v>
      </c>
      <c r="Z2062">
        <v>-5.9436690000000004E-3</v>
      </c>
      <c r="AA2062">
        <v>0.98609939999999996</v>
      </c>
      <c r="AB2062">
        <v>34</v>
      </c>
      <c r="AC2062">
        <v>-15.9975</v>
      </c>
      <c r="AD2062">
        <v>-1.110663307134</v>
      </c>
      <c r="AE2062">
        <v>-2.6741000000000099</v>
      </c>
      <c r="AF2062">
        <v>-2.7429231508834899</v>
      </c>
      <c r="AG2062">
        <v>-1.110663307134</v>
      </c>
      <c r="AH2062">
        <v>15.9090316792234</v>
      </c>
      <c r="AI2062">
        <v>93.935651386040007</v>
      </c>
      <c r="AJ2062">
        <v>99.782360355873095</v>
      </c>
      <c r="AK2062">
        <v>16.181918593417802</v>
      </c>
      <c r="AL2062">
        <v>89.585444807377201</v>
      </c>
      <c r="AM2062">
        <v>91.046948869835106</v>
      </c>
      <c r="AN2062">
        <v>1.0000000119119199</v>
      </c>
    </row>
    <row r="2063" spans="1:40" x14ac:dyDescent="0.3">
      <c r="A2063" t="str">
        <f>"20200111160446452"</f>
        <v>20200111160446452</v>
      </c>
      <c r="B2063" t="str">
        <f>"1578729886442943"</f>
        <v>1578729886442943</v>
      </c>
      <c r="C2063" t="s">
        <v>40</v>
      </c>
      <c r="D2063">
        <v>5.2387169999999896</v>
      </c>
      <c r="E2063">
        <v>0.4427218</v>
      </c>
      <c r="F2063" t="s">
        <v>61</v>
      </c>
      <c r="G2063">
        <v>-418.03120000000001</v>
      </c>
      <c r="H2063" s="1">
        <v>3.8381559999999996E-6</v>
      </c>
      <c r="I2063">
        <v>282.23939999999999</v>
      </c>
      <c r="J2063">
        <v>-401.60390000000001</v>
      </c>
      <c r="K2063">
        <v>1.1106750000000001</v>
      </c>
      <c r="L2063">
        <v>285.03789999999998</v>
      </c>
      <c r="M2063">
        <v>-0.99988290000000002</v>
      </c>
      <c r="N2063">
        <v>0</v>
      </c>
      <c r="O2063">
        <v>4.7135889999999998E-3</v>
      </c>
      <c r="P2063">
        <v>-0.99987429999999999</v>
      </c>
      <c r="Q2063">
        <v>-7.6231919999999896E-3</v>
      </c>
      <c r="R2063">
        <v>-1.3897410000000001E-2</v>
      </c>
      <c r="S2063">
        <v>-2.9922789999999999</v>
      </c>
      <c r="T2063">
        <v>-0.1983441</v>
      </c>
      <c r="U2063">
        <v>-0.49954219999999999</v>
      </c>
      <c r="V2063">
        <v>-1.8616890000000001E-2</v>
      </c>
      <c r="W2063">
        <v>6.91677E-3</v>
      </c>
      <c r="X2063">
        <v>0.99980279999999999</v>
      </c>
      <c r="Y2063">
        <v>-0.16894200000000001</v>
      </c>
      <c r="Z2063">
        <v>-5.8647600000000001E-3</v>
      </c>
      <c r="AA2063">
        <v>0.98560859999999995</v>
      </c>
      <c r="AB2063">
        <v>34</v>
      </c>
      <c r="AC2063">
        <v>-16.427299999999999</v>
      </c>
      <c r="AD2063">
        <v>-1.1106711618439999</v>
      </c>
      <c r="AE2063">
        <v>-2.79849999999999</v>
      </c>
      <c r="AF2063">
        <v>-2.8631893219903599</v>
      </c>
      <c r="AG2063">
        <v>-1.1106711618439999</v>
      </c>
      <c r="AH2063">
        <v>16.341330940989099</v>
      </c>
      <c r="AI2063">
        <v>93.830074237389397</v>
      </c>
      <c r="AJ2063">
        <v>99.938003787969507</v>
      </c>
      <c r="AK2063">
        <v>16.627403298357802</v>
      </c>
      <c r="AL2063">
        <v>89.603695124820703</v>
      </c>
      <c r="AM2063">
        <v>91.066756334236302</v>
      </c>
      <c r="AN2063">
        <v>1.00000003459417</v>
      </c>
    </row>
    <row r="2064" spans="1:40" x14ac:dyDescent="0.3">
      <c r="A2064" t="str">
        <f>"20200111160446475"</f>
        <v>20200111160446475</v>
      </c>
      <c r="B2064" t="str">
        <f>"1578729886462463"</f>
        <v>1578729886462463</v>
      </c>
      <c r="C2064" t="s">
        <v>40</v>
      </c>
      <c r="D2064">
        <v>5.1333890000000002</v>
      </c>
      <c r="E2064">
        <v>0.44228109999999998</v>
      </c>
      <c r="F2064" t="s">
        <v>61</v>
      </c>
      <c r="G2064">
        <v>-418.41860000000003</v>
      </c>
      <c r="H2064" s="1">
        <v>3.911809E-6</v>
      </c>
      <c r="I2064">
        <v>282.18290000000002</v>
      </c>
      <c r="J2064">
        <v>-401.9314</v>
      </c>
      <c r="K2064">
        <v>1.110676</v>
      </c>
      <c r="L2064">
        <v>285.03899999999999</v>
      </c>
      <c r="M2064">
        <v>-0.99988480000000002</v>
      </c>
      <c r="N2064">
        <v>0</v>
      </c>
      <c r="O2064">
        <v>4.3197299999999999E-3</v>
      </c>
      <c r="P2064">
        <v>-0.99986359999999996</v>
      </c>
      <c r="Q2064">
        <v>-8.0428630000000008E-3</v>
      </c>
      <c r="R2064">
        <v>-1.444498E-2</v>
      </c>
      <c r="S2064">
        <v>-2.9918520000000002</v>
      </c>
      <c r="T2064">
        <v>-0.19762189999999999</v>
      </c>
      <c r="U2064">
        <v>-0.50799559999999999</v>
      </c>
      <c r="V2064">
        <v>-1.8769979999999999E-2</v>
      </c>
      <c r="W2064">
        <v>6.4933489999999998E-3</v>
      </c>
      <c r="X2064">
        <v>0.99980279999999999</v>
      </c>
      <c r="Y2064">
        <v>-0.17128280000000001</v>
      </c>
      <c r="Z2064">
        <v>-5.8937850000000003E-3</v>
      </c>
      <c r="AA2064">
        <v>0.98520430000000003</v>
      </c>
      <c r="AB2064">
        <v>34</v>
      </c>
      <c r="AC2064">
        <v>-16.487200000000001</v>
      </c>
      <c r="AD2064">
        <v>-1.1106720881909999</v>
      </c>
      <c r="AE2064">
        <v>-2.8560999999999601</v>
      </c>
      <c r="AF2064">
        <v>-2.9144602543621101</v>
      </c>
      <c r="AG2064">
        <v>-1.1106720881909999</v>
      </c>
      <c r="AH2064">
        <v>16.402439378854499</v>
      </c>
      <c r="AI2064">
        <v>93.814240719520996</v>
      </c>
      <c r="AJ2064">
        <v>100.075420652088</v>
      </c>
      <c r="AK2064">
        <v>16.6963375815997</v>
      </c>
      <c r="AL2064">
        <v>89.627955914233098</v>
      </c>
      <c r="AM2064">
        <v>91.075526409304601</v>
      </c>
      <c r="AN2064">
        <v>1.0000000573091301</v>
      </c>
    </row>
    <row r="2065" spans="1:40" x14ac:dyDescent="0.3">
      <c r="A2065" t="str">
        <f>"20200111160446497"</f>
        <v>20200111160446497</v>
      </c>
      <c r="B2065" t="str">
        <f>"1578729886492720"</f>
        <v>1578729886492720</v>
      </c>
      <c r="C2065" t="s">
        <v>40</v>
      </c>
      <c r="D2065">
        <v>5.1478489999999999</v>
      </c>
      <c r="E2065">
        <v>0.44175900000000001</v>
      </c>
      <c r="F2065" t="s">
        <v>61</v>
      </c>
      <c r="G2065">
        <v>-418.62020000000001</v>
      </c>
      <c r="H2065" s="1">
        <v>3.9481149999999997E-6</v>
      </c>
      <c r="I2065">
        <v>282.17669999999998</v>
      </c>
      <c r="J2065">
        <v>-402.27339999999998</v>
      </c>
      <c r="K2065">
        <v>1.1106750000000001</v>
      </c>
      <c r="L2065">
        <v>285.0401</v>
      </c>
      <c r="M2065">
        <v>-0.99988659999999996</v>
      </c>
      <c r="N2065">
        <v>0</v>
      </c>
      <c r="O2065">
        <v>3.9084699999999998E-3</v>
      </c>
      <c r="P2065">
        <v>-0.99984989999999996</v>
      </c>
      <c r="Q2065">
        <v>-8.7734679999999995E-3</v>
      </c>
      <c r="R2065">
        <v>-1.4949479999999999E-2</v>
      </c>
      <c r="S2065">
        <v>-2.9913940000000001</v>
      </c>
      <c r="T2065">
        <v>-0.19908310000000001</v>
      </c>
      <c r="U2065">
        <v>-0.51306149999999995</v>
      </c>
      <c r="V2065">
        <v>-1.8863029999999999E-2</v>
      </c>
      <c r="W2065">
        <v>5.7590330000000002E-3</v>
      </c>
      <c r="X2065">
        <v>0.99980550000000001</v>
      </c>
      <c r="Y2065">
        <v>-0.17251629999999901</v>
      </c>
      <c r="Z2065">
        <v>-5.9508809999999999E-3</v>
      </c>
      <c r="AA2065">
        <v>0.98498869999999905</v>
      </c>
      <c r="AB2065">
        <v>34</v>
      </c>
      <c r="AC2065">
        <v>-16.346800000000002</v>
      </c>
      <c r="AD2065">
        <v>-1.110671051885</v>
      </c>
      <c r="AE2065">
        <v>-2.8634000000000102</v>
      </c>
      <c r="AF2065">
        <v>-2.9142230783001399</v>
      </c>
      <c r="AG2065">
        <v>-1.110671051885</v>
      </c>
      <c r="AH2065">
        <v>16.262642176513701</v>
      </c>
      <c r="AI2065">
        <v>93.845923866275697</v>
      </c>
      <c r="AJ2065">
        <v>100.15942467963499</v>
      </c>
      <c r="AK2065">
        <v>16.558979947355301</v>
      </c>
      <c r="AL2065">
        <v>89.670029894017603</v>
      </c>
      <c r="AM2065">
        <v>91.080854026870796</v>
      </c>
      <c r="AN2065">
        <v>1.0000000090960599</v>
      </c>
    </row>
    <row r="2066" spans="1:40" x14ac:dyDescent="0.3">
      <c r="A2066" t="str">
        <f>"20200111160446520"</f>
        <v>20200111160446520</v>
      </c>
      <c r="B2066" t="str">
        <f>"1578729886513215"</f>
        <v>1578729886513215</v>
      </c>
      <c r="C2066" t="s">
        <v>40</v>
      </c>
      <c r="D2066">
        <v>5.1714320000000003</v>
      </c>
      <c r="E2066">
        <v>0.4414035</v>
      </c>
      <c r="F2066" t="s">
        <v>61</v>
      </c>
      <c r="G2066">
        <v>-418.66140000000001</v>
      </c>
      <c r="H2066" s="1">
        <v>3.953573E-6</v>
      </c>
      <c r="I2066">
        <v>282.19779999999997</v>
      </c>
      <c r="J2066">
        <v>-402.61540000000002</v>
      </c>
      <c r="K2066">
        <v>1.1106720000000001</v>
      </c>
      <c r="L2066">
        <v>285.041</v>
      </c>
      <c r="M2066">
        <v>-0.99988809999999995</v>
      </c>
      <c r="N2066">
        <v>0</v>
      </c>
      <c r="O2066">
        <v>3.4972660000000002E-3</v>
      </c>
      <c r="P2066">
        <v>-0.99984839999999997</v>
      </c>
      <c r="Q2066">
        <v>-9.0103089999999993E-3</v>
      </c>
      <c r="R2066">
        <v>-1.490795E-2</v>
      </c>
      <c r="S2066">
        <v>-2.9909059999999998</v>
      </c>
      <c r="T2066">
        <v>-0.2027041</v>
      </c>
      <c r="U2066">
        <v>-0.51873779999999903</v>
      </c>
      <c r="V2066">
        <v>-1.840967E-2</v>
      </c>
      <c r="W2066">
        <v>5.5187109999999999E-3</v>
      </c>
      <c r="X2066">
        <v>0.99981529999999996</v>
      </c>
      <c r="Y2066">
        <v>-0.17393710000000001</v>
      </c>
      <c r="Z2066">
        <v>-6.078979E-3</v>
      </c>
      <c r="AA2066">
        <v>0.984738</v>
      </c>
      <c r="AB2066">
        <v>34</v>
      </c>
      <c r="AC2066">
        <v>-16.0459999999999</v>
      </c>
      <c r="AD2066">
        <v>-1.11066804642699</v>
      </c>
      <c r="AE2066">
        <v>-2.8432000000000199</v>
      </c>
      <c r="AF2066">
        <v>-2.8858999420948601</v>
      </c>
      <c r="AG2066">
        <v>-1.11066804642699</v>
      </c>
      <c r="AH2066">
        <v>15.9618107308064</v>
      </c>
      <c r="AI2066">
        <v>93.917082110088899</v>
      </c>
      <c r="AJ2066">
        <v>100.248381502478</v>
      </c>
      <c r="AK2066">
        <v>16.258579390316498</v>
      </c>
      <c r="AL2066">
        <v>89.683799547276905</v>
      </c>
      <c r="AM2066">
        <v>91.054872045867896</v>
      </c>
      <c r="AN2066">
        <v>1.0000000031173499</v>
      </c>
    </row>
    <row r="2067" spans="1:40" x14ac:dyDescent="0.3">
      <c r="A2067" t="str">
        <f>"20200111160446535"</f>
        <v>20200111160446535</v>
      </c>
      <c r="B2067" t="str">
        <f>"1578729886532735"</f>
        <v>1578729886532735</v>
      </c>
      <c r="C2067" t="s">
        <v>40</v>
      </c>
      <c r="D2067">
        <v>5.10907</v>
      </c>
      <c r="E2067">
        <v>0.44092019999999998</v>
      </c>
      <c r="F2067" t="s">
        <v>61</v>
      </c>
      <c r="G2067">
        <v>-418.93340000000001</v>
      </c>
      <c r="H2067" s="1">
        <v>4.0019090000000002E-6</v>
      </c>
      <c r="I2067">
        <v>282.1968</v>
      </c>
      <c r="J2067">
        <v>-402.83409999999998</v>
      </c>
      <c r="K2067">
        <v>1.1106670000000001</v>
      </c>
      <c r="L2067">
        <v>285.04149999999998</v>
      </c>
      <c r="M2067">
        <v>-0.99988900000000003</v>
      </c>
      <c r="N2067">
        <v>0</v>
      </c>
      <c r="O2067">
        <v>3.2340939999999999E-3</v>
      </c>
      <c r="P2067">
        <v>-0.99983789999999995</v>
      </c>
      <c r="Q2067">
        <v>-9.0961470000000006E-3</v>
      </c>
      <c r="R2067">
        <v>-1.5536019999999999E-2</v>
      </c>
      <c r="S2067">
        <v>-2.9908450000000002</v>
      </c>
      <c r="T2067">
        <v>-0.20356859999999999</v>
      </c>
      <c r="U2067">
        <v>-0.52130129999999997</v>
      </c>
      <c r="V2067">
        <v>-1.877438E-2</v>
      </c>
      <c r="W2067">
        <v>5.4300199999999998E-3</v>
      </c>
      <c r="X2067">
        <v>0.99980899999999995</v>
      </c>
      <c r="Y2067">
        <v>-0.1744966</v>
      </c>
      <c r="Z2067">
        <v>-6.1056399999999999E-3</v>
      </c>
      <c r="AA2067">
        <v>0.98463889999999998</v>
      </c>
      <c r="AB2067">
        <v>33</v>
      </c>
      <c r="AC2067">
        <v>-16.099299999999999</v>
      </c>
      <c r="AD2067">
        <v>-1.1106629980910001</v>
      </c>
      <c r="AE2067">
        <v>-2.84469999999998</v>
      </c>
      <c r="AF2067">
        <v>-2.88344933727676</v>
      </c>
      <c r="AG2067">
        <v>-1.1106629980910001</v>
      </c>
      <c r="AH2067">
        <v>16.016095943440298</v>
      </c>
      <c r="AI2067">
        <v>93.904349715481402</v>
      </c>
      <c r="AJ2067">
        <v>100.20588668888099</v>
      </c>
      <c r="AK2067">
        <v>16.3114432729129</v>
      </c>
      <c r="AL2067">
        <v>89.688881242255604</v>
      </c>
      <c r="AM2067">
        <v>91.075771802065205</v>
      </c>
      <c r="AN2067">
        <v>0.99999999947129203</v>
      </c>
    </row>
    <row r="2068" spans="1:40" x14ac:dyDescent="0.3">
      <c r="A2068" t="str">
        <f>"20200111160446553"</f>
        <v>20200111160446553</v>
      </c>
      <c r="B2068" t="str">
        <f>"1578729886542495"</f>
        <v>1578729886542495</v>
      </c>
      <c r="C2068" t="s">
        <v>40</v>
      </c>
      <c r="D2068">
        <v>5.0829259999999996</v>
      </c>
      <c r="E2068">
        <v>0.44075920000000002</v>
      </c>
      <c r="F2068" t="s">
        <v>61</v>
      </c>
      <c r="G2068">
        <v>-419.21080000000001</v>
      </c>
      <c r="H2068" s="1">
        <v>4.0546920000000001E-6</v>
      </c>
      <c r="I2068">
        <v>282.15589999999997</v>
      </c>
      <c r="J2068">
        <v>-403.09820000000002</v>
      </c>
      <c r="K2068">
        <v>1.1106670000000001</v>
      </c>
      <c r="L2068">
        <v>285.04199999999997</v>
      </c>
      <c r="M2068">
        <v>-0.9998901</v>
      </c>
      <c r="N2068">
        <v>0</v>
      </c>
      <c r="O2068">
        <v>2.9165720000000001E-3</v>
      </c>
      <c r="P2068">
        <v>-0.99982680000000002</v>
      </c>
      <c r="Q2068">
        <v>-9.0132930000000003E-3</v>
      </c>
      <c r="R2068">
        <v>-1.6288710000000001E-2</v>
      </c>
      <c r="S2068">
        <v>-2.9904480000000002</v>
      </c>
      <c r="T2068">
        <v>-0.20281179999999999</v>
      </c>
      <c r="U2068">
        <v>-0.52691650000000001</v>
      </c>
      <c r="V2068">
        <v>-1.9209650000000002E-2</v>
      </c>
      <c r="W2068">
        <v>5.5096519999999899E-3</v>
      </c>
      <c r="X2068">
        <v>0.99980029999999998</v>
      </c>
      <c r="Y2068">
        <v>-0.17599999999999999</v>
      </c>
      <c r="Z2068">
        <v>-6.1119919999999897E-3</v>
      </c>
      <c r="AA2068">
        <v>0.9843712</v>
      </c>
      <c r="AB2068">
        <v>33</v>
      </c>
      <c r="AC2068">
        <v>-16.112599999999901</v>
      </c>
      <c r="AD2068">
        <v>-1.1106629453079999</v>
      </c>
      <c r="AE2068">
        <v>-2.8861000000000501</v>
      </c>
      <c r="AF2068">
        <v>-2.9196447315836398</v>
      </c>
      <c r="AG2068">
        <v>-1.1106629453079999</v>
      </c>
      <c r="AH2068">
        <v>16.030312401737699</v>
      </c>
      <c r="AI2068">
        <v>93.899467217051395</v>
      </c>
      <c r="AJ2068">
        <v>100.322291664613</v>
      </c>
      <c r="AK2068">
        <v>16.331834349945201</v>
      </c>
      <c r="AL2068">
        <v>89.684318597722097</v>
      </c>
      <c r="AM2068">
        <v>91.100716278238494</v>
      </c>
      <c r="AN2068">
        <v>1.00000000339918</v>
      </c>
    </row>
    <row r="2069" spans="1:40" x14ac:dyDescent="0.3">
      <c r="A2069" t="str">
        <f>"20200111160446575"</f>
        <v>20200111160446575</v>
      </c>
      <c r="B2069" t="str">
        <f>"1578729886572753"</f>
        <v>1578729886572753</v>
      </c>
      <c r="C2069" t="s">
        <v>40</v>
      </c>
      <c r="D2069">
        <v>5.0834970000000004</v>
      </c>
      <c r="E2069">
        <v>0.44025229999999999</v>
      </c>
      <c r="F2069" t="s">
        <v>61</v>
      </c>
      <c r="G2069">
        <v>-419.47039999999998</v>
      </c>
      <c r="H2069" s="1">
        <v>4.1023679999999999E-6</v>
      </c>
      <c r="I2069">
        <v>282.13729999999998</v>
      </c>
      <c r="J2069">
        <v>-403.4375</v>
      </c>
      <c r="K2069">
        <v>1.1106659999999999</v>
      </c>
      <c r="L2069">
        <v>285.04259999999999</v>
      </c>
      <c r="M2069">
        <v>-0.99989119999999998</v>
      </c>
      <c r="N2069">
        <v>0</v>
      </c>
      <c r="O2069">
        <v>2.5088799999999998E-3</v>
      </c>
      <c r="P2069">
        <v>-0.99980519999999995</v>
      </c>
      <c r="Q2069">
        <v>-9.2743370000000006E-3</v>
      </c>
      <c r="R2069">
        <v>-1.742761E-2</v>
      </c>
      <c r="S2069">
        <v>-2.9900820000000001</v>
      </c>
      <c r="T2069">
        <v>-0.2028423</v>
      </c>
      <c r="U2069">
        <v>-0.53048709999999999</v>
      </c>
      <c r="V2069">
        <v>-1.9940510000000002E-2</v>
      </c>
      <c r="W2069">
        <v>5.244533E-3</v>
      </c>
      <c r="X2069">
        <v>0.99978739999999999</v>
      </c>
      <c r="Y2069">
        <v>-0.1767581</v>
      </c>
      <c r="Z2069">
        <v>-6.1110869999999899E-3</v>
      </c>
      <c r="AA2069">
        <v>0.98423530000000004</v>
      </c>
      <c r="AB2069">
        <v>33</v>
      </c>
      <c r="AC2069">
        <v>-16.032899999999898</v>
      </c>
      <c r="AD2069">
        <v>-1.110661897632</v>
      </c>
      <c r="AE2069">
        <v>-2.9053000000000102</v>
      </c>
      <c r="AF2069">
        <v>-2.9318972300013</v>
      </c>
      <c r="AG2069">
        <v>-1.110661897632</v>
      </c>
      <c r="AH2069">
        <v>15.951444391013901</v>
      </c>
      <c r="AI2069">
        <v>93.917529716096496</v>
      </c>
      <c r="AJ2069">
        <v>100.41479980587199</v>
      </c>
      <c r="AK2069">
        <v>16.256634626445599</v>
      </c>
      <c r="AL2069">
        <v>89.699509012198305</v>
      </c>
      <c r="AM2069">
        <v>91.142598523137295</v>
      </c>
      <c r="AN2069">
        <v>0.99999998713210303</v>
      </c>
    </row>
    <row r="2070" spans="1:40" x14ac:dyDescent="0.3">
      <c r="A2070" t="str">
        <f>"20200111160446599"</f>
        <v>20200111160446599</v>
      </c>
      <c r="B2070" t="str">
        <f>"1578729886593247"</f>
        <v>1578729886593247</v>
      </c>
      <c r="C2070" t="s">
        <v>40</v>
      </c>
      <c r="D2070">
        <v>5.1262270000000001</v>
      </c>
      <c r="E2070">
        <v>0.43988699999999997</v>
      </c>
      <c r="F2070" t="s">
        <v>61</v>
      </c>
      <c r="G2070">
        <v>-419.85590000000002</v>
      </c>
      <c r="H2070" s="1">
        <v>4.17493E-6</v>
      </c>
      <c r="I2070">
        <v>282.08940000000001</v>
      </c>
      <c r="J2070">
        <v>-403.77690000000001</v>
      </c>
      <c r="K2070">
        <v>1.11066</v>
      </c>
      <c r="L2070">
        <v>285.04300000000001</v>
      </c>
      <c r="M2070">
        <v>-0.99989220000000001</v>
      </c>
      <c r="N2070">
        <v>0</v>
      </c>
      <c r="O2070">
        <v>2.100771E-3</v>
      </c>
      <c r="P2070">
        <v>-0.99978199999999995</v>
      </c>
      <c r="Q2070">
        <v>-9.4810039999999995E-3</v>
      </c>
      <c r="R2070">
        <v>-1.860479E-2</v>
      </c>
      <c r="S2070">
        <v>-2.9893489999999998</v>
      </c>
      <c r="T2070">
        <v>-0.2022216</v>
      </c>
      <c r="U2070">
        <v>-0.53768919999999998</v>
      </c>
      <c r="V2070">
        <v>-2.070951E-2</v>
      </c>
      <c r="W2070">
        <v>5.0328209999999998E-3</v>
      </c>
      <c r="X2070">
        <v>0.99977280000000002</v>
      </c>
      <c r="Y2070">
        <v>-0.17869460000000001</v>
      </c>
      <c r="Z2070">
        <v>-6.1301619999999998E-3</v>
      </c>
      <c r="AA2070">
        <v>0.98388549999999997</v>
      </c>
      <c r="AB2070">
        <v>33</v>
      </c>
      <c r="AC2070">
        <v>-16.079000000000001</v>
      </c>
      <c r="AD2070">
        <v>-1.11065582507</v>
      </c>
      <c r="AE2070">
        <v>-2.95359999999999</v>
      </c>
      <c r="AF2070">
        <v>-2.9736501614428401</v>
      </c>
      <c r="AG2070">
        <v>-1.11065582507</v>
      </c>
      <c r="AH2070">
        <v>15.9989144085656</v>
      </c>
      <c r="AI2070">
        <v>93.904484432935206</v>
      </c>
      <c r="AJ2070">
        <v>100.529172794936</v>
      </c>
      <c r="AK2070">
        <v>16.310776005359799</v>
      </c>
      <c r="AL2070">
        <v>89.7116393608122</v>
      </c>
      <c r="AM2070">
        <v>91.186667463004795</v>
      </c>
      <c r="AN2070">
        <v>0.99999993235574602</v>
      </c>
    </row>
    <row r="2071" spans="1:40" x14ac:dyDescent="0.3">
      <c r="A2071" t="str">
        <f>"20200111160446621"</f>
        <v>20200111160446621</v>
      </c>
      <c r="B2071" t="str">
        <f>"1578729886612767"</f>
        <v>1578729886612767</v>
      </c>
      <c r="C2071" t="s">
        <v>40</v>
      </c>
      <c r="D2071">
        <v>5.0363410000000002</v>
      </c>
      <c r="E2071">
        <v>0.43966680000000002</v>
      </c>
      <c r="F2071" t="s">
        <v>61</v>
      </c>
      <c r="G2071">
        <v>-420.24669999999998</v>
      </c>
      <c r="H2071" s="1">
        <v>4.1456730000000003E-6</v>
      </c>
      <c r="I2071">
        <v>282.04450000000003</v>
      </c>
      <c r="J2071">
        <v>-404.11340000000001</v>
      </c>
      <c r="K2071">
        <v>1.1106579999999999</v>
      </c>
      <c r="L2071">
        <v>285.04320000000001</v>
      </c>
      <c r="M2071">
        <v>-0.99989320000000004</v>
      </c>
      <c r="N2071">
        <v>0</v>
      </c>
      <c r="O2071">
        <v>1.6957630000000001E-3</v>
      </c>
      <c r="P2071">
        <v>-0.99976469999999995</v>
      </c>
      <c r="Q2071">
        <v>-1.0076180000000001E-2</v>
      </c>
      <c r="R2071">
        <v>-1.921817E-2</v>
      </c>
      <c r="S2071">
        <v>-2.9886170000000001</v>
      </c>
      <c r="T2071">
        <v>-0.20154030000000001</v>
      </c>
      <c r="U2071">
        <v>-0.54409790000000002</v>
      </c>
      <c r="V2071">
        <v>-2.0917419999999999E-2</v>
      </c>
      <c r="W2071">
        <v>4.4343969999999996E-3</v>
      </c>
      <c r="X2071">
        <v>0.99977139999999998</v>
      </c>
      <c r="Y2071">
        <v>-0.1803806</v>
      </c>
      <c r="Z2071">
        <v>-6.1391279999999998E-3</v>
      </c>
      <c r="AA2071">
        <v>0.9835777</v>
      </c>
      <c r="AB2071">
        <v>33</v>
      </c>
      <c r="AC2071">
        <v>-16.133299999999899</v>
      </c>
      <c r="AD2071">
        <v>-1.1106538543269999</v>
      </c>
      <c r="AE2071">
        <v>-2.9986999999999799</v>
      </c>
      <c r="AF2071">
        <v>-3.01225766455146</v>
      </c>
      <c r="AG2071">
        <v>-1.1106538543269999</v>
      </c>
      <c r="AH2071">
        <v>16.054644814808501</v>
      </c>
      <c r="AI2071">
        <v>93.889734179371004</v>
      </c>
      <c r="AJ2071">
        <v>100.62659085502101</v>
      </c>
      <c r="AK2071">
        <v>16.372503423466998</v>
      </c>
      <c r="AL2071">
        <v>89.745926941468397</v>
      </c>
      <c r="AM2071">
        <v>91.198579051764895</v>
      </c>
      <c r="AN2071">
        <v>1.0000000272970799</v>
      </c>
    </row>
    <row r="2072" spans="1:40" x14ac:dyDescent="0.3">
      <c r="A2072" t="str">
        <f>"20200111160446642"</f>
        <v>20200111160446642</v>
      </c>
      <c r="B2072" t="str">
        <f>"1578729886633263"</f>
        <v>1578729886633263</v>
      </c>
      <c r="C2072" t="s">
        <v>40</v>
      </c>
      <c r="D2072">
        <v>5.0132430000000001</v>
      </c>
      <c r="E2072">
        <v>0.43939610000000001</v>
      </c>
      <c r="F2072" t="s">
        <v>61</v>
      </c>
      <c r="G2072">
        <v>-420.51060000000001</v>
      </c>
      <c r="H2072" s="1">
        <v>4.0994390000000001E-6</v>
      </c>
      <c r="I2072">
        <v>282.03789999999998</v>
      </c>
      <c r="J2072">
        <v>-404.42919999999998</v>
      </c>
      <c r="K2072">
        <v>1.110662</v>
      </c>
      <c r="L2072">
        <v>285.04340000000002</v>
      </c>
      <c r="M2072">
        <v>-0.9998937</v>
      </c>
      <c r="N2072">
        <v>0</v>
      </c>
      <c r="O2072">
        <v>1.3156089999999999E-3</v>
      </c>
      <c r="P2072">
        <v>-0.99976259999999995</v>
      </c>
      <c r="Q2072">
        <v>-9.6401049999999995E-3</v>
      </c>
      <c r="R2072">
        <v>-1.9545099999999999E-2</v>
      </c>
      <c r="S2072">
        <v>-2.9881289999999998</v>
      </c>
      <c r="T2072">
        <v>-0.20239940000000001</v>
      </c>
      <c r="U2072">
        <v>-0.5476685</v>
      </c>
      <c r="V2072">
        <v>-2.0864460000000001E-2</v>
      </c>
      <c r="W2072">
        <v>4.8668840000000001E-3</v>
      </c>
      <c r="X2072">
        <v>0.99977050000000001</v>
      </c>
      <c r="Y2072">
        <v>-0.18116789999999999</v>
      </c>
      <c r="Z2072">
        <v>-6.1664759999999997E-3</v>
      </c>
      <c r="AA2072">
        <v>0.9834328</v>
      </c>
      <c r="AB2072">
        <v>33</v>
      </c>
      <c r="AC2072">
        <v>-16.081399999999999</v>
      </c>
      <c r="AD2072">
        <v>-1.110657900561</v>
      </c>
      <c r="AE2072">
        <v>-3.00550000000004</v>
      </c>
      <c r="AF2072">
        <v>-3.01277074232235</v>
      </c>
      <c r="AG2072">
        <v>-1.110657900561</v>
      </c>
      <c r="AH2072">
        <v>16.003671415717399</v>
      </c>
      <c r="AI2072">
        <v>93.901654740232203</v>
      </c>
      <c r="AJ2072">
        <v>100.661437265572</v>
      </c>
      <c r="AK2072">
        <v>16.3226176607835</v>
      </c>
      <c r="AL2072">
        <v>89.721146995619904</v>
      </c>
      <c r="AM2072">
        <v>91.195546374019898</v>
      </c>
      <c r="AN2072">
        <v>1.0000000324606</v>
      </c>
    </row>
    <row r="2073" spans="1:40" x14ac:dyDescent="0.3">
      <c r="A2073" t="str">
        <f>"20200111160446664"</f>
        <v>20200111160446664</v>
      </c>
      <c r="B2073" t="str">
        <f>"1578729886652783"</f>
        <v>1578729886652783</v>
      </c>
      <c r="C2073" t="s">
        <v>40</v>
      </c>
      <c r="D2073">
        <v>5.1695419999999999</v>
      </c>
      <c r="E2073">
        <v>0.4393994</v>
      </c>
      <c r="F2073" t="s">
        <v>61</v>
      </c>
      <c r="G2073">
        <v>-420.99459999999999</v>
      </c>
      <c r="H2073" s="1">
        <v>4.0177520000000003E-6</v>
      </c>
      <c r="I2073">
        <v>281.99020000000002</v>
      </c>
      <c r="J2073">
        <v>-404.75619999999998</v>
      </c>
      <c r="K2073">
        <v>1.11067</v>
      </c>
      <c r="L2073">
        <v>285.04340000000002</v>
      </c>
      <c r="M2073">
        <v>-0.99989410000000001</v>
      </c>
      <c r="N2073">
        <v>0</v>
      </c>
      <c r="O2073">
        <v>9.2144880000000001E-4</v>
      </c>
      <c r="P2073">
        <v>-0.99976500000000001</v>
      </c>
      <c r="Q2073">
        <v>-9.3458589999999998E-3</v>
      </c>
      <c r="R2073">
        <v>-1.9556440000000001E-2</v>
      </c>
      <c r="S2073">
        <v>-2.9880070000000001</v>
      </c>
      <c r="T2073">
        <v>-0.2003365</v>
      </c>
      <c r="U2073">
        <v>-0.55072019999999899</v>
      </c>
      <c r="V2073">
        <v>-2.0482090000000001E-2</v>
      </c>
      <c r="W2073">
        <v>5.1582260000000001E-3</v>
      </c>
      <c r="X2073">
        <v>0.99977689999999997</v>
      </c>
      <c r="Y2073">
        <v>-0.18176680000000001</v>
      </c>
      <c r="Z2073">
        <v>-6.0971569999999998E-3</v>
      </c>
      <c r="AA2073">
        <v>0.98332269999999999</v>
      </c>
      <c r="AB2073">
        <v>33</v>
      </c>
      <c r="AC2073">
        <v>-16.238399999999999</v>
      </c>
      <c r="AD2073">
        <v>-1.1106659822480001</v>
      </c>
      <c r="AE2073">
        <v>-3.0531999999999999</v>
      </c>
      <c r="AF2073">
        <v>-3.0543620705654</v>
      </c>
      <c r="AG2073">
        <v>-1.1106659822480001</v>
      </c>
      <c r="AH2073">
        <v>16.162549329000701</v>
      </c>
      <c r="AI2073">
        <v>93.862939190311096</v>
      </c>
      <c r="AJ2073">
        <v>100.701426160655</v>
      </c>
      <c r="AK2073">
        <v>16.4860761673181</v>
      </c>
      <c r="AL2073">
        <v>89.704454105824496</v>
      </c>
      <c r="AM2073">
        <v>91.173635012764095</v>
      </c>
      <c r="AN2073">
        <v>0.99999998653992195</v>
      </c>
    </row>
    <row r="2074" spans="1:40" x14ac:dyDescent="0.3">
      <c r="A2074" t="str">
        <f>"20200111160446687"</f>
        <v>20200111160446687</v>
      </c>
      <c r="B2074" t="str">
        <f>"1578729886683039"</f>
        <v>1578729886683039</v>
      </c>
      <c r="C2074" t="s">
        <v>40</v>
      </c>
      <c r="D2074">
        <v>5.1053430000000004</v>
      </c>
      <c r="E2074">
        <v>0.46068720000000002</v>
      </c>
      <c r="F2074" t="s">
        <v>61</v>
      </c>
      <c r="G2074">
        <v>-421.31299999999999</v>
      </c>
      <c r="H2074" s="1">
        <v>3.9610949999999997E-6</v>
      </c>
      <c r="I2074">
        <v>281.99220000000003</v>
      </c>
      <c r="J2074">
        <v>-405.09390000000002</v>
      </c>
      <c r="K2074">
        <v>1.1106720000000001</v>
      </c>
      <c r="L2074">
        <v>285.04329999999999</v>
      </c>
      <c r="M2074">
        <v>-0.99989459999999997</v>
      </c>
      <c r="N2074">
        <v>0</v>
      </c>
      <c r="O2074">
        <v>5.1453399999999998E-4</v>
      </c>
      <c r="P2074">
        <v>-0.99976350000000003</v>
      </c>
      <c r="Q2074">
        <v>-8.9266450000000004E-3</v>
      </c>
      <c r="R2074">
        <v>-1.9838890000000001E-2</v>
      </c>
      <c r="S2074">
        <v>-2.9880680000000002</v>
      </c>
      <c r="T2074">
        <v>-0.20044490000000001</v>
      </c>
      <c r="U2074">
        <v>-0.55065920000000002</v>
      </c>
      <c r="V2074">
        <v>-2.0358100000000001E-2</v>
      </c>
      <c r="W2074">
        <v>5.574023E-3</v>
      </c>
      <c r="X2074">
        <v>0.99977720000000003</v>
      </c>
      <c r="Y2074">
        <v>-0.18134500000000001</v>
      </c>
      <c r="Z2074">
        <v>-6.0592809999999997E-3</v>
      </c>
      <c r="AA2074">
        <v>0.98340090000000002</v>
      </c>
      <c r="AB2074">
        <v>33</v>
      </c>
      <c r="AC2074">
        <v>-16.219100000000001</v>
      </c>
      <c r="AD2074">
        <v>-1.1106680389050001</v>
      </c>
      <c r="AE2074">
        <v>-3.05109999999996</v>
      </c>
      <c r="AF2074">
        <v>-3.04565169527769</v>
      </c>
      <c r="AG2074">
        <v>-1.1106680389050001</v>
      </c>
      <c r="AH2074">
        <v>16.1444081713732</v>
      </c>
      <c r="AI2074">
        <v>93.8675038623944</v>
      </c>
      <c r="AJ2074">
        <v>100.683325525922</v>
      </c>
      <c r="AK2074">
        <v>16.4666782608241</v>
      </c>
      <c r="AL2074">
        <v>89.680630348854507</v>
      </c>
      <c r="AM2074">
        <v>91.166531936869802</v>
      </c>
      <c r="AN2074">
        <v>0.99999998580392702</v>
      </c>
    </row>
    <row r="2075" spans="1:40" x14ac:dyDescent="0.3">
      <c r="A2075" t="str">
        <f>"20200111160446700"</f>
        <v>20200111160446700</v>
      </c>
      <c r="B2075" t="str">
        <f>"1578729886692799"</f>
        <v>1578729886692799</v>
      </c>
      <c r="C2075" t="s">
        <v>40</v>
      </c>
      <c r="D2075">
        <v>5.0160580000000001</v>
      </c>
      <c r="E2075">
        <v>0.4617193</v>
      </c>
      <c r="F2075" t="s">
        <v>61</v>
      </c>
      <c r="G2075">
        <v>-417.99639999999999</v>
      </c>
      <c r="H2075" s="1">
        <v>3.7318259999999999E-6</v>
      </c>
      <c r="I2075">
        <v>283.38490000000002</v>
      </c>
      <c r="J2075">
        <v>-405.30560000000003</v>
      </c>
      <c r="K2075">
        <v>1.110676</v>
      </c>
      <c r="L2075">
        <v>285.04320000000001</v>
      </c>
      <c r="M2075">
        <v>-0.99989470000000003</v>
      </c>
      <c r="N2075">
        <v>0</v>
      </c>
      <c r="O2075">
        <v>2.5905310000000001E-4</v>
      </c>
      <c r="P2075">
        <v>-0.99976140000000002</v>
      </c>
      <c r="Q2075">
        <v>-8.6068289999999999E-3</v>
      </c>
      <c r="R2075">
        <v>-2.0081209999999999E-2</v>
      </c>
      <c r="S2075">
        <v>-2.9908139999999999</v>
      </c>
      <c r="T2075">
        <v>-0.25745459999999998</v>
      </c>
      <c r="U2075">
        <v>-0.3843994</v>
      </c>
      <c r="V2075">
        <v>-2.0345189999999999E-2</v>
      </c>
      <c r="W2075">
        <v>5.8915919999999898E-3</v>
      </c>
      <c r="X2075">
        <v>0.99977559999999999</v>
      </c>
      <c r="Y2075">
        <v>-0.1272711</v>
      </c>
      <c r="Z2075">
        <v>-5.4676459999999996E-3</v>
      </c>
      <c r="AA2075">
        <v>0.99185290000000004</v>
      </c>
      <c r="AB2075">
        <v>33</v>
      </c>
      <c r="AC2075">
        <v>-12.6907999999999</v>
      </c>
      <c r="AD2075">
        <v>-1.110672268174</v>
      </c>
      <c r="AE2075">
        <v>-1.6582999999999899</v>
      </c>
      <c r="AF2075">
        <v>-1.6491683254676599</v>
      </c>
      <c r="AG2075">
        <v>-1.110672268174</v>
      </c>
      <c r="AH2075">
        <v>12.5955156377146</v>
      </c>
      <c r="AI2075">
        <v>94.996874931019903</v>
      </c>
      <c r="AJ2075">
        <v>97.459472951269305</v>
      </c>
      <c r="AK2075">
        <v>12.7514847462141</v>
      </c>
      <c r="AL2075">
        <v>89.662434671994902</v>
      </c>
      <c r="AM2075">
        <v>91.165794255137598</v>
      </c>
      <c r="AN2075">
        <v>0.99999994398389302</v>
      </c>
    </row>
    <row r="2076" spans="1:40" x14ac:dyDescent="0.3">
      <c r="A2076" t="str">
        <f>"20200111160446721"</f>
        <v>20200111160446721</v>
      </c>
      <c r="B2076" t="str">
        <f>"1578729886713295"</f>
        <v>1578729886713295</v>
      </c>
      <c r="C2076" t="s">
        <v>40</v>
      </c>
      <c r="D2076">
        <v>5.1325209999999997</v>
      </c>
      <c r="E2076">
        <v>0.4609491</v>
      </c>
      <c r="F2076" t="s">
        <v>61</v>
      </c>
      <c r="G2076">
        <v>-418.18119999999999</v>
      </c>
      <c r="H2076" s="1">
        <v>3.7614769999999999E-6</v>
      </c>
      <c r="I2076">
        <v>283.42079999999999</v>
      </c>
      <c r="J2076">
        <v>-405.59160000000003</v>
      </c>
      <c r="K2076">
        <v>1.1106780000000001</v>
      </c>
      <c r="L2076">
        <v>285.0428</v>
      </c>
      <c r="M2076">
        <v>-0.99989470000000003</v>
      </c>
      <c r="N2076">
        <v>0</v>
      </c>
      <c r="O2076" s="1">
        <v>-8.4141839999999997E-5</v>
      </c>
      <c r="P2076">
        <v>-0.99976379999999998</v>
      </c>
      <c r="Q2076">
        <v>-8.1158840000000003E-3</v>
      </c>
      <c r="R2076">
        <v>-2.0167149999999998E-2</v>
      </c>
      <c r="S2076">
        <v>-2.990936</v>
      </c>
      <c r="T2076">
        <v>-0.25800339999999999</v>
      </c>
      <c r="U2076">
        <v>-0.37686160000000002</v>
      </c>
      <c r="V2076">
        <v>-2.0088640000000001E-2</v>
      </c>
      <c r="W2076">
        <v>6.3793859999999999E-3</v>
      </c>
      <c r="X2076">
        <v>0.9997779</v>
      </c>
      <c r="Y2076">
        <v>-0.1244745</v>
      </c>
      <c r="Z2076">
        <v>-5.3305419999999997E-3</v>
      </c>
      <c r="AA2076">
        <v>0.99220850000000005</v>
      </c>
      <c r="AB2076">
        <v>33</v>
      </c>
      <c r="AC2076">
        <v>-12.5895999999999</v>
      </c>
      <c r="AD2076">
        <v>-1.110674238523</v>
      </c>
      <c r="AE2076">
        <v>-1.6220000000000101</v>
      </c>
      <c r="AF2076">
        <v>-1.60862499441711</v>
      </c>
      <c r="AG2076">
        <v>-1.110674238523</v>
      </c>
      <c r="AH2076">
        <v>12.4940821955761</v>
      </c>
      <c r="AI2076">
        <v>95.038639613159603</v>
      </c>
      <c r="AJ2076">
        <v>97.336525175691605</v>
      </c>
      <c r="AK2076">
        <v>12.6460808769592</v>
      </c>
      <c r="AL2076">
        <v>89.634485645247295</v>
      </c>
      <c r="AM2076">
        <v>91.151095085848397</v>
      </c>
      <c r="AN2076">
        <v>1.0000000496755901</v>
      </c>
    </row>
    <row r="2077" spans="1:40" x14ac:dyDescent="0.3">
      <c r="A2077" t="str">
        <f>"20200111160446742"</f>
        <v>20200111160446742</v>
      </c>
      <c r="B2077" t="str">
        <f>"1578729886732815"</f>
        <v>1578729886732815</v>
      </c>
      <c r="C2077" t="s">
        <v>40</v>
      </c>
      <c r="D2077">
        <v>5.1593929999999997</v>
      </c>
      <c r="E2077">
        <v>0.46125959999999999</v>
      </c>
      <c r="F2077" t="s">
        <v>61</v>
      </c>
      <c r="G2077">
        <v>-418.72239999999999</v>
      </c>
      <c r="H2077" s="1">
        <v>3.8626759999999996E-6</v>
      </c>
      <c r="I2077">
        <v>283.3614</v>
      </c>
      <c r="J2077">
        <v>-405.91140000000001</v>
      </c>
      <c r="K2077">
        <v>1.110679</v>
      </c>
      <c r="L2077">
        <v>285.04239999999999</v>
      </c>
      <c r="M2077">
        <v>-0.99989459999999997</v>
      </c>
      <c r="N2077">
        <v>0</v>
      </c>
      <c r="O2077">
        <v>-4.6132189999999998E-4</v>
      </c>
      <c r="P2077">
        <v>-0.99976120000000002</v>
      </c>
      <c r="Q2077">
        <v>-8.0230679999999995E-3</v>
      </c>
      <c r="R2077">
        <v>-2.032372E-2</v>
      </c>
      <c r="S2077">
        <v>-2.990936</v>
      </c>
      <c r="T2077">
        <v>-0.25298799999999999</v>
      </c>
      <c r="U2077">
        <v>-0.38299559999999999</v>
      </c>
      <c r="V2077">
        <v>-1.9867429999999998E-2</v>
      </c>
      <c r="W2077">
        <v>6.4695059999999999E-3</v>
      </c>
      <c r="X2077">
        <v>0.9997817</v>
      </c>
      <c r="Y2077">
        <v>-0.1261158</v>
      </c>
      <c r="Z2077">
        <v>-5.2639089999999998E-3</v>
      </c>
      <c r="AA2077">
        <v>0.99200149999999998</v>
      </c>
      <c r="AB2077">
        <v>33</v>
      </c>
      <c r="AC2077">
        <v>-12.8109999999999</v>
      </c>
      <c r="AD2077">
        <v>-1.110675137324</v>
      </c>
      <c r="AE2077">
        <v>-1.6809999999999801</v>
      </c>
      <c r="AF2077">
        <v>-1.66280251391272</v>
      </c>
      <c r="AG2077">
        <v>-1.110675137324</v>
      </c>
      <c r="AH2077">
        <v>12.717800519873901</v>
      </c>
      <c r="AI2077">
        <v>94.949199604565607</v>
      </c>
      <c r="AJ2077">
        <v>97.448944702242898</v>
      </c>
      <c r="AK2077">
        <v>12.874042159487001</v>
      </c>
      <c r="AL2077">
        <v>89.629322028016603</v>
      </c>
      <c r="AM2077">
        <v>91.138418605073298</v>
      </c>
      <c r="AN2077">
        <v>1.0000000084687799</v>
      </c>
    </row>
    <row r="2078" spans="1:40" x14ac:dyDescent="0.3">
      <c r="A2078" t="str">
        <f>"20200111160446756"</f>
        <v>20200111160446756</v>
      </c>
      <c r="B2078" t="str">
        <f>"1578729886753311"</f>
        <v>1578729886753311</v>
      </c>
      <c r="C2078" t="s">
        <v>40</v>
      </c>
      <c r="D2078">
        <v>5.3071519999999897</v>
      </c>
      <c r="E2078">
        <v>0.46123259999999999</v>
      </c>
      <c r="F2078" t="s">
        <v>61</v>
      </c>
      <c r="G2078">
        <v>-419.0761</v>
      </c>
      <c r="H2078" s="1">
        <v>3.9250590000000003E-6</v>
      </c>
      <c r="I2078">
        <v>283.36540000000002</v>
      </c>
      <c r="J2078">
        <v>-406.11419999999998</v>
      </c>
      <c r="K2078">
        <v>1.110676</v>
      </c>
      <c r="L2078">
        <v>285.0421</v>
      </c>
      <c r="M2078">
        <v>-0.99989459999999997</v>
      </c>
      <c r="N2078">
        <v>0</v>
      </c>
      <c r="O2078">
        <v>-6.9617619999999905E-4</v>
      </c>
      <c r="P2078">
        <v>-0.9997606</v>
      </c>
      <c r="Q2078">
        <v>-8.1423910000000006E-3</v>
      </c>
      <c r="R2078">
        <v>-2.0315329999999999E-2</v>
      </c>
      <c r="S2078">
        <v>-2.9909059999999998</v>
      </c>
      <c r="T2078">
        <v>-0.25233640000000002</v>
      </c>
      <c r="U2078">
        <v>-0.38101200000000002</v>
      </c>
      <c r="V2078">
        <v>-1.962479E-2</v>
      </c>
      <c r="W2078">
        <v>6.3483929999999999E-3</v>
      </c>
      <c r="X2078">
        <v>0.99978730000000005</v>
      </c>
      <c r="Y2078">
        <v>-0.12524279999999999</v>
      </c>
      <c r="Z2078">
        <v>-5.1943520000000002E-3</v>
      </c>
      <c r="AA2078">
        <v>0.99211249999999995</v>
      </c>
      <c r="AB2078">
        <v>33</v>
      </c>
      <c r="AC2078">
        <v>-12.9619</v>
      </c>
      <c r="AD2078">
        <v>-1.110672074941</v>
      </c>
      <c r="AE2078">
        <v>-1.6766999999999801</v>
      </c>
      <c r="AF2078">
        <v>-1.65571810876103</v>
      </c>
      <c r="AG2078">
        <v>-1.110672074941</v>
      </c>
      <c r="AH2078">
        <v>12.8701226594732</v>
      </c>
      <c r="AI2078">
        <v>94.892199165383005</v>
      </c>
      <c r="AJ2078">
        <v>97.330733743981199</v>
      </c>
      <c r="AK2078">
        <v>13.023634369238801</v>
      </c>
      <c r="AL2078">
        <v>89.636261445642404</v>
      </c>
      <c r="AM2078">
        <v>91.124512446695704</v>
      </c>
      <c r="AN2078">
        <v>1.0000000398587501</v>
      </c>
    </row>
    <row r="2079" spans="1:40" x14ac:dyDescent="0.3">
      <c r="A2079" t="str">
        <f>"20200111160446776"</f>
        <v>20200111160446776</v>
      </c>
      <c r="B2079" t="str">
        <f>"1578729886772831"</f>
        <v>1578729886772831</v>
      </c>
      <c r="C2079" t="s">
        <v>40</v>
      </c>
      <c r="D2079">
        <v>5.1519820000000003</v>
      </c>
      <c r="E2079">
        <v>0.4614569</v>
      </c>
      <c r="F2079" t="s">
        <v>61</v>
      </c>
      <c r="G2079">
        <v>-419.20269999999999</v>
      </c>
      <c r="H2079" s="1">
        <v>3.9468169999999999E-6</v>
      </c>
      <c r="I2079">
        <v>283.3734</v>
      </c>
      <c r="J2079">
        <v>-406.41120000000001</v>
      </c>
      <c r="K2079">
        <v>1.1106689999999999</v>
      </c>
      <c r="L2079">
        <v>285.04149999999998</v>
      </c>
      <c r="M2079">
        <v>-0.99989439999999996</v>
      </c>
      <c r="N2079">
        <v>0</v>
      </c>
      <c r="O2079">
        <v>-1.0339559999999999E-3</v>
      </c>
      <c r="P2079">
        <v>-0.99975650000000005</v>
      </c>
      <c r="Q2079">
        <v>-7.8578139999999994E-3</v>
      </c>
      <c r="R2079">
        <v>-2.0627949999999999E-2</v>
      </c>
      <c r="S2079">
        <v>-2.9909059999999998</v>
      </c>
      <c r="T2079">
        <v>-0.2538049</v>
      </c>
      <c r="U2079">
        <v>-0.38131710000000002</v>
      </c>
      <c r="V2079">
        <v>-1.959901E-2</v>
      </c>
      <c r="W2079">
        <v>6.6301969999999896E-3</v>
      </c>
      <c r="X2079">
        <v>0.99978599999999995</v>
      </c>
      <c r="Y2079">
        <v>-0.12500419999999901</v>
      </c>
      <c r="Z2079">
        <v>-5.1858770000000002E-3</v>
      </c>
      <c r="AA2079">
        <v>0.99214270000000004</v>
      </c>
      <c r="AB2079">
        <v>33</v>
      </c>
      <c r="AC2079">
        <v>-12.7914999999999</v>
      </c>
      <c r="AD2079">
        <v>-1.110665053183</v>
      </c>
      <c r="AE2079">
        <v>-1.6680999999999799</v>
      </c>
      <c r="AF2079">
        <v>-1.6426944149229501</v>
      </c>
      <c r="AG2079">
        <v>-1.110665053183</v>
      </c>
      <c r="AH2079">
        <v>12.699078565346399</v>
      </c>
      <c r="AI2079">
        <v>94.957292180717999</v>
      </c>
      <c r="AJ2079">
        <v>97.370590194895598</v>
      </c>
      <c r="AK2079">
        <v>12.852961456801401</v>
      </c>
      <c r="AL2079">
        <v>89.620114935292804</v>
      </c>
      <c r="AM2079">
        <v>91.123037075412199</v>
      </c>
      <c r="AN2079">
        <v>1.0000000632506101</v>
      </c>
    </row>
    <row r="2080" spans="1:40" x14ac:dyDescent="0.3">
      <c r="A2080" t="str">
        <f>"20200111160446790"</f>
        <v>20200111160446790</v>
      </c>
      <c r="B2080" t="str">
        <f>"1578729886782591"</f>
        <v>1578729886782591</v>
      </c>
      <c r="C2080" t="s">
        <v>40</v>
      </c>
      <c r="D2080">
        <v>5.0057970000000003</v>
      </c>
      <c r="E2080">
        <v>0.46164480000000002</v>
      </c>
      <c r="F2080" t="s">
        <v>61</v>
      </c>
      <c r="G2080">
        <v>-419.43740000000003</v>
      </c>
      <c r="H2080" s="1">
        <v>3.9874439999999997E-6</v>
      </c>
      <c r="I2080">
        <v>283.38490000000002</v>
      </c>
      <c r="J2080">
        <v>-406.61919999999998</v>
      </c>
      <c r="K2080">
        <v>1.110665</v>
      </c>
      <c r="L2080">
        <v>285.04109999999997</v>
      </c>
      <c r="M2080">
        <v>-0.99989399999999995</v>
      </c>
      <c r="N2080">
        <v>0</v>
      </c>
      <c r="O2080">
        <v>-1.2659220000000001E-3</v>
      </c>
      <c r="P2080">
        <v>-0.99975570000000002</v>
      </c>
      <c r="Q2080">
        <v>-7.9660149999999999E-3</v>
      </c>
      <c r="R2080">
        <v>-2.0615540000000002E-2</v>
      </c>
      <c r="S2080">
        <v>-2.990875</v>
      </c>
      <c r="T2080">
        <v>-0.25501360000000001</v>
      </c>
      <c r="U2080">
        <v>-0.38037110000000002</v>
      </c>
      <c r="V2080">
        <v>-1.9354929999999999E-2</v>
      </c>
      <c r="W2080">
        <v>6.5200509999999998E-3</v>
      </c>
      <c r="X2080">
        <v>0.9997914</v>
      </c>
      <c r="Y2080">
        <v>-0.1244651</v>
      </c>
      <c r="Z2080">
        <v>-5.1681260000000003E-3</v>
      </c>
      <c r="AA2080">
        <v>0.9922105</v>
      </c>
      <c r="AB2080">
        <v>33</v>
      </c>
      <c r="AC2080">
        <v>-12.818199999999999</v>
      </c>
      <c r="AD2080">
        <v>-1.1106610125559999</v>
      </c>
      <c r="AE2080">
        <v>-1.6561999999999499</v>
      </c>
      <c r="AF2080">
        <v>-1.62794860867461</v>
      </c>
      <c r="AG2080">
        <v>-1.1106610125559999</v>
      </c>
      <c r="AH2080">
        <v>12.726309689668501</v>
      </c>
      <c r="AI2080">
        <v>94.947613789692895</v>
      </c>
      <c r="AJ2080">
        <v>97.289682383355398</v>
      </c>
      <c r="AK2080">
        <v>12.8779945206793</v>
      </c>
      <c r="AL2080">
        <v>89.626425942622504</v>
      </c>
      <c r="AM2080">
        <v>91.109048646134497</v>
      </c>
      <c r="AN2080">
        <v>0.99999998394715295</v>
      </c>
    </row>
    <row r="2081" spans="1:40" x14ac:dyDescent="0.3">
      <c r="A2081" t="str">
        <f>"20200111160446810"</f>
        <v>20200111160446810</v>
      </c>
      <c r="B2081" t="str">
        <f>"1578729886803087"</f>
        <v>1578729886803087</v>
      </c>
      <c r="C2081" t="s">
        <v>40</v>
      </c>
      <c r="D2081">
        <v>5.0089180000000004</v>
      </c>
      <c r="E2081">
        <v>0.46183010000000002</v>
      </c>
      <c r="F2081" t="s">
        <v>61</v>
      </c>
      <c r="G2081">
        <v>-419.60270000000003</v>
      </c>
      <c r="H2081" s="1">
        <v>4.0157920000000004E-6</v>
      </c>
      <c r="I2081">
        <v>283.39609999999999</v>
      </c>
      <c r="J2081">
        <v>-406.91140000000001</v>
      </c>
      <c r="K2081">
        <v>1.1106549999999999</v>
      </c>
      <c r="L2081">
        <v>285.0403</v>
      </c>
      <c r="M2081">
        <v>-0.99989360000000005</v>
      </c>
      <c r="N2081">
        <v>0</v>
      </c>
      <c r="O2081">
        <v>-1.585808E-3</v>
      </c>
      <c r="P2081">
        <v>-0.99974850000000004</v>
      </c>
      <c r="Q2081">
        <v>-8.7190510000000002E-3</v>
      </c>
      <c r="R2081">
        <v>-2.0661100000000002E-2</v>
      </c>
      <c r="S2081">
        <v>-2.990875</v>
      </c>
      <c r="T2081">
        <v>-0.25585020000000003</v>
      </c>
      <c r="U2081">
        <v>-0.37893680000000002</v>
      </c>
      <c r="V2081">
        <v>-1.907994E-2</v>
      </c>
      <c r="W2081">
        <v>5.7647540000000004E-3</v>
      </c>
      <c r="X2081">
        <v>0.9998013</v>
      </c>
      <c r="Y2081">
        <v>-0.123680399999999</v>
      </c>
      <c r="Z2081">
        <v>-5.1246E-3</v>
      </c>
      <c r="AA2081">
        <v>0.99230890000000005</v>
      </c>
      <c r="AB2081">
        <v>33</v>
      </c>
      <c r="AC2081">
        <v>-12.6913</v>
      </c>
      <c r="AD2081">
        <v>-1.1106509842079999</v>
      </c>
      <c r="AE2081">
        <v>-1.6442000000000101</v>
      </c>
      <c r="AF2081">
        <v>-1.61192869342818</v>
      </c>
      <c r="AG2081">
        <v>-1.1106509842079999</v>
      </c>
      <c r="AH2081">
        <v>12.5989952034098</v>
      </c>
      <c r="AI2081">
        <v>94.997300038224594</v>
      </c>
      <c r="AJ2081">
        <v>97.290873225245505</v>
      </c>
      <c r="AK2081">
        <v>12.750158424779</v>
      </c>
      <c r="AL2081">
        <v>89.669702082544305</v>
      </c>
      <c r="AM2081">
        <v>91.093284589590198</v>
      </c>
      <c r="AN2081">
        <v>0.99999995799038599</v>
      </c>
    </row>
    <row r="2082" spans="1:40" x14ac:dyDescent="0.3">
      <c r="A2082" t="str">
        <f>"20200111160446831"</f>
        <v>20200111160446831</v>
      </c>
      <c r="B2082" t="str">
        <f>"1578729886822607"</f>
        <v>1578729886822607</v>
      </c>
      <c r="C2082" t="s">
        <v>40</v>
      </c>
      <c r="D2082">
        <v>5.1700419999999996</v>
      </c>
      <c r="E2082">
        <v>0.4612694</v>
      </c>
      <c r="F2082" t="s">
        <v>61</v>
      </c>
      <c r="G2082">
        <v>-419.73910000000001</v>
      </c>
      <c r="H2082" s="1">
        <v>4.0378199999999901E-6</v>
      </c>
      <c r="I2082">
        <v>283.42090000000002</v>
      </c>
      <c r="J2082">
        <v>-407.22789999999998</v>
      </c>
      <c r="K2082">
        <v>1.1106370000000001</v>
      </c>
      <c r="L2082">
        <v>285.03949999999998</v>
      </c>
      <c r="M2082">
        <v>-0.99989309999999998</v>
      </c>
      <c r="N2082">
        <v>0</v>
      </c>
      <c r="O2082">
        <v>-1.922977E-3</v>
      </c>
      <c r="P2082">
        <v>-0.99973670000000003</v>
      </c>
      <c r="Q2082">
        <v>-9.0542469999999996E-3</v>
      </c>
      <c r="R2082">
        <v>-2.1080370000000001E-2</v>
      </c>
      <c r="S2082">
        <v>-2.9906920000000001</v>
      </c>
      <c r="T2082">
        <v>-0.25894050000000002</v>
      </c>
      <c r="U2082">
        <v>-0.3775635</v>
      </c>
      <c r="V2082">
        <v>-1.916151E-2</v>
      </c>
      <c r="W2082">
        <v>5.4257289999999998E-3</v>
      </c>
      <c r="X2082">
        <v>0.99980170000000002</v>
      </c>
      <c r="Y2082">
        <v>-0.1228983</v>
      </c>
      <c r="Z2082">
        <v>-5.1240419999999997E-3</v>
      </c>
      <c r="AA2082">
        <v>0.99240609999999996</v>
      </c>
      <c r="AB2082">
        <v>33</v>
      </c>
      <c r="AC2082">
        <v>-12.511200000000001</v>
      </c>
      <c r="AD2082">
        <v>-1.11063296218</v>
      </c>
      <c r="AE2082">
        <v>-1.6185999999999501</v>
      </c>
      <c r="AF2082">
        <v>-1.5822721936714099</v>
      </c>
      <c r="AG2082">
        <v>-1.11063296218</v>
      </c>
      <c r="AH2082">
        <v>12.4180426224414</v>
      </c>
      <c r="AI2082">
        <v>95.069992725824093</v>
      </c>
      <c r="AJ2082">
        <v>97.261340073945206</v>
      </c>
      <c r="AK2082">
        <v>12.567612082027299</v>
      </c>
      <c r="AL2082">
        <v>89.689127108655001</v>
      </c>
      <c r="AM2082">
        <v>91.097956986914099</v>
      </c>
      <c r="AN2082">
        <v>1.0000000206617701</v>
      </c>
    </row>
    <row r="2083" spans="1:40" x14ac:dyDescent="0.3">
      <c r="A2083" t="str">
        <f>"20200111160446854"</f>
        <v>20200111160446854</v>
      </c>
      <c r="B2083" t="str">
        <f>"1578729886843103"</f>
        <v>1578729886843103</v>
      </c>
      <c r="C2083" t="s">
        <v>40</v>
      </c>
      <c r="D2083">
        <v>5.0670830000000002</v>
      </c>
      <c r="E2083">
        <v>0.4615148</v>
      </c>
      <c r="F2083" t="s">
        <v>61</v>
      </c>
      <c r="G2083">
        <v>-420.24329999999998</v>
      </c>
      <c r="H2083" s="1">
        <v>4.030101E-6</v>
      </c>
      <c r="I2083">
        <v>283.37329999999997</v>
      </c>
      <c r="J2083">
        <v>-407.55489999999998</v>
      </c>
      <c r="K2083">
        <v>1.1106320000000001</v>
      </c>
      <c r="L2083">
        <v>285.0385</v>
      </c>
      <c r="M2083">
        <v>-0.99989249999999996</v>
      </c>
      <c r="N2083">
        <v>0</v>
      </c>
      <c r="O2083">
        <v>-2.2632490000000002E-3</v>
      </c>
      <c r="P2083">
        <v>-0.99973959999999995</v>
      </c>
      <c r="Q2083">
        <v>-8.4891600000000008E-3</v>
      </c>
      <c r="R2083">
        <v>-2.1185699999999998E-2</v>
      </c>
      <c r="S2083">
        <v>-2.9904169999999999</v>
      </c>
      <c r="T2083">
        <v>-0.25517800000000002</v>
      </c>
      <c r="U2083">
        <v>-0.3828125</v>
      </c>
      <c r="V2083">
        <v>-1.8927360000000001E-2</v>
      </c>
      <c r="W2083">
        <v>5.9883870000000004E-3</v>
      </c>
      <c r="X2083">
        <v>0.99980290000000005</v>
      </c>
      <c r="Y2083">
        <v>-0.12429510000000001</v>
      </c>
      <c r="Z2083">
        <v>-5.0801420000000002E-3</v>
      </c>
      <c r="AA2083">
        <v>0.99223229999999996</v>
      </c>
      <c r="AB2083">
        <v>33</v>
      </c>
      <c r="AC2083">
        <v>-12.6884</v>
      </c>
      <c r="AD2083">
        <v>-1.110627969899</v>
      </c>
      <c r="AE2083">
        <v>-1.66520000000002</v>
      </c>
      <c r="AF2083">
        <v>-1.62424201019495</v>
      </c>
      <c r="AG2083">
        <v>-1.110627969899</v>
      </c>
      <c r="AH2083">
        <v>12.5972548224465</v>
      </c>
      <c r="AI2083">
        <v>94.997258694975798</v>
      </c>
      <c r="AJ2083">
        <v>97.346965002224593</v>
      </c>
      <c r="AK2083">
        <v>12.749999437523799</v>
      </c>
      <c r="AL2083">
        <v>89.656888638574301</v>
      </c>
      <c r="AM2083">
        <v>91.084542084838105</v>
      </c>
      <c r="AN2083">
        <v>0.99999997229191995</v>
      </c>
    </row>
    <row r="2084" spans="1:40" x14ac:dyDescent="0.3">
      <c r="A2084" t="str">
        <f>"20200111160446877"</f>
        <v>20200111160446877</v>
      </c>
      <c r="B2084" t="str">
        <f>"1578729886873360"</f>
        <v>1578729886873360</v>
      </c>
      <c r="C2084" t="s">
        <v>40</v>
      </c>
      <c r="D2084">
        <v>5.1393300000000002</v>
      </c>
      <c r="E2084">
        <v>0.46155360000000001</v>
      </c>
      <c r="F2084" t="s">
        <v>61</v>
      </c>
      <c r="G2084">
        <v>-420.65320000000003</v>
      </c>
      <c r="H2084" s="1">
        <v>3.9577719999999997E-6</v>
      </c>
      <c r="I2084">
        <v>283.36900000000003</v>
      </c>
      <c r="J2084">
        <v>-407.8861</v>
      </c>
      <c r="K2084">
        <v>1.1106229999999999</v>
      </c>
      <c r="L2084">
        <v>285.03739999999999</v>
      </c>
      <c r="M2084">
        <v>-0.99989159999999999</v>
      </c>
      <c r="N2084">
        <v>0</v>
      </c>
      <c r="O2084">
        <v>-2.5992379999999998E-3</v>
      </c>
      <c r="P2084">
        <v>-0.99971790000000005</v>
      </c>
      <c r="Q2084">
        <v>-8.6642709999999994E-3</v>
      </c>
      <c r="R2084">
        <v>-2.211221E-2</v>
      </c>
      <c r="S2084">
        <v>-2.99057</v>
      </c>
      <c r="T2084">
        <v>-0.25357580000000002</v>
      </c>
      <c r="U2084">
        <v>-0.38116460000000002</v>
      </c>
      <c r="V2084">
        <v>-1.9517110000000001E-2</v>
      </c>
      <c r="W2084">
        <v>5.8095760000000003E-3</v>
      </c>
      <c r="X2084">
        <v>0.99979260000000003</v>
      </c>
      <c r="Y2084">
        <v>-0.123427</v>
      </c>
      <c r="Z2084">
        <v>-4.9833630000000002E-3</v>
      </c>
      <c r="AA2084">
        <v>0.99234120000000003</v>
      </c>
      <c r="AB2084">
        <v>33</v>
      </c>
      <c r="AC2084">
        <v>-12.767099999999999</v>
      </c>
      <c r="AD2084">
        <v>-1.110619042228</v>
      </c>
      <c r="AE2084">
        <v>-1.6683999999999599</v>
      </c>
      <c r="AF2084">
        <v>-1.6231295374889001</v>
      </c>
      <c r="AG2084">
        <v>-1.110619042228</v>
      </c>
      <c r="AH2084">
        <v>12.677072370866799</v>
      </c>
      <c r="AI2084">
        <v>94.966474856452606</v>
      </c>
      <c r="AJ2084">
        <v>97.296260824383197</v>
      </c>
      <c r="AK2084">
        <v>12.8287251139239</v>
      </c>
      <c r="AL2084">
        <v>89.667133927300497</v>
      </c>
      <c r="AM2084">
        <v>91.118337961361505</v>
      </c>
      <c r="AN2084">
        <v>0.99999995588540402</v>
      </c>
    </row>
    <row r="2085" spans="1:40" x14ac:dyDescent="0.3">
      <c r="A2085" t="str">
        <f>"20200111160446900"</f>
        <v>20200111160446900</v>
      </c>
      <c r="B2085" t="str">
        <f>"1578729886892879"</f>
        <v>1578729886892879</v>
      </c>
      <c r="C2085" t="s">
        <v>40</v>
      </c>
      <c r="D2085">
        <v>5.0953330000000001</v>
      </c>
      <c r="E2085">
        <v>0.53370090000000003</v>
      </c>
      <c r="F2085" t="s">
        <v>61</v>
      </c>
      <c r="G2085">
        <v>-422.072</v>
      </c>
      <c r="H2085" s="1">
        <v>3.7191070000000001E-6</v>
      </c>
      <c r="I2085">
        <v>283.22030000000001</v>
      </c>
      <c r="J2085">
        <v>-408.2217</v>
      </c>
      <c r="K2085">
        <v>1.1106199999999999</v>
      </c>
      <c r="L2085">
        <v>285.03609999999998</v>
      </c>
      <c r="M2085">
        <v>-0.99989079999999997</v>
      </c>
      <c r="N2085">
        <v>0</v>
      </c>
      <c r="O2085">
        <v>-2.9329769999999998E-3</v>
      </c>
      <c r="P2085">
        <v>-0.99969699999999995</v>
      </c>
      <c r="Q2085">
        <v>-8.6828430000000009E-3</v>
      </c>
      <c r="R2085">
        <v>-2.3036310000000001E-2</v>
      </c>
      <c r="S2085">
        <v>-2.990326</v>
      </c>
      <c r="T2085">
        <v>-0.23411370000000001</v>
      </c>
      <c r="U2085">
        <v>-0.38302609999999998</v>
      </c>
      <c r="V2085">
        <v>-2.010779E-2</v>
      </c>
      <c r="W2085">
        <v>5.7871650000000004E-3</v>
      </c>
      <c r="X2085">
        <v>0.99978109999999998</v>
      </c>
      <c r="Y2085">
        <v>-0.1237766</v>
      </c>
      <c r="Z2085">
        <v>-4.5899039999999997E-3</v>
      </c>
      <c r="AA2085">
        <v>0.9922995</v>
      </c>
      <c r="AB2085">
        <v>33</v>
      </c>
      <c r="AC2085">
        <v>-13.850299999999899</v>
      </c>
      <c r="AD2085">
        <v>-1.110616280893</v>
      </c>
      <c r="AE2085">
        <v>-1.8157999999999599</v>
      </c>
      <c r="AF2085">
        <v>-1.7640143942862401</v>
      </c>
      <c r="AG2085">
        <v>-1.110616280893</v>
      </c>
      <c r="AH2085">
        <v>13.7685312137866</v>
      </c>
      <c r="AI2085">
        <v>94.574456116611699</v>
      </c>
      <c r="AJ2085">
        <v>97.300920643274495</v>
      </c>
      <c r="AK2085">
        <v>13.9254323843696</v>
      </c>
      <c r="AL2085">
        <v>89.668418029633699</v>
      </c>
      <c r="AM2085">
        <v>91.152188413620607</v>
      </c>
      <c r="AN2085">
        <v>1.0000000312073101</v>
      </c>
    </row>
    <row r="2086" spans="1:40" x14ac:dyDescent="0.3">
      <c r="A2086" t="str">
        <f>"20200111160446921"</f>
        <v>20200111160446921</v>
      </c>
      <c r="B2086" t="str">
        <f>"1578729886912906"</f>
        <v>1578729886912906</v>
      </c>
      <c r="C2086" t="s">
        <v>40</v>
      </c>
      <c r="D2086">
        <v>5.05647</v>
      </c>
      <c r="E2086">
        <v>0.53307660000000001</v>
      </c>
      <c r="F2086" t="s">
        <v>61</v>
      </c>
      <c r="G2086">
        <v>-430.79329999999999</v>
      </c>
      <c r="H2086" s="1">
        <v>2.404484E-6</v>
      </c>
      <c r="I2086">
        <v>286.49579999999997</v>
      </c>
      <c r="J2086">
        <v>-408.5376</v>
      </c>
      <c r="K2086">
        <v>1.110614</v>
      </c>
      <c r="L2086">
        <v>285.03489999999999</v>
      </c>
      <c r="M2086">
        <v>-0.99988999999999995</v>
      </c>
      <c r="N2086">
        <v>0</v>
      </c>
      <c r="O2086">
        <v>-3.2421759999999998E-3</v>
      </c>
      <c r="P2086">
        <v>-0.99967680000000003</v>
      </c>
      <c r="Q2086">
        <v>-8.9563760000000003E-3</v>
      </c>
      <c r="R2086">
        <v>-2.379595E-2</v>
      </c>
      <c r="S2086">
        <v>-3.004089</v>
      </c>
      <c r="T2086">
        <v>-0.147814</v>
      </c>
      <c r="U2086">
        <v>0.1942749</v>
      </c>
      <c r="V2086">
        <v>-2.055833E-2</v>
      </c>
      <c r="W2086">
        <v>5.5101289999999999E-3</v>
      </c>
      <c r="X2086">
        <v>0.99977340000000003</v>
      </c>
      <c r="Y2086">
        <v>6.7685309999999999E-2</v>
      </c>
      <c r="Z2086">
        <v>1.82175E-3</v>
      </c>
      <c r="AA2086">
        <v>0.99770499999999995</v>
      </c>
      <c r="AB2086">
        <v>33</v>
      </c>
      <c r="AC2086">
        <v>-22.255699999999901</v>
      </c>
      <c r="AD2086">
        <v>-1.1106115955159901</v>
      </c>
      <c r="AE2086">
        <v>1.4608999999999801</v>
      </c>
      <c r="AF2086">
        <v>1.5292648713375401</v>
      </c>
      <c r="AG2086">
        <v>-1.1106115955159901</v>
      </c>
      <c r="AH2086">
        <v>22.1958101695026</v>
      </c>
      <c r="AI2086">
        <v>92.857755824997994</v>
      </c>
      <c r="AJ2086">
        <v>86.058617832585895</v>
      </c>
      <c r="AK2086">
        <v>22.276132928392101</v>
      </c>
      <c r="AL2086">
        <v>89.6842912437005</v>
      </c>
      <c r="AM2086">
        <v>91.178006500715696</v>
      </c>
      <c r="AN2086">
        <v>0.99999992890077005</v>
      </c>
    </row>
    <row r="2087" spans="1:40" x14ac:dyDescent="0.3">
      <c r="A2087" t="str">
        <f>"20200111160446944"</f>
        <v>20200111160446944</v>
      </c>
      <c r="B2087" t="str">
        <f>"1578729886933404"</f>
        <v>1578729886933404</v>
      </c>
      <c r="C2087" t="s">
        <v>40</v>
      </c>
      <c r="D2087">
        <v>5.1940739999999996</v>
      </c>
      <c r="E2087">
        <v>0.53310029999999997</v>
      </c>
      <c r="F2087" t="s">
        <v>61</v>
      </c>
      <c r="G2087">
        <v>-427.78960000000001</v>
      </c>
      <c r="H2087" s="1">
        <v>2.4420679999999998E-6</v>
      </c>
      <c r="I2087">
        <v>286.22680000000003</v>
      </c>
      <c r="J2087">
        <v>-408.86579999999998</v>
      </c>
      <c r="K2087">
        <v>1.1106069999999999</v>
      </c>
      <c r="L2087">
        <v>285.03339999999997</v>
      </c>
      <c r="M2087">
        <v>-0.99988889999999997</v>
      </c>
      <c r="N2087">
        <v>0</v>
      </c>
      <c r="O2087">
        <v>-3.5585289999999999E-3</v>
      </c>
      <c r="P2087">
        <v>-0.99964699999999995</v>
      </c>
      <c r="Q2087">
        <v>-9.5638330000000008E-3</v>
      </c>
      <c r="R2087">
        <v>-2.4790530000000002E-2</v>
      </c>
      <c r="S2087">
        <v>-3.0038450000000001</v>
      </c>
      <c r="T2087">
        <v>-0.17328629999999901</v>
      </c>
      <c r="U2087">
        <v>0.1859741</v>
      </c>
      <c r="V2087">
        <v>-2.12363E-2</v>
      </c>
      <c r="W2087">
        <v>4.8988299999999999E-3</v>
      </c>
      <c r="X2087">
        <v>0.9997625</v>
      </c>
      <c r="Y2087">
        <v>6.523147E-2</v>
      </c>
      <c r="Z2087">
        <v>2.0831309999999998E-3</v>
      </c>
      <c r="AA2087">
        <v>0.99786799999999998</v>
      </c>
      <c r="AB2087">
        <v>33</v>
      </c>
      <c r="AC2087">
        <v>-18.9238</v>
      </c>
      <c r="AD2087">
        <v>-1.1106045579320001</v>
      </c>
      <c r="AE2087">
        <v>1.19340000000005</v>
      </c>
      <c r="AF2087">
        <v>1.2564299975853199</v>
      </c>
      <c r="AG2087">
        <v>-1.1106045579320001</v>
      </c>
      <c r="AH2087">
        <v>18.8547486183393</v>
      </c>
      <c r="AI2087">
        <v>93.363565708017106</v>
      </c>
      <c r="AJ2087">
        <v>86.187598925916504</v>
      </c>
      <c r="AK2087">
        <v>18.929173365038899</v>
      </c>
      <c r="AL2087">
        <v>89.719316598740406</v>
      </c>
      <c r="AM2087">
        <v>91.2168564182804</v>
      </c>
      <c r="AN2087">
        <v>1.00000001768965</v>
      </c>
    </row>
    <row r="2088" spans="1:40" x14ac:dyDescent="0.3">
      <c r="A2088" t="str">
        <f>"20200111160446966"</f>
        <v>20200111160446966</v>
      </c>
      <c r="B2088" t="str">
        <f>"1578729886962682"</f>
        <v>1578729886962682</v>
      </c>
      <c r="C2088" t="s">
        <v>40</v>
      </c>
      <c r="D2088">
        <v>5.3188040000000001</v>
      </c>
      <c r="E2088">
        <v>0.53246749999999998</v>
      </c>
      <c r="F2088" t="s">
        <v>42</v>
      </c>
      <c r="G2088">
        <v>-409.88940000000002</v>
      </c>
      <c r="H2088">
        <v>1.0473479999999999</v>
      </c>
      <c r="I2088">
        <v>285.09559999999999</v>
      </c>
      <c r="J2088">
        <v>-409.1841</v>
      </c>
      <c r="K2088">
        <v>1.110598</v>
      </c>
      <c r="L2088">
        <v>285.03199999999998</v>
      </c>
      <c r="M2088">
        <v>-0.99988779999999999</v>
      </c>
      <c r="N2088">
        <v>0</v>
      </c>
      <c r="O2088">
        <v>-3.862257E-3</v>
      </c>
      <c r="P2088">
        <v>-0.99963860000000004</v>
      </c>
      <c r="Q2088">
        <v>-9.6538030000000007E-3</v>
      </c>
      <c r="R2088">
        <v>-2.5094470000000001E-2</v>
      </c>
      <c r="S2088">
        <v>-3.0038450000000001</v>
      </c>
      <c r="T2088">
        <v>-0.1856042</v>
      </c>
      <c r="U2088">
        <v>0.18243409999999999</v>
      </c>
      <c r="V2088">
        <v>-2.1236310000000001E-2</v>
      </c>
      <c r="W2088">
        <v>4.8053719999999996E-3</v>
      </c>
      <c r="X2088">
        <v>0.99976299999999996</v>
      </c>
      <c r="Y2088">
        <v>6.4347299999999996E-2</v>
      </c>
      <c r="Z2088">
        <v>2.222487E-3</v>
      </c>
      <c r="AA2088">
        <v>0.99792510000000001</v>
      </c>
      <c r="AB2088">
        <v>33</v>
      </c>
      <c r="AC2088">
        <v>-0.70530000000002202</v>
      </c>
      <c r="AD2088">
        <v>-6.3250000000000001E-2</v>
      </c>
      <c r="AE2088">
        <v>6.3600000000008095E-2</v>
      </c>
      <c r="AF2088">
        <v>6.5798962423802093E-2</v>
      </c>
      <c r="AG2088">
        <v>-6.3250000000000001E-2</v>
      </c>
      <c r="AH2088">
        <v>0.69946919472577496</v>
      </c>
      <c r="AI2088">
        <v>95.144370339403807</v>
      </c>
      <c r="AJ2088">
        <v>84.626009092242697</v>
      </c>
      <c r="AK2088">
        <v>0.70539862512367602</v>
      </c>
      <c r="AL2088">
        <v>89.724671423481198</v>
      </c>
      <c r="AM2088">
        <v>91.216856382726107</v>
      </c>
      <c r="AN2088">
        <v>1.0000000643157301</v>
      </c>
    </row>
    <row r="2089" spans="1:40" x14ac:dyDescent="0.3">
      <c r="A2089" t="str">
        <f>"20200111160446989"</f>
        <v>20200111160446989</v>
      </c>
      <c r="B2089" t="str">
        <f>"1578729886983178"</f>
        <v>1578729886983178</v>
      </c>
      <c r="C2089" t="s">
        <v>40</v>
      </c>
      <c r="D2089">
        <v>5.0768180000000003</v>
      </c>
      <c r="E2089">
        <v>0.53264400000000001</v>
      </c>
      <c r="F2089" t="s">
        <v>42</v>
      </c>
      <c r="G2089">
        <v>-410.17970000000003</v>
      </c>
      <c r="H2089">
        <v>1.0464869999999999</v>
      </c>
      <c r="I2089">
        <v>285.09100000000001</v>
      </c>
      <c r="J2089">
        <v>-409.52339999999998</v>
      </c>
      <c r="K2089">
        <v>1.1105969999999901</v>
      </c>
      <c r="L2089">
        <v>285.03030000000001</v>
      </c>
      <c r="M2089">
        <v>-0.99988659999999996</v>
      </c>
      <c r="N2089">
        <v>0</v>
      </c>
      <c r="O2089">
        <v>-4.1831680000000001E-3</v>
      </c>
      <c r="P2089">
        <v>-0.99963840000000004</v>
      </c>
      <c r="Q2089">
        <v>-9.0932310000000002E-3</v>
      </c>
      <c r="R2089">
        <v>-2.5307179999999999E-2</v>
      </c>
      <c r="S2089">
        <v>-3.0036619999999998</v>
      </c>
      <c r="T2089">
        <v>-0.19366349999999999</v>
      </c>
      <c r="U2089">
        <v>0.17654420000000001</v>
      </c>
      <c r="V2089">
        <v>-2.1128029999999999E-2</v>
      </c>
      <c r="W2089">
        <v>5.3632640000000004E-3</v>
      </c>
      <c r="X2089">
        <v>0.99976240000000005</v>
      </c>
      <c r="Y2089">
        <v>6.2712500000000004E-2</v>
      </c>
      <c r="Z2089">
        <v>2.2871250000000001E-3</v>
      </c>
      <c r="AA2089">
        <v>0.99802900000000005</v>
      </c>
      <c r="AB2089">
        <v>33</v>
      </c>
      <c r="AC2089">
        <v>-0.65630000000004396</v>
      </c>
      <c r="AD2089">
        <v>-6.4109999999999598E-2</v>
      </c>
      <c r="AE2089">
        <v>6.0699999999996999E-2</v>
      </c>
      <c r="AF2089">
        <v>6.2850526061075496E-2</v>
      </c>
      <c r="AG2089">
        <v>-6.4109999999999598E-2</v>
      </c>
      <c r="AH2089">
        <v>0.64989153887038198</v>
      </c>
      <c r="AI2089">
        <v>95.607847049254602</v>
      </c>
      <c r="AJ2089">
        <v>84.476146097175004</v>
      </c>
      <c r="AK2089">
        <v>0.65606348246299095</v>
      </c>
      <c r="AL2089">
        <v>89.692706137435493</v>
      </c>
      <c r="AM2089">
        <v>91.210654435743606</v>
      </c>
      <c r="AN2089">
        <v>1.0000000073530799</v>
      </c>
    </row>
    <row r="2090" spans="1:40" x14ac:dyDescent="0.3">
      <c r="A2090" t="str">
        <f>"20200111160447010"</f>
        <v>20200111160447010</v>
      </c>
      <c r="B2090" t="str">
        <f>"1578729887002698"</f>
        <v>1578729887002698</v>
      </c>
      <c r="C2090" t="s">
        <v>40</v>
      </c>
      <c r="D2090">
        <v>5.1051399999999996</v>
      </c>
      <c r="E2090">
        <v>0.53263099999999997</v>
      </c>
      <c r="F2090" t="s">
        <v>42</v>
      </c>
      <c r="G2090">
        <v>-410.47309999999999</v>
      </c>
      <c r="H2090">
        <v>1.0492840000000001</v>
      </c>
      <c r="I2090">
        <v>285.0865</v>
      </c>
      <c r="J2090">
        <v>-409.83499999999998</v>
      </c>
      <c r="K2090">
        <v>1.1106049999999901</v>
      </c>
      <c r="L2090">
        <v>285.02870000000001</v>
      </c>
      <c r="M2090">
        <v>-0.99988529999999998</v>
      </c>
      <c r="N2090">
        <v>0</v>
      </c>
      <c r="O2090">
        <v>-4.4760889999999999E-3</v>
      </c>
      <c r="P2090">
        <v>-0.99963100000000005</v>
      </c>
      <c r="Q2090">
        <v>-7.6115710000000001E-3</v>
      </c>
      <c r="R2090">
        <v>-2.6071549999999999E-2</v>
      </c>
      <c r="S2090">
        <v>-3.0038149999999999</v>
      </c>
      <c r="T2090">
        <v>-0.19410569999999999</v>
      </c>
      <c r="U2090">
        <v>0.177124</v>
      </c>
      <c r="V2090">
        <v>-2.1600749999999998E-2</v>
      </c>
      <c r="W2090">
        <v>6.8409550000000001E-3</v>
      </c>
      <c r="X2090">
        <v>0.9997433</v>
      </c>
      <c r="Y2090">
        <v>6.319168E-2</v>
      </c>
      <c r="Z2090">
        <v>2.3265550000000001E-3</v>
      </c>
      <c r="AA2090">
        <v>0.99799870000000002</v>
      </c>
      <c r="AB2090">
        <v>33</v>
      </c>
      <c r="AC2090">
        <v>-0.63810000000000799</v>
      </c>
      <c r="AD2090">
        <v>-6.1320999999999702E-2</v>
      </c>
      <c r="AE2090">
        <v>5.7799999999986001E-2</v>
      </c>
      <c r="AF2090">
        <v>6.0105351491985599E-2</v>
      </c>
      <c r="AG2090">
        <v>-6.1320999999999702E-2</v>
      </c>
      <c r="AH2090">
        <v>0.63204537037261399</v>
      </c>
      <c r="AI2090">
        <v>95.5167547866223</v>
      </c>
      <c r="AJ2090">
        <v>84.567703566129694</v>
      </c>
      <c r="AK2090">
        <v>0.63785129029298904</v>
      </c>
      <c r="AL2090">
        <v>89.608039104575994</v>
      </c>
      <c r="AM2090">
        <v>91.237757006738804</v>
      </c>
      <c r="AN2090">
        <v>1.0000000284803801</v>
      </c>
    </row>
    <row r="2091" spans="1:40" x14ac:dyDescent="0.3">
      <c r="A2091" t="str">
        <f>"20200111160447032"</f>
        <v>20200111160447032</v>
      </c>
      <c r="B2091" t="str">
        <f>"1578729887023194"</f>
        <v>1578729887023194</v>
      </c>
      <c r="C2091" t="s">
        <v>40</v>
      </c>
      <c r="D2091">
        <v>5.0714069999999998</v>
      </c>
      <c r="E2091">
        <v>0.53256949999999903</v>
      </c>
      <c r="F2091" t="s">
        <v>42</v>
      </c>
      <c r="G2091">
        <v>-410.76549999999997</v>
      </c>
      <c r="H2091">
        <v>1.051385</v>
      </c>
      <c r="I2091">
        <v>285.0829</v>
      </c>
      <c r="J2091">
        <v>-410.1576</v>
      </c>
      <c r="K2091">
        <v>1.1106130000000001</v>
      </c>
      <c r="L2091">
        <v>285.02690000000001</v>
      </c>
      <c r="M2091">
        <v>-0.99988410000000005</v>
      </c>
      <c r="N2091">
        <v>0</v>
      </c>
      <c r="O2091">
        <v>-4.7780790000000002E-3</v>
      </c>
      <c r="P2091">
        <v>-0.9996313</v>
      </c>
      <c r="Q2091">
        <v>-6.7927040000000001E-3</v>
      </c>
      <c r="R2091">
        <v>-2.6293879999999999E-2</v>
      </c>
      <c r="S2091">
        <v>-3.0042110000000002</v>
      </c>
      <c r="T2091">
        <v>-0.1913311</v>
      </c>
      <c r="U2091">
        <v>0.17456050000000001</v>
      </c>
      <c r="V2091">
        <v>-2.1521490000000001E-2</v>
      </c>
      <c r="W2091">
        <v>7.657278E-3</v>
      </c>
      <c r="X2091">
        <v>0.99973909999999999</v>
      </c>
      <c r="Y2091">
        <v>6.2641169999999996E-2</v>
      </c>
      <c r="Z2091">
        <v>2.294824E-3</v>
      </c>
      <c r="AA2091">
        <v>0.99803350000000002</v>
      </c>
      <c r="AB2091">
        <v>33</v>
      </c>
      <c r="AC2091">
        <v>-0.60789999999997202</v>
      </c>
      <c r="AD2091">
        <v>-5.9227999999999802E-2</v>
      </c>
      <c r="AE2091">
        <v>5.5999999999983098E-2</v>
      </c>
      <c r="AF2091">
        <v>5.83549733135958E-2</v>
      </c>
      <c r="AG2091">
        <v>-5.9227999999999802E-2</v>
      </c>
      <c r="AH2091">
        <v>0.60195932226145699</v>
      </c>
      <c r="AI2091">
        <v>95.593307786527305</v>
      </c>
      <c r="AJ2091">
        <v>84.462950384065294</v>
      </c>
      <c r="AK2091">
        <v>0.60767448897571996</v>
      </c>
      <c r="AL2091">
        <v>89.561266017305798</v>
      </c>
      <c r="AM2091">
        <v>91.233221868272693</v>
      </c>
      <c r="AN2091">
        <v>1.0000000382534899</v>
      </c>
    </row>
    <row r="2092" spans="1:40" x14ac:dyDescent="0.3">
      <c r="A2092" t="str">
        <f>"20200111160447055"</f>
        <v>20200111160447055</v>
      </c>
      <c r="B2092" t="str">
        <f>"1578729887053450"</f>
        <v>1578729887053450</v>
      </c>
      <c r="C2092" t="s">
        <v>40</v>
      </c>
      <c r="D2092">
        <v>5.2274620000000001</v>
      </c>
      <c r="E2092">
        <v>0.53263470000000002</v>
      </c>
      <c r="F2092" t="s">
        <v>42</v>
      </c>
      <c r="G2092">
        <v>-411.06290000000001</v>
      </c>
      <c r="H2092">
        <v>1.0528489999999999</v>
      </c>
      <c r="I2092">
        <v>285.07929999999999</v>
      </c>
      <c r="J2092">
        <v>-410.48340000000002</v>
      </c>
      <c r="K2092">
        <v>1.110609</v>
      </c>
      <c r="L2092">
        <v>285.02510000000001</v>
      </c>
      <c r="M2092">
        <v>-0.99988259999999995</v>
      </c>
      <c r="N2092">
        <v>0</v>
      </c>
      <c r="O2092">
        <v>-5.0806619999999997E-3</v>
      </c>
      <c r="P2092">
        <v>-0.99963769999999996</v>
      </c>
      <c r="Q2092">
        <v>-7.2671119999999896E-3</v>
      </c>
      <c r="R2092">
        <v>-2.5918690000000001E-2</v>
      </c>
      <c r="S2092">
        <v>-3.0043329999999999</v>
      </c>
      <c r="T2092">
        <v>-0.1917365</v>
      </c>
      <c r="U2092">
        <v>0.17333979999999999</v>
      </c>
      <c r="V2092">
        <v>-2.0843670000000002E-2</v>
      </c>
      <c r="W2092">
        <v>7.1799769999999997E-3</v>
      </c>
      <c r="X2092">
        <v>0.99975700000000001</v>
      </c>
      <c r="Y2092">
        <v>6.25357E-2</v>
      </c>
      <c r="Z2092">
        <v>2.3155290000000002E-3</v>
      </c>
      <c r="AA2092">
        <v>0.99804000000000004</v>
      </c>
      <c r="AB2092">
        <v>32</v>
      </c>
      <c r="AC2092">
        <v>-0.57949999999999502</v>
      </c>
      <c r="AD2092">
        <v>-5.7759999999999999E-2</v>
      </c>
      <c r="AE2092">
        <v>5.4199999999980202E-2</v>
      </c>
      <c r="AF2092">
        <v>5.65865654296955E-2</v>
      </c>
      <c r="AG2092">
        <v>-5.7759999999999999E-2</v>
      </c>
      <c r="AH2092">
        <v>0.57356839686598404</v>
      </c>
      <c r="AI2092">
        <v>95.722866979936001</v>
      </c>
      <c r="AJ2092">
        <v>84.365600537696295</v>
      </c>
      <c r="AK2092">
        <v>0.57923998728553305</v>
      </c>
      <c r="AL2092">
        <v>89.588614100551396</v>
      </c>
      <c r="AM2092">
        <v>91.194371562537</v>
      </c>
      <c r="AN2092">
        <v>1.00000003484889</v>
      </c>
    </row>
    <row r="2093" spans="1:40" x14ac:dyDescent="0.3">
      <c r="A2093" t="str">
        <f>"20200111160447077"</f>
        <v>20200111160447077</v>
      </c>
      <c r="B2093" t="str">
        <f>"1578729887072970"</f>
        <v>1578729887072970</v>
      </c>
      <c r="C2093" t="s">
        <v>40</v>
      </c>
      <c r="D2093">
        <v>5.1822019999999904</v>
      </c>
      <c r="E2093">
        <v>0.53320230000000002</v>
      </c>
      <c r="F2093" t="s">
        <v>42</v>
      </c>
      <c r="G2093">
        <v>-411.35309999999998</v>
      </c>
      <c r="H2093">
        <v>1.052689</v>
      </c>
      <c r="I2093">
        <v>285.07580000000002</v>
      </c>
      <c r="J2093">
        <v>-410.80869999999999</v>
      </c>
      <c r="K2093">
        <v>1.110609</v>
      </c>
      <c r="L2093">
        <v>285.0231</v>
      </c>
      <c r="M2093">
        <v>-0.99988100000000002</v>
      </c>
      <c r="N2093">
        <v>0</v>
      </c>
      <c r="O2093">
        <v>-5.3801279999999996E-3</v>
      </c>
      <c r="P2093">
        <v>-0.99963950000000001</v>
      </c>
      <c r="Q2093">
        <v>-7.5620000000000001E-3</v>
      </c>
      <c r="R2093">
        <v>-2.5763660000000001E-2</v>
      </c>
      <c r="S2093">
        <v>-3.0041199999999999</v>
      </c>
      <c r="T2093">
        <v>-0.20018920000000001</v>
      </c>
      <c r="U2093">
        <v>0.17456050000000001</v>
      </c>
      <c r="V2093">
        <v>-2.0388920000000001E-2</v>
      </c>
      <c r="W2093">
        <v>6.8819619999999897E-3</v>
      </c>
      <c r="X2093">
        <v>0.9997684</v>
      </c>
      <c r="Y2093">
        <v>6.3228320000000005E-2</v>
      </c>
      <c r="Z2093">
        <v>2.4604850000000001E-3</v>
      </c>
      <c r="AA2093">
        <v>0.99799599999999999</v>
      </c>
      <c r="AB2093">
        <v>32</v>
      </c>
      <c r="AC2093">
        <v>-0.544399999999996</v>
      </c>
      <c r="AD2093">
        <v>-5.7919999999999902E-2</v>
      </c>
      <c r="AE2093">
        <v>5.27000000000157E-2</v>
      </c>
      <c r="AF2093">
        <v>5.5011571707979399E-2</v>
      </c>
      <c r="AG2093">
        <v>-5.7919999999999902E-2</v>
      </c>
      <c r="AH2093">
        <v>0.53807445780653995</v>
      </c>
      <c r="AI2093">
        <v>96.112220159739906</v>
      </c>
      <c r="AJ2093">
        <v>84.162485751823993</v>
      </c>
      <c r="AK2093">
        <v>0.543971618345649</v>
      </c>
      <c r="AL2093">
        <v>89.605689494910806</v>
      </c>
      <c r="AM2093">
        <v>91.168307733706598</v>
      </c>
      <c r="AN2093">
        <v>0.99999996154914705</v>
      </c>
    </row>
    <row r="2094" spans="1:40" x14ac:dyDescent="0.3">
      <c r="A2094" t="str">
        <f>"20200111160447101"</f>
        <v>20200111160447101</v>
      </c>
      <c r="B2094" t="str">
        <f>"1578729887092490"</f>
        <v>1578729887092490</v>
      </c>
      <c r="C2094" t="s">
        <v>40</v>
      </c>
      <c r="D2094">
        <v>5.080819</v>
      </c>
      <c r="E2094">
        <v>0.53358859999999997</v>
      </c>
      <c r="F2094" t="s">
        <v>42</v>
      </c>
      <c r="G2094">
        <v>-411.64670000000001</v>
      </c>
      <c r="H2094">
        <v>1.0527949999999999</v>
      </c>
      <c r="I2094">
        <v>285.07330000000002</v>
      </c>
      <c r="J2094">
        <v>-411.1404</v>
      </c>
      <c r="K2094">
        <v>1.110603</v>
      </c>
      <c r="L2094">
        <v>285.02100000000002</v>
      </c>
      <c r="M2094">
        <v>-0.99987959999999998</v>
      </c>
      <c r="N2094">
        <v>0</v>
      </c>
      <c r="O2094">
        <v>-5.6810019999999897E-3</v>
      </c>
      <c r="P2094">
        <v>-0.99964209999999998</v>
      </c>
      <c r="Q2094">
        <v>-8.0650369999999902E-3</v>
      </c>
      <c r="R2094">
        <v>-2.5514789999999999E-2</v>
      </c>
      <c r="S2094">
        <v>-3.0041199999999999</v>
      </c>
      <c r="T2094">
        <v>-0.207344</v>
      </c>
      <c r="U2094">
        <v>0.17916869999999999</v>
      </c>
      <c r="V2094">
        <v>-1.983884E-2</v>
      </c>
      <c r="W2094">
        <v>6.376049E-3</v>
      </c>
      <c r="X2094">
        <v>0.99978290000000003</v>
      </c>
      <c r="Y2094">
        <v>6.5038109999999996E-2</v>
      </c>
      <c r="Z2094">
        <v>2.6311580000000002E-3</v>
      </c>
      <c r="AA2094">
        <v>0.99787930000000002</v>
      </c>
      <c r="AB2094">
        <v>32</v>
      </c>
      <c r="AC2094">
        <v>-0.50630000000000996</v>
      </c>
      <c r="AD2094">
        <v>-5.7807999999999797E-2</v>
      </c>
      <c r="AE2094">
        <v>5.2300000000059299E-2</v>
      </c>
      <c r="AF2094">
        <v>5.44731075777658E-2</v>
      </c>
      <c r="AG2094">
        <v>-5.7807999999999797E-2</v>
      </c>
      <c r="AH2094">
        <v>0.49955105517287701</v>
      </c>
      <c r="AI2094">
        <v>96.562344548103496</v>
      </c>
      <c r="AJ2094">
        <v>83.776819968860295</v>
      </c>
      <c r="AK2094">
        <v>0.50582639416850705</v>
      </c>
      <c r="AL2094">
        <v>89.634676841736805</v>
      </c>
      <c r="AM2094">
        <v>91.136779442804695</v>
      </c>
      <c r="AN2094">
        <v>1.0000000403528999</v>
      </c>
    </row>
    <row r="2095" spans="1:40" x14ac:dyDescent="0.3">
      <c r="A2095" t="str">
        <f>"20200111160447122"</f>
        <v>20200111160447122</v>
      </c>
      <c r="B2095" t="str">
        <f>"1578729887112986"</f>
        <v>1578729887112986</v>
      </c>
      <c r="C2095" t="s">
        <v>40</v>
      </c>
      <c r="D2095">
        <v>5.1528999999999998</v>
      </c>
      <c r="E2095">
        <v>0.53398540000000005</v>
      </c>
      <c r="F2095" t="s">
        <v>61</v>
      </c>
      <c r="G2095">
        <v>-426.6859</v>
      </c>
      <c r="H2095" s="1">
        <v>2.660448E-6</v>
      </c>
      <c r="I2095">
        <v>285.96820000000002</v>
      </c>
      <c r="J2095">
        <v>-411.45569999999998</v>
      </c>
      <c r="K2095">
        <v>1.1105959999999999</v>
      </c>
      <c r="L2095">
        <v>285.01889999999997</v>
      </c>
      <c r="M2095">
        <v>-0.99987789999999999</v>
      </c>
      <c r="N2095">
        <v>0</v>
      </c>
      <c r="O2095">
        <v>-5.9601609999999899E-3</v>
      </c>
      <c r="P2095">
        <v>-0.99963900000000006</v>
      </c>
      <c r="Q2095">
        <v>-8.4498260000000006E-3</v>
      </c>
      <c r="R2095">
        <v>-2.5514149999999999E-2</v>
      </c>
      <c r="S2095">
        <v>-3.004089</v>
      </c>
      <c r="T2095">
        <v>-0.21461849999999999</v>
      </c>
      <c r="U2095">
        <v>0.1830444</v>
      </c>
      <c r="V2095">
        <v>-1.955809E-2</v>
      </c>
      <c r="W2095">
        <v>5.9883870000000004E-3</v>
      </c>
      <c r="X2095">
        <v>0.99979079999999998</v>
      </c>
      <c r="Y2095">
        <v>6.6583390000000006E-2</v>
      </c>
      <c r="Z2095">
        <v>2.7981429999999999E-3</v>
      </c>
      <c r="AA2095">
        <v>0.99777689999999997</v>
      </c>
      <c r="AB2095">
        <v>32</v>
      </c>
      <c r="AC2095">
        <v>-15.2302</v>
      </c>
      <c r="AD2095">
        <v>-1.110593339552</v>
      </c>
      <c r="AE2095">
        <v>0.94930000000004999</v>
      </c>
      <c r="AF2095">
        <v>1.0345870334713101</v>
      </c>
      <c r="AG2095">
        <v>-1.110593339552</v>
      </c>
      <c r="AH2095">
        <v>15.1440555703737</v>
      </c>
      <c r="AI2095">
        <v>94.184574078986799</v>
      </c>
      <c r="AJ2095">
        <v>86.091832260158895</v>
      </c>
      <c r="AK2095">
        <v>15.219927956933599</v>
      </c>
      <c r="AL2095">
        <v>89.656888652100605</v>
      </c>
      <c r="AM2095">
        <v>91.120687550137703</v>
      </c>
      <c r="AN2095">
        <v>1.00000001171397</v>
      </c>
    </row>
    <row r="2096" spans="1:40" x14ac:dyDescent="0.3">
      <c r="A2096" t="str">
        <f>"20200111160447145"</f>
        <v>20200111160447145</v>
      </c>
      <c r="B2096" t="str">
        <f>"1578729887132506"</f>
        <v>1578729887132506</v>
      </c>
      <c r="C2096" t="s">
        <v>40</v>
      </c>
      <c r="D2096">
        <v>5.1705319999999997</v>
      </c>
      <c r="E2096">
        <v>0.53405829999999999</v>
      </c>
      <c r="F2096" t="s">
        <v>61</v>
      </c>
      <c r="G2096">
        <v>-426.55509999999998</v>
      </c>
      <c r="H2096" s="1">
        <v>2.6849299999999999E-6</v>
      </c>
      <c r="I2096">
        <v>285.95370000000003</v>
      </c>
      <c r="J2096">
        <v>-411.77179999999998</v>
      </c>
      <c r="K2096">
        <v>1.1105830000000001</v>
      </c>
      <c r="L2096">
        <v>285.01670000000001</v>
      </c>
      <c r="M2096">
        <v>-0.99987630000000005</v>
      </c>
      <c r="N2096">
        <v>0</v>
      </c>
      <c r="O2096">
        <v>-6.2311869999999896E-3</v>
      </c>
      <c r="P2096">
        <v>-0.99963199999999997</v>
      </c>
      <c r="Q2096">
        <v>-8.5142459999999996E-3</v>
      </c>
      <c r="R2096">
        <v>-2.5755710000000001E-2</v>
      </c>
      <c r="S2096">
        <v>-3.0039669999999998</v>
      </c>
      <c r="T2096">
        <v>-0.2209488</v>
      </c>
      <c r="U2096">
        <v>0.1859741</v>
      </c>
      <c r="V2096">
        <v>-1.9529020000000001E-2</v>
      </c>
      <c r="W2096">
        <v>5.9211560000000003E-3</v>
      </c>
      <c r="X2096">
        <v>0.99979169999999995</v>
      </c>
      <c r="Y2096">
        <v>6.7810670000000003E-2</v>
      </c>
      <c r="Z2096">
        <v>2.945413E-3</v>
      </c>
      <c r="AA2096">
        <v>0.99769379999999996</v>
      </c>
      <c r="AB2096">
        <v>32</v>
      </c>
      <c r="AC2096">
        <v>-14.783299999999899</v>
      </c>
      <c r="AD2096">
        <v>-1.11058031507</v>
      </c>
      <c r="AE2096">
        <v>0.93700000000001105</v>
      </c>
      <c r="AF2096">
        <v>1.02335660053652</v>
      </c>
      <c r="AG2096">
        <v>-1.11058031507</v>
      </c>
      <c r="AH2096">
        <v>14.6945750479313</v>
      </c>
      <c r="AI2096">
        <v>94.311655735038698</v>
      </c>
      <c r="AJ2096">
        <v>86.0162510596505</v>
      </c>
      <c r="AK2096">
        <v>14.77197289489</v>
      </c>
      <c r="AL2096">
        <v>89.660740749610795</v>
      </c>
      <c r="AM2096">
        <v>91.119021242568294</v>
      </c>
      <c r="AN2096">
        <v>0.99999994304971096</v>
      </c>
    </row>
    <row r="2097" spans="1:40" x14ac:dyDescent="0.3">
      <c r="A2097" t="str">
        <f>"20200111160447167"</f>
        <v>20200111160447167</v>
      </c>
      <c r="B2097" t="str">
        <f>"1578729887162762"</f>
        <v>1578729887162762</v>
      </c>
      <c r="C2097" t="s">
        <v>40</v>
      </c>
      <c r="D2097">
        <v>5.1390799999999999</v>
      </c>
      <c r="E2097">
        <v>0.53429559999999998</v>
      </c>
      <c r="F2097" t="s">
        <v>42</v>
      </c>
      <c r="G2097">
        <v>-412.77760000000001</v>
      </c>
      <c r="H2097">
        <v>1.035204</v>
      </c>
      <c r="I2097">
        <v>285.07889999999998</v>
      </c>
      <c r="J2097">
        <v>-412.09469999999999</v>
      </c>
      <c r="K2097">
        <v>1.1105750000000001</v>
      </c>
      <c r="L2097">
        <v>285.01440000000002</v>
      </c>
      <c r="M2097">
        <v>-0.99987459999999995</v>
      </c>
      <c r="N2097">
        <v>0</v>
      </c>
      <c r="O2097">
        <v>-6.4987489999999998E-3</v>
      </c>
      <c r="P2097">
        <v>-0.99961140000000004</v>
      </c>
      <c r="Q2097">
        <v>-8.1376859999999999E-3</v>
      </c>
      <c r="R2097">
        <v>-2.6665899999999999E-2</v>
      </c>
      <c r="S2097">
        <v>-3.0039669999999998</v>
      </c>
      <c r="T2097">
        <v>-0.22507240000000001</v>
      </c>
      <c r="U2097">
        <v>0.1855774</v>
      </c>
      <c r="V2097">
        <v>-2.017161E-2</v>
      </c>
      <c r="W2097">
        <v>6.2940339999999996E-3</v>
      </c>
      <c r="X2097">
        <v>0.99977669999999996</v>
      </c>
      <c r="Y2097">
        <v>6.7937789999999998E-2</v>
      </c>
      <c r="Z2097">
        <v>3.0249980000000001E-3</v>
      </c>
      <c r="AA2097">
        <v>0.99768500000000004</v>
      </c>
      <c r="AB2097">
        <v>32</v>
      </c>
      <c r="AC2097">
        <v>-0.68290000000001705</v>
      </c>
      <c r="AD2097">
        <v>-7.5370999999999994E-2</v>
      </c>
      <c r="AE2097">
        <v>6.4499999999952706E-2</v>
      </c>
      <c r="AF2097">
        <v>6.8114705624204394E-2</v>
      </c>
      <c r="AG2097">
        <v>-7.5370999999999994E-2</v>
      </c>
      <c r="AH2097">
        <v>0.67432482629689705</v>
      </c>
      <c r="AI2097">
        <v>96.3455983918942</v>
      </c>
      <c r="AJ2097">
        <v>84.232019691413399</v>
      </c>
      <c r="AK2097">
        <v>0.68193428724739502</v>
      </c>
      <c r="AL2097">
        <v>89.639376027180603</v>
      </c>
      <c r="AM2097">
        <v>91.155849432823899</v>
      </c>
      <c r="AN2097">
        <v>0.99999997928843698</v>
      </c>
    </row>
    <row r="2098" spans="1:40" x14ac:dyDescent="0.3">
      <c r="A2098" t="str">
        <f>"20200111160447189"</f>
        <v>20200111160447189</v>
      </c>
      <c r="B2098" t="str">
        <f>"1578729887183258"</f>
        <v>1578729887183258</v>
      </c>
      <c r="C2098" t="s">
        <v>40</v>
      </c>
      <c r="D2098">
        <v>5.4924559999999998</v>
      </c>
      <c r="E2098">
        <v>0.53431019999999996</v>
      </c>
      <c r="F2098" t="s">
        <v>42</v>
      </c>
      <c r="G2098">
        <v>-413.06630000000001</v>
      </c>
      <c r="H2098">
        <v>1.0369870000000001</v>
      </c>
      <c r="I2098">
        <v>285.07440000000003</v>
      </c>
      <c r="J2098">
        <v>-412.4221</v>
      </c>
      <c r="K2098">
        <v>1.1105659999999999</v>
      </c>
      <c r="L2098">
        <v>285.012</v>
      </c>
      <c r="M2098">
        <v>-0.99987289999999995</v>
      </c>
      <c r="N2098">
        <v>0</v>
      </c>
      <c r="O2098">
        <v>-6.7625059999999997E-3</v>
      </c>
      <c r="P2098">
        <v>-0.99960709999999997</v>
      </c>
      <c r="Q2098">
        <v>-8.3815869999999994E-3</v>
      </c>
      <c r="R2098">
        <v>-2.6750409999999999E-2</v>
      </c>
      <c r="S2098">
        <v>-3.004181</v>
      </c>
      <c r="T2098">
        <v>-0.22775390000000001</v>
      </c>
      <c r="U2098">
        <v>0.1842346</v>
      </c>
      <c r="V2098">
        <v>-1.9992389999999999E-2</v>
      </c>
      <c r="W2098">
        <v>6.0470369999999999E-3</v>
      </c>
      <c r="X2098">
        <v>0.99978180000000005</v>
      </c>
      <c r="Y2098">
        <v>6.7747169999999995E-2</v>
      </c>
      <c r="Z2098">
        <v>3.0735039999999999E-3</v>
      </c>
      <c r="AA2098">
        <v>0.99769779999999997</v>
      </c>
      <c r="AB2098">
        <v>32</v>
      </c>
      <c r="AC2098">
        <v>-0.64420000000001199</v>
      </c>
      <c r="AD2098">
        <v>-7.3578999999999797E-2</v>
      </c>
      <c r="AE2098">
        <v>6.2400000000025102E-2</v>
      </c>
      <c r="AF2098">
        <v>6.5903667840885902E-2</v>
      </c>
      <c r="AG2098">
        <v>-7.3578999999999797E-2</v>
      </c>
      <c r="AH2098">
        <v>0.63554914944978502</v>
      </c>
      <c r="AI2098">
        <v>96.568953179592199</v>
      </c>
      <c r="AJ2098">
        <v>84.079837096873803</v>
      </c>
      <c r="AK2098">
        <v>0.64317951152242703</v>
      </c>
      <c r="AL2098">
        <v>89.653528174161707</v>
      </c>
      <c r="AM2098">
        <v>91.145576889851895</v>
      </c>
      <c r="AN2098">
        <v>0.99999995496281402</v>
      </c>
    </row>
    <row r="2099" spans="1:40" x14ac:dyDescent="0.3">
      <c r="A2099" t="str">
        <f>"20200111160447210"</f>
        <v>20200111160447210</v>
      </c>
      <c r="B2099" t="str">
        <f>"1578729887203182"</f>
        <v>1578729887203182</v>
      </c>
      <c r="C2099" t="s">
        <v>40</v>
      </c>
      <c r="D2099">
        <v>5.2483559999999896</v>
      </c>
      <c r="E2099">
        <v>0.53450069999999905</v>
      </c>
      <c r="F2099" t="s">
        <v>42</v>
      </c>
      <c r="G2099">
        <v>-413.35449999999997</v>
      </c>
      <c r="H2099">
        <v>1.0387550000000001</v>
      </c>
      <c r="I2099">
        <v>285.0693</v>
      </c>
      <c r="J2099">
        <v>-412.73500000000001</v>
      </c>
      <c r="K2099">
        <v>1.11056</v>
      </c>
      <c r="L2099">
        <v>285.00959999999998</v>
      </c>
      <c r="M2099">
        <v>-0.99987119999999996</v>
      </c>
      <c r="N2099">
        <v>0</v>
      </c>
      <c r="O2099">
        <v>-7.007564E-3</v>
      </c>
      <c r="P2099">
        <v>-0.99958800000000003</v>
      </c>
      <c r="Q2099">
        <v>-8.5272360000000005E-3</v>
      </c>
      <c r="R2099">
        <v>-2.7407540000000001E-2</v>
      </c>
      <c r="S2099">
        <v>-3.0041500000000001</v>
      </c>
      <c r="T2099">
        <v>-0.23141919999999999</v>
      </c>
      <c r="U2099">
        <v>0.18405150000000001</v>
      </c>
      <c r="V2099">
        <v>-2.04043E-2</v>
      </c>
      <c r="W2099">
        <v>5.8982669999999996E-3</v>
      </c>
      <c r="X2099">
        <v>0.99977439999999995</v>
      </c>
      <c r="Y2099">
        <v>6.7923590000000006E-2</v>
      </c>
      <c r="Z2099">
        <v>3.148475E-3</v>
      </c>
      <c r="AA2099">
        <v>0.99768559999999995</v>
      </c>
      <c r="AB2099">
        <v>32</v>
      </c>
      <c r="AC2099">
        <v>-0.61949999999995897</v>
      </c>
      <c r="AD2099">
        <v>-7.1805000000000105E-2</v>
      </c>
      <c r="AE2099">
        <v>5.9700000000020702E-2</v>
      </c>
      <c r="AF2099">
        <v>6.3198928556332301E-2</v>
      </c>
      <c r="AG2099">
        <v>-7.1805000000000105E-2</v>
      </c>
      <c r="AH2099">
        <v>0.61093421788633795</v>
      </c>
      <c r="AI2099">
        <v>96.668136742252898</v>
      </c>
      <c r="AJ2099">
        <v>84.093966797315304</v>
      </c>
      <c r="AK2099">
        <v>0.61837745849930603</v>
      </c>
      <c r="AL2099">
        <v>89.662052230859601</v>
      </c>
      <c r="AM2099">
        <v>91.169181765458603</v>
      </c>
      <c r="AN2099">
        <v>0.99999998795372602</v>
      </c>
    </row>
    <row r="2100" spans="1:40" x14ac:dyDescent="0.3">
      <c r="A2100" t="str">
        <f>"20200111160447233"</f>
        <v>20200111160447233</v>
      </c>
      <c r="B2100" t="str">
        <f>"1578729887222701"</f>
        <v>1578729887222701</v>
      </c>
      <c r="C2100" t="s">
        <v>40</v>
      </c>
      <c r="D2100">
        <v>5.2266709999999996</v>
      </c>
      <c r="E2100">
        <v>0.53464179999999994</v>
      </c>
      <c r="F2100" t="s">
        <v>42</v>
      </c>
      <c r="G2100">
        <v>-413.64190000000002</v>
      </c>
      <c r="H2100">
        <v>1.0395829999999999</v>
      </c>
      <c r="I2100">
        <v>285.06509999999997</v>
      </c>
      <c r="J2100">
        <v>-413.05549999999999</v>
      </c>
      <c r="K2100">
        <v>1.1105579999999999</v>
      </c>
      <c r="L2100">
        <v>285.00709999999998</v>
      </c>
      <c r="M2100">
        <v>-0.99986960000000003</v>
      </c>
      <c r="N2100">
        <v>0</v>
      </c>
      <c r="O2100">
        <v>-7.2517909999999996E-3</v>
      </c>
      <c r="P2100">
        <v>-0.9995946</v>
      </c>
      <c r="Q2100">
        <v>-7.8775249999999998E-3</v>
      </c>
      <c r="R2100">
        <v>-2.7367860000000001E-2</v>
      </c>
      <c r="S2100">
        <v>-3.0042420000000001</v>
      </c>
      <c r="T2100">
        <v>-0.23509479999999999</v>
      </c>
      <c r="U2100">
        <v>0.18341060000000001</v>
      </c>
      <c r="V2100">
        <v>-2.0120559999999999E-2</v>
      </c>
      <c r="W2100">
        <v>6.544846E-3</v>
      </c>
      <c r="X2100">
        <v>0.99977609999999995</v>
      </c>
      <c r="Y2100">
        <v>6.7945519999999995E-2</v>
      </c>
      <c r="Z2100">
        <v>3.2181800000000002E-3</v>
      </c>
      <c r="AA2100">
        <v>0.99768380000000001</v>
      </c>
      <c r="AB2100">
        <v>32</v>
      </c>
      <c r="AC2100">
        <v>-0.58640000000002601</v>
      </c>
      <c r="AD2100">
        <v>-7.0974999999999996E-2</v>
      </c>
      <c r="AE2100">
        <v>5.7999999999992703E-2</v>
      </c>
      <c r="AF2100">
        <v>6.1361165783170198E-2</v>
      </c>
      <c r="AG2100">
        <v>-7.0974999999999996E-2</v>
      </c>
      <c r="AH2100">
        <v>0.57758457765719895</v>
      </c>
      <c r="AI2100">
        <v>96.966708702794705</v>
      </c>
      <c r="AJ2100">
        <v>83.935783382559407</v>
      </c>
      <c r="AK2100">
        <v>0.58515518252743404</v>
      </c>
      <c r="AL2100">
        <v>89.625005254843003</v>
      </c>
      <c r="AM2100">
        <v>91.152925709163796</v>
      </c>
      <c r="AN2100">
        <v>0.99999996103754196</v>
      </c>
    </row>
    <row r="2101" spans="1:40" x14ac:dyDescent="0.3">
      <c r="A2101" t="str">
        <f>"20200111160447256"</f>
        <v>20200111160447256</v>
      </c>
      <c r="B2101" t="str">
        <f>"1578729887252958"</f>
        <v>1578729887252958</v>
      </c>
      <c r="C2101" t="s">
        <v>40</v>
      </c>
      <c r="D2101">
        <v>5.2215879999999997</v>
      </c>
      <c r="E2101">
        <v>0.53482379999999996</v>
      </c>
      <c r="F2101" t="s">
        <v>42</v>
      </c>
      <c r="G2101">
        <v>-413.93020000000001</v>
      </c>
      <c r="H2101">
        <v>1.042716</v>
      </c>
      <c r="I2101">
        <v>285.06079999999997</v>
      </c>
      <c r="J2101">
        <v>-413.38209999999998</v>
      </c>
      <c r="K2101">
        <v>1.1105609999999999</v>
      </c>
      <c r="L2101">
        <v>285.00450000000001</v>
      </c>
      <c r="M2101">
        <v>-0.99986779999999997</v>
      </c>
      <c r="N2101">
        <v>0</v>
      </c>
      <c r="O2101">
        <v>-7.4931579999999998E-3</v>
      </c>
      <c r="P2101">
        <v>-0.99959249999999999</v>
      </c>
      <c r="Q2101">
        <v>-7.984428E-3</v>
      </c>
      <c r="R2101">
        <v>-2.74059E-2</v>
      </c>
      <c r="S2101">
        <v>-3.0044249999999999</v>
      </c>
      <c r="T2101">
        <v>-0.2328809</v>
      </c>
      <c r="U2101">
        <v>0.18496699999999999</v>
      </c>
      <c r="V2101">
        <v>-1.9917009999999999E-2</v>
      </c>
      <c r="W2101">
        <v>6.4346990000000003E-3</v>
      </c>
      <c r="X2101">
        <v>0.99978100000000003</v>
      </c>
      <c r="Y2101">
        <v>6.8698880000000004E-2</v>
      </c>
      <c r="Z2101">
        <v>3.2355140000000001E-3</v>
      </c>
      <c r="AA2101">
        <v>0.99763219999999997</v>
      </c>
      <c r="AB2101">
        <v>32</v>
      </c>
      <c r="AC2101">
        <v>-0.54810000000003301</v>
      </c>
      <c r="AD2101">
        <v>-6.78450000000001E-2</v>
      </c>
      <c r="AE2101">
        <v>5.6299999999964698E-2</v>
      </c>
      <c r="AF2101">
        <v>5.9503649591047203E-2</v>
      </c>
      <c r="AG2101">
        <v>-6.78450000000001E-2</v>
      </c>
      <c r="AH2101">
        <v>0.53948303396011799</v>
      </c>
      <c r="AI2101">
        <v>97.125085642016103</v>
      </c>
      <c r="AJ2101">
        <v>83.705858283566798</v>
      </c>
      <c r="AK2101">
        <v>0.54697858483716499</v>
      </c>
      <c r="AL2101">
        <v>89.631316386505901</v>
      </c>
      <c r="AM2101">
        <v>91.141259624564</v>
      </c>
      <c r="AN2101">
        <v>1.00000007029977</v>
      </c>
    </row>
    <row r="2102" spans="1:40" x14ac:dyDescent="0.3">
      <c r="A2102" t="str">
        <f>"20200111160447301"</f>
        <v>20200111160447301</v>
      </c>
      <c r="B2102" t="str">
        <f>"1578729887292977"</f>
        <v>1578729887292977</v>
      </c>
      <c r="C2102" t="s">
        <v>40</v>
      </c>
      <c r="D2102">
        <v>5.3301619999999996</v>
      </c>
      <c r="E2102">
        <v>0.48935000000000001</v>
      </c>
      <c r="F2102" t="s">
        <v>42</v>
      </c>
      <c r="G2102">
        <v>-414.21879999999999</v>
      </c>
      <c r="H2102">
        <v>1.0456589999999999</v>
      </c>
      <c r="I2102">
        <v>285.05669999999998</v>
      </c>
      <c r="J2102">
        <v>-414.01830000000001</v>
      </c>
      <c r="K2102">
        <v>1.1105419999999999</v>
      </c>
      <c r="L2102">
        <v>284.9991</v>
      </c>
      <c r="M2102">
        <v>-0.99986450000000004</v>
      </c>
      <c r="N2102">
        <v>0</v>
      </c>
      <c r="O2102">
        <v>-7.9422639999999992E-3</v>
      </c>
      <c r="P2102">
        <v>-0.99960760000000004</v>
      </c>
      <c r="Q2102">
        <v>-7.6932519999999898E-3</v>
      </c>
      <c r="R2102">
        <v>-2.6941280000000001E-2</v>
      </c>
      <c r="S2102">
        <v>-3.0044559999999998</v>
      </c>
      <c r="T2102">
        <v>-0.2332381</v>
      </c>
      <c r="U2102">
        <v>0.18600459999999999</v>
      </c>
      <c r="V2102">
        <v>-1.9003550000000001E-2</v>
      </c>
      <c r="W2102">
        <v>6.7203180000000003E-3</v>
      </c>
      <c r="X2102">
        <v>0.99979680000000004</v>
      </c>
      <c r="Y2102">
        <v>6.9485160000000004E-2</v>
      </c>
      <c r="Z2102">
        <v>3.305625E-3</v>
      </c>
      <c r="AA2102">
        <v>0.99757750000000001</v>
      </c>
      <c r="AB2102">
        <v>32</v>
      </c>
      <c r="AC2102">
        <v>-0.200499999999976</v>
      </c>
      <c r="AD2102">
        <v>-6.4882999999999802E-2</v>
      </c>
      <c r="AE2102">
        <v>5.7599999999979397E-2</v>
      </c>
      <c r="AF2102">
        <v>5.39698851857007E-2</v>
      </c>
      <c r="AG2102">
        <v>-6.4882999999999802E-2</v>
      </c>
      <c r="AH2102">
        <v>0.18239208187050601</v>
      </c>
      <c r="AI2102">
        <v>108.835202289715</v>
      </c>
      <c r="AJ2102">
        <v>73.516494765245099</v>
      </c>
      <c r="AK2102">
        <v>0.20097120123295001</v>
      </c>
      <c r="AL2102">
        <v>89.614951231503994</v>
      </c>
      <c r="AM2102">
        <v>91.088913382406304</v>
      </c>
      <c r="AN2102">
        <v>0.99999996943843095</v>
      </c>
    </row>
    <row r="2103" spans="1:40" x14ac:dyDescent="0.3">
      <c r="A2103" t="str">
        <f>"20200111160447314"</f>
        <v>20200111160447314</v>
      </c>
      <c r="B2103" t="str">
        <f>"1578729887303278"</f>
        <v>1578729887303278</v>
      </c>
      <c r="C2103" t="s">
        <v>40</v>
      </c>
      <c r="D2103">
        <v>5.3576839999999999</v>
      </c>
      <c r="E2103">
        <v>0.47819780000000001</v>
      </c>
      <c r="F2103" t="s">
        <v>61</v>
      </c>
      <c r="G2103">
        <v>-425.30029999999999</v>
      </c>
      <c r="H2103" s="1">
        <v>3.0497569999999999E-6</v>
      </c>
      <c r="I2103">
        <v>284.32639999999998</v>
      </c>
      <c r="J2103">
        <v>-414.21170000000001</v>
      </c>
      <c r="K2103">
        <v>1.110538</v>
      </c>
      <c r="L2103">
        <v>284.9975</v>
      </c>
      <c r="M2103">
        <v>-0.99986339999999996</v>
      </c>
      <c r="N2103">
        <v>0</v>
      </c>
      <c r="O2103">
        <v>-8.0719780000000005E-3</v>
      </c>
      <c r="P2103">
        <v>-0.99959560000000003</v>
      </c>
      <c r="Q2103">
        <v>-7.7088460000000001E-3</v>
      </c>
      <c r="R2103">
        <v>-2.737858E-2</v>
      </c>
      <c r="S2103">
        <v>-2.99411</v>
      </c>
      <c r="T2103">
        <v>-0.29472490000000001</v>
      </c>
      <c r="U2103">
        <v>-0.17852779999999999</v>
      </c>
      <c r="V2103">
        <v>-1.931105E-2</v>
      </c>
      <c r="W2103">
        <v>6.702675E-3</v>
      </c>
      <c r="X2103">
        <v>0.99979110000000004</v>
      </c>
      <c r="Y2103">
        <v>-5.1252260000000001E-2</v>
      </c>
      <c r="Z2103">
        <v>-1.722229E-3</v>
      </c>
      <c r="AA2103">
        <v>0.99868420000000002</v>
      </c>
      <c r="AB2103">
        <v>32</v>
      </c>
      <c r="AC2103">
        <v>-11.0885999999999</v>
      </c>
      <c r="AD2103">
        <v>-1.110534950243</v>
      </c>
      <c r="AE2103">
        <v>-0.67110000000002401</v>
      </c>
      <c r="AF2103">
        <v>-0.57580747956000899</v>
      </c>
      <c r="AG2103">
        <v>-1.110534950243</v>
      </c>
      <c r="AH2103">
        <v>10.983887454819101</v>
      </c>
      <c r="AI2103">
        <v>95.765454434930206</v>
      </c>
      <c r="AJ2103">
        <v>93.000865258804495</v>
      </c>
      <c r="AK2103">
        <v>11.0548914851916</v>
      </c>
      <c r="AL2103">
        <v>89.615962152018895</v>
      </c>
      <c r="AM2103">
        <v>91.106535254651007</v>
      </c>
      <c r="AN2103">
        <v>1.00000004307173</v>
      </c>
    </row>
    <row r="2104" spans="1:40" x14ac:dyDescent="0.3">
      <c r="A2104" t="str">
        <f>"20200111160447329"</f>
        <v>20200111160447329</v>
      </c>
      <c r="B2104" t="str">
        <f>"1578729887322800"</f>
        <v>1578729887322800</v>
      </c>
      <c r="C2104" t="s">
        <v>40</v>
      </c>
      <c r="D2104">
        <v>5.3263699999999998</v>
      </c>
      <c r="E2104">
        <v>0.46945629999999999</v>
      </c>
      <c r="F2104" t="s">
        <v>61</v>
      </c>
      <c r="G2104">
        <v>-426.00299999999999</v>
      </c>
      <c r="H2104" s="1">
        <v>2.9587830000000001E-6</v>
      </c>
      <c r="I2104">
        <v>283.94130000000001</v>
      </c>
      <c r="J2104">
        <v>-414.42250000000001</v>
      </c>
      <c r="K2104">
        <v>1.1105320000000001</v>
      </c>
      <c r="L2104">
        <v>284.99560000000002</v>
      </c>
      <c r="M2104">
        <v>-0.99986240000000004</v>
      </c>
      <c r="N2104">
        <v>0</v>
      </c>
      <c r="O2104">
        <v>-8.2103799999999998E-3</v>
      </c>
      <c r="P2104">
        <v>-0.99959100000000001</v>
      </c>
      <c r="Q2104">
        <v>-7.3080769999999996E-3</v>
      </c>
      <c r="R2104">
        <v>-2.76536E-2</v>
      </c>
      <c r="S2104">
        <v>-2.99173</v>
      </c>
      <c r="T2104">
        <v>-0.28176990000000002</v>
      </c>
      <c r="U2104">
        <v>-0.26797490000000002</v>
      </c>
      <c r="V2104">
        <v>-1.9447820000000001E-2</v>
      </c>
      <c r="W2104">
        <v>7.1008240000000004E-3</v>
      </c>
      <c r="X2104">
        <v>0.9997857</v>
      </c>
      <c r="Y2104">
        <v>-8.0714960000000002E-2</v>
      </c>
      <c r="Z2104">
        <v>-3.0150250000000002E-3</v>
      </c>
      <c r="AA2104">
        <v>0.99673270000000003</v>
      </c>
      <c r="AB2104">
        <v>32</v>
      </c>
      <c r="AC2104">
        <v>-11.580500000000001</v>
      </c>
      <c r="AD2104">
        <v>-1.1105290412169999</v>
      </c>
      <c r="AE2104">
        <v>-1.05430000000001</v>
      </c>
      <c r="AF2104">
        <v>-0.95050515438891003</v>
      </c>
      <c r="AG2104">
        <v>-1.1105290412169999</v>
      </c>
      <c r="AH2104">
        <v>11.4840262036222</v>
      </c>
      <c r="AI2104">
        <v>95.504739122769905</v>
      </c>
      <c r="AJ2104">
        <v>94.731448942149299</v>
      </c>
      <c r="AK2104">
        <v>11.5766831452445</v>
      </c>
      <c r="AL2104">
        <v>89.593149352027098</v>
      </c>
      <c r="AM2104">
        <v>91.114376309352707</v>
      </c>
      <c r="AN2104">
        <v>1.0000000426643501</v>
      </c>
    </row>
    <row r="2105" spans="1:40" x14ac:dyDescent="0.3">
      <c r="A2105" t="str">
        <f>"20200111160447343"</f>
        <v>20200111160447343</v>
      </c>
      <c r="B2105" t="str">
        <f>"1578729887332558"</f>
        <v>1578729887332558</v>
      </c>
      <c r="C2105" t="s">
        <v>40</v>
      </c>
      <c r="D2105">
        <v>5.323785</v>
      </c>
      <c r="E2105">
        <v>0.46739429999999998</v>
      </c>
      <c r="F2105" t="s">
        <v>61</v>
      </c>
      <c r="G2105">
        <v>-426.22340000000003</v>
      </c>
      <c r="H2105" s="1">
        <v>2.9442640000000002E-6</v>
      </c>
      <c r="I2105">
        <v>283.6601</v>
      </c>
      <c r="J2105">
        <v>-414.62759999999997</v>
      </c>
      <c r="K2105">
        <v>1.1105309999999999</v>
      </c>
      <c r="L2105">
        <v>284.99380000000002</v>
      </c>
      <c r="M2105">
        <v>-0.99986129999999995</v>
      </c>
      <c r="N2105">
        <v>0</v>
      </c>
      <c r="O2105">
        <v>-8.3418669999999993E-3</v>
      </c>
      <c r="P2105">
        <v>-0.99958159999999896</v>
      </c>
      <c r="Q2105">
        <v>-7.45876099999999E-3</v>
      </c>
      <c r="R2105">
        <v>-2.794632E-2</v>
      </c>
      <c r="S2105">
        <v>-2.9898069999999999</v>
      </c>
      <c r="T2105">
        <v>-0.2813563</v>
      </c>
      <c r="U2105">
        <v>-0.33834839999999999</v>
      </c>
      <c r="V2105">
        <v>-1.9609459999999999E-2</v>
      </c>
      <c r="W2105">
        <v>6.9487169999999897E-3</v>
      </c>
      <c r="X2105">
        <v>0.99978359999999999</v>
      </c>
      <c r="Y2105">
        <v>-0.10373979999999999</v>
      </c>
      <c r="Z2105">
        <v>-4.0742820000000003E-3</v>
      </c>
      <c r="AA2105">
        <v>0.99459609999999998</v>
      </c>
      <c r="AB2105">
        <v>32</v>
      </c>
      <c r="AC2105">
        <v>-11.595800000000001</v>
      </c>
      <c r="AD2105">
        <v>-1.110528055736</v>
      </c>
      <c r="AE2105">
        <v>-1.3337000000000201</v>
      </c>
      <c r="AF2105">
        <v>-1.2258166760503499</v>
      </c>
      <c r="AG2105">
        <v>-1.110528055736</v>
      </c>
      <c r="AH2105">
        <v>11.5024020608427</v>
      </c>
      <c r="AI2105">
        <v>95.483809528232399</v>
      </c>
      <c r="AJ2105">
        <v>96.083079831304801</v>
      </c>
      <c r="AK2105">
        <v>11.620720814783301</v>
      </c>
      <c r="AL2105">
        <v>89.601864651278703</v>
      </c>
      <c r="AM2105">
        <v>91.123638410913003</v>
      </c>
      <c r="AN2105">
        <v>1.0000000312091899</v>
      </c>
    </row>
    <row r="2106" spans="1:40" x14ac:dyDescent="0.3">
      <c r="A2106" t="str">
        <f>"20200111160447356"</f>
        <v>20200111160447356</v>
      </c>
      <c r="B2106" t="str">
        <f>"1578729887353054"</f>
        <v>1578729887353054</v>
      </c>
      <c r="C2106" t="s">
        <v>40</v>
      </c>
      <c r="D2106">
        <v>5.3557980000000001</v>
      </c>
      <c r="E2106">
        <v>0.46441569999999999</v>
      </c>
      <c r="F2106" t="s">
        <v>61</v>
      </c>
      <c r="G2106">
        <v>-426.24270000000001</v>
      </c>
      <c r="H2106" s="1">
        <v>2.9451590000000001E-6</v>
      </c>
      <c r="I2106">
        <v>283.61070000000001</v>
      </c>
      <c r="J2106">
        <v>-414.81389999999999</v>
      </c>
      <c r="K2106">
        <v>1.110525</v>
      </c>
      <c r="L2106">
        <v>284.99220000000003</v>
      </c>
      <c r="M2106">
        <v>-0.99986050000000004</v>
      </c>
      <c r="N2106">
        <v>0</v>
      </c>
      <c r="O2106">
        <v>-8.4557150000000008E-3</v>
      </c>
      <c r="P2106">
        <v>-0.9995655</v>
      </c>
      <c r="Q2106">
        <v>-7.7210739999999996E-3</v>
      </c>
      <c r="R2106">
        <v>-2.8450670000000001E-2</v>
      </c>
      <c r="S2106">
        <v>-2.9891359999999998</v>
      </c>
      <c r="T2106">
        <v>-0.28579320000000002</v>
      </c>
      <c r="U2106">
        <v>-0.35592649999999998</v>
      </c>
      <c r="V2106">
        <v>-1.999946E-2</v>
      </c>
      <c r="W2106">
        <v>6.6840789999999999E-3</v>
      </c>
      <c r="X2106">
        <v>0.99977769999999999</v>
      </c>
      <c r="Y2106">
        <v>-0.10938290000000001</v>
      </c>
      <c r="Z2106">
        <v>-4.3951770000000001E-3</v>
      </c>
      <c r="AA2106">
        <v>0.99398989999999998</v>
      </c>
      <c r="AB2106">
        <v>32</v>
      </c>
      <c r="AC2106">
        <v>-11.428800000000001</v>
      </c>
      <c r="AD2106">
        <v>-1.110522054841</v>
      </c>
      <c r="AE2106">
        <v>-1.3815000000000099</v>
      </c>
      <c r="AF2106">
        <v>-1.2729560367786401</v>
      </c>
      <c r="AG2106">
        <v>-1.110522054841</v>
      </c>
      <c r="AH2106">
        <v>11.3345967386886</v>
      </c>
      <c r="AI2106">
        <v>95.561030608453194</v>
      </c>
      <c r="AJ2106">
        <v>96.4078740078875</v>
      </c>
      <c r="AK2106">
        <v>11.459788808461999</v>
      </c>
      <c r="AL2106">
        <v>89.617027651715901</v>
      </c>
      <c r="AM2106">
        <v>91.145986595730506</v>
      </c>
      <c r="AN2106">
        <v>1.00000005236482</v>
      </c>
    </row>
    <row r="2107" spans="1:40" x14ac:dyDescent="0.3">
      <c r="A2107" t="str">
        <f>"20200111160447370"</f>
        <v>20200111160447370</v>
      </c>
      <c r="B2107" t="str">
        <f>"1578729887362814"</f>
        <v>1578729887362814</v>
      </c>
      <c r="C2107" t="s">
        <v>40</v>
      </c>
      <c r="D2107">
        <v>5.3279940000000003</v>
      </c>
      <c r="E2107">
        <v>0.4638004</v>
      </c>
      <c r="F2107" t="s">
        <v>61</v>
      </c>
      <c r="G2107">
        <v>-426.49930000000001</v>
      </c>
      <c r="H2107" s="1">
        <v>2.9091580000000001E-6</v>
      </c>
      <c r="I2107">
        <v>283.50189999999998</v>
      </c>
      <c r="J2107">
        <v>-415.01600000000002</v>
      </c>
      <c r="K2107">
        <v>1.110519</v>
      </c>
      <c r="L2107">
        <v>284.99029999999999</v>
      </c>
      <c r="M2107">
        <v>-0.99985939999999995</v>
      </c>
      <c r="N2107">
        <v>0</v>
      </c>
      <c r="O2107">
        <v>-8.5746709999999903E-3</v>
      </c>
      <c r="P2107">
        <v>-0.99954430000000005</v>
      </c>
      <c r="Q2107">
        <v>-7.7607179999999998E-3</v>
      </c>
      <c r="R2107">
        <v>-2.917554E-2</v>
      </c>
      <c r="S2107">
        <v>-2.988251</v>
      </c>
      <c r="T2107">
        <v>-0.2839872</v>
      </c>
      <c r="U2107">
        <v>-0.38110349999999998</v>
      </c>
      <c r="V2107">
        <v>-2.0604910000000001E-2</v>
      </c>
      <c r="W2107">
        <v>6.6421190000000001E-3</v>
      </c>
      <c r="X2107">
        <v>0.99976560000000003</v>
      </c>
      <c r="Y2107">
        <v>-0.1175151</v>
      </c>
      <c r="Z2107">
        <v>-4.7393579999999999E-3</v>
      </c>
      <c r="AA2107">
        <v>0.99305980000000005</v>
      </c>
      <c r="AB2107">
        <v>32</v>
      </c>
      <c r="AC2107">
        <v>-11.4833</v>
      </c>
      <c r="AD2107">
        <v>-1.110516090842</v>
      </c>
      <c r="AE2107">
        <v>-1.4884000000000099</v>
      </c>
      <c r="AF2107">
        <v>-1.37720238570047</v>
      </c>
      <c r="AG2107">
        <v>-1.110516090842</v>
      </c>
      <c r="AH2107">
        <v>11.390871419214699</v>
      </c>
      <c r="AI2107">
        <v>95.528262564109099</v>
      </c>
      <c r="AJ2107">
        <v>96.893830376583495</v>
      </c>
      <c r="AK2107">
        <v>11.527440482964099</v>
      </c>
      <c r="AL2107">
        <v>89.6194318035718</v>
      </c>
      <c r="AM2107">
        <v>91.180684021018394</v>
      </c>
      <c r="AN2107">
        <v>0.99999996750213804</v>
      </c>
    </row>
    <row r="2108" spans="1:40" x14ac:dyDescent="0.3">
      <c r="A2108" t="str">
        <f>"20200111160447391"</f>
        <v>20200111160447391</v>
      </c>
      <c r="B2108" t="str">
        <f>"1578729887383310"</f>
        <v>1578729887383310</v>
      </c>
      <c r="C2108" t="s">
        <v>40</v>
      </c>
      <c r="D2108">
        <v>5.3176620000000003</v>
      </c>
      <c r="E2108">
        <v>0.46264169999999999</v>
      </c>
      <c r="F2108" t="s">
        <v>61</v>
      </c>
      <c r="G2108">
        <v>-426.73379999999997</v>
      </c>
      <c r="H2108" s="1">
        <v>2.8704550000000001E-6</v>
      </c>
      <c r="I2108">
        <v>283.46890000000002</v>
      </c>
      <c r="J2108">
        <v>-415.29640000000001</v>
      </c>
      <c r="K2108">
        <v>1.110509</v>
      </c>
      <c r="L2108">
        <v>284.98770000000002</v>
      </c>
      <c r="M2108">
        <v>-0.99985800000000002</v>
      </c>
      <c r="N2108">
        <v>0</v>
      </c>
      <c r="O2108">
        <v>-8.7299130000000006E-3</v>
      </c>
      <c r="P2108">
        <v>-0.99952099999999999</v>
      </c>
      <c r="Q2108">
        <v>-7.9889169999999999E-3</v>
      </c>
      <c r="R2108">
        <v>-2.9895959999999999E-2</v>
      </c>
      <c r="S2108">
        <v>-2.9878230000000001</v>
      </c>
      <c r="T2108">
        <v>-0.283161</v>
      </c>
      <c r="U2108">
        <v>-0.38793949999999999</v>
      </c>
      <c r="V2108">
        <v>-2.1170810000000002E-2</v>
      </c>
      <c r="W2108">
        <v>6.4108569999999998E-3</v>
      </c>
      <c r="X2108">
        <v>0.99975530000000001</v>
      </c>
      <c r="Y2108">
        <v>-0.1196078</v>
      </c>
      <c r="Z2108">
        <v>-4.809537E-3</v>
      </c>
      <c r="AA2108">
        <v>0.99280959999999996</v>
      </c>
      <c r="AB2108">
        <v>32</v>
      </c>
      <c r="AC2108">
        <v>-11.437399999999901</v>
      </c>
      <c r="AD2108">
        <v>-1.1105061295450001</v>
      </c>
      <c r="AE2108">
        <v>-1.5187999999999899</v>
      </c>
      <c r="AF2108">
        <v>-1.40586042323338</v>
      </c>
      <c r="AG2108">
        <v>-1.1105061295450001</v>
      </c>
      <c r="AH2108">
        <v>11.345123885854401</v>
      </c>
      <c r="AI2108">
        <v>95.5483617681206</v>
      </c>
      <c r="AJ2108">
        <v>97.063944892053399</v>
      </c>
      <c r="AK2108">
        <v>11.4857086581001</v>
      </c>
      <c r="AL2108">
        <v>89.632682427789902</v>
      </c>
      <c r="AM2108">
        <v>91.213113647623999</v>
      </c>
      <c r="AN2108">
        <v>0.99999998108081001</v>
      </c>
    </row>
    <row r="2109" spans="1:40" x14ac:dyDescent="0.3">
      <c r="A2109" t="str">
        <f>"20200111160447405"</f>
        <v>20200111160447405</v>
      </c>
      <c r="B2109" t="str">
        <f>"1578729887402831"</f>
        <v>1578729887402831</v>
      </c>
      <c r="C2109" t="s">
        <v>40</v>
      </c>
      <c r="D2109">
        <v>5.3778519999999999</v>
      </c>
      <c r="E2109">
        <v>0.46151789999999998</v>
      </c>
      <c r="F2109" t="s">
        <v>61</v>
      </c>
      <c r="G2109">
        <v>-427.04790000000003</v>
      </c>
      <c r="H2109" s="1">
        <v>2.8193010000000001E-6</v>
      </c>
      <c r="I2109">
        <v>283.41660000000002</v>
      </c>
      <c r="J2109">
        <v>-415.50459999999998</v>
      </c>
      <c r="K2109">
        <v>1.1104989999999999</v>
      </c>
      <c r="L2109">
        <v>284.98579999999998</v>
      </c>
      <c r="M2109">
        <v>-0.99985710000000005</v>
      </c>
      <c r="N2109">
        <v>0</v>
      </c>
      <c r="O2109">
        <v>-8.8381029999999999E-3</v>
      </c>
      <c r="P2109">
        <v>-0.99950519999999998</v>
      </c>
      <c r="Q2109">
        <v>-8.0050250000000007E-3</v>
      </c>
      <c r="R2109">
        <v>-3.042415E-2</v>
      </c>
      <c r="S2109">
        <v>-2.987244</v>
      </c>
      <c r="T2109">
        <v>-0.28229029999999999</v>
      </c>
      <c r="U2109">
        <v>-0.3993835</v>
      </c>
      <c r="V2109">
        <v>-2.1590330000000001E-2</v>
      </c>
      <c r="W2109">
        <v>6.3927389999999997E-3</v>
      </c>
      <c r="X2109">
        <v>0.99974640000000004</v>
      </c>
      <c r="Y2109">
        <v>-0.1232504</v>
      </c>
      <c r="Z2109">
        <v>-4.9553619999999996E-3</v>
      </c>
      <c r="AA2109">
        <v>0.9923632</v>
      </c>
      <c r="AB2109">
        <v>32</v>
      </c>
      <c r="AC2109">
        <v>-11.5433</v>
      </c>
      <c r="AD2109">
        <v>-1.1104961806989999</v>
      </c>
      <c r="AE2109">
        <v>-1.56919999999996</v>
      </c>
      <c r="AF2109">
        <v>-1.4538956428019001</v>
      </c>
      <c r="AG2109">
        <v>-1.1104961806989999</v>
      </c>
      <c r="AH2109">
        <v>11.452648738139301</v>
      </c>
      <c r="AI2109">
        <v>95.494497494585701</v>
      </c>
      <c r="AJ2109">
        <v>97.234908528281593</v>
      </c>
      <c r="AK2109">
        <v>11.597852276465201</v>
      </c>
      <c r="AL2109">
        <v>89.633720517827896</v>
      </c>
      <c r="AM2109">
        <v>91.237156274960597</v>
      </c>
      <c r="AN2109">
        <v>0.99999993688719302</v>
      </c>
    </row>
    <row r="2110" spans="1:40" x14ac:dyDescent="0.3">
      <c r="A2110" t="str">
        <f>"20200111160447424"</f>
        <v>20200111160447424</v>
      </c>
      <c r="B2110" t="str">
        <f>"1578729887412590"</f>
        <v>1578729887412590</v>
      </c>
      <c r="C2110" t="s">
        <v>40</v>
      </c>
      <c r="D2110">
        <v>5.3656769999999998</v>
      </c>
      <c r="E2110">
        <v>0.46115529999999999</v>
      </c>
      <c r="F2110" t="s">
        <v>61</v>
      </c>
      <c r="G2110">
        <v>-427.34309999999999</v>
      </c>
      <c r="H2110" s="1">
        <v>2.7716669999999998E-6</v>
      </c>
      <c r="I2110">
        <v>283.36250000000001</v>
      </c>
      <c r="J2110">
        <v>-415.77159999999998</v>
      </c>
      <c r="K2110">
        <v>1.1104889999999901</v>
      </c>
      <c r="L2110">
        <v>284.98329999999999</v>
      </c>
      <c r="M2110">
        <v>-0.99985619999999997</v>
      </c>
      <c r="N2110">
        <v>0</v>
      </c>
      <c r="O2110">
        <v>-8.9663820000000002E-3</v>
      </c>
      <c r="P2110">
        <v>-0.99947859999999999</v>
      </c>
      <c r="Q2110">
        <v>-8.0032330000000002E-3</v>
      </c>
      <c r="R2110">
        <v>-3.1283890000000002E-2</v>
      </c>
      <c r="S2110">
        <v>-2.9867859999999999</v>
      </c>
      <c r="T2110">
        <v>-0.28017059999999999</v>
      </c>
      <c r="U2110">
        <v>-0.40954590000000002</v>
      </c>
      <c r="V2110">
        <v>-2.2322080000000001E-2</v>
      </c>
      <c r="W2110">
        <v>6.3917840000000002E-3</v>
      </c>
      <c r="X2110">
        <v>0.99973040000000002</v>
      </c>
      <c r="Y2110">
        <v>-0.12645239999999999</v>
      </c>
      <c r="Z2110">
        <v>-5.0551570000000002E-3</v>
      </c>
      <c r="AA2110">
        <v>0.99195979999999995</v>
      </c>
      <c r="AB2110">
        <v>32</v>
      </c>
      <c r="AC2110">
        <v>-11.5715</v>
      </c>
      <c r="AD2110">
        <v>-1.1104862283329999</v>
      </c>
      <c r="AE2110">
        <v>-1.62079999999997</v>
      </c>
      <c r="AF2110">
        <v>-1.50339018712941</v>
      </c>
      <c r="AG2110">
        <v>-1.1104862283329999</v>
      </c>
      <c r="AH2110">
        <v>11.4818588099089</v>
      </c>
      <c r="AI2110">
        <v>95.477801422662793</v>
      </c>
      <c r="AJ2110">
        <v>97.459650855260904</v>
      </c>
      <c r="AK2110">
        <v>11.6329894459145</v>
      </c>
      <c r="AL2110">
        <v>89.633775260053</v>
      </c>
      <c r="AM2110">
        <v>91.279093341617298</v>
      </c>
      <c r="AN2110">
        <v>1.0000000014211901</v>
      </c>
    </row>
    <row r="2111" spans="1:40" x14ac:dyDescent="0.3">
      <c r="A2111" t="str">
        <f>"20200111160447439"</f>
        <v>20200111160447439</v>
      </c>
      <c r="B2111" t="str">
        <f>"1578729887433086"</f>
        <v>1578729887433086</v>
      </c>
      <c r="C2111" t="s">
        <v>40</v>
      </c>
      <c r="D2111">
        <v>5.3739429999999997</v>
      </c>
      <c r="E2111">
        <v>0.46035100000000001</v>
      </c>
      <c r="F2111" t="s">
        <v>61</v>
      </c>
      <c r="G2111">
        <v>-427.59589999999997</v>
      </c>
      <c r="H2111" s="1">
        <v>2.7288180000000001E-6</v>
      </c>
      <c r="I2111">
        <v>283.33969999999999</v>
      </c>
      <c r="J2111">
        <v>-415.99880000000002</v>
      </c>
      <c r="K2111">
        <v>1.1104810000000001</v>
      </c>
      <c r="L2111">
        <v>284.98110000000003</v>
      </c>
      <c r="M2111">
        <v>-0.99985520000000006</v>
      </c>
      <c r="N2111">
        <v>0</v>
      </c>
      <c r="O2111">
        <v>-9.0654789999999996E-3</v>
      </c>
      <c r="P2111">
        <v>-0.99946710000000005</v>
      </c>
      <c r="Q2111">
        <v>-7.8584480000000005E-3</v>
      </c>
      <c r="R2111">
        <v>-3.1682250000000002E-2</v>
      </c>
      <c r="S2111">
        <v>-2.9863279999999999</v>
      </c>
      <c r="T2111">
        <v>-0.28046330000000003</v>
      </c>
      <c r="U2111">
        <v>-0.41510010000000003</v>
      </c>
      <c r="V2111">
        <v>-2.2620950000000001E-2</v>
      </c>
      <c r="W2111">
        <v>6.5343559999999998E-3</v>
      </c>
      <c r="X2111">
        <v>0.99972280000000002</v>
      </c>
      <c r="Y2111">
        <v>-0.1281767</v>
      </c>
      <c r="Z2111">
        <v>-5.1317150000000002E-3</v>
      </c>
      <c r="AA2111">
        <v>0.99173809999999996</v>
      </c>
      <c r="AB2111">
        <v>32</v>
      </c>
      <c r="AC2111">
        <v>-11.5970999999999</v>
      </c>
      <c r="AD2111">
        <v>-1.110478271182</v>
      </c>
      <c r="AE2111">
        <v>-1.6414000000000299</v>
      </c>
      <c r="AF2111">
        <v>-1.5225027147841199</v>
      </c>
      <c r="AG2111">
        <v>-1.110478271182</v>
      </c>
      <c r="AH2111">
        <v>11.508059963225501</v>
      </c>
      <c r="AI2111">
        <v>95.464408809499801</v>
      </c>
      <c r="AJ2111">
        <v>97.536397397525306</v>
      </c>
      <c r="AK2111">
        <v>11.6613301395889</v>
      </c>
      <c r="AL2111">
        <v>89.625606330388905</v>
      </c>
      <c r="AM2111">
        <v>91.296223149865398</v>
      </c>
      <c r="AN2111">
        <v>1.0000000410135299</v>
      </c>
    </row>
    <row r="2112" spans="1:40" x14ac:dyDescent="0.3">
      <c r="A2112" t="str">
        <f>"20200111160447458"</f>
        <v>20200111160447458</v>
      </c>
      <c r="B2112" t="str">
        <f>"1578729887452606"</f>
        <v>1578729887452606</v>
      </c>
      <c r="C2112" t="s">
        <v>40</v>
      </c>
      <c r="D2112">
        <v>5.3888429999999996</v>
      </c>
      <c r="E2112">
        <v>0.459843</v>
      </c>
      <c r="F2112" t="s">
        <v>61</v>
      </c>
      <c r="G2112">
        <v>-427.90129999999999</v>
      </c>
      <c r="H2112" s="1">
        <v>2.6783139999999998E-6</v>
      </c>
      <c r="I2112">
        <v>283.2978</v>
      </c>
      <c r="J2112">
        <v>-416.24869999999999</v>
      </c>
      <c r="K2112">
        <v>1.1104719999999999</v>
      </c>
      <c r="L2112">
        <v>284.9787</v>
      </c>
      <c r="M2112">
        <v>-0.99985440000000003</v>
      </c>
      <c r="N2112">
        <v>0</v>
      </c>
      <c r="O2112">
        <v>-9.1644239999999991E-3</v>
      </c>
      <c r="P2112">
        <v>-0.99945280000000003</v>
      </c>
      <c r="Q2112">
        <v>-7.7276419999999998E-3</v>
      </c>
      <c r="R2112">
        <v>-3.2162799999999998E-2</v>
      </c>
      <c r="S2112">
        <v>-2.985992</v>
      </c>
      <c r="T2112">
        <v>-0.27858820000000001</v>
      </c>
      <c r="U2112">
        <v>-0.42230220000000002</v>
      </c>
      <c r="V2112">
        <v>-2.300278E-2</v>
      </c>
      <c r="W2112">
        <v>6.6626219999999896E-3</v>
      </c>
      <c r="X2112">
        <v>0.99971319999999997</v>
      </c>
      <c r="Y2112">
        <v>-0.1304371</v>
      </c>
      <c r="Z2112">
        <v>-5.1928119999999998E-3</v>
      </c>
      <c r="AA2112">
        <v>0.99144299999999996</v>
      </c>
      <c r="AB2112">
        <v>32</v>
      </c>
      <c r="AC2112">
        <v>-11.6526</v>
      </c>
      <c r="AD2112">
        <v>-1.110469321686</v>
      </c>
      <c r="AE2112">
        <v>-1.6809000000000001</v>
      </c>
      <c r="AF2112">
        <v>-1.5601489708524801</v>
      </c>
      <c r="AG2112">
        <v>-1.110469321686</v>
      </c>
      <c r="AH2112">
        <v>11.5646309353159</v>
      </c>
      <c r="AI2112">
        <v>95.435945377865906</v>
      </c>
      <c r="AJ2112">
        <v>97.683211191271596</v>
      </c>
      <c r="AK2112">
        <v>11.7221113966608</v>
      </c>
      <c r="AL2112">
        <v>89.618257054706703</v>
      </c>
      <c r="AM2112">
        <v>91.318107727972503</v>
      </c>
      <c r="AN2112">
        <v>1.00000000033694</v>
      </c>
    </row>
    <row r="2113" spans="1:40" x14ac:dyDescent="0.3">
      <c r="A2113" t="str">
        <f>"20200111160447479"</f>
        <v>20200111160447479</v>
      </c>
      <c r="B2113" t="str">
        <f>"1578729887473102"</f>
        <v>1578729887473102</v>
      </c>
      <c r="C2113" t="s">
        <v>40</v>
      </c>
      <c r="D2113">
        <v>5.5036459999999998</v>
      </c>
      <c r="E2113">
        <v>0.45951979999999998</v>
      </c>
      <c r="F2113" t="s">
        <v>61</v>
      </c>
      <c r="G2113">
        <v>-428.07819999999998</v>
      </c>
      <c r="H2113" s="1">
        <v>2.648202E-6</v>
      </c>
      <c r="I2113">
        <v>283.28320000000002</v>
      </c>
      <c r="J2113">
        <v>-416.56229999999999</v>
      </c>
      <c r="K2113">
        <v>1.1104540000000001</v>
      </c>
      <c r="L2113">
        <v>284.97570000000002</v>
      </c>
      <c r="M2113">
        <v>-0.9998534</v>
      </c>
      <c r="N2113">
        <v>0</v>
      </c>
      <c r="O2113">
        <v>-9.2706769999999997E-3</v>
      </c>
      <c r="P2113">
        <v>-0.99944189999999999</v>
      </c>
      <c r="Q2113">
        <v>-7.5237899999999998E-3</v>
      </c>
      <c r="R2113">
        <v>-3.2549939999999999E-2</v>
      </c>
      <c r="S2113">
        <v>-2.9857480000000001</v>
      </c>
      <c r="T2113">
        <v>-0.28027839999999998</v>
      </c>
      <c r="U2113">
        <v>-0.427948</v>
      </c>
      <c r="V2113">
        <v>-2.3283519999999999E-2</v>
      </c>
      <c r="W2113">
        <v>6.8638429999999997E-3</v>
      </c>
      <c r="X2113">
        <v>0.99970530000000002</v>
      </c>
      <c r="Y2113">
        <v>-0.13216710000000001</v>
      </c>
      <c r="Z2113">
        <v>-5.2946290000000003E-3</v>
      </c>
      <c r="AA2113">
        <v>0.99121329999999996</v>
      </c>
      <c r="AB2113">
        <v>32</v>
      </c>
      <c r="AC2113">
        <v>-11.515899999999901</v>
      </c>
      <c r="AD2113">
        <v>-1.1104513517979999</v>
      </c>
      <c r="AE2113">
        <v>-1.6924999999999899</v>
      </c>
      <c r="AF2113">
        <v>-1.57135401471861</v>
      </c>
      <c r="AG2113">
        <v>-1.1104513517979999</v>
      </c>
      <c r="AH2113">
        <v>11.427091369341801</v>
      </c>
      <c r="AI2113">
        <v>95.498982706843094</v>
      </c>
      <c r="AJ2113">
        <v>97.829711078137805</v>
      </c>
      <c r="AK2113">
        <v>11.5879537800066</v>
      </c>
      <c r="AL2113">
        <v>89.606727661383999</v>
      </c>
      <c r="AM2113">
        <v>91.334199480832794</v>
      </c>
      <c r="AN2113">
        <v>0.99999996074620301</v>
      </c>
    </row>
    <row r="2114" spans="1:40" x14ac:dyDescent="0.3">
      <c r="A2114" t="str">
        <f>"20200111160447502"</f>
        <v>20200111160447502</v>
      </c>
      <c r="B2114" t="str">
        <f>"1578729887492622"</f>
        <v>1578729887492622</v>
      </c>
      <c r="C2114" t="s">
        <v>40</v>
      </c>
      <c r="D2114">
        <v>5.7127109999999997</v>
      </c>
      <c r="E2114">
        <v>0.45941310000000002</v>
      </c>
      <c r="F2114" t="s">
        <v>61</v>
      </c>
      <c r="G2114">
        <v>-428.39179999999999</v>
      </c>
      <c r="H2114" s="1">
        <v>2.594113E-6</v>
      </c>
      <c r="I2114">
        <v>283.26569999999998</v>
      </c>
      <c r="J2114">
        <v>-416.87079999999997</v>
      </c>
      <c r="K2114">
        <v>1.1104320000000001</v>
      </c>
      <c r="L2114">
        <v>284.97269999999997</v>
      </c>
      <c r="M2114">
        <v>-0.99985270000000004</v>
      </c>
      <c r="N2114">
        <v>0</v>
      </c>
      <c r="O2114">
        <v>-9.3545060000000003E-3</v>
      </c>
      <c r="P2114">
        <v>-0.99945059999999997</v>
      </c>
      <c r="Q2114">
        <v>-7.6367589999999999E-3</v>
      </c>
      <c r="R2114">
        <v>-3.2255850000000003E-2</v>
      </c>
      <c r="S2114">
        <v>-2.9855040000000002</v>
      </c>
      <c r="T2114">
        <v>-0.28025349999999999</v>
      </c>
      <c r="U2114">
        <v>-0.43157960000000001</v>
      </c>
      <c r="V2114">
        <v>-2.290551E-2</v>
      </c>
      <c r="W2114">
        <v>6.7484509999999999E-3</v>
      </c>
      <c r="X2114">
        <v>0.99971489999999996</v>
      </c>
      <c r="Y2114">
        <v>-0.13327229999999901</v>
      </c>
      <c r="Z2114">
        <v>-5.3378189999999997E-3</v>
      </c>
      <c r="AA2114">
        <v>0.99106510000000003</v>
      </c>
      <c r="AB2114">
        <v>32</v>
      </c>
      <c r="AC2114">
        <v>-11.521000000000001</v>
      </c>
      <c r="AD2114">
        <v>-1.1104294058869999</v>
      </c>
      <c r="AE2114">
        <v>-1.7069999999999901</v>
      </c>
      <c r="AF2114">
        <v>-1.5847353983658601</v>
      </c>
      <c r="AG2114">
        <v>-1.1104294058869999</v>
      </c>
      <c r="AH2114">
        <v>11.4325421371286</v>
      </c>
      <c r="AI2114">
        <v>95.495451362383307</v>
      </c>
      <c r="AJ2114">
        <v>97.891833162153503</v>
      </c>
      <c r="AK2114">
        <v>11.5951481001975</v>
      </c>
      <c r="AL2114">
        <v>89.613339321037898</v>
      </c>
      <c r="AM2114">
        <v>91.312533674933405</v>
      </c>
      <c r="AN2114">
        <v>1.0000000426306299</v>
      </c>
    </row>
    <row r="2115" spans="1:40" x14ac:dyDescent="0.3">
      <c r="A2115" t="str">
        <f>"20200111160447517"</f>
        <v>20200111160447517</v>
      </c>
      <c r="B2115" t="str">
        <f>"1578729887513118"</f>
        <v>1578729887513118</v>
      </c>
      <c r="C2115" t="s">
        <v>40</v>
      </c>
      <c r="D2115">
        <v>5.4185530000000002</v>
      </c>
      <c r="E2115">
        <v>0.45909709999999998</v>
      </c>
      <c r="F2115" t="s">
        <v>61</v>
      </c>
      <c r="G2115">
        <v>-428.66969999999998</v>
      </c>
      <c r="H2115" s="1">
        <v>2.5446409999999998E-6</v>
      </c>
      <c r="I2115">
        <v>283.26780000000002</v>
      </c>
      <c r="J2115">
        <v>-417.07139999999998</v>
      </c>
      <c r="K2115">
        <v>1.110417</v>
      </c>
      <c r="L2115">
        <v>284.9708</v>
      </c>
      <c r="M2115">
        <v>-0.99985239999999997</v>
      </c>
      <c r="N2115">
        <v>0</v>
      </c>
      <c r="O2115">
        <v>-9.3961259999999994E-3</v>
      </c>
      <c r="P2115">
        <v>-0.99945660000000003</v>
      </c>
      <c r="Q2115">
        <v>-7.3779989999999997E-3</v>
      </c>
      <c r="R2115">
        <v>-3.2131949999999999E-2</v>
      </c>
      <c r="S2115">
        <v>-2.9855649999999998</v>
      </c>
      <c r="T2115">
        <v>-0.28098230000000002</v>
      </c>
      <c r="U2115">
        <v>-0.431427</v>
      </c>
      <c r="V2115">
        <v>-2.2739100000000002E-2</v>
      </c>
      <c r="W2115">
        <v>7.0059369999999899E-3</v>
      </c>
      <c r="X2115">
        <v>0.99971690000000002</v>
      </c>
      <c r="Y2115">
        <v>-0.1331763</v>
      </c>
      <c r="Z2115">
        <v>-5.3431829999999996E-3</v>
      </c>
      <c r="AA2115">
        <v>0.99107800000000001</v>
      </c>
      <c r="AB2115">
        <v>32</v>
      </c>
      <c r="AC2115">
        <v>-11.598299999999901</v>
      </c>
      <c r="AD2115">
        <v>-1.1104144553590001</v>
      </c>
      <c r="AE2115">
        <v>-1.7029999999999701</v>
      </c>
      <c r="AF2115">
        <v>-1.57975990477048</v>
      </c>
      <c r="AG2115">
        <v>-1.1104144553590001</v>
      </c>
      <c r="AH2115">
        <v>11.5105120434045</v>
      </c>
      <c r="AI2115">
        <v>95.459385869272793</v>
      </c>
      <c r="AJ2115">
        <v>97.8147351294365</v>
      </c>
      <c r="AK2115">
        <v>11.671355924687999</v>
      </c>
      <c r="AL2115">
        <v>89.598586100557895</v>
      </c>
      <c r="AM2115">
        <v>91.302998727182697</v>
      </c>
      <c r="AN2115">
        <v>1.00000001498383</v>
      </c>
    </row>
    <row r="2116" spans="1:40" x14ac:dyDescent="0.3">
      <c r="A2116" t="str">
        <f>"20200111160447536"</f>
        <v>20200111160447536</v>
      </c>
      <c r="B2116" t="str">
        <f>"1578729887532638"</f>
        <v>1578729887532638</v>
      </c>
      <c r="C2116" t="s">
        <v>40</v>
      </c>
      <c r="D2116">
        <v>5.4166569999999998</v>
      </c>
      <c r="E2116">
        <v>0.45884520000000001</v>
      </c>
      <c r="F2116" t="s">
        <v>61</v>
      </c>
      <c r="G2116">
        <v>-428.85950000000003</v>
      </c>
      <c r="H2116" s="1">
        <v>2.5117469999999998E-6</v>
      </c>
      <c r="I2116">
        <v>283.25889999999998</v>
      </c>
      <c r="J2116">
        <v>-417.3476</v>
      </c>
      <c r="K2116">
        <v>1.110406</v>
      </c>
      <c r="L2116">
        <v>284.96809999999999</v>
      </c>
      <c r="M2116">
        <v>-0.99985210000000002</v>
      </c>
      <c r="N2116">
        <v>0</v>
      </c>
      <c r="O2116">
        <v>-9.4408840000000001E-3</v>
      </c>
      <c r="P2116">
        <v>-0.99946829999999998</v>
      </c>
      <c r="Q2116">
        <v>-7.4837509999999899E-3</v>
      </c>
      <c r="R2116">
        <v>-3.1742069999999997E-2</v>
      </c>
      <c r="S2116">
        <v>-2.9855649999999998</v>
      </c>
      <c r="T2116">
        <v>-0.28123500000000001</v>
      </c>
      <c r="U2116">
        <v>-0.43359379999999997</v>
      </c>
      <c r="V2116">
        <v>-2.2304839999999999E-2</v>
      </c>
      <c r="W2116">
        <v>6.8981750000000003E-3</v>
      </c>
      <c r="X2116">
        <v>0.99972740000000004</v>
      </c>
      <c r="Y2116">
        <v>-0.1338329</v>
      </c>
      <c r="Z2116">
        <v>-5.3742080000000001E-3</v>
      </c>
      <c r="AA2116">
        <v>0.99098929999999996</v>
      </c>
      <c r="AB2116">
        <v>32</v>
      </c>
      <c r="AC2116">
        <v>-11.511900000000001</v>
      </c>
      <c r="AD2116">
        <v>-1.1104034882529901</v>
      </c>
      <c r="AE2116">
        <v>-1.7092000000000001</v>
      </c>
      <c r="AF2116">
        <v>-1.58599233261031</v>
      </c>
      <c r="AG2116">
        <v>-1.1104034882529901</v>
      </c>
      <c r="AH2116">
        <v>11.4235332351265</v>
      </c>
      <c r="AI2116">
        <v>95.499467901582406</v>
      </c>
      <c r="AJ2116">
        <v>97.904163504354997</v>
      </c>
      <c r="AK2116">
        <v>11.586435135962301</v>
      </c>
      <c r="AL2116">
        <v>89.604760544635297</v>
      </c>
      <c r="AM2116">
        <v>91.278109622050806</v>
      </c>
      <c r="AN2116">
        <v>0.99999998250825795</v>
      </c>
    </row>
    <row r="2117" spans="1:40" x14ac:dyDescent="0.3">
      <c r="A2117" t="str">
        <f>"20200111160447550"</f>
        <v>20200111160447550</v>
      </c>
      <c r="B2117" t="str">
        <f>"1578729887543375"</f>
        <v>1578729887543375</v>
      </c>
      <c r="C2117" t="s">
        <v>40</v>
      </c>
      <c r="D2117">
        <v>5.4420070000000003</v>
      </c>
      <c r="E2117">
        <v>0.45882650000000003</v>
      </c>
      <c r="F2117" t="s">
        <v>61</v>
      </c>
      <c r="G2117">
        <v>-429.1114</v>
      </c>
      <c r="H2117" s="1">
        <v>2.467273E-6</v>
      </c>
      <c r="I2117">
        <v>283.25650000000002</v>
      </c>
      <c r="J2117">
        <v>-417.5403</v>
      </c>
      <c r="K2117">
        <v>1.1103959999999999</v>
      </c>
      <c r="L2117">
        <v>284.96629999999999</v>
      </c>
      <c r="M2117">
        <v>-0.99985179999999996</v>
      </c>
      <c r="N2117">
        <v>0</v>
      </c>
      <c r="O2117">
        <v>-9.4633330000000009E-3</v>
      </c>
      <c r="P2117">
        <v>-0.99948289999999995</v>
      </c>
      <c r="Q2117">
        <v>-7.2583999999999999E-3</v>
      </c>
      <c r="R2117">
        <v>-3.1332029999999997E-2</v>
      </c>
      <c r="S2117">
        <v>-2.9856569999999998</v>
      </c>
      <c r="T2117">
        <v>-0.28182180000000001</v>
      </c>
      <c r="U2117">
        <v>-0.43441770000000002</v>
      </c>
      <c r="V2117">
        <v>-2.1871959999999999E-2</v>
      </c>
      <c r="W2117">
        <v>7.1222819999999997E-3</v>
      </c>
      <c r="X2117">
        <v>0.99973540000000005</v>
      </c>
      <c r="Y2117">
        <v>-0.134071</v>
      </c>
      <c r="Z2117">
        <v>-5.3941529999999996E-3</v>
      </c>
      <c r="AA2117">
        <v>0.99095699999999998</v>
      </c>
      <c r="AB2117">
        <v>32</v>
      </c>
      <c r="AC2117">
        <v>-11.571099999999999</v>
      </c>
      <c r="AD2117">
        <v>-1.110393532727</v>
      </c>
      <c r="AE2117">
        <v>-1.70979999999997</v>
      </c>
      <c r="AF2117">
        <v>-1.5859185326196701</v>
      </c>
      <c r="AG2117">
        <v>-1.110393532727</v>
      </c>
      <c r="AH2117">
        <v>11.483275877135901</v>
      </c>
      <c r="AI2117">
        <v>95.471520203661598</v>
      </c>
      <c r="AJ2117">
        <v>97.863195906405096</v>
      </c>
      <c r="AK2117">
        <v>11.6453310927615</v>
      </c>
      <c r="AL2117">
        <v>89.591919846568402</v>
      </c>
      <c r="AM2117">
        <v>91.253302741442397</v>
      </c>
      <c r="AN2117">
        <v>0.99999998977414395</v>
      </c>
    </row>
    <row r="2118" spans="1:40" x14ac:dyDescent="0.3">
      <c r="A2118" t="str">
        <f>"20200111160447562"</f>
        <v>20200111160447562</v>
      </c>
      <c r="B2118" t="str">
        <f>"1578729887553134"</f>
        <v>1578729887553134</v>
      </c>
      <c r="C2118" t="s">
        <v>40</v>
      </c>
      <c r="D2118">
        <v>5.4501780000000002</v>
      </c>
      <c r="E2118">
        <v>0.45869599999999999</v>
      </c>
      <c r="F2118" t="s">
        <v>61</v>
      </c>
      <c r="G2118">
        <v>-429.30919999999998</v>
      </c>
      <c r="H2118" s="1">
        <v>2.4320370000000001E-6</v>
      </c>
      <c r="I2118">
        <v>283.25810000000001</v>
      </c>
      <c r="J2118">
        <v>-417.73149999999998</v>
      </c>
      <c r="K2118">
        <v>1.110387</v>
      </c>
      <c r="L2118">
        <v>284.96449999999999</v>
      </c>
      <c r="M2118">
        <v>-0.99985159999999995</v>
      </c>
      <c r="N2118">
        <v>0</v>
      </c>
      <c r="O2118">
        <v>-9.4799570000000007E-3</v>
      </c>
      <c r="P2118">
        <v>-0.99948300000000001</v>
      </c>
      <c r="Q2118">
        <v>-7.0740730000000002E-3</v>
      </c>
      <c r="R2118">
        <v>-3.136568E-2</v>
      </c>
      <c r="S2118">
        <v>-2.9859309999999999</v>
      </c>
      <c r="T2118">
        <v>-0.28172140000000001</v>
      </c>
      <c r="U2118">
        <v>-0.43338009999999899</v>
      </c>
      <c r="V2118">
        <v>-2.188814E-2</v>
      </c>
      <c r="W2118">
        <v>7.3049059999999999E-3</v>
      </c>
      <c r="X2118">
        <v>0.99973369999999995</v>
      </c>
      <c r="Y2118">
        <v>-0.13370650000000001</v>
      </c>
      <c r="Z2118">
        <v>-5.3732559999999999E-3</v>
      </c>
      <c r="AA2118">
        <v>0.99100639999999995</v>
      </c>
      <c r="AB2118">
        <v>32</v>
      </c>
      <c r="AC2118">
        <v>-11.577699999999901</v>
      </c>
      <c r="AD2118">
        <v>-1.110384567963</v>
      </c>
      <c r="AE2118">
        <v>-1.7063999999999699</v>
      </c>
      <c r="AF2118">
        <v>-1.58231090007996</v>
      </c>
      <c r="AG2118">
        <v>-1.110384567963</v>
      </c>
      <c r="AH2118">
        <v>11.4899184892955</v>
      </c>
      <c r="AI2118">
        <v>95.468621974111102</v>
      </c>
      <c r="AJ2118">
        <v>97.841052517903194</v>
      </c>
      <c r="AK2118">
        <v>11.6513899842009</v>
      </c>
      <c r="AL2118">
        <v>89.581455977973306</v>
      </c>
      <c r="AM2118">
        <v>91.254231720642593</v>
      </c>
      <c r="AN2118">
        <v>0.99999996162000804</v>
      </c>
    </row>
    <row r="2119" spans="1:40" x14ac:dyDescent="0.3">
      <c r="A2119" t="str">
        <f>"20200111160447577"</f>
        <v>20200111160447577</v>
      </c>
      <c r="B2119" t="str">
        <f>"1578729887572653"</f>
        <v>1578729887572653</v>
      </c>
      <c r="C2119" t="s">
        <v>40</v>
      </c>
      <c r="D2119">
        <v>5.5518720000000004</v>
      </c>
      <c r="E2119">
        <v>0.45845459999999899</v>
      </c>
      <c r="F2119" t="s">
        <v>61</v>
      </c>
      <c r="G2119">
        <v>-429.5086</v>
      </c>
      <c r="H2119" s="1">
        <v>2.3973470000000001E-6</v>
      </c>
      <c r="I2119">
        <v>283.25029999999998</v>
      </c>
      <c r="J2119">
        <v>-417.93340000000001</v>
      </c>
      <c r="K2119">
        <v>1.110384</v>
      </c>
      <c r="L2119">
        <v>284.96260000000001</v>
      </c>
      <c r="M2119">
        <v>-0.99985159999999995</v>
      </c>
      <c r="N2119">
        <v>0</v>
      </c>
      <c r="O2119">
        <v>-9.4899200000000006E-3</v>
      </c>
      <c r="P2119">
        <v>-0.99948840000000005</v>
      </c>
      <c r="Q2119">
        <v>-6.7798919999999896E-3</v>
      </c>
      <c r="R2119">
        <v>-3.1265460000000002E-2</v>
      </c>
      <c r="S2119">
        <v>-2.9859309999999999</v>
      </c>
      <c r="T2119">
        <v>-0.281522099999999</v>
      </c>
      <c r="U2119">
        <v>-0.43460080000000001</v>
      </c>
      <c r="V2119">
        <v>-2.1777970000000001E-2</v>
      </c>
      <c r="W2119">
        <v>7.5976749999999999E-3</v>
      </c>
      <c r="X2119">
        <v>0.99973400000000001</v>
      </c>
      <c r="Y2119">
        <v>-0.1340925</v>
      </c>
      <c r="Z2119">
        <v>-5.3864450000000001E-3</v>
      </c>
      <c r="AA2119">
        <v>0.99095420000000001</v>
      </c>
      <c r="AB2119">
        <v>32</v>
      </c>
      <c r="AC2119">
        <v>-11.575199999999899</v>
      </c>
      <c r="AD2119">
        <v>-1.110381602653</v>
      </c>
      <c r="AE2119">
        <v>-1.7123000000000199</v>
      </c>
      <c r="AF2119">
        <v>-1.58806320286987</v>
      </c>
      <c r="AG2119">
        <v>-1.110381602653</v>
      </c>
      <c r="AH2119">
        <v>11.4874844850907</v>
      </c>
      <c r="AI2119">
        <v>95.469369066374895</v>
      </c>
      <c r="AJ2119">
        <v>97.870847702922504</v>
      </c>
      <c r="AK2119">
        <v>11.649772179532899</v>
      </c>
      <c r="AL2119">
        <v>89.564681116624698</v>
      </c>
      <c r="AM2119">
        <v>91.247920398775506</v>
      </c>
      <c r="AN2119">
        <v>1.0000000376993601</v>
      </c>
    </row>
    <row r="2120" spans="1:40" x14ac:dyDescent="0.3">
      <c r="A2120" t="str">
        <f>"20200111160447592"</f>
        <v>20200111160447592</v>
      </c>
      <c r="B2120" t="str">
        <f>"1578729887583390"</f>
        <v>1578729887583390</v>
      </c>
      <c r="C2120" t="s">
        <v>40</v>
      </c>
      <c r="D2120">
        <v>5.4082949999999999</v>
      </c>
      <c r="E2120">
        <v>0.45844190000000001</v>
      </c>
      <c r="F2120" t="s">
        <v>61</v>
      </c>
      <c r="G2120">
        <v>-429.7346</v>
      </c>
      <c r="H2120" s="1">
        <v>2.3582909999999999E-6</v>
      </c>
      <c r="I2120">
        <v>283.23860000000002</v>
      </c>
      <c r="J2120">
        <v>-418.1343</v>
      </c>
      <c r="K2120">
        <v>1.1103780000000001</v>
      </c>
      <c r="L2120">
        <v>284.9606</v>
      </c>
      <c r="M2120">
        <v>-0.99985159999999995</v>
      </c>
      <c r="N2120">
        <v>0</v>
      </c>
      <c r="O2120">
        <v>-9.4962060000000001E-3</v>
      </c>
      <c r="P2120">
        <v>-0.99949330000000003</v>
      </c>
      <c r="Q2120">
        <v>-6.1044169999999896E-3</v>
      </c>
      <c r="R2120">
        <v>-3.124333E-2</v>
      </c>
      <c r="S2120">
        <v>-2.985992</v>
      </c>
      <c r="T2120">
        <v>-0.28095409999999998</v>
      </c>
      <c r="U2120">
        <v>-0.4362183</v>
      </c>
      <c r="V2120">
        <v>-2.1749729999999998E-2</v>
      </c>
      <c r="W2120">
        <v>8.2714260000000001E-3</v>
      </c>
      <c r="X2120">
        <v>0.99972919999999998</v>
      </c>
      <c r="Y2120">
        <v>-0.13460899999999901</v>
      </c>
      <c r="Z2120">
        <v>-5.3988419999999896E-3</v>
      </c>
      <c r="AA2120">
        <v>0.99088410000000005</v>
      </c>
      <c r="AB2120">
        <v>31</v>
      </c>
      <c r="AC2120">
        <v>-11.600300000000001</v>
      </c>
      <c r="AD2120">
        <v>-1.110375641709</v>
      </c>
      <c r="AE2120">
        <v>-1.72199999999998</v>
      </c>
      <c r="AF2120">
        <v>-1.5974316383993299</v>
      </c>
      <c r="AG2120">
        <v>-1.110375641709</v>
      </c>
      <c r="AH2120">
        <v>11.512921210083199</v>
      </c>
      <c r="AI2120">
        <v>95.456954255805499</v>
      </c>
      <c r="AJ2120">
        <v>97.899422889588706</v>
      </c>
      <c r="AK2120">
        <v>11.6761327799338</v>
      </c>
      <c r="AL2120">
        <v>89.526076781431996</v>
      </c>
      <c r="AM2120">
        <v>91.246308684091304</v>
      </c>
      <c r="AN2120">
        <v>0.999999970287892</v>
      </c>
    </row>
    <row r="2121" spans="1:40" x14ac:dyDescent="0.3">
      <c r="A2121" t="str">
        <f>"20200111160447614"</f>
        <v>20200111160447614</v>
      </c>
      <c r="B2121" t="str">
        <f>"1578729887602911"</f>
        <v>1578729887602911</v>
      </c>
      <c r="C2121" t="s">
        <v>40</v>
      </c>
      <c r="D2121">
        <v>5.4211679999999998</v>
      </c>
      <c r="E2121">
        <v>0.45829300000000001</v>
      </c>
      <c r="F2121" t="s">
        <v>61</v>
      </c>
      <c r="G2121">
        <v>-429.9984</v>
      </c>
      <c r="H2121" s="1">
        <v>2.3376299999999998E-6</v>
      </c>
      <c r="I2121">
        <v>283.22840000000002</v>
      </c>
      <c r="J2121">
        <v>-418.44630000000001</v>
      </c>
      <c r="K2121">
        <v>1.1103639999999999</v>
      </c>
      <c r="L2121">
        <v>284.95760000000001</v>
      </c>
      <c r="M2121">
        <v>-0.99985159999999995</v>
      </c>
      <c r="N2121">
        <v>0</v>
      </c>
      <c r="O2121">
        <v>-9.4999509999999995E-3</v>
      </c>
      <c r="P2121">
        <v>-0.99948749999999997</v>
      </c>
      <c r="Q2121">
        <v>-5.9506799999999999E-3</v>
      </c>
      <c r="R2121">
        <v>-3.1459050000000002E-2</v>
      </c>
      <c r="S2121">
        <v>-2.9861759999999999</v>
      </c>
      <c r="T2121">
        <v>-0.27948000000000001</v>
      </c>
      <c r="U2121">
        <v>-0.43600460000000002</v>
      </c>
      <c r="V2121">
        <v>-2.1961830000000002E-2</v>
      </c>
      <c r="W2121">
        <v>8.4221030000000002E-3</v>
      </c>
      <c r="X2121">
        <v>0.99972329999999998</v>
      </c>
      <c r="Y2121">
        <v>-0.13453319999999999</v>
      </c>
      <c r="Z2121">
        <v>-5.3664740000000004E-3</v>
      </c>
      <c r="AA2121">
        <v>0.99089459999999996</v>
      </c>
      <c r="AB2121">
        <v>31</v>
      </c>
      <c r="AC2121">
        <v>-11.5520999999999</v>
      </c>
      <c r="AD2121">
        <v>-1.1103616623699999</v>
      </c>
      <c r="AE2121">
        <v>-1.7291999999999901</v>
      </c>
      <c r="AF2121">
        <v>-1.60486443449759</v>
      </c>
      <c r="AG2121">
        <v>-1.1103616623699999</v>
      </c>
      <c r="AH2121">
        <v>11.464413420538101</v>
      </c>
      <c r="AI2121">
        <v>95.478914865569493</v>
      </c>
      <c r="AJ2121">
        <v>97.968858264609494</v>
      </c>
      <c r="AK2121">
        <v>11.629327923461</v>
      </c>
      <c r="AL2121">
        <v>89.517443321787198</v>
      </c>
      <c r="AM2121">
        <v>91.258466028364793</v>
      </c>
      <c r="AN2121">
        <v>0.99999996517939005</v>
      </c>
    </row>
    <row r="2122" spans="1:40" x14ac:dyDescent="0.3">
      <c r="A2122" t="str">
        <f>"20200111160447637"</f>
        <v>20200111160447637</v>
      </c>
      <c r="B2122" t="str">
        <f>"1578729887633166"</f>
        <v>1578729887633166</v>
      </c>
      <c r="C2122" t="s">
        <v>40</v>
      </c>
      <c r="D2122">
        <v>5.4438319999999996</v>
      </c>
      <c r="E2122">
        <v>0.4579742</v>
      </c>
      <c r="F2122" t="s">
        <v>61</v>
      </c>
      <c r="G2122">
        <v>-430.2722</v>
      </c>
      <c r="H2122" s="1">
        <v>2.4594469999999999E-6</v>
      </c>
      <c r="I2122">
        <v>283.22340000000003</v>
      </c>
      <c r="J2122">
        <v>-418.762</v>
      </c>
      <c r="K2122">
        <v>1.110357</v>
      </c>
      <c r="L2122">
        <v>284.95460000000003</v>
      </c>
      <c r="M2122">
        <v>-0.99985170000000001</v>
      </c>
      <c r="N2122">
        <v>0</v>
      </c>
      <c r="O2122">
        <v>-9.4987409999999998E-3</v>
      </c>
      <c r="P2122">
        <v>-0.99948049999999999</v>
      </c>
      <c r="Q2122">
        <v>-6.1238300000000002E-3</v>
      </c>
      <c r="R2122">
        <v>-3.164426E-2</v>
      </c>
      <c r="S2122">
        <v>-2.986084</v>
      </c>
      <c r="T2122">
        <v>-0.28037060000000003</v>
      </c>
      <c r="U2122">
        <v>-0.43789670000000003</v>
      </c>
      <c r="V2122">
        <v>-2.2148259999999999E-2</v>
      </c>
      <c r="W2122">
        <v>8.2456779999999993E-3</v>
      </c>
      <c r="X2122">
        <v>0.99972070000000002</v>
      </c>
      <c r="Y2122">
        <v>-0.1351474</v>
      </c>
      <c r="Z2122">
        <v>-5.4121530000000003E-3</v>
      </c>
      <c r="AA2122">
        <v>0.99081070000000004</v>
      </c>
      <c r="AB2122">
        <v>31</v>
      </c>
      <c r="AC2122">
        <v>-11.510199999999999</v>
      </c>
      <c r="AD2122">
        <v>-1.110354540553</v>
      </c>
      <c r="AE2122">
        <v>-1.7312000000000001</v>
      </c>
      <c r="AF2122">
        <v>-1.60715306058048</v>
      </c>
      <c r="AG2122">
        <v>-1.110354540553</v>
      </c>
      <c r="AH2122">
        <v>11.422184389526</v>
      </c>
      <c r="AI2122">
        <v>95.498472006914199</v>
      </c>
      <c r="AJ2122">
        <v>98.009197052336802</v>
      </c>
      <c r="AK2122">
        <v>11.588016413268999</v>
      </c>
      <c r="AL2122">
        <v>89.5275521010131</v>
      </c>
      <c r="AM2122">
        <v>91.2691487389516</v>
      </c>
      <c r="AN2122">
        <v>1.0000000073175901</v>
      </c>
    </row>
    <row r="2123" spans="1:40" x14ac:dyDescent="0.3">
      <c r="A2123" t="str">
        <f>"20200111160447659"</f>
        <v>20200111160447659</v>
      </c>
      <c r="B2123" t="str">
        <f>"1578729887652686"</f>
        <v>1578729887652686</v>
      </c>
      <c r="C2123" t="s">
        <v>40</v>
      </c>
      <c r="D2123">
        <v>5.4104369999999999</v>
      </c>
      <c r="E2123">
        <v>0.45789570000000002</v>
      </c>
      <c r="F2123" t="s">
        <v>61</v>
      </c>
      <c r="G2123">
        <v>-430.56729999999999</v>
      </c>
      <c r="H2123" s="1">
        <v>2.5914829999999998E-6</v>
      </c>
      <c r="I2123">
        <v>283.21030000000002</v>
      </c>
      <c r="J2123">
        <v>-419.0763</v>
      </c>
      <c r="K2123">
        <v>1.110352</v>
      </c>
      <c r="L2123">
        <v>284.95159999999998</v>
      </c>
      <c r="M2123">
        <v>-0.99985170000000001</v>
      </c>
      <c r="N2123">
        <v>0</v>
      </c>
      <c r="O2123">
        <v>-9.4954319999999998E-3</v>
      </c>
      <c r="P2123">
        <v>-0.99946590000000002</v>
      </c>
      <c r="Q2123">
        <v>-7.1136410000000004E-3</v>
      </c>
      <c r="R2123">
        <v>-3.1896299999999898E-2</v>
      </c>
      <c r="S2123">
        <v>-2.9859010000000001</v>
      </c>
      <c r="T2123">
        <v>-0.28083970000000003</v>
      </c>
      <c r="U2123">
        <v>-0.44119259999999899</v>
      </c>
      <c r="V2123">
        <v>-2.240346E-2</v>
      </c>
      <c r="W2123">
        <v>7.2524549999999997E-3</v>
      </c>
      <c r="X2123">
        <v>0.99972269999999996</v>
      </c>
      <c r="Y2123">
        <v>-0.13622339999999999</v>
      </c>
      <c r="Z2123">
        <v>-5.4715930000000003E-3</v>
      </c>
      <c r="AA2123">
        <v>0.99066310000000002</v>
      </c>
      <c r="AB2123">
        <v>31</v>
      </c>
      <c r="AC2123">
        <v>-11.4909999999999</v>
      </c>
      <c r="AD2123">
        <v>-1.110349408517</v>
      </c>
      <c r="AE2123">
        <v>-1.7412999999999601</v>
      </c>
      <c r="AF2123">
        <v>-1.61733624983572</v>
      </c>
      <c r="AG2123">
        <v>-1.110349408517</v>
      </c>
      <c r="AH2123">
        <v>11.402939573520801</v>
      </c>
      <c r="AI2123">
        <v>95.506812475761507</v>
      </c>
      <c r="AJ2123">
        <v>98.072702530529497</v>
      </c>
      <c r="AK2123">
        <v>11.570465991972499</v>
      </c>
      <c r="AL2123">
        <v>89.584461292505296</v>
      </c>
      <c r="AM2123">
        <v>91.283764881387995</v>
      </c>
      <c r="AN2123">
        <v>0.99999999500939396</v>
      </c>
    </row>
    <row r="2124" spans="1:40" x14ac:dyDescent="0.3">
      <c r="A2124" t="str">
        <f>"20200111160447674"</f>
        <v>20200111160447674</v>
      </c>
      <c r="B2124" t="str">
        <f>"1578729887663422"</f>
        <v>1578729887663422</v>
      </c>
      <c r="C2124" t="s">
        <v>40</v>
      </c>
      <c r="D2124">
        <v>5.3146060000000004</v>
      </c>
      <c r="E2124">
        <v>0.45783550000000001</v>
      </c>
      <c r="F2124" t="s">
        <v>61</v>
      </c>
      <c r="G2124">
        <v>-430.76130000000001</v>
      </c>
      <c r="H2124" s="1">
        <v>2.6767050000000001E-6</v>
      </c>
      <c r="I2124">
        <v>283.21940000000001</v>
      </c>
      <c r="J2124">
        <v>-419.28339999999997</v>
      </c>
      <c r="K2124">
        <v>1.110355</v>
      </c>
      <c r="L2124">
        <v>284.94959999999998</v>
      </c>
      <c r="M2124">
        <v>-0.99985170000000001</v>
      </c>
      <c r="N2124">
        <v>0</v>
      </c>
      <c r="O2124">
        <v>-9.4930050000000005E-3</v>
      </c>
      <c r="P2124">
        <v>-0.99946349999999995</v>
      </c>
      <c r="Q2124">
        <v>-7.6516700000000002E-3</v>
      </c>
      <c r="R2124">
        <v>-3.184592E-2</v>
      </c>
      <c r="S2124">
        <v>-2.9855040000000002</v>
      </c>
      <c r="T2124">
        <v>-0.28369250000000001</v>
      </c>
      <c r="U2124">
        <v>-0.44256590000000001</v>
      </c>
      <c r="V2124">
        <v>-2.2355400000000001E-2</v>
      </c>
      <c r="W2124">
        <v>6.7122120000000004E-3</v>
      </c>
      <c r="X2124">
        <v>0.99972749999999999</v>
      </c>
      <c r="Y2124">
        <v>-0.13667750000000001</v>
      </c>
      <c r="Z2124">
        <v>-5.5491100000000003E-3</v>
      </c>
      <c r="AA2124">
        <v>0.99060000000000004</v>
      </c>
      <c r="AB2124">
        <v>31</v>
      </c>
      <c r="AC2124">
        <v>-11.4779</v>
      </c>
      <c r="AD2124">
        <v>-1.1103523232950001</v>
      </c>
      <c r="AE2124">
        <v>-1.73019999999996</v>
      </c>
      <c r="AF2124">
        <v>-1.60645138498912</v>
      </c>
      <c r="AG2124">
        <v>-1.1103523232950001</v>
      </c>
      <c r="AH2124">
        <v>11.3895902288176</v>
      </c>
      <c r="AI2124">
        <v>95.513841304777898</v>
      </c>
      <c r="AJ2124">
        <v>98.028357773102499</v>
      </c>
      <c r="AK2124">
        <v>11.5557922235802</v>
      </c>
      <c r="AL2124">
        <v>89.615415672559493</v>
      </c>
      <c r="AM2124">
        <v>91.281005713531002</v>
      </c>
      <c r="AN2124">
        <v>0.99999994597766995</v>
      </c>
    </row>
    <row r="2125" spans="1:40" x14ac:dyDescent="0.3">
      <c r="A2125" t="str">
        <f>"20200111160447691"</f>
        <v>20200111160447691</v>
      </c>
      <c r="B2125" t="str">
        <f>"1578729887682942"</f>
        <v>1578729887682942</v>
      </c>
      <c r="C2125" t="s">
        <v>40</v>
      </c>
      <c r="D2125">
        <v>5.2721049999999998</v>
      </c>
      <c r="E2125">
        <v>0.45778469999999999</v>
      </c>
      <c r="F2125" t="s">
        <v>61</v>
      </c>
      <c r="G2125">
        <v>-430.91250000000002</v>
      </c>
      <c r="H2125" s="1">
        <v>2.7433749999999998E-6</v>
      </c>
      <c r="I2125">
        <v>283.22379999999998</v>
      </c>
      <c r="J2125">
        <v>-419.53579999999999</v>
      </c>
      <c r="K2125">
        <v>1.1103499999999999</v>
      </c>
      <c r="L2125">
        <v>284.94720000000001</v>
      </c>
      <c r="M2125">
        <v>-0.99985190000000002</v>
      </c>
      <c r="N2125">
        <v>0</v>
      </c>
      <c r="O2125">
        <v>-9.4904580000000002E-3</v>
      </c>
      <c r="P2125">
        <v>-0.99944840000000001</v>
      </c>
      <c r="Q2125">
        <v>-8.2261709999999991E-3</v>
      </c>
      <c r="R2125">
        <v>-3.2176320000000001E-2</v>
      </c>
      <c r="S2125">
        <v>-2.9853209999999999</v>
      </c>
      <c r="T2125">
        <v>-0.28504099999999999</v>
      </c>
      <c r="U2125">
        <v>-0.44305420000000001</v>
      </c>
      <c r="V2125">
        <v>-2.268823E-2</v>
      </c>
      <c r="W2125">
        <v>6.134774E-3</v>
      </c>
      <c r="X2125">
        <v>0.99972380000000005</v>
      </c>
      <c r="Y2125">
        <v>-0.136841299999999</v>
      </c>
      <c r="Z2125">
        <v>-5.58364E-3</v>
      </c>
      <c r="AA2125">
        <v>0.99057729999999999</v>
      </c>
      <c r="AB2125">
        <v>31</v>
      </c>
      <c r="AC2125">
        <v>-11.3767</v>
      </c>
      <c r="AD2125">
        <v>-1.1103472566249999</v>
      </c>
      <c r="AE2125">
        <v>-1.72340000000002</v>
      </c>
      <c r="AF2125">
        <v>-1.6004382570523901</v>
      </c>
      <c r="AG2125">
        <v>-1.1103472566249999</v>
      </c>
      <c r="AH2125">
        <v>11.287439199269</v>
      </c>
      <c r="AI2125">
        <v>95.562834484997197</v>
      </c>
      <c r="AJ2125">
        <v>98.070134947089301</v>
      </c>
      <c r="AK2125">
        <v>11.4542811787614</v>
      </c>
      <c r="AL2125">
        <v>89.648501148573303</v>
      </c>
      <c r="AM2125">
        <v>91.300075799721697</v>
      </c>
      <c r="AN2125">
        <v>1.0000000337595001</v>
      </c>
    </row>
    <row r="2126" spans="1:40" x14ac:dyDescent="0.3">
      <c r="A2126" t="str">
        <f>"20200111160447714"</f>
        <v>20200111160447714</v>
      </c>
      <c r="B2126" t="str">
        <f>"1578729887703042"</f>
        <v>1578729887703042</v>
      </c>
      <c r="C2126" t="s">
        <v>40</v>
      </c>
      <c r="D2126">
        <v>5.241384</v>
      </c>
      <c r="E2126">
        <v>0.45759480000000002</v>
      </c>
      <c r="F2126" t="s">
        <v>61</v>
      </c>
      <c r="G2126">
        <v>-431.0616</v>
      </c>
      <c r="H2126" s="1">
        <v>2.8087490000000002E-6</v>
      </c>
      <c r="I2126">
        <v>283.23270000000002</v>
      </c>
      <c r="J2126">
        <v>-419.85379999999998</v>
      </c>
      <c r="K2126">
        <v>1.110347</v>
      </c>
      <c r="L2126">
        <v>284.94420000000002</v>
      </c>
      <c r="M2126">
        <v>-0.99985199999999996</v>
      </c>
      <c r="N2126">
        <v>0</v>
      </c>
      <c r="O2126">
        <v>-9.4880309999999992E-3</v>
      </c>
      <c r="P2126">
        <v>-0.99943360000000003</v>
      </c>
      <c r="Q2126">
        <v>-9.3380070000000006E-3</v>
      </c>
      <c r="R2126">
        <v>-3.233888E-2</v>
      </c>
      <c r="S2126">
        <v>-2.984985</v>
      </c>
      <c r="T2126">
        <v>-0.28756009999999999</v>
      </c>
      <c r="U2126">
        <v>-0.4440308</v>
      </c>
      <c r="V2126">
        <v>-2.2853780000000001E-2</v>
      </c>
      <c r="W2126">
        <v>5.0194690000000004E-3</v>
      </c>
      <c r="X2126">
        <v>0.99972620000000001</v>
      </c>
      <c r="Y2126">
        <v>-0.13716529999999999</v>
      </c>
      <c r="Z2126">
        <v>-5.6489740000000002E-3</v>
      </c>
      <c r="AA2126">
        <v>0.99053199999999997</v>
      </c>
      <c r="AB2126">
        <v>31</v>
      </c>
      <c r="AC2126">
        <v>-11.207800000000001</v>
      </c>
      <c r="AD2126">
        <v>-1.1103441912509999</v>
      </c>
      <c r="AE2126">
        <v>-1.7115</v>
      </c>
      <c r="AF2126">
        <v>-1.5898240541594</v>
      </c>
      <c r="AG2126">
        <v>-1.1103441912509999</v>
      </c>
      <c r="AH2126">
        <v>11.116913646728801</v>
      </c>
      <c r="AI2126">
        <v>95.646645933843502</v>
      </c>
      <c r="AJ2126">
        <v>98.138655953916398</v>
      </c>
      <c r="AK2126">
        <v>11.284776195169</v>
      </c>
      <c r="AL2126">
        <v>89.712404398239002</v>
      </c>
      <c r="AM2126">
        <v>91.3095556740207</v>
      </c>
      <c r="AN2126">
        <v>0.99999998264788503</v>
      </c>
    </row>
    <row r="2127" spans="1:40" x14ac:dyDescent="0.3">
      <c r="A2127" t="str">
        <f>"20200111160447738"</f>
        <v>20200111160447738</v>
      </c>
      <c r="B2127" t="str">
        <f>"1578729887733298"</f>
        <v>1578729887733298</v>
      </c>
      <c r="C2127" t="s">
        <v>40</v>
      </c>
      <c r="D2127">
        <v>5.2464769999999996</v>
      </c>
      <c r="E2127">
        <v>0.45738820000000002</v>
      </c>
      <c r="F2127" t="s">
        <v>61</v>
      </c>
      <c r="G2127">
        <v>-431.2672</v>
      </c>
      <c r="H2127" s="1">
        <v>2.8992699999999999E-6</v>
      </c>
      <c r="I2127">
        <v>283.24009999999998</v>
      </c>
      <c r="J2127">
        <v>-420.16890000000001</v>
      </c>
      <c r="K2127">
        <v>1.110347</v>
      </c>
      <c r="L2127">
        <v>284.94119999999998</v>
      </c>
      <c r="M2127">
        <v>-0.99985190000000002</v>
      </c>
      <c r="N2127">
        <v>0</v>
      </c>
      <c r="O2127">
        <v>-9.4866840000000004E-3</v>
      </c>
      <c r="P2127">
        <v>-0.99939129999999998</v>
      </c>
      <c r="Q2127">
        <v>-1.0737480000000001E-2</v>
      </c>
      <c r="R2127">
        <v>-3.319155E-2</v>
      </c>
      <c r="S2127">
        <v>-2.9845579999999998</v>
      </c>
      <c r="T2127">
        <v>-0.2903501</v>
      </c>
      <c r="U2127">
        <v>-0.44561770000000001</v>
      </c>
      <c r="V2127">
        <v>-2.3708179999999999E-2</v>
      </c>
      <c r="W2127">
        <v>3.6166269999999999E-3</v>
      </c>
      <c r="X2127">
        <v>0.99971239999999995</v>
      </c>
      <c r="Y2127">
        <v>-0.1376887</v>
      </c>
      <c r="Z2127">
        <v>-5.7295009999999997E-3</v>
      </c>
      <c r="AA2127">
        <v>0.99045899999999998</v>
      </c>
      <c r="AB2127">
        <v>31</v>
      </c>
      <c r="AC2127">
        <v>-11.098299999999901</v>
      </c>
      <c r="AD2127">
        <v>-1.1103441007299999</v>
      </c>
      <c r="AE2127">
        <v>-1.7010999999999901</v>
      </c>
      <c r="AF2127">
        <v>-1.58027222324403</v>
      </c>
      <c r="AG2127">
        <v>-1.1103441007299999</v>
      </c>
      <c r="AH2127">
        <v>11.0063036593719</v>
      </c>
      <c r="AI2127">
        <v>95.702567412093302</v>
      </c>
      <c r="AJ2127">
        <v>98.170620996594593</v>
      </c>
      <c r="AK2127">
        <v>11.1744728987047</v>
      </c>
      <c r="AL2127">
        <v>89.792782089287002</v>
      </c>
      <c r="AM2127">
        <v>91.358514797405107</v>
      </c>
      <c r="AN2127">
        <v>1.00000002025176</v>
      </c>
    </row>
    <row r="2128" spans="1:40" x14ac:dyDescent="0.3">
      <c r="A2128" t="str">
        <f>"20200111160447759"</f>
        <v>20200111160447759</v>
      </c>
      <c r="B2128" t="str">
        <f>"1578729887752817"</f>
        <v>1578729887752817</v>
      </c>
      <c r="C2128" t="s">
        <v>40</v>
      </c>
      <c r="D2128">
        <v>5.2586259999999996</v>
      </c>
      <c r="E2128">
        <v>0.45732240000000002</v>
      </c>
      <c r="F2128" t="s">
        <v>61</v>
      </c>
      <c r="G2128">
        <v>-431.43369999999999</v>
      </c>
      <c r="H2128" s="1">
        <v>2.972824E-6</v>
      </c>
      <c r="I2128">
        <v>283.24329999999998</v>
      </c>
      <c r="J2128">
        <v>-420.48099999999999</v>
      </c>
      <c r="K2128">
        <v>1.1103419999999999</v>
      </c>
      <c r="L2128">
        <v>284.93830000000003</v>
      </c>
      <c r="M2128">
        <v>-0.99985210000000002</v>
      </c>
      <c r="N2128">
        <v>0</v>
      </c>
      <c r="O2128">
        <v>-9.4862939999999993E-3</v>
      </c>
      <c r="P2128">
        <v>-0.9993476</v>
      </c>
      <c r="Q2128">
        <v>-1.153262E-2</v>
      </c>
      <c r="R2128">
        <v>-3.4229030000000001E-2</v>
      </c>
      <c r="S2128">
        <v>-2.983765</v>
      </c>
      <c r="T2128">
        <v>-0.29410049999999999</v>
      </c>
      <c r="U2128">
        <v>-0.44973750000000001</v>
      </c>
      <c r="V2128">
        <v>-2.4746000000000001E-2</v>
      </c>
      <c r="W2128">
        <v>2.8174530000000001E-3</v>
      </c>
      <c r="X2128">
        <v>0.99968979999999996</v>
      </c>
      <c r="Y2128">
        <v>-0.139043</v>
      </c>
      <c r="Z2128">
        <v>-5.8703459999999898E-3</v>
      </c>
      <c r="AA2128">
        <v>0.99026890000000001</v>
      </c>
      <c r="AB2128">
        <v>31</v>
      </c>
      <c r="AC2128">
        <v>-10.952699999999901</v>
      </c>
      <c r="AD2128">
        <v>-1.1103390271760001</v>
      </c>
      <c r="AE2128">
        <v>-1.69500000000005</v>
      </c>
      <c r="AF2128">
        <v>-1.57520267918006</v>
      </c>
      <c r="AG2128">
        <v>-1.1103390271760001</v>
      </c>
      <c r="AH2128">
        <v>10.8592966601801</v>
      </c>
      <c r="AI2128">
        <v>95.778021876119595</v>
      </c>
      <c r="AJ2128">
        <v>98.253511831900298</v>
      </c>
      <c r="AK2128">
        <v>11.028981829233601</v>
      </c>
      <c r="AL2128">
        <v>89.838571620453806</v>
      </c>
      <c r="AM2128">
        <v>91.4179917357405</v>
      </c>
      <c r="AN2128">
        <v>0.99999999939072304</v>
      </c>
    </row>
    <row r="2129" spans="1:40" x14ac:dyDescent="0.3">
      <c r="A2129" t="str">
        <f>"20200111160447774"</f>
        <v>20200111160447774</v>
      </c>
      <c r="B2129" t="str">
        <f>"1578729887763555"</f>
        <v>1578729887763555</v>
      </c>
      <c r="C2129" t="s">
        <v>40</v>
      </c>
      <c r="D2129">
        <v>5.1771760000000002</v>
      </c>
      <c r="E2129">
        <v>0.45764290000000002</v>
      </c>
      <c r="F2129" t="s">
        <v>61</v>
      </c>
      <c r="G2129">
        <v>-431.6703</v>
      </c>
      <c r="H2129" s="1">
        <v>3.0781729999999999E-6</v>
      </c>
      <c r="I2129">
        <v>283.238</v>
      </c>
      <c r="J2129">
        <v>-420.68270000000001</v>
      </c>
      <c r="K2129">
        <v>1.1103430000000001</v>
      </c>
      <c r="L2129">
        <v>284.93630000000002</v>
      </c>
      <c r="M2129">
        <v>-0.99985210000000002</v>
      </c>
      <c r="N2129">
        <v>0</v>
      </c>
      <c r="O2129">
        <v>-9.4863959999999994E-3</v>
      </c>
      <c r="P2129">
        <v>-0.99932810000000005</v>
      </c>
      <c r="Q2129">
        <v>-1.155805E-2</v>
      </c>
      <c r="R2129">
        <v>-3.4784509999999998E-2</v>
      </c>
      <c r="S2129">
        <v>-2.9830320000000001</v>
      </c>
      <c r="T2129">
        <v>-0.29601290000000002</v>
      </c>
      <c r="U2129">
        <v>-0.4532776</v>
      </c>
      <c r="V2129">
        <v>-2.530135E-2</v>
      </c>
      <c r="W2129">
        <v>2.7897960000000002E-3</v>
      </c>
      <c r="X2129">
        <v>0.99967600000000001</v>
      </c>
      <c r="Y2129">
        <v>-0.1402137</v>
      </c>
      <c r="Z2129">
        <v>-5.9668480000000003E-3</v>
      </c>
      <c r="AA2129">
        <v>0.99010330000000002</v>
      </c>
      <c r="AB2129">
        <v>31</v>
      </c>
      <c r="AC2129">
        <v>-10.987599999999899</v>
      </c>
      <c r="AD2129">
        <v>-1.110339921827</v>
      </c>
      <c r="AE2129">
        <v>-1.6983000000000099</v>
      </c>
      <c r="AF2129">
        <v>-1.57823935721828</v>
      </c>
      <c r="AG2129">
        <v>-1.110339921827</v>
      </c>
      <c r="AH2129">
        <v>10.8945597096352</v>
      </c>
      <c r="AI2129">
        <v>95.759605313355493</v>
      </c>
      <c r="AJ2129">
        <v>98.242806099645705</v>
      </c>
      <c r="AK2129">
        <v>11.064136906125301</v>
      </c>
      <c r="AL2129">
        <v>89.840156259850403</v>
      </c>
      <c r="AM2129">
        <v>91.449820893898206</v>
      </c>
      <c r="AN2129">
        <v>1.0000000231247701</v>
      </c>
    </row>
    <row r="2130" spans="1:40" x14ac:dyDescent="0.3">
      <c r="A2130" t="str">
        <f>"20200111160447791"</f>
        <v>20200111160447791</v>
      </c>
      <c r="B2130" t="str">
        <f>"1578729887783074"</f>
        <v>1578729887783074</v>
      </c>
      <c r="C2130" t="s">
        <v>40</v>
      </c>
      <c r="D2130">
        <v>5.0876460000000003</v>
      </c>
      <c r="E2130">
        <v>0.50007100000000004</v>
      </c>
      <c r="F2130" t="s">
        <v>61</v>
      </c>
      <c r="G2130">
        <v>-431.92340000000002</v>
      </c>
      <c r="H2130" s="1">
        <v>3.1909339999999999E-6</v>
      </c>
      <c r="I2130">
        <v>283.2321</v>
      </c>
      <c r="J2130">
        <v>-420.9341</v>
      </c>
      <c r="K2130">
        <v>1.110341</v>
      </c>
      <c r="L2130">
        <v>284.93400000000003</v>
      </c>
      <c r="M2130">
        <v>-0.99985210000000002</v>
      </c>
      <c r="N2130">
        <v>0</v>
      </c>
      <c r="O2130">
        <v>-9.4863740000000005E-3</v>
      </c>
      <c r="P2130">
        <v>-0.99928870000000003</v>
      </c>
      <c r="Q2130">
        <v>-1.148742E-2</v>
      </c>
      <c r="R2130">
        <v>-3.5919729999999997E-2</v>
      </c>
      <c r="S2130">
        <v>-2.9828800000000002</v>
      </c>
      <c r="T2130">
        <v>-0.29464630000000003</v>
      </c>
      <c r="U2130">
        <v>-0.45223999999999998</v>
      </c>
      <c r="V2130">
        <v>-2.6437260000000001E-2</v>
      </c>
      <c r="W2130">
        <v>2.857507E-3</v>
      </c>
      <c r="X2130">
        <v>0.99964640000000005</v>
      </c>
      <c r="Y2130">
        <v>-0.13989179999999901</v>
      </c>
      <c r="Z2130">
        <v>-5.9241160000000001E-3</v>
      </c>
      <c r="AA2130">
        <v>0.9901491</v>
      </c>
      <c r="AB2130">
        <v>31</v>
      </c>
      <c r="AC2130">
        <v>-10.9893</v>
      </c>
      <c r="AD2130">
        <v>-1.1103378090659899</v>
      </c>
      <c r="AE2130">
        <v>-1.70190000000002</v>
      </c>
      <c r="AF2130">
        <v>-1.5817942416980899</v>
      </c>
      <c r="AG2130">
        <v>-1.1103378090659899</v>
      </c>
      <c r="AH2130">
        <v>10.8963201981633</v>
      </c>
      <c r="AI2130">
        <v>95.758424096595803</v>
      </c>
      <c r="AJ2130">
        <v>98.2598002233686</v>
      </c>
      <c r="AK2130">
        <v>11.066377769361299</v>
      </c>
      <c r="AL2130">
        <v>89.836276687723995</v>
      </c>
      <c r="AM2130">
        <v>91.514926096956799</v>
      </c>
      <c r="AN2130">
        <v>1.0000000095477599</v>
      </c>
    </row>
    <row r="2131" spans="1:40" x14ac:dyDescent="0.3">
      <c r="A2131" t="str">
        <f>"20200111160447814"</f>
        <v>20200111160447814</v>
      </c>
      <c r="B2131" t="str">
        <f>"1578729887803247"</f>
        <v>1578729887803247</v>
      </c>
      <c r="C2131" t="s">
        <v>40</v>
      </c>
      <c r="D2131">
        <v>4.1947780000000003</v>
      </c>
      <c r="E2131">
        <v>0.48717690000000002</v>
      </c>
      <c r="F2131" t="s">
        <v>56</v>
      </c>
      <c r="G2131">
        <v>-482.73219999999998</v>
      </c>
      <c r="H2131" s="1">
        <v>2.5237960000000002E-6</v>
      </c>
      <c r="I2131">
        <v>282.71069999999997</v>
      </c>
      <c r="J2131">
        <v>-421.24549999999999</v>
      </c>
      <c r="K2131">
        <v>1.1103449999999999</v>
      </c>
      <c r="L2131">
        <v>284.93110000000001</v>
      </c>
      <c r="M2131">
        <v>-0.99985210000000002</v>
      </c>
      <c r="N2131">
        <v>0</v>
      </c>
      <c r="O2131">
        <v>-9.4865890000000001E-3</v>
      </c>
      <c r="P2131">
        <v>-0.99927350000000004</v>
      </c>
      <c r="Q2131">
        <v>-1.138467E-2</v>
      </c>
      <c r="R2131">
        <v>-3.6375589999999999E-2</v>
      </c>
      <c r="S2131">
        <v>-2.9976500000000001</v>
      </c>
      <c r="T2131">
        <v>-5.385935E-2</v>
      </c>
      <c r="U2131">
        <v>-0.1078491</v>
      </c>
      <c r="V2131">
        <v>-2.6892949999999999E-2</v>
      </c>
      <c r="W2131">
        <v>2.9566879999999999E-3</v>
      </c>
      <c r="X2131">
        <v>0.99963400000000002</v>
      </c>
      <c r="Y2131">
        <v>-2.6468849999999999E-2</v>
      </c>
      <c r="Z2131" s="1">
        <v>-6.7302489999999994E-5</v>
      </c>
      <c r="AA2131">
        <v>0.99964960000000003</v>
      </c>
      <c r="AB2131">
        <v>31</v>
      </c>
      <c r="AC2131">
        <v>-61.4866999999999</v>
      </c>
      <c r="AD2131">
        <v>-1.110342476204</v>
      </c>
      <c r="AE2131">
        <v>-2.2204000000000401</v>
      </c>
      <c r="AF2131">
        <v>-1.6364080481672101</v>
      </c>
      <c r="AG2131">
        <v>-1.110342476204</v>
      </c>
      <c r="AH2131">
        <v>61.484974627438199</v>
      </c>
      <c r="AI2131">
        <v>91.034212201067703</v>
      </c>
      <c r="AJ2131">
        <v>91.524553709300704</v>
      </c>
      <c r="AK2131">
        <v>61.516768418466903</v>
      </c>
      <c r="AL2131">
        <v>89.8305940184772</v>
      </c>
      <c r="AM2131">
        <v>91.541044981420995</v>
      </c>
      <c r="AN2131">
        <v>1.0000000533598099</v>
      </c>
    </row>
    <row r="2132" spans="1:40" x14ac:dyDescent="0.3">
      <c r="A2132" t="str">
        <f>"20200111160447838"</f>
        <v>20200111160447838</v>
      </c>
      <c r="B2132" t="str">
        <f>"1578729887832527"</f>
        <v>1578729887832527</v>
      </c>
      <c r="C2132" t="s">
        <v>40</v>
      </c>
      <c r="D2132">
        <v>4.9532769999999999</v>
      </c>
      <c r="E2132">
        <v>0.47740969999999999</v>
      </c>
      <c r="F2132" t="s">
        <v>62</v>
      </c>
      <c r="G2132">
        <v>-511.9588</v>
      </c>
      <c r="H2132">
        <v>0.51342619999999894</v>
      </c>
      <c r="I2132">
        <v>278.54250000000002</v>
      </c>
      <c r="J2132">
        <v>-421.56040000000002</v>
      </c>
      <c r="K2132">
        <v>1.1103479999999999</v>
      </c>
      <c r="L2132">
        <v>284.92809999999997</v>
      </c>
      <c r="M2132">
        <v>-0.99985210000000002</v>
      </c>
      <c r="N2132">
        <v>0</v>
      </c>
      <c r="O2132">
        <v>-9.4866840000000004E-3</v>
      </c>
      <c r="P2132">
        <v>-0.9992875</v>
      </c>
      <c r="Q2132">
        <v>-1.0623809999999999E-2</v>
      </c>
      <c r="R2132">
        <v>-3.6216730000000003E-2</v>
      </c>
      <c r="S2132">
        <v>-2.9943240000000002</v>
      </c>
      <c r="T2132">
        <v>-1.9700769999999999E-2</v>
      </c>
      <c r="U2132">
        <v>-0.21087649999999999</v>
      </c>
      <c r="V2132">
        <v>-2.6733670000000001E-2</v>
      </c>
      <c r="W2132">
        <v>3.714855E-3</v>
      </c>
      <c r="X2132">
        <v>0.99963570000000002</v>
      </c>
      <c r="Y2132">
        <v>-6.0782919999999997E-2</v>
      </c>
      <c r="Z2132">
        <v>-1.373681E-4</v>
      </c>
      <c r="AA2132">
        <v>0.99815100000000001</v>
      </c>
      <c r="AB2132">
        <v>31</v>
      </c>
      <c r="AC2132">
        <v>-90.398399999999896</v>
      </c>
      <c r="AD2132">
        <v>-0.59692179999999995</v>
      </c>
      <c r="AE2132">
        <v>-6.3855999999999504</v>
      </c>
      <c r="AF2132">
        <v>-5.5274034728614803</v>
      </c>
      <c r="AG2132">
        <v>-0.59692179999999995</v>
      </c>
      <c r="AH2132">
        <v>90.450991348201597</v>
      </c>
      <c r="AI2132">
        <v>90.377407968327702</v>
      </c>
      <c r="AJ2132">
        <v>93.496960589235897</v>
      </c>
      <c r="AK2132">
        <v>90.621688025877901</v>
      </c>
      <c r="AL2132">
        <v>89.787153999782504</v>
      </c>
      <c r="AM2132">
        <v>91.531919528047993</v>
      </c>
      <c r="AN2132">
        <v>1.00000001098691</v>
      </c>
    </row>
    <row r="2133" spans="1:40" x14ac:dyDescent="0.3">
      <c r="A2133" t="str">
        <f>"20200111160447859"</f>
        <v>20200111160447859</v>
      </c>
      <c r="B2133" t="str">
        <f>"1578729887853023"</f>
        <v>1578729887853023</v>
      </c>
      <c r="C2133" t="s">
        <v>40</v>
      </c>
      <c r="D2133">
        <v>5.1920010000000003</v>
      </c>
      <c r="E2133">
        <v>0.4836163</v>
      </c>
      <c r="F2133" t="s">
        <v>62</v>
      </c>
      <c r="G2133">
        <v>-511.95870000000002</v>
      </c>
      <c r="H2133">
        <v>0.1917354</v>
      </c>
      <c r="I2133">
        <v>276.2</v>
      </c>
      <c r="J2133">
        <v>-421.86689999999999</v>
      </c>
      <c r="K2133">
        <v>1.110352</v>
      </c>
      <c r="L2133">
        <v>284.92520000000002</v>
      </c>
      <c r="M2133">
        <v>-0.99985219999999997</v>
      </c>
      <c r="N2133">
        <v>0</v>
      </c>
      <c r="O2133">
        <v>-9.486899E-3</v>
      </c>
      <c r="P2133">
        <v>-0.99931199999999998</v>
      </c>
      <c r="Q2133">
        <v>-1.0253709999999999E-2</v>
      </c>
      <c r="R2133">
        <v>-3.5641659999999999E-2</v>
      </c>
      <c r="S2133">
        <v>-2.9913639999999999</v>
      </c>
      <c r="T2133">
        <v>-3.039503E-2</v>
      </c>
      <c r="U2133">
        <v>-0.28881839999999998</v>
      </c>
      <c r="V2133">
        <v>-2.615878E-2</v>
      </c>
      <c r="W2133">
        <v>4.0815399999999998E-3</v>
      </c>
      <c r="X2133">
        <v>0.99964949999999997</v>
      </c>
      <c r="Y2133">
        <v>-8.6651610000000004E-2</v>
      </c>
      <c r="Z2133">
        <v>-3.4303049999999998E-4</v>
      </c>
      <c r="AA2133">
        <v>0.99623859999999997</v>
      </c>
      <c r="AB2133">
        <v>31</v>
      </c>
      <c r="AC2133">
        <v>-90.091800000000006</v>
      </c>
      <c r="AD2133">
        <v>-0.91861659999999901</v>
      </c>
      <c r="AE2133">
        <v>-8.7252000000000294</v>
      </c>
      <c r="AF2133">
        <v>-7.8692170564500898</v>
      </c>
      <c r="AG2133">
        <v>-0.91861659999999901</v>
      </c>
      <c r="AH2133">
        <v>90.161241745012205</v>
      </c>
      <c r="AI2133">
        <v>90.581532822685901</v>
      </c>
      <c r="AJ2133">
        <v>94.988099666076494</v>
      </c>
      <c r="AK2133">
        <v>90.508662273518595</v>
      </c>
      <c r="AL2133">
        <v>89.766144342219505</v>
      </c>
      <c r="AM2133">
        <v>91.498971116936602</v>
      </c>
      <c r="AN2133">
        <v>1.0000000317950499</v>
      </c>
    </row>
    <row r="2134" spans="1:40" x14ac:dyDescent="0.3">
      <c r="A2134" t="str">
        <f>"20200111160447882"</f>
        <v>20200111160447882</v>
      </c>
      <c r="B2134" t="str">
        <f>"1578729887872543"</f>
        <v>1578729887872543</v>
      </c>
      <c r="C2134" t="s">
        <v>40</v>
      </c>
      <c r="D2134">
        <v>4.9951349999999897</v>
      </c>
      <c r="E2134">
        <v>0.48773870000000003</v>
      </c>
      <c r="F2134" t="s">
        <v>57</v>
      </c>
      <c r="G2134">
        <v>-461.49979999999999</v>
      </c>
      <c r="H2134" s="1">
        <v>-6.1338330000000001E-7</v>
      </c>
      <c r="I2134">
        <v>281.74970000000002</v>
      </c>
      <c r="J2134">
        <v>-422.17439999999999</v>
      </c>
      <c r="K2134">
        <v>1.1103510000000001</v>
      </c>
      <c r="L2134">
        <v>284.92219999999998</v>
      </c>
      <c r="M2134">
        <v>-0.99985219999999997</v>
      </c>
      <c r="N2134">
        <v>0</v>
      </c>
      <c r="O2134">
        <v>-9.4869940000000003E-3</v>
      </c>
      <c r="P2134">
        <v>-0.99933570000000005</v>
      </c>
      <c r="Q2134">
        <v>-9.4714050000000004E-3</v>
      </c>
      <c r="R2134">
        <v>-3.5192689999999999E-2</v>
      </c>
      <c r="S2134">
        <v>-2.992645</v>
      </c>
      <c r="T2134">
        <v>-8.384192E-2</v>
      </c>
      <c r="U2134">
        <v>-0.23977660000000001</v>
      </c>
      <c r="V2134">
        <v>-2.5709180000000002E-2</v>
      </c>
      <c r="W2134">
        <v>4.8602070000000001E-3</v>
      </c>
      <c r="X2134">
        <v>0.99965760000000004</v>
      </c>
      <c r="Y2134">
        <v>-7.0381040000000006E-2</v>
      </c>
      <c r="Z2134">
        <v>-7.1881829999999997E-4</v>
      </c>
      <c r="AA2134">
        <v>0.99751990000000001</v>
      </c>
      <c r="AB2134">
        <v>31</v>
      </c>
      <c r="AC2134">
        <v>-39.325400000000002</v>
      </c>
      <c r="AD2134">
        <v>-1.1103516133833</v>
      </c>
      <c r="AE2134">
        <v>-3.1724999999999501</v>
      </c>
      <c r="AF2134">
        <v>-2.79702360498238</v>
      </c>
      <c r="AG2134">
        <v>-1.1103516133833</v>
      </c>
      <c r="AH2134">
        <v>39.322584673493203</v>
      </c>
      <c r="AI2134">
        <v>91.613356754733601</v>
      </c>
      <c r="AJ2134">
        <v>94.068608199280405</v>
      </c>
      <c r="AK2134">
        <v>39.437569488448602</v>
      </c>
      <c r="AL2134">
        <v>89.721529541198393</v>
      </c>
      <c r="AM2134">
        <v>91.473207303013197</v>
      </c>
      <c r="AN2134">
        <v>0.999999950393056</v>
      </c>
    </row>
    <row r="2135" spans="1:40" x14ac:dyDescent="0.3">
      <c r="A2135" t="str">
        <f>"20200111160447905"</f>
        <v>20200111160447905</v>
      </c>
      <c r="B2135" t="str">
        <f>"1578729887893039"</f>
        <v>1578729887893039</v>
      </c>
      <c r="C2135" t="s">
        <v>40</v>
      </c>
      <c r="D2135">
        <v>4.9154710000000001</v>
      </c>
      <c r="E2135">
        <v>0.49062149999999999</v>
      </c>
      <c r="F2135" t="s">
        <v>57</v>
      </c>
      <c r="G2135">
        <v>-451.19920000000002</v>
      </c>
      <c r="H2135" s="1">
        <v>-8.2434809999999998E-7</v>
      </c>
      <c r="I2135">
        <v>282.91640000000001</v>
      </c>
      <c r="J2135">
        <v>-422.48849999999999</v>
      </c>
      <c r="K2135">
        <v>1.110363</v>
      </c>
      <c r="L2135">
        <v>284.91930000000002</v>
      </c>
      <c r="M2135">
        <v>-0.99985239999999997</v>
      </c>
      <c r="N2135">
        <v>0</v>
      </c>
      <c r="O2135">
        <v>-9.4872069999999992E-3</v>
      </c>
      <c r="P2135">
        <v>-0.99937869999999995</v>
      </c>
      <c r="Q2135">
        <v>-9.1617109999999995E-3</v>
      </c>
      <c r="R2135">
        <v>-3.404219E-2</v>
      </c>
      <c r="S2135">
        <v>-2.9935909999999999</v>
      </c>
      <c r="T2135">
        <v>-0.1145207</v>
      </c>
      <c r="U2135">
        <v>-0.2068787</v>
      </c>
      <c r="V2135">
        <v>-2.455796E-2</v>
      </c>
      <c r="W2135">
        <v>5.1672869999999996E-3</v>
      </c>
      <c r="X2135">
        <v>0.99968500000000005</v>
      </c>
      <c r="Y2135">
        <v>-5.943768E-2</v>
      </c>
      <c r="Z2135">
        <v>-7.7275990000000001E-4</v>
      </c>
      <c r="AA2135">
        <v>0.99823170000000006</v>
      </c>
      <c r="AB2135">
        <v>31</v>
      </c>
      <c r="AC2135">
        <v>-28.710699999999999</v>
      </c>
      <c r="AD2135">
        <v>-1.1103638243481</v>
      </c>
      <c r="AE2135">
        <v>-2.0029000000000101</v>
      </c>
      <c r="AF2135">
        <v>-1.7278257564817501</v>
      </c>
      <c r="AG2135">
        <v>-1.1103638243481</v>
      </c>
      <c r="AH2135">
        <v>28.6857142123777</v>
      </c>
      <c r="AI2135">
        <v>92.212686594018294</v>
      </c>
      <c r="AJ2135">
        <v>93.446930479448</v>
      </c>
      <c r="AK2135">
        <v>28.759146189367101</v>
      </c>
      <c r="AL2135">
        <v>89.703934930056803</v>
      </c>
      <c r="AM2135">
        <v>91.407227797993599</v>
      </c>
      <c r="AN2135">
        <v>0.99999994673964898</v>
      </c>
    </row>
    <row r="2136" spans="1:40" x14ac:dyDescent="0.3">
      <c r="A2136" t="str">
        <f>"20200111160447927"</f>
        <v>20200111160447927</v>
      </c>
      <c r="B2136" t="str">
        <f>"1578729887922855"</f>
        <v>1578729887922855</v>
      </c>
      <c r="C2136" t="s">
        <v>40</v>
      </c>
      <c r="D2136">
        <v>4.9301269999999997</v>
      </c>
      <c r="E2136">
        <v>0.493427</v>
      </c>
      <c r="F2136" t="s">
        <v>57</v>
      </c>
      <c r="G2136">
        <v>-446.97519999999997</v>
      </c>
      <c r="H2136" s="1">
        <v>2.2267199999999999E-6</v>
      </c>
      <c r="I2136">
        <v>283.43490000000003</v>
      </c>
      <c r="J2136">
        <v>-422.79259999999999</v>
      </c>
      <c r="K2136">
        <v>1.1103700000000001</v>
      </c>
      <c r="L2136">
        <v>284.91640000000001</v>
      </c>
      <c r="M2136">
        <v>-0.99985239999999997</v>
      </c>
      <c r="N2136">
        <v>0</v>
      </c>
      <c r="O2136">
        <v>-9.4871829999999997E-3</v>
      </c>
      <c r="P2136">
        <v>-0.99939990000000001</v>
      </c>
      <c r="Q2136">
        <v>-7.9626890000000002E-3</v>
      </c>
      <c r="R2136">
        <v>-3.3715710000000003E-2</v>
      </c>
      <c r="S2136">
        <v>-2.9943849999999999</v>
      </c>
      <c r="T2136">
        <v>-0.1357816</v>
      </c>
      <c r="U2136">
        <v>-0.1815186</v>
      </c>
      <c r="V2136">
        <v>-2.4231260000000001E-2</v>
      </c>
      <c r="W2136">
        <v>6.362698E-3</v>
      </c>
      <c r="X2136">
        <v>0.99968610000000002</v>
      </c>
      <c r="Y2136">
        <v>-5.0992599999999999E-2</v>
      </c>
      <c r="Z2136">
        <v>-7.248946E-4</v>
      </c>
      <c r="AA2136">
        <v>0.9986988</v>
      </c>
      <c r="AB2136">
        <v>31</v>
      </c>
      <c r="AC2136">
        <v>-24.182599999999901</v>
      </c>
      <c r="AD2136">
        <v>-1.1103677732799999</v>
      </c>
      <c r="AE2136">
        <v>-1.4814999999999801</v>
      </c>
      <c r="AF2136">
        <v>-1.2493608712604101</v>
      </c>
      <c r="AG2136">
        <v>-1.1103677732799999</v>
      </c>
      <c r="AH2136">
        <v>24.144854449173799</v>
      </c>
      <c r="AI2136">
        <v>92.629536449585302</v>
      </c>
      <c r="AJ2136">
        <v>92.962093646129205</v>
      </c>
      <c r="AK2136">
        <v>24.2026406730829</v>
      </c>
      <c r="AL2136">
        <v>89.635441786874793</v>
      </c>
      <c r="AM2136">
        <v>91.3885129847895</v>
      </c>
      <c r="AN2136">
        <v>0.99999996821011705</v>
      </c>
    </row>
    <row r="2137" spans="1:40" x14ac:dyDescent="0.3">
      <c r="A2137" t="str">
        <f>"20200111160447949"</f>
        <v>20200111160447949</v>
      </c>
      <c r="B2137" t="str">
        <f>"1578729887943350"</f>
        <v>1578729887943350</v>
      </c>
      <c r="C2137" t="s">
        <v>40</v>
      </c>
      <c r="D2137">
        <v>4.9132870000000004</v>
      </c>
      <c r="E2137">
        <v>0.49499850000000001</v>
      </c>
      <c r="F2137" t="s">
        <v>57</v>
      </c>
      <c r="G2137">
        <v>-444.04160000000002</v>
      </c>
      <c r="H2137" s="1">
        <v>6.5017600000000001E-7</v>
      </c>
      <c r="I2137">
        <v>283.7878</v>
      </c>
      <c r="J2137">
        <v>-423.10019999999997</v>
      </c>
      <c r="K2137">
        <v>1.1103769999999999</v>
      </c>
      <c r="L2137">
        <v>284.9135</v>
      </c>
      <c r="M2137">
        <v>-0.99985239999999997</v>
      </c>
      <c r="N2137">
        <v>0</v>
      </c>
      <c r="O2137">
        <v>-9.4871590000000002E-3</v>
      </c>
      <c r="P2137">
        <v>-0.99943689999999996</v>
      </c>
      <c r="Q2137">
        <v>-7.1178600000000002E-3</v>
      </c>
      <c r="R2137">
        <v>-3.2794179999999999E-2</v>
      </c>
      <c r="S2137">
        <v>-2.995209</v>
      </c>
      <c r="T2137">
        <v>-0.15651489999999901</v>
      </c>
      <c r="U2137">
        <v>-0.15908810000000001</v>
      </c>
      <c r="V2137">
        <v>-2.3309679999999999E-2</v>
      </c>
      <c r="W2137">
        <v>7.2047719999999999E-3</v>
      </c>
      <c r="X2137">
        <v>0.99970230000000004</v>
      </c>
      <c r="Y2137">
        <v>-4.3515989999999997E-2</v>
      </c>
      <c r="Z2137">
        <v>-6.4031229999999997E-4</v>
      </c>
      <c r="AA2137">
        <v>0.99905250000000001</v>
      </c>
      <c r="AB2137">
        <v>31</v>
      </c>
      <c r="AC2137">
        <v>-20.941400000000002</v>
      </c>
      <c r="AD2137">
        <v>-1.110376349824</v>
      </c>
      <c r="AE2137">
        <v>-1.1256999999999899</v>
      </c>
      <c r="AF2137">
        <v>-0.924363247638889</v>
      </c>
      <c r="AG2137">
        <v>-1.110376349824</v>
      </c>
      <c r="AH2137">
        <v>20.892569161154999</v>
      </c>
      <c r="AI2137">
        <v>93.039266134539801</v>
      </c>
      <c r="AJ2137">
        <v>92.533321545161002</v>
      </c>
      <c r="AK2137">
        <v>20.942464735686698</v>
      </c>
      <c r="AL2137">
        <v>89.587193387930597</v>
      </c>
      <c r="AM2137">
        <v>91.335701973348307</v>
      </c>
      <c r="AN2137">
        <v>0.99999996927328105</v>
      </c>
    </row>
    <row r="2138" spans="1:40" x14ac:dyDescent="0.3">
      <c r="A2138" t="str">
        <f>"20200111160447970"</f>
        <v>20200111160447970</v>
      </c>
      <c r="B2138" t="str">
        <f>"1578729887962873"</f>
        <v>1578729887962873</v>
      </c>
      <c r="C2138" t="s">
        <v>40</v>
      </c>
      <c r="D2138">
        <v>4.9525800000000002</v>
      </c>
      <c r="E2138">
        <v>0.49618329999999999</v>
      </c>
      <c r="F2138" t="s">
        <v>57</v>
      </c>
      <c r="G2138">
        <v>-443.02319999999997</v>
      </c>
      <c r="H2138" s="1">
        <v>1.0104140000000001E-7</v>
      </c>
      <c r="I2138">
        <v>283.9522</v>
      </c>
      <c r="J2138">
        <v>-423.39940000000001</v>
      </c>
      <c r="K2138">
        <v>1.1103809999999901</v>
      </c>
      <c r="L2138">
        <v>284.91070000000002</v>
      </c>
      <c r="M2138">
        <v>-0.99985239999999997</v>
      </c>
      <c r="N2138">
        <v>0</v>
      </c>
      <c r="O2138">
        <v>-9.487255E-3</v>
      </c>
      <c r="P2138">
        <v>-0.9994615</v>
      </c>
      <c r="Q2138">
        <v>-6.3585469999999896E-3</v>
      </c>
      <c r="R2138">
        <v>-3.2185199999999997E-2</v>
      </c>
      <c r="S2138">
        <v>-2.9957280000000002</v>
      </c>
      <c r="T2138">
        <v>-0.16696169999999999</v>
      </c>
      <c r="U2138">
        <v>-0.144531299999999</v>
      </c>
      <c r="V2138">
        <v>-2.270032E-2</v>
      </c>
      <c r="W2138">
        <v>7.9610140000000006E-3</v>
      </c>
      <c r="X2138">
        <v>0.9997106</v>
      </c>
      <c r="Y2138">
        <v>-3.8665199999999997E-2</v>
      </c>
      <c r="Z2138">
        <v>-5.4795169999999999E-4</v>
      </c>
      <c r="AA2138">
        <v>0.99925209999999998</v>
      </c>
      <c r="AB2138">
        <v>31</v>
      </c>
      <c r="AC2138">
        <v>-19.6237999999999</v>
      </c>
      <c r="AD2138">
        <v>-1.1103808989585999</v>
      </c>
      <c r="AE2138">
        <v>-0.95850000000001501</v>
      </c>
      <c r="AF2138">
        <v>-0.76980296158115902</v>
      </c>
      <c r="AG2138">
        <v>-1.1103808989585999</v>
      </c>
      <c r="AH2138">
        <v>19.5695049706841</v>
      </c>
      <c r="AI2138">
        <v>93.244997185074396</v>
      </c>
      <c r="AJ2138">
        <v>92.2526748617625</v>
      </c>
      <c r="AK2138">
        <v>19.6160920455136</v>
      </c>
      <c r="AL2138">
        <v>89.543862671160895</v>
      </c>
      <c r="AM2138">
        <v>91.300785509409394</v>
      </c>
      <c r="AN2138">
        <v>0.99999998301218496</v>
      </c>
    </row>
    <row r="2139" spans="1:40" x14ac:dyDescent="0.3">
      <c r="A2139" t="str">
        <f>"20200111160447994"</f>
        <v>20200111160447994</v>
      </c>
      <c r="B2139" t="str">
        <f>"1578729887983366"</f>
        <v>1578729887983366</v>
      </c>
      <c r="C2139" t="s">
        <v>40</v>
      </c>
      <c r="D2139">
        <v>4.8793119999999996</v>
      </c>
      <c r="E2139">
        <v>0.49711620000000001</v>
      </c>
      <c r="F2139" t="s">
        <v>57</v>
      </c>
      <c r="G2139">
        <v>-442.20690000000002</v>
      </c>
      <c r="H2139" s="1">
        <v>-3.3847259999999999E-7</v>
      </c>
      <c r="I2139">
        <v>284.06970000000001</v>
      </c>
      <c r="J2139">
        <v>-423.70909999999998</v>
      </c>
      <c r="K2139">
        <v>1.1103809999999901</v>
      </c>
      <c r="L2139">
        <v>284.90769999999998</v>
      </c>
      <c r="M2139">
        <v>-0.99985250000000003</v>
      </c>
      <c r="N2139">
        <v>0</v>
      </c>
      <c r="O2139">
        <v>-9.4865090000000006E-3</v>
      </c>
      <c r="P2139">
        <v>-0.99948729999999997</v>
      </c>
      <c r="Q2139">
        <v>-5.4790019999999898E-3</v>
      </c>
      <c r="R2139">
        <v>-3.1550740000000001E-2</v>
      </c>
      <c r="S2139">
        <v>-2.996124</v>
      </c>
      <c r="T2139">
        <v>-0.1768885</v>
      </c>
      <c r="U2139">
        <v>-0.13397220000000001</v>
      </c>
      <c r="V2139">
        <v>-2.206663E-2</v>
      </c>
      <c r="W2139">
        <v>8.8374100000000004E-3</v>
      </c>
      <c r="X2139">
        <v>0.99971739999999998</v>
      </c>
      <c r="Y2139">
        <v>-3.5145910000000002E-2</v>
      </c>
      <c r="Z2139">
        <v>-4.7674229999999999E-4</v>
      </c>
      <c r="AA2139">
        <v>0.99938210000000005</v>
      </c>
      <c r="AB2139">
        <v>31</v>
      </c>
      <c r="AC2139">
        <v>-18.497800000000002</v>
      </c>
      <c r="AD2139">
        <v>-1.11038133847259</v>
      </c>
      <c r="AE2139">
        <v>-0.837999999999965</v>
      </c>
      <c r="AF2139">
        <v>-0.660091094640048</v>
      </c>
      <c r="AG2139">
        <v>-1.11038133847259</v>
      </c>
      <c r="AH2139">
        <v>18.438613627754901</v>
      </c>
      <c r="AI2139">
        <v>93.444014006639193</v>
      </c>
      <c r="AJ2139">
        <v>92.050278299176199</v>
      </c>
      <c r="AK2139">
        <v>18.483807494228</v>
      </c>
      <c r="AL2139">
        <v>89.493647092707803</v>
      </c>
      <c r="AM2139">
        <v>91.264476837048207</v>
      </c>
      <c r="AN2139">
        <v>0.99999995791891105</v>
      </c>
    </row>
    <row r="2140" spans="1:40" x14ac:dyDescent="0.3">
      <c r="A2140" t="str">
        <f>"20200111160448015"</f>
        <v>20200111160448015</v>
      </c>
      <c r="B2140" t="str">
        <f>"1578729888012647"</f>
        <v>1578729888012647</v>
      </c>
      <c r="C2140" t="s">
        <v>40</v>
      </c>
      <c r="D2140">
        <v>4.8782949999999996</v>
      </c>
      <c r="E2140">
        <v>0.49818889999999999</v>
      </c>
      <c r="F2140" t="s">
        <v>57</v>
      </c>
      <c r="G2140">
        <v>-441.8152</v>
      </c>
      <c r="H2140" s="1">
        <v>-5.5048499999999997E-7</v>
      </c>
      <c r="I2140">
        <v>284.15129999999999</v>
      </c>
      <c r="J2140">
        <v>-424.0102</v>
      </c>
      <c r="K2140">
        <v>1.110387</v>
      </c>
      <c r="L2140">
        <v>284.9049</v>
      </c>
      <c r="M2140">
        <v>-0.99985279999999999</v>
      </c>
      <c r="N2140">
        <v>0</v>
      </c>
      <c r="O2140">
        <v>-9.4824019999999992E-3</v>
      </c>
      <c r="P2140">
        <v>-0.99951049999999997</v>
      </c>
      <c r="Q2140">
        <v>-5.2370079999999996E-3</v>
      </c>
      <c r="R2140">
        <v>-3.0853530000000001E-2</v>
      </c>
      <c r="S2140">
        <v>-2.9965519999999999</v>
      </c>
      <c r="T2140">
        <v>-0.18376770000000001</v>
      </c>
      <c r="U2140">
        <v>-0.12518309999999999</v>
      </c>
      <c r="V2140">
        <v>-2.1372970000000002E-2</v>
      </c>
      <c r="W2140">
        <v>9.0762959999999993E-3</v>
      </c>
      <c r="X2140">
        <v>0.99973029999999996</v>
      </c>
      <c r="Y2140">
        <v>-3.2219699999999997E-2</v>
      </c>
      <c r="Z2140">
        <v>-4.0585520000000001E-4</v>
      </c>
      <c r="AA2140">
        <v>0.9994807</v>
      </c>
      <c r="AB2140">
        <v>31</v>
      </c>
      <c r="AC2140">
        <v>-17.805</v>
      </c>
      <c r="AD2140">
        <v>-1.110387550485</v>
      </c>
      <c r="AE2140">
        <v>-0.75360000000000504</v>
      </c>
      <c r="AF2140">
        <v>-0.582453428847166</v>
      </c>
      <c r="AG2140">
        <v>-1.110387550485</v>
      </c>
      <c r="AH2140">
        <v>17.742464628474199</v>
      </c>
      <c r="AI2140">
        <v>93.579183322759604</v>
      </c>
      <c r="AJ2140">
        <v>91.880242874602104</v>
      </c>
      <c r="AK2140">
        <v>17.786715930764299</v>
      </c>
      <c r="AL2140">
        <v>89.479959367825003</v>
      </c>
      <c r="AM2140">
        <v>91.224724771022395</v>
      </c>
      <c r="AN2140">
        <v>0.99999992786689196</v>
      </c>
    </row>
    <row r="2141" spans="1:40" x14ac:dyDescent="0.3">
      <c r="A2141" t="str">
        <f>"20200111160448038"</f>
        <v>20200111160448038</v>
      </c>
      <c r="B2141" t="str">
        <f>"1578729888033142"</f>
        <v>1578729888033142</v>
      </c>
      <c r="C2141" t="s">
        <v>40</v>
      </c>
      <c r="D2141">
        <v>4.9029389999999999</v>
      </c>
      <c r="E2141">
        <v>0.49883339999999998</v>
      </c>
      <c r="F2141" t="s">
        <v>57</v>
      </c>
      <c r="G2141">
        <v>-441.07069999999999</v>
      </c>
      <c r="H2141" s="1">
        <v>-9.509139E-7</v>
      </c>
      <c r="I2141">
        <v>284.2484</v>
      </c>
      <c r="J2141">
        <v>-424.3295</v>
      </c>
      <c r="K2141">
        <v>1.1103799999999999</v>
      </c>
      <c r="L2141">
        <v>284.90190000000001</v>
      </c>
      <c r="M2141">
        <v>-0.99985270000000004</v>
      </c>
      <c r="N2141">
        <v>0</v>
      </c>
      <c r="O2141">
        <v>-9.4713360000000003E-3</v>
      </c>
      <c r="P2141">
        <v>-0.99951909999999999</v>
      </c>
      <c r="Q2141">
        <v>-5.2627159999999997E-3</v>
      </c>
      <c r="R2141">
        <v>-3.0564460000000002E-2</v>
      </c>
      <c r="S2141">
        <v>-2.9968870000000001</v>
      </c>
      <c r="T2141">
        <v>-0.1950529</v>
      </c>
      <c r="U2141">
        <v>-0.1153259</v>
      </c>
      <c r="V2141">
        <v>-2.1095059999999999E-2</v>
      </c>
      <c r="W2141">
        <v>9.0476870000000004E-3</v>
      </c>
      <c r="X2141">
        <v>0.99973650000000003</v>
      </c>
      <c r="Y2141">
        <v>-2.894528E-2</v>
      </c>
      <c r="Z2141">
        <v>-3.2501850000000001E-4</v>
      </c>
      <c r="AA2141">
        <v>0.99958089999999999</v>
      </c>
      <c r="AB2141">
        <v>31</v>
      </c>
      <c r="AC2141">
        <v>-16.7411999999999</v>
      </c>
      <c r="AD2141">
        <v>-1.11038095091389</v>
      </c>
      <c r="AE2141">
        <v>-0.65350000000000796</v>
      </c>
      <c r="AF2141">
        <v>-0.49272860720137801</v>
      </c>
      <c r="AG2141">
        <v>-1.11038095091389</v>
      </c>
      <c r="AH2141">
        <v>16.673401540353499</v>
      </c>
      <c r="AI2141">
        <v>93.808383070879998</v>
      </c>
      <c r="AJ2141">
        <v>91.692699337987506</v>
      </c>
      <c r="AK2141">
        <v>16.717596904530499</v>
      </c>
      <c r="AL2141">
        <v>89.481598629880395</v>
      </c>
      <c r="AM2141">
        <v>91.208797093109993</v>
      </c>
      <c r="AN2141">
        <v>0.99999996581435102</v>
      </c>
    </row>
    <row r="2142" spans="1:40" x14ac:dyDescent="0.3">
      <c r="A2142" t="str">
        <f>"20200111160448060"</f>
        <v>20200111160448060</v>
      </c>
      <c r="B2142" t="str">
        <f>"1578729888052662"</f>
        <v>1578729888052662</v>
      </c>
      <c r="C2142" t="s">
        <v>40</v>
      </c>
      <c r="D2142">
        <v>5.0092600000000003</v>
      </c>
      <c r="E2142">
        <v>0.49931639999999999</v>
      </c>
      <c r="F2142" t="s">
        <v>57</v>
      </c>
      <c r="G2142">
        <v>-440.90910000000002</v>
      </c>
      <c r="H2142" s="1">
        <v>-1.038972E-6</v>
      </c>
      <c r="I2142">
        <v>284.29579999999999</v>
      </c>
      <c r="J2142">
        <v>-424.62270000000001</v>
      </c>
      <c r="K2142">
        <v>1.110376</v>
      </c>
      <c r="L2142">
        <v>284.89909999999998</v>
      </c>
      <c r="M2142">
        <v>-0.99985299999999999</v>
      </c>
      <c r="N2142">
        <v>0</v>
      </c>
      <c r="O2142">
        <v>-9.4544120000000006E-3</v>
      </c>
      <c r="P2142">
        <v>-0.99953519999999896</v>
      </c>
      <c r="Q2142">
        <v>-5.1181710000000004E-3</v>
      </c>
      <c r="R2142">
        <v>-3.0056610000000001E-2</v>
      </c>
      <c r="S2142">
        <v>-2.9970089999999998</v>
      </c>
      <c r="T2142">
        <v>-0.20071720000000001</v>
      </c>
      <c r="U2142">
        <v>-0.10955810000000001</v>
      </c>
      <c r="V2142">
        <v>-2.060354E-2</v>
      </c>
      <c r="W2142">
        <v>9.1893019999999999E-3</v>
      </c>
      <c r="X2142">
        <v>0.99974549999999995</v>
      </c>
      <c r="Y2142">
        <v>-2.704138E-2</v>
      </c>
      <c r="Z2142">
        <v>-2.7190310000000002E-4</v>
      </c>
      <c r="AA2142">
        <v>0.99963429999999998</v>
      </c>
      <c r="AB2142">
        <v>31</v>
      </c>
      <c r="AC2142">
        <v>-16.2864</v>
      </c>
      <c r="AD2142">
        <v>-1.110377038972</v>
      </c>
      <c r="AE2142">
        <v>-0.60329999999998996</v>
      </c>
      <c r="AF2142">
        <v>-0.447203071929965</v>
      </c>
      <c r="AG2142">
        <v>-1.110377038972</v>
      </c>
      <c r="AH2142">
        <v>16.2161029462711</v>
      </c>
      <c r="AI2142">
        <v>93.915657207924497</v>
      </c>
      <c r="AJ2142">
        <v>91.579686315668397</v>
      </c>
      <c r="AK2142">
        <v>16.260225168191301</v>
      </c>
      <c r="AL2142">
        <v>89.473484372094404</v>
      </c>
      <c r="AM2142">
        <v>91.180629270224003</v>
      </c>
      <c r="AN2142">
        <v>1.00000000695101</v>
      </c>
    </row>
    <row r="2143" spans="1:40" x14ac:dyDescent="0.3">
      <c r="A2143" t="str">
        <f>"20200111160448082"</f>
        <v>20200111160448082</v>
      </c>
      <c r="B2143" t="str">
        <f>"1578729888073158"</f>
        <v>1578729888073158</v>
      </c>
      <c r="C2143" t="s">
        <v>40</v>
      </c>
      <c r="D2143">
        <v>5.064705</v>
      </c>
      <c r="E2143">
        <v>0.49954280000000001</v>
      </c>
      <c r="F2143" t="s">
        <v>57</v>
      </c>
      <c r="G2143">
        <v>-440.80090000000001</v>
      </c>
      <c r="H2143" s="1">
        <v>-1.0983229999999999E-6</v>
      </c>
      <c r="I2143">
        <v>284.33580000000001</v>
      </c>
      <c r="J2143">
        <v>-424.92559999999997</v>
      </c>
      <c r="K2143">
        <v>1.110374</v>
      </c>
      <c r="L2143">
        <v>284.8963</v>
      </c>
      <c r="M2143">
        <v>-0.99985329999999994</v>
      </c>
      <c r="N2143">
        <v>0</v>
      </c>
      <c r="O2143">
        <v>-9.4314020000000002E-3</v>
      </c>
      <c r="P2143">
        <v>-0.99953559999999997</v>
      </c>
      <c r="Q2143">
        <v>-5.163338E-3</v>
      </c>
      <c r="R2143">
        <v>-3.003685E-2</v>
      </c>
      <c r="S2143">
        <v>-2.997223</v>
      </c>
      <c r="T2143">
        <v>-0.20571139999999999</v>
      </c>
      <c r="U2143">
        <v>-0.10437009999999999</v>
      </c>
      <c r="V2143">
        <v>-2.0606889999999999E-2</v>
      </c>
      <c r="W2143">
        <v>9.1411429999999991E-3</v>
      </c>
      <c r="X2143">
        <v>0.99974580000000002</v>
      </c>
      <c r="Y2143">
        <v>-2.533562E-2</v>
      </c>
      <c r="Z2143">
        <v>-2.2176739999999999E-4</v>
      </c>
      <c r="AA2143">
        <v>0.99967899999999998</v>
      </c>
      <c r="AB2143">
        <v>31</v>
      </c>
      <c r="AC2143">
        <v>-15.875299999999999</v>
      </c>
      <c r="AD2143">
        <v>-1.1103750983230001</v>
      </c>
      <c r="AE2143">
        <v>-0.56049999999999001</v>
      </c>
      <c r="AF2143">
        <v>-0.40873633259172798</v>
      </c>
      <c r="AG2143">
        <v>-1.1103750983230001</v>
      </c>
      <c r="AH2143">
        <v>15.802668590628199</v>
      </c>
      <c r="AI2143">
        <v>94.017944762288806</v>
      </c>
      <c r="AJ2143">
        <v>91.481626115918701</v>
      </c>
      <c r="AK2143">
        <v>15.8469029413884</v>
      </c>
      <c r="AL2143">
        <v>89.476243757480802</v>
      </c>
      <c r="AM2143">
        <v>91.180820824189794</v>
      </c>
      <c r="AN2143">
        <v>0.99999993451422697</v>
      </c>
    </row>
    <row r="2144" spans="1:40" x14ac:dyDescent="0.3">
      <c r="A2144" t="str">
        <f>"20200111160448105"</f>
        <v>20200111160448105</v>
      </c>
      <c r="B2144" t="str">
        <f>"1578729888103414"</f>
        <v>1578729888103414</v>
      </c>
      <c r="C2144" t="s">
        <v>40</v>
      </c>
      <c r="D2144">
        <v>4.9736310000000001</v>
      </c>
      <c r="E2144">
        <v>0.50029609999999902</v>
      </c>
      <c r="F2144" t="s">
        <v>57</v>
      </c>
      <c r="G2144">
        <v>-440.75760000000002</v>
      </c>
      <c r="H2144" s="1">
        <v>-1.1221250000000001E-6</v>
      </c>
      <c r="I2144">
        <v>284.35340000000002</v>
      </c>
      <c r="J2144">
        <v>-425.233</v>
      </c>
      <c r="K2144">
        <v>1.1103749999999999</v>
      </c>
      <c r="L2144">
        <v>284.89339999999999</v>
      </c>
      <c r="M2144">
        <v>-0.99985360000000001</v>
      </c>
      <c r="N2144">
        <v>0</v>
      </c>
      <c r="O2144">
        <v>-9.402578E-3</v>
      </c>
      <c r="P2144">
        <v>-0.99953190000000003</v>
      </c>
      <c r="Q2144">
        <v>-5.2757150000000003E-3</v>
      </c>
      <c r="R2144">
        <v>-3.013702E-2</v>
      </c>
      <c r="S2144">
        <v>-2.997223</v>
      </c>
      <c r="T2144">
        <v>-0.2102098</v>
      </c>
      <c r="U2144">
        <v>-0.10278320000000001</v>
      </c>
      <c r="V2144">
        <v>-2.073562E-2</v>
      </c>
      <c r="W2144">
        <v>9.025277E-3</v>
      </c>
      <c r="X2144">
        <v>0.99974419999999997</v>
      </c>
      <c r="Y2144">
        <v>-2.4835280000000001E-2</v>
      </c>
      <c r="Z2144">
        <v>-2.111061E-4</v>
      </c>
      <c r="AA2144">
        <v>0.99969149999999996</v>
      </c>
      <c r="AB2144">
        <v>31</v>
      </c>
      <c r="AC2144">
        <v>-15.5246</v>
      </c>
      <c r="AD2144">
        <v>-1.1103761221249999</v>
      </c>
      <c r="AE2144">
        <v>-0.53999999999996295</v>
      </c>
      <c r="AF2144">
        <v>-0.39198710452740898</v>
      </c>
      <c r="AG2144">
        <v>-1.1103761221249999</v>
      </c>
      <c r="AH2144">
        <v>15.450050224427599</v>
      </c>
      <c r="AI2144">
        <v>94.109391681713205</v>
      </c>
      <c r="AJ2144">
        <v>91.453353823912494</v>
      </c>
      <c r="AK2144">
        <v>15.494858533076</v>
      </c>
      <c r="AL2144">
        <v>89.482882669230193</v>
      </c>
      <c r="AM2144">
        <v>91.188197133612903</v>
      </c>
      <c r="AN2144">
        <v>0.99999994349767296</v>
      </c>
    </row>
    <row r="2145" spans="1:40" x14ac:dyDescent="0.3">
      <c r="A2145" t="str">
        <f>"20200111160448127"</f>
        <v>20200111160448127</v>
      </c>
      <c r="B2145" t="str">
        <f>"1578729888122934"</f>
        <v>1578729888122934</v>
      </c>
      <c r="C2145" t="s">
        <v>40</v>
      </c>
      <c r="D2145">
        <v>5.0979609999999997</v>
      </c>
      <c r="E2145">
        <v>0.50056889999999998</v>
      </c>
      <c r="F2145" t="s">
        <v>57</v>
      </c>
      <c r="G2145">
        <v>-440.55410000000001</v>
      </c>
      <c r="H2145" s="1">
        <v>-1.232276E-6</v>
      </c>
      <c r="I2145">
        <v>284.39550000000003</v>
      </c>
      <c r="J2145">
        <v>-425.54689999999999</v>
      </c>
      <c r="K2145">
        <v>1.110374</v>
      </c>
      <c r="L2145">
        <v>284.89049999999997</v>
      </c>
      <c r="M2145">
        <v>-0.99985380000000001</v>
      </c>
      <c r="N2145">
        <v>0</v>
      </c>
      <c r="O2145">
        <v>-9.3694810000000007E-3</v>
      </c>
      <c r="P2145">
        <v>-0.99953150000000002</v>
      </c>
      <c r="Q2145">
        <v>-5.1221720000000004E-3</v>
      </c>
      <c r="R2145">
        <v>-3.01734E-2</v>
      </c>
      <c r="S2145">
        <v>-2.9973139999999998</v>
      </c>
      <c r="T2145">
        <v>-0.217226</v>
      </c>
      <c r="U2145">
        <v>-9.7412109999999996E-2</v>
      </c>
      <c r="V2145">
        <v>-2.0805669999999998E-2</v>
      </c>
      <c r="W2145">
        <v>9.1759530000000006E-3</v>
      </c>
      <c r="X2145">
        <v>0.9997414</v>
      </c>
      <c r="Y2145">
        <v>-2.3079809999999999E-2</v>
      </c>
      <c r="Z2145">
        <v>-1.570148E-4</v>
      </c>
      <c r="AA2145">
        <v>0.9997336</v>
      </c>
      <c r="AB2145">
        <v>30</v>
      </c>
      <c r="AC2145">
        <v>-15.007199999999999</v>
      </c>
      <c r="AD2145">
        <v>-1.1103752322760001</v>
      </c>
      <c r="AE2145">
        <v>-0.49499999999994698</v>
      </c>
      <c r="AF2145">
        <v>-0.35242696083659403</v>
      </c>
      <c r="AG2145">
        <v>-1.1103752322760001</v>
      </c>
      <c r="AH2145">
        <v>14.929537372533</v>
      </c>
      <c r="AI2145">
        <v>94.252327066081193</v>
      </c>
      <c r="AJ2145">
        <v>91.352274183732902</v>
      </c>
      <c r="AK2145">
        <v>14.974919835412599</v>
      </c>
      <c r="AL2145">
        <v>89.474249226504597</v>
      </c>
      <c r="AM2145">
        <v>91.192213335872907</v>
      </c>
      <c r="AN2145">
        <v>0.99999997044578304</v>
      </c>
    </row>
    <row r="2146" spans="1:40" x14ac:dyDescent="0.3">
      <c r="A2146" t="str">
        <f>"20200111160448150"</f>
        <v>20200111160448150</v>
      </c>
      <c r="B2146" t="str">
        <f>"1578729888143430"</f>
        <v>1578729888143430</v>
      </c>
      <c r="C2146" t="s">
        <v>40</v>
      </c>
      <c r="D2146">
        <v>5.0747689999999999</v>
      </c>
      <c r="E2146">
        <v>0.50086379999999997</v>
      </c>
      <c r="F2146" t="s">
        <v>57</v>
      </c>
      <c r="G2146">
        <v>-440.60019999999997</v>
      </c>
      <c r="H2146" s="1">
        <v>-1.208387E-6</v>
      </c>
      <c r="I2146">
        <v>284.41039999999998</v>
      </c>
      <c r="J2146">
        <v>-425.84859999999998</v>
      </c>
      <c r="K2146">
        <v>1.1103769999999999</v>
      </c>
      <c r="L2146">
        <v>284.8877</v>
      </c>
      <c r="M2146">
        <v>-0.99985429999999997</v>
      </c>
      <c r="N2146">
        <v>0</v>
      </c>
      <c r="O2146">
        <v>-9.3353410000000005E-3</v>
      </c>
      <c r="P2146">
        <v>-0.99952350000000001</v>
      </c>
      <c r="Q2146">
        <v>-4.7586260000000002E-3</v>
      </c>
      <c r="R2146">
        <v>-3.0503479999999999E-2</v>
      </c>
      <c r="S2146">
        <v>-2.9973749999999999</v>
      </c>
      <c r="T2146">
        <v>-0.2210955</v>
      </c>
      <c r="U2146">
        <v>-9.5611570000000007E-2</v>
      </c>
      <c r="V2146">
        <v>-2.1169810000000001E-2</v>
      </c>
      <c r="W2146">
        <v>9.5359469999999995E-3</v>
      </c>
      <c r="X2146">
        <v>0.99973040000000002</v>
      </c>
      <c r="Y2146">
        <v>-2.251351E-2</v>
      </c>
      <c r="Z2146">
        <v>-1.4146429999999999E-4</v>
      </c>
      <c r="AA2146">
        <v>0.99974649999999998</v>
      </c>
      <c r="AB2146">
        <v>30</v>
      </c>
      <c r="AC2146">
        <v>-14.7515999999999</v>
      </c>
      <c r="AD2146">
        <v>-1.110378208387</v>
      </c>
      <c r="AE2146">
        <v>-0.47730000000001299</v>
      </c>
      <c r="AF2146">
        <v>-0.33764288959538302</v>
      </c>
      <c r="AG2146">
        <v>-1.110378208387</v>
      </c>
      <c r="AH2146">
        <v>14.6723690551008</v>
      </c>
      <c r="AI2146">
        <v>94.326649852481793</v>
      </c>
      <c r="AJ2146">
        <v>91.318266920767002</v>
      </c>
      <c r="AK2146">
        <v>14.718198129378299</v>
      </c>
      <c r="AL2146">
        <v>89.453622193490204</v>
      </c>
      <c r="AM2146">
        <v>91.2130865677278</v>
      </c>
      <c r="AN2146">
        <v>0.99999998391239098</v>
      </c>
    </row>
    <row r="2147" spans="1:40" x14ac:dyDescent="0.3">
      <c r="A2147" t="str">
        <f>"20200111160448171"</f>
        <v>20200111160448171</v>
      </c>
      <c r="B2147" t="str">
        <f>"1578729888162950"</f>
        <v>1578729888162950</v>
      </c>
      <c r="C2147" t="s">
        <v>40</v>
      </c>
      <c r="D2147">
        <v>5.0449109999999999</v>
      </c>
      <c r="E2147">
        <v>0.50112769999999995</v>
      </c>
      <c r="F2147" t="s">
        <v>57</v>
      </c>
      <c r="G2147">
        <v>-440.71030000000002</v>
      </c>
      <c r="H2147" s="1">
        <v>-1.1502560000000001E-6</v>
      </c>
      <c r="I2147">
        <v>284.42059999999998</v>
      </c>
      <c r="J2147">
        <v>-426.14429999999999</v>
      </c>
      <c r="K2147">
        <v>1.110371</v>
      </c>
      <c r="L2147">
        <v>284.88499999999999</v>
      </c>
      <c r="M2147">
        <v>-0.99985469999999999</v>
      </c>
      <c r="N2147">
        <v>0</v>
      </c>
      <c r="O2147">
        <v>-9.300974E-3</v>
      </c>
      <c r="P2147">
        <v>-0.99951679999999998</v>
      </c>
      <c r="Q2147">
        <v>-4.6471450000000001E-3</v>
      </c>
      <c r="R2147">
        <v>-3.073416E-2</v>
      </c>
      <c r="S2147">
        <v>-2.9974370000000001</v>
      </c>
      <c r="T2147">
        <v>-0.22395129999999999</v>
      </c>
      <c r="U2147">
        <v>-9.4207760000000001E-2</v>
      </c>
      <c r="V2147">
        <v>-2.1434829999999998E-2</v>
      </c>
      <c r="W2147">
        <v>9.6441840000000001E-3</v>
      </c>
      <c r="X2147">
        <v>0.99972369999999999</v>
      </c>
      <c r="Y2147">
        <v>-2.2079669999999999E-2</v>
      </c>
      <c r="Z2147">
        <v>-1.296669E-4</v>
      </c>
      <c r="AA2147">
        <v>0.99975619999999998</v>
      </c>
      <c r="AB2147">
        <v>30</v>
      </c>
      <c r="AC2147">
        <v>-14.566000000000001</v>
      </c>
      <c r="AD2147">
        <v>-1.110372150256</v>
      </c>
      <c r="AE2147">
        <v>-0.46440000000001103</v>
      </c>
      <c r="AF2147">
        <v>-0.32698986212938802</v>
      </c>
      <c r="AG2147">
        <v>-1.110372150256</v>
      </c>
      <c r="AH2147">
        <v>14.485598207253</v>
      </c>
      <c r="AI2147">
        <v>94.382239628702393</v>
      </c>
      <c r="AJ2147">
        <v>91.293143542955804</v>
      </c>
      <c r="AK2147">
        <v>14.531772228602099</v>
      </c>
      <c r="AL2147">
        <v>89.447420376820801</v>
      </c>
      <c r="AM2147">
        <v>91.228276526113007</v>
      </c>
      <c r="AN2147">
        <v>0.99999996928192103</v>
      </c>
    </row>
    <row r="2148" spans="1:40" x14ac:dyDescent="0.3">
      <c r="A2148" t="str">
        <f>"20200111160448194"</f>
        <v>20200111160448194</v>
      </c>
      <c r="B2148" t="str">
        <f>"1578729888183446"</f>
        <v>1578729888183446</v>
      </c>
      <c r="C2148" t="s">
        <v>40</v>
      </c>
      <c r="D2148">
        <v>5.0888710000000001</v>
      </c>
      <c r="E2148">
        <v>0.50135339999999995</v>
      </c>
      <c r="F2148" t="s">
        <v>57</v>
      </c>
      <c r="G2148">
        <v>-440.78989999999999</v>
      </c>
      <c r="H2148" s="1">
        <v>-1.1083400000000001E-6</v>
      </c>
      <c r="I2148">
        <v>284.43079999999998</v>
      </c>
      <c r="J2148">
        <v>-426.4452</v>
      </c>
      <c r="K2148">
        <v>1.1103719999999999</v>
      </c>
      <c r="L2148">
        <v>284.88229999999999</v>
      </c>
      <c r="M2148">
        <v>-0.99985500000000005</v>
      </c>
      <c r="N2148">
        <v>0</v>
      </c>
      <c r="O2148">
        <v>-9.266135E-3</v>
      </c>
      <c r="P2148">
        <v>-0.99949869999999996</v>
      </c>
      <c r="Q2148">
        <v>-4.0480610000000004E-3</v>
      </c>
      <c r="R2148">
        <v>-3.1405559999999999E-2</v>
      </c>
      <c r="S2148">
        <v>-2.997528</v>
      </c>
      <c r="T2148">
        <v>-0.22726060000000001</v>
      </c>
      <c r="U2148">
        <v>-9.2956540000000004E-2</v>
      </c>
      <c r="V2148">
        <v>-2.2140690000000001E-2</v>
      </c>
      <c r="W2148">
        <v>1.02402E-2</v>
      </c>
      <c r="X2148">
        <v>0.99970239999999999</v>
      </c>
      <c r="Y2148">
        <v>-2.1696569999999998E-2</v>
      </c>
      <c r="Z2148">
        <v>-1.197131E-4</v>
      </c>
      <c r="AA2148">
        <v>0.9997646</v>
      </c>
      <c r="AB2148">
        <v>30</v>
      </c>
      <c r="AC2148">
        <v>-14.3446999999999</v>
      </c>
      <c r="AD2148">
        <v>-1.1103731083399999</v>
      </c>
      <c r="AE2148">
        <v>-0.45150000000001</v>
      </c>
      <c r="AF2148">
        <v>-0.316651692514691</v>
      </c>
      <c r="AG2148">
        <v>-1.1103731083399999</v>
      </c>
      <c r="AH2148">
        <v>14.262892767631699</v>
      </c>
      <c r="AI2148">
        <v>94.450433309714199</v>
      </c>
      <c r="AJ2148">
        <v>91.2718195349361</v>
      </c>
      <c r="AK2148">
        <v>14.3095529921469</v>
      </c>
      <c r="AL2148">
        <v>89.413269492453097</v>
      </c>
      <c r="AM2148">
        <v>91.268738318298205</v>
      </c>
      <c r="AN2148">
        <v>0.99999998020773695</v>
      </c>
    </row>
    <row r="2149" spans="1:40" x14ac:dyDescent="0.3">
      <c r="A2149" t="str">
        <f>"20200111160448217"</f>
        <v>20200111160448217</v>
      </c>
      <c r="B2149" t="str">
        <f>"1578729888212726"</f>
        <v>1578729888212726</v>
      </c>
      <c r="C2149" t="s">
        <v>40</v>
      </c>
      <c r="D2149">
        <v>5.1277350000000004</v>
      </c>
      <c r="E2149">
        <v>0.50166670000000002</v>
      </c>
      <c r="F2149" t="s">
        <v>57</v>
      </c>
      <c r="G2149">
        <v>-441.00360000000001</v>
      </c>
      <c r="H2149" s="1">
        <v>-9.9456629999999991E-7</v>
      </c>
      <c r="I2149">
        <v>284.42959999999999</v>
      </c>
      <c r="J2149">
        <v>-426.7543</v>
      </c>
      <c r="K2149">
        <v>1.110382</v>
      </c>
      <c r="L2149">
        <v>284.87939999999998</v>
      </c>
      <c r="M2149">
        <v>-0.99985550000000001</v>
      </c>
      <c r="N2149">
        <v>0</v>
      </c>
      <c r="O2149">
        <v>-9.2310640000000006E-3</v>
      </c>
      <c r="P2149">
        <v>-0.99948599999999999</v>
      </c>
      <c r="Q2149">
        <v>-2.9146300000000001E-3</v>
      </c>
      <c r="R2149">
        <v>-3.192938E-2</v>
      </c>
      <c r="S2149">
        <v>-2.9976500000000001</v>
      </c>
      <c r="T2149">
        <v>-0.2286311</v>
      </c>
      <c r="U2149">
        <v>-9.3200679999999994E-2</v>
      </c>
      <c r="V2149">
        <v>-2.269958E-2</v>
      </c>
      <c r="W2149">
        <v>1.136976E-2</v>
      </c>
      <c r="X2149">
        <v>0.9996777</v>
      </c>
      <c r="Y2149">
        <v>-2.181087E-2</v>
      </c>
      <c r="Z2149">
        <v>-1.2744939999999999E-4</v>
      </c>
      <c r="AA2149">
        <v>0.99976209999999999</v>
      </c>
      <c r="AB2149">
        <v>30</v>
      </c>
      <c r="AC2149">
        <v>-14.2493</v>
      </c>
      <c r="AD2149">
        <v>-1.1103829945663</v>
      </c>
      <c r="AE2149">
        <v>-0.44979999999998199</v>
      </c>
      <c r="AF2149">
        <v>-0.316312372599997</v>
      </c>
      <c r="AG2149">
        <v>-1.1103829945663</v>
      </c>
      <c r="AH2149">
        <v>14.1669041977676</v>
      </c>
      <c r="AI2149">
        <v>94.480492245632405</v>
      </c>
      <c r="AJ2149">
        <v>91.279062312164996</v>
      </c>
      <c r="AK2149">
        <v>14.213872746736101</v>
      </c>
      <c r="AL2149">
        <v>89.348546716757397</v>
      </c>
      <c r="AM2149">
        <v>91.300785913652007</v>
      </c>
      <c r="AN2149">
        <v>1.00000002312596</v>
      </c>
    </row>
    <row r="2150" spans="1:40" x14ac:dyDescent="0.3">
      <c r="A2150" t="str">
        <f>"20200111160448239"</f>
        <v>20200111160448239</v>
      </c>
      <c r="B2150" t="str">
        <f>"1578729888233222"</f>
        <v>1578729888233222</v>
      </c>
      <c r="C2150" t="s">
        <v>40</v>
      </c>
      <c r="D2150">
        <v>5.1231460000000002</v>
      </c>
      <c r="E2150">
        <v>0.50175379999999903</v>
      </c>
      <c r="F2150" t="s">
        <v>57</v>
      </c>
      <c r="G2150">
        <v>-441.2774</v>
      </c>
      <c r="H2150" s="1">
        <v>-8.4893800000000003E-7</v>
      </c>
      <c r="I2150">
        <v>284.43150000000003</v>
      </c>
      <c r="J2150">
        <v>-427.05829999999997</v>
      </c>
      <c r="K2150">
        <v>1.1103889999999901</v>
      </c>
      <c r="L2150">
        <v>284.8766</v>
      </c>
      <c r="M2150">
        <v>-0.99985579999999996</v>
      </c>
      <c r="N2150">
        <v>0</v>
      </c>
      <c r="O2150">
        <v>-9.1974190000000001E-3</v>
      </c>
      <c r="P2150">
        <v>-0.99948890000000001</v>
      </c>
      <c r="Q2150">
        <v>-3.1487590000000001E-3</v>
      </c>
      <c r="R2150">
        <v>-3.1815360000000001E-2</v>
      </c>
      <c r="S2150">
        <v>-2.997925</v>
      </c>
      <c r="T2150">
        <v>-0.22921040000000001</v>
      </c>
      <c r="U2150">
        <v>-9.2468259999999997E-2</v>
      </c>
      <c r="V2150">
        <v>-2.261908E-2</v>
      </c>
      <c r="W2150">
        <v>1.1132309999999999E-2</v>
      </c>
      <c r="X2150">
        <v>0.99968219999999997</v>
      </c>
      <c r="Y2150">
        <v>-2.1597990000000001E-2</v>
      </c>
      <c r="Z2150">
        <v>-1.22204E-4</v>
      </c>
      <c r="AA2150">
        <v>0.99976670000000001</v>
      </c>
      <c r="AB2150">
        <v>30</v>
      </c>
      <c r="AC2150">
        <v>-14.219099999999999</v>
      </c>
      <c r="AD2150">
        <v>-1.11038984893799</v>
      </c>
      <c r="AE2150">
        <v>-0.44509999999996802</v>
      </c>
      <c r="AF2150">
        <v>-0.312385673874781</v>
      </c>
      <c r="AG2150">
        <v>-1.11038984893799</v>
      </c>
      <c r="AH2150">
        <v>14.1364690041495</v>
      </c>
      <c r="AI2150">
        <v>94.490149552647296</v>
      </c>
      <c r="AJ2150">
        <v>91.2659079286625</v>
      </c>
      <c r="AK2150">
        <v>14.1834518482331</v>
      </c>
      <c r="AL2150">
        <v>89.362152462360299</v>
      </c>
      <c r="AM2150">
        <v>91.296168652970593</v>
      </c>
      <c r="AN2150">
        <v>1.0000000260514099</v>
      </c>
    </row>
    <row r="2151" spans="1:40" x14ac:dyDescent="0.3">
      <c r="A2151" t="str">
        <f>"20200111160448261"</f>
        <v>20200111160448261</v>
      </c>
      <c r="B2151" t="str">
        <f>"1578729888252742"</f>
        <v>1578729888252742</v>
      </c>
      <c r="C2151" t="s">
        <v>40</v>
      </c>
      <c r="D2151">
        <v>5.1037470000000003</v>
      </c>
      <c r="E2151">
        <v>0.50182340000000003</v>
      </c>
      <c r="F2151" t="s">
        <v>57</v>
      </c>
      <c r="G2151">
        <v>-441.34379999999999</v>
      </c>
      <c r="H2151" s="1">
        <v>-8.1393569999999996E-7</v>
      </c>
      <c r="I2151">
        <v>284.43920000000003</v>
      </c>
      <c r="J2151">
        <v>-427.3528</v>
      </c>
      <c r="K2151">
        <v>1.110387</v>
      </c>
      <c r="L2151">
        <v>284.87400000000002</v>
      </c>
      <c r="M2151">
        <v>-0.99985619999999997</v>
      </c>
      <c r="N2151">
        <v>0</v>
      </c>
      <c r="O2151">
        <v>-9.1648560000000007E-3</v>
      </c>
      <c r="P2151">
        <v>-0.99950399999999995</v>
      </c>
      <c r="Q2151">
        <v>-3.614496E-3</v>
      </c>
      <c r="R2151">
        <v>-3.1291449999999998E-2</v>
      </c>
      <c r="S2151">
        <v>-2.9978940000000001</v>
      </c>
      <c r="T2151">
        <v>-0.2330217</v>
      </c>
      <c r="U2151">
        <v>-9.1796879999999997E-2</v>
      </c>
      <c r="V2151">
        <v>-2.2127730000000002E-2</v>
      </c>
      <c r="W2151">
        <v>1.066361E-2</v>
      </c>
      <c r="X2151">
        <v>0.99969830000000004</v>
      </c>
      <c r="Y2151">
        <v>-2.1406439999999999E-2</v>
      </c>
      <c r="Z2151">
        <v>-1.193268E-4</v>
      </c>
      <c r="AA2151">
        <v>0.99977079999999996</v>
      </c>
      <c r="AB2151">
        <v>30</v>
      </c>
      <c r="AC2151">
        <v>-13.9909999999999</v>
      </c>
      <c r="AD2151">
        <v>-1.1103878139357</v>
      </c>
      <c r="AE2151">
        <v>-0.43479999999999502</v>
      </c>
      <c r="AF2151">
        <v>-0.30462627844993301</v>
      </c>
      <c r="AG2151">
        <v>-1.1103878139357</v>
      </c>
      <c r="AH2151">
        <v>13.9068865904574</v>
      </c>
      <c r="AI2151">
        <v>94.563975713106899</v>
      </c>
      <c r="AJ2151">
        <v>91.2548465995729</v>
      </c>
      <c r="AK2151">
        <v>13.954470713957701</v>
      </c>
      <c r="AL2151">
        <v>89.389008584916297</v>
      </c>
      <c r="AM2151">
        <v>91.268001106541107</v>
      </c>
      <c r="AN2151">
        <v>1.0000000200180299</v>
      </c>
    </row>
    <row r="2152" spans="1:40" x14ac:dyDescent="0.3">
      <c r="A2152" t="str">
        <f>"20200111160448283"</f>
        <v>20200111160448283</v>
      </c>
      <c r="B2152" t="str">
        <f>"1578729888273238"</f>
        <v>1578729888273238</v>
      </c>
      <c r="C2152" t="s">
        <v>40</v>
      </c>
      <c r="D2152">
        <v>5.3392939999999998</v>
      </c>
      <c r="E2152">
        <v>0.54220950000000001</v>
      </c>
      <c r="F2152" t="s">
        <v>57</v>
      </c>
      <c r="G2152">
        <v>-441.45319999999998</v>
      </c>
      <c r="H2152" s="1">
        <v>-7.5632649999999995E-7</v>
      </c>
      <c r="I2152">
        <v>284.45269999999999</v>
      </c>
      <c r="J2152">
        <v>-427.65550000000002</v>
      </c>
      <c r="K2152">
        <v>1.110384</v>
      </c>
      <c r="L2152">
        <v>284.87119999999999</v>
      </c>
      <c r="M2152">
        <v>-0.99985650000000004</v>
      </c>
      <c r="N2152">
        <v>0</v>
      </c>
      <c r="O2152">
        <v>-9.1315760000000006E-3</v>
      </c>
      <c r="P2152">
        <v>-0.99950859999999997</v>
      </c>
      <c r="Q2152">
        <v>-3.5435890000000002E-3</v>
      </c>
      <c r="R2152">
        <v>-3.114917E-2</v>
      </c>
      <c r="S2152">
        <v>-2.997833</v>
      </c>
      <c r="T2152">
        <v>-0.23607549999999999</v>
      </c>
      <c r="U2152">
        <v>-8.9569090000000004E-2</v>
      </c>
      <c r="V2152">
        <v>-2.2018550000000001E-2</v>
      </c>
      <c r="W2152">
        <v>1.0731320000000001E-2</v>
      </c>
      <c r="X2152">
        <v>0.99970000000000003</v>
      </c>
      <c r="Y2152">
        <v>-2.0699169999999999E-2</v>
      </c>
      <c r="Z2152" s="1">
        <v>-9.5705789999999994E-5</v>
      </c>
      <c r="AA2152">
        <v>0.9997857</v>
      </c>
      <c r="AB2152">
        <v>30</v>
      </c>
      <c r="AC2152">
        <v>-13.797699999999899</v>
      </c>
      <c r="AD2152">
        <v>-1.1103847563264999</v>
      </c>
      <c r="AE2152">
        <v>-0.41849999999999399</v>
      </c>
      <c r="AF2152">
        <v>-0.29059469628630002</v>
      </c>
      <c r="AG2152">
        <v>-1.1103847563264999</v>
      </c>
      <c r="AH2152">
        <v>13.712222362553</v>
      </c>
      <c r="AI2152">
        <v>94.628546208345199</v>
      </c>
      <c r="AJ2152">
        <v>91.214052492698002</v>
      </c>
      <c r="AK2152">
        <v>13.760175932912</v>
      </c>
      <c r="AL2152">
        <v>89.385128874294395</v>
      </c>
      <c r="AM2152">
        <v>91.261744569677006</v>
      </c>
      <c r="AN2152">
        <v>1.00000003388652</v>
      </c>
    </row>
    <row r="2153" spans="1:40" x14ac:dyDescent="0.3">
      <c r="A2153" t="str">
        <f>"20200111160448297"</f>
        <v>20200111160448297</v>
      </c>
      <c r="B2153" t="str">
        <f>"1578729888292759"</f>
        <v>1578729888292759</v>
      </c>
      <c r="C2153" t="s">
        <v>40</v>
      </c>
      <c r="D2153">
        <v>5.2873479999999997</v>
      </c>
      <c r="E2153">
        <v>0.55222079999999996</v>
      </c>
      <c r="F2153" t="s">
        <v>42</v>
      </c>
      <c r="G2153">
        <v>-428.36180000000002</v>
      </c>
      <c r="H2153">
        <v>0.99064949999999996</v>
      </c>
      <c r="I2153">
        <v>284.92340000000002</v>
      </c>
      <c r="J2153">
        <v>-427.83960000000002</v>
      </c>
      <c r="K2153">
        <v>1.110384</v>
      </c>
      <c r="L2153">
        <v>284.86950000000002</v>
      </c>
      <c r="M2153">
        <v>-0.99985670000000004</v>
      </c>
      <c r="N2153">
        <v>0</v>
      </c>
      <c r="O2153">
        <v>-9.1114170000000001E-3</v>
      </c>
      <c r="P2153">
        <v>-0.99950709999999998</v>
      </c>
      <c r="Q2153">
        <v>-3.3435689999999998E-3</v>
      </c>
      <c r="R2153">
        <v>-3.122028E-2</v>
      </c>
      <c r="S2153">
        <v>-3.0065919999999999</v>
      </c>
      <c r="T2153">
        <v>-0.50974209999999998</v>
      </c>
      <c r="U2153">
        <v>0.22134400000000001</v>
      </c>
      <c r="V2153">
        <v>-2.2110020000000001E-2</v>
      </c>
      <c r="W2153">
        <v>1.0929670000000001E-2</v>
      </c>
      <c r="X2153">
        <v>0.99969580000000002</v>
      </c>
      <c r="Y2153">
        <v>8.1223149999999994E-2</v>
      </c>
      <c r="Z2153">
        <v>8.3595800000000001E-3</v>
      </c>
      <c r="AA2153">
        <v>0.99666089999999996</v>
      </c>
      <c r="AB2153">
        <v>30</v>
      </c>
      <c r="AC2153">
        <v>-0.522199999999998</v>
      </c>
      <c r="AD2153">
        <v>-0.11973449999999899</v>
      </c>
      <c r="AE2153">
        <v>5.3899999999998699E-2</v>
      </c>
      <c r="AF2153">
        <v>5.5755861183304098E-2</v>
      </c>
      <c r="AG2153">
        <v>-0.11973449999999899</v>
      </c>
      <c r="AH2153">
        <v>0.49589136303627102</v>
      </c>
      <c r="AI2153">
        <v>103.49254817980599</v>
      </c>
      <c r="AJ2153">
        <v>83.584854946254097</v>
      </c>
      <c r="AK2153">
        <v>0.51317960840286003</v>
      </c>
      <c r="AL2153">
        <v>89.373763569985996</v>
      </c>
      <c r="AM2153">
        <v>91.266989756100699</v>
      </c>
      <c r="AN2153">
        <v>1.0000000016041699</v>
      </c>
    </row>
    <row r="2154" spans="1:40" x14ac:dyDescent="0.3">
      <c r="A2154" t="str">
        <f>"20200111160448318"</f>
        <v>20200111160448318</v>
      </c>
      <c r="B2154" t="str">
        <f>"1578729888313254"</f>
        <v>1578729888313254</v>
      </c>
      <c r="C2154" t="s">
        <v>40</v>
      </c>
      <c r="D2154">
        <v>5.2567820000000003</v>
      </c>
      <c r="E2154">
        <v>0.55485669999999898</v>
      </c>
      <c r="F2154" t="s">
        <v>42</v>
      </c>
      <c r="G2154">
        <v>-428.60640000000001</v>
      </c>
      <c r="H2154">
        <v>0.93994219999999895</v>
      </c>
      <c r="I2154">
        <v>284.94459999999998</v>
      </c>
      <c r="J2154">
        <v>-428.1155</v>
      </c>
      <c r="K2154">
        <v>1.110384</v>
      </c>
      <c r="L2154">
        <v>284.86709999999999</v>
      </c>
      <c r="M2154">
        <v>-0.99985710000000005</v>
      </c>
      <c r="N2154">
        <v>0</v>
      </c>
      <c r="O2154">
        <v>-9.0813560000000005E-3</v>
      </c>
      <c r="P2154">
        <v>-0.99950329999999998</v>
      </c>
      <c r="Q2154">
        <v>-2.9430670000000002E-3</v>
      </c>
      <c r="R2154">
        <v>-3.1379890000000001E-2</v>
      </c>
      <c r="S2154">
        <v>-3.0084230000000001</v>
      </c>
      <c r="T2154">
        <v>-0.66874999999999996</v>
      </c>
      <c r="U2154">
        <v>0.29403689999999999</v>
      </c>
      <c r="V2154">
        <v>-2.2299650000000001E-2</v>
      </c>
      <c r="W2154">
        <v>1.1326849999999999E-2</v>
      </c>
      <c r="X2154">
        <v>0.9996872</v>
      </c>
      <c r="Y2154">
        <v>0.1035846</v>
      </c>
      <c r="Z2154">
        <v>1.3338350000000001E-2</v>
      </c>
      <c r="AA2154">
        <v>0.99453119999999995</v>
      </c>
      <c r="AB2154">
        <v>30</v>
      </c>
      <c r="AC2154">
        <v>-0.49090000000001</v>
      </c>
      <c r="AD2154">
        <v>-0.1704418</v>
      </c>
      <c r="AE2154">
        <v>7.7499999999986302E-2</v>
      </c>
      <c r="AF2154">
        <v>7.3330315197412094E-2</v>
      </c>
      <c r="AG2154">
        <v>-0.1704418</v>
      </c>
      <c r="AH2154">
        <v>0.43858974282688701</v>
      </c>
      <c r="AI2154">
        <v>110.97147098325399</v>
      </c>
      <c r="AJ2154">
        <v>80.508188665136302</v>
      </c>
      <c r="AK2154">
        <v>0.476223377027154</v>
      </c>
      <c r="AL2154">
        <v>89.351005444556904</v>
      </c>
      <c r="AM2154">
        <v>91.277863690915893</v>
      </c>
      <c r="AN2154">
        <v>1.00000003488244</v>
      </c>
    </row>
    <row r="2155" spans="1:40" x14ac:dyDescent="0.3">
      <c r="A2155" t="str">
        <f>"20200111160448331"</f>
        <v>20200111160448331</v>
      </c>
      <c r="B2155" t="str">
        <f>"1578729888323015"</f>
        <v>1578729888323015</v>
      </c>
      <c r="C2155" t="s">
        <v>40</v>
      </c>
      <c r="D2155">
        <v>5.2728659999999996</v>
      </c>
      <c r="E2155">
        <v>0.55581340000000001</v>
      </c>
      <c r="F2155" t="s">
        <v>42</v>
      </c>
      <c r="G2155">
        <v>-428.86989999999997</v>
      </c>
      <c r="H2155">
        <v>0.9281952</v>
      </c>
      <c r="I2155">
        <v>284.94560000000001</v>
      </c>
      <c r="J2155">
        <v>-428.29750000000001</v>
      </c>
      <c r="K2155">
        <v>1.110385</v>
      </c>
      <c r="L2155">
        <v>284.86540000000002</v>
      </c>
      <c r="M2155">
        <v>-0.9998572</v>
      </c>
      <c r="N2155">
        <v>0</v>
      </c>
      <c r="O2155">
        <v>-9.0614360000000008E-3</v>
      </c>
      <c r="P2155">
        <v>-0.99949350000000003</v>
      </c>
      <c r="Q2155">
        <v>-3.1524470000000001E-3</v>
      </c>
      <c r="R2155">
        <v>-3.167354E-2</v>
      </c>
      <c r="S2155">
        <v>-3.0091549999999998</v>
      </c>
      <c r="T2155">
        <v>-0.726746</v>
      </c>
      <c r="U2155">
        <v>0.3123474</v>
      </c>
      <c r="V2155">
        <v>-2.2613370000000001E-2</v>
      </c>
      <c r="W2155">
        <v>1.1115150000000001E-2</v>
      </c>
      <c r="X2155">
        <v>0.99968250000000003</v>
      </c>
      <c r="Y2155">
        <v>0.10889749999999999</v>
      </c>
      <c r="Z2155">
        <v>1.5082679999999999E-2</v>
      </c>
      <c r="AA2155">
        <v>0.99393860000000001</v>
      </c>
      <c r="AB2155">
        <v>30</v>
      </c>
      <c r="AC2155">
        <v>-0.57239999999995905</v>
      </c>
      <c r="AD2155">
        <v>-0.18218980000000001</v>
      </c>
      <c r="AE2155">
        <v>8.0199999999990695E-2</v>
      </c>
      <c r="AF2155">
        <v>7.7667101678372097E-2</v>
      </c>
      <c r="AG2155">
        <v>-0.18218980000000001</v>
      </c>
      <c r="AH2155">
        <v>0.51998471252592204</v>
      </c>
      <c r="AI2155">
        <v>109.112793309708</v>
      </c>
      <c r="AJ2155">
        <v>81.504864640412904</v>
      </c>
      <c r="AK2155">
        <v>0.55642555941277905</v>
      </c>
      <c r="AL2155">
        <v>89.363135705933402</v>
      </c>
      <c r="AM2155">
        <v>91.295841168735706</v>
      </c>
      <c r="AN2155">
        <v>1.00000000593426</v>
      </c>
    </row>
    <row r="2156" spans="1:40" x14ac:dyDescent="0.3">
      <c r="A2156" t="str">
        <f>"20200111160448351"</f>
        <v>20200111160448351</v>
      </c>
      <c r="B2156" t="str">
        <f>"1578729888343510"</f>
        <v>1578729888343510</v>
      </c>
      <c r="C2156" t="s">
        <v>40</v>
      </c>
      <c r="D2156">
        <v>5.330171</v>
      </c>
      <c r="E2156">
        <v>0.55748710000000001</v>
      </c>
      <c r="F2156" t="s">
        <v>42</v>
      </c>
      <c r="G2156">
        <v>-429.12830000000002</v>
      </c>
      <c r="H2156">
        <v>0.90490939999999997</v>
      </c>
      <c r="I2156">
        <v>284.95359999999999</v>
      </c>
      <c r="J2156">
        <v>-428.56240000000003</v>
      </c>
      <c r="K2156">
        <v>1.1103909999999999</v>
      </c>
      <c r="L2156">
        <v>284.86309999999997</v>
      </c>
      <c r="M2156">
        <v>-0.99985749999999995</v>
      </c>
      <c r="N2156">
        <v>0</v>
      </c>
      <c r="O2156">
        <v>-9.0326859999999998E-3</v>
      </c>
      <c r="P2156">
        <v>-0.99947149999999996</v>
      </c>
      <c r="Q2156">
        <v>-2.998138E-3</v>
      </c>
      <c r="R2156">
        <v>-3.236986E-2</v>
      </c>
      <c r="S2156">
        <v>-3.009277</v>
      </c>
      <c r="T2156">
        <v>-0.74428439999999996</v>
      </c>
      <c r="U2156">
        <v>0.3182373</v>
      </c>
      <c r="V2156">
        <v>-2.3338359999999999E-2</v>
      </c>
      <c r="W2156">
        <v>1.1266770000000001E-2</v>
      </c>
      <c r="X2156">
        <v>0.99966410000000006</v>
      </c>
      <c r="Y2156">
        <v>0.1105791</v>
      </c>
      <c r="Z2156">
        <v>1.5631470000000001E-2</v>
      </c>
      <c r="AA2156">
        <v>0.99374439999999997</v>
      </c>
      <c r="AB2156">
        <v>30</v>
      </c>
      <c r="AC2156">
        <v>-0.56589999999999896</v>
      </c>
      <c r="AD2156">
        <v>-0.20548159999999899</v>
      </c>
      <c r="AE2156">
        <v>9.0500000000019995E-2</v>
      </c>
      <c r="AF2156">
        <v>8.4717335383407297E-2</v>
      </c>
      <c r="AG2156">
        <v>-0.20548159999999899</v>
      </c>
      <c r="AH2156">
        <v>0.50069148612056003</v>
      </c>
      <c r="AI2156">
        <v>112.030434740902</v>
      </c>
      <c r="AJ2156">
        <v>80.396472345416996</v>
      </c>
      <c r="AK2156">
        <v>0.54780624232171704</v>
      </c>
      <c r="AL2156">
        <v>89.354447950068305</v>
      </c>
      <c r="AM2156">
        <v>91.337395896568694</v>
      </c>
      <c r="AN2156">
        <v>0.99999996599126495</v>
      </c>
    </row>
    <row r="2157" spans="1:40" x14ac:dyDescent="0.3">
      <c r="A2157" t="str">
        <f>"20200111160448372"</f>
        <v>20200111160448372</v>
      </c>
      <c r="B2157" t="str">
        <f>"1578729888363031"</f>
        <v>1578729888363031</v>
      </c>
      <c r="C2157" t="s">
        <v>40</v>
      </c>
      <c r="D2157">
        <v>5.2968699999999904</v>
      </c>
      <c r="E2157">
        <v>0.55805950000000004</v>
      </c>
      <c r="F2157" t="s">
        <v>42</v>
      </c>
      <c r="G2157">
        <v>-429.39429999999999</v>
      </c>
      <c r="H2157">
        <v>0.89887689999999998</v>
      </c>
      <c r="I2157">
        <v>284.95409999999998</v>
      </c>
      <c r="J2157">
        <v>-428.858</v>
      </c>
      <c r="K2157">
        <v>1.110392</v>
      </c>
      <c r="L2157">
        <v>284.86040000000003</v>
      </c>
      <c r="M2157">
        <v>-0.99985780000000002</v>
      </c>
      <c r="N2157">
        <v>0</v>
      </c>
      <c r="O2157">
        <v>-9.0005980000000003E-3</v>
      </c>
      <c r="P2157">
        <v>-0.99944659999999996</v>
      </c>
      <c r="Q2157">
        <v>-3.0632540000000001E-3</v>
      </c>
      <c r="R2157">
        <v>-3.3126820000000001E-2</v>
      </c>
      <c r="S2157">
        <v>-3.0099490000000002</v>
      </c>
      <c r="T2157">
        <v>-0.76527500000000004</v>
      </c>
      <c r="U2157">
        <v>0.32873540000000001</v>
      </c>
      <c r="V2157">
        <v>-2.412775E-2</v>
      </c>
      <c r="W2157">
        <v>1.119859E-2</v>
      </c>
      <c r="X2157">
        <v>0.99964620000000004</v>
      </c>
      <c r="Y2157">
        <v>0.11365649999999999</v>
      </c>
      <c r="Z2157">
        <v>1.6428689999999999E-2</v>
      </c>
      <c r="AA2157">
        <v>0.99338419999999905</v>
      </c>
      <c r="AB2157">
        <v>30</v>
      </c>
      <c r="AC2157">
        <v>-0.53629999999998201</v>
      </c>
      <c r="AD2157">
        <v>-0.21151510000000001</v>
      </c>
      <c r="AE2157">
        <v>9.3699999999955694E-2</v>
      </c>
      <c r="AF2157">
        <v>8.5602720368431501E-2</v>
      </c>
      <c r="AG2157">
        <v>-0.21151510000000001</v>
      </c>
      <c r="AH2157">
        <v>0.46521467305764402</v>
      </c>
      <c r="AI2157">
        <v>114.092011342055</v>
      </c>
      <c r="AJ2157">
        <v>79.573807823917093</v>
      </c>
      <c r="AK2157">
        <v>0.51816132168526097</v>
      </c>
      <c r="AL2157">
        <v>89.358354671018304</v>
      </c>
      <c r="AM2157">
        <v>91.382639068236202</v>
      </c>
      <c r="AN2157">
        <v>1.00000004095624</v>
      </c>
    </row>
    <row r="2158" spans="1:40" x14ac:dyDescent="0.3">
      <c r="A2158" t="str">
        <f>"20200111160448388"</f>
        <v>20200111160448388</v>
      </c>
      <c r="B2158" t="str">
        <f>"1578729888383527"</f>
        <v>1578729888383527</v>
      </c>
      <c r="C2158" t="s">
        <v>40</v>
      </c>
      <c r="D2158">
        <v>5.3113409999999996</v>
      </c>
      <c r="E2158">
        <v>0.55856380000000005</v>
      </c>
      <c r="F2158" t="s">
        <v>42</v>
      </c>
      <c r="G2158">
        <v>-429.6635</v>
      </c>
      <c r="H2158">
        <v>0.90149349999999995</v>
      </c>
      <c r="I2158">
        <v>284.94909999999999</v>
      </c>
      <c r="J2158">
        <v>-429.05790000000002</v>
      </c>
      <c r="K2158">
        <v>1.110393</v>
      </c>
      <c r="L2158">
        <v>284.85860000000002</v>
      </c>
      <c r="M2158">
        <v>-0.99985800000000002</v>
      </c>
      <c r="N2158">
        <v>0</v>
      </c>
      <c r="O2158">
        <v>-8.9786529999999996E-3</v>
      </c>
      <c r="P2158">
        <v>-0.99943769999999998</v>
      </c>
      <c r="Q2158">
        <v>-2.8407240000000002E-3</v>
      </c>
      <c r="R2158">
        <v>-3.3412360000000002E-2</v>
      </c>
      <c r="S2158">
        <v>-3.0102229999999999</v>
      </c>
      <c r="T2158">
        <v>-0.78084869999999995</v>
      </c>
      <c r="U2158">
        <v>0.33038329999999999</v>
      </c>
      <c r="V2158">
        <v>-2.4435140000000001E-2</v>
      </c>
      <c r="W2158">
        <v>1.14184E-2</v>
      </c>
      <c r="X2158">
        <v>0.99963619999999997</v>
      </c>
      <c r="Y2158">
        <v>0.1139968</v>
      </c>
      <c r="Z2158">
        <v>1.6788259999999999E-2</v>
      </c>
      <c r="AA2158">
        <v>0.99333919999999998</v>
      </c>
      <c r="AB2158">
        <v>30</v>
      </c>
      <c r="AC2158">
        <v>-0.60559999999998104</v>
      </c>
      <c r="AD2158">
        <v>-0.20889949999999999</v>
      </c>
      <c r="AE2158">
        <v>9.0499999999963096E-2</v>
      </c>
      <c r="AF2158">
        <v>8.5932765728196803E-2</v>
      </c>
      <c r="AG2158">
        <v>-0.20889949999999999</v>
      </c>
      <c r="AH2158">
        <v>0.54171354773090297</v>
      </c>
      <c r="AI2158">
        <v>110.850085135806</v>
      </c>
      <c r="AJ2158">
        <v>80.986198363956007</v>
      </c>
      <c r="AK2158">
        <v>0.58692163797320396</v>
      </c>
      <c r="AL2158">
        <v>89.345759650219904</v>
      </c>
      <c r="AM2158">
        <v>91.400261064314094</v>
      </c>
      <c r="AN2158">
        <v>0.99999999413790897</v>
      </c>
    </row>
    <row r="2159" spans="1:40" x14ac:dyDescent="0.3">
      <c r="A2159" t="str">
        <f>"20200111160448406"</f>
        <v>20200111160448406</v>
      </c>
      <c r="B2159" t="str">
        <f>"1578729888403047"</f>
        <v>1578729888403047</v>
      </c>
      <c r="C2159" t="s">
        <v>40</v>
      </c>
      <c r="D2159">
        <v>5.4312139999999998</v>
      </c>
      <c r="E2159">
        <v>0.55878260000000002</v>
      </c>
      <c r="F2159" t="s">
        <v>42</v>
      </c>
      <c r="G2159">
        <v>-429.9239</v>
      </c>
      <c r="H2159">
        <v>0.88326569999999904</v>
      </c>
      <c r="I2159">
        <v>284.95479999999998</v>
      </c>
      <c r="J2159">
        <v>-429.30619999999999</v>
      </c>
      <c r="K2159">
        <v>1.110398</v>
      </c>
      <c r="L2159">
        <v>284.85640000000001</v>
      </c>
      <c r="M2159">
        <v>-0.99985840000000004</v>
      </c>
      <c r="N2159">
        <v>0</v>
      </c>
      <c r="O2159">
        <v>-8.9520490000000001E-3</v>
      </c>
      <c r="P2159">
        <v>-0.99942609999999998</v>
      </c>
      <c r="Q2159">
        <v>-3.0350630000000002E-3</v>
      </c>
      <c r="R2159">
        <v>-3.3746970000000001E-2</v>
      </c>
      <c r="S2159">
        <v>-3.0105900000000001</v>
      </c>
      <c r="T2159">
        <v>-0.78954469999999899</v>
      </c>
      <c r="U2159">
        <v>0.33328249999999998</v>
      </c>
      <c r="V2159">
        <v>-2.4796499999999999E-2</v>
      </c>
      <c r="W2159">
        <v>1.1221480000000001E-2</v>
      </c>
      <c r="X2159">
        <v>0.99962960000000001</v>
      </c>
      <c r="Y2159">
        <v>0.11478960000000001</v>
      </c>
      <c r="Z2159">
        <v>1.7061440000000001E-2</v>
      </c>
      <c r="AA2159">
        <v>0.99324330000000005</v>
      </c>
      <c r="AB2159">
        <v>30</v>
      </c>
      <c r="AC2159">
        <v>-0.61770000000001302</v>
      </c>
      <c r="AD2159">
        <v>-0.22713230000000001</v>
      </c>
      <c r="AE2159">
        <v>9.8399999999969595E-2</v>
      </c>
      <c r="AF2159">
        <v>9.1818889997273501E-2</v>
      </c>
      <c r="AG2159">
        <v>-0.22713230000000001</v>
      </c>
      <c r="AH2159">
        <v>0.54493777150387401</v>
      </c>
      <c r="AI2159">
        <v>112.343180761784</v>
      </c>
      <c r="AJ2159">
        <v>80.435824440047398</v>
      </c>
      <c r="AK2159">
        <v>0.597475493284226</v>
      </c>
      <c r="AL2159">
        <v>89.357043102190005</v>
      </c>
      <c r="AM2159">
        <v>91.420969828256702</v>
      </c>
      <c r="AN2159">
        <v>1.00000006261089</v>
      </c>
    </row>
    <row r="2160" spans="1:40" x14ac:dyDescent="0.3">
      <c r="A2160" t="str">
        <f>"20200111160448420"</f>
        <v>20200111160448420</v>
      </c>
      <c r="B2160" t="str">
        <f>"1578729888412807"</f>
        <v>1578729888412807</v>
      </c>
      <c r="C2160" t="s">
        <v>40</v>
      </c>
      <c r="D2160">
        <v>5.3370350000000002</v>
      </c>
      <c r="E2160">
        <v>0.55900369999999899</v>
      </c>
      <c r="F2160" t="s">
        <v>42</v>
      </c>
      <c r="G2160">
        <v>-430.18889999999999</v>
      </c>
      <c r="H2160">
        <v>0.87686749999999902</v>
      </c>
      <c r="I2160">
        <v>284.95490000000001</v>
      </c>
      <c r="J2160">
        <v>-429.49189999999999</v>
      </c>
      <c r="K2160">
        <v>1.1104000000000001</v>
      </c>
      <c r="L2160">
        <v>284.85480000000001</v>
      </c>
      <c r="M2160">
        <v>-0.99985860000000004</v>
      </c>
      <c r="N2160">
        <v>0</v>
      </c>
      <c r="O2160">
        <v>-8.931652E-3</v>
      </c>
      <c r="P2160">
        <v>-0.99942330000000001</v>
      </c>
      <c r="Q2160">
        <v>-2.7995799999999999E-3</v>
      </c>
      <c r="R2160">
        <v>-3.38426E-2</v>
      </c>
      <c r="S2160">
        <v>-3.0105590000000002</v>
      </c>
      <c r="T2160">
        <v>-0.79646130000000004</v>
      </c>
      <c r="U2160">
        <v>0.3340149</v>
      </c>
      <c r="V2160">
        <v>-2.4912739999999999E-2</v>
      </c>
      <c r="W2160">
        <v>1.145463E-2</v>
      </c>
      <c r="X2160">
        <v>0.99962399999999996</v>
      </c>
      <c r="Y2160">
        <v>0.11493339999999901</v>
      </c>
      <c r="Z2160">
        <v>1.72193E-2</v>
      </c>
      <c r="AA2160">
        <v>0.993224</v>
      </c>
      <c r="AB2160">
        <v>30</v>
      </c>
      <c r="AC2160">
        <v>-0.69700000000000195</v>
      </c>
      <c r="AD2160">
        <v>-0.2335325</v>
      </c>
      <c r="AE2160">
        <v>0.100099999999997</v>
      </c>
      <c r="AF2160">
        <v>9.5786240266387004E-2</v>
      </c>
      <c r="AG2160">
        <v>-0.2335325</v>
      </c>
      <c r="AH2160">
        <v>0.62710162340753905</v>
      </c>
      <c r="AI2160">
        <v>110.21018184060399</v>
      </c>
      <c r="AJ2160">
        <v>81.315516084023997</v>
      </c>
      <c r="AK2160">
        <v>0.67599473256896803</v>
      </c>
      <c r="AL2160">
        <v>89.3436836904052</v>
      </c>
      <c r="AM2160">
        <v>91.427636235578504</v>
      </c>
      <c r="AN2160">
        <v>0.99999999726937205</v>
      </c>
    </row>
    <row r="2161" spans="1:40" x14ac:dyDescent="0.3">
      <c r="A2161" t="str">
        <f>"20200111160448440"</f>
        <v>20200111160448440</v>
      </c>
      <c r="B2161" t="str">
        <f>"1578729888433302"</f>
        <v>1578729888433302</v>
      </c>
      <c r="C2161" t="s">
        <v>40</v>
      </c>
      <c r="D2161">
        <v>5.3058750000000003</v>
      </c>
      <c r="E2161">
        <v>0.55942930000000002</v>
      </c>
      <c r="F2161" t="s">
        <v>42</v>
      </c>
      <c r="G2161">
        <v>-430.20729999999998</v>
      </c>
      <c r="H2161">
        <v>0.92069480000000004</v>
      </c>
      <c r="I2161">
        <v>284.93509999999998</v>
      </c>
      <c r="J2161">
        <v>-429.75779999999997</v>
      </c>
      <c r="K2161">
        <v>1.1104050000000001</v>
      </c>
      <c r="L2161">
        <v>284.85239999999999</v>
      </c>
      <c r="M2161">
        <v>-0.99985889999999999</v>
      </c>
      <c r="N2161">
        <v>0</v>
      </c>
      <c r="O2161">
        <v>-8.9025470000000002E-3</v>
      </c>
      <c r="P2161">
        <v>-0.99944730000000004</v>
      </c>
      <c r="Q2161">
        <v>-2.2226030000000001E-3</v>
      </c>
      <c r="R2161">
        <v>-3.3174889999999999E-2</v>
      </c>
      <c r="S2161">
        <v>-3.0108640000000002</v>
      </c>
      <c r="T2161">
        <v>-0.79835069999999997</v>
      </c>
      <c r="U2161">
        <v>0.33560180000000001</v>
      </c>
      <c r="V2161">
        <v>-2.427385E-2</v>
      </c>
      <c r="W2161">
        <v>1.202871E-2</v>
      </c>
      <c r="X2161">
        <v>0.99963299999999999</v>
      </c>
      <c r="Y2161">
        <v>0.1153778</v>
      </c>
      <c r="Z2161">
        <v>1.7306829999999999E-2</v>
      </c>
      <c r="AA2161">
        <v>0.99317089999999997</v>
      </c>
      <c r="AB2161">
        <v>30</v>
      </c>
      <c r="AC2161">
        <v>-0.44950000000000001</v>
      </c>
      <c r="AD2161">
        <v>-0.189710199999999</v>
      </c>
      <c r="AE2161">
        <v>8.2699999999988394E-2</v>
      </c>
      <c r="AF2161">
        <v>7.3956689966366104E-2</v>
      </c>
      <c r="AG2161">
        <v>-0.189710199999999</v>
      </c>
      <c r="AH2161">
        <v>0.38279365140308502</v>
      </c>
      <c r="AI2161">
        <v>115.947345072434</v>
      </c>
      <c r="AJ2161">
        <v>79.065040936978903</v>
      </c>
      <c r="AK2161">
        <v>0.43357874893648601</v>
      </c>
      <c r="AL2161">
        <v>89.310789078308602</v>
      </c>
      <c r="AM2161">
        <v>91.391026400117596</v>
      </c>
      <c r="AN2161">
        <v>1.0000000221735399</v>
      </c>
    </row>
    <row r="2162" spans="1:40" x14ac:dyDescent="0.3">
      <c r="A2162" t="str">
        <f>"20200111160448462"</f>
        <v>20200111160448462</v>
      </c>
      <c r="B2162" t="str">
        <f>"1578729888452822"</f>
        <v>1578729888452822</v>
      </c>
      <c r="C2162" t="s">
        <v>40</v>
      </c>
      <c r="D2162">
        <v>5.4701500000000003</v>
      </c>
      <c r="E2162">
        <v>0.55970819999999999</v>
      </c>
      <c r="F2162" t="s">
        <v>42</v>
      </c>
      <c r="G2162">
        <v>-430.47399999999999</v>
      </c>
      <c r="H2162">
        <v>0.91940960000000005</v>
      </c>
      <c r="I2162">
        <v>284.93369999999999</v>
      </c>
      <c r="J2162">
        <v>-430.0523</v>
      </c>
      <c r="K2162">
        <v>1.1104069999999999</v>
      </c>
      <c r="L2162">
        <v>284.84980000000002</v>
      </c>
      <c r="M2162">
        <v>-0.9998591</v>
      </c>
      <c r="N2162">
        <v>0</v>
      </c>
      <c r="O2162">
        <v>-8.8702219999999901E-3</v>
      </c>
      <c r="P2162">
        <v>-0.99945879999999998</v>
      </c>
      <c r="Q2162">
        <v>-1.77840299999999E-3</v>
      </c>
      <c r="R2162">
        <v>-3.2851569999999997E-2</v>
      </c>
      <c r="S2162">
        <v>-3.0111690000000002</v>
      </c>
      <c r="T2162">
        <v>-0.80305340000000003</v>
      </c>
      <c r="U2162">
        <v>0.34014889999999998</v>
      </c>
      <c r="V2162">
        <v>-2.398248E-2</v>
      </c>
      <c r="W2162">
        <v>1.246975E-2</v>
      </c>
      <c r="X2162">
        <v>0.99963460000000004</v>
      </c>
      <c r="Y2162">
        <v>0.1167228</v>
      </c>
      <c r="Z2162">
        <v>1.756957E-2</v>
      </c>
      <c r="AA2162">
        <v>0.99300909999999998</v>
      </c>
      <c r="AB2162">
        <v>30</v>
      </c>
      <c r="AC2162">
        <v>-0.42169999999998697</v>
      </c>
      <c r="AD2162">
        <v>-0.19099740000000001</v>
      </c>
      <c r="AE2162">
        <v>8.38999999999714E-2</v>
      </c>
      <c r="AF2162">
        <v>7.3194368696511997E-2</v>
      </c>
      <c r="AG2162">
        <v>-0.19099740000000001</v>
      </c>
      <c r="AH2162">
        <v>0.35156548234774199</v>
      </c>
      <c r="AI2162">
        <v>118.007263736512</v>
      </c>
      <c r="AJ2162">
        <v>78.239277334315403</v>
      </c>
      <c r="AK2162">
        <v>0.40673788954809897</v>
      </c>
      <c r="AL2162">
        <v>89.285517431774394</v>
      </c>
      <c r="AM2162">
        <v>91.374333524934002</v>
      </c>
      <c r="AN2162">
        <v>0.99999999376458604</v>
      </c>
    </row>
    <row r="2163" spans="1:40" x14ac:dyDescent="0.3">
      <c r="A2163" t="str">
        <f>"20200111160448485"</f>
        <v>20200111160448485</v>
      </c>
      <c r="B2163" t="str">
        <f>"1578729888473319"</f>
        <v>1578729888473319</v>
      </c>
      <c r="C2163" t="s">
        <v>40</v>
      </c>
      <c r="D2163">
        <v>5.3004759999999997</v>
      </c>
      <c r="E2163">
        <v>0.56024289999999999</v>
      </c>
      <c r="F2163" t="s">
        <v>42</v>
      </c>
      <c r="G2163">
        <v>-430.74360000000001</v>
      </c>
      <c r="H2163">
        <v>0.92536819999999997</v>
      </c>
      <c r="I2163">
        <v>284.92849999999999</v>
      </c>
      <c r="J2163">
        <v>-430.34710000000001</v>
      </c>
      <c r="K2163">
        <v>1.110414</v>
      </c>
      <c r="L2163">
        <v>284.84719999999999</v>
      </c>
      <c r="M2163">
        <v>-0.99985950000000001</v>
      </c>
      <c r="N2163">
        <v>0</v>
      </c>
      <c r="O2163">
        <v>-8.8383690000000004E-3</v>
      </c>
      <c r="P2163">
        <v>-0.99948419999999905</v>
      </c>
      <c r="Q2163">
        <v>-1.491863E-3</v>
      </c>
      <c r="R2163">
        <v>-3.2084099999999997E-2</v>
      </c>
      <c r="S2163">
        <v>-3.0114139999999998</v>
      </c>
      <c r="T2163">
        <v>-0.80602559999999901</v>
      </c>
      <c r="U2163">
        <v>0.342804</v>
      </c>
      <c r="V2163">
        <v>-2.324642E-2</v>
      </c>
      <c r="W2163">
        <v>1.275344E-2</v>
      </c>
      <c r="X2163">
        <v>0.99964839999999999</v>
      </c>
      <c r="Y2163">
        <v>0.1174905</v>
      </c>
      <c r="Z2163">
        <v>1.7722519999999999E-2</v>
      </c>
      <c r="AA2163">
        <v>0.99291589999999996</v>
      </c>
      <c r="AB2163">
        <v>30</v>
      </c>
      <c r="AC2163">
        <v>-0.39650000000000302</v>
      </c>
      <c r="AD2163">
        <v>-0.18504580000000001</v>
      </c>
      <c r="AE2163">
        <v>8.1299999999998804E-2</v>
      </c>
      <c r="AF2163">
        <v>7.0140809409863697E-2</v>
      </c>
      <c r="AG2163">
        <v>-0.18504580000000001</v>
      </c>
      <c r="AH2163">
        <v>0.32734454765429699</v>
      </c>
      <c r="AI2163">
        <v>118.931493886364</v>
      </c>
      <c r="AJ2163">
        <v>77.905987756473493</v>
      </c>
      <c r="AK2163">
        <v>0.382512920201798</v>
      </c>
      <c r="AL2163">
        <v>89.269261892694303</v>
      </c>
      <c r="AM2163">
        <v>91.332150126093396</v>
      </c>
      <c r="AN2163">
        <v>0.99999998494860398</v>
      </c>
    </row>
    <row r="2164" spans="1:40" x14ac:dyDescent="0.3">
      <c r="A2164" t="str">
        <f>"20200111160448499"</f>
        <v>20200111160448499</v>
      </c>
      <c r="B2164" t="str">
        <f>"1578729888492839"</f>
        <v>1578729888492839</v>
      </c>
      <c r="C2164" t="s">
        <v>40</v>
      </c>
      <c r="D2164">
        <v>5.2670130000000004</v>
      </c>
      <c r="E2164">
        <v>0.56088909999999903</v>
      </c>
      <c r="F2164" t="s">
        <v>42</v>
      </c>
      <c r="G2164">
        <v>-431.25209999999998</v>
      </c>
      <c r="H2164">
        <v>0.8670696</v>
      </c>
      <c r="I2164">
        <v>284.95269999999999</v>
      </c>
      <c r="J2164">
        <v>-430.54829999999998</v>
      </c>
      <c r="K2164">
        <v>1.1104149999999999</v>
      </c>
      <c r="L2164">
        <v>284.84550000000002</v>
      </c>
      <c r="M2164">
        <v>-0.99985979999999997</v>
      </c>
      <c r="N2164">
        <v>0</v>
      </c>
      <c r="O2164">
        <v>-8.8158260000000006E-3</v>
      </c>
      <c r="P2164">
        <v>-0.99948110000000001</v>
      </c>
      <c r="Q2164">
        <v>-1.5490629999999901E-3</v>
      </c>
      <c r="R2164">
        <v>-3.218099E-2</v>
      </c>
      <c r="S2164">
        <v>-3.011536</v>
      </c>
      <c r="T2164">
        <v>-0.80979909999999999</v>
      </c>
      <c r="U2164">
        <v>0.34954829999999998</v>
      </c>
      <c r="V2164">
        <v>-2.3366560000000001E-2</v>
      </c>
      <c r="W2164">
        <v>1.269384E-2</v>
      </c>
      <c r="X2164">
        <v>0.99964640000000005</v>
      </c>
      <c r="Y2164">
        <v>0.1195478</v>
      </c>
      <c r="Z2164">
        <v>1.8064799999999999E-2</v>
      </c>
      <c r="AA2164">
        <v>0.99266410000000005</v>
      </c>
      <c r="AB2164">
        <v>30</v>
      </c>
      <c r="AC2164">
        <v>-0.70380000000000098</v>
      </c>
      <c r="AD2164">
        <v>-0.24334539999999899</v>
      </c>
      <c r="AE2164">
        <v>0.10719999999997699</v>
      </c>
      <c r="AF2164">
        <v>0.101537516986349</v>
      </c>
      <c r="AG2164">
        <v>-0.24334539999999899</v>
      </c>
      <c r="AH2164">
        <v>0.62930073772877604</v>
      </c>
      <c r="AI2164">
        <v>110.894577179287</v>
      </c>
      <c r="AJ2164">
        <v>80.834334352368799</v>
      </c>
      <c r="AK2164">
        <v>0.68230951155827702</v>
      </c>
      <c r="AL2164">
        <v>89.272677028507005</v>
      </c>
      <c r="AM2164">
        <v>91.339034999180697</v>
      </c>
      <c r="AN2164">
        <v>1.0000000273665599</v>
      </c>
    </row>
    <row r="2165" spans="1:40" x14ac:dyDescent="0.3">
      <c r="A2165" t="str">
        <f>"20200111160448519"</f>
        <v>20200111160448519</v>
      </c>
      <c r="B2165" t="str">
        <f>"1578729888513334"</f>
        <v>1578729888513334</v>
      </c>
      <c r="C2165" t="s">
        <v>40</v>
      </c>
      <c r="D2165">
        <v>5.2502060000000004</v>
      </c>
      <c r="E2165">
        <v>0.56154519999999997</v>
      </c>
      <c r="F2165" t="s">
        <v>42</v>
      </c>
      <c r="G2165">
        <v>-431.27190000000002</v>
      </c>
      <c r="H2165">
        <v>0.91490729999999998</v>
      </c>
      <c r="I2165">
        <v>284.93099999999998</v>
      </c>
      <c r="J2165">
        <v>-430.80110000000002</v>
      </c>
      <c r="K2165">
        <v>1.1104149999999999</v>
      </c>
      <c r="L2165">
        <v>284.8433</v>
      </c>
      <c r="M2165">
        <v>-0.99985999999999997</v>
      </c>
      <c r="N2165">
        <v>0</v>
      </c>
      <c r="O2165">
        <v>-8.7874310000000001E-3</v>
      </c>
      <c r="P2165">
        <v>-0.9995058</v>
      </c>
      <c r="Q2165">
        <v>-1.7368069999999999E-3</v>
      </c>
      <c r="R2165">
        <v>-3.1388399999999997E-2</v>
      </c>
      <c r="S2165">
        <v>-3.0116879999999999</v>
      </c>
      <c r="T2165">
        <v>-0.81387699999999996</v>
      </c>
      <c r="U2165">
        <v>0.35415649999999999</v>
      </c>
      <c r="V2165">
        <v>-2.2602029999999999E-2</v>
      </c>
      <c r="W2165">
        <v>1.25036E-2</v>
      </c>
      <c r="X2165">
        <v>0.99966630000000001</v>
      </c>
      <c r="Y2165">
        <v>0.1209213</v>
      </c>
      <c r="Z2165">
        <v>1.8324460000000001E-2</v>
      </c>
      <c r="AA2165">
        <v>0.99249299999999996</v>
      </c>
      <c r="AB2165">
        <v>30</v>
      </c>
      <c r="AC2165">
        <v>-0.470799999999997</v>
      </c>
      <c r="AD2165">
        <v>-0.19550769999999901</v>
      </c>
      <c r="AE2165">
        <v>8.7699999999983902E-2</v>
      </c>
      <c r="AF2165">
        <v>7.8715204215055901E-2</v>
      </c>
      <c r="AG2165">
        <v>-0.19550769999999901</v>
      </c>
      <c r="AH2165">
        <v>0.40286773786824998</v>
      </c>
      <c r="AI2165">
        <v>115.4677056579</v>
      </c>
      <c r="AJ2165">
        <v>78.9444196289448</v>
      </c>
      <c r="AK2165">
        <v>0.454666645300696</v>
      </c>
      <c r="AL2165">
        <v>89.283577788175606</v>
      </c>
      <c r="AM2165">
        <v>91.295212542428501</v>
      </c>
      <c r="AN2165">
        <v>0.99999995156438404</v>
      </c>
    </row>
    <row r="2166" spans="1:40" x14ac:dyDescent="0.3">
      <c r="A2166" t="str">
        <f>"20200111160448541"</f>
        <v>20200111160448541</v>
      </c>
      <c r="B2166" t="str">
        <f>"1578729888532857"</f>
        <v>1578729888532857</v>
      </c>
      <c r="C2166" t="s">
        <v>40</v>
      </c>
      <c r="D2166">
        <v>5.3842019999999904</v>
      </c>
      <c r="E2166">
        <v>0.56201769999999995</v>
      </c>
      <c r="F2166" t="s">
        <v>42</v>
      </c>
      <c r="G2166">
        <v>-431.536</v>
      </c>
      <c r="H2166">
        <v>0.91075830000000002</v>
      </c>
      <c r="I2166">
        <v>284.93180000000001</v>
      </c>
      <c r="J2166">
        <v>-431.10059999999999</v>
      </c>
      <c r="K2166">
        <v>1.110412</v>
      </c>
      <c r="L2166">
        <v>284.84070000000003</v>
      </c>
      <c r="M2166">
        <v>-0.99986050000000004</v>
      </c>
      <c r="N2166">
        <v>0</v>
      </c>
      <c r="O2166">
        <v>-8.7535519999999995E-3</v>
      </c>
      <c r="P2166">
        <v>-0.9995174</v>
      </c>
      <c r="Q2166">
        <v>-2.2063400000000002E-3</v>
      </c>
      <c r="R2166">
        <v>-3.0992180000000001E-2</v>
      </c>
      <c r="S2166">
        <v>-3.0113829999999999</v>
      </c>
      <c r="T2166">
        <v>-0.81816979999999995</v>
      </c>
      <c r="U2166">
        <v>0.3614502</v>
      </c>
      <c r="V2166">
        <v>-2.2239410000000001E-2</v>
      </c>
      <c r="W2166">
        <v>1.2031089999999999E-2</v>
      </c>
      <c r="X2166">
        <v>0.99968029999999997</v>
      </c>
      <c r="Y2166">
        <v>0.12314410000000001</v>
      </c>
      <c r="Z2166">
        <v>1.8703640000000001E-2</v>
      </c>
      <c r="AA2166">
        <v>0.99221250000000005</v>
      </c>
      <c r="AB2166">
        <v>30</v>
      </c>
      <c r="AC2166">
        <v>-0.435400000000015</v>
      </c>
      <c r="AD2166">
        <v>-0.19965369999999999</v>
      </c>
      <c r="AE2166">
        <v>9.1099999999983E-2</v>
      </c>
      <c r="AF2166">
        <v>7.8994637280739993E-2</v>
      </c>
      <c r="AG2166">
        <v>-0.19965369999999999</v>
      </c>
      <c r="AH2166">
        <v>0.361717424892814</v>
      </c>
      <c r="AI2166">
        <v>118.335805234904</v>
      </c>
      <c r="AJ2166">
        <v>77.680724403880802</v>
      </c>
      <c r="AK2166">
        <v>0.42064384949015299</v>
      </c>
      <c r="AL2166">
        <v>89.3106527032282</v>
      </c>
      <c r="AM2166">
        <v>91.274421619018</v>
      </c>
      <c r="AN2166">
        <v>1.0000000203459101</v>
      </c>
    </row>
    <row r="2167" spans="1:40" x14ac:dyDescent="0.3">
      <c r="A2167" t="str">
        <f>"20200111160448563"</f>
        <v>20200111160448563</v>
      </c>
      <c r="B2167" t="str">
        <f>"1578729888553351"</f>
        <v>1578729888553351</v>
      </c>
      <c r="C2167" t="s">
        <v>40</v>
      </c>
      <c r="D2167">
        <v>5.0899179999999999</v>
      </c>
      <c r="E2167">
        <v>0.56247480000000005</v>
      </c>
      <c r="F2167" t="s">
        <v>42</v>
      </c>
      <c r="G2167">
        <v>-431.80489999999998</v>
      </c>
      <c r="H2167">
        <v>0.9179718</v>
      </c>
      <c r="I2167">
        <v>284.92669999999998</v>
      </c>
      <c r="J2167">
        <v>-431.38619999999997</v>
      </c>
      <c r="K2167">
        <v>1.110406</v>
      </c>
      <c r="L2167">
        <v>284.8383</v>
      </c>
      <c r="M2167">
        <v>-0.99986079999999999</v>
      </c>
      <c r="N2167">
        <v>0</v>
      </c>
      <c r="O2167">
        <v>-8.7208649999999995E-3</v>
      </c>
      <c r="P2167">
        <v>-0.99951129999999999</v>
      </c>
      <c r="Q2167">
        <v>-2.7348030000000001E-3</v>
      </c>
      <c r="R2167">
        <v>-3.114631E-2</v>
      </c>
      <c r="S2167">
        <v>-3.0109249999999999</v>
      </c>
      <c r="T2167">
        <v>-0.82261189999999995</v>
      </c>
      <c r="U2167">
        <v>0.36529539999999999</v>
      </c>
      <c r="V2167">
        <v>-2.2426399999999999E-2</v>
      </c>
      <c r="W2167">
        <v>1.149945E-2</v>
      </c>
      <c r="X2167">
        <v>0.99968239999999997</v>
      </c>
      <c r="Y2167">
        <v>0.1242872</v>
      </c>
      <c r="Z2167">
        <v>1.8947100000000001E-2</v>
      </c>
      <c r="AA2167">
        <v>0.99206539999999999</v>
      </c>
      <c r="AB2167">
        <v>30</v>
      </c>
      <c r="AC2167">
        <v>-0.41870000000000102</v>
      </c>
      <c r="AD2167">
        <v>-0.192434199999999</v>
      </c>
      <c r="AE2167">
        <v>8.8399999999978704E-2</v>
      </c>
      <c r="AF2167">
        <v>7.6565543351054699E-2</v>
      </c>
      <c r="AG2167">
        <v>-0.192434199999999</v>
      </c>
      <c r="AH2167">
        <v>0.34761853401634002</v>
      </c>
      <c r="AI2167">
        <v>118.39655653582901</v>
      </c>
      <c r="AJ2167">
        <v>77.578516897686995</v>
      </c>
      <c r="AK2167">
        <v>0.40463792327209203</v>
      </c>
      <c r="AL2167">
        <v>89.341115553107201</v>
      </c>
      <c r="AM2167">
        <v>91.285130738313498</v>
      </c>
      <c r="AN2167">
        <v>1.0000000408185099</v>
      </c>
    </row>
    <row r="2168" spans="1:40" x14ac:dyDescent="0.3">
      <c r="A2168" t="str">
        <f>"20200111160448586"</f>
        <v>20200111160448586</v>
      </c>
      <c r="B2168" t="str">
        <f>"1578729888582631"</f>
        <v>1578729888582631</v>
      </c>
      <c r="C2168" t="s">
        <v>40</v>
      </c>
      <c r="D2168">
        <v>4.981719</v>
      </c>
      <c r="E2168">
        <v>0.56309390000000004</v>
      </c>
      <c r="F2168" t="s">
        <v>42</v>
      </c>
      <c r="G2168">
        <v>-432.07209999999998</v>
      </c>
      <c r="H2168">
        <v>0.92205720000000002</v>
      </c>
      <c r="I2168">
        <v>284.9221</v>
      </c>
      <c r="J2168">
        <v>-431.68599999999998</v>
      </c>
      <c r="K2168">
        <v>1.110403</v>
      </c>
      <c r="L2168">
        <v>284.8356</v>
      </c>
      <c r="M2168">
        <v>-0.99986109999999995</v>
      </c>
      <c r="N2168">
        <v>0</v>
      </c>
      <c r="O2168">
        <v>-8.6861509999999996E-3</v>
      </c>
      <c r="P2168">
        <v>-0.99951310000000004</v>
      </c>
      <c r="Q2168">
        <v>-2.5836990000000001E-3</v>
      </c>
      <c r="R2168">
        <v>-3.109837E-2</v>
      </c>
      <c r="S2168">
        <v>-3.0106809999999999</v>
      </c>
      <c r="T2168">
        <v>-0.82692379999999999</v>
      </c>
      <c r="U2168">
        <v>0.36724849999999998</v>
      </c>
      <c r="V2168">
        <v>-2.2413499999999999E-2</v>
      </c>
      <c r="W2168">
        <v>1.164726E-2</v>
      </c>
      <c r="X2168">
        <v>0.99968089999999998</v>
      </c>
      <c r="Y2168">
        <v>0.1248282</v>
      </c>
      <c r="Z2168">
        <v>1.910705E-2</v>
      </c>
      <c r="AA2168">
        <v>0.99199440000000005</v>
      </c>
      <c r="AB2168">
        <v>30</v>
      </c>
      <c r="AC2168">
        <v>-0.386099999999998</v>
      </c>
      <c r="AD2168">
        <v>-0.18834579999999901</v>
      </c>
      <c r="AE2168">
        <v>8.6500000000000896E-2</v>
      </c>
      <c r="AF2168">
        <v>7.32524206520727E-2</v>
      </c>
      <c r="AG2168">
        <v>-0.18834579999999901</v>
      </c>
      <c r="AH2168">
        <v>0.31415022480577298</v>
      </c>
      <c r="AI2168">
        <v>120.27969723814699</v>
      </c>
      <c r="AJ2168">
        <v>76.874504964644501</v>
      </c>
      <c r="AK2168">
        <v>0.37353771061908397</v>
      </c>
      <c r="AL2168">
        <v>89.332646044935302</v>
      </c>
      <c r="AM2168">
        <v>91.284393686184004</v>
      </c>
      <c r="AN2168">
        <v>0.999999962736283</v>
      </c>
    </row>
    <row r="2169" spans="1:40" x14ac:dyDescent="0.3">
      <c r="A2169" t="str">
        <f>"20200111160448599"</f>
        <v>20200111160448599</v>
      </c>
      <c r="B2169" t="str">
        <f>"1578729888593367"</f>
        <v>1578729888593367</v>
      </c>
      <c r="C2169" t="s">
        <v>40</v>
      </c>
      <c r="D2169">
        <v>4.9211640000000001</v>
      </c>
      <c r="E2169">
        <v>0.56323690000000004</v>
      </c>
      <c r="F2169" t="s">
        <v>42</v>
      </c>
      <c r="G2169">
        <v>-432.57810000000001</v>
      </c>
      <c r="H2169">
        <v>0.86473099999999903</v>
      </c>
      <c r="I2169">
        <v>284.9461</v>
      </c>
      <c r="J2169">
        <v>-431.8741</v>
      </c>
      <c r="K2169">
        <v>1.1104050000000001</v>
      </c>
      <c r="L2169">
        <v>284.834</v>
      </c>
      <c r="M2169">
        <v>-0.99986120000000001</v>
      </c>
      <c r="N2169">
        <v>0</v>
      </c>
      <c r="O2169">
        <v>-8.6643209999999991E-3</v>
      </c>
      <c r="P2169">
        <v>-0.99950620000000001</v>
      </c>
      <c r="Q2169">
        <v>-2.5113710000000001E-3</v>
      </c>
      <c r="R2169">
        <v>-3.1317810000000001E-2</v>
      </c>
      <c r="S2169">
        <v>-3.0108640000000002</v>
      </c>
      <c r="T2169">
        <v>-0.82915329999999998</v>
      </c>
      <c r="U2169">
        <v>0.3719788</v>
      </c>
      <c r="V2169">
        <v>-2.265468E-2</v>
      </c>
      <c r="W2169">
        <v>1.171735E-2</v>
      </c>
      <c r="X2169">
        <v>0.99967470000000003</v>
      </c>
      <c r="Y2169">
        <v>0.1262586</v>
      </c>
      <c r="Z2169">
        <v>1.9340679999999999E-2</v>
      </c>
      <c r="AA2169">
        <v>0.99180880000000005</v>
      </c>
      <c r="AB2169">
        <v>30</v>
      </c>
      <c r="AC2169">
        <v>-0.70400000000000695</v>
      </c>
      <c r="AD2169">
        <v>-0.245673999999999</v>
      </c>
      <c r="AE2169">
        <v>0.11209999999999801</v>
      </c>
      <c r="AF2169">
        <v>0.10564845495590799</v>
      </c>
      <c r="AG2169">
        <v>-0.245673999999999</v>
      </c>
      <c r="AH2169">
        <v>0.62837184928219003</v>
      </c>
      <c r="AI2169">
        <v>111.084527781194</v>
      </c>
      <c r="AJ2169">
        <v>80.456094156628396</v>
      </c>
      <c r="AK2169">
        <v>0.68291177415599602</v>
      </c>
      <c r="AL2169">
        <v>89.328629946853795</v>
      </c>
      <c r="AM2169">
        <v>91.298217721872007</v>
      </c>
      <c r="AN2169">
        <v>1.0000000183185001</v>
      </c>
    </row>
    <row r="2170" spans="1:40" x14ac:dyDescent="0.3">
      <c r="A2170" t="str">
        <f>"20200111160448619"</f>
        <v>20200111160448619</v>
      </c>
      <c r="B2170" t="str">
        <f>"1578729888612889"</f>
        <v>1578729888612889</v>
      </c>
      <c r="C2170" t="s">
        <v>40</v>
      </c>
      <c r="D2170">
        <v>4.8424990000000001</v>
      </c>
      <c r="E2170">
        <v>0.5635173</v>
      </c>
      <c r="F2170" t="s">
        <v>42</v>
      </c>
      <c r="G2170">
        <v>-432.59699999999998</v>
      </c>
      <c r="H2170">
        <v>0.91122340000000002</v>
      </c>
      <c r="I2170">
        <v>284.92360000000002</v>
      </c>
      <c r="J2170">
        <v>-432.13780000000003</v>
      </c>
      <c r="K2170">
        <v>1.110406</v>
      </c>
      <c r="L2170">
        <v>284.83179999999999</v>
      </c>
      <c r="M2170">
        <v>-0.99986149999999996</v>
      </c>
      <c r="N2170">
        <v>0</v>
      </c>
      <c r="O2170">
        <v>-8.6336659999999999E-3</v>
      </c>
      <c r="P2170">
        <v>-0.99951389999999996</v>
      </c>
      <c r="Q2170">
        <v>-2.2151969999999999E-3</v>
      </c>
      <c r="R2170">
        <v>-3.110247E-2</v>
      </c>
      <c r="S2170">
        <v>-3.0110169999999998</v>
      </c>
      <c r="T2170">
        <v>-0.82956730000000001</v>
      </c>
      <c r="U2170">
        <v>0.3721313</v>
      </c>
      <c r="V2170">
        <v>-2.246917E-2</v>
      </c>
      <c r="W2170">
        <v>1.201059E-2</v>
      </c>
      <c r="X2170">
        <v>0.99967539999999999</v>
      </c>
      <c r="Y2170">
        <v>0.12626809999999999</v>
      </c>
      <c r="Z2170">
        <v>1.934201E-2</v>
      </c>
      <c r="AA2170">
        <v>0.99180760000000001</v>
      </c>
      <c r="AB2170">
        <v>30</v>
      </c>
      <c r="AC2170">
        <v>-0.45919999999995198</v>
      </c>
      <c r="AD2170">
        <v>-0.19918259999999999</v>
      </c>
      <c r="AE2170">
        <v>9.1800000000034701E-2</v>
      </c>
      <c r="AF2170">
        <v>8.1090821274563005E-2</v>
      </c>
      <c r="AG2170">
        <v>-0.19918259999999999</v>
      </c>
      <c r="AH2170">
        <v>0.38816452893756098</v>
      </c>
      <c r="AI2170">
        <v>116.670190576472</v>
      </c>
      <c r="AJ2170">
        <v>78.200137719774403</v>
      </c>
      <c r="AK2170">
        <v>0.44375796439394899</v>
      </c>
      <c r="AL2170">
        <v>89.3118273455501</v>
      </c>
      <c r="AM2170">
        <v>91.287589834909795</v>
      </c>
      <c r="AN2170">
        <v>1.0000000116188901</v>
      </c>
    </row>
    <row r="2171" spans="1:40" x14ac:dyDescent="0.3">
      <c r="A2171" t="str">
        <f>"20200111160448642"</f>
        <v>20200111160448642</v>
      </c>
      <c r="B2171" t="str">
        <f>"1578729888633383"</f>
        <v>1578729888633383</v>
      </c>
      <c r="C2171" t="s">
        <v>40</v>
      </c>
      <c r="D2171">
        <v>4.7840829999999999</v>
      </c>
      <c r="E2171">
        <v>0.56370330000000002</v>
      </c>
      <c r="F2171" t="s">
        <v>42</v>
      </c>
      <c r="G2171">
        <v>-432.8614</v>
      </c>
      <c r="H2171">
        <v>0.9110608</v>
      </c>
      <c r="I2171">
        <v>284.92250000000001</v>
      </c>
      <c r="J2171">
        <v>-432.42809999999997</v>
      </c>
      <c r="K2171">
        <v>1.1104080000000001</v>
      </c>
      <c r="L2171">
        <v>284.82929999999999</v>
      </c>
      <c r="M2171">
        <v>-0.99986189999999997</v>
      </c>
      <c r="N2171">
        <v>0</v>
      </c>
      <c r="O2171">
        <v>-8.5990619999999993E-3</v>
      </c>
      <c r="P2171">
        <v>-0.99952819999999998</v>
      </c>
      <c r="Q2171">
        <v>-2.0034459999999999E-3</v>
      </c>
      <c r="R2171">
        <v>-3.065439E-2</v>
      </c>
      <c r="S2171">
        <v>-3.0112610000000002</v>
      </c>
      <c r="T2171">
        <v>-0.82957700000000001</v>
      </c>
      <c r="U2171">
        <v>0.37527470000000002</v>
      </c>
      <c r="V2171">
        <v>-2.2056309999999999E-2</v>
      </c>
      <c r="W2171">
        <v>1.221943E-2</v>
      </c>
      <c r="X2171">
        <v>0.99968210000000002</v>
      </c>
      <c r="Y2171">
        <v>0.12721160000000001</v>
      </c>
      <c r="Z2171">
        <v>1.945736E-2</v>
      </c>
      <c r="AA2171">
        <v>0.99168469999999997</v>
      </c>
      <c r="AB2171">
        <v>30</v>
      </c>
      <c r="AC2171">
        <v>-0.43330000000003099</v>
      </c>
      <c r="AD2171">
        <v>-0.1993472</v>
      </c>
      <c r="AE2171">
        <v>9.3200000000024305E-2</v>
      </c>
      <c r="AF2171">
        <v>8.0614411647096498E-2</v>
      </c>
      <c r="AG2171">
        <v>-0.1993472</v>
      </c>
      <c r="AH2171">
        <v>0.35971187316876002</v>
      </c>
      <c r="AI2171">
        <v>118.40328651124101</v>
      </c>
      <c r="AJ2171">
        <v>77.368255316279701</v>
      </c>
      <c r="AK2171">
        <v>0.41908307196977701</v>
      </c>
      <c r="AL2171">
        <v>89.299860842449604</v>
      </c>
      <c r="AM2171">
        <v>91.263930280222695</v>
      </c>
      <c r="AN2171">
        <v>1.0000000481703699</v>
      </c>
    </row>
    <row r="2172" spans="1:40" x14ac:dyDescent="0.3">
      <c r="A2172" t="str">
        <f>"20200111160448663"</f>
        <v>20200111160448663</v>
      </c>
      <c r="B2172" t="str">
        <f>"1578729888652903"</f>
        <v>1578729888652903</v>
      </c>
      <c r="C2172" t="s">
        <v>40</v>
      </c>
      <c r="D2172">
        <v>4.6915430000000002</v>
      </c>
      <c r="E2172">
        <v>0.56410229999999995</v>
      </c>
      <c r="F2172" t="s">
        <v>42</v>
      </c>
      <c r="G2172">
        <v>-433.1284</v>
      </c>
      <c r="H2172">
        <v>0.91753530000000005</v>
      </c>
      <c r="I2172">
        <v>284.91739999999999</v>
      </c>
      <c r="J2172">
        <v>-432.72070000000002</v>
      </c>
      <c r="K2172">
        <v>1.110409</v>
      </c>
      <c r="L2172">
        <v>284.82679999999999</v>
      </c>
      <c r="M2172">
        <v>-0.99986240000000004</v>
      </c>
      <c r="N2172">
        <v>0</v>
      </c>
      <c r="O2172">
        <v>-8.5615919999999998E-3</v>
      </c>
      <c r="P2172">
        <v>-0.99954920000000003</v>
      </c>
      <c r="Q2172">
        <v>-2.2278110000000001E-3</v>
      </c>
      <c r="R2172">
        <v>-2.9947640000000001E-2</v>
      </c>
      <c r="S2172">
        <v>-3.0113829999999999</v>
      </c>
      <c r="T2172">
        <v>-0.82939050000000003</v>
      </c>
      <c r="U2172">
        <v>0.37905879999999997</v>
      </c>
      <c r="V2172">
        <v>-2.1386140000000001E-2</v>
      </c>
      <c r="W2172">
        <v>1.1991989999999999E-2</v>
      </c>
      <c r="X2172">
        <v>0.99969940000000002</v>
      </c>
      <c r="Y2172">
        <v>0.12835919999999901</v>
      </c>
      <c r="Z2172">
        <v>1.9595419999999999E-2</v>
      </c>
      <c r="AA2172">
        <v>0.99153409999999997</v>
      </c>
      <c r="AB2172">
        <v>30</v>
      </c>
      <c r="AC2172">
        <v>-0.40769999999997703</v>
      </c>
      <c r="AD2172">
        <v>-0.19287369999999901</v>
      </c>
      <c r="AE2172">
        <v>9.0599999999994907E-2</v>
      </c>
      <c r="AF2172">
        <v>7.7548737677139906E-2</v>
      </c>
      <c r="AG2172">
        <v>-0.19287369999999901</v>
      </c>
      <c r="AH2172">
        <v>0.33538218486626897</v>
      </c>
      <c r="AI2172">
        <v>119.262041870421</v>
      </c>
      <c r="AJ2172">
        <v>76.980593685482106</v>
      </c>
      <c r="AK2172">
        <v>0.39458241318219001</v>
      </c>
      <c r="AL2172">
        <v>89.312893138198106</v>
      </c>
      <c r="AM2172">
        <v>91.225517082115999</v>
      </c>
      <c r="AN2172">
        <v>1.0000000325842999</v>
      </c>
    </row>
    <row r="2173" spans="1:40" x14ac:dyDescent="0.3">
      <c r="A2173" t="str">
        <f>"20200111160448687"</f>
        <v>20200111160448687</v>
      </c>
      <c r="B2173" t="str">
        <f>"1578729888683159"</f>
        <v>1578729888683159</v>
      </c>
      <c r="C2173" t="s">
        <v>40</v>
      </c>
      <c r="D2173">
        <v>4.5741120000000004</v>
      </c>
      <c r="E2173">
        <v>0.56433269999999902</v>
      </c>
      <c r="F2173" t="s">
        <v>42</v>
      </c>
      <c r="G2173">
        <v>-433.39530000000002</v>
      </c>
      <c r="H2173">
        <v>0.92446260000000002</v>
      </c>
      <c r="I2173">
        <v>284.91340000000002</v>
      </c>
      <c r="J2173">
        <v>-433.01420000000002</v>
      </c>
      <c r="K2173">
        <v>1.110406</v>
      </c>
      <c r="L2173">
        <v>284.82440000000003</v>
      </c>
      <c r="M2173">
        <v>-0.99986269999999999</v>
      </c>
      <c r="N2173">
        <v>0</v>
      </c>
      <c r="O2173">
        <v>-8.5220780000000006E-3</v>
      </c>
      <c r="P2173">
        <v>-0.99957549999999995</v>
      </c>
      <c r="Q2173">
        <v>-2.0435119999999999E-3</v>
      </c>
      <c r="R2173">
        <v>-2.90651E-2</v>
      </c>
      <c r="S2173">
        <v>-3.0109859999999999</v>
      </c>
      <c r="T2173">
        <v>-0.82989059999999903</v>
      </c>
      <c r="U2173">
        <v>0.38452150000000002</v>
      </c>
      <c r="V2173">
        <v>-2.0543289999999999E-2</v>
      </c>
      <c r="W2173">
        <v>1.2173659999999999E-2</v>
      </c>
      <c r="X2173">
        <v>0.99971489999999996</v>
      </c>
      <c r="Y2173">
        <v>0.1300403</v>
      </c>
      <c r="Z2173">
        <v>1.9823090000000002E-2</v>
      </c>
      <c r="AA2173">
        <v>0.99131049999999998</v>
      </c>
      <c r="AB2173">
        <v>30</v>
      </c>
      <c r="AC2173">
        <v>-0.38110000000000299</v>
      </c>
      <c r="AD2173">
        <v>-0.18594340000000001</v>
      </c>
      <c r="AE2173">
        <v>8.8999999999998594E-2</v>
      </c>
      <c r="AF2173">
        <v>7.5256058613075202E-2</v>
      </c>
      <c r="AG2173">
        <v>-0.18594340000000001</v>
      </c>
      <c r="AH2173">
        <v>0.31028241140667101</v>
      </c>
      <c r="AI2173">
        <v>120.215945933078</v>
      </c>
      <c r="AJ2173">
        <v>76.3667126854115</v>
      </c>
      <c r="AK2173">
        <v>0.36947746506366702</v>
      </c>
      <c r="AL2173">
        <v>89.302483468608301</v>
      </c>
      <c r="AM2173">
        <v>91.177213804146305</v>
      </c>
      <c r="AN2173">
        <v>1.00000005302191</v>
      </c>
    </row>
    <row r="2174" spans="1:40" x14ac:dyDescent="0.3">
      <c r="A2174" t="str">
        <f>"20200111160448709"</f>
        <v>20200111160448709</v>
      </c>
      <c r="B2174" t="str">
        <f>"1578729888702678"</f>
        <v>1578729888702678</v>
      </c>
      <c r="C2174" t="s">
        <v>40</v>
      </c>
      <c r="D2174">
        <v>4.5923480000000003</v>
      </c>
      <c r="E2174">
        <v>0.5644245</v>
      </c>
      <c r="F2174" t="s">
        <v>42</v>
      </c>
      <c r="G2174">
        <v>-433.89800000000002</v>
      </c>
      <c r="H2174">
        <v>0.8668709</v>
      </c>
      <c r="I2174">
        <v>284.93920000000003</v>
      </c>
      <c r="J2174">
        <v>-433.322</v>
      </c>
      <c r="K2174">
        <v>1.1104000000000001</v>
      </c>
      <c r="L2174">
        <v>284.8218</v>
      </c>
      <c r="M2174">
        <v>-0.99986299999999995</v>
      </c>
      <c r="N2174">
        <v>0</v>
      </c>
      <c r="O2174">
        <v>-8.4783979999999998E-3</v>
      </c>
      <c r="P2174">
        <v>-0.99961800000000001</v>
      </c>
      <c r="Q2174">
        <v>-2.8996690000000001E-3</v>
      </c>
      <c r="R2174">
        <v>-2.7487859999999999E-2</v>
      </c>
      <c r="S2174">
        <v>-3.0109249999999999</v>
      </c>
      <c r="T2174">
        <v>-0.82965959999999905</v>
      </c>
      <c r="U2174">
        <v>0.3898315</v>
      </c>
      <c r="V2174">
        <v>-1.9009439999999999E-2</v>
      </c>
      <c r="W2174">
        <v>1.131445E-2</v>
      </c>
      <c r="X2174">
        <v>0.99975530000000001</v>
      </c>
      <c r="Y2174">
        <v>0.13166510000000001</v>
      </c>
      <c r="Z2174">
        <v>2.0023180000000002E-2</v>
      </c>
      <c r="AA2174">
        <v>0.99109199999999997</v>
      </c>
      <c r="AB2174">
        <v>29</v>
      </c>
      <c r="AC2174">
        <v>-0.57600000000007801</v>
      </c>
      <c r="AD2174">
        <v>-0.243529099999999</v>
      </c>
      <c r="AE2174">
        <v>0.11740000000003099</v>
      </c>
      <c r="AF2174">
        <v>0.10436774601105001</v>
      </c>
      <c r="AG2174">
        <v>-0.243529099999999</v>
      </c>
      <c r="AH2174">
        <v>0.490757682753374</v>
      </c>
      <c r="AI2174">
        <v>115.890830374893</v>
      </c>
      <c r="AJ2174">
        <v>77.993970374931394</v>
      </c>
      <c r="AK2174">
        <v>0.55771153129166895</v>
      </c>
      <c r="AL2174">
        <v>89.35171594661</v>
      </c>
      <c r="AM2174">
        <v>91.089296005272999</v>
      </c>
      <c r="AN2174">
        <v>1.000000017733</v>
      </c>
    </row>
    <row r="2175" spans="1:40" x14ac:dyDescent="0.3">
      <c r="A2175" t="str">
        <f>"20200111160448724"</f>
        <v>20200111160448724</v>
      </c>
      <c r="B2175" t="str">
        <f>"1578729888713415"</f>
        <v>1578729888713415</v>
      </c>
      <c r="C2175" t="s">
        <v>40</v>
      </c>
      <c r="D2175">
        <v>4.6926870000000003</v>
      </c>
      <c r="E2175">
        <v>0.56436149999999996</v>
      </c>
      <c r="F2175" t="s">
        <v>42</v>
      </c>
      <c r="G2175">
        <v>-434.16520000000003</v>
      </c>
      <c r="H2175">
        <v>0.8774457</v>
      </c>
      <c r="I2175">
        <v>284.93299999999999</v>
      </c>
      <c r="J2175">
        <v>-433.5179</v>
      </c>
      <c r="K2175">
        <v>1.1103959999999999</v>
      </c>
      <c r="L2175">
        <v>284.8202</v>
      </c>
      <c r="M2175">
        <v>-0.99986330000000001</v>
      </c>
      <c r="N2175">
        <v>0</v>
      </c>
      <c r="O2175">
        <v>-8.4498739999999996E-3</v>
      </c>
      <c r="P2175">
        <v>-0.99963250000000003</v>
      </c>
      <c r="Q2175">
        <v>-3.3734519999999999E-3</v>
      </c>
      <c r="R2175">
        <v>-2.6902079999999998E-2</v>
      </c>
      <c r="S2175">
        <v>-3.0096440000000002</v>
      </c>
      <c r="T2175">
        <v>-0.83154229999999996</v>
      </c>
      <c r="U2175">
        <v>0.39614870000000002</v>
      </c>
      <c r="V2175">
        <v>-1.845225E-2</v>
      </c>
      <c r="W2175">
        <v>1.0839079999999999E-2</v>
      </c>
      <c r="X2175">
        <v>0.99977099999999997</v>
      </c>
      <c r="Y2175">
        <v>0.13363849999999999</v>
      </c>
      <c r="Z2175">
        <v>2.0331419999999999E-2</v>
      </c>
      <c r="AA2175">
        <v>0.99082150000000002</v>
      </c>
      <c r="AB2175">
        <v>29</v>
      </c>
      <c r="AC2175">
        <v>-0.64730000000002896</v>
      </c>
      <c r="AD2175">
        <v>-0.232950299999999</v>
      </c>
      <c r="AE2175">
        <v>0.112799999999992</v>
      </c>
      <c r="AF2175">
        <v>0.105060401511699</v>
      </c>
      <c r="AG2175">
        <v>-0.232950299999999</v>
      </c>
      <c r="AH2175">
        <v>0.57415443192952198</v>
      </c>
      <c r="AI2175">
        <v>111.75699730200201</v>
      </c>
      <c r="AJ2175">
        <v>79.630572837926593</v>
      </c>
      <c r="AK2175">
        <v>0.62845591885207197</v>
      </c>
      <c r="AL2175">
        <v>89.378954308467101</v>
      </c>
      <c r="AM2175">
        <v>91.057358160901899</v>
      </c>
      <c r="AN2175">
        <v>1.00000001181315</v>
      </c>
    </row>
    <row r="2176" spans="1:40" x14ac:dyDescent="0.3">
      <c r="A2176" t="str">
        <f>"20200111160448741"</f>
        <v>20200111160448741</v>
      </c>
      <c r="B2176" t="str">
        <f>"1578729888732934"</f>
        <v>1578729888732934</v>
      </c>
      <c r="C2176" t="s">
        <v>40</v>
      </c>
      <c r="D2176">
        <v>4.5340699999999998</v>
      </c>
      <c r="E2176">
        <v>0.56445789999999996</v>
      </c>
      <c r="F2176" t="s">
        <v>42</v>
      </c>
      <c r="G2176">
        <v>-434.42090000000002</v>
      </c>
      <c r="H2176">
        <v>0.86041329999999905</v>
      </c>
      <c r="I2176">
        <v>284.94009999999997</v>
      </c>
      <c r="J2176">
        <v>-433.74540000000002</v>
      </c>
      <c r="K2176">
        <v>1.11039</v>
      </c>
      <c r="L2176">
        <v>284.81830000000002</v>
      </c>
      <c r="M2176">
        <v>-0.99986359999999996</v>
      </c>
      <c r="N2176">
        <v>0</v>
      </c>
      <c r="O2176">
        <v>-8.4153960000000003E-3</v>
      </c>
      <c r="P2176">
        <v>-0.99966940000000004</v>
      </c>
      <c r="Q2176">
        <v>-3.7562440000000002E-3</v>
      </c>
      <c r="R2176">
        <v>-2.543289E-2</v>
      </c>
      <c r="S2176">
        <v>-3.008972</v>
      </c>
      <c r="T2176">
        <v>-0.83305499999999899</v>
      </c>
      <c r="U2176">
        <v>0.3973083</v>
      </c>
      <c r="V2176">
        <v>-1.7017350000000001E-2</v>
      </c>
      <c r="W2176">
        <v>1.0453809999999999E-2</v>
      </c>
      <c r="X2176">
        <v>0.99980060000000004</v>
      </c>
      <c r="Y2176">
        <v>0.1339764</v>
      </c>
      <c r="Z2176">
        <v>2.040734E-2</v>
      </c>
      <c r="AA2176">
        <v>0.99077440000000006</v>
      </c>
      <c r="AB2176">
        <v>29</v>
      </c>
      <c r="AC2176">
        <v>-0.67549999999999899</v>
      </c>
      <c r="AD2176">
        <v>-0.2499767</v>
      </c>
      <c r="AE2176">
        <v>0.12179999999995</v>
      </c>
      <c r="AF2176">
        <v>0.112552612949768</v>
      </c>
      <c r="AG2176">
        <v>-0.2499767</v>
      </c>
      <c r="AH2176">
        <v>0.59547150510471902</v>
      </c>
      <c r="AI2176">
        <v>112.41577874634601</v>
      </c>
      <c r="AJ2176">
        <v>79.296552992869707</v>
      </c>
      <c r="AK2176">
        <v>0.65554767531918601</v>
      </c>
      <c r="AL2176">
        <v>89.401029930949306</v>
      </c>
      <c r="AM2176">
        <v>90.975122632796101</v>
      </c>
      <c r="AN2176">
        <v>1.00000005605244</v>
      </c>
    </row>
    <row r="2177" spans="1:40" x14ac:dyDescent="0.3">
      <c r="A2177" t="str">
        <f>"20200111160448764"</f>
        <v>20200111160448764</v>
      </c>
      <c r="B2177" t="str">
        <f>"1578729888753431"</f>
        <v>1578729888753431</v>
      </c>
      <c r="C2177" t="s">
        <v>40</v>
      </c>
      <c r="D2177">
        <v>4.650182</v>
      </c>
      <c r="E2177">
        <v>0.56445699999999999</v>
      </c>
      <c r="F2177" t="s">
        <v>42</v>
      </c>
      <c r="G2177">
        <v>-434.44389999999999</v>
      </c>
      <c r="H2177">
        <v>0.9166822</v>
      </c>
      <c r="I2177">
        <v>284.91210000000001</v>
      </c>
      <c r="J2177">
        <v>-434.03750000000002</v>
      </c>
      <c r="K2177">
        <v>1.1103860000000001</v>
      </c>
      <c r="L2177">
        <v>284.8159</v>
      </c>
      <c r="M2177">
        <v>-0.99986419999999998</v>
      </c>
      <c r="N2177">
        <v>0</v>
      </c>
      <c r="O2177">
        <v>-8.3704250000000008E-3</v>
      </c>
      <c r="P2177">
        <v>-0.99967640000000002</v>
      </c>
      <c r="Q2177">
        <v>-3.7091099999999998E-3</v>
      </c>
      <c r="R2177">
        <v>-2.5168079999999999E-2</v>
      </c>
      <c r="S2177">
        <v>-3.008057</v>
      </c>
      <c r="T2177">
        <v>-0.83430609999999905</v>
      </c>
      <c r="U2177">
        <v>0.40121459999999998</v>
      </c>
      <c r="V2177">
        <v>-1.679756E-2</v>
      </c>
      <c r="W2177">
        <v>1.0497680000000001E-2</v>
      </c>
      <c r="X2177">
        <v>0.99980380000000002</v>
      </c>
      <c r="Y2177">
        <v>0.13517479999999901</v>
      </c>
      <c r="Z2177">
        <v>2.0591419999999999E-2</v>
      </c>
      <c r="AA2177">
        <v>0.99060780000000004</v>
      </c>
      <c r="AB2177">
        <v>29</v>
      </c>
      <c r="AC2177">
        <v>-0.40639999999996201</v>
      </c>
      <c r="AD2177">
        <v>-0.19370380000000001</v>
      </c>
      <c r="AE2177">
        <v>9.6200000000010194E-2</v>
      </c>
      <c r="AF2177">
        <v>8.1965797414943906E-2</v>
      </c>
      <c r="AG2177">
        <v>-0.19370380000000001</v>
      </c>
      <c r="AH2177">
        <v>0.33377664822124697</v>
      </c>
      <c r="AI2177">
        <v>119.40537080574801</v>
      </c>
      <c r="AJ2177">
        <v>76.202851057886093</v>
      </c>
      <c r="AK2177">
        <v>0.39452047472611301</v>
      </c>
      <c r="AL2177">
        <v>89.398516192933599</v>
      </c>
      <c r="AM2177">
        <v>90.962527602788001</v>
      </c>
      <c r="AN2177">
        <v>0.99999999890088798</v>
      </c>
    </row>
    <row r="2178" spans="1:40" x14ac:dyDescent="0.3">
      <c r="A2178" t="str">
        <f>"20200111160448786"</f>
        <v>20200111160448786</v>
      </c>
      <c r="B2178" t="str">
        <f>"1578729888782711"</f>
        <v>1578729888782711</v>
      </c>
      <c r="C2178" t="s">
        <v>40</v>
      </c>
      <c r="D2178">
        <v>5.751601</v>
      </c>
      <c r="E2178">
        <v>0.53250559999999902</v>
      </c>
      <c r="F2178" t="s">
        <v>42</v>
      </c>
      <c r="G2178">
        <v>-434.94439999999997</v>
      </c>
      <c r="H2178">
        <v>0.85886759999999995</v>
      </c>
      <c r="I2178">
        <v>284.93729999999999</v>
      </c>
      <c r="J2178">
        <v>-434.33019999999999</v>
      </c>
      <c r="K2178">
        <v>1.1103909999999999</v>
      </c>
      <c r="L2178">
        <v>284.81349999999998</v>
      </c>
      <c r="M2178">
        <v>-0.99986459999999999</v>
      </c>
      <c r="N2178">
        <v>0</v>
      </c>
      <c r="O2178">
        <v>-8.3248619999999902E-3</v>
      </c>
      <c r="P2178">
        <v>-0.99967470000000003</v>
      </c>
      <c r="Q2178">
        <v>-2.6258100000000001E-3</v>
      </c>
      <c r="R2178">
        <v>-2.5372080000000002E-2</v>
      </c>
      <c r="S2178">
        <v>-3.0079959999999999</v>
      </c>
      <c r="T2178">
        <v>-0.83430890000000002</v>
      </c>
      <c r="U2178">
        <v>0.40142820000000001</v>
      </c>
      <c r="V2178">
        <v>-1.7046700000000001E-2</v>
      </c>
      <c r="W2178">
        <v>1.157765E-2</v>
      </c>
      <c r="X2178">
        <v>0.99978769999999995</v>
      </c>
      <c r="Y2178">
        <v>0.13520199999999999</v>
      </c>
      <c r="Z2178">
        <v>2.058312E-2</v>
      </c>
      <c r="AA2178">
        <v>0.99060420000000005</v>
      </c>
      <c r="AB2178">
        <v>29</v>
      </c>
      <c r="AC2178">
        <v>-0.61419999999998198</v>
      </c>
      <c r="AD2178">
        <v>-0.25152339999999901</v>
      </c>
      <c r="AE2178">
        <v>0.12380000000001699</v>
      </c>
      <c r="AF2178">
        <v>0.111018284462147</v>
      </c>
      <c r="AG2178">
        <v>-0.25152339999999901</v>
      </c>
      <c r="AH2178">
        <v>0.52805041375015405</v>
      </c>
      <c r="AI2178">
        <v>114.991828881069</v>
      </c>
      <c r="AJ2178">
        <v>78.126951009084195</v>
      </c>
      <c r="AK2178">
        <v>0.59533714792056103</v>
      </c>
      <c r="AL2178">
        <v>89.336634723508993</v>
      </c>
      <c r="AM2178">
        <v>90.976816712341005</v>
      </c>
      <c r="AN2178">
        <v>1.0000000385158501</v>
      </c>
    </row>
    <row r="2179" spans="1:40" x14ac:dyDescent="0.3">
      <c r="A2179" t="str">
        <f>"20200111160448966"</f>
        <v>20200111160448966</v>
      </c>
      <c r="B2179" t="str">
        <f>"1578729888963271"</f>
        <v>1578729888963271</v>
      </c>
      <c r="C2179" t="s">
        <v>40</v>
      </c>
      <c r="D2179">
        <v>4.3534790000000001</v>
      </c>
      <c r="E2179">
        <v>0.45775680000000002</v>
      </c>
      <c r="F2179" t="s">
        <v>57</v>
      </c>
      <c r="G2179">
        <v>-450.62959999999998</v>
      </c>
      <c r="H2179" s="1">
        <v>-1.1252179999999999E-6</v>
      </c>
      <c r="I2179">
        <v>282.86559999999997</v>
      </c>
      <c r="J2179">
        <v>-436.65929999999997</v>
      </c>
      <c r="K2179">
        <v>1.1103959999999999</v>
      </c>
      <c r="L2179">
        <v>284.79489999999998</v>
      </c>
      <c r="M2179">
        <v>-0.99986790000000003</v>
      </c>
      <c r="N2179">
        <v>0</v>
      </c>
      <c r="O2179">
        <v>-7.9655379999999994E-3</v>
      </c>
      <c r="P2179">
        <v>-0.99957680000000004</v>
      </c>
      <c r="Q2179">
        <v>-2.9612129999999999E-3</v>
      </c>
      <c r="R2179">
        <v>-2.8946840000000001E-2</v>
      </c>
      <c r="S2179">
        <v>-2.988861</v>
      </c>
      <c r="T2179">
        <v>-0.2326781</v>
      </c>
      <c r="U2179">
        <v>-0.40475460000000002</v>
      </c>
      <c r="V2179">
        <v>-2.0981139999999999E-2</v>
      </c>
      <c r="W2179">
        <v>1.1217660000000001E-2</v>
      </c>
      <c r="X2179">
        <v>0.99971690000000002</v>
      </c>
      <c r="Y2179">
        <v>-0.12594710000000001</v>
      </c>
      <c r="Z2179">
        <v>-4.2565049999999998E-3</v>
      </c>
      <c r="AA2179">
        <v>0.99202780000000002</v>
      </c>
      <c r="AB2179">
        <v>29</v>
      </c>
      <c r="AC2179">
        <v>-13.9703</v>
      </c>
      <c r="AD2179">
        <v>-1.110397125218</v>
      </c>
      <c r="AE2179">
        <v>-1.92930000000001</v>
      </c>
      <c r="AF2179">
        <v>-1.80674614856479</v>
      </c>
      <c r="AG2179">
        <v>-1.110397125218</v>
      </c>
      <c r="AH2179">
        <v>13.8990621287706</v>
      </c>
      <c r="AI2179">
        <v>94.529713482002094</v>
      </c>
      <c r="AJ2179">
        <v>97.406377321631993</v>
      </c>
      <c r="AK2179">
        <v>14.0599161263669</v>
      </c>
      <c r="AL2179">
        <v>89.357261921250796</v>
      </c>
      <c r="AM2179">
        <v>91.202294691755895</v>
      </c>
      <c r="AN2179">
        <v>0.99999996213859099</v>
      </c>
    </row>
    <row r="2180" spans="1:40" x14ac:dyDescent="0.3">
      <c r="A2180" t="str">
        <f>"20200111160448988"</f>
        <v>20200111160448988</v>
      </c>
      <c r="B2180" t="str">
        <f>"1578729888982790"</f>
        <v>1578729888982790</v>
      </c>
      <c r="C2180" t="s">
        <v>40</v>
      </c>
      <c r="D2180">
        <v>4.4219299999999997</v>
      </c>
      <c r="E2180">
        <v>0.4560495</v>
      </c>
      <c r="F2180" t="s">
        <v>57</v>
      </c>
      <c r="G2180">
        <v>-451.36619999999999</v>
      </c>
      <c r="H2180" s="1">
        <v>-7.2415859999999899E-7</v>
      </c>
      <c r="I2180">
        <v>282.65769999999998</v>
      </c>
      <c r="J2180">
        <v>-436.95280000000002</v>
      </c>
      <c r="K2180">
        <v>1.110392</v>
      </c>
      <c r="L2180">
        <v>284.79259999999999</v>
      </c>
      <c r="M2180">
        <v>-0.99986830000000004</v>
      </c>
      <c r="N2180">
        <v>0</v>
      </c>
      <c r="O2180">
        <v>-7.9203439999999993E-3</v>
      </c>
      <c r="P2180">
        <v>-0.99958040000000004</v>
      </c>
      <c r="Q2180">
        <v>-2.7536599999999998E-3</v>
      </c>
      <c r="R2180">
        <v>-2.884608E-2</v>
      </c>
      <c r="S2180">
        <v>-2.9880680000000002</v>
      </c>
      <c r="T2180">
        <v>-0.22560459999999999</v>
      </c>
      <c r="U2180">
        <v>-0.43423460000000003</v>
      </c>
      <c r="V2180">
        <v>-2.0925800000000001E-2</v>
      </c>
      <c r="W2180">
        <v>1.142221E-2</v>
      </c>
      <c r="X2180">
        <v>0.99971580000000004</v>
      </c>
      <c r="Y2180">
        <v>-0.13561309999999999</v>
      </c>
      <c r="Z2180">
        <v>-4.4916340000000004E-3</v>
      </c>
      <c r="AA2180">
        <v>0.99075170000000001</v>
      </c>
      <c r="AB2180">
        <v>29</v>
      </c>
      <c r="AC2180">
        <v>-14.4133999999999</v>
      </c>
      <c r="AD2180">
        <v>-1.1103927241586</v>
      </c>
      <c r="AE2180">
        <v>-2.1349000000000098</v>
      </c>
      <c r="AF2180">
        <v>-2.0089950805057502</v>
      </c>
      <c r="AG2180">
        <v>-1.1103927241586</v>
      </c>
      <c r="AH2180">
        <v>14.3465399641243</v>
      </c>
      <c r="AI2180">
        <v>94.383154622480802</v>
      </c>
      <c r="AJ2180">
        <v>97.971488496186495</v>
      </c>
      <c r="AK2180">
        <v>14.529013806090701</v>
      </c>
      <c r="AL2180">
        <v>89.345541354926794</v>
      </c>
      <c r="AM2180">
        <v>91.199125757133601</v>
      </c>
      <c r="AN2180">
        <v>1.00000001837828</v>
      </c>
    </row>
    <row r="2181" spans="1:40" x14ac:dyDescent="0.3">
      <c r="A2181" t="str">
        <f>"20200111160449010"</f>
        <v>20200111160449010</v>
      </c>
      <c r="B2181" t="str">
        <f>"1578729889003286"</f>
        <v>1578729889003286</v>
      </c>
      <c r="C2181" t="s">
        <v>40</v>
      </c>
      <c r="D2181">
        <v>4.4118849999999998</v>
      </c>
      <c r="E2181">
        <v>0.45566309999999899</v>
      </c>
      <c r="F2181" t="s">
        <v>57</v>
      </c>
      <c r="G2181">
        <v>-452.09390000000002</v>
      </c>
      <c r="H2181" s="1">
        <v>-3.3111099999999998E-7</v>
      </c>
      <c r="I2181">
        <v>282.5249</v>
      </c>
      <c r="J2181">
        <v>-437.24189999999999</v>
      </c>
      <c r="K2181">
        <v>1.110398</v>
      </c>
      <c r="L2181">
        <v>284.79039999999998</v>
      </c>
      <c r="M2181">
        <v>-0.99986850000000005</v>
      </c>
      <c r="N2181">
        <v>0</v>
      </c>
      <c r="O2181">
        <v>-7.8762160000000001E-3</v>
      </c>
      <c r="P2181">
        <v>-0.99959900000000002</v>
      </c>
      <c r="Q2181">
        <v>-3.2523610000000001E-3</v>
      </c>
      <c r="R2181">
        <v>-2.8126769999999999E-2</v>
      </c>
      <c r="S2181">
        <v>-2.9877319999999998</v>
      </c>
      <c r="T2181">
        <v>-0.21910979999999999</v>
      </c>
      <c r="U2181">
        <v>-0.44747920000000002</v>
      </c>
      <c r="V2181">
        <v>-2.0250890000000001E-2</v>
      </c>
      <c r="W2181">
        <v>1.0920610000000001E-2</v>
      </c>
      <c r="X2181">
        <v>0.99973529999999999</v>
      </c>
      <c r="Y2181">
        <v>-0.13997860000000001</v>
      </c>
      <c r="Z2181">
        <v>-4.5239490000000002E-3</v>
      </c>
      <c r="AA2181">
        <v>0.99014420000000003</v>
      </c>
      <c r="AB2181">
        <v>29</v>
      </c>
      <c r="AC2181">
        <v>-14.852</v>
      </c>
      <c r="AD2181">
        <v>-1.1103983311109999</v>
      </c>
      <c r="AE2181">
        <v>-2.2654999999999701</v>
      </c>
      <c r="AF2181">
        <v>-2.1367681187277299</v>
      </c>
      <c r="AG2181">
        <v>-1.1103983311109999</v>
      </c>
      <c r="AH2181">
        <v>14.788600577231801</v>
      </c>
      <c r="AI2181">
        <v>94.250012165229194</v>
      </c>
      <c r="AJ2181">
        <v>98.221626449591</v>
      </c>
      <c r="AK2181">
        <v>14.983373100869001</v>
      </c>
      <c r="AL2181">
        <v>89.374282708591096</v>
      </c>
      <c r="AM2181">
        <v>91.160439040500407</v>
      </c>
      <c r="AN2181">
        <v>1.00000001416732</v>
      </c>
    </row>
    <row r="2182" spans="1:40" x14ac:dyDescent="0.3">
      <c r="A2182" t="str">
        <f>"20200111160449032"</f>
        <v>20200111160449032</v>
      </c>
      <c r="B2182" t="str">
        <f>"1578729889022806"</f>
        <v>1578729889022806</v>
      </c>
      <c r="C2182" t="s">
        <v>40</v>
      </c>
      <c r="D2182">
        <v>4.391381</v>
      </c>
      <c r="E2182">
        <v>0.4552795</v>
      </c>
      <c r="F2182" t="s">
        <v>57</v>
      </c>
      <c r="G2182">
        <v>-452.19619999999998</v>
      </c>
      <c r="H2182" s="1">
        <v>-2.7764139999999999E-7</v>
      </c>
      <c r="I2182">
        <v>282.5471</v>
      </c>
      <c r="J2182">
        <v>-437.52760000000001</v>
      </c>
      <c r="K2182">
        <v>1.1104019999999999</v>
      </c>
      <c r="L2182">
        <v>284.78820000000002</v>
      </c>
      <c r="M2182">
        <v>-0.99986900000000001</v>
      </c>
      <c r="N2182">
        <v>0</v>
      </c>
      <c r="O2182">
        <v>-7.8320950000000007E-3</v>
      </c>
      <c r="P2182">
        <v>-0.99961109999999997</v>
      </c>
      <c r="Q2182">
        <v>-3.68272E-3</v>
      </c>
      <c r="R2182">
        <v>-2.764848E-2</v>
      </c>
      <c r="S2182">
        <v>-2.9878849999999999</v>
      </c>
      <c r="T2182">
        <v>-0.22185949999999999</v>
      </c>
      <c r="U2182">
        <v>-0.44821169999999999</v>
      </c>
      <c r="V2182">
        <v>-1.9816219999999999E-2</v>
      </c>
      <c r="W2182">
        <v>1.048719E-2</v>
      </c>
      <c r="X2182">
        <v>0.99974859999999999</v>
      </c>
      <c r="Y2182">
        <v>-0.1402427</v>
      </c>
      <c r="Z2182">
        <v>-4.5932480000000003E-3</v>
      </c>
      <c r="AA2182">
        <v>0.9901065</v>
      </c>
      <c r="AB2182">
        <v>29</v>
      </c>
      <c r="AC2182">
        <v>-14.6685999999999</v>
      </c>
      <c r="AD2182">
        <v>-1.1104022776414</v>
      </c>
      <c r="AE2182">
        <v>-2.2411000000000101</v>
      </c>
      <c r="AF2182">
        <v>-2.1142945023695199</v>
      </c>
      <c r="AG2182">
        <v>-1.1104022776414</v>
      </c>
      <c r="AH2182">
        <v>14.603927108188699</v>
      </c>
      <c r="AI2182">
        <v>94.3033950661803</v>
      </c>
      <c r="AJ2182">
        <v>98.237802837357194</v>
      </c>
      <c r="AK2182">
        <v>14.7979026028093</v>
      </c>
      <c r="AL2182">
        <v>89.399117237455002</v>
      </c>
      <c r="AM2182">
        <v>91.135522587166804</v>
      </c>
      <c r="AN2182">
        <v>0.99999996346557096</v>
      </c>
    </row>
    <row r="2183" spans="1:40" x14ac:dyDescent="0.3">
      <c r="A2183" t="str">
        <f>"20200111160449055"</f>
        <v>20200111160449055</v>
      </c>
      <c r="B2183" t="str">
        <f>"1578729889043302"</f>
        <v>1578729889043302</v>
      </c>
      <c r="C2183" t="s">
        <v>40</v>
      </c>
      <c r="D2183">
        <v>4.454129</v>
      </c>
      <c r="E2183">
        <v>0.4549899</v>
      </c>
      <c r="F2183" t="s">
        <v>57</v>
      </c>
      <c r="G2183">
        <v>-452.4178</v>
      </c>
      <c r="H2183" s="1">
        <v>-1.5966059999999999E-7</v>
      </c>
      <c r="I2183">
        <v>282.54629999999997</v>
      </c>
      <c r="J2183">
        <v>-437.81180000000001</v>
      </c>
      <c r="K2183">
        <v>1.110403</v>
      </c>
      <c r="L2183">
        <v>284.786</v>
      </c>
      <c r="M2183">
        <v>-0.99986929999999996</v>
      </c>
      <c r="N2183">
        <v>0</v>
      </c>
      <c r="O2183">
        <v>-7.7884490000000002E-3</v>
      </c>
      <c r="P2183">
        <v>-0.99962200000000001</v>
      </c>
      <c r="Q2183">
        <v>-3.859445E-3</v>
      </c>
      <c r="R2183">
        <v>-2.7223299999999999E-2</v>
      </c>
      <c r="S2183">
        <v>-2.9879150000000001</v>
      </c>
      <c r="T2183">
        <v>-0.22281629999999999</v>
      </c>
      <c r="U2183">
        <v>-0.44985960000000003</v>
      </c>
      <c r="V2183">
        <v>-1.9435359999999999E-2</v>
      </c>
      <c r="W2183">
        <v>1.030791E-2</v>
      </c>
      <c r="X2183">
        <v>0.99975800000000004</v>
      </c>
      <c r="Y2183">
        <v>-0.14081370000000001</v>
      </c>
      <c r="Z2183">
        <v>-4.6371449999999996E-3</v>
      </c>
      <c r="AA2183">
        <v>0.99002520000000005</v>
      </c>
      <c r="AB2183">
        <v>29</v>
      </c>
      <c r="AC2183">
        <v>-14.6059999999999</v>
      </c>
      <c r="AD2183">
        <v>-1.1104031596606001</v>
      </c>
      <c r="AE2183">
        <v>-2.23970000000002</v>
      </c>
      <c r="AF2183">
        <v>-2.1139255585382402</v>
      </c>
      <c r="AG2183">
        <v>-1.1104031596606001</v>
      </c>
      <c r="AH2183">
        <v>14.5408924029172</v>
      </c>
      <c r="AI2183">
        <v>94.321614741565298</v>
      </c>
      <c r="AJ2183">
        <v>98.271596768456405</v>
      </c>
      <c r="AK2183">
        <v>14.735644821901801</v>
      </c>
      <c r="AL2183">
        <v>89.409389815293395</v>
      </c>
      <c r="AM2183">
        <v>91.113693368975106</v>
      </c>
      <c r="AN2183">
        <v>1.0000000223954399</v>
      </c>
    </row>
    <row r="2184" spans="1:40" x14ac:dyDescent="0.3">
      <c r="A2184" t="str">
        <f>"20200111160449077"</f>
        <v>20200111160449077</v>
      </c>
      <c r="B2184" t="str">
        <f>"1578729889073558"</f>
        <v>1578729889073558</v>
      </c>
      <c r="C2184" t="s">
        <v>40</v>
      </c>
      <c r="D2184">
        <v>4.4434610000000001</v>
      </c>
      <c r="E2184">
        <v>0.45588339999999999</v>
      </c>
      <c r="F2184" t="s">
        <v>57</v>
      </c>
      <c r="G2184">
        <v>-452.68689999999998</v>
      </c>
      <c r="H2184" s="1">
        <v>-1.6242239999999899E-8</v>
      </c>
      <c r="I2184">
        <v>282.54070000000002</v>
      </c>
      <c r="J2184">
        <v>-438.10140000000001</v>
      </c>
      <c r="K2184">
        <v>1.1104050000000001</v>
      </c>
      <c r="L2184">
        <v>284.78379999999999</v>
      </c>
      <c r="M2184">
        <v>-0.99986980000000003</v>
      </c>
      <c r="N2184">
        <v>0</v>
      </c>
      <c r="O2184">
        <v>-7.744084E-3</v>
      </c>
      <c r="P2184">
        <v>-0.999637</v>
      </c>
      <c r="Q2184">
        <v>-3.687451E-3</v>
      </c>
      <c r="R2184">
        <v>-2.669703E-2</v>
      </c>
      <c r="S2184">
        <v>-2.9879760000000002</v>
      </c>
      <c r="T2184">
        <v>-0.22304869999999999</v>
      </c>
      <c r="U2184">
        <v>-0.45101930000000001</v>
      </c>
      <c r="V2184">
        <v>-1.8952879999999998E-2</v>
      </c>
      <c r="W2184">
        <v>1.0477179999999999E-2</v>
      </c>
      <c r="X2184">
        <v>0.99976549999999997</v>
      </c>
      <c r="Y2184">
        <v>-0.141228399999999</v>
      </c>
      <c r="Z2184">
        <v>-4.6603970000000002E-3</v>
      </c>
      <c r="AA2184">
        <v>0.98996609999999996</v>
      </c>
      <c r="AB2184">
        <v>29</v>
      </c>
      <c r="AC2184">
        <v>-14.5854999999999</v>
      </c>
      <c r="AD2184">
        <v>-1.1104050162422401</v>
      </c>
      <c r="AE2184">
        <v>-2.2430999999999699</v>
      </c>
      <c r="AF2184">
        <v>-2.1180775600344401</v>
      </c>
      <c r="AG2184">
        <v>-1.1104050162422401</v>
      </c>
      <c r="AH2184">
        <v>14.520221876906801</v>
      </c>
      <c r="AI2184">
        <v>94.327447684232894</v>
      </c>
      <c r="AJ2184">
        <v>98.299251490986904</v>
      </c>
      <c r="AK2184">
        <v>14.715845038767601</v>
      </c>
      <c r="AL2184">
        <v>89.399690833064597</v>
      </c>
      <c r="AM2184">
        <v>91.086044653082794</v>
      </c>
      <c r="AN2184">
        <v>1.0000000189756399</v>
      </c>
    </row>
    <row r="2185" spans="1:40" x14ac:dyDescent="0.3">
      <c r="A2185" t="str">
        <f>"20200111160449099"</f>
        <v>20200111160449099</v>
      </c>
      <c r="B2185" t="str">
        <f>"1578729889093078"</f>
        <v>1578729889093078</v>
      </c>
      <c r="C2185" t="s">
        <v>40</v>
      </c>
      <c r="D2185">
        <v>4.4273410000000002</v>
      </c>
      <c r="E2185">
        <v>0.45593319999999998</v>
      </c>
      <c r="F2185" t="s">
        <v>57</v>
      </c>
      <c r="G2185">
        <v>-453.19589999999999</v>
      </c>
      <c r="H2185" s="1">
        <v>2.5417979999999998E-7</v>
      </c>
      <c r="I2185">
        <v>282.55090000000001</v>
      </c>
      <c r="J2185">
        <v>-438.392</v>
      </c>
      <c r="K2185">
        <v>1.1104039999999999</v>
      </c>
      <c r="L2185">
        <v>284.78160000000003</v>
      </c>
      <c r="M2185">
        <v>-0.99987009999999998</v>
      </c>
      <c r="N2185">
        <v>0</v>
      </c>
      <c r="O2185">
        <v>-7.6996019999999998E-3</v>
      </c>
      <c r="P2185">
        <v>-0.99963639999999998</v>
      </c>
      <c r="Q2185">
        <v>-3.2441089999999998E-3</v>
      </c>
      <c r="R2185">
        <v>-2.677301E-2</v>
      </c>
      <c r="S2185">
        <v>-2.988464</v>
      </c>
      <c r="T2185">
        <v>-0.21984239999999999</v>
      </c>
      <c r="U2185">
        <v>-0.44207760000000001</v>
      </c>
      <c r="V2185">
        <v>-1.9073400000000001E-2</v>
      </c>
      <c r="W2185">
        <v>1.091775E-2</v>
      </c>
      <c r="X2185">
        <v>0.99975849999999999</v>
      </c>
      <c r="Y2185">
        <v>-0.1383684</v>
      </c>
      <c r="Z2185">
        <v>-4.4926100000000002E-3</v>
      </c>
      <c r="AA2185">
        <v>0.99037059999999999</v>
      </c>
      <c r="AB2185">
        <v>29</v>
      </c>
      <c r="AC2185">
        <v>-14.803900000000001</v>
      </c>
      <c r="AD2185">
        <v>-1.1104037458202001</v>
      </c>
      <c r="AE2185">
        <v>-2.2307000000000099</v>
      </c>
      <c r="AF2185">
        <v>-2.10505791101507</v>
      </c>
      <c r="AG2185">
        <v>-1.1104037458202001</v>
      </c>
      <c r="AH2185">
        <v>14.7395527967407</v>
      </c>
      <c r="AI2185">
        <v>94.2651223083151</v>
      </c>
      <c r="AJ2185">
        <v>98.127845275030197</v>
      </c>
      <c r="AK2185">
        <v>14.9304615446197</v>
      </c>
      <c r="AL2185">
        <v>89.374446591119195</v>
      </c>
      <c r="AM2185">
        <v>91.092956713614598</v>
      </c>
      <c r="AN2185">
        <v>1.0000000250874299</v>
      </c>
    </row>
    <row r="2186" spans="1:40" x14ac:dyDescent="0.3">
      <c r="A2186" t="str">
        <f>"20200111160449122"</f>
        <v>20200111160449122</v>
      </c>
      <c r="B2186" t="str">
        <f>"1578729889113574"</f>
        <v>1578729889113574</v>
      </c>
      <c r="C2186" t="s">
        <v>40</v>
      </c>
      <c r="D2186">
        <v>4.5693449999999904</v>
      </c>
      <c r="E2186">
        <v>0.45590389999999997</v>
      </c>
      <c r="F2186" t="s">
        <v>57</v>
      </c>
      <c r="G2186">
        <v>-453.48430000000002</v>
      </c>
      <c r="H2186" s="1">
        <v>4.0770389999999999E-7</v>
      </c>
      <c r="I2186">
        <v>282.55040000000002</v>
      </c>
      <c r="J2186">
        <v>-438.68290000000002</v>
      </c>
      <c r="K2186">
        <v>1.1104039999999999</v>
      </c>
      <c r="L2186">
        <v>284.77940000000001</v>
      </c>
      <c r="M2186">
        <v>-0.99987060000000005</v>
      </c>
      <c r="N2186">
        <v>0</v>
      </c>
      <c r="O2186">
        <v>-7.6550009999999998E-3</v>
      </c>
      <c r="P2186">
        <v>-0.99962899999999999</v>
      </c>
      <c r="Q2186">
        <v>-2.856581E-3</v>
      </c>
      <c r="R2186">
        <v>-2.7096729999999999E-2</v>
      </c>
      <c r="S2186">
        <v>-2.9885860000000002</v>
      </c>
      <c r="T2186">
        <v>-0.21988269999999999</v>
      </c>
      <c r="U2186">
        <v>-0.44183349999999999</v>
      </c>
      <c r="V2186">
        <v>-1.944135E-2</v>
      </c>
      <c r="W2186">
        <v>1.130158E-2</v>
      </c>
      <c r="X2186">
        <v>0.9997471</v>
      </c>
      <c r="Y2186">
        <v>-0.13832739999999999</v>
      </c>
      <c r="Z2186">
        <v>-4.495036E-3</v>
      </c>
      <c r="AA2186">
        <v>0.99037640000000005</v>
      </c>
      <c r="AB2186">
        <v>29</v>
      </c>
      <c r="AC2186">
        <v>-14.801399999999999</v>
      </c>
      <c r="AD2186">
        <v>-1.1104035922961</v>
      </c>
      <c r="AE2186">
        <v>-2.2289999999999801</v>
      </c>
      <c r="AF2186">
        <v>-2.1040396068756699</v>
      </c>
      <c r="AG2186">
        <v>-1.1104035922961</v>
      </c>
      <c r="AH2186">
        <v>14.7369303460108</v>
      </c>
      <c r="AI2186">
        <v>94.265903883990703</v>
      </c>
      <c r="AJ2186">
        <v>98.125392360168206</v>
      </c>
      <c r="AK2186">
        <v>14.9277290579733</v>
      </c>
      <c r="AL2186">
        <v>89.352453364621496</v>
      </c>
      <c r="AM2186">
        <v>91.114048667054305</v>
      </c>
      <c r="AN2186">
        <v>0.99999997787936401</v>
      </c>
    </row>
    <row r="2187" spans="1:40" x14ac:dyDescent="0.3">
      <c r="A2187" t="str">
        <f>"20200111160449143"</f>
        <v>20200111160449143</v>
      </c>
      <c r="B2187" t="str">
        <f>"1578729889133095"</f>
        <v>1578729889133095</v>
      </c>
      <c r="C2187" t="s">
        <v>40</v>
      </c>
      <c r="D2187">
        <v>4.5520189999999996</v>
      </c>
      <c r="E2187">
        <v>0.45577839999999997</v>
      </c>
      <c r="F2187" t="s">
        <v>57</v>
      </c>
      <c r="G2187">
        <v>-453.7824</v>
      </c>
      <c r="H2187" s="1">
        <v>5.6679580000000003E-7</v>
      </c>
      <c r="I2187">
        <v>282.54000000000002</v>
      </c>
      <c r="J2187">
        <v>-438.95830000000001</v>
      </c>
      <c r="K2187">
        <v>1.1104099999999999</v>
      </c>
      <c r="L2187">
        <v>284.77730000000003</v>
      </c>
      <c r="M2187">
        <v>-0.99987079999999995</v>
      </c>
      <c r="N2187">
        <v>0</v>
      </c>
      <c r="O2187">
        <v>-7.6118330000000001E-3</v>
      </c>
      <c r="P2187">
        <v>-0.99961829999999996</v>
      </c>
      <c r="Q2187">
        <v>-3.3667179999999999E-3</v>
      </c>
      <c r="R2187">
        <v>-2.7425350000000001E-2</v>
      </c>
      <c r="S2187">
        <v>-2.988464</v>
      </c>
      <c r="T2187">
        <v>-0.2197683</v>
      </c>
      <c r="U2187">
        <v>-0.44320680000000001</v>
      </c>
      <c r="V2187">
        <v>-1.9813299999999999E-2</v>
      </c>
      <c r="W2187">
        <v>1.0788529999999999E-2</v>
      </c>
      <c r="X2187">
        <v>0.99974549999999995</v>
      </c>
      <c r="Y2187">
        <v>-0.13882030000000001</v>
      </c>
      <c r="Z2187">
        <v>-4.5138899999999996E-3</v>
      </c>
      <c r="AA2187">
        <v>0.9903073</v>
      </c>
      <c r="AB2187">
        <v>29</v>
      </c>
      <c r="AC2187">
        <v>-14.8240999999999</v>
      </c>
      <c r="AD2187">
        <v>-1.1104094332042</v>
      </c>
      <c r="AE2187">
        <v>-2.2372999999999998</v>
      </c>
      <c r="AF2187">
        <v>-2.1127946953480601</v>
      </c>
      <c r="AG2187">
        <v>-1.1104094332042</v>
      </c>
      <c r="AH2187">
        <v>14.759731621938601</v>
      </c>
      <c r="AI2187">
        <v>94.259138859185896</v>
      </c>
      <c r="AJ2187">
        <v>98.1463139596611</v>
      </c>
      <c r="AK2187">
        <v>14.9514744452076</v>
      </c>
      <c r="AL2187">
        <v>89.381850779564402</v>
      </c>
      <c r="AM2187">
        <v>91.135358826707105</v>
      </c>
      <c r="AN2187">
        <v>1.0000000120033501</v>
      </c>
    </row>
    <row r="2188" spans="1:40" x14ac:dyDescent="0.3">
      <c r="A2188" t="str">
        <f>"20200111160449167"</f>
        <v>20200111160449167</v>
      </c>
      <c r="B2188" t="str">
        <f>"1578729889163350"</f>
        <v>1578729889163350</v>
      </c>
      <c r="C2188" t="s">
        <v>40</v>
      </c>
      <c r="D2188">
        <v>4.5808140000000002</v>
      </c>
      <c r="E2188">
        <v>0.45550350000000001</v>
      </c>
      <c r="F2188" t="s">
        <v>57</v>
      </c>
      <c r="G2188">
        <v>-453.85149999999999</v>
      </c>
      <c r="H2188" s="1">
        <v>6.0277900000000003E-7</v>
      </c>
      <c r="I2188">
        <v>282.55790000000002</v>
      </c>
      <c r="J2188">
        <v>-439.2466</v>
      </c>
      <c r="K2188">
        <v>1.110406</v>
      </c>
      <c r="L2188">
        <v>284.77510000000001</v>
      </c>
      <c r="M2188">
        <v>-0.99987130000000002</v>
      </c>
      <c r="N2188">
        <v>0</v>
      </c>
      <c r="O2188">
        <v>-7.5678209999999997E-3</v>
      </c>
      <c r="P2188">
        <v>-0.99959330000000002</v>
      </c>
      <c r="Q2188">
        <v>-3.3301670000000002E-3</v>
      </c>
      <c r="R2188">
        <v>-2.832579E-2</v>
      </c>
      <c r="S2188">
        <v>-2.9882200000000001</v>
      </c>
      <c r="T2188">
        <v>-0.2227963</v>
      </c>
      <c r="U2188">
        <v>-0.4453125</v>
      </c>
      <c r="V2188">
        <v>-2.075813E-2</v>
      </c>
      <c r="W2188">
        <v>1.0821910000000001E-2</v>
      </c>
      <c r="X2188">
        <v>0.99972589999999995</v>
      </c>
      <c r="Y2188">
        <v>-0.13954659999999999</v>
      </c>
      <c r="Z2188">
        <v>-4.6061990000000001E-3</v>
      </c>
      <c r="AA2188">
        <v>0.9902048</v>
      </c>
      <c r="AB2188">
        <v>29</v>
      </c>
      <c r="AC2188">
        <v>-14.604899999999899</v>
      </c>
      <c r="AD2188">
        <v>-1.110405397221</v>
      </c>
      <c r="AE2188">
        <v>-2.2171999999999898</v>
      </c>
      <c r="AF2188">
        <v>-2.0947621605857698</v>
      </c>
      <c r="AG2188">
        <v>-1.110405397221</v>
      </c>
      <c r="AH2188">
        <v>14.539112596867801</v>
      </c>
      <c r="AI2188">
        <v>94.322944169986201</v>
      </c>
      <c r="AJ2188">
        <v>98.198625724456903</v>
      </c>
      <c r="AK2188">
        <v>14.731151474341701</v>
      </c>
      <c r="AL2188">
        <v>89.379938092899394</v>
      </c>
      <c r="AM2188">
        <v>91.189508403595894</v>
      </c>
      <c r="AN2188">
        <v>0.99999994441397499</v>
      </c>
    </row>
    <row r="2189" spans="1:40" x14ac:dyDescent="0.3">
      <c r="A2189" t="str">
        <f>"20200111160449189"</f>
        <v>20200111160449189</v>
      </c>
      <c r="B2189" t="str">
        <f>"1578729889182870"</f>
        <v>1578729889182870</v>
      </c>
      <c r="C2189" t="s">
        <v>40</v>
      </c>
      <c r="D2189">
        <v>6.4118879999999896</v>
      </c>
      <c r="E2189">
        <v>0.45545560000000002</v>
      </c>
      <c r="F2189" t="s">
        <v>57</v>
      </c>
      <c r="G2189">
        <v>-454.07389999999998</v>
      </c>
      <c r="H2189" s="1">
        <v>7.2181900000000001E-7</v>
      </c>
      <c r="I2189">
        <v>282.54160000000002</v>
      </c>
      <c r="J2189">
        <v>-439.54230000000001</v>
      </c>
      <c r="K2189">
        <v>1.1104050000000001</v>
      </c>
      <c r="L2189">
        <v>284.77289999999999</v>
      </c>
      <c r="M2189">
        <v>-0.99987170000000003</v>
      </c>
      <c r="N2189">
        <v>0</v>
      </c>
      <c r="O2189">
        <v>-7.5225049999999996E-3</v>
      </c>
      <c r="P2189">
        <v>-0.99957059999999998</v>
      </c>
      <c r="Q2189">
        <v>-3.513642E-3</v>
      </c>
      <c r="R2189">
        <v>-2.9098280000000001E-2</v>
      </c>
      <c r="S2189">
        <v>-2.9877319999999998</v>
      </c>
      <c r="T2189">
        <v>-0.2237499</v>
      </c>
      <c r="U2189">
        <v>-0.45007320000000001</v>
      </c>
      <c r="V2189">
        <v>-2.1576189999999999E-2</v>
      </c>
      <c r="W2189">
        <v>1.0635479999999999E-2</v>
      </c>
      <c r="X2189">
        <v>0.9997106</v>
      </c>
      <c r="Y2189">
        <v>-0.14115050000000001</v>
      </c>
      <c r="Z2189">
        <v>-4.6890730000000002E-3</v>
      </c>
      <c r="AA2189">
        <v>0.98997710000000005</v>
      </c>
      <c r="AB2189">
        <v>29</v>
      </c>
      <c r="AC2189">
        <v>-14.5315999999999</v>
      </c>
      <c r="AD2189">
        <v>-1.110404278181</v>
      </c>
      <c r="AE2189">
        <v>-2.2312999999999699</v>
      </c>
      <c r="AF2189">
        <v>-2.1098761746070802</v>
      </c>
      <c r="AG2189">
        <v>-1.110404278181</v>
      </c>
      <c r="AH2189">
        <v>14.4654577139369</v>
      </c>
      <c r="AI2189">
        <v>94.343774418002198</v>
      </c>
      <c r="AJ2189">
        <v>98.298425833540406</v>
      </c>
      <c r="AK2189">
        <v>14.6606289771918</v>
      </c>
      <c r="AL2189">
        <v>89.390620372781498</v>
      </c>
      <c r="AM2189">
        <v>91.236390544911103</v>
      </c>
      <c r="AN2189">
        <v>0.999999964581052</v>
      </c>
    </row>
    <row r="2190" spans="1:40" x14ac:dyDescent="0.3">
      <c r="A2190" t="str">
        <f>"20200111160449210"</f>
        <v>20200111160449210</v>
      </c>
      <c r="B2190" t="str">
        <f>"1578729889203366"</f>
        <v>1578729889203366</v>
      </c>
      <c r="C2190" t="s">
        <v>40</v>
      </c>
      <c r="D2190">
        <v>4.5683879999999997</v>
      </c>
      <c r="E2190">
        <v>0.45532899999999998</v>
      </c>
      <c r="F2190" t="s">
        <v>57</v>
      </c>
      <c r="G2190">
        <v>-454.5111</v>
      </c>
      <c r="H2190" s="1">
        <v>9.5611949999999899E-7</v>
      </c>
      <c r="I2190">
        <v>282.5043</v>
      </c>
      <c r="J2190">
        <v>-439.81319999999999</v>
      </c>
      <c r="K2190">
        <v>1.1104019999999999</v>
      </c>
      <c r="L2190">
        <v>284.77100000000002</v>
      </c>
      <c r="M2190">
        <v>-0.99987210000000004</v>
      </c>
      <c r="N2190">
        <v>0</v>
      </c>
      <c r="O2190">
        <v>-7.4808869999999899E-3</v>
      </c>
      <c r="P2190">
        <v>-0.99956920000000005</v>
      </c>
      <c r="Q2190">
        <v>-3.5932030000000001E-3</v>
      </c>
      <c r="R2190">
        <v>-2.913162E-2</v>
      </c>
      <c r="S2190">
        <v>-2.9873660000000002</v>
      </c>
      <c r="T2190">
        <v>-0.2216062</v>
      </c>
      <c r="U2190">
        <v>-0.45275880000000002</v>
      </c>
      <c r="V2190">
        <v>-2.1651529999999999E-2</v>
      </c>
      <c r="W2190">
        <v>1.0553470000000001E-2</v>
      </c>
      <c r="X2190">
        <v>0.99970990000000004</v>
      </c>
      <c r="Y2190">
        <v>-0.14208390000000001</v>
      </c>
      <c r="Z2190">
        <v>-4.6819640000000003E-3</v>
      </c>
      <c r="AA2190">
        <v>0.98984349999999999</v>
      </c>
      <c r="AB2190">
        <v>29</v>
      </c>
      <c r="AC2190">
        <v>-14.697900000000001</v>
      </c>
      <c r="AD2190">
        <v>-1.1104010438805001</v>
      </c>
      <c r="AE2190">
        <v>-2.26669999999995</v>
      </c>
      <c r="AF2190">
        <v>-2.14471556178301</v>
      </c>
      <c r="AG2190">
        <v>-1.1104010438805001</v>
      </c>
      <c r="AH2190">
        <v>14.6328697410617</v>
      </c>
      <c r="AI2190">
        <v>94.293816442263704</v>
      </c>
      <c r="AJ2190">
        <v>98.338376953592402</v>
      </c>
      <c r="AK2190">
        <v>14.830835181407901</v>
      </c>
      <c r="AL2190">
        <v>89.395319499678195</v>
      </c>
      <c r="AM2190">
        <v>91.240707309639703</v>
      </c>
      <c r="AN2190">
        <v>1.00000002431919</v>
      </c>
    </row>
    <row r="2191" spans="1:40" x14ac:dyDescent="0.3">
      <c r="A2191" t="str">
        <f>"20200111160449232"</f>
        <v>20200111160449232</v>
      </c>
      <c r="B2191" t="str">
        <f>"1578729889222886"</f>
        <v>1578729889222886</v>
      </c>
      <c r="C2191" t="s">
        <v>40</v>
      </c>
      <c r="D2191">
        <v>4.6532869999999997</v>
      </c>
      <c r="E2191">
        <v>0.45529789999999998</v>
      </c>
      <c r="F2191" t="s">
        <v>57</v>
      </c>
      <c r="G2191">
        <v>-454.6823</v>
      </c>
      <c r="H2191" s="1">
        <v>1.0468559999999999E-6</v>
      </c>
      <c r="I2191">
        <v>282.51220000000001</v>
      </c>
      <c r="J2191">
        <v>-440.09629999999999</v>
      </c>
      <c r="K2191">
        <v>1.1104050000000001</v>
      </c>
      <c r="L2191">
        <v>284.76889999999997</v>
      </c>
      <c r="M2191">
        <v>-0.99987239999999999</v>
      </c>
      <c r="N2191">
        <v>0</v>
      </c>
      <c r="O2191">
        <v>-7.4377159999999996E-3</v>
      </c>
      <c r="P2191">
        <v>-0.99956500000000004</v>
      </c>
      <c r="Q2191">
        <v>-3.8522780000000002E-3</v>
      </c>
      <c r="R2191">
        <v>-2.9242580000000001E-2</v>
      </c>
      <c r="S2191">
        <v>-2.9872740000000002</v>
      </c>
      <c r="T2191">
        <v>-0.22308539999999999</v>
      </c>
      <c r="U2191">
        <v>-0.45379639999999999</v>
      </c>
      <c r="V2191">
        <v>-2.1805089999999999E-2</v>
      </c>
      <c r="W2191">
        <v>1.029122E-2</v>
      </c>
      <c r="X2191">
        <v>0.99970919999999996</v>
      </c>
      <c r="Y2191">
        <v>-0.14246120000000001</v>
      </c>
      <c r="Z2191">
        <v>-4.7303420000000002E-3</v>
      </c>
      <c r="AA2191">
        <v>0.98978909999999998</v>
      </c>
      <c r="AB2191">
        <v>29</v>
      </c>
      <c r="AC2191">
        <v>-14.586</v>
      </c>
      <c r="AD2191">
        <v>-1.11040395314399</v>
      </c>
      <c r="AE2191">
        <v>-2.25669999999996</v>
      </c>
      <c r="AF2191">
        <v>-2.13605016040886</v>
      </c>
      <c r="AG2191">
        <v>-1.11040395314399</v>
      </c>
      <c r="AH2191">
        <v>14.520198556244001</v>
      </c>
      <c r="AI2191">
        <v>94.326685151895902</v>
      </c>
      <c r="AJ2191">
        <v>98.368693468365507</v>
      </c>
      <c r="AK2191">
        <v>14.718419525876101</v>
      </c>
      <c r="AL2191">
        <v>89.4103460768129</v>
      </c>
      <c r="AM2191">
        <v>91.249504921771802</v>
      </c>
      <c r="AN2191">
        <v>0.99999992786181502</v>
      </c>
    </row>
    <row r="2192" spans="1:40" x14ac:dyDescent="0.3">
      <c r="A2192" t="str">
        <f>"20200111160449249"</f>
        <v>20200111160449249</v>
      </c>
      <c r="B2192" t="str">
        <f>"1578729889243383"</f>
        <v>1578729889243383</v>
      </c>
      <c r="C2192" t="s">
        <v>40</v>
      </c>
      <c r="D2192">
        <v>4.6481120000000002</v>
      </c>
      <c r="E2192">
        <v>0.45516400000000001</v>
      </c>
      <c r="F2192" t="s">
        <v>57</v>
      </c>
      <c r="G2192">
        <v>-454.84449999999998</v>
      </c>
      <c r="H2192" s="1">
        <v>1.132618E-6</v>
      </c>
      <c r="I2192">
        <v>282.52499999999998</v>
      </c>
      <c r="J2192">
        <v>-440.29689999999999</v>
      </c>
      <c r="K2192">
        <v>1.1104050000000001</v>
      </c>
      <c r="L2192">
        <v>284.76749999999998</v>
      </c>
      <c r="M2192">
        <v>-0.99987269999999995</v>
      </c>
      <c r="N2192">
        <v>0</v>
      </c>
      <c r="O2192">
        <v>-7.4070680000000002E-3</v>
      </c>
      <c r="P2192">
        <v>-0.99955320000000003</v>
      </c>
      <c r="Q2192">
        <v>-3.9324370000000004E-3</v>
      </c>
      <c r="R2192">
        <v>-2.963636E-2</v>
      </c>
      <c r="S2192">
        <v>-2.9871829999999999</v>
      </c>
      <c r="T2192">
        <v>-0.224907</v>
      </c>
      <c r="U2192">
        <v>-0.45449830000000002</v>
      </c>
      <c r="V2192">
        <v>-2.2229840000000001E-2</v>
      </c>
      <c r="W2192">
        <v>1.020921E-2</v>
      </c>
      <c r="X2192">
        <v>0.99970079999999995</v>
      </c>
      <c r="Y2192">
        <v>-0.1427165</v>
      </c>
      <c r="Z2192">
        <v>-4.7807559999999997E-3</v>
      </c>
      <c r="AA2192">
        <v>0.98975210000000002</v>
      </c>
      <c r="AB2192">
        <v>29</v>
      </c>
      <c r="AC2192">
        <v>-14.5475999999999</v>
      </c>
      <c r="AD2192">
        <v>-1.11040386738199</v>
      </c>
      <c r="AE2192">
        <v>-2.2425000000000002</v>
      </c>
      <c r="AF2192">
        <v>-2.1225931996214</v>
      </c>
      <c r="AG2192">
        <v>-1.11040386738199</v>
      </c>
      <c r="AH2192">
        <v>14.4814007806783</v>
      </c>
      <c r="AI2192">
        <v>94.338564881163293</v>
      </c>
      <c r="AJ2192">
        <v>98.338679819582794</v>
      </c>
      <c r="AK2192">
        <v>14.6781935949355</v>
      </c>
      <c r="AL2192">
        <v>89.415045217452402</v>
      </c>
      <c r="AM2192">
        <v>91.273847280644901</v>
      </c>
      <c r="AN2192">
        <v>1.00000004163794</v>
      </c>
    </row>
    <row r="2193" spans="1:40" x14ac:dyDescent="0.3">
      <c r="A2193" t="str">
        <f>"20200111160449266"</f>
        <v>20200111160449266</v>
      </c>
      <c r="B2193" t="str">
        <f>"1578729889262903"</f>
        <v>1578729889262903</v>
      </c>
      <c r="C2193" t="s">
        <v>40</v>
      </c>
      <c r="D2193">
        <v>4.7857719999999997</v>
      </c>
      <c r="E2193">
        <v>0.45493159999999999</v>
      </c>
      <c r="F2193" t="s">
        <v>57</v>
      </c>
      <c r="G2193">
        <v>-454.94560000000001</v>
      </c>
      <c r="H2193" s="1">
        <v>1.1862819999999999E-6</v>
      </c>
      <c r="I2193">
        <v>282.52789999999999</v>
      </c>
      <c r="J2193">
        <v>-440.52670000000001</v>
      </c>
      <c r="K2193">
        <v>1.110403</v>
      </c>
      <c r="L2193">
        <v>284.76580000000001</v>
      </c>
      <c r="M2193">
        <v>-0.99987300000000001</v>
      </c>
      <c r="N2193">
        <v>0</v>
      </c>
      <c r="O2193">
        <v>-7.3711779999999999E-3</v>
      </c>
      <c r="P2193">
        <v>-0.99955459999999996</v>
      </c>
      <c r="Q2193">
        <v>-3.6196879999999998E-3</v>
      </c>
      <c r="R2193">
        <v>-2.9631250000000001E-2</v>
      </c>
      <c r="S2193">
        <v>-2.9869379999999999</v>
      </c>
      <c r="T2193">
        <v>-0.2264177</v>
      </c>
      <c r="U2193">
        <v>-0.45666499999999999</v>
      </c>
      <c r="V2193">
        <v>-2.226028E-2</v>
      </c>
      <c r="W2193">
        <v>1.0520089999999999E-2</v>
      </c>
      <c r="X2193">
        <v>0.9996969</v>
      </c>
      <c r="Y2193">
        <v>-0.14345849999999999</v>
      </c>
      <c r="Z2193">
        <v>-4.8435249999999996E-3</v>
      </c>
      <c r="AA2193">
        <v>0.98964450000000004</v>
      </c>
      <c r="AB2193">
        <v>28</v>
      </c>
      <c r="AC2193">
        <v>-14.418900000000001</v>
      </c>
      <c r="AD2193">
        <v>-1.1104018137180001</v>
      </c>
      <c r="AE2193">
        <v>-2.2379000000000202</v>
      </c>
      <c r="AF2193">
        <v>-2.11927146207832</v>
      </c>
      <c r="AG2193">
        <v>-1.1104018137180001</v>
      </c>
      <c r="AH2193">
        <v>14.351893063793399</v>
      </c>
      <c r="AI2193">
        <v>94.376870246530203</v>
      </c>
      <c r="AJ2193">
        <v>98.399876064788799</v>
      </c>
      <c r="AK2193">
        <v>14.549953203789</v>
      </c>
      <c r="AL2193">
        <v>89.397232149655807</v>
      </c>
      <c r="AM2193">
        <v>91.275595997433598</v>
      </c>
      <c r="AN2193">
        <v>1.0000000421144399</v>
      </c>
    </row>
    <row r="2194" spans="1:40" x14ac:dyDescent="0.3">
      <c r="A2194" t="str">
        <f>"20200111160449290"</f>
        <v>20200111160449290</v>
      </c>
      <c r="B2194" t="str">
        <f>"1578729889283398"</f>
        <v>1578729889283398</v>
      </c>
      <c r="C2194" t="s">
        <v>40</v>
      </c>
      <c r="D2194">
        <v>4.6997839999999904</v>
      </c>
      <c r="E2194">
        <v>0.4548199</v>
      </c>
      <c r="F2194" t="s">
        <v>57</v>
      </c>
      <c r="G2194">
        <v>-455.2253</v>
      </c>
      <c r="H2194" s="1">
        <v>1.3358889999999999E-6</v>
      </c>
      <c r="I2194">
        <v>282.51100000000002</v>
      </c>
      <c r="J2194">
        <v>-440.82409999999999</v>
      </c>
      <c r="K2194">
        <v>1.110406</v>
      </c>
      <c r="L2194">
        <v>284.7636</v>
      </c>
      <c r="M2194">
        <v>-0.99987320000000002</v>
      </c>
      <c r="N2194">
        <v>0</v>
      </c>
      <c r="O2194">
        <v>-7.32526599999999E-3</v>
      </c>
      <c r="P2194">
        <v>-0.99955450000000001</v>
      </c>
      <c r="Q2194">
        <v>-3.6777089999999999E-3</v>
      </c>
      <c r="R2194">
        <v>-2.9616159999999999E-2</v>
      </c>
      <c r="S2194">
        <v>-2.9869379999999999</v>
      </c>
      <c r="T2194">
        <v>-0.22564719999999999</v>
      </c>
      <c r="U2194">
        <v>-0.45819090000000001</v>
      </c>
      <c r="V2194">
        <v>-2.229128E-2</v>
      </c>
      <c r="W2194">
        <v>1.0459059999999999E-2</v>
      </c>
      <c r="X2194">
        <v>0.99969680000000005</v>
      </c>
      <c r="Y2194">
        <v>-0.14399890000000001</v>
      </c>
      <c r="Z2194">
        <v>-4.8506139999999996E-3</v>
      </c>
      <c r="AA2194">
        <v>0.98956599999999995</v>
      </c>
      <c r="AB2194">
        <v>28</v>
      </c>
      <c r="AC2194">
        <v>-14.401199999999999</v>
      </c>
      <c r="AD2194">
        <v>-1.1104046641109999</v>
      </c>
      <c r="AE2194">
        <v>-2.2526000000000201</v>
      </c>
      <c r="AF2194">
        <v>-2.13464859248367</v>
      </c>
      <c r="AG2194">
        <v>-1.1104046641109999</v>
      </c>
      <c r="AH2194">
        <v>14.334132260394799</v>
      </c>
      <c r="AI2194">
        <v>94.381488222643796</v>
      </c>
      <c r="AJ2194">
        <v>98.470275855008097</v>
      </c>
      <c r="AK2194">
        <v>14.5346850942827</v>
      </c>
      <c r="AL2194">
        <v>89.400729073600502</v>
      </c>
      <c r="AM2194">
        <v>91.277371951134398</v>
      </c>
      <c r="AN2194">
        <v>0.99999999251518101</v>
      </c>
    </row>
    <row r="2195" spans="1:40" x14ac:dyDescent="0.3">
      <c r="A2195" t="str">
        <f>"20200111160449310"</f>
        <v>20200111160449310</v>
      </c>
      <c r="B2195" t="str">
        <f>"1578729889302921"</f>
        <v>1578729889302921</v>
      </c>
      <c r="C2195" t="s">
        <v>40</v>
      </c>
      <c r="D2195">
        <v>4.869904</v>
      </c>
      <c r="E2195">
        <v>0.45472410000000002</v>
      </c>
      <c r="F2195" t="s">
        <v>57</v>
      </c>
      <c r="G2195">
        <v>-455.46530000000001</v>
      </c>
      <c r="H2195" s="1">
        <v>1.4635240000000001E-6</v>
      </c>
      <c r="I2195">
        <v>282.5129</v>
      </c>
      <c r="J2195">
        <v>-441.09039999999999</v>
      </c>
      <c r="K2195">
        <v>1.1103989999999999</v>
      </c>
      <c r="L2195">
        <v>284.76170000000002</v>
      </c>
      <c r="M2195">
        <v>-0.99987360000000003</v>
      </c>
      <c r="N2195">
        <v>0</v>
      </c>
      <c r="O2195">
        <v>-7.2844819999999897E-3</v>
      </c>
      <c r="P2195">
        <v>-0.99955919999999998</v>
      </c>
      <c r="Q2195">
        <v>-3.6966109999999998E-3</v>
      </c>
      <c r="R2195">
        <v>-2.9458140000000001E-2</v>
      </c>
      <c r="S2195">
        <v>-2.9869379999999999</v>
      </c>
      <c r="T2195">
        <v>-0.22653229999999999</v>
      </c>
      <c r="U2195">
        <v>-0.45916750000000001</v>
      </c>
      <c r="V2195">
        <v>-2.2174019999999999E-2</v>
      </c>
      <c r="W2195">
        <v>1.0438080000000001E-2</v>
      </c>
      <c r="X2195">
        <v>0.99969969999999997</v>
      </c>
      <c r="Y2195">
        <v>-0.14435120000000001</v>
      </c>
      <c r="Z2195">
        <v>-4.8858010000000004E-3</v>
      </c>
      <c r="AA2195">
        <v>0.98951449999999996</v>
      </c>
      <c r="AB2195">
        <v>28</v>
      </c>
      <c r="AC2195">
        <v>-14.3749</v>
      </c>
      <c r="AD2195">
        <v>-1.1103975364759999</v>
      </c>
      <c r="AE2195">
        <v>-2.2488000000000099</v>
      </c>
      <c r="AF2195">
        <v>-2.13160099597639</v>
      </c>
      <c r="AG2195">
        <v>-1.1103975364759999</v>
      </c>
      <c r="AH2195">
        <v>14.3075693637802</v>
      </c>
      <c r="AI2195">
        <v>94.389522456723299</v>
      </c>
      <c r="AJ2195">
        <v>98.473833745947999</v>
      </c>
      <c r="AK2195">
        <v>14.508040756574999</v>
      </c>
      <c r="AL2195">
        <v>89.401931248294204</v>
      </c>
      <c r="AM2195">
        <v>91.270651047844296</v>
      </c>
      <c r="AN2195">
        <v>1.0000000654285599</v>
      </c>
    </row>
    <row r="2196" spans="1:40" x14ac:dyDescent="0.3">
      <c r="A2196" t="str">
        <f>"20200111160449334"</f>
        <v>20200111160449334</v>
      </c>
      <c r="B2196" t="str">
        <f>"1578729889323414"</f>
        <v>1578729889323414</v>
      </c>
      <c r="C2196" t="s">
        <v>40</v>
      </c>
      <c r="D2196">
        <v>4.7922690000000001</v>
      </c>
      <c r="E2196">
        <v>0.45463550000000003</v>
      </c>
      <c r="F2196" t="s">
        <v>57</v>
      </c>
      <c r="G2196">
        <v>-455.70979999999997</v>
      </c>
      <c r="H2196" s="1">
        <v>1.593621E-6</v>
      </c>
      <c r="I2196">
        <v>282.51319999999998</v>
      </c>
      <c r="J2196">
        <v>-441.37729999999999</v>
      </c>
      <c r="K2196">
        <v>1.110403</v>
      </c>
      <c r="L2196">
        <v>284.75970000000001</v>
      </c>
      <c r="M2196">
        <v>-0.99987409999999999</v>
      </c>
      <c r="N2196">
        <v>0</v>
      </c>
      <c r="O2196">
        <v>-7.2398849999999997E-3</v>
      </c>
      <c r="P2196">
        <v>-0.99957249999999997</v>
      </c>
      <c r="Q2196">
        <v>-4.3933219999999999E-3</v>
      </c>
      <c r="R2196">
        <v>-2.8911619999999999E-2</v>
      </c>
      <c r="S2196">
        <v>-2.9869379999999999</v>
      </c>
      <c r="T2196">
        <v>-0.22686829999999999</v>
      </c>
      <c r="U2196">
        <v>-0.45941159999999998</v>
      </c>
      <c r="V2196">
        <v>-2.1672210000000001E-2</v>
      </c>
      <c r="W2196">
        <v>9.7381169999999993E-3</v>
      </c>
      <c r="X2196">
        <v>0.99971770000000004</v>
      </c>
      <c r="Y2196">
        <v>-0.14447279999999901</v>
      </c>
      <c r="Z2196">
        <v>-4.9009420000000001E-3</v>
      </c>
      <c r="AA2196">
        <v>0.98949659999999995</v>
      </c>
      <c r="AB2196">
        <v>28</v>
      </c>
      <c r="AC2196">
        <v>-14.3324999999999</v>
      </c>
      <c r="AD2196">
        <v>-1.110401406379</v>
      </c>
      <c r="AE2196">
        <v>-2.2465000000000201</v>
      </c>
      <c r="AF2196">
        <v>-2.1301857398762598</v>
      </c>
      <c r="AG2196">
        <v>-1.110401406379</v>
      </c>
      <c r="AH2196">
        <v>14.2648219931481</v>
      </c>
      <c r="AI2196">
        <v>94.402417987414495</v>
      </c>
      <c r="AJ2196">
        <v>98.4932965550625</v>
      </c>
      <c r="AK2196">
        <v>14.4656776220771</v>
      </c>
      <c r="AL2196">
        <v>89.4420381752754</v>
      </c>
      <c r="AM2196">
        <v>91.241882287523694</v>
      </c>
      <c r="AN2196">
        <v>0.99999999765113901</v>
      </c>
    </row>
    <row r="2197" spans="1:40" x14ac:dyDescent="0.3">
      <c r="A2197" t="str">
        <f>"20200111160449356"</f>
        <v>20200111160449356</v>
      </c>
      <c r="B2197" t="str">
        <f>"1578729889352695"</f>
        <v>1578729889352695</v>
      </c>
      <c r="C2197" t="s">
        <v>40</v>
      </c>
      <c r="D2197">
        <v>4.8449359999999997</v>
      </c>
      <c r="E2197">
        <v>0.53368269999999995</v>
      </c>
      <c r="F2197" t="s">
        <v>57</v>
      </c>
      <c r="G2197">
        <v>-455.78190000000001</v>
      </c>
      <c r="H2197" s="1">
        <v>1.630442E-6</v>
      </c>
      <c r="I2197">
        <v>282.54880000000003</v>
      </c>
      <c r="J2197">
        <v>-441.6601</v>
      </c>
      <c r="K2197">
        <v>1.110398</v>
      </c>
      <c r="L2197">
        <v>284.7577</v>
      </c>
      <c r="M2197">
        <v>-0.99987440000000005</v>
      </c>
      <c r="N2197">
        <v>0</v>
      </c>
      <c r="O2197">
        <v>-7.1961179999999996E-3</v>
      </c>
      <c r="P2197">
        <v>-0.99956999999999996</v>
      </c>
      <c r="Q2197">
        <v>-4.1445789999999998E-3</v>
      </c>
      <c r="R2197">
        <v>-2.9030770000000001E-2</v>
      </c>
      <c r="S2197">
        <v>-2.9870299999999999</v>
      </c>
      <c r="T2197">
        <v>-0.23025909999999999</v>
      </c>
      <c r="U2197">
        <v>-0.45846559999999997</v>
      </c>
      <c r="V2197">
        <v>-2.1835190000000001E-2</v>
      </c>
      <c r="W2197">
        <v>9.9836760000000004E-3</v>
      </c>
      <c r="X2197">
        <v>0.99971180000000004</v>
      </c>
      <c r="Y2197">
        <v>-0.1441944</v>
      </c>
      <c r="Z2197">
        <v>-4.9666479999999997E-3</v>
      </c>
      <c r="AA2197">
        <v>0.98953690000000005</v>
      </c>
      <c r="AB2197">
        <v>28</v>
      </c>
      <c r="AC2197">
        <v>-14.1218</v>
      </c>
      <c r="AD2197">
        <v>-1.1103963695579999</v>
      </c>
      <c r="AE2197">
        <v>-2.2088999999999701</v>
      </c>
      <c r="AF2197">
        <v>-2.0945697673246499</v>
      </c>
      <c r="AG2197">
        <v>-1.1103963695579999</v>
      </c>
      <c r="AH2197">
        <v>14.052524207926901</v>
      </c>
      <c r="AI2197">
        <v>94.468820589679794</v>
      </c>
      <c r="AJ2197">
        <v>98.477688633467693</v>
      </c>
      <c r="AK2197">
        <v>14.251092562399901</v>
      </c>
      <c r="AL2197">
        <v>89.427968036000195</v>
      </c>
      <c r="AM2197">
        <v>91.251225951855304</v>
      </c>
      <c r="AN2197">
        <v>1.00000006618402</v>
      </c>
    </row>
    <row r="2198" spans="1:40" x14ac:dyDescent="0.3">
      <c r="A2198" t="str">
        <f>"20200111160449378"</f>
        <v>20200111160449378</v>
      </c>
      <c r="B2198" t="str">
        <f>"1578729889373190"</f>
        <v>1578729889373190</v>
      </c>
      <c r="C2198" t="s">
        <v>40</v>
      </c>
      <c r="D2198">
        <v>4.9497039999999997</v>
      </c>
      <c r="E2198">
        <v>0.56277390000000005</v>
      </c>
      <c r="F2198" t="s">
        <v>46</v>
      </c>
      <c r="G2198">
        <v>0</v>
      </c>
      <c r="H2198">
        <v>0</v>
      </c>
      <c r="I2198">
        <v>0</v>
      </c>
      <c r="J2198">
        <v>-441.9391</v>
      </c>
      <c r="K2198">
        <v>1.1103989999999999</v>
      </c>
      <c r="L2198">
        <v>284.75569999999999</v>
      </c>
      <c r="M2198">
        <v>-0.99987470000000001</v>
      </c>
      <c r="N2198">
        <v>0</v>
      </c>
      <c r="O2198">
        <v>-7.1529489999999996E-3</v>
      </c>
      <c r="P2198">
        <v>-0.99956140000000004</v>
      </c>
      <c r="Q2198">
        <v>-3.2529529999999998E-3</v>
      </c>
      <c r="R2198">
        <v>-2.9436540000000001E-2</v>
      </c>
      <c r="S2198">
        <v>-3.0068359999999998</v>
      </c>
      <c r="T2198">
        <v>3.655887E-2</v>
      </c>
      <c r="U2198">
        <v>0.1838379</v>
      </c>
      <c r="V2198">
        <v>-2.228403E-2</v>
      </c>
      <c r="W2198">
        <v>1.0872450000000001E-2</v>
      </c>
      <c r="X2198">
        <v>0.99969260000000004</v>
      </c>
      <c r="Y2198">
        <v>6.8159259999999999E-2</v>
      </c>
      <c r="Z2198">
        <v>-5.0085669999999996E-4</v>
      </c>
      <c r="AA2198">
        <v>0.99767430000000001</v>
      </c>
      <c r="AB2198">
        <v>28</v>
      </c>
      <c r="AC2198">
        <v>-3.0068359999999998</v>
      </c>
      <c r="AD2198">
        <v>3.655887E-2</v>
      </c>
      <c r="AE2198">
        <v>0.1838379</v>
      </c>
      <c r="AF2198">
        <v>0.205312846805802</v>
      </c>
      <c r="AG2198">
        <v>3.655887E-2</v>
      </c>
      <c r="AH2198">
        <v>3.0050013690156301</v>
      </c>
      <c r="AI2198">
        <v>89.304594561099705</v>
      </c>
      <c r="AJ2198">
        <v>86.091414062320496</v>
      </c>
      <c r="AK2198">
        <v>3.01222893283777</v>
      </c>
      <c r="AL2198">
        <v>89.377042254044795</v>
      </c>
      <c r="AM2198">
        <v>91.276962000265797</v>
      </c>
      <c r="AN2198">
        <v>1.0000000413284</v>
      </c>
    </row>
    <row r="2199" spans="1:40" x14ac:dyDescent="0.3">
      <c r="A2199" t="str">
        <f>"20200111160449400"</f>
        <v>20200111160449400</v>
      </c>
      <c r="B2199" t="str">
        <f>"1578729889392710"</f>
        <v>1578729889392710</v>
      </c>
      <c r="C2199" t="s">
        <v>40</v>
      </c>
      <c r="D2199">
        <v>5.0669050000000002</v>
      </c>
      <c r="E2199">
        <v>0.56629549999999995</v>
      </c>
      <c r="F2199" t="s">
        <v>42</v>
      </c>
      <c r="G2199">
        <v>-442.68669999999997</v>
      </c>
      <c r="H2199">
        <v>0.9293728</v>
      </c>
      <c r="I2199">
        <v>284.85050000000001</v>
      </c>
      <c r="J2199">
        <v>-442.22219999999999</v>
      </c>
      <c r="K2199">
        <v>1.1103940000000001</v>
      </c>
      <c r="L2199">
        <v>284.75380000000001</v>
      </c>
      <c r="M2199">
        <v>-0.99987499999999996</v>
      </c>
      <c r="N2199">
        <v>0</v>
      </c>
      <c r="O2199">
        <v>-7.1096559999999998E-3</v>
      </c>
      <c r="P2199">
        <v>-0.99955819999999995</v>
      </c>
      <c r="Q2199">
        <v>-2.955493E-3</v>
      </c>
      <c r="R2199">
        <v>-2.9575560000000001E-2</v>
      </c>
      <c r="S2199">
        <v>-3.010132</v>
      </c>
      <c r="T2199">
        <v>-0.72880999999999996</v>
      </c>
      <c r="U2199">
        <v>0.38079829999999998</v>
      </c>
      <c r="V2199">
        <v>-2.2466529999999998E-2</v>
      </c>
      <c r="W2199">
        <v>1.116664E-2</v>
      </c>
      <c r="X2199">
        <v>0.99968520000000005</v>
      </c>
      <c r="Y2199">
        <v>0.12869249999999999</v>
      </c>
      <c r="Z2199">
        <v>1.698991E-2</v>
      </c>
      <c r="AA2199">
        <v>0.99153899999999995</v>
      </c>
      <c r="AB2199">
        <v>28</v>
      </c>
      <c r="AC2199">
        <v>-0.46449999999998598</v>
      </c>
      <c r="AD2199">
        <v>-0.18102119999999999</v>
      </c>
      <c r="AE2199">
        <v>9.6699999999998398E-2</v>
      </c>
      <c r="AF2199">
        <v>8.72933233301071E-2</v>
      </c>
      <c r="AG2199">
        <v>-0.18102119999999999</v>
      </c>
      <c r="AH2199">
        <v>0.40486573613087401</v>
      </c>
      <c r="AI2199">
        <v>113.60871040652999</v>
      </c>
      <c r="AJ2199">
        <v>77.832687781075293</v>
      </c>
      <c r="AK2199">
        <v>0.45200117637042603</v>
      </c>
      <c r="AL2199">
        <v>89.360185339501896</v>
      </c>
      <c r="AM2199">
        <v>91.287425984706005</v>
      </c>
      <c r="AN2199">
        <v>0.99999996895908405</v>
      </c>
    </row>
    <row r="2200" spans="1:40" x14ac:dyDescent="0.3">
      <c r="A2200" t="str">
        <f>"20200111160449418"</f>
        <v>20200111160449418</v>
      </c>
      <c r="B2200" t="str">
        <f>"1578729889413207"</f>
        <v>1578729889413207</v>
      </c>
      <c r="C2200" t="s">
        <v>40</v>
      </c>
      <c r="D2200">
        <v>4.9239930000000003</v>
      </c>
      <c r="E2200">
        <v>0.56683680000000003</v>
      </c>
      <c r="F2200" t="s">
        <v>42</v>
      </c>
      <c r="G2200">
        <v>-442.93779999999998</v>
      </c>
      <c r="H2200">
        <v>0.92660050000000005</v>
      </c>
      <c r="I2200">
        <v>284.8503</v>
      </c>
      <c r="J2200">
        <v>-442.43970000000002</v>
      </c>
      <c r="K2200">
        <v>1.110393</v>
      </c>
      <c r="L2200">
        <v>284.75220000000002</v>
      </c>
      <c r="M2200">
        <v>-0.99987530000000002</v>
      </c>
      <c r="N2200">
        <v>0</v>
      </c>
      <c r="O2200">
        <v>-7.0763819999999896E-3</v>
      </c>
      <c r="P2200">
        <v>-0.99956049999999996</v>
      </c>
      <c r="Q2200">
        <v>-3.0492359999999999E-3</v>
      </c>
      <c r="R2200">
        <v>-2.9492250000000001E-2</v>
      </c>
      <c r="S2200">
        <v>-3.011047</v>
      </c>
      <c r="T2200">
        <v>-0.77320089999999997</v>
      </c>
      <c r="U2200">
        <v>0.40582279999999998</v>
      </c>
      <c r="V2200">
        <v>-2.2416499999999999E-2</v>
      </c>
      <c r="W2200">
        <v>1.10708E-2</v>
      </c>
      <c r="X2200">
        <v>0.9996874</v>
      </c>
      <c r="Y2200">
        <v>0.13601849999999999</v>
      </c>
      <c r="Z2200">
        <v>1.8892249999999999E-2</v>
      </c>
      <c r="AA2200">
        <v>0.99052609999999996</v>
      </c>
      <c r="AB2200">
        <v>28</v>
      </c>
      <c r="AC2200">
        <v>-0.49809999999996502</v>
      </c>
      <c r="AD2200">
        <v>-0.1837925</v>
      </c>
      <c r="AE2200">
        <v>9.8099999999988002E-2</v>
      </c>
      <c r="AF2200">
        <v>8.98466566119447E-2</v>
      </c>
      <c r="AG2200">
        <v>-0.1837925</v>
      </c>
      <c r="AH2200">
        <v>0.43975556599101701</v>
      </c>
      <c r="AI2200">
        <v>112.268280235898</v>
      </c>
      <c r="AJ2200">
        <v>78.452793964337602</v>
      </c>
      <c r="AK2200">
        <v>0.48501243549075501</v>
      </c>
      <c r="AL2200">
        <v>89.365676913585105</v>
      </c>
      <c r="AM2200">
        <v>91.284557192499804</v>
      </c>
      <c r="AN2200">
        <v>0.99999997990182399</v>
      </c>
    </row>
    <row r="2201" spans="1:40" x14ac:dyDescent="0.3">
      <c r="A2201" t="str">
        <f>"20200111160449433"</f>
        <v>20200111160449433</v>
      </c>
      <c r="B2201" t="str">
        <f>"1578729889422966"</f>
        <v>1578729889422966</v>
      </c>
      <c r="C2201" t="s">
        <v>40</v>
      </c>
      <c r="D2201">
        <v>4.9491449999999997</v>
      </c>
      <c r="E2201">
        <v>0.56699339999999998</v>
      </c>
      <c r="F2201" t="s">
        <v>42</v>
      </c>
      <c r="G2201">
        <v>-443.18490000000003</v>
      </c>
      <c r="H2201">
        <v>0.91545829999999995</v>
      </c>
      <c r="I2201">
        <v>284.85390000000001</v>
      </c>
      <c r="J2201">
        <v>-442.64339999999999</v>
      </c>
      <c r="K2201">
        <v>1.1104019999999999</v>
      </c>
      <c r="L2201">
        <v>284.75080000000003</v>
      </c>
      <c r="M2201">
        <v>-0.99987550000000003</v>
      </c>
      <c r="N2201">
        <v>0</v>
      </c>
      <c r="O2201">
        <v>-7.0446619999999897E-3</v>
      </c>
      <c r="P2201">
        <v>-0.9995465</v>
      </c>
      <c r="Q2201">
        <v>-3.6222260000000001E-3</v>
      </c>
      <c r="R2201">
        <v>-2.989313E-2</v>
      </c>
      <c r="S2201">
        <v>-3.011047</v>
      </c>
      <c r="T2201">
        <v>-0.78761490000000001</v>
      </c>
      <c r="U2201">
        <v>0.40982059999999998</v>
      </c>
      <c r="V2201">
        <v>-2.2849000000000001E-2</v>
      </c>
      <c r="W2201">
        <v>1.0495300000000001E-2</v>
      </c>
      <c r="X2201">
        <v>0.99968389999999996</v>
      </c>
      <c r="Y2201">
        <v>0.13707659999999999</v>
      </c>
      <c r="Z2201">
        <v>1.935897E-2</v>
      </c>
      <c r="AA2201">
        <v>0.99037129999999995</v>
      </c>
      <c r="AB2201">
        <v>28</v>
      </c>
      <c r="AC2201">
        <v>-0.54150000000004095</v>
      </c>
      <c r="AD2201">
        <v>-0.1949437</v>
      </c>
      <c r="AE2201">
        <v>0.103099999999983</v>
      </c>
      <c r="AF2201">
        <v>9.5027344064339103E-2</v>
      </c>
      <c r="AG2201">
        <v>-0.1949437</v>
      </c>
      <c r="AH2201">
        <v>0.48064539840972398</v>
      </c>
      <c r="AI2201">
        <v>111.69689481571299</v>
      </c>
      <c r="AJ2201">
        <v>78.816405140629399</v>
      </c>
      <c r="AK2201">
        <v>0.52730753958392595</v>
      </c>
      <c r="AL2201">
        <v>89.398652603562894</v>
      </c>
      <c r="AM2201">
        <v>91.309337249093204</v>
      </c>
      <c r="AN2201">
        <v>1.0000000640211399</v>
      </c>
    </row>
    <row r="2202" spans="1:40" x14ac:dyDescent="0.3">
      <c r="A2202" t="str">
        <f>"20200111160449457"</f>
        <v>20200111160449457</v>
      </c>
      <c r="B2202" t="str">
        <f>"1578729889453223"</f>
        <v>1578729889453223</v>
      </c>
      <c r="C2202" t="s">
        <v>40</v>
      </c>
      <c r="D2202">
        <v>4.9502389999999998</v>
      </c>
      <c r="E2202">
        <v>0.56773660000000004</v>
      </c>
      <c r="F2202" t="s">
        <v>42</v>
      </c>
      <c r="G2202">
        <v>-443.4314</v>
      </c>
      <c r="H2202">
        <v>0.90284430000000004</v>
      </c>
      <c r="I2202">
        <v>284.85820000000001</v>
      </c>
      <c r="J2202">
        <v>-442.92599999999999</v>
      </c>
      <c r="K2202">
        <v>1.110398</v>
      </c>
      <c r="L2202">
        <v>284.74889999999999</v>
      </c>
      <c r="M2202">
        <v>-0.99987579999999998</v>
      </c>
      <c r="N2202">
        <v>0</v>
      </c>
      <c r="O2202">
        <v>-7.0013710000000002E-3</v>
      </c>
      <c r="P2202">
        <v>-0.99953230000000004</v>
      </c>
      <c r="Q2202">
        <v>-3.946092E-3</v>
      </c>
      <c r="R2202">
        <v>-3.0328870000000001E-2</v>
      </c>
      <c r="S2202">
        <v>-3.0107729999999999</v>
      </c>
      <c r="T2202">
        <v>-0.79303169999999901</v>
      </c>
      <c r="U2202">
        <v>0.40978999999999999</v>
      </c>
      <c r="V2202">
        <v>-2.3328149999999999E-2</v>
      </c>
      <c r="W2202">
        <v>1.0168200000000001E-2</v>
      </c>
      <c r="X2202">
        <v>0.99967620000000001</v>
      </c>
      <c r="Y2202">
        <v>0.13697519999999999</v>
      </c>
      <c r="Z2202">
        <v>1.9465280000000001E-2</v>
      </c>
      <c r="AA2202">
        <v>0.99038320000000002</v>
      </c>
      <c r="AB2202">
        <v>28</v>
      </c>
      <c r="AC2202">
        <v>-0.50540000000000795</v>
      </c>
      <c r="AD2202">
        <v>-0.20755369999999901</v>
      </c>
      <c r="AE2202">
        <v>0.10930000000001799</v>
      </c>
      <c r="AF2202">
        <v>9.7179050612059406E-2</v>
      </c>
      <c r="AG2202">
        <v>-0.20755369999999901</v>
      </c>
      <c r="AH2202">
        <v>0.43460103377486198</v>
      </c>
      <c r="AI2202">
        <v>114.988514867349</v>
      </c>
      <c r="AJ2202">
        <v>77.395704595158506</v>
      </c>
      <c r="AK2202">
        <v>0.491325111122696</v>
      </c>
      <c r="AL2202">
        <v>89.417395044033299</v>
      </c>
      <c r="AM2202">
        <v>91.336794853954302</v>
      </c>
      <c r="AN2202">
        <v>1.0000000498600401</v>
      </c>
    </row>
    <row r="2203" spans="1:40" x14ac:dyDescent="0.3">
      <c r="A2203" t="str">
        <f>"20200111160449479"</f>
        <v>20200111160449479</v>
      </c>
      <c r="B2203" t="str">
        <f>"1578729889472742"</f>
        <v>1578729889472742</v>
      </c>
      <c r="C2203" t="s">
        <v>40</v>
      </c>
      <c r="D2203">
        <v>5.0017440000000004</v>
      </c>
      <c r="E2203">
        <v>0.56802069999999905</v>
      </c>
      <c r="F2203" t="s">
        <v>42</v>
      </c>
      <c r="G2203">
        <v>-443.6848</v>
      </c>
      <c r="H2203">
        <v>0.90766259999999999</v>
      </c>
      <c r="I2203">
        <v>284.85379999999998</v>
      </c>
      <c r="J2203">
        <v>-443.2106</v>
      </c>
      <c r="K2203">
        <v>1.110398</v>
      </c>
      <c r="L2203">
        <v>284.74689999999998</v>
      </c>
      <c r="M2203">
        <v>-0.99987630000000005</v>
      </c>
      <c r="N2203">
        <v>0</v>
      </c>
      <c r="O2203">
        <v>-6.9573669999999999E-3</v>
      </c>
      <c r="P2203">
        <v>-0.99953829999999999</v>
      </c>
      <c r="Q2203">
        <v>-4.1238550000000001E-3</v>
      </c>
      <c r="R2203">
        <v>-3.010763E-2</v>
      </c>
      <c r="S2203">
        <v>-3.0108030000000001</v>
      </c>
      <c r="T2203">
        <v>-0.80448589999999998</v>
      </c>
      <c r="U2203">
        <v>0.41467290000000001</v>
      </c>
      <c r="V2203">
        <v>-2.3150859999999999E-2</v>
      </c>
      <c r="W2203">
        <v>9.9874909999999994E-3</v>
      </c>
      <c r="X2203">
        <v>0.99968210000000002</v>
      </c>
      <c r="Y2203">
        <v>0.13832520000000001</v>
      </c>
      <c r="Z2203">
        <v>1.9899790000000001E-2</v>
      </c>
      <c r="AA2203">
        <v>0.99018689999999998</v>
      </c>
      <c r="AB2203">
        <v>28</v>
      </c>
      <c r="AC2203">
        <v>-0.47419999999999601</v>
      </c>
      <c r="AD2203">
        <v>-0.20273540000000001</v>
      </c>
      <c r="AE2203">
        <v>0.106899999999996</v>
      </c>
      <c r="AF2203">
        <v>9.3869029338027002E-2</v>
      </c>
      <c r="AG2203">
        <v>-0.20273540000000001</v>
      </c>
      <c r="AH2203">
        <v>0.40329433207335902</v>
      </c>
      <c r="AI2203">
        <v>116.086873692834</v>
      </c>
      <c r="AJ2203">
        <v>76.897372202045304</v>
      </c>
      <c r="AK2203">
        <v>0.461041598301629</v>
      </c>
      <c r="AL2203">
        <v>89.427749407663796</v>
      </c>
      <c r="AM2203">
        <v>91.326631256581194</v>
      </c>
      <c r="AN2203">
        <v>1.0000000066778101</v>
      </c>
    </row>
    <row r="2204" spans="1:40" x14ac:dyDescent="0.3">
      <c r="A2204" t="str">
        <f>"20200111160449501"</f>
        <v>20200111160449501</v>
      </c>
      <c r="B2204" t="str">
        <f>"1578729889493239"</f>
        <v>1578729889493239</v>
      </c>
      <c r="C2204" t="s">
        <v>40</v>
      </c>
      <c r="D2204">
        <v>5.0014010000000004</v>
      </c>
      <c r="E2204">
        <v>0.56831509999999996</v>
      </c>
      <c r="F2204" t="s">
        <v>42</v>
      </c>
      <c r="G2204">
        <v>-443.9391</v>
      </c>
      <c r="H2204">
        <v>0.91516799999999998</v>
      </c>
      <c r="I2204">
        <v>284.84809999999999</v>
      </c>
      <c r="J2204">
        <v>-443.4855</v>
      </c>
      <c r="K2204">
        <v>1.110393</v>
      </c>
      <c r="L2204">
        <v>284.74509999999998</v>
      </c>
      <c r="M2204">
        <v>-0.9998766</v>
      </c>
      <c r="N2204">
        <v>0</v>
      </c>
      <c r="O2204">
        <v>-6.9152650000000003E-3</v>
      </c>
      <c r="P2204">
        <v>-0.99953409999999998</v>
      </c>
      <c r="Q2204">
        <v>-4.3320279999999999E-3</v>
      </c>
      <c r="R2204">
        <v>-3.0211600000000002E-2</v>
      </c>
      <c r="S2204">
        <v>-3.0106809999999999</v>
      </c>
      <c r="T2204">
        <v>-0.80678130000000003</v>
      </c>
      <c r="U2204">
        <v>0.4177246</v>
      </c>
      <c r="V2204">
        <v>-2.3297249999999999E-2</v>
      </c>
      <c r="W2204">
        <v>9.7762630000000003E-3</v>
      </c>
      <c r="X2204">
        <v>0.99968080000000004</v>
      </c>
      <c r="Y2204">
        <v>0.1392167</v>
      </c>
      <c r="Z2204">
        <v>2.005993E-2</v>
      </c>
      <c r="AA2204">
        <v>0.99005869999999996</v>
      </c>
      <c r="AB2204">
        <v>28</v>
      </c>
      <c r="AC2204">
        <v>-0.45359999999999401</v>
      </c>
      <c r="AD2204">
        <v>-0.19522500000000001</v>
      </c>
      <c r="AE2204">
        <v>0.103000000000008</v>
      </c>
      <c r="AF2204">
        <v>9.0238783750286697E-2</v>
      </c>
      <c r="AG2204">
        <v>-0.19522500000000001</v>
      </c>
      <c r="AH2204">
        <v>0.385049243168257</v>
      </c>
      <c r="AI2204">
        <v>116.27270767274899</v>
      </c>
      <c r="AJ2204">
        <v>76.810395368331896</v>
      </c>
      <c r="AK2204">
        <v>0.441042807879437</v>
      </c>
      <c r="AL2204">
        <v>89.439852478676599</v>
      </c>
      <c r="AM2204">
        <v>91.335018662675495</v>
      </c>
      <c r="AN2204">
        <v>1.0000000195322201</v>
      </c>
    </row>
    <row r="2205" spans="1:40" x14ac:dyDescent="0.3">
      <c r="A2205" t="str">
        <f>"20200111160449523"</f>
        <v>20200111160449523</v>
      </c>
      <c r="B2205" t="str">
        <f>"1578729889512763"</f>
        <v>1578729889512763</v>
      </c>
      <c r="C2205" t="s">
        <v>40</v>
      </c>
      <c r="D2205">
        <v>5.0332470000000002</v>
      </c>
      <c r="E2205">
        <v>0.56833449999999996</v>
      </c>
      <c r="F2205" t="s">
        <v>42</v>
      </c>
      <c r="G2205">
        <v>-444.19220000000001</v>
      </c>
      <c r="H2205">
        <v>0.92037869999999999</v>
      </c>
      <c r="I2205">
        <v>284.84390000000002</v>
      </c>
      <c r="J2205">
        <v>-443.76780000000002</v>
      </c>
      <c r="K2205">
        <v>1.1103970000000001</v>
      </c>
      <c r="L2205">
        <v>284.7432</v>
      </c>
      <c r="M2205">
        <v>-0.99987689999999996</v>
      </c>
      <c r="N2205">
        <v>0</v>
      </c>
      <c r="O2205">
        <v>-6.8718529999999998E-3</v>
      </c>
      <c r="P2205">
        <v>-0.99952549999999996</v>
      </c>
      <c r="Q2205">
        <v>-4.101047E-3</v>
      </c>
      <c r="R2205">
        <v>-3.052759E-2</v>
      </c>
      <c r="S2205">
        <v>-3.0106199999999999</v>
      </c>
      <c r="T2205">
        <v>-0.80947729999999996</v>
      </c>
      <c r="U2205">
        <v>0.41967769999999999</v>
      </c>
      <c r="V2205">
        <v>-2.3656139999999999E-2</v>
      </c>
      <c r="W2205">
        <v>1.0003700000000001E-2</v>
      </c>
      <c r="X2205">
        <v>0.99967010000000001</v>
      </c>
      <c r="Y2205">
        <v>0.1397563</v>
      </c>
      <c r="Z2205">
        <v>2.0183779999999998E-2</v>
      </c>
      <c r="AA2205">
        <v>0.98998019999999998</v>
      </c>
      <c r="AB2205">
        <v>28</v>
      </c>
      <c r="AC2205">
        <v>-0.42439999999999101</v>
      </c>
      <c r="AD2205">
        <v>-0.190018299999999</v>
      </c>
      <c r="AE2205">
        <v>0.100700000000017</v>
      </c>
      <c r="AF2205">
        <v>8.7086886056756393E-2</v>
      </c>
      <c r="AG2205">
        <v>-0.190018299999999</v>
      </c>
      <c r="AH2205">
        <v>0.35611418929942601</v>
      </c>
      <c r="AI2205">
        <v>117.39836789442199</v>
      </c>
      <c r="AJ2205">
        <v>76.258152310530207</v>
      </c>
      <c r="AK2205">
        <v>0.41292662287425802</v>
      </c>
      <c r="AL2205">
        <v>89.426820648952599</v>
      </c>
      <c r="AM2205">
        <v>91.355591276630193</v>
      </c>
      <c r="AN2205">
        <v>0.99999999790369898</v>
      </c>
    </row>
    <row r="2206" spans="1:40" x14ac:dyDescent="0.3">
      <c r="A2206" t="str">
        <f>"20200111160449546"</f>
        <v>20200111160449546</v>
      </c>
      <c r="B2206" t="str">
        <f>"1578729889533260"</f>
        <v>1578729889533260</v>
      </c>
      <c r="C2206" t="s">
        <v>40</v>
      </c>
      <c r="D2206">
        <v>4.9495259999999996</v>
      </c>
      <c r="E2206">
        <v>0.567994</v>
      </c>
      <c r="F2206" t="s">
        <v>42</v>
      </c>
      <c r="G2206">
        <v>-444.44600000000003</v>
      </c>
      <c r="H2206">
        <v>0.92773910000000004</v>
      </c>
      <c r="I2206">
        <v>284.83760000000001</v>
      </c>
      <c r="J2206">
        <v>-444.04649999999998</v>
      </c>
      <c r="K2206">
        <v>1.110398</v>
      </c>
      <c r="L2206">
        <v>284.74130000000002</v>
      </c>
      <c r="M2206">
        <v>-0.99987729999999997</v>
      </c>
      <c r="N2206">
        <v>0</v>
      </c>
      <c r="O2206">
        <v>-6.8286859999999996E-3</v>
      </c>
      <c r="P2206">
        <v>-0.99951369999999895</v>
      </c>
      <c r="Q2206">
        <v>-3.858518E-3</v>
      </c>
      <c r="R2206">
        <v>-3.0945090000000001E-2</v>
      </c>
      <c r="S2206">
        <v>-3.0108640000000002</v>
      </c>
      <c r="T2206">
        <v>-0.81086230000000004</v>
      </c>
      <c r="U2206">
        <v>0.41888429999999999</v>
      </c>
      <c r="V2206">
        <v>-2.4117030000000001E-2</v>
      </c>
      <c r="W2206">
        <v>1.0243540000000001E-2</v>
      </c>
      <c r="X2206">
        <v>0.99965669999999995</v>
      </c>
      <c r="Y2206">
        <v>0.1394425</v>
      </c>
      <c r="Z2206">
        <v>2.0163219999999999E-2</v>
      </c>
      <c r="AA2206">
        <v>0.99002489999999999</v>
      </c>
      <c r="AB2206">
        <v>28</v>
      </c>
      <c r="AC2206">
        <v>-0.39949999999998898</v>
      </c>
      <c r="AD2206">
        <v>-0.18265890000000001</v>
      </c>
      <c r="AE2206">
        <v>9.6299999999985106E-2</v>
      </c>
      <c r="AF2206">
        <v>8.2689245038583298E-2</v>
      </c>
      <c r="AG2206">
        <v>-0.18265890000000001</v>
      </c>
      <c r="AH2206">
        <v>0.33303549073223099</v>
      </c>
      <c r="AI2206">
        <v>118.02657190450201</v>
      </c>
      <c r="AJ2206">
        <v>76.056028264625795</v>
      </c>
      <c r="AK2206">
        <v>0.38873438628647</v>
      </c>
      <c r="AL2206">
        <v>89.413078149339398</v>
      </c>
      <c r="AM2206">
        <v>91.382010487053407</v>
      </c>
      <c r="AN2206">
        <v>1.00000003955132</v>
      </c>
    </row>
    <row r="2207" spans="1:40" x14ac:dyDescent="0.3">
      <c r="A2207" t="str">
        <f>"20200111160449568"</f>
        <v>20200111160449568</v>
      </c>
      <c r="B2207" t="str">
        <f>"1578729889563514"</f>
        <v>1578729889563514</v>
      </c>
      <c r="C2207" t="s">
        <v>40</v>
      </c>
      <c r="D2207">
        <v>4.9359970000000004</v>
      </c>
      <c r="E2207">
        <v>0.56749850000000002</v>
      </c>
      <c r="F2207" t="s">
        <v>42</v>
      </c>
      <c r="G2207">
        <v>-444.9239</v>
      </c>
      <c r="H2207">
        <v>0.874166</v>
      </c>
      <c r="I2207">
        <v>284.86239999999998</v>
      </c>
      <c r="J2207">
        <v>-444.32690000000002</v>
      </c>
      <c r="K2207">
        <v>1.1103989999999999</v>
      </c>
      <c r="L2207">
        <v>284.73939999999999</v>
      </c>
      <c r="M2207">
        <v>-0.99987760000000003</v>
      </c>
      <c r="N2207">
        <v>0</v>
      </c>
      <c r="O2207">
        <v>-6.7857489999999998E-3</v>
      </c>
      <c r="P2207">
        <v>-0.99951369999999895</v>
      </c>
      <c r="Q2207">
        <v>-4.205683E-3</v>
      </c>
      <c r="R2207">
        <v>-3.089542E-2</v>
      </c>
      <c r="S2207">
        <v>-3.0111690000000002</v>
      </c>
      <c r="T2207">
        <v>-0.81068240000000003</v>
      </c>
      <c r="U2207">
        <v>0.41503909999999999</v>
      </c>
      <c r="V2207">
        <v>-2.411044E-2</v>
      </c>
      <c r="W2207">
        <v>9.8930819999999992E-3</v>
      </c>
      <c r="X2207">
        <v>0.9996604</v>
      </c>
      <c r="Y2207">
        <v>0.13819310000000001</v>
      </c>
      <c r="Z2207">
        <v>1.998279E-2</v>
      </c>
      <c r="AA2207">
        <v>0.99020370000000002</v>
      </c>
      <c r="AB2207">
        <v>28</v>
      </c>
      <c r="AC2207">
        <v>-0.59699999999997999</v>
      </c>
      <c r="AD2207">
        <v>-0.236232999999999</v>
      </c>
      <c r="AE2207">
        <v>0.12299999999999001</v>
      </c>
      <c r="AF2207">
        <v>0.110457623261217</v>
      </c>
      <c r="AG2207">
        <v>-0.236232999999999</v>
      </c>
      <c r="AH2207">
        <v>0.51830124805913502</v>
      </c>
      <c r="AI2207">
        <v>114.026002063625</v>
      </c>
      <c r="AJ2207">
        <v>77.969405993760603</v>
      </c>
      <c r="AK2207">
        <v>0.58020953160489697</v>
      </c>
      <c r="AL2207">
        <v>89.433158937183094</v>
      </c>
      <c r="AM2207">
        <v>91.381627886052598</v>
      </c>
      <c r="AN2207">
        <v>1.0000000508583</v>
      </c>
    </row>
    <row r="2208" spans="1:40" x14ac:dyDescent="0.3">
      <c r="A2208" t="str">
        <f>"20200111160449590"</f>
        <v>20200111160449590</v>
      </c>
      <c r="B2208" t="str">
        <f>"1578729889583038"</f>
        <v>1578729889583038</v>
      </c>
      <c r="C2208" t="s">
        <v>40</v>
      </c>
      <c r="D2208">
        <v>4.935149</v>
      </c>
      <c r="E2208">
        <v>0.56722240000000002</v>
      </c>
      <c r="F2208" t="s">
        <v>42</v>
      </c>
      <c r="G2208">
        <v>-445.17619999999999</v>
      </c>
      <c r="H2208">
        <v>0.88116289999999997</v>
      </c>
      <c r="I2208">
        <v>284.85539999999997</v>
      </c>
      <c r="J2208">
        <v>-444.60289999999998</v>
      </c>
      <c r="K2208">
        <v>1.1103940000000001</v>
      </c>
      <c r="L2208">
        <v>284.73759999999999</v>
      </c>
      <c r="M2208">
        <v>-0.99987789999999999</v>
      </c>
      <c r="N2208">
        <v>0</v>
      </c>
      <c r="O2208">
        <v>-6.7430550000000004E-3</v>
      </c>
      <c r="P2208">
        <v>-0.99949759999999999</v>
      </c>
      <c r="Q2208">
        <v>-4.40662E-3</v>
      </c>
      <c r="R2208">
        <v>-3.1392759999999999E-2</v>
      </c>
      <c r="S2208">
        <v>-3.010742</v>
      </c>
      <c r="T2208">
        <v>-0.81254839999999995</v>
      </c>
      <c r="U2208">
        <v>0.41091919999999998</v>
      </c>
      <c r="V2208">
        <v>-2.4650559999999998E-2</v>
      </c>
      <c r="W2208">
        <v>9.689006E-3</v>
      </c>
      <c r="X2208">
        <v>0.99964920000000002</v>
      </c>
      <c r="Y2208">
        <v>0.1368625</v>
      </c>
      <c r="Z2208">
        <v>1.9844799999999999E-2</v>
      </c>
      <c r="AA2208">
        <v>0.99039129999999997</v>
      </c>
      <c r="AB2208">
        <v>28</v>
      </c>
      <c r="AC2208">
        <v>-0.57330000000001702</v>
      </c>
      <c r="AD2208">
        <v>-0.22923109999999999</v>
      </c>
      <c r="AE2208">
        <v>0.117799999999988</v>
      </c>
      <c r="AF2208">
        <v>0.10548254739064</v>
      </c>
      <c r="AG2208">
        <v>-0.22923109999999999</v>
      </c>
      <c r="AH2208">
        <v>0.49635242593978601</v>
      </c>
      <c r="AI2208">
        <v>114.310739471091</v>
      </c>
      <c r="AJ2208">
        <v>78.0022550206604</v>
      </c>
      <c r="AK2208">
        <v>0.556811633990831</v>
      </c>
      <c r="AL2208">
        <v>89.444852176252297</v>
      </c>
      <c r="AM2208">
        <v>91.412582411916603</v>
      </c>
      <c r="AN2208">
        <v>1.00000002500311</v>
      </c>
    </row>
    <row r="2209" spans="1:40" x14ac:dyDescent="0.3">
      <c r="A2209" t="str">
        <f>"20200111160449608"</f>
        <v>20200111160449608</v>
      </c>
      <c r="B2209" t="str">
        <f>"1578729889603531"</f>
        <v>1578729889603531</v>
      </c>
      <c r="C2209" t="s">
        <v>40</v>
      </c>
      <c r="D2209">
        <v>4.8350109999999997</v>
      </c>
      <c r="E2209">
        <v>0.56699820000000001</v>
      </c>
      <c r="F2209" t="s">
        <v>42</v>
      </c>
      <c r="G2209">
        <v>-445.428</v>
      </c>
      <c r="H2209">
        <v>0.88746999999999998</v>
      </c>
      <c r="I2209">
        <v>284.84910000000002</v>
      </c>
      <c r="J2209">
        <v>-444.82170000000002</v>
      </c>
      <c r="K2209">
        <v>1.1103989999999999</v>
      </c>
      <c r="L2209">
        <v>284.73610000000002</v>
      </c>
      <c r="M2209">
        <v>-0.99987820000000005</v>
      </c>
      <c r="N2209">
        <v>0</v>
      </c>
      <c r="O2209">
        <v>-6.7094240000000003E-3</v>
      </c>
      <c r="P2209">
        <v>-0.9994963</v>
      </c>
      <c r="Q2209">
        <v>-4.73319E-3</v>
      </c>
      <c r="R2209">
        <v>-3.1380810000000002E-2</v>
      </c>
      <c r="S2209">
        <v>-3.010742</v>
      </c>
      <c r="T2209">
        <v>-0.81338820000000001</v>
      </c>
      <c r="U2209">
        <v>0.4067383</v>
      </c>
      <c r="V2209">
        <v>-2.4672090000000001E-2</v>
      </c>
      <c r="W2209">
        <v>9.3600009999999997E-3</v>
      </c>
      <c r="X2209">
        <v>0.99965179999999998</v>
      </c>
      <c r="Y2209">
        <v>0.13551589999999999</v>
      </c>
      <c r="Z2209">
        <v>1.9679550000000001E-2</v>
      </c>
      <c r="AA2209">
        <v>0.99057969999999895</v>
      </c>
      <c r="AB2209">
        <v>28</v>
      </c>
      <c r="AC2209">
        <v>-0.60630000000003204</v>
      </c>
      <c r="AD2209">
        <v>-0.22292899999999899</v>
      </c>
      <c r="AE2209">
        <v>0.112999999999999</v>
      </c>
      <c r="AF2209">
        <v>0.103537958833039</v>
      </c>
      <c r="AG2209">
        <v>-0.22292899999999899</v>
      </c>
      <c r="AH2209">
        <v>0.53555481831129703</v>
      </c>
      <c r="AI2209">
        <v>112.229369202074</v>
      </c>
      <c r="AJ2209">
        <v>79.0580867878205</v>
      </c>
      <c r="AK2209">
        <v>0.58926769076265995</v>
      </c>
      <c r="AL2209">
        <v>89.463703626980802</v>
      </c>
      <c r="AM2209">
        <v>91.413811996659902</v>
      </c>
      <c r="AN2209">
        <v>1.0000000214434599</v>
      </c>
    </row>
    <row r="2210" spans="1:40" x14ac:dyDescent="0.3">
      <c r="A2210" t="str">
        <f>"20200111160449623"</f>
        <v>20200111160449623</v>
      </c>
      <c r="B2210" t="str">
        <f>"1578729889613291"</f>
        <v>1578729889613291</v>
      </c>
      <c r="C2210" t="s">
        <v>40</v>
      </c>
      <c r="D2210">
        <v>4.8544580000000002</v>
      </c>
      <c r="E2210">
        <v>0.56692880000000001</v>
      </c>
      <c r="F2210" t="s">
        <v>42</v>
      </c>
      <c r="G2210">
        <v>-445.6739</v>
      </c>
      <c r="H2210">
        <v>0.87973579999999996</v>
      </c>
      <c r="I2210">
        <v>284.851</v>
      </c>
      <c r="J2210">
        <v>-445.01909999999998</v>
      </c>
      <c r="K2210">
        <v>1.1103970000000001</v>
      </c>
      <c r="L2210">
        <v>284.73489999999998</v>
      </c>
      <c r="M2210">
        <v>-0.9998785</v>
      </c>
      <c r="N2210">
        <v>0</v>
      </c>
      <c r="O2210">
        <v>-6.6790130000000001E-3</v>
      </c>
      <c r="P2210">
        <v>-0.9994712</v>
      </c>
      <c r="Q2210">
        <v>-4.7318120000000002E-3</v>
      </c>
      <c r="R2210">
        <v>-3.2168500000000003E-2</v>
      </c>
      <c r="S2210">
        <v>-3.0103759999999999</v>
      </c>
      <c r="T2210">
        <v>-0.81475659999999905</v>
      </c>
      <c r="U2210">
        <v>0.4049683</v>
      </c>
      <c r="V2210">
        <v>-2.5490519999999999E-2</v>
      </c>
      <c r="W2210">
        <v>9.3585739999999997E-3</v>
      </c>
      <c r="X2210">
        <v>0.9996313</v>
      </c>
      <c r="Y2210">
        <v>0.1349331</v>
      </c>
      <c r="Z2210">
        <v>1.962935E-2</v>
      </c>
      <c r="AA2210">
        <v>0.99066030000000005</v>
      </c>
      <c r="AB2210">
        <v>28</v>
      </c>
      <c r="AC2210">
        <v>-0.65480000000002203</v>
      </c>
      <c r="AD2210">
        <v>-0.23066119999999901</v>
      </c>
      <c r="AE2210">
        <v>0.116100000000017</v>
      </c>
      <c r="AF2210">
        <v>0.107534204509177</v>
      </c>
      <c r="AG2210">
        <v>-0.23066119999999901</v>
      </c>
      <c r="AH2210">
        <v>0.58377767030160999</v>
      </c>
      <c r="AI2210">
        <v>111.235167286243</v>
      </c>
      <c r="AJ2210">
        <v>79.562884168749704</v>
      </c>
      <c r="AK2210">
        <v>0.63683951091906699</v>
      </c>
      <c r="AL2210">
        <v>89.463785403051205</v>
      </c>
      <c r="AM2210">
        <v>91.460721343738001</v>
      </c>
      <c r="AN2210">
        <v>1.0000000427284299</v>
      </c>
    </row>
    <row r="2211" spans="1:40" x14ac:dyDescent="0.3">
      <c r="A2211" t="str">
        <f>"20200111160449646"</f>
        <v>20200111160449646</v>
      </c>
      <c r="B2211" t="str">
        <f>"1578729889643547"</f>
        <v>1578729889643547</v>
      </c>
      <c r="C2211" t="s">
        <v>40</v>
      </c>
      <c r="D2211">
        <v>4.7492029999999996</v>
      </c>
      <c r="E2211">
        <v>0.56663609999999998</v>
      </c>
      <c r="F2211" t="s">
        <v>42</v>
      </c>
      <c r="G2211">
        <v>-445.69400000000002</v>
      </c>
      <c r="H2211">
        <v>0.92773660000000002</v>
      </c>
      <c r="I2211">
        <v>284.8252</v>
      </c>
      <c r="J2211">
        <v>-445.30029999999999</v>
      </c>
      <c r="K2211">
        <v>1.1104050000000001</v>
      </c>
      <c r="L2211">
        <v>284.733</v>
      </c>
      <c r="M2211">
        <v>-0.99987879999999996</v>
      </c>
      <c r="N2211">
        <v>0</v>
      </c>
      <c r="O2211">
        <v>-6.635363E-3</v>
      </c>
      <c r="P2211">
        <v>-0.99944670000000002</v>
      </c>
      <c r="Q2211">
        <v>-4.2128690000000002E-3</v>
      </c>
      <c r="R2211">
        <v>-3.2993699999999897E-2</v>
      </c>
      <c r="S2211">
        <v>-3.0107119999999998</v>
      </c>
      <c r="T2211">
        <v>-0.81489009999999995</v>
      </c>
      <c r="U2211">
        <v>0.4022522</v>
      </c>
      <c r="V2211">
        <v>-2.6359339999999998E-2</v>
      </c>
      <c r="W2211">
        <v>9.874486E-3</v>
      </c>
      <c r="X2211">
        <v>0.99960369999999998</v>
      </c>
      <c r="Y2211">
        <v>0.1340296</v>
      </c>
      <c r="Z2211">
        <v>1.950029E-2</v>
      </c>
      <c r="AA2211">
        <v>0.99078549999999999</v>
      </c>
      <c r="AB2211">
        <v>28</v>
      </c>
      <c r="AC2211">
        <v>-0.39370000000002298</v>
      </c>
      <c r="AD2211">
        <v>-0.18266839999999901</v>
      </c>
      <c r="AE2211">
        <v>9.2199999999991095E-2</v>
      </c>
      <c r="AF2211">
        <v>7.87408673524259E-2</v>
      </c>
      <c r="AG2211">
        <v>-0.18266839999999901</v>
      </c>
      <c r="AH2211">
        <v>0.32645536806179498</v>
      </c>
      <c r="AI2211">
        <v>118.544059336033</v>
      </c>
      <c r="AJ2211">
        <v>76.439301874564194</v>
      </c>
      <c r="AK2211">
        <v>0.38228389435906701</v>
      </c>
      <c r="AL2211">
        <v>89.434224398013598</v>
      </c>
      <c r="AM2211">
        <v>91.510527635372796</v>
      </c>
      <c r="AN2211">
        <v>0.99999993866634296</v>
      </c>
    </row>
    <row r="2212" spans="1:40" x14ac:dyDescent="0.3">
      <c r="A2212" t="str">
        <f>"20200111160449669"</f>
        <v>20200111160449669</v>
      </c>
      <c r="B2212" t="str">
        <f>"1578729889663067"</f>
        <v>1578729889663067</v>
      </c>
      <c r="C2212" t="s">
        <v>40</v>
      </c>
      <c r="D2212">
        <v>4.7177350000000002</v>
      </c>
      <c r="E2212">
        <v>0.56632360000000004</v>
      </c>
      <c r="F2212" t="s">
        <v>42</v>
      </c>
      <c r="G2212">
        <v>-446.1694</v>
      </c>
      <c r="H2212">
        <v>0.87568459999999904</v>
      </c>
      <c r="I2212">
        <v>284.84829999999999</v>
      </c>
      <c r="J2212">
        <v>-445.58629999999999</v>
      </c>
      <c r="K2212">
        <v>1.110409</v>
      </c>
      <c r="L2212">
        <v>284.7312</v>
      </c>
      <c r="M2212">
        <v>-0.99987919999999997</v>
      </c>
      <c r="N2212">
        <v>0</v>
      </c>
      <c r="O2212">
        <v>-6.5885980000000002E-3</v>
      </c>
      <c r="P2212">
        <v>-0.99944690000000003</v>
      </c>
      <c r="Q2212">
        <v>-3.6109520000000002E-3</v>
      </c>
      <c r="R2212">
        <v>-3.3062550000000003E-2</v>
      </c>
      <c r="S2212">
        <v>-3.0113530000000002</v>
      </c>
      <c r="T2212">
        <v>-0.81339050000000002</v>
      </c>
      <c r="U2212">
        <v>0.39746090000000001</v>
      </c>
      <c r="V2212">
        <v>-2.6474999999999999E-2</v>
      </c>
      <c r="W2212">
        <v>1.0473359999999999E-2</v>
      </c>
      <c r="X2212">
        <v>0.9995946</v>
      </c>
      <c r="Y2212">
        <v>0.1324813</v>
      </c>
      <c r="Z2212">
        <v>1.9246659999999999E-2</v>
      </c>
      <c r="AA2212">
        <v>0.99099859999999995</v>
      </c>
      <c r="AB2212">
        <v>28</v>
      </c>
      <c r="AC2212">
        <v>-0.58310000000000095</v>
      </c>
      <c r="AD2212">
        <v>-0.2347244</v>
      </c>
      <c r="AE2212">
        <v>0.117099999999993</v>
      </c>
      <c r="AF2212">
        <v>0.104640690357048</v>
      </c>
      <c r="AG2212">
        <v>-0.2347244</v>
      </c>
      <c r="AH2212">
        <v>0.50383741814250005</v>
      </c>
      <c r="AI2212">
        <v>114.519606029519</v>
      </c>
      <c r="AJ2212">
        <v>78.267184647257693</v>
      </c>
      <c r="AK2212">
        <v>0.56559469760090497</v>
      </c>
      <c r="AL2212">
        <v>89.399909697932202</v>
      </c>
      <c r="AM2212">
        <v>91.517166270793098</v>
      </c>
      <c r="AN2212">
        <v>0.99999999062192402</v>
      </c>
    </row>
    <row r="2213" spans="1:40" x14ac:dyDescent="0.3">
      <c r="A2213" t="str">
        <f>"20200111160449692"</f>
        <v>20200111160449692</v>
      </c>
      <c r="B2213" t="str">
        <f>"1578729889683563"</f>
        <v>1578729889683563</v>
      </c>
      <c r="C2213" t="s">
        <v>40</v>
      </c>
      <c r="D2213">
        <v>4.5715029999999999</v>
      </c>
      <c r="E2213">
        <v>0.5213605</v>
      </c>
      <c r="F2213" t="s">
        <v>42</v>
      </c>
      <c r="G2213">
        <v>-446.42149999999998</v>
      </c>
      <c r="H2213">
        <v>0.88565099999999997</v>
      </c>
      <c r="I2213">
        <v>284.84109999999998</v>
      </c>
      <c r="J2213">
        <v>-445.86759999999998</v>
      </c>
      <c r="K2213">
        <v>1.1104160000000001</v>
      </c>
      <c r="L2213">
        <v>284.7294</v>
      </c>
      <c r="M2213">
        <v>-0.99987950000000003</v>
      </c>
      <c r="N2213">
        <v>0</v>
      </c>
      <c r="O2213">
        <v>-6.5403889999999998E-3</v>
      </c>
      <c r="P2213">
        <v>-0.99946219999999997</v>
      </c>
      <c r="Q2213">
        <v>-2.5653220000000001E-3</v>
      </c>
      <c r="R2213">
        <v>-3.2688410000000001E-2</v>
      </c>
      <c r="S2213">
        <v>-3.0117799999999999</v>
      </c>
      <c r="T2213">
        <v>-0.81052290000000005</v>
      </c>
      <c r="U2213">
        <v>0.39514159999999998</v>
      </c>
      <c r="V2213">
        <v>-2.6148680000000001E-2</v>
      </c>
      <c r="W2213">
        <v>1.151566E-2</v>
      </c>
      <c r="X2213">
        <v>0.99959169999999997</v>
      </c>
      <c r="Y2213">
        <v>0.13172790000000001</v>
      </c>
      <c r="Z2213">
        <v>1.9067509999999999E-2</v>
      </c>
      <c r="AA2213">
        <v>0.9911025</v>
      </c>
      <c r="AB2213">
        <v>28</v>
      </c>
      <c r="AC2213">
        <v>-0.55389999999999795</v>
      </c>
      <c r="AD2213">
        <v>-0.22476499999999999</v>
      </c>
      <c r="AE2213">
        <v>0.11169999999998401</v>
      </c>
      <c r="AF2213">
        <v>9.9566502091098893E-2</v>
      </c>
      <c r="AG2213">
        <v>-0.22476499999999999</v>
      </c>
      <c r="AH2213">
        <v>0.47758956849158901</v>
      </c>
      <c r="AI2213">
        <v>114.73638498528901</v>
      </c>
      <c r="AJ2213">
        <v>78.223815124257698</v>
      </c>
      <c r="AK2213">
        <v>0.537144849640801</v>
      </c>
      <c r="AL2213">
        <v>89.340186677227393</v>
      </c>
      <c r="AM2213">
        <v>91.498479225607596</v>
      </c>
      <c r="AN2213">
        <v>0.99999996529993296</v>
      </c>
    </row>
    <row r="2214" spans="1:40" x14ac:dyDescent="0.3">
      <c r="A2214" t="str">
        <f>"20200111160449724"</f>
        <v>20200111160449724</v>
      </c>
      <c r="B2214" t="str">
        <f>"1578729889712898"</f>
        <v>1578729889712898</v>
      </c>
      <c r="C2214" t="s">
        <v>40</v>
      </c>
      <c r="D2214">
        <v>4.5773999999999999</v>
      </c>
      <c r="E2214">
        <v>0.49306290000000003</v>
      </c>
      <c r="F2214" t="s">
        <v>42</v>
      </c>
      <c r="G2214">
        <v>-446.70310000000001</v>
      </c>
      <c r="H2214">
        <v>0.96046580000000004</v>
      </c>
      <c r="I2214">
        <v>284.74329999999998</v>
      </c>
      <c r="J2214">
        <v>-446.26729999999998</v>
      </c>
      <c r="K2214">
        <v>1.1104149999999999</v>
      </c>
      <c r="L2214">
        <v>284.7269</v>
      </c>
      <c r="M2214">
        <v>-0.99988010000000005</v>
      </c>
      <c r="N2214">
        <v>0</v>
      </c>
      <c r="O2214">
        <v>-6.4655499999999996E-3</v>
      </c>
      <c r="P2214">
        <v>-0.99949679999999996</v>
      </c>
      <c r="Q2214">
        <v>-1.2963689999999999E-3</v>
      </c>
      <c r="R2214">
        <v>-3.1699020000000001E-2</v>
      </c>
      <c r="S2214">
        <v>-3.0018009999999999</v>
      </c>
      <c r="T2214">
        <v>-0.53881330000000005</v>
      </c>
      <c r="U2214">
        <v>4.891968E-2</v>
      </c>
      <c r="V2214">
        <v>-2.5233599999999998E-2</v>
      </c>
      <c r="W2214">
        <v>1.27811E-2</v>
      </c>
      <c r="X2214">
        <v>0.99959989999999999</v>
      </c>
      <c r="Y2214">
        <v>2.229998E-2</v>
      </c>
      <c r="Z2214">
        <v>3.136785E-3</v>
      </c>
      <c r="AA2214">
        <v>0.99974640000000004</v>
      </c>
      <c r="AB2214">
        <v>28</v>
      </c>
      <c r="AC2214">
        <v>-0.435800000000028</v>
      </c>
      <c r="AD2214">
        <v>-0.14994919999999901</v>
      </c>
      <c r="AE2214">
        <v>1.6399999999975899E-2</v>
      </c>
      <c r="AF2214">
        <v>1.7185870362647598E-2</v>
      </c>
      <c r="AG2214">
        <v>-0.14994919999999901</v>
      </c>
      <c r="AH2214">
        <v>0.38962276032603599</v>
      </c>
      <c r="AI2214">
        <v>111.030930512571</v>
      </c>
      <c r="AJ2214">
        <v>87.474377562084399</v>
      </c>
      <c r="AK2214">
        <v>0.41783491008392398</v>
      </c>
      <c r="AL2214">
        <v>89.267676991988694</v>
      </c>
      <c r="AM2214">
        <v>91.446050359231094</v>
      </c>
      <c r="AN2214">
        <v>1.0000000255830801</v>
      </c>
    </row>
    <row r="2215" spans="1:40" x14ac:dyDescent="0.3">
      <c r="A2215" t="str">
        <f>"20200111160449948"</f>
        <v>20200111160449948</v>
      </c>
      <c r="B2215" t="str">
        <f>"1578729889942649"</f>
        <v>1578729889942649</v>
      </c>
      <c r="C2215" t="s">
        <v>40</v>
      </c>
      <c r="D2215">
        <v>4.4741689999999998</v>
      </c>
      <c r="E2215">
        <v>0.44782270000000002</v>
      </c>
      <c r="F2215" t="s">
        <v>57</v>
      </c>
      <c r="G2215">
        <v>-460.21</v>
      </c>
      <c r="H2215" s="1">
        <v>-1.384845E-6</v>
      </c>
      <c r="I2215">
        <v>283.69670000000002</v>
      </c>
      <c r="J2215">
        <v>-449.01569999999998</v>
      </c>
      <c r="K2215">
        <v>1.110382</v>
      </c>
      <c r="L2215">
        <v>284.71089999999998</v>
      </c>
      <c r="M2215">
        <v>-0.99988529999999998</v>
      </c>
      <c r="N2215">
        <v>0</v>
      </c>
      <c r="O2215">
        <v>-5.6787519999999996E-3</v>
      </c>
      <c r="P2215">
        <v>-0.99962899999999999</v>
      </c>
      <c r="Q2215">
        <v>-9.1618299999999999E-4</v>
      </c>
      <c r="R2215">
        <v>-2.7233919999999998E-2</v>
      </c>
      <c r="S2215">
        <v>-2.9935909999999999</v>
      </c>
      <c r="T2215">
        <v>-0.28987289999999999</v>
      </c>
      <c r="U2215">
        <v>-0.26516719999999999</v>
      </c>
      <c r="V2215">
        <v>-2.1553630000000001E-2</v>
      </c>
      <c r="W2215">
        <v>1.313345E-2</v>
      </c>
      <c r="X2215">
        <v>0.99968140000000005</v>
      </c>
      <c r="Y2215">
        <v>-8.221908E-2</v>
      </c>
      <c r="Z2215">
        <v>-3.4161410000000001E-3</v>
      </c>
      <c r="AA2215">
        <v>0.99660839999999995</v>
      </c>
      <c r="AB2215">
        <v>27</v>
      </c>
      <c r="AC2215">
        <v>-11.194299999999901</v>
      </c>
      <c r="AD2215">
        <v>-1.110383384845</v>
      </c>
      <c r="AE2215">
        <v>-1.01419999999995</v>
      </c>
      <c r="AF2215">
        <v>-0.94142047602055601</v>
      </c>
      <c r="AG2215">
        <v>-1.110383384845</v>
      </c>
      <c r="AH2215">
        <v>11.0916370247141</v>
      </c>
      <c r="AI2215">
        <v>95.696484576002703</v>
      </c>
      <c r="AJ2215">
        <v>94.8514434526587</v>
      </c>
      <c r="AK2215">
        <v>11.186761625332901</v>
      </c>
      <c r="AL2215">
        <v>89.247487090744002</v>
      </c>
      <c r="AM2215">
        <v>91.235134244482495</v>
      </c>
      <c r="AN2215">
        <v>0.99999997399051899</v>
      </c>
    </row>
    <row r="2216" spans="1:40" x14ac:dyDescent="0.3">
      <c r="A2216" t="str">
        <f>"20200111160449969"</f>
        <v>20200111160449969</v>
      </c>
      <c r="B2216" t="str">
        <f>"1578729889963141"</f>
        <v>1578729889963141</v>
      </c>
      <c r="C2216" t="s">
        <v>40</v>
      </c>
      <c r="D2216">
        <v>4.5502669999999998</v>
      </c>
      <c r="E2216">
        <v>0.45055020000000001</v>
      </c>
      <c r="F2216" t="s">
        <v>56</v>
      </c>
      <c r="G2216">
        <v>-472.6123</v>
      </c>
      <c r="H2216" s="1">
        <v>5.115392E-6</v>
      </c>
      <c r="I2216">
        <v>280.72410000000002</v>
      </c>
      <c r="J2216">
        <v>-449.28370000000001</v>
      </c>
      <c r="K2216">
        <v>1.1103940000000001</v>
      </c>
      <c r="L2216">
        <v>284.70949999999999</v>
      </c>
      <c r="M2216">
        <v>-0.99988580000000005</v>
      </c>
      <c r="N2216">
        <v>0</v>
      </c>
      <c r="O2216">
        <v>-5.5941009999999998E-3</v>
      </c>
      <c r="P2216">
        <v>-0.9996102</v>
      </c>
      <c r="Q2216">
        <v>-4.497487E-4</v>
      </c>
      <c r="R2216">
        <v>-2.791952E-2</v>
      </c>
      <c r="S2216">
        <v>-2.9872740000000002</v>
      </c>
      <c r="T2216">
        <v>-0.14057120000000001</v>
      </c>
      <c r="U2216">
        <v>-0.50473020000000002</v>
      </c>
      <c r="V2216">
        <v>-2.232429E-2</v>
      </c>
      <c r="W2216">
        <v>1.35969E-2</v>
      </c>
      <c r="X2216">
        <v>0.9996583</v>
      </c>
      <c r="Y2216">
        <v>-0.16091279999999999</v>
      </c>
      <c r="Z2216">
        <v>-3.4960939999999999E-3</v>
      </c>
      <c r="AA2216">
        <v>0.98696240000000002</v>
      </c>
      <c r="AB2216">
        <v>27</v>
      </c>
      <c r="AC2216">
        <v>-23.328599999999899</v>
      </c>
      <c r="AD2216">
        <v>-1.1103888846079999</v>
      </c>
      <c r="AE2216">
        <v>-3.9853999999999701</v>
      </c>
      <c r="AF2216">
        <v>-3.8463552391918401</v>
      </c>
      <c r="AG2216">
        <v>-1.1103888846079999</v>
      </c>
      <c r="AH2216">
        <v>23.299243208272099</v>
      </c>
      <c r="AI2216">
        <v>92.692138717735503</v>
      </c>
      <c r="AJ2216">
        <v>99.374125317452695</v>
      </c>
      <c r="AK2216">
        <v>23.640688360945202</v>
      </c>
      <c r="AL2216">
        <v>89.220930996028301</v>
      </c>
      <c r="AM2216">
        <v>91.279312168940393</v>
      </c>
      <c r="AN2216">
        <v>0.99999998318625105</v>
      </c>
    </row>
    <row r="2217" spans="1:40" x14ac:dyDescent="0.3">
      <c r="A2217" t="str">
        <f>"20200111160449992"</f>
        <v>20200111160449992</v>
      </c>
      <c r="B2217" t="str">
        <f>"1578729889982662"</f>
        <v>1578729889982662</v>
      </c>
      <c r="C2217" t="s">
        <v>40</v>
      </c>
      <c r="D2217">
        <v>4.5008900000000001</v>
      </c>
      <c r="E2217">
        <v>0.45216529999999999</v>
      </c>
      <c r="F2217" t="s">
        <v>57</v>
      </c>
      <c r="G2217">
        <v>-469.36900000000003</v>
      </c>
      <c r="H2217" s="1">
        <v>3.5877910000000002E-6</v>
      </c>
      <c r="I2217">
        <v>281.43959999999998</v>
      </c>
      <c r="J2217">
        <v>-449.55380000000002</v>
      </c>
      <c r="K2217">
        <v>1.1103970000000001</v>
      </c>
      <c r="L2217">
        <v>284.7081</v>
      </c>
      <c r="M2217">
        <v>-0.99988630000000001</v>
      </c>
      <c r="N2217">
        <v>0</v>
      </c>
      <c r="O2217">
        <v>-5.5093319999999996E-3</v>
      </c>
      <c r="P2217">
        <v>-0.9996043</v>
      </c>
      <c r="Q2217">
        <v>-8.3210689999999997E-4</v>
      </c>
      <c r="R2217">
        <v>-2.8119959999999999E-2</v>
      </c>
      <c r="S2217">
        <v>-2.9874879999999999</v>
      </c>
      <c r="T2217">
        <v>-0.165159</v>
      </c>
      <c r="U2217">
        <v>-0.48635859999999898</v>
      </c>
      <c r="V2217">
        <v>-2.2608969999999999E-2</v>
      </c>
      <c r="W2217">
        <v>1.3212120000000001E-2</v>
      </c>
      <c r="X2217">
        <v>0.99965709999999997</v>
      </c>
      <c r="Y2217">
        <v>-0.15502009999999999</v>
      </c>
      <c r="Z2217">
        <v>-3.9514720000000001E-3</v>
      </c>
      <c r="AA2217">
        <v>0.98790339999999999</v>
      </c>
      <c r="AB2217">
        <v>27</v>
      </c>
      <c r="AC2217">
        <v>-19.815200000000001</v>
      </c>
      <c r="AD2217">
        <v>-1.11039341220899</v>
      </c>
      <c r="AE2217">
        <v>-3.2685000000000102</v>
      </c>
      <c r="AF2217">
        <v>-3.1496425919587701</v>
      </c>
      <c r="AG2217">
        <v>-1.11039341220899</v>
      </c>
      <c r="AH2217">
        <v>19.772463415929099</v>
      </c>
      <c r="AI2217">
        <v>93.1743350320953</v>
      </c>
      <c r="AJ2217">
        <v>99.050853511150805</v>
      </c>
      <c r="AK2217">
        <v>20.052519331027</v>
      </c>
      <c r="AL2217">
        <v>89.242979276579007</v>
      </c>
      <c r="AM2217">
        <v>91.295622024216598</v>
      </c>
      <c r="AN2217">
        <v>1.0000000216098801</v>
      </c>
    </row>
    <row r="2218" spans="1:40" x14ac:dyDescent="0.3">
      <c r="A2218" t="str">
        <f>"20200111160450014"</f>
        <v>20200111160450014</v>
      </c>
      <c r="B2218" t="str">
        <f>"1578729890012919"</f>
        <v>1578729890012919</v>
      </c>
      <c r="C2218" t="s">
        <v>40</v>
      </c>
      <c r="D2218">
        <v>4.5491400000000004</v>
      </c>
      <c r="E2218">
        <v>0.45373960000000002</v>
      </c>
      <c r="F2218" t="s">
        <v>57</v>
      </c>
      <c r="G2218">
        <v>-468.33539999999999</v>
      </c>
      <c r="H2218" s="1">
        <v>3.0253000000000001E-6</v>
      </c>
      <c r="I2218">
        <v>281.7244</v>
      </c>
      <c r="J2218">
        <v>-449.83159999999998</v>
      </c>
      <c r="K2218">
        <v>1.1103940000000001</v>
      </c>
      <c r="L2218">
        <v>284.70670000000001</v>
      </c>
      <c r="M2218">
        <v>-0.99988690000000002</v>
      </c>
      <c r="N2218">
        <v>0</v>
      </c>
      <c r="O2218">
        <v>-5.422423E-3</v>
      </c>
      <c r="P2218">
        <v>-0.99962039999999996</v>
      </c>
      <c r="Q2218">
        <v>-1.7814319999999999E-3</v>
      </c>
      <c r="R2218">
        <v>-2.749395E-2</v>
      </c>
      <c r="S2218">
        <v>-2.9877319999999998</v>
      </c>
      <c r="T2218">
        <v>-0.17663870000000001</v>
      </c>
      <c r="U2218">
        <v>-0.4746399</v>
      </c>
      <c r="V2218">
        <v>-2.2070599999999999E-2</v>
      </c>
      <c r="W2218">
        <v>1.225996E-2</v>
      </c>
      <c r="X2218">
        <v>0.99968120000000005</v>
      </c>
      <c r="Y2218">
        <v>-0.15128900000000001</v>
      </c>
      <c r="Z2218">
        <v>-4.1222250000000002E-3</v>
      </c>
      <c r="AA2218">
        <v>0.98848100000000005</v>
      </c>
      <c r="AB2218">
        <v>27</v>
      </c>
      <c r="AC2218">
        <v>-18.503799999999998</v>
      </c>
      <c r="AD2218">
        <v>-1.1103909747</v>
      </c>
      <c r="AE2218">
        <v>-2.9823</v>
      </c>
      <c r="AF2218">
        <v>-2.8718310533164102</v>
      </c>
      <c r="AG2218">
        <v>-1.1103909747</v>
      </c>
      <c r="AH2218">
        <v>18.454926175029701</v>
      </c>
      <c r="AI2218">
        <v>93.402355395784497</v>
      </c>
      <c r="AJ2218">
        <v>98.845042119874194</v>
      </c>
      <c r="AK2218">
        <v>18.710015548932201</v>
      </c>
      <c r="AL2218">
        <v>89.297538408586803</v>
      </c>
      <c r="AM2218">
        <v>91.264750036791</v>
      </c>
      <c r="AN2218">
        <v>0.99999995981849998</v>
      </c>
    </row>
    <row r="2219" spans="1:40" x14ac:dyDescent="0.3">
      <c r="A2219" t="str">
        <f>"20200111160450038"</f>
        <v>20200111160450038</v>
      </c>
      <c r="B2219" t="str">
        <f>"1578729890033414"</f>
        <v>1578729890033414</v>
      </c>
      <c r="C2219" t="s">
        <v>40</v>
      </c>
      <c r="D2219">
        <v>4.5735999999999999</v>
      </c>
      <c r="E2219">
        <v>0.45426149999999998</v>
      </c>
      <c r="F2219" t="s">
        <v>57</v>
      </c>
      <c r="G2219">
        <v>-467.17230000000001</v>
      </c>
      <c r="H2219" s="1">
        <v>2.392939E-6</v>
      </c>
      <c r="I2219">
        <v>282.03100000000001</v>
      </c>
      <c r="J2219">
        <v>-450.10989999999998</v>
      </c>
      <c r="K2219">
        <v>1.110398</v>
      </c>
      <c r="L2219">
        <v>284.70530000000002</v>
      </c>
      <c r="M2219">
        <v>-0.99988739999999998</v>
      </c>
      <c r="N2219">
        <v>0</v>
      </c>
      <c r="O2219">
        <v>-5.3355109999999898E-3</v>
      </c>
      <c r="P2219">
        <v>-0.99963159999999895</v>
      </c>
      <c r="Q2219">
        <v>-2.49248E-3</v>
      </c>
      <c r="R2219">
        <v>-2.7032939999999998E-2</v>
      </c>
      <c r="S2219">
        <v>-2.9880979999999999</v>
      </c>
      <c r="T2219">
        <v>-0.1913396</v>
      </c>
      <c r="U2219">
        <v>-0.46105960000000001</v>
      </c>
      <c r="V2219">
        <v>-2.1696110000000001E-2</v>
      </c>
      <c r="W2219">
        <v>1.154618E-2</v>
      </c>
      <c r="X2219">
        <v>0.99969790000000003</v>
      </c>
      <c r="Y2219">
        <v>-0.14693510000000001</v>
      </c>
      <c r="Z2219">
        <v>-4.3327399999999999E-3</v>
      </c>
      <c r="AA2219">
        <v>0.98913660000000003</v>
      </c>
      <c r="AB2219">
        <v>27</v>
      </c>
      <c r="AC2219">
        <v>-17.0624</v>
      </c>
      <c r="AD2219">
        <v>-1.1103956070609999</v>
      </c>
      <c r="AE2219">
        <v>-2.6743000000000099</v>
      </c>
      <c r="AF2219">
        <v>-2.5725821582189399</v>
      </c>
      <c r="AG2219">
        <v>-1.1103956070609999</v>
      </c>
      <c r="AH2219">
        <v>17.0061296242413</v>
      </c>
      <c r="AI2219">
        <v>93.693851731854195</v>
      </c>
      <c r="AJ2219">
        <v>98.602130620702198</v>
      </c>
      <c r="AK2219">
        <v>17.235417086959799</v>
      </c>
      <c r="AL2219">
        <v>89.338437892429695</v>
      </c>
      <c r="AM2219">
        <v>91.243276015300097</v>
      </c>
      <c r="AN2219">
        <v>0.99999996336306596</v>
      </c>
    </row>
    <row r="2220" spans="1:40" x14ac:dyDescent="0.3">
      <c r="A2220" t="str">
        <f>"20200111160450060"</f>
        <v>20200111160450060</v>
      </c>
      <c r="B2220" t="str">
        <f>"1578729890052935"</f>
        <v>1578729890052935</v>
      </c>
      <c r="C2220" t="s">
        <v>40</v>
      </c>
      <c r="D2220">
        <v>4.5155329999999996</v>
      </c>
      <c r="E2220">
        <v>0.45451079999999999</v>
      </c>
      <c r="F2220" t="s">
        <v>57</v>
      </c>
      <c r="G2220">
        <v>-466.65219999999999</v>
      </c>
      <c r="H2220" s="1">
        <v>2.109511E-6</v>
      </c>
      <c r="I2220">
        <v>282.18369999999999</v>
      </c>
      <c r="J2220">
        <v>-450.37819999999999</v>
      </c>
      <c r="K2220">
        <v>1.1103959999999999</v>
      </c>
      <c r="L2220">
        <v>284.70389999999998</v>
      </c>
      <c r="M2220">
        <v>-0.99988779999999999</v>
      </c>
      <c r="N2220">
        <v>0</v>
      </c>
      <c r="O2220">
        <v>-5.2516990000000003E-3</v>
      </c>
      <c r="P2220">
        <v>-0.99964569999999997</v>
      </c>
      <c r="Q2220">
        <v>-3.36542E-3</v>
      </c>
      <c r="R2220">
        <v>-2.6408669999999999E-2</v>
      </c>
      <c r="S2220">
        <v>-2.9883120000000001</v>
      </c>
      <c r="T2220">
        <v>-0.2005893</v>
      </c>
      <c r="U2220">
        <v>-0.4555054</v>
      </c>
      <c r="V2220">
        <v>-2.115622E-2</v>
      </c>
      <c r="W2220">
        <v>1.067076E-2</v>
      </c>
      <c r="X2220">
        <v>0.99971929999999998</v>
      </c>
      <c r="Y2220">
        <v>-0.1451865</v>
      </c>
      <c r="Z2220">
        <v>-4.4893559999999999E-3</v>
      </c>
      <c r="AA2220">
        <v>0.98939410000000005</v>
      </c>
      <c r="AB2220">
        <v>27</v>
      </c>
      <c r="AC2220">
        <v>-16.274000000000001</v>
      </c>
      <c r="AD2220">
        <v>-1.1103938904889901</v>
      </c>
      <c r="AE2220">
        <v>-2.52019999999998</v>
      </c>
      <c r="AF2220">
        <v>-2.4236715547332399</v>
      </c>
      <c r="AG2220">
        <v>-1.1103938904889901</v>
      </c>
      <c r="AH2220">
        <v>16.213299068613299</v>
      </c>
      <c r="AI2220">
        <v>93.874953080135299</v>
      </c>
      <c r="AJ2220">
        <v>98.501997162037895</v>
      </c>
      <c r="AK2220">
        <v>16.431014122249302</v>
      </c>
      <c r="AL2220">
        <v>89.3885989241587</v>
      </c>
      <c r="AM2220">
        <v>91.212321513346495</v>
      </c>
      <c r="AN2220">
        <v>1.00000006477807</v>
      </c>
    </row>
    <row r="2221" spans="1:40" x14ac:dyDescent="0.3">
      <c r="A2221" t="str">
        <f>"20200111160450082"</f>
        <v>20200111160450082</v>
      </c>
      <c r="B2221" t="str">
        <f>"1578729890073430"</f>
        <v>1578729890073430</v>
      </c>
      <c r="C2221" t="s">
        <v>40</v>
      </c>
      <c r="D2221">
        <v>4.5911689999999998</v>
      </c>
      <c r="E2221">
        <v>0.4546733</v>
      </c>
      <c r="F2221" t="s">
        <v>57</v>
      </c>
      <c r="G2221">
        <v>-466.25510000000003</v>
      </c>
      <c r="H2221" s="1">
        <v>1.8928919999999999E-6</v>
      </c>
      <c r="I2221">
        <v>282.30549999999999</v>
      </c>
      <c r="J2221">
        <v>-450.63959999999997</v>
      </c>
      <c r="K2221">
        <v>1.110393</v>
      </c>
      <c r="L2221">
        <v>284.70260000000002</v>
      </c>
      <c r="M2221">
        <v>-0.9998882</v>
      </c>
      <c r="N2221">
        <v>0</v>
      </c>
      <c r="O2221">
        <v>-5.1702700000000002E-3</v>
      </c>
      <c r="P2221">
        <v>-0.99964730000000002</v>
      </c>
      <c r="Q2221">
        <v>-3.7420539999999999E-3</v>
      </c>
      <c r="R2221">
        <v>-2.6296449999999999E-2</v>
      </c>
      <c r="S2221">
        <v>-2.9884029999999999</v>
      </c>
      <c r="T2221">
        <v>-0.2090021</v>
      </c>
      <c r="U2221">
        <v>-0.45144649999999997</v>
      </c>
      <c r="V2221">
        <v>-2.1125310000000001E-2</v>
      </c>
      <c r="W2221">
        <v>1.029122E-2</v>
      </c>
      <c r="X2221">
        <v>0.9997239</v>
      </c>
      <c r="Y2221">
        <v>-0.14392530000000001</v>
      </c>
      <c r="Z2221">
        <v>-4.6393839999999999E-3</v>
      </c>
      <c r="AA2221">
        <v>0.9895777</v>
      </c>
      <c r="AB2221">
        <v>27</v>
      </c>
      <c r="AC2221">
        <v>-15.615500000000001</v>
      </c>
      <c r="AD2221">
        <v>-1.1103911071079999</v>
      </c>
      <c r="AE2221">
        <v>-2.39710000000002</v>
      </c>
      <c r="AF2221">
        <v>-2.3049373186881001</v>
      </c>
      <c r="AG2221">
        <v>-1.1103911071079999</v>
      </c>
      <c r="AH2221">
        <v>15.5508652069667</v>
      </c>
      <c r="AI2221">
        <v>94.040215593649293</v>
      </c>
      <c r="AJ2221">
        <v>98.430954390379796</v>
      </c>
      <c r="AK2221">
        <v>15.7599211019305</v>
      </c>
      <c r="AL2221">
        <v>89.410346138268594</v>
      </c>
      <c r="AM2221">
        <v>91.210545226959894</v>
      </c>
      <c r="AN2221">
        <v>1.0000000320814399</v>
      </c>
    </row>
    <row r="2222" spans="1:40" x14ac:dyDescent="0.3">
      <c r="A2222" t="str">
        <f>"20200111160450104"</f>
        <v>20200111160450104</v>
      </c>
      <c r="B2222" t="str">
        <f>"1578729890092950"</f>
        <v>1578729890092950</v>
      </c>
      <c r="C2222" t="s">
        <v>40</v>
      </c>
      <c r="D2222">
        <v>4.682029</v>
      </c>
      <c r="E2222">
        <v>0.4545979</v>
      </c>
      <c r="F2222" t="s">
        <v>57</v>
      </c>
      <c r="G2222">
        <v>-466.20060000000001</v>
      </c>
      <c r="H2222" s="1">
        <v>1.8615690000000001E-6</v>
      </c>
      <c r="I2222">
        <v>282.35860000000002</v>
      </c>
      <c r="J2222">
        <v>-450.91079999999999</v>
      </c>
      <c r="K2222">
        <v>1.1103889999999901</v>
      </c>
      <c r="L2222">
        <v>284.70139999999998</v>
      </c>
      <c r="M2222">
        <v>-0.99988869999999996</v>
      </c>
      <c r="N2222">
        <v>0</v>
      </c>
      <c r="O2222">
        <v>-5.0858589999999999E-3</v>
      </c>
      <c r="P2222">
        <v>-0.99962870000000004</v>
      </c>
      <c r="Q2222">
        <v>-3.97446E-3</v>
      </c>
      <c r="R2222">
        <v>-2.6958010000000001E-2</v>
      </c>
      <c r="S2222">
        <v>-2.988464</v>
      </c>
      <c r="T2222">
        <v>-0.21324799999999999</v>
      </c>
      <c r="U2222">
        <v>-0.45016479999999998</v>
      </c>
      <c r="V2222">
        <v>-2.1871399999999999E-2</v>
      </c>
      <c r="W2222">
        <v>1.005615E-2</v>
      </c>
      <c r="X2222">
        <v>0.99971019999999999</v>
      </c>
      <c r="Y2222">
        <v>-0.14357790000000001</v>
      </c>
      <c r="Z2222">
        <v>-4.7271290000000001E-3</v>
      </c>
      <c r="AA2222">
        <v>0.9896277</v>
      </c>
      <c r="AB2222">
        <v>27</v>
      </c>
      <c r="AC2222">
        <v>-15.2898</v>
      </c>
      <c r="AD2222">
        <v>-1.11038713843099</v>
      </c>
      <c r="AE2222">
        <v>-2.3427999999999498</v>
      </c>
      <c r="AF2222">
        <v>-2.2533883948047801</v>
      </c>
      <c r="AG2222">
        <v>-1.11038713843099</v>
      </c>
      <c r="AH2222">
        <v>15.223072880028599</v>
      </c>
      <c r="AI2222">
        <v>94.127015860902603</v>
      </c>
      <c r="AJ2222">
        <v>98.420038900129896</v>
      </c>
      <c r="AK2222">
        <v>15.428955465801801</v>
      </c>
      <c r="AL2222">
        <v>89.4238153262081</v>
      </c>
      <c r="AM2222">
        <v>91.253302244167102</v>
      </c>
      <c r="AN2222">
        <v>0.99999998413741098</v>
      </c>
    </row>
    <row r="2223" spans="1:40" x14ac:dyDescent="0.3">
      <c r="A2223" t="str">
        <f>"20200111160450215"</f>
        <v>20200111160450215</v>
      </c>
      <c r="B2223" t="str">
        <f>"1578729890212998"</f>
        <v>1578729890212998</v>
      </c>
      <c r="C2223" t="s">
        <v>40</v>
      </c>
      <c r="D2223">
        <v>4.5623069999999997</v>
      </c>
      <c r="E2223">
        <v>0.44354830000000001</v>
      </c>
      <c r="F2223" t="s">
        <v>57</v>
      </c>
      <c r="G2223">
        <v>-466.31670000000003</v>
      </c>
      <c r="H2223" s="1">
        <v>1.9229490000000001E-6</v>
      </c>
      <c r="I2223">
        <v>282.3673</v>
      </c>
      <c r="J2223">
        <v>-452.25450000000001</v>
      </c>
      <c r="K2223">
        <v>1.110385</v>
      </c>
      <c r="L2223">
        <v>284.6952</v>
      </c>
      <c r="M2223">
        <v>-0.99989099999999997</v>
      </c>
      <c r="N2223">
        <v>0</v>
      </c>
      <c r="O2223">
        <v>-4.666417E-3</v>
      </c>
      <c r="P2223">
        <v>-0.99956270000000003</v>
      </c>
      <c r="Q2223">
        <v>-4.6031099999999997E-3</v>
      </c>
      <c r="R2223">
        <v>-2.921994E-2</v>
      </c>
      <c r="S2223">
        <v>-2.9880369999999998</v>
      </c>
      <c r="T2223">
        <v>-0.21536369999999999</v>
      </c>
      <c r="U2223">
        <v>-0.45269779999999998</v>
      </c>
      <c r="V2223">
        <v>-2.4552910000000001E-2</v>
      </c>
      <c r="W2223">
        <v>9.4129299999999999E-3</v>
      </c>
      <c r="X2223">
        <v>0.99965420000000005</v>
      </c>
      <c r="Y2223">
        <v>-0.144822799999999</v>
      </c>
      <c r="Z2223">
        <v>-4.8488560000000003E-3</v>
      </c>
      <c r="AA2223">
        <v>0.98944569999999998</v>
      </c>
      <c r="AB2223">
        <v>27</v>
      </c>
      <c r="AC2223">
        <v>-14.062200000000001</v>
      </c>
      <c r="AD2223">
        <v>-1.1103830770509999</v>
      </c>
      <c r="AE2223">
        <v>-2.3279000000000001</v>
      </c>
      <c r="AF2223">
        <v>-2.2486019682573501</v>
      </c>
      <c r="AG2223">
        <v>-1.1103830770509999</v>
      </c>
      <c r="AH2223">
        <v>13.9880213875794</v>
      </c>
      <c r="AI2223">
        <v>94.481384786939898</v>
      </c>
      <c r="AJ2223">
        <v>99.132281151085294</v>
      </c>
      <c r="AK2223">
        <v>14.2110486498651</v>
      </c>
      <c r="AL2223">
        <v>89.460670864991599</v>
      </c>
      <c r="AM2223">
        <v>91.406981868932704</v>
      </c>
      <c r="AN2223">
        <v>0.99999998410914603</v>
      </c>
    </row>
    <row r="2224" spans="1:40" x14ac:dyDescent="0.3">
      <c r="A2224" t="str">
        <f>"20200111160450239"</f>
        <v>20200111160450239</v>
      </c>
      <c r="B2224" t="str">
        <f>"1578729890233494"</f>
        <v>1578729890233494</v>
      </c>
      <c r="C2224" t="s">
        <v>40</v>
      </c>
      <c r="D2224">
        <v>4.6041509999999999</v>
      </c>
      <c r="E2224">
        <v>0.4406542</v>
      </c>
      <c r="F2224" t="s">
        <v>57</v>
      </c>
      <c r="G2224">
        <v>-467.49509999999998</v>
      </c>
      <c r="H2224" s="1">
        <v>2.5705210000000002E-6</v>
      </c>
      <c r="I2224">
        <v>281.89909999999998</v>
      </c>
      <c r="J2224">
        <v>-452.53460000000001</v>
      </c>
      <c r="K2224">
        <v>1.1103879999999999</v>
      </c>
      <c r="L2224">
        <v>284.69400000000002</v>
      </c>
      <c r="M2224">
        <v>-0.99989139999999999</v>
      </c>
      <c r="N2224">
        <v>0</v>
      </c>
      <c r="O2224">
        <v>-4.578782E-3</v>
      </c>
      <c r="P2224">
        <v>-0.9995716</v>
      </c>
      <c r="Q2224">
        <v>-4.6109430000000002E-3</v>
      </c>
      <c r="R2224">
        <v>-2.8899910000000001E-2</v>
      </c>
      <c r="S2224">
        <v>-2.9843139999999999</v>
      </c>
      <c r="T2224">
        <v>-0.2174267</v>
      </c>
      <c r="U2224">
        <v>-0.54751590000000006</v>
      </c>
      <c r="V2224">
        <v>-2.4320769999999999E-2</v>
      </c>
      <c r="W2224">
        <v>9.4024380000000008E-3</v>
      </c>
      <c r="X2224">
        <v>0.99965999999999999</v>
      </c>
      <c r="Y2224">
        <v>-0.17550859999999999</v>
      </c>
      <c r="Z2224">
        <v>-6.0019679999999999E-3</v>
      </c>
      <c r="AA2224">
        <v>0.98445959999999999</v>
      </c>
      <c r="AB2224">
        <v>27</v>
      </c>
      <c r="AC2224">
        <v>-14.9604999999999</v>
      </c>
      <c r="AD2224">
        <v>-1.1103854294790001</v>
      </c>
      <c r="AE2224">
        <v>-2.7949000000000401</v>
      </c>
      <c r="AF2224">
        <v>-2.7119275183416698</v>
      </c>
      <c r="AG2224">
        <v>-1.1103854294790001</v>
      </c>
      <c r="AH2224">
        <v>14.8938616229503</v>
      </c>
      <c r="AI2224">
        <v>94.194975732358003</v>
      </c>
      <c r="AJ2224">
        <v>100.319564909245</v>
      </c>
      <c r="AK2224">
        <v>15.1794143731018</v>
      </c>
      <c r="AL2224">
        <v>89.461272053220696</v>
      </c>
      <c r="AM2224">
        <v>91.393676488949595</v>
      </c>
      <c r="AN2224">
        <v>1.0000000106468601</v>
      </c>
    </row>
    <row r="2225" spans="1:40" x14ac:dyDescent="0.3">
      <c r="A2225" t="str">
        <f>"20200111160450305"</f>
        <v>20200111160450305</v>
      </c>
      <c r="B2225" t="str">
        <f>"1578729890302790"</f>
        <v>1578729890302790</v>
      </c>
      <c r="C2225" t="s">
        <v>40</v>
      </c>
      <c r="D2225">
        <v>4.6479670000000004</v>
      </c>
      <c r="E2225">
        <v>0.43762050000000002</v>
      </c>
      <c r="F2225" t="s">
        <v>57</v>
      </c>
      <c r="G2225">
        <v>-467.60169999999999</v>
      </c>
      <c r="H2225" s="1">
        <v>2.6308260000000002E-6</v>
      </c>
      <c r="I2225">
        <v>281.81659999999999</v>
      </c>
      <c r="J2225">
        <v>-453.32330000000002</v>
      </c>
      <c r="K2225">
        <v>1.1103799999999999</v>
      </c>
      <c r="L2225">
        <v>284.69069999999999</v>
      </c>
      <c r="M2225">
        <v>-0.99989260000000002</v>
      </c>
      <c r="N2225">
        <v>0</v>
      </c>
      <c r="O2225">
        <v>-4.3317410000000001E-3</v>
      </c>
      <c r="P2225">
        <v>-0.99955110000000003</v>
      </c>
      <c r="Q2225">
        <v>-5.2732209999999998E-3</v>
      </c>
      <c r="R2225">
        <v>-2.9496769999999999E-2</v>
      </c>
      <c r="S2225">
        <v>-2.9837950000000002</v>
      </c>
      <c r="T2225">
        <v>-0.2198939</v>
      </c>
      <c r="U2225">
        <v>-0.569824199999999</v>
      </c>
      <c r="V2225">
        <v>-2.516415E-2</v>
      </c>
      <c r="W2225">
        <v>8.7315569999999992E-3</v>
      </c>
      <c r="X2225">
        <v>0.99964520000000001</v>
      </c>
      <c r="Y2225">
        <v>-0.18285889999999999</v>
      </c>
      <c r="Z2225">
        <v>-6.3528940000000004E-3</v>
      </c>
      <c r="AA2225">
        <v>0.98311870000000001</v>
      </c>
      <c r="AB2225">
        <v>27</v>
      </c>
      <c r="AC2225">
        <v>-14.2783999999999</v>
      </c>
      <c r="AD2225">
        <v>-1.110377369174</v>
      </c>
      <c r="AE2225">
        <v>-2.8740999999999901</v>
      </c>
      <c r="AF2225">
        <v>-2.79596621698985</v>
      </c>
      <c r="AG2225">
        <v>-1.110377369174</v>
      </c>
      <c r="AH2225">
        <v>14.208138053191901</v>
      </c>
      <c r="AI2225">
        <v>94.384870532341594</v>
      </c>
      <c r="AJ2225">
        <v>101.13277136396</v>
      </c>
      <c r="AK2225">
        <v>14.523138501270401</v>
      </c>
      <c r="AL2225">
        <v>89.499712278292094</v>
      </c>
      <c r="AM2225">
        <v>91.442006781323101</v>
      </c>
      <c r="AN2225">
        <v>1.0000000002079501</v>
      </c>
    </row>
    <row r="2226" spans="1:40" x14ac:dyDescent="0.3">
      <c r="A2226" t="str">
        <f>"20200111160450349"</f>
        <v>20200111160450349</v>
      </c>
      <c r="B2226" t="str">
        <f>"1578729890342814"</f>
        <v>1578729890342814</v>
      </c>
      <c r="C2226" t="s">
        <v>40</v>
      </c>
      <c r="D2226">
        <v>4.6800949999999997</v>
      </c>
      <c r="E2226">
        <v>0.43625209999999998</v>
      </c>
      <c r="F2226" t="s">
        <v>57</v>
      </c>
      <c r="G2226">
        <v>-468.25720000000001</v>
      </c>
      <c r="H2226" s="1">
        <v>2.9843279999999999E-6</v>
      </c>
      <c r="I2226">
        <v>281.70960000000002</v>
      </c>
      <c r="J2226">
        <v>-453.86099999999999</v>
      </c>
      <c r="K2226">
        <v>1.1103860000000001</v>
      </c>
      <c r="L2226">
        <v>284.68860000000001</v>
      </c>
      <c r="M2226">
        <v>-0.99989340000000004</v>
      </c>
      <c r="N2226">
        <v>0</v>
      </c>
      <c r="O2226">
        <v>-4.1632759999999996E-3</v>
      </c>
      <c r="P2226">
        <v>-0.9995539</v>
      </c>
      <c r="Q2226">
        <v>-4.4123720000000003E-3</v>
      </c>
      <c r="R2226">
        <v>-2.9539349999999999E-2</v>
      </c>
      <c r="S2226">
        <v>-2.982605</v>
      </c>
      <c r="T2226">
        <v>-0.22176589999999999</v>
      </c>
      <c r="U2226">
        <v>-0.59539790000000004</v>
      </c>
      <c r="V2226">
        <v>-2.537559E-2</v>
      </c>
      <c r="W2226">
        <v>9.5860130000000009E-3</v>
      </c>
      <c r="X2226">
        <v>0.99963199999999997</v>
      </c>
      <c r="Y2226">
        <v>-0.19117990000000001</v>
      </c>
      <c r="Z2226">
        <v>-6.722441E-3</v>
      </c>
      <c r="AA2226">
        <v>0.98153199999999996</v>
      </c>
      <c r="AB2226">
        <v>27</v>
      </c>
      <c r="AC2226">
        <v>-14.3962</v>
      </c>
      <c r="AD2226">
        <v>-1.110383015672</v>
      </c>
      <c r="AE2226">
        <v>-2.9789999999999801</v>
      </c>
      <c r="AF2226">
        <v>-2.9024749084225001</v>
      </c>
      <c r="AG2226">
        <v>-1.110383015672</v>
      </c>
      <c r="AH2226">
        <v>14.3267475656627</v>
      </c>
      <c r="AI2226">
        <v>94.343904059738193</v>
      </c>
      <c r="AJ2226">
        <v>101.45262311975701</v>
      </c>
      <c r="AK2226">
        <v>14.6599115565455</v>
      </c>
      <c r="AL2226">
        <v>89.450753486282096</v>
      </c>
      <c r="AM2226">
        <v>91.454137154587301</v>
      </c>
      <c r="AN2226">
        <v>0.999999973818541</v>
      </c>
    </row>
    <row r="2227" spans="1:40" x14ac:dyDescent="0.3">
      <c r="A2227" t="str">
        <f>"20200111160450373"</f>
        <v>20200111160450373</v>
      </c>
      <c r="B2227" t="str">
        <f>"1578729890363302"</f>
        <v>1578729890363302</v>
      </c>
      <c r="C2227" t="s">
        <v>40</v>
      </c>
      <c r="D2227">
        <v>4.7189920000000001</v>
      </c>
      <c r="E2227">
        <v>0.43393530000000002</v>
      </c>
      <c r="F2227" t="s">
        <v>57</v>
      </c>
      <c r="G2227">
        <v>-468.93900000000002</v>
      </c>
      <c r="H2227" s="1">
        <v>3.3510190000000001E-6</v>
      </c>
      <c r="I2227">
        <v>281.62119999999999</v>
      </c>
      <c r="J2227">
        <v>-454.12560000000002</v>
      </c>
      <c r="K2227">
        <v>1.11039</v>
      </c>
      <c r="L2227">
        <v>284.68759999999997</v>
      </c>
      <c r="M2227">
        <v>-0.99989380000000005</v>
      </c>
      <c r="N2227">
        <v>0</v>
      </c>
      <c r="O2227">
        <v>-4.0804120000000003E-3</v>
      </c>
      <c r="P2227">
        <v>-0.9995638</v>
      </c>
      <c r="Q2227">
        <v>-3.9806980000000004E-3</v>
      </c>
      <c r="R2227">
        <v>-2.926459E-2</v>
      </c>
      <c r="S2227">
        <v>-2.9824830000000002</v>
      </c>
      <c r="T2227">
        <v>-0.21963830000000001</v>
      </c>
      <c r="U2227">
        <v>-0.60675049999999997</v>
      </c>
      <c r="V2227">
        <v>-2.5183870000000001E-2</v>
      </c>
      <c r="W2227">
        <v>1.001515E-2</v>
      </c>
      <c r="X2227">
        <v>0.99963270000000004</v>
      </c>
      <c r="Y2227">
        <v>-0.1948579</v>
      </c>
      <c r="Z2227">
        <v>-6.7958289999999998E-3</v>
      </c>
      <c r="AA2227">
        <v>0.98080800000000001</v>
      </c>
      <c r="AB2227">
        <v>27</v>
      </c>
      <c r="AC2227">
        <v>-14.8134</v>
      </c>
      <c r="AD2227">
        <v>-1.1103866489809999</v>
      </c>
      <c r="AE2227">
        <v>-3.0663999999999798</v>
      </c>
      <c r="AF2227">
        <v>-2.9898150365972702</v>
      </c>
      <c r="AG2227">
        <v>-1.1103866489809999</v>
      </c>
      <c r="AH2227">
        <v>14.746338677905699</v>
      </c>
      <c r="AI2227">
        <v>94.220640297507003</v>
      </c>
      <c r="AJ2227">
        <v>101.461336158534</v>
      </c>
      <c r="AK2227">
        <v>15.087294550939101</v>
      </c>
      <c r="AL2227">
        <v>89.4261645993911</v>
      </c>
      <c r="AM2227">
        <v>91.443154376973695</v>
      </c>
      <c r="AN2227">
        <v>1.0000000327234899</v>
      </c>
    </row>
    <row r="2228" spans="1:40" x14ac:dyDescent="0.3">
      <c r="A2228" t="str">
        <f>"20200111160450394"</f>
        <v>20200111160450394</v>
      </c>
      <c r="B2228" t="str">
        <f>"1578729890382822"</f>
        <v>1578729890382822</v>
      </c>
      <c r="C2228" t="s">
        <v>40</v>
      </c>
      <c r="D2228">
        <v>4.7645980000000003</v>
      </c>
      <c r="E2228">
        <v>0.43190909999999899</v>
      </c>
      <c r="F2228" t="s">
        <v>57</v>
      </c>
      <c r="G2228">
        <v>-469.18180000000001</v>
      </c>
      <c r="H2228" s="1">
        <v>3.4839229999999998E-6</v>
      </c>
      <c r="I2228">
        <v>281.5367</v>
      </c>
      <c r="J2228">
        <v>-454.38850000000002</v>
      </c>
      <c r="K2228">
        <v>1.110392</v>
      </c>
      <c r="L2228">
        <v>284.6866</v>
      </c>
      <c r="M2228">
        <v>-0.99989430000000001</v>
      </c>
      <c r="N2228">
        <v>0</v>
      </c>
      <c r="O2228">
        <v>-3.9986190000000001E-3</v>
      </c>
      <c r="P2228">
        <v>-0.99956659999999997</v>
      </c>
      <c r="Q2228">
        <v>-3.9661399999999999E-3</v>
      </c>
      <c r="R2228">
        <v>-2.917662E-2</v>
      </c>
      <c r="S2228">
        <v>-2.9821780000000002</v>
      </c>
      <c r="T2228">
        <v>-0.21993409999999999</v>
      </c>
      <c r="U2228">
        <v>-0.62411499999999998</v>
      </c>
      <c r="V2228">
        <v>-2.5177189999999999E-2</v>
      </c>
      <c r="W2228">
        <v>1.002659E-2</v>
      </c>
      <c r="X2228">
        <v>0.99963270000000004</v>
      </c>
      <c r="Y2228">
        <v>-0.20041690000000001</v>
      </c>
      <c r="Z2228">
        <v>-7.0101759999999999E-3</v>
      </c>
      <c r="AA2228">
        <v>0.97968560000000005</v>
      </c>
      <c r="AB2228">
        <v>27</v>
      </c>
      <c r="AC2228">
        <v>-14.793299999999901</v>
      </c>
      <c r="AD2228">
        <v>-1.110388516077</v>
      </c>
      <c r="AE2228">
        <v>-3.1499000000000001</v>
      </c>
      <c r="AF2228">
        <v>-3.0741475897365098</v>
      </c>
      <c r="AG2228">
        <v>-1.110388516077</v>
      </c>
      <c r="AH2228">
        <v>14.726407562690801</v>
      </c>
      <c r="AI2228">
        <v>94.221353746323302</v>
      </c>
      <c r="AJ2228">
        <v>101.791204528924</v>
      </c>
      <c r="AK2228">
        <v>15.084774634133399</v>
      </c>
      <c r="AL2228">
        <v>89.425509072007401</v>
      </c>
      <c r="AM2228">
        <v>91.442771743326702</v>
      </c>
      <c r="AN2228">
        <v>0.99999997915630601</v>
      </c>
    </row>
    <row r="2229" spans="1:40" x14ac:dyDescent="0.3">
      <c r="A2229" t="str">
        <f>"20200111160450417"</f>
        <v>20200111160450417</v>
      </c>
      <c r="B2229" t="str">
        <f>"1578729890413078"</f>
        <v>1578729890413078</v>
      </c>
      <c r="C2229" t="s">
        <v>40</v>
      </c>
      <c r="D2229">
        <v>4.8075299999999999</v>
      </c>
      <c r="E2229">
        <v>0.4292067</v>
      </c>
      <c r="F2229" t="s">
        <v>57</v>
      </c>
      <c r="G2229">
        <v>-469.26089999999999</v>
      </c>
      <c r="H2229" s="1">
        <v>3.5279230000000001E-6</v>
      </c>
      <c r="I2229">
        <v>281.49340000000001</v>
      </c>
      <c r="J2229">
        <v>-454.65839999999997</v>
      </c>
      <c r="K2229">
        <v>1.110393</v>
      </c>
      <c r="L2229">
        <v>284.68560000000002</v>
      </c>
      <c r="M2229">
        <v>-0.99989459999999997</v>
      </c>
      <c r="N2229">
        <v>0</v>
      </c>
      <c r="O2229">
        <v>-3.9144409999999899E-3</v>
      </c>
      <c r="P2229">
        <v>-0.99956400000000001</v>
      </c>
      <c r="Q2229">
        <v>-3.282582E-3</v>
      </c>
      <c r="R2229">
        <v>-2.9347149999999999E-2</v>
      </c>
      <c r="S2229">
        <v>-2.9817200000000001</v>
      </c>
      <c r="T2229">
        <v>-0.22261729999999999</v>
      </c>
      <c r="U2229">
        <v>-0.64019780000000004</v>
      </c>
      <c r="V2229">
        <v>-2.5431550000000001E-2</v>
      </c>
      <c r="W2229">
        <v>1.070748E-2</v>
      </c>
      <c r="X2229">
        <v>0.99961920000000004</v>
      </c>
      <c r="Y2229">
        <v>-0.20555780000000001</v>
      </c>
      <c r="Z2229">
        <v>-7.2883230000000002E-3</v>
      </c>
      <c r="AA2229">
        <v>0.97861779999999998</v>
      </c>
      <c r="AB2229">
        <v>27</v>
      </c>
      <c r="AC2229">
        <v>-14.602499999999999</v>
      </c>
      <c r="AD2229">
        <v>-1.110389472077</v>
      </c>
      <c r="AE2229">
        <v>-3.1922000000000099</v>
      </c>
      <c r="AF2229">
        <v>-3.1178036689701401</v>
      </c>
      <c r="AG2229">
        <v>-1.110389472077</v>
      </c>
      <c r="AH2229">
        <v>14.5346751275538</v>
      </c>
      <c r="AI2229">
        <v>94.271871456658104</v>
      </c>
      <c r="AJ2229">
        <v>102.10693181743601</v>
      </c>
      <c r="AK2229">
        <v>14.9067248435554</v>
      </c>
      <c r="AL2229">
        <v>89.386494850708004</v>
      </c>
      <c r="AM2229">
        <v>91.457361189704301</v>
      </c>
      <c r="AN2229">
        <v>0.99999997943599594</v>
      </c>
    </row>
    <row r="2230" spans="1:40" x14ac:dyDescent="0.3">
      <c r="A2230" t="str">
        <f>"20200111160450440"</f>
        <v>20200111160450440</v>
      </c>
      <c r="B2230" t="str">
        <f>"1578729890433574"</f>
        <v>1578729890433574</v>
      </c>
      <c r="C2230" t="s">
        <v>40</v>
      </c>
      <c r="D2230">
        <v>4.8496059999999996</v>
      </c>
      <c r="E2230">
        <v>0.39494059999999998</v>
      </c>
      <c r="F2230" t="s">
        <v>57</v>
      </c>
      <c r="G2230">
        <v>-469.32510000000002</v>
      </c>
      <c r="H2230" s="1">
        <v>3.5650129999999999E-6</v>
      </c>
      <c r="I2230">
        <v>281.42630000000003</v>
      </c>
      <c r="J2230">
        <v>-454.9271</v>
      </c>
      <c r="K2230">
        <v>1.110398</v>
      </c>
      <c r="L2230">
        <v>284.68470000000002</v>
      </c>
      <c r="M2230">
        <v>-0.99989490000000003</v>
      </c>
      <c r="N2230">
        <v>0</v>
      </c>
      <c r="O2230">
        <v>-3.8300309999999998E-3</v>
      </c>
      <c r="P2230">
        <v>-0.99956889999999998</v>
      </c>
      <c r="Q2230">
        <v>-1.9703059999999998E-3</v>
      </c>
      <c r="R2230">
        <v>-2.929768E-2</v>
      </c>
      <c r="S2230">
        <v>-2.9811100000000001</v>
      </c>
      <c r="T2230">
        <v>-0.2256939</v>
      </c>
      <c r="U2230">
        <v>-0.66247559999999905</v>
      </c>
      <c r="V2230">
        <v>-2.546644E-2</v>
      </c>
      <c r="W2230">
        <v>1.2016310000000001E-2</v>
      </c>
      <c r="X2230">
        <v>0.99960349999999998</v>
      </c>
      <c r="Y2230">
        <v>-0.21262249999999999</v>
      </c>
      <c r="Z2230">
        <v>-7.6545919999999896E-3</v>
      </c>
      <c r="AA2230">
        <v>0.97710439999999998</v>
      </c>
      <c r="AB2230">
        <v>27</v>
      </c>
      <c r="AC2230">
        <v>-14.398</v>
      </c>
      <c r="AD2230">
        <v>-1.1103944349869901</v>
      </c>
      <c r="AE2230">
        <v>-3.2583999999999902</v>
      </c>
      <c r="AF2230">
        <v>-3.1852042249268502</v>
      </c>
      <c r="AG2230">
        <v>-1.1103944349869901</v>
      </c>
      <c r="AH2230">
        <v>14.3293010485029</v>
      </c>
      <c r="AI2230">
        <v>94.3258928293167</v>
      </c>
      <c r="AJ2230">
        <v>102.532294515608</v>
      </c>
      <c r="AK2230">
        <v>14.720984012435</v>
      </c>
      <c r="AL2230">
        <v>89.311499612505202</v>
      </c>
      <c r="AM2230">
        <v>91.459382616774803</v>
      </c>
      <c r="AN2230">
        <v>1.0000000442422601</v>
      </c>
    </row>
    <row r="2231" spans="1:40" x14ac:dyDescent="0.3">
      <c r="A2231" t="str">
        <f>"20200111160450460"</f>
        <v>20200111160450460</v>
      </c>
      <c r="B2231" t="str">
        <f>"1578729890453094"</f>
        <v>1578729890453094</v>
      </c>
      <c r="C2231" t="s">
        <v>40</v>
      </c>
      <c r="D2231">
        <v>4.8656439999999996</v>
      </c>
      <c r="E2231">
        <v>0.39744679999999999</v>
      </c>
      <c r="F2231" t="s">
        <v>56</v>
      </c>
      <c r="G2231">
        <v>-470.36540000000002</v>
      </c>
      <c r="H2231" s="1">
        <v>6.0334659999999901E-6</v>
      </c>
      <c r="I2231">
        <v>279.82810000000001</v>
      </c>
      <c r="J2231">
        <v>-455.18209999999999</v>
      </c>
      <c r="K2231">
        <v>1.1104000000000001</v>
      </c>
      <c r="L2231">
        <v>284.68380000000002</v>
      </c>
      <c r="M2231">
        <v>-0.99989530000000004</v>
      </c>
      <c r="N2231">
        <v>0</v>
      </c>
      <c r="O2231">
        <v>-3.7500319999999999E-3</v>
      </c>
      <c r="P2231">
        <v>-0.99956040000000002</v>
      </c>
      <c r="Q2231">
        <v>-1.013087E-3</v>
      </c>
      <c r="R2231">
        <v>-2.963671E-2</v>
      </c>
      <c r="S2231">
        <v>-2.9734799999999999</v>
      </c>
      <c r="T2231">
        <v>-0.21386530000000001</v>
      </c>
      <c r="U2231">
        <v>-0.93539430000000001</v>
      </c>
      <c r="V2231">
        <v>-2.5885109999999999E-2</v>
      </c>
      <c r="W2231">
        <v>1.297039E-2</v>
      </c>
      <c r="X2231">
        <v>0.99958080000000005</v>
      </c>
      <c r="Y2231">
        <v>-0.2958151</v>
      </c>
      <c r="Z2231">
        <v>-1.0111709999999999E-2</v>
      </c>
      <c r="AA2231">
        <v>0.95519169999999998</v>
      </c>
      <c r="AB2231">
        <v>27</v>
      </c>
      <c r="AC2231">
        <v>-15.183299999999999</v>
      </c>
      <c r="AD2231">
        <v>-1.1103939665339999</v>
      </c>
      <c r="AE2231">
        <v>-4.8557000000000103</v>
      </c>
      <c r="AF2231">
        <v>-4.7755508732169396</v>
      </c>
      <c r="AG2231">
        <v>-1.1103939665339999</v>
      </c>
      <c r="AH2231">
        <v>15.1280011216066</v>
      </c>
      <c r="AI2231">
        <v>94.003896967350101</v>
      </c>
      <c r="AJ2231">
        <v>107.519669926567</v>
      </c>
      <c r="AK2231">
        <v>15.9026814983803</v>
      </c>
      <c r="AL2231">
        <v>89.256830572978799</v>
      </c>
      <c r="AM2231">
        <v>91.483398004517298</v>
      </c>
      <c r="AN2231">
        <v>1.0000000228325501</v>
      </c>
    </row>
    <row r="2232" spans="1:40" x14ac:dyDescent="0.3">
      <c r="A2232" t="str">
        <f>"20200111160450485"</f>
        <v>20200111160450485</v>
      </c>
      <c r="B2232" t="str">
        <f>"1578729890473589"</f>
        <v>1578729890473589</v>
      </c>
      <c r="C2232" t="s">
        <v>40</v>
      </c>
      <c r="D2232">
        <v>4.8175670000000004</v>
      </c>
      <c r="E2232">
        <v>0.39735809999999999</v>
      </c>
      <c r="F2232" t="s">
        <v>57</v>
      </c>
      <c r="G2232">
        <v>-468.55349999999999</v>
      </c>
      <c r="H2232" s="1">
        <v>3.1924710000000002E-6</v>
      </c>
      <c r="I2232">
        <v>280.5557</v>
      </c>
      <c r="J2232">
        <v>-455.45089999999999</v>
      </c>
      <c r="K2232">
        <v>1.110403</v>
      </c>
      <c r="L2232">
        <v>284.68290000000002</v>
      </c>
      <c r="M2232">
        <v>-0.9998956</v>
      </c>
      <c r="N2232">
        <v>0</v>
      </c>
      <c r="O2232">
        <v>-3.6660920000000001E-3</v>
      </c>
      <c r="P2232">
        <v>-0.99956699999999998</v>
      </c>
      <c r="Q2232">
        <v>-1.653209E-4</v>
      </c>
      <c r="R2232">
        <v>-2.9427109999999999E-2</v>
      </c>
      <c r="S2232">
        <v>-2.9738769999999999</v>
      </c>
      <c r="T2232">
        <v>-0.2469577</v>
      </c>
      <c r="U2232">
        <v>-0.91812130000000003</v>
      </c>
      <c r="V2232">
        <v>-2.5759460000000001E-2</v>
      </c>
      <c r="W2232">
        <v>1.381574E-2</v>
      </c>
      <c r="X2232">
        <v>0.99957269999999998</v>
      </c>
      <c r="Y2232">
        <v>-0.2905836</v>
      </c>
      <c r="Z2232">
        <v>-1.147486E-2</v>
      </c>
      <c r="AA2232">
        <v>0.95678079999999999</v>
      </c>
      <c r="AB2232">
        <v>26</v>
      </c>
      <c r="AC2232">
        <v>-13.102599999999899</v>
      </c>
      <c r="AD2232">
        <v>-1.110399807529</v>
      </c>
      <c r="AE2232">
        <v>-4.12720000000001</v>
      </c>
      <c r="AF2232">
        <v>-4.0526533921362597</v>
      </c>
      <c r="AG2232">
        <v>-1.110399807529</v>
      </c>
      <c r="AH2232">
        <v>13.032493649078299</v>
      </c>
      <c r="AI2232">
        <v>94.6513087410965</v>
      </c>
      <c r="AJ2232">
        <v>107.273881335726</v>
      </c>
      <c r="AK2232">
        <v>13.693169025562399</v>
      </c>
      <c r="AL2232">
        <v>89.208391225562195</v>
      </c>
      <c r="AM2232">
        <v>91.476212530901293</v>
      </c>
      <c r="AN2232">
        <v>1.0000000035182599</v>
      </c>
    </row>
    <row r="2233" spans="1:40" x14ac:dyDescent="0.3">
      <c r="A2233" t="str">
        <f>"20200111160450506"</f>
        <v>20200111160450506</v>
      </c>
      <c r="B2233" t="str">
        <f>"1578729890502870"</f>
        <v>1578729890502870</v>
      </c>
      <c r="C2233" t="s">
        <v>40</v>
      </c>
      <c r="D2233">
        <v>4.9164629999999896</v>
      </c>
      <c r="E2233">
        <v>0.39784170000000002</v>
      </c>
      <c r="F2233" t="s">
        <v>57</v>
      </c>
      <c r="G2233">
        <v>-468.53269999999998</v>
      </c>
      <c r="H2233" s="1">
        <v>3.177606E-6</v>
      </c>
      <c r="I2233">
        <v>280.64170000000001</v>
      </c>
      <c r="J2233">
        <v>-455.71129999999999</v>
      </c>
      <c r="K2233">
        <v>1.1104019999999999</v>
      </c>
      <c r="L2233">
        <v>284.68200000000002</v>
      </c>
      <c r="M2233">
        <v>-0.99989600000000001</v>
      </c>
      <c r="N2233">
        <v>0</v>
      </c>
      <c r="O2233">
        <v>-3.5841860000000001E-3</v>
      </c>
      <c r="P2233">
        <v>-0.99956869999999998</v>
      </c>
      <c r="Q2233" s="1">
        <v>-1.0631979999999999E-5</v>
      </c>
      <c r="R2233">
        <v>-2.9371339999999999E-2</v>
      </c>
      <c r="S2233">
        <v>-2.9741819999999999</v>
      </c>
      <c r="T2233">
        <v>-0.25245240000000002</v>
      </c>
      <c r="U2233">
        <v>-0.91879270000000002</v>
      </c>
      <c r="V2233">
        <v>-2.5785619999999999E-2</v>
      </c>
      <c r="W2233">
        <v>1.396736E-2</v>
      </c>
      <c r="X2233">
        <v>0.99956990000000001</v>
      </c>
      <c r="Y2233">
        <v>-0.2907902</v>
      </c>
      <c r="Z2233">
        <v>-1.1743139999999999E-2</v>
      </c>
      <c r="AA2233">
        <v>0.95671470000000003</v>
      </c>
      <c r="AB2233">
        <v>26</v>
      </c>
      <c r="AC2233">
        <v>-12.821399999999899</v>
      </c>
      <c r="AD2233">
        <v>-1.110398822394</v>
      </c>
      <c r="AE2233">
        <v>-4.0403000000000002</v>
      </c>
      <c r="AF2233">
        <v>-3.9672470707407799</v>
      </c>
      <c r="AG2233">
        <v>-1.110398822394</v>
      </c>
      <c r="AH2233">
        <v>12.748816089000901</v>
      </c>
      <c r="AI2233">
        <v>94.754037248133102</v>
      </c>
      <c r="AJ2233">
        <v>107.285385810923</v>
      </c>
      <c r="AK2233">
        <v>13.3979232172842</v>
      </c>
      <c r="AL2233">
        <v>89.1997031864788</v>
      </c>
      <c r="AM2233">
        <v>91.477715170572793</v>
      </c>
      <c r="AN2233">
        <v>0.99999998516508104</v>
      </c>
    </row>
    <row r="2234" spans="1:40" x14ac:dyDescent="0.3">
      <c r="A2234" t="str">
        <f>"20200111160450529"</f>
        <v>20200111160450529</v>
      </c>
      <c r="B2234" t="str">
        <f>"1578729890523365"</f>
        <v>1578729890523365</v>
      </c>
      <c r="C2234" t="s">
        <v>40</v>
      </c>
      <c r="D2234">
        <v>5.1055549999999998</v>
      </c>
      <c r="E2234">
        <v>0.39784170000000002</v>
      </c>
      <c r="F2234" t="s">
        <v>57</v>
      </c>
      <c r="G2234">
        <v>-468.39569999999998</v>
      </c>
      <c r="H2234" s="1">
        <v>3.0986720000000002E-6</v>
      </c>
      <c r="I2234">
        <v>280.77960000000002</v>
      </c>
      <c r="J2234">
        <v>-455.9787</v>
      </c>
      <c r="K2234">
        <v>1.1104080000000001</v>
      </c>
      <c r="L2234">
        <v>284.68119999999999</v>
      </c>
      <c r="M2234">
        <v>-0.99989629999999996</v>
      </c>
      <c r="N2234">
        <v>0</v>
      </c>
      <c r="O2234">
        <v>-3.5004889999999999E-3</v>
      </c>
      <c r="P2234">
        <v>-0.9995716</v>
      </c>
      <c r="Q2234" s="1">
        <v>-3.4024940000000003E-5</v>
      </c>
      <c r="R2234">
        <v>-2.9274689999999999E-2</v>
      </c>
      <c r="S2234">
        <v>-2.9744259999999998</v>
      </c>
      <c r="T2234">
        <v>-0.26038420000000001</v>
      </c>
      <c r="U2234">
        <v>-0.91510009999999997</v>
      </c>
      <c r="V2234">
        <v>-2.5772280000000002E-2</v>
      </c>
      <c r="W2234">
        <v>1.3940660000000001E-2</v>
      </c>
      <c r="X2234">
        <v>0.99957059999999998</v>
      </c>
      <c r="Y2234">
        <v>-0.28970649999999998</v>
      </c>
      <c r="Z2234">
        <v>-1.2072879999999999E-2</v>
      </c>
      <c r="AA2234">
        <v>0.95703939999999998</v>
      </c>
      <c r="AB2234">
        <v>26</v>
      </c>
      <c r="AC2234">
        <v>-12.4169999999999</v>
      </c>
      <c r="AD2234">
        <v>-1.110404901328</v>
      </c>
      <c r="AE2234">
        <v>-3.90159999999997</v>
      </c>
      <c r="AF2234">
        <v>-3.8302282032546899</v>
      </c>
      <c r="AG2234">
        <v>-1.110404901328</v>
      </c>
      <c r="AH2234">
        <v>12.3407612965984</v>
      </c>
      <c r="AI2234">
        <v>94.911629317467998</v>
      </c>
      <c r="AJ2234">
        <v>107.24288556838501</v>
      </c>
      <c r="AK2234">
        <v>12.9691185711876</v>
      </c>
      <c r="AL2234">
        <v>89.201233119381598</v>
      </c>
      <c r="AM2234">
        <v>91.476949990398296</v>
      </c>
      <c r="AN2234">
        <v>0.99999996840099603</v>
      </c>
    </row>
    <row r="2235" spans="1:40" x14ac:dyDescent="0.3">
      <c r="A2235" t="str">
        <f>"20200111160450550"</f>
        <v>20200111160450550</v>
      </c>
      <c r="B2235" t="str">
        <f>"1578729890542889"</f>
        <v>1578729890542889</v>
      </c>
      <c r="C2235" t="s">
        <v>40</v>
      </c>
      <c r="D2235">
        <v>5.1126969999999998</v>
      </c>
      <c r="E2235">
        <v>0.47438770000000002</v>
      </c>
      <c r="F2235" t="s">
        <v>57</v>
      </c>
      <c r="G2235">
        <v>-468.64139999999998</v>
      </c>
      <c r="H2235" s="1">
        <v>3.2290820000000001E-6</v>
      </c>
      <c r="I2235">
        <v>280.78809999999999</v>
      </c>
      <c r="J2235">
        <v>-456.23899999999998</v>
      </c>
      <c r="K2235">
        <v>1.110406</v>
      </c>
      <c r="L2235">
        <v>284.68040000000002</v>
      </c>
      <c r="M2235">
        <v>-0.99989660000000002</v>
      </c>
      <c r="N2235">
        <v>0</v>
      </c>
      <c r="O2235">
        <v>-3.418464E-3</v>
      </c>
      <c r="P2235">
        <v>-0.99958309999999995</v>
      </c>
      <c r="Q2235">
        <v>-3.7244889999999998E-4</v>
      </c>
      <c r="R2235">
        <v>-2.887576E-2</v>
      </c>
      <c r="S2235">
        <v>-2.9744869999999999</v>
      </c>
      <c r="T2235">
        <v>-0.26083479999999998</v>
      </c>
      <c r="U2235">
        <v>-0.91448969999999896</v>
      </c>
      <c r="V2235">
        <v>-2.545592E-2</v>
      </c>
      <c r="W2235">
        <v>1.359928E-2</v>
      </c>
      <c r="X2235">
        <v>0.99958340000000001</v>
      </c>
      <c r="Y2235">
        <v>-0.28959669999999998</v>
      </c>
      <c r="Z2235">
        <v>-1.209613E-2</v>
      </c>
      <c r="AA2235">
        <v>0.95707229999999999</v>
      </c>
      <c r="AB2235">
        <v>26</v>
      </c>
      <c r="AC2235">
        <v>-12.402399999999901</v>
      </c>
      <c r="AD2235">
        <v>-1.110402770918</v>
      </c>
      <c r="AE2235">
        <v>-3.8923000000000298</v>
      </c>
      <c r="AF2235">
        <v>-3.8219863880423</v>
      </c>
      <c r="AG2235">
        <v>-1.110402770918</v>
      </c>
      <c r="AH2235">
        <v>12.3256922006387</v>
      </c>
      <c r="AI2235">
        <v>94.917995867802901</v>
      </c>
      <c r="AJ2235">
        <v>107.227769496905</v>
      </c>
      <c r="AK2235">
        <v>12.952345829575799</v>
      </c>
      <c r="AL2235">
        <v>89.220794600550093</v>
      </c>
      <c r="AM2235">
        <v>91.458809338069997</v>
      </c>
      <c r="AN2235">
        <v>0.99999995891756099</v>
      </c>
    </row>
    <row r="2236" spans="1:40" x14ac:dyDescent="0.3">
      <c r="A2236" t="str">
        <f>"20200111160450573"</f>
        <v>20200111160450573</v>
      </c>
      <c r="B2236" t="str">
        <f>"1578729890563381"</f>
        <v>1578729890563381</v>
      </c>
      <c r="C2236" t="s">
        <v>40</v>
      </c>
      <c r="D2236">
        <v>5.0871250000000003</v>
      </c>
      <c r="E2236">
        <v>0.48081289999999999</v>
      </c>
      <c r="F2236" t="s">
        <v>57</v>
      </c>
      <c r="G2236">
        <v>-467.28219999999999</v>
      </c>
      <c r="H2236" s="1">
        <v>2.384676E-6</v>
      </c>
      <c r="I2236">
        <v>283.55829999999997</v>
      </c>
      <c r="J2236">
        <v>-456.50080000000003</v>
      </c>
      <c r="K2236">
        <v>1.110411</v>
      </c>
      <c r="L2236">
        <v>284.67950000000002</v>
      </c>
      <c r="M2236">
        <v>-0.99989680000000003</v>
      </c>
      <c r="N2236">
        <v>0</v>
      </c>
      <c r="O2236">
        <v>-3.3364319999999999E-3</v>
      </c>
      <c r="P2236">
        <v>-0.99958809999999998</v>
      </c>
      <c r="Q2236" s="1">
        <v>1.87289E-5</v>
      </c>
      <c r="R2236">
        <v>-2.8704230000000001E-2</v>
      </c>
      <c r="S2236">
        <v>-2.9923709999999999</v>
      </c>
      <c r="T2236">
        <v>-0.3008863</v>
      </c>
      <c r="U2236">
        <v>-0.3040466</v>
      </c>
      <c r="V2236">
        <v>-2.5365700000000001E-2</v>
      </c>
      <c r="W2236">
        <v>1.398834E-2</v>
      </c>
      <c r="X2236">
        <v>0.99958040000000004</v>
      </c>
      <c r="Y2236">
        <v>-9.7297649999999999E-2</v>
      </c>
      <c r="Z2236">
        <v>-4.5331529999999998E-3</v>
      </c>
      <c r="AA2236">
        <v>0.99524500000000005</v>
      </c>
      <c r="AB2236">
        <v>26</v>
      </c>
      <c r="AC2236">
        <v>-10.7813999999999</v>
      </c>
      <c r="AD2236">
        <v>-1.110408615324</v>
      </c>
      <c r="AE2236">
        <v>-1.1212000000000399</v>
      </c>
      <c r="AF2236">
        <v>-1.07394874963114</v>
      </c>
      <c r="AG2236">
        <v>-1.110408615324</v>
      </c>
      <c r="AH2236">
        <v>10.6730771836794</v>
      </c>
      <c r="AI2236">
        <v>95.909955541085495</v>
      </c>
      <c r="AJ2236">
        <v>95.745888717581295</v>
      </c>
      <c r="AK2236">
        <v>10.7842918070032</v>
      </c>
      <c r="AL2236">
        <v>89.198501042886306</v>
      </c>
      <c r="AM2236">
        <v>91.453645659165105</v>
      </c>
      <c r="AN2236">
        <v>1.0000000342283</v>
      </c>
    </row>
    <row r="2237" spans="1:40" x14ac:dyDescent="0.3">
      <c r="A2237" t="str">
        <f>"20200111160450595"</f>
        <v>20200111160450595</v>
      </c>
      <c r="B2237" t="str">
        <f>"1578729890592662"</f>
        <v>1578729890592662</v>
      </c>
      <c r="C2237" t="s">
        <v>40</v>
      </c>
      <c r="D2237">
        <v>5.0792799999999998</v>
      </c>
      <c r="E2237">
        <v>0.4843771</v>
      </c>
      <c r="F2237" t="s">
        <v>57</v>
      </c>
      <c r="G2237">
        <v>-467.06779999999998</v>
      </c>
      <c r="H2237" s="1">
        <v>2.2605460000000002E-6</v>
      </c>
      <c r="I2237">
        <v>283.7878</v>
      </c>
      <c r="J2237">
        <v>-456.76119999999997</v>
      </c>
      <c r="K2237">
        <v>1.1104160000000001</v>
      </c>
      <c r="L2237">
        <v>284.67880000000002</v>
      </c>
      <c r="M2237">
        <v>-0.99989720000000004</v>
      </c>
      <c r="N2237">
        <v>0</v>
      </c>
      <c r="O2237">
        <v>-3.2562009999999998E-3</v>
      </c>
      <c r="P2237">
        <v>-0.99958939999999996</v>
      </c>
      <c r="Q2237">
        <v>-1.3541430000000001E-4</v>
      </c>
      <c r="R2237">
        <v>-2.8655779999999999E-2</v>
      </c>
      <c r="S2237">
        <v>-2.9939580000000001</v>
      </c>
      <c r="T2237">
        <v>-0.31461260000000002</v>
      </c>
      <c r="U2237">
        <v>-0.25265500000000002</v>
      </c>
      <c r="V2237">
        <v>-2.5397690000000001E-2</v>
      </c>
      <c r="W2237">
        <v>1.3831E-2</v>
      </c>
      <c r="X2237">
        <v>0.99958179999999996</v>
      </c>
      <c r="Y2237">
        <v>-8.0422160000000006E-2</v>
      </c>
      <c r="Z2237">
        <v>-3.8658159999999998E-3</v>
      </c>
      <c r="AA2237">
        <v>0.99675340000000001</v>
      </c>
      <c r="AB2237">
        <v>26</v>
      </c>
      <c r="AC2237">
        <v>-10.3066</v>
      </c>
      <c r="AD2237">
        <v>-1.1104137394539999</v>
      </c>
      <c r="AE2237">
        <v>-0.891000000000019</v>
      </c>
      <c r="AF2237">
        <v>-0.84766535207982796</v>
      </c>
      <c r="AG2237">
        <v>-1.1104137394539999</v>
      </c>
      <c r="AH2237">
        <v>10.1920205830468</v>
      </c>
      <c r="AI2237">
        <v>96.196584866895705</v>
      </c>
      <c r="AJ2237">
        <v>94.754319880587104</v>
      </c>
      <c r="AK2237">
        <v>10.287314459427</v>
      </c>
      <c r="AL2237">
        <v>89.207516850851107</v>
      </c>
      <c r="AM2237">
        <v>91.455476101380199</v>
      </c>
      <c r="AN2237">
        <v>1.00000005705478</v>
      </c>
    </row>
    <row r="2238" spans="1:40" x14ac:dyDescent="0.3">
      <c r="A2238" t="str">
        <f>"20200111160450619"</f>
        <v>20200111160450619</v>
      </c>
      <c r="B2238" t="str">
        <f>"1578729890613157"</f>
        <v>1578729890613157</v>
      </c>
      <c r="C2238" t="s">
        <v>40</v>
      </c>
      <c r="D2238">
        <v>5.0301839999999904</v>
      </c>
      <c r="E2238">
        <v>0.48579139999999998</v>
      </c>
      <c r="F2238" t="s">
        <v>57</v>
      </c>
      <c r="G2238">
        <v>-467.20960000000002</v>
      </c>
      <c r="H2238" s="1">
        <v>2.3312689999999998E-6</v>
      </c>
      <c r="I2238">
        <v>283.89659999999998</v>
      </c>
      <c r="J2238">
        <v>-457.03410000000002</v>
      </c>
      <c r="K2238">
        <v>1.110417</v>
      </c>
      <c r="L2238">
        <v>284.678</v>
      </c>
      <c r="M2238">
        <v>-0.99989749999999999</v>
      </c>
      <c r="N2238">
        <v>0</v>
      </c>
      <c r="O2238">
        <v>-3.1794800000000002E-3</v>
      </c>
      <c r="P2238">
        <v>-0.99957589999999996</v>
      </c>
      <c r="Q2238">
        <v>-1.3338359999999999E-3</v>
      </c>
      <c r="R2238">
        <v>-2.9093819999999999E-2</v>
      </c>
      <c r="S2238">
        <v>-2.99472</v>
      </c>
      <c r="T2238">
        <v>-0.31826549999999998</v>
      </c>
      <c r="U2238">
        <v>-0.2241821</v>
      </c>
      <c r="V2238">
        <v>-2.5912870000000001E-2</v>
      </c>
      <c r="W2238">
        <v>1.262948E-2</v>
      </c>
      <c r="X2238">
        <v>0.99958440000000004</v>
      </c>
      <c r="Y2238">
        <v>-7.1098629999999996E-2</v>
      </c>
      <c r="Z2238">
        <v>-3.4256870000000002E-3</v>
      </c>
      <c r="AA2238">
        <v>0.9974634</v>
      </c>
      <c r="AB2238">
        <v>26</v>
      </c>
      <c r="AC2238">
        <v>-10.1755</v>
      </c>
      <c r="AD2238">
        <v>-1.1104146687309999</v>
      </c>
      <c r="AE2238">
        <v>-0.78140000000001897</v>
      </c>
      <c r="AF2238">
        <v>-0.74027616406502195</v>
      </c>
      <c r="AG2238">
        <v>-1.1104146687309999</v>
      </c>
      <c r="AH2238">
        <v>10.058849187885</v>
      </c>
      <c r="AI2238">
        <v>96.282624343426903</v>
      </c>
      <c r="AJ2238">
        <v>94.209067273311902</v>
      </c>
      <c r="AK2238">
        <v>10.1469934719715</v>
      </c>
      <c r="AL2238">
        <v>89.276364843706901</v>
      </c>
      <c r="AM2238">
        <v>91.484982789114397</v>
      </c>
      <c r="AN2238">
        <v>0.99999997666003304</v>
      </c>
    </row>
    <row r="2239" spans="1:40" x14ac:dyDescent="0.3">
      <c r="A2239" t="str">
        <f>"20200111160450640"</f>
        <v>20200111160450640</v>
      </c>
      <c r="B2239" t="str">
        <f>"1578729890632677"</f>
        <v>1578729890632677</v>
      </c>
      <c r="C2239" t="s">
        <v>40</v>
      </c>
      <c r="D2239">
        <v>5.0158060000000004</v>
      </c>
      <c r="E2239">
        <v>0.48647760000000001</v>
      </c>
      <c r="F2239" t="s">
        <v>57</v>
      </c>
      <c r="G2239">
        <v>-467.2894</v>
      </c>
      <c r="H2239" s="1">
        <v>2.3716450000000001E-6</v>
      </c>
      <c r="I2239">
        <v>283.94409999999999</v>
      </c>
      <c r="J2239">
        <v>-457.28620000000001</v>
      </c>
      <c r="K2239">
        <v>1.1104210000000001</v>
      </c>
      <c r="L2239">
        <v>284.67720000000003</v>
      </c>
      <c r="M2239">
        <v>-0.9998977</v>
      </c>
      <c r="N2239">
        <v>0</v>
      </c>
      <c r="O2239">
        <v>-3.1246770000000002E-3</v>
      </c>
      <c r="P2239">
        <v>-0.99955139999999998</v>
      </c>
      <c r="Q2239">
        <v>-2.5296770000000001E-3</v>
      </c>
      <c r="R2239">
        <v>-2.9846109999999999E-2</v>
      </c>
      <c r="S2239">
        <v>-2.9945979999999999</v>
      </c>
      <c r="T2239">
        <v>-0.32424740000000002</v>
      </c>
      <c r="U2239">
        <v>-0.2142944</v>
      </c>
      <c r="V2239">
        <v>-2.6720669999999998E-2</v>
      </c>
      <c r="W2239">
        <v>1.1430320000000001E-2</v>
      </c>
      <c r="X2239">
        <v>0.99957759999999996</v>
      </c>
      <c r="Y2239">
        <v>-6.7883890000000002E-2</v>
      </c>
      <c r="Z2239">
        <v>-3.3228559999999999E-3</v>
      </c>
      <c r="AA2239">
        <v>0.99768769999999996</v>
      </c>
      <c r="AB2239">
        <v>26</v>
      </c>
      <c r="AC2239">
        <v>-10.0031999999999</v>
      </c>
      <c r="AD2239">
        <v>-1.1104186283549999</v>
      </c>
      <c r="AE2239">
        <v>-0.73310000000003495</v>
      </c>
      <c r="AF2239">
        <v>-0.69333864658694899</v>
      </c>
      <c r="AG2239">
        <v>-1.1104186283549999</v>
      </c>
      <c r="AH2239">
        <v>9.8842944485986504</v>
      </c>
      <c r="AI2239">
        <v>96.394249888041102</v>
      </c>
      <c r="AJ2239">
        <v>94.012467994750594</v>
      </c>
      <c r="AK2239">
        <v>9.9706080434267808</v>
      </c>
      <c r="AL2239">
        <v>89.345076651925396</v>
      </c>
      <c r="AM2239">
        <v>91.531263900229604</v>
      </c>
      <c r="AN2239">
        <v>1.0000000124211501</v>
      </c>
    </row>
    <row r="2240" spans="1:40" x14ac:dyDescent="0.3">
      <c r="A2240" t="str">
        <f>"20200111160450661"</f>
        <v>20200111160450661</v>
      </c>
      <c r="B2240" t="str">
        <f>"1578729890653174"</f>
        <v>1578729890653174</v>
      </c>
      <c r="C2240" t="s">
        <v>40</v>
      </c>
      <c r="D2240">
        <v>5.0529630000000001</v>
      </c>
      <c r="E2240">
        <v>0.48715589999999998</v>
      </c>
      <c r="F2240" t="s">
        <v>57</v>
      </c>
      <c r="G2240">
        <v>-467.43220000000002</v>
      </c>
      <c r="H2240" s="1">
        <v>2.446754E-6</v>
      </c>
      <c r="I2240">
        <v>283.96390000000002</v>
      </c>
      <c r="J2240">
        <v>-457.54500000000002</v>
      </c>
      <c r="K2240">
        <v>1.110441</v>
      </c>
      <c r="L2240">
        <v>284.6764</v>
      </c>
      <c r="M2240">
        <v>-0.99989799999999995</v>
      </c>
      <c r="N2240">
        <v>0</v>
      </c>
      <c r="O2240">
        <v>-3.0864070000000002E-3</v>
      </c>
      <c r="P2240">
        <v>-0.99950919999999999</v>
      </c>
      <c r="Q2240">
        <v>-3.510254E-3</v>
      </c>
      <c r="R2240">
        <v>-3.1133689999999999E-2</v>
      </c>
      <c r="S2240">
        <v>-2.9942319999999998</v>
      </c>
      <c r="T2240">
        <v>-0.32770199999999999</v>
      </c>
      <c r="U2240">
        <v>-0.21051030000000001</v>
      </c>
      <c r="V2240">
        <v>-2.8046939999999999E-2</v>
      </c>
      <c r="W2240">
        <v>1.044523E-2</v>
      </c>
      <c r="X2240">
        <v>0.999552</v>
      </c>
      <c r="Y2240">
        <v>-6.6674890000000001E-2</v>
      </c>
      <c r="Z2240">
        <v>-3.2968960000000001E-3</v>
      </c>
      <c r="AA2240">
        <v>0.99776929999999997</v>
      </c>
      <c r="AB2240">
        <v>26</v>
      </c>
      <c r="AC2240">
        <v>-9.8872</v>
      </c>
      <c r="AD2240">
        <v>-1.1104385532459999</v>
      </c>
      <c r="AE2240">
        <v>-0.71249999999997704</v>
      </c>
      <c r="AF2240">
        <v>-0.67352595248821301</v>
      </c>
      <c r="AG2240">
        <v>-1.1104385532459999</v>
      </c>
      <c r="AH2240">
        <v>9.7667932533952797</v>
      </c>
      <c r="AI2240">
        <v>96.471169749595205</v>
      </c>
      <c r="AJ2240">
        <v>93.944917675834603</v>
      </c>
      <c r="AK2240">
        <v>9.85276415244868</v>
      </c>
      <c r="AL2240">
        <v>89.401521502366506</v>
      </c>
      <c r="AM2240">
        <v>91.607269804058404</v>
      </c>
      <c r="AN2240">
        <v>0.99999996718855699</v>
      </c>
    </row>
    <row r="2241" spans="1:40" x14ac:dyDescent="0.3">
      <c r="A2241" t="str">
        <f>"20200111160450685"</f>
        <v>20200111160450685</v>
      </c>
      <c r="B2241" t="str">
        <f>"1578729890683430"</f>
        <v>1578729890683430</v>
      </c>
      <c r="C2241" t="s">
        <v>40</v>
      </c>
      <c r="D2241">
        <v>5.033703</v>
      </c>
      <c r="E2241">
        <v>0.48796539999999999</v>
      </c>
      <c r="F2241" t="s">
        <v>57</v>
      </c>
      <c r="G2241">
        <v>-467.54629999999997</v>
      </c>
      <c r="H2241" s="1">
        <v>2.5068299999999998E-6</v>
      </c>
      <c r="I2241">
        <v>283.97890000000001</v>
      </c>
      <c r="J2241">
        <v>-457.80689999999998</v>
      </c>
      <c r="K2241">
        <v>1.11046</v>
      </c>
      <c r="L2241">
        <v>284.67570000000001</v>
      </c>
      <c r="M2241">
        <v>-0.99989799999999995</v>
      </c>
      <c r="N2241">
        <v>0</v>
      </c>
      <c r="O2241">
        <v>-3.0662739999999999E-3</v>
      </c>
      <c r="P2241">
        <v>-0.99949410000000005</v>
      </c>
      <c r="Q2241">
        <v>-4.2652929999999999E-3</v>
      </c>
      <c r="R2241">
        <v>-3.1519690000000003E-2</v>
      </c>
      <c r="S2241">
        <v>-2.993805</v>
      </c>
      <c r="T2241">
        <v>-0.33239960000000002</v>
      </c>
      <c r="U2241">
        <v>-0.2088013</v>
      </c>
      <c r="V2241">
        <v>-2.8453719999999998E-2</v>
      </c>
      <c r="W2241">
        <v>9.6861459999999996E-3</v>
      </c>
      <c r="X2241">
        <v>0.9995482</v>
      </c>
      <c r="Y2241">
        <v>-6.6130339999999996E-2</v>
      </c>
      <c r="Z2241">
        <v>-3.3165349999999998E-3</v>
      </c>
      <c r="AA2241">
        <v>0.99780550000000001</v>
      </c>
      <c r="AB2241">
        <v>26</v>
      </c>
      <c r="AC2241">
        <v>-9.7393999999999892</v>
      </c>
      <c r="AD2241">
        <v>-1.11045749317</v>
      </c>
      <c r="AE2241">
        <v>-0.69679999999999598</v>
      </c>
      <c r="AF2241">
        <v>-0.65841442628841196</v>
      </c>
      <c r="AG2241">
        <v>-1.11045749317</v>
      </c>
      <c r="AH2241">
        <v>9.6171064031720004</v>
      </c>
      <c r="AI2241">
        <v>96.571349932075705</v>
      </c>
      <c r="AJ2241">
        <v>93.916520350828193</v>
      </c>
      <c r="AK2241">
        <v>9.7033685373077496</v>
      </c>
      <c r="AL2241">
        <v>89.445016047015699</v>
      </c>
      <c r="AM2241">
        <v>91.630574611803794</v>
      </c>
      <c r="AN2241">
        <v>1.0000000198647001</v>
      </c>
    </row>
    <row r="2242" spans="1:40" x14ac:dyDescent="0.3">
      <c r="A2242" t="str">
        <f>"20200111160450708"</f>
        <v>20200111160450708</v>
      </c>
      <c r="B2242" t="str">
        <f>"1578729890702949"</f>
        <v>1578729890702949</v>
      </c>
      <c r="C2242" t="s">
        <v>40</v>
      </c>
      <c r="D2242">
        <v>4.9943049999999998</v>
      </c>
      <c r="E2242">
        <v>0.48854340000000002</v>
      </c>
      <c r="F2242" t="s">
        <v>57</v>
      </c>
      <c r="G2242">
        <v>-467.73070000000001</v>
      </c>
      <c r="H2242" s="1">
        <v>2.6039580000000001E-6</v>
      </c>
      <c r="I2242">
        <v>284.00139999999999</v>
      </c>
      <c r="J2242">
        <v>-458.07740000000001</v>
      </c>
      <c r="K2242">
        <v>1.1105039999999999</v>
      </c>
      <c r="L2242">
        <v>284.6748</v>
      </c>
      <c r="M2242">
        <v>-0.99989810000000001</v>
      </c>
      <c r="N2242">
        <v>0</v>
      </c>
      <c r="O2242">
        <v>-3.07887E-3</v>
      </c>
      <c r="P2242">
        <v>-0.99948519999999996</v>
      </c>
      <c r="Q2242">
        <v>-2.734939E-3</v>
      </c>
      <c r="R2242">
        <v>-3.1970539999999999E-2</v>
      </c>
      <c r="S2242">
        <v>-2.993652</v>
      </c>
      <c r="T2242">
        <v>-0.33498600000000001</v>
      </c>
      <c r="U2242">
        <v>-0.20339969999999999</v>
      </c>
      <c r="V2242">
        <v>-2.88927E-2</v>
      </c>
      <c r="W2242">
        <v>1.1212420000000001E-2</v>
      </c>
      <c r="X2242">
        <v>0.99951959999999995</v>
      </c>
      <c r="Y2242">
        <v>-6.4334420000000003E-2</v>
      </c>
      <c r="Z2242">
        <v>-3.241098E-3</v>
      </c>
      <c r="AA2242">
        <v>0.99792309999999995</v>
      </c>
      <c r="AB2242">
        <v>26</v>
      </c>
      <c r="AC2242">
        <v>-9.6532999999999998</v>
      </c>
      <c r="AD2242">
        <v>-1.110501396042</v>
      </c>
      <c r="AE2242">
        <v>-0.67340000000001499</v>
      </c>
      <c r="AF2242">
        <v>-0.63530582914998401</v>
      </c>
      <c r="AG2242">
        <v>-1.110501396042</v>
      </c>
      <c r="AH2242">
        <v>9.5298221376548096</v>
      </c>
      <c r="AI2242">
        <v>96.632058310847995</v>
      </c>
      <c r="AJ2242">
        <v>93.813981178519299</v>
      </c>
      <c r="AK2242">
        <v>9.61531782223026</v>
      </c>
      <c r="AL2242">
        <v>89.357562174199998</v>
      </c>
      <c r="AM2242">
        <v>91.655764341686904</v>
      </c>
      <c r="AN2242">
        <v>0.99999996862985197</v>
      </c>
    </row>
    <row r="2243" spans="1:40" x14ac:dyDescent="0.3">
      <c r="A2243" t="str">
        <f>"20200111160450730"</f>
        <v>20200111160450730</v>
      </c>
      <c r="B2243" t="str">
        <f>"1578729890723457"</f>
        <v>1578729890723457</v>
      </c>
      <c r="C2243" t="s">
        <v>40</v>
      </c>
      <c r="D2243">
        <v>5.0430890000000002</v>
      </c>
      <c r="E2243">
        <v>0.4889483</v>
      </c>
      <c r="F2243" t="s">
        <v>57</v>
      </c>
      <c r="G2243">
        <v>-468.1046</v>
      </c>
      <c r="H2243" s="1">
        <v>2.8028660000000002E-6</v>
      </c>
      <c r="I2243">
        <v>284.00400000000002</v>
      </c>
      <c r="J2243">
        <v>-458.33730000000003</v>
      </c>
      <c r="K2243">
        <v>1.110576</v>
      </c>
      <c r="L2243">
        <v>284.6739</v>
      </c>
      <c r="M2243">
        <v>-0.99989790000000001</v>
      </c>
      <c r="N2243">
        <v>0</v>
      </c>
      <c r="O2243">
        <v>-3.1246350000000002E-3</v>
      </c>
      <c r="P2243">
        <v>-0.99940580000000001</v>
      </c>
      <c r="Q2243">
        <v>1.7830750000000001E-3</v>
      </c>
      <c r="R2243">
        <v>-3.4424499999999997E-2</v>
      </c>
      <c r="S2243">
        <v>-2.9942630000000001</v>
      </c>
      <c r="T2243">
        <v>-0.33160869999999998</v>
      </c>
      <c r="U2243">
        <v>-0.20031740000000001</v>
      </c>
      <c r="V2243">
        <v>-3.1301410000000002E-2</v>
      </c>
      <c r="W2243">
        <v>1.5724309999999998E-2</v>
      </c>
      <c r="X2243">
        <v>0.99938629999999995</v>
      </c>
      <c r="Y2243">
        <v>-6.3266849999999999E-2</v>
      </c>
      <c r="Z2243">
        <v>-3.1441640000000001E-3</v>
      </c>
      <c r="AA2243">
        <v>0.99799170000000004</v>
      </c>
      <c r="AB2243">
        <v>26</v>
      </c>
      <c r="AC2243">
        <v>-9.7672999999999703</v>
      </c>
      <c r="AD2243">
        <v>-1.110573197134</v>
      </c>
      <c r="AE2243">
        <v>-0.66989999999998395</v>
      </c>
      <c r="AF2243">
        <v>-0.63125164082018104</v>
      </c>
      <c r="AG2243">
        <v>-1.110573197134</v>
      </c>
      <c r="AH2243">
        <v>9.6452319698941</v>
      </c>
      <c r="AI2243">
        <v>96.554337465253795</v>
      </c>
      <c r="AJ2243">
        <v>93.744497547197696</v>
      </c>
      <c r="AK2243">
        <v>9.7294579095290707</v>
      </c>
      <c r="AL2243">
        <v>89.099026274401993</v>
      </c>
      <c r="AM2243">
        <v>91.793953536363304</v>
      </c>
      <c r="AN2243">
        <v>1.0000000044103201</v>
      </c>
    </row>
    <row r="2244" spans="1:40" x14ac:dyDescent="0.3">
      <c r="A2244" t="str">
        <f>"20200111160450762"</f>
        <v>20200111160450762</v>
      </c>
      <c r="B2244" t="str">
        <f>"1578729890752725"</f>
        <v>1578729890752725</v>
      </c>
      <c r="C2244" t="s">
        <v>40</v>
      </c>
      <c r="D2244">
        <v>5.0546829999999998</v>
      </c>
      <c r="E2244">
        <v>0.4892224</v>
      </c>
      <c r="F2244" t="s">
        <v>57</v>
      </c>
      <c r="G2244">
        <v>-468.75369999999998</v>
      </c>
      <c r="H2244" s="1">
        <v>3.149905E-6</v>
      </c>
      <c r="I2244">
        <v>283.96600000000001</v>
      </c>
      <c r="J2244">
        <v>-458.71559999999999</v>
      </c>
      <c r="K2244">
        <v>1.110673</v>
      </c>
      <c r="L2244">
        <v>284.67250000000001</v>
      </c>
      <c r="M2244">
        <v>-0.99989740000000005</v>
      </c>
      <c r="N2244">
        <v>0</v>
      </c>
      <c r="O2244">
        <v>-3.2779939999999998E-3</v>
      </c>
      <c r="P2244">
        <v>-0.99923379999999995</v>
      </c>
      <c r="Q2244">
        <v>8.4517469999999904E-3</v>
      </c>
      <c r="R2244">
        <v>-3.8215310000000002E-2</v>
      </c>
      <c r="S2244">
        <v>-2.9952999999999999</v>
      </c>
      <c r="T2244">
        <v>-0.31935350000000001</v>
      </c>
      <c r="U2244">
        <v>-0.20355219999999999</v>
      </c>
      <c r="V2244">
        <v>-3.4942309999999997E-2</v>
      </c>
      <c r="W2244">
        <v>2.2382119999999998E-2</v>
      </c>
      <c r="X2244">
        <v>0.99913870000000005</v>
      </c>
      <c r="Y2244">
        <v>-6.4186099999999996E-2</v>
      </c>
      <c r="Z2244">
        <v>-3.0600039999999998E-3</v>
      </c>
      <c r="AA2244">
        <v>0.99793330000000002</v>
      </c>
      <c r="AB2244">
        <v>26</v>
      </c>
      <c r="AC2244">
        <v>-10.038099999999901</v>
      </c>
      <c r="AD2244">
        <v>-1.1106698500950001</v>
      </c>
      <c r="AE2244">
        <v>-0.70650000000000501</v>
      </c>
      <c r="AF2244">
        <v>-0.66548123659665404</v>
      </c>
      <c r="AG2244">
        <v>-1.1106698500950001</v>
      </c>
      <c r="AH2244">
        <v>9.9195219240371095</v>
      </c>
      <c r="AI2244">
        <v>96.374478538437998</v>
      </c>
      <c r="AJ2244">
        <v>93.838109976827198</v>
      </c>
      <c r="AK2244">
        <v>10.0036677270701</v>
      </c>
      <c r="AL2244">
        <v>88.717491933948807</v>
      </c>
      <c r="AM2244">
        <v>92.002956419099903</v>
      </c>
      <c r="AN2244">
        <v>1.0000000330807499</v>
      </c>
    </row>
    <row r="2245" spans="1:40" x14ac:dyDescent="0.3">
      <c r="A2245" t="str">
        <f>"20200111160450785"</f>
        <v>20200111160450785</v>
      </c>
      <c r="B2245" t="str">
        <f>"1578729890782982"</f>
        <v>1578729890782982</v>
      </c>
      <c r="C2245" t="s">
        <v>40</v>
      </c>
      <c r="D2245">
        <v>5.0137660000000004</v>
      </c>
      <c r="E2245">
        <v>0.4896722</v>
      </c>
      <c r="F2245" t="s">
        <v>57</v>
      </c>
      <c r="G2245">
        <v>-469.75360000000001</v>
      </c>
      <c r="H2245" s="1">
        <v>3.685241E-6</v>
      </c>
      <c r="I2245">
        <v>283.89210000000003</v>
      </c>
      <c r="J2245">
        <v>-458.97570000000002</v>
      </c>
      <c r="K2245">
        <v>1.110743</v>
      </c>
      <c r="L2245">
        <v>284.67140000000001</v>
      </c>
      <c r="M2245">
        <v>-0.99989689999999998</v>
      </c>
      <c r="N2245">
        <v>0</v>
      </c>
      <c r="O2245">
        <v>-3.4755329999999998E-3</v>
      </c>
      <c r="P2245">
        <v>-0.99914210000000003</v>
      </c>
      <c r="Q2245">
        <v>1.115647E-2</v>
      </c>
      <c r="R2245">
        <v>-3.9886890000000001E-2</v>
      </c>
      <c r="S2245">
        <v>-2.9967350000000001</v>
      </c>
      <c r="T2245">
        <v>-0.30153909999999901</v>
      </c>
      <c r="U2245">
        <v>-0.2118835</v>
      </c>
      <c r="V2245">
        <v>-3.6420679999999997E-2</v>
      </c>
      <c r="W2245">
        <v>2.507788E-2</v>
      </c>
      <c r="X2245">
        <v>0.99902179999999996</v>
      </c>
      <c r="Y2245">
        <v>-6.6743230000000001E-2</v>
      </c>
      <c r="Z2245">
        <v>-2.9969089999999999E-3</v>
      </c>
      <c r="AA2245">
        <v>0.99776569999999998</v>
      </c>
      <c r="AB2245">
        <v>26</v>
      </c>
      <c r="AC2245">
        <v>-10.777899999999899</v>
      </c>
      <c r="AD2245">
        <v>-1.1107393147589999</v>
      </c>
      <c r="AE2245">
        <v>-0.77929999999997701</v>
      </c>
      <c r="AF2245">
        <v>-0.73407679700643902</v>
      </c>
      <c r="AG2245">
        <v>-1.1107393147589999</v>
      </c>
      <c r="AH2245">
        <v>10.6678323109491</v>
      </c>
      <c r="AI2245">
        <v>95.930318960083099</v>
      </c>
      <c r="AJ2245">
        <v>93.936442147844701</v>
      </c>
      <c r="AK2245">
        <v>10.7505933224071</v>
      </c>
      <c r="AL2245">
        <v>88.562992612254206</v>
      </c>
      <c r="AM2245">
        <v>92.087869865905702</v>
      </c>
      <c r="AN2245">
        <v>0.99999996143609704</v>
      </c>
    </row>
    <row r="2246" spans="1:40" x14ac:dyDescent="0.3">
      <c r="A2246" t="str">
        <f>"20200111160450808"</f>
        <v>20200111160450808</v>
      </c>
      <c r="B2246" t="str">
        <f>"1578729890803477"</f>
        <v>1578729890803477</v>
      </c>
      <c r="C2246" t="s">
        <v>40</v>
      </c>
      <c r="D2246">
        <v>5.0548099999999998</v>
      </c>
      <c r="E2246">
        <v>0.48985519999999999</v>
      </c>
      <c r="F2246" t="s">
        <v>56</v>
      </c>
      <c r="G2246">
        <v>-470.16539999999998</v>
      </c>
      <c r="H2246" s="1">
        <v>6.4759600000000001E-6</v>
      </c>
      <c r="I2246">
        <v>283.87520000000001</v>
      </c>
      <c r="J2246">
        <v>-459.24029999999999</v>
      </c>
      <c r="K2246">
        <v>1.1108199999999999</v>
      </c>
      <c r="L2246">
        <v>284.67020000000002</v>
      </c>
      <c r="M2246">
        <v>-0.9998958</v>
      </c>
      <c r="N2246">
        <v>0</v>
      </c>
      <c r="O2246">
        <v>-3.7747179999999998E-3</v>
      </c>
      <c r="P2246">
        <v>-0.9991063</v>
      </c>
      <c r="Q2246">
        <v>1.2647139999999999E-2</v>
      </c>
      <c r="R2246">
        <v>-4.0336400000000001E-2</v>
      </c>
      <c r="S2246">
        <v>-2.9973749999999999</v>
      </c>
      <c r="T2246">
        <v>-0.2975312</v>
      </c>
      <c r="U2246">
        <v>-0.21328739999999999</v>
      </c>
      <c r="V2246">
        <v>-3.6575530000000002E-2</v>
      </c>
      <c r="W2246">
        <v>2.6559869999999999E-2</v>
      </c>
      <c r="X2246">
        <v>0.99897789999999997</v>
      </c>
      <c r="Y2246">
        <v>-6.6903829999999997E-2</v>
      </c>
      <c r="Z2246">
        <v>-2.9349480000000002E-3</v>
      </c>
      <c r="AA2246">
        <v>0.99775510000000001</v>
      </c>
      <c r="AB2246">
        <v>26</v>
      </c>
      <c r="AC2246">
        <v>-10.925099999999899</v>
      </c>
      <c r="AD2246">
        <v>-1.1108135240399899</v>
      </c>
      <c r="AE2246">
        <v>-0.79500000000001503</v>
      </c>
      <c r="AF2246">
        <v>-0.74607891191991005</v>
      </c>
      <c r="AG2246">
        <v>-1.1108135240399899</v>
      </c>
      <c r="AH2246">
        <v>10.8167896787548</v>
      </c>
      <c r="AI2246">
        <v>95.8495465983885</v>
      </c>
      <c r="AJ2246">
        <v>93.945678708833199</v>
      </c>
      <c r="AK2246">
        <v>10.8992421471595</v>
      </c>
      <c r="AL2246">
        <v>88.478052602787301</v>
      </c>
      <c r="AM2246">
        <v>92.096831025670497</v>
      </c>
      <c r="AN2246">
        <v>1.0000000203888</v>
      </c>
    </row>
    <row r="2247" spans="1:40" x14ac:dyDescent="0.3">
      <c r="A2247" t="str">
        <f>"20200111160450830"</f>
        <v>20200111160450830</v>
      </c>
      <c r="B2247" t="str">
        <f>"1578729890823001"</f>
        <v>1578729890823001</v>
      </c>
      <c r="C2247" t="s">
        <v>40</v>
      </c>
      <c r="D2247">
        <v>5.1359279999999998</v>
      </c>
      <c r="E2247">
        <v>0.44066949999999999</v>
      </c>
      <c r="F2247" t="s">
        <v>56</v>
      </c>
      <c r="G2247">
        <v>-470.50229999999999</v>
      </c>
      <c r="H2247" s="1">
        <v>6.3261619999999999E-6</v>
      </c>
      <c r="I2247">
        <v>283.87060000000002</v>
      </c>
      <c r="J2247">
        <v>-459.49799999999999</v>
      </c>
      <c r="K2247">
        <v>1.1108830000000001</v>
      </c>
      <c r="L2247">
        <v>284.66890000000001</v>
      </c>
      <c r="M2247">
        <v>-0.99989419999999996</v>
      </c>
      <c r="N2247">
        <v>0</v>
      </c>
      <c r="O2247">
        <v>-4.152846E-3</v>
      </c>
      <c r="P2247">
        <v>-0.99909899999999996</v>
      </c>
      <c r="Q2247">
        <v>1.2651310000000001E-2</v>
      </c>
      <c r="R2247">
        <v>-4.0512800000000002E-2</v>
      </c>
      <c r="S2247">
        <v>-2.9978639999999999</v>
      </c>
      <c r="T2247">
        <v>-0.29568929999999999</v>
      </c>
      <c r="U2247">
        <v>-0.2128601</v>
      </c>
      <c r="V2247">
        <v>-3.6378800000000003E-2</v>
      </c>
      <c r="W2247">
        <v>2.6555579999999999E-2</v>
      </c>
      <c r="X2247">
        <v>0.99898520000000002</v>
      </c>
      <c r="Y2247">
        <v>-6.6381759999999998E-2</v>
      </c>
      <c r="Z2247">
        <v>-2.8535959999999999E-3</v>
      </c>
      <c r="AA2247">
        <v>0.99779019999999996</v>
      </c>
      <c r="AB2247">
        <v>26</v>
      </c>
      <c r="AC2247">
        <v>-11.004299999999899</v>
      </c>
      <c r="AD2247">
        <v>-1.110876673838</v>
      </c>
      <c r="AE2247">
        <v>-0.79829999999998302</v>
      </c>
      <c r="AF2247">
        <v>-0.745036762344788</v>
      </c>
      <c r="AG2247">
        <v>-1.110876673838</v>
      </c>
      <c r="AH2247">
        <v>10.8970526680889</v>
      </c>
      <c r="AI2247">
        <v>95.807322692337195</v>
      </c>
      <c r="AJ2247">
        <v>93.911253325805902</v>
      </c>
      <c r="AK2247">
        <v>10.978837990098301</v>
      </c>
      <c r="AL2247">
        <v>88.478298492179505</v>
      </c>
      <c r="AM2247">
        <v>92.085547491815504</v>
      </c>
      <c r="AN2247">
        <v>1.0000000228688</v>
      </c>
    </row>
    <row r="2248" spans="1:40" x14ac:dyDescent="0.3">
      <c r="A2248" t="str">
        <f>"20200111160452025"</f>
        <v>20200111160452025</v>
      </c>
      <c r="B2248" t="str">
        <f>"1578729892023116"</f>
        <v>1578729892023116</v>
      </c>
      <c r="C2248" t="s">
        <v>40</v>
      </c>
      <c r="D2248">
        <v>5.1722440000000001</v>
      </c>
      <c r="E2248">
        <v>0.41944579999999998</v>
      </c>
      <c r="F2248" t="s">
        <v>56</v>
      </c>
      <c r="G2248">
        <v>-479.83440000000002</v>
      </c>
      <c r="H2248" s="1">
        <v>1.898917E-6</v>
      </c>
      <c r="I2248">
        <v>280.56659999999999</v>
      </c>
      <c r="J2248">
        <v>-472.69119999999998</v>
      </c>
      <c r="K2248">
        <v>1.1129439999999999</v>
      </c>
      <c r="L2248">
        <v>283.68520000000001</v>
      </c>
      <c r="M2248">
        <v>-0.98884079999999996</v>
      </c>
      <c r="N2248">
        <v>0</v>
      </c>
      <c r="O2248">
        <v>-0.1483266</v>
      </c>
      <c r="P2248">
        <v>-0.96462709999999996</v>
      </c>
      <c r="Q2248">
        <v>-3.8512610000000003E-2</v>
      </c>
      <c r="R2248">
        <v>-0.26079029999999997</v>
      </c>
      <c r="S2248">
        <v>-2.9803470000000001</v>
      </c>
      <c r="T2248">
        <v>-0.16280169999999999</v>
      </c>
      <c r="U2248">
        <v>-0.60119630000000002</v>
      </c>
      <c r="V2248">
        <v>-0.1146634</v>
      </c>
      <c r="W2248">
        <v>-2.5383300000000001E-2</v>
      </c>
      <c r="X2248">
        <v>0.99308010000000002</v>
      </c>
      <c r="Y2248">
        <v>-5.0275889999999997E-2</v>
      </c>
      <c r="Z2248">
        <v>6.6063010000000002E-3</v>
      </c>
      <c r="AA2248">
        <v>0.99871350000000003</v>
      </c>
      <c r="AB2248">
        <v>24</v>
      </c>
      <c r="AC2248">
        <v>-7.1432000000000304</v>
      </c>
      <c r="AD2248">
        <v>-1.1129421010830001</v>
      </c>
      <c r="AE2248">
        <v>-3.11860000000001</v>
      </c>
      <c r="AF2248">
        <v>-1.98401608352199</v>
      </c>
      <c r="AG2248">
        <v>-1.1129421010830001</v>
      </c>
      <c r="AH2248">
        <v>7.37638983160919</v>
      </c>
      <c r="AI2248">
        <v>98.289703844505595</v>
      </c>
      <c r="AJ2248">
        <v>105.054472851987</v>
      </c>
      <c r="AK2248">
        <v>7.7192024774522201</v>
      </c>
      <c r="AL2248">
        <v>91.454512114801005</v>
      </c>
      <c r="AM2248">
        <v>96.586342122479493</v>
      </c>
      <c r="AN2248">
        <v>1.00000004611722</v>
      </c>
    </row>
    <row r="2249" spans="1:40" x14ac:dyDescent="0.3">
      <c r="A2249" t="str">
        <f>"20200111160452114"</f>
        <v>20200111160452114</v>
      </c>
      <c r="B2249" t="str">
        <f>"1578729892103151"</f>
        <v>1578729892103151</v>
      </c>
      <c r="C2249" t="s">
        <v>40</v>
      </c>
      <c r="D2249">
        <v>6.0162950000000004</v>
      </c>
      <c r="E2249">
        <v>0.41944579999999998</v>
      </c>
      <c r="F2249" t="s">
        <v>56</v>
      </c>
      <c r="G2249">
        <v>-482.6669</v>
      </c>
      <c r="H2249" s="1">
        <v>1.8697930000000001E-6</v>
      </c>
      <c r="I2249">
        <v>278.56420000000003</v>
      </c>
      <c r="J2249">
        <v>-473.62759999999997</v>
      </c>
      <c r="K2249">
        <v>1.1131169999999999</v>
      </c>
      <c r="L2249">
        <v>283.52109999999999</v>
      </c>
      <c r="M2249">
        <v>-0.98640479999999997</v>
      </c>
      <c r="N2249">
        <v>0</v>
      </c>
      <c r="O2249">
        <v>-0.16374469999999999</v>
      </c>
      <c r="P2249">
        <v>-0.95602549999999997</v>
      </c>
      <c r="Q2249">
        <v>-2.7787050000000001E-2</v>
      </c>
      <c r="R2249">
        <v>-0.29196499999999997</v>
      </c>
      <c r="S2249">
        <v>-2.7203979999999999</v>
      </c>
      <c r="T2249">
        <v>-0.30350169999999999</v>
      </c>
      <c r="U2249">
        <v>-1.3964840000000001</v>
      </c>
      <c r="V2249">
        <v>-0.13137399999999999</v>
      </c>
      <c r="W2249">
        <v>-1.481967E-2</v>
      </c>
      <c r="X2249">
        <v>0.99122209999999999</v>
      </c>
      <c r="Y2249">
        <v>-0.30414849999999999</v>
      </c>
      <c r="Z2249">
        <v>9.9997869999999991E-4</v>
      </c>
      <c r="AA2249">
        <v>0.95262409999999997</v>
      </c>
      <c r="AB2249">
        <v>24</v>
      </c>
      <c r="AC2249">
        <v>-9.0393000000000203</v>
      </c>
      <c r="AD2249">
        <v>-1.1131151302069999</v>
      </c>
      <c r="AE2249">
        <v>-4.9568999999999601</v>
      </c>
      <c r="AF2249">
        <v>-3.3704092361513101</v>
      </c>
      <c r="AG2249">
        <v>-1.1131151302069999</v>
      </c>
      <c r="AH2249">
        <v>9.6168998844648605</v>
      </c>
      <c r="AI2249">
        <v>96.233798047942201</v>
      </c>
      <c r="AJ2249">
        <v>109.313896729748</v>
      </c>
      <c r="AK2249">
        <v>10.251021758832101</v>
      </c>
      <c r="AL2249">
        <v>90.849135627416899</v>
      </c>
      <c r="AM2249">
        <v>97.549831656666996</v>
      </c>
      <c r="AN2249">
        <v>1.0000000010116501</v>
      </c>
    </row>
    <row r="2250" spans="1:40" x14ac:dyDescent="0.3">
      <c r="A2250" t="str">
        <f>"20200111160452159"</f>
        <v>20200111160452159</v>
      </c>
      <c r="B2250" t="str">
        <f>"1578729892152924"</f>
        <v>1578729892152924</v>
      </c>
      <c r="C2250" t="s">
        <v>40</v>
      </c>
      <c r="D2250">
        <v>5.4255509999999996</v>
      </c>
      <c r="E2250">
        <v>0.39570899999999998</v>
      </c>
      <c r="F2250" t="s">
        <v>56</v>
      </c>
      <c r="G2250">
        <v>-484.41719999999998</v>
      </c>
      <c r="H2250" s="1">
        <v>1.818652E-6</v>
      </c>
      <c r="I2250">
        <v>277.54129999999998</v>
      </c>
      <c r="J2250">
        <v>-474.09660000000002</v>
      </c>
      <c r="K2250">
        <v>1.1131500000000001</v>
      </c>
      <c r="L2250">
        <v>283.43299999999999</v>
      </c>
      <c r="M2250">
        <v>-0.98505980000000004</v>
      </c>
      <c r="N2250">
        <v>0</v>
      </c>
      <c r="O2250">
        <v>-0.17165069999999999</v>
      </c>
      <c r="P2250">
        <v>-0.95201979999999997</v>
      </c>
      <c r="Q2250">
        <v>-2.3100200000000001E-2</v>
      </c>
      <c r="R2250">
        <v>-0.30516399999999999</v>
      </c>
      <c r="S2250">
        <v>-2.6769099999999999</v>
      </c>
      <c r="T2250">
        <v>-0.27616499999999999</v>
      </c>
      <c r="U2250">
        <v>-1.483582</v>
      </c>
      <c r="V2250">
        <v>-0.1371424</v>
      </c>
      <c r="W2250">
        <v>-1.0179769999999999E-2</v>
      </c>
      <c r="X2250">
        <v>0.99049900000000002</v>
      </c>
      <c r="Y2250">
        <v>-0.32677919999999999</v>
      </c>
      <c r="Z2250">
        <v>5.5475160000000002E-4</v>
      </c>
      <c r="AA2250">
        <v>0.94510050000000001</v>
      </c>
      <c r="AB2250">
        <v>24</v>
      </c>
      <c r="AC2250">
        <v>-10.320599999999899</v>
      </c>
      <c r="AD2250">
        <v>-1.113148181348</v>
      </c>
      <c r="AE2250">
        <v>-5.8917000000000099</v>
      </c>
      <c r="AF2250">
        <v>-3.9974552909662799</v>
      </c>
      <c r="AG2250">
        <v>-1.113148181348</v>
      </c>
      <c r="AH2250">
        <v>11.081574986089599</v>
      </c>
      <c r="AI2250">
        <v>95.397878797592696</v>
      </c>
      <c r="AJ2250">
        <v>109.835889195649</v>
      </c>
      <c r="AK2250">
        <v>11.8330068811456</v>
      </c>
      <c r="AL2250">
        <v>90.583267950571695</v>
      </c>
      <c r="AM2250">
        <v>97.882934117370695</v>
      </c>
      <c r="AN2250">
        <v>0.999999967298005</v>
      </c>
    </row>
    <row r="2251" spans="1:40" x14ac:dyDescent="0.3">
      <c r="A2251" t="str">
        <f>"20200111160452227"</f>
        <v>20200111160452227</v>
      </c>
      <c r="B2251" t="str">
        <f>"1578729892223198"</f>
        <v>1578729892223198</v>
      </c>
      <c r="C2251" t="s">
        <v>40</v>
      </c>
      <c r="D2251">
        <v>5.7002169999999897</v>
      </c>
      <c r="E2251">
        <v>0.39795760000000002</v>
      </c>
      <c r="F2251" t="s">
        <v>62</v>
      </c>
      <c r="G2251">
        <v>-512.82569999999998</v>
      </c>
      <c r="H2251">
        <v>1.660741</v>
      </c>
      <c r="I2251">
        <v>257.96730000000002</v>
      </c>
      <c r="J2251">
        <v>-474.78660000000002</v>
      </c>
      <c r="K2251">
        <v>1.1131679999999999</v>
      </c>
      <c r="L2251">
        <v>283.2962</v>
      </c>
      <c r="M2251">
        <v>-0.98296450000000002</v>
      </c>
      <c r="N2251">
        <v>0</v>
      </c>
      <c r="O2251">
        <v>-0.18326909999999999</v>
      </c>
      <c r="P2251">
        <v>-0.94788709999999998</v>
      </c>
      <c r="Q2251">
        <v>-1.5019680000000001E-2</v>
      </c>
      <c r="R2251">
        <v>-0.31825310000000001</v>
      </c>
      <c r="S2251">
        <v>-2.6033629999999999</v>
      </c>
      <c r="T2251">
        <v>3.6813859999999997E-2</v>
      </c>
      <c r="U2251">
        <v>-1.71179199999999</v>
      </c>
      <c r="V2251">
        <v>-0.13911560000000001</v>
      </c>
      <c r="W2251">
        <v>-2.109624E-3</v>
      </c>
      <c r="X2251">
        <v>0.99027390000000004</v>
      </c>
      <c r="Y2251">
        <v>-0.38693680000000003</v>
      </c>
      <c r="Z2251">
        <v>1.7263829999999999E-4</v>
      </c>
      <c r="AA2251">
        <v>0.92210619999999999</v>
      </c>
      <c r="AB2251">
        <v>24</v>
      </c>
      <c r="AC2251">
        <v>-38.039099999999898</v>
      </c>
      <c r="AD2251">
        <v>0.54757299999999998</v>
      </c>
      <c r="AE2251">
        <v>-25.328899999999901</v>
      </c>
      <c r="AF2251">
        <v>-17.925176662582899</v>
      </c>
      <c r="AG2251">
        <v>0.54757299999999998</v>
      </c>
      <c r="AH2251">
        <v>42.031117072550302</v>
      </c>
      <c r="AI2251">
        <v>89.313427759484298</v>
      </c>
      <c r="AJ2251">
        <v>113.096985055175</v>
      </c>
      <c r="AK2251">
        <v>45.697118037591402</v>
      </c>
      <c r="AL2251">
        <v>90.1208726413563</v>
      </c>
      <c r="AM2251">
        <v>97.996690994118097</v>
      </c>
      <c r="AN2251">
        <v>0.99999999884899504</v>
      </c>
    </row>
    <row r="2252" spans="1:40" x14ac:dyDescent="0.3">
      <c r="A2252" t="str">
        <f>"20200111160452248"</f>
        <v>20200111160452248</v>
      </c>
      <c r="B2252" t="str">
        <f>"1578729892243692"</f>
        <v>1578729892243692</v>
      </c>
      <c r="C2252" t="s">
        <v>40</v>
      </c>
      <c r="D2252">
        <v>5.1422730000000003</v>
      </c>
      <c r="E2252">
        <v>0.40168720000000002</v>
      </c>
      <c r="F2252" t="s">
        <v>62</v>
      </c>
      <c r="G2252">
        <v>-512.82579999999996</v>
      </c>
      <c r="H2252">
        <v>1.8819600000000001</v>
      </c>
      <c r="I2252">
        <v>257.8374</v>
      </c>
      <c r="J2252">
        <v>-475.01819999999998</v>
      </c>
      <c r="K2252">
        <v>1.1131759999999999</v>
      </c>
      <c r="L2252">
        <v>283.24829999999997</v>
      </c>
      <c r="M2252">
        <v>-0.98222560000000003</v>
      </c>
      <c r="N2252">
        <v>0</v>
      </c>
      <c r="O2252">
        <v>-0.1871891</v>
      </c>
      <c r="P2252">
        <v>-0.94686440000000005</v>
      </c>
      <c r="Q2252">
        <v>-1.289379E-2</v>
      </c>
      <c r="R2252">
        <v>-0.32137569999999999</v>
      </c>
      <c r="S2252">
        <v>-2.5849000000000002</v>
      </c>
      <c r="T2252">
        <v>5.2247170000000002E-2</v>
      </c>
      <c r="U2252">
        <v>-1.730011</v>
      </c>
      <c r="V2252">
        <v>-0.1384369</v>
      </c>
      <c r="W2252" s="1">
        <v>2.0225300000000001E-5</v>
      </c>
      <c r="X2252">
        <v>0.99037120000000001</v>
      </c>
      <c r="Y2252">
        <v>-0.39076070000000002</v>
      </c>
      <c r="Z2252">
        <v>2.1271969999999999E-4</v>
      </c>
      <c r="AA2252">
        <v>0.92049230000000004</v>
      </c>
      <c r="AB2252">
        <v>24</v>
      </c>
      <c r="AC2252">
        <v>-37.807599999999901</v>
      </c>
      <c r="AD2252">
        <v>0.76878399999999902</v>
      </c>
      <c r="AE2252">
        <v>-25.410899999999899</v>
      </c>
      <c r="AF2252">
        <v>-17.8787006168563</v>
      </c>
      <c r="AG2252">
        <v>0.76878399999999902</v>
      </c>
      <c r="AH2252">
        <v>41.884352304367702</v>
      </c>
      <c r="AI2252">
        <v>89.032865441557405</v>
      </c>
      <c r="AJ2252">
        <v>113.115634918767</v>
      </c>
      <c r="AK2252">
        <v>45.547095764079501</v>
      </c>
      <c r="AL2252">
        <v>89.998841175606501</v>
      </c>
      <c r="AM2252">
        <v>97.957406918561404</v>
      </c>
      <c r="AN2252">
        <v>0.99999994474005405</v>
      </c>
    </row>
    <row r="2253" spans="1:40" x14ac:dyDescent="0.3">
      <c r="A2253" t="str">
        <f>"20200111160452271"</f>
        <v>20200111160452271</v>
      </c>
      <c r="B2253" t="str">
        <f>"1578729892263215"</f>
        <v>1578729892263215</v>
      </c>
      <c r="C2253" t="s">
        <v>40</v>
      </c>
      <c r="D2253">
        <v>5.224043</v>
      </c>
      <c r="E2253">
        <v>0.4035397</v>
      </c>
      <c r="F2253" t="s">
        <v>62</v>
      </c>
      <c r="G2253">
        <v>-512.82550000000003</v>
      </c>
      <c r="H2253">
        <v>1.0029110000000001</v>
      </c>
      <c r="I2253">
        <v>258.30079999999998</v>
      </c>
      <c r="J2253">
        <v>-475.24430000000001</v>
      </c>
      <c r="K2253">
        <v>1.113186</v>
      </c>
      <c r="L2253">
        <v>283.20060000000001</v>
      </c>
      <c r="M2253">
        <v>-0.98148440000000003</v>
      </c>
      <c r="N2253">
        <v>0</v>
      </c>
      <c r="O2253">
        <v>-0.19103709999999999</v>
      </c>
      <c r="P2253">
        <v>-0.9461851</v>
      </c>
      <c r="Q2253">
        <v>-1.2408789999999999E-2</v>
      </c>
      <c r="R2253">
        <v>-0.32338830000000002</v>
      </c>
      <c r="S2253">
        <v>-2.5885009999999999</v>
      </c>
      <c r="T2253">
        <v>-7.5441600000000003E-3</v>
      </c>
      <c r="U2253">
        <v>-1.7080379999999999</v>
      </c>
      <c r="V2253">
        <v>-0.1366629</v>
      </c>
      <c r="W2253">
        <v>5.1576289999999999E-4</v>
      </c>
      <c r="X2253">
        <v>0.99061750000000004</v>
      </c>
      <c r="Y2253">
        <v>-0.38114530000000002</v>
      </c>
      <c r="Z2253" s="1">
        <v>-8.1339089999999998E-6</v>
      </c>
      <c r="AA2253">
        <v>0.92451510000000003</v>
      </c>
      <c r="AB2253">
        <v>24</v>
      </c>
      <c r="AC2253">
        <v>-37.581200000000003</v>
      </c>
      <c r="AD2253">
        <v>-0.110274999999999</v>
      </c>
      <c r="AE2253">
        <v>-24.899799999999999</v>
      </c>
      <c r="AF2253">
        <v>-17.260926006769498</v>
      </c>
      <c r="AG2253">
        <v>-0.110274999999999</v>
      </c>
      <c r="AH2253">
        <v>41.645921120031197</v>
      </c>
      <c r="AI2253">
        <v>90.140153045723494</v>
      </c>
      <c r="AJ2253">
        <v>112.512470769426</v>
      </c>
      <c r="AK2253">
        <v>45.081420486966202</v>
      </c>
      <c r="AL2253">
        <v>89.970448961963498</v>
      </c>
      <c r="AM2253">
        <v>97.854789216514504</v>
      </c>
      <c r="AN2253">
        <v>1.0000000227770101</v>
      </c>
    </row>
    <row r="2254" spans="1:40" x14ac:dyDescent="0.3">
      <c r="A2254" t="str">
        <f>"20200111160452293"</f>
        <v>20200111160452293</v>
      </c>
      <c r="B2254" t="str">
        <f>"1578729892282735"</f>
        <v>1578729892282735</v>
      </c>
      <c r="C2254" t="s">
        <v>40</v>
      </c>
      <c r="D2254">
        <v>5.0932829999999996</v>
      </c>
      <c r="E2254">
        <v>0.4040897</v>
      </c>
      <c r="F2254" t="s">
        <v>62</v>
      </c>
      <c r="G2254">
        <v>-512.82529999999997</v>
      </c>
      <c r="H2254">
        <v>0.269868099999999</v>
      </c>
      <c r="I2254">
        <v>258.56310000000002</v>
      </c>
      <c r="J2254">
        <v>-475.47300000000001</v>
      </c>
      <c r="K2254">
        <v>1.1132040000000001</v>
      </c>
      <c r="L2254">
        <v>283.15140000000002</v>
      </c>
      <c r="M2254">
        <v>-0.98070869999999999</v>
      </c>
      <c r="N2254">
        <v>0</v>
      </c>
      <c r="O2254">
        <v>-0.19497970000000001</v>
      </c>
      <c r="P2254">
        <v>-0.94536319999999996</v>
      </c>
      <c r="Q2254">
        <v>-1.306804E-2</v>
      </c>
      <c r="R2254">
        <v>-0.32575680000000001</v>
      </c>
      <c r="S2254">
        <v>-2.5895999999999999</v>
      </c>
      <c r="T2254">
        <v>-5.8105230000000001E-2</v>
      </c>
      <c r="U2254">
        <v>-1.6976929999999999</v>
      </c>
      <c r="V2254">
        <v>-0.13516059999999999</v>
      </c>
      <c r="W2254">
        <v>-1.3894379999999999E-4</v>
      </c>
      <c r="X2254">
        <v>0.99082369999999997</v>
      </c>
      <c r="Y2254">
        <v>-0.37463150000000001</v>
      </c>
      <c r="Z2254" s="1">
        <v>8.1358709999999998E-5</v>
      </c>
      <c r="AA2254">
        <v>0.92717380000000005</v>
      </c>
      <c r="AB2254">
        <v>24</v>
      </c>
      <c r="AC2254">
        <v>-37.3522999999999</v>
      </c>
      <c r="AD2254">
        <v>-0.84333590000000003</v>
      </c>
      <c r="AE2254">
        <v>-24.5883</v>
      </c>
      <c r="AF2254">
        <v>-16.8266626055544</v>
      </c>
      <c r="AG2254">
        <v>-0.84333590000000003</v>
      </c>
      <c r="AH2254">
        <v>41.415221420677298</v>
      </c>
      <c r="AI2254">
        <v>91.080774659779493</v>
      </c>
      <c r="AJ2254">
        <v>112.111501332481</v>
      </c>
      <c r="AK2254">
        <v>44.710942231238199</v>
      </c>
      <c r="AL2254">
        <v>90.007960893309004</v>
      </c>
      <c r="AM2254">
        <v>97.767906737885397</v>
      </c>
      <c r="AN2254">
        <v>1.00000000578971</v>
      </c>
    </row>
    <row r="2255" spans="1:40" x14ac:dyDescent="0.3">
      <c r="A2255" t="str">
        <f>"20200111160452315"</f>
        <v>20200111160452315</v>
      </c>
      <c r="B2255" t="str">
        <f>"1578729892312988"</f>
        <v>1578729892312988</v>
      </c>
      <c r="C2255" t="s">
        <v>40</v>
      </c>
      <c r="D2255">
        <v>5.155367</v>
      </c>
      <c r="E2255">
        <v>0.40482449999999998</v>
      </c>
      <c r="F2255" t="s">
        <v>44</v>
      </c>
      <c r="G2255">
        <v>-508.91219999999998</v>
      </c>
      <c r="H2255">
        <v>-0.05</v>
      </c>
      <c r="I2255">
        <v>261.18700000000001</v>
      </c>
      <c r="J2255">
        <v>-475.70069999999998</v>
      </c>
      <c r="K2255">
        <v>1.113246</v>
      </c>
      <c r="L2255">
        <v>283.10129999999998</v>
      </c>
      <c r="M2255">
        <v>-0.97990390000000005</v>
      </c>
      <c r="N2255">
        <v>0</v>
      </c>
      <c r="O2255">
        <v>-0.1989851</v>
      </c>
      <c r="P2255">
        <v>-0.94462219999999997</v>
      </c>
      <c r="Q2255">
        <v>-1.363904E-2</v>
      </c>
      <c r="R2255">
        <v>-0.32787699999999997</v>
      </c>
      <c r="S2255">
        <v>-2.5867</v>
      </c>
      <c r="T2255">
        <v>-8.9980009999999999E-2</v>
      </c>
      <c r="U2255">
        <v>-1.699066</v>
      </c>
      <c r="V2255">
        <v>-0.1333329</v>
      </c>
      <c r="W2255">
        <v>-7.0814149999999998E-4</v>
      </c>
      <c r="X2255">
        <v>0.99107100000000004</v>
      </c>
      <c r="Y2255">
        <v>-0.37162119999999998</v>
      </c>
      <c r="Z2255">
        <v>2.9497829999999999E-4</v>
      </c>
      <c r="AA2255">
        <v>0.9283844</v>
      </c>
      <c r="AB2255">
        <v>24</v>
      </c>
      <c r="AC2255">
        <v>-33.211500000000001</v>
      </c>
      <c r="AD2255">
        <v>-1.163246</v>
      </c>
      <c r="AE2255">
        <v>-21.914299999999901</v>
      </c>
      <c r="AF2255">
        <v>-14.854055902169501</v>
      </c>
      <c r="AG2255">
        <v>-1.163246</v>
      </c>
      <c r="AH2255">
        <v>36.876747185500001</v>
      </c>
      <c r="AI2255">
        <v>91.675976452106795</v>
      </c>
      <c r="AJ2255">
        <v>111.939712510188</v>
      </c>
      <c r="AK2255">
        <v>39.772988333598697</v>
      </c>
      <c r="AL2255">
        <v>90.040573524855802</v>
      </c>
      <c r="AM2255">
        <v>97.662232962766197</v>
      </c>
      <c r="AN2255">
        <v>0.99999994536389503</v>
      </c>
    </row>
    <row r="2256" spans="1:40" x14ac:dyDescent="0.3">
      <c r="A2256" t="str">
        <f>"20200111160452329"</f>
        <v>20200111160452329</v>
      </c>
      <c r="B2256" t="str">
        <f>"1578729892323728"</f>
        <v>1578729892323728</v>
      </c>
      <c r="C2256" t="s">
        <v>40</v>
      </c>
      <c r="D2256">
        <v>5.1656199999999997</v>
      </c>
      <c r="E2256">
        <v>0.40532820000000003</v>
      </c>
      <c r="F2256" t="s">
        <v>41</v>
      </c>
      <c r="G2256">
        <v>-498.4837</v>
      </c>
      <c r="H2256" s="1">
        <v>-5.297112E-6</v>
      </c>
      <c r="I2256">
        <v>268.13049999999998</v>
      </c>
      <c r="J2256">
        <v>-475.84530000000001</v>
      </c>
      <c r="K2256">
        <v>1.1132879999999901</v>
      </c>
      <c r="L2256">
        <v>283.06900000000002</v>
      </c>
      <c r="M2256">
        <v>-0.97937180000000001</v>
      </c>
      <c r="N2256">
        <v>0</v>
      </c>
      <c r="O2256">
        <v>-0.20158860000000001</v>
      </c>
      <c r="P2256">
        <v>-0.94399719999999998</v>
      </c>
      <c r="Q2256">
        <v>-1.412396E-2</v>
      </c>
      <c r="R2256">
        <v>-0.32965179999999999</v>
      </c>
      <c r="S2256">
        <v>-2.5845639999999999</v>
      </c>
      <c r="T2256">
        <v>-0.12629009999999999</v>
      </c>
      <c r="U2256">
        <v>-1.698334</v>
      </c>
      <c r="V2256">
        <v>-0.1325606</v>
      </c>
      <c r="W2256">
        <v>-1.19838E-3</v>
      </c>
      <c r="X2256">
        <v>0.99117420000000001</v>
      </c>
      <c r="Y2256">
        <v>-0.36925550000000001</v>
      </c>
      <c r="Z2256">
        <v>5.7748330000000005E-4</v>
      </c>
      <c r="AA2256">
        <v>0.92932769999999998</v>
      </c>
      <c r="AB2256">
        <v>24</v>
      </c>
      <c r="AC2256">
        <v>-22.638399999999901</v>
      </c>
      <c r="AD2256">
        <v>-1.11329329711199</v>
      </c>
      <c r="AE2256">
        <v>-14.938499999999999</v>
      </c>
      <c r="AF2256">
        <v>-10.0507400805794</v>
      </c>
      <c r="AG2256">
        <v>-1.11329329711199</v>
      </c>
      <c r="AH2256">
        <v>25.1429108725902</v>
      </c>
      <c r="AI2256">
        <v>92.354406188827994</v>
      </c>
      <c r="AJ2256">
        <v>111.788787984736</v>
      </c>
      <c r="AK2256">
        <v>27.100235520743599</v>
      </c>
      <c r="AL2256">
        <v>90.068662131192795</v>
      </c>
      <c r="AM2256">
        <v>97.617590099708295</v>
      </c>
      <c r="AN2256">
        <v>1.0000000217663101</v>
      </c>
    </row>
    <row r="2257" spans="1:40" x14ac:dyDescent="0.3">
      <c r="A2257" t="str">
        <f>"20200111160452345"</f>
        <v>20200111160452345</v>
      </c>
      <c r="B2257" t="str">
        <f>"1578729892333484"</f>
        <v>1578729892333484</v>
      </c>
      <c r="C2257" t="s">
        <v>40</v>
      </c>
      <c r="D2257">
        <v>5.1702059999999896</v>
      </c>
      <c r="E2257">
        <v>0.40564270000000002</v>
      </c>
      <c r="F2257" t="s">
        <v>41</v>
      </c>
      <c r="G2257">
        <v>-496.83420000000001</v>
      </c>
      <c r="H2257" s="1">
        <v>-5.3882990000000003E-6</v>
      </c>
      <c r="I2257">
        <v>269.25819999999999</v>
      </c>
      <c r="J2257">
        <v>-475.9973</v>
      </c>
      <c r="K2257">
        <v>1.113343</v>
      </c>
      <c r="L2257">
        <v>283.03460000000001</v>
      </c>
      <c r="M2257">
        <v>-0.97879309999999997</v>
      </c>
      <c r="N2257">
        <v>0</v>
      </c>
      <c r="O2257">
        <v>-0.20437959999999999</v>
      </c>
      <c r="P2257">
        <v>-0.94335550000000001</v>
      </c>
      <c r="Q2257">
        <v>-1.399895E-2</v>
      </c>
      <c r="R2257">
        <v>-0.33148939999999999</v>
      </c>
      <c r="S2257">
        <v>-2.5825200000000001</v>
      </c>
      <c r="T2257">
        <v>-0.1369821</v>
      </c>
      <c r="U2257">
        <v>-1.6993100000000001</v>
      </c>
      <c r="V2257">
        <v>-0.1316649</v>
      </c>
      <c r="W2257">
        <v>-1.080964E-3</v>
      </c>
      <c r="X2257">
        <v>0.99129370000000006</v>
      </c>
      <c r="Y2257">
        <v>-0.36716870000000001</v>
      </c>
      <c r="Z2257">
        <v>8.0552049999999995E-4</v>
      </c>
      <c r="AA2257">
        <v>0.93015400000000004</v>
      </c>
      <c r="AB2257">
        <v>24</v>
      </c>
      <c r="AC2257">
        <v>-20.8369</v>
      </c>
      <c r="AD2257">
        <v>-1.1133483882990001</v>
      </c>
      <c r="AE2257">
        <v>-13.776400000000001</v>
      </c>
      <c r="AF2257">
        <v>-9.2082059434717802</v>
      </c>
      <c r="AG2257">
        <v>-1.1133483882990001</v>
      </c>
      <c r="AH2257">
        <v>23.166847441401501</v>
      </c>
      <c r="AI2257">
        <v>92.557094697094001</v>
      </c>
      <c r="AJ2257">
        <v>111.676505418174</v>
      </c>
      <c r="AK2257">
        <v>24.954627260375698</v>
      </c>
      <c r="AL2257">
        <v>90.061934686632497</v>
      </c>
      <c r="AM2257">
        <v>97.565815513601905</v>
      </c>
      <c r="AN2257">
        <v>1.00000000701743</v>
      </c>
    </row>
    <row r="2258" spans="1:40" x14ac:dyDescent="0.3">
      <c r="A2258" t="str">
        <f>"20200111160452418"</f>
        <v>20200111160452418</v>
      </c>
      <c r="B2258" t="str">
        <f>"1578729892413516"</f>
        <v>1578729892413516</v>
      </c>
      <c r="C2258" t="s">
        <v>40</v>
      </c>
      <c r="D2258">
        <v>5.4636060000000004</v>
      </c>
      <c r="E2258">
        <v>0.40564270000000002</v>
      </c>
      <c r="F2258" t="s">
        <v>56</v>
      </c>
      <c r="G2258">
        <v>-495.94959999999998</v>
      </c>
      <c r="H2258" s="1">
        <v>9.26461E-8</v>
      </c>
      <c r="I2258">
        <v>269.8784</v>
      </c>
      <c r="J2258">
        <v>-476.74419999999998</v>
      </c>
      <c r="K2258">
        <v>1.1137900000000001</v>
      </c>
      <c r="L2258">
        <v>282.85660000000001</v>
      </c>
      <c r="M2258">
        <v>-0.97550669999999995</v>
      </c>
      <c r="N2258">
        <v>0</v>
      </c>
      <c r="O2258">
        <v>-0.21952830000000001</v>
      </c>
      <c r="P2258">
        <v>-0.93668070000000003</v>
      </c>
      <c r="Q2258">
        <v>-1.4621230000000001E-2</v>
      </c>
      <c r="R2258">
        <v>-0.34987970000000002</v>
      </c>
      <c r="S2258">
        <v>-2.5801699999999999</v>
      </c>
      <c r="T2258">
        <v>-0.1439742</v>
      </c>
      <c r="U2258">
        <v>-1.7013240000000001</v>
      </c>
      <c r="V2258">
        <v>-0.13568529999999901</v>
      </c>
      <c r="W2258">
        <v>-1.861099E-3</v>
      </c>
      <c r="X2258">
        <v>0.99075029999999997</v>
      </c>
      <c r="Y2258">
        <v>-0.35361989999999999</v>
      </c>
      <c r="Z2258">
        <v>1.9226790000000001E-3</v>
      </c>
      <c r="AA2258">
        <v>0.93538730000000003</v>
      </c>
      <c r="AB2258">
        <v>23</v>
      </c>
      <c r="AC2258">
        <v>-19.205400000000001</v>
      </c>
      <c r="AD2258">
        <v>-1.1137899073538999</v>
      </c>
      <c r="AE2258">
        <v>-12.978199999999999</v>
      </c>
      <c r="AF2258">
        <v>-8.4255576972289994</v>
      </c>
      <c r="AG2258">
        <v>-1.1137899073538999</v>
      </c>
      <c r="AH2258">
        <v>21.536447069125298</v>
      </c>
      <c r="AI2258">
        <v>92.757346050131005</v>
      </c>
      <c r="AJ2258">
        <v>111.36659001701101</v>
      </c>
      <c r="AK2258">
        <v>23.1527342408687</v>
      </c>
      <c r="AL2258">
        <v>90.106633173047399</v>
      </c>
      <c r="AM2258">
        <v>97.798262436964805</v>
      </c>
      <c r="AN2258">
        <v>1.0000000606378301</v>
      </c>
    </row>
    <row r="2259" spans="1:40" x14ac:dyDescent="0.3">
      <c r="A2259" t="str">
        <f>"20200111160452431"</f>
        <v>20200111160452431</v>
      </c>
      <c r="B2259" t="str">
        <f>"1578729892422994"</f>
        <v>1578729892422994</v>
      </c>
      <c r="C2259" t="s">
        <v>40</v>
      </c>
      <c r="D2259">
        <v>5.5165930000000003</v>
      </c>
      <c r="E2259">
        <v>0.33240789999999998</v>
      </c>
      <c r="F2259" t="s">
        <v>41</v>
      </c>
      <c r="G2259">
        <v>-496.30939999999998</v>
      </c>
      <c r="H2259" s="1">
        <v>-5.3419249999999997E-6</v>
      </c>
      <c r="I2259">
        <v>269.39550000000003</v>
      </c>
      <c r="J2259">
        <v>-476.88319999999999</v>
      </c>
      <c r="K2259">
        <v>1.113891</v>
      </c>
      <c r="L2259">
        <v>282.82170000000002</v>
      </c>
      <c r="M2259">
        <v>-0.97479919999999998</v>
      </c>
      <c r="N2259">
        <v>0</v>
      </c>
      <c r="O2259">
        <v>-0.22264819999999999</v>
      </c>
      <c r="P2259">
        <v>-0.93511549999999999</v>
      </c>
      <c r="Q2259">
        <v>-1.5422299999999899E-2</v>
      </c>
      <c r="R2259">
        <v>-0.35400740000000003</v>
      </c>
      <c r="S2259">
        <v>-2.5461429999999998</v>
      </c>
      <c r="T2259">
        <v>-0.14494499999999999</v>
      </c>
      <c r="U2259">
        <v>-1.75177</v>
      </c>
      <c r="V2259">
        <v>-0.13688069999999999</v>
      </c>
      <c r="W2259">
        <v>-2.6998679999999998E-3</v>
      </c>
      <c r="X2259">
        <v>0.99058380000000001</v>
      </c>
      <c r="Y2259">
        <v>-0.36897940000000001</v>
      </c>
      <c r="Z2259">
        <v>1.698445E-3</v>
      </c>
      <c r="AA2259">
        <v>0.92943600000000004</v>
      </c>
      <c r="AB2259">
        <v>23</v>
      </c>
      <c r="AC2259">
        <v>-19.426199999999898</v>
      </c>
      <c r="AD2259">
        <v>-1.1138963419250001</v>
      </c>
      <c r="AE2259">
        <v>-13.4261999999999</v>
      </c>
      <c r="AF2259">
        <v>-8.7440362359568002</v>
      </c>
      <c r="AG2259">
        <v>-1.1138963419250001</v>
      </c>
      <c r="AH2259">
        <v>21.879411572824502</v>
      </c>
      <c r="AI2259">
        <v>92.706652060352496</v>
      </c>
      <c r="AJ2259">
        <v>111.78396046390201</v>
      </c>
      <c r="AK2259">
        <v>23.5882934001027</v>
      </c>
      <c r="AL2259">
        <v>90.154691238844705</v>
      </c>
      <c r="AM2259">
        <v>97.867415079136407</v>
      </c>
      <c r="AN2259">
        <v>0.99999994007107196</v>
      </c>
    </row>
    <row r="2260" spans="1:40" x14ac:dyDescent="0.3">
      <c r="A2260" t="str">
        <f>"20200111160452450"</f>
        <v>20200111160452450</v>
      </c>
      <c r="B2260" t="str">
        <f>"1578729892443489"</f>
        <v>1578729892443489</v>
      </c>
      <c r="C2260" t="s">
        <v>40</v>
      </c>
      <c r="D2260">
        <v>5.4910839999999999</v>
      </c>
      <c r="E2260">
        <v>0.33382909999999999</v>
      </c>
      <c r="F2260" t="s">
        <v>42</v>
      </c>
      <c r="G2260">
        <v>-477.57929999999999</v>
      </c>
      <c r="H2260">
        <v>1.0199750000000001</v>
      </c>
      <c r="I2260">
        <v>282.13369999999998</v>
      </c>
      <c r="J2260">
        <v>-477.0607</v>
      </c>
      <c r="K2260">
        <v>1.114012</v>
      </c>
      <c r="L2260">
        <v>282.77640000000002</v>
      </c>
      <c r="M2260">
        <v>-0.97385010000000005</v>
      </c>
      <c r="N2260">
        <v>0</v>
      </c>
      <c r="O2260">
        <v>-0.22676250000000001</v>
      </c>
      <c r="P2260">
        <v>-0.93253620000000004</v>
      </c>
      <c r="Q2260">
        <v>-1.7203139999999999E-2</v>
      </c>
      <c r="R2260">
        <v>-0.36066700000000002</v>
      </c>
      <c r="S2260">
        <v>-2.3308110000000002</v>
      </c>
      <c r="T2260">
        <v>-0.314446</v>
      </c>
      <c r="U2260">
        <v>-2.3039550000000002</v>
      </c>
      <c r="V2260">
        <v>-0.13975199999999999</v>
      </c>
      <c r="W2260">
        <v>-4.5418189999999999E-3</v>
      </c>
      <c r="X2260">
        <v>0.9901761</v>
      </c>
      <c r="Y2260">
        <v>-0.52209119999999998</v>
      </c>
      <c r="Z2260">
        <v>-4.5621539999999997E-3</v>
      </c>
      <c r="AA2260">
        <v>0.85287749999999996</v>
      </c>
      <c r="AB2260">
        <v>23</v>
      </c>
      <c r="AC2260">
        <v>-0.51859999999999196</v>
      </c>
      <c r="AD2260">
        <v>-9.4036999999999898E-2</v>
      </c>
      <c r="AE2260">
        <v>-0.64270000000004701</v>
      </c>
      <c r="AF2260">
        <v>-0.50183709106961405</v>
      </c>
      <c r="AG2260">
        <v>-9.4036999999999898E-2</v>
      </c>
      <c r="AH2260">
        <v>0.64251147218675697</v>
      </c>
      <c r="AI2260">
        <v>96.579700834238096</v>
      </c>
      <c r="AJ2260">
        <v>127.991809987306</v>
      </c>
      <c r="AK2260">
        <v>0.82067314762565902</v>
      </c>
      <c r="AL2260">
        <v>90.260227960068605</v>
      </c>
      <c r="AM2260">
        <v>98.033579389048299</v>
      </c>
      <c r="AN2260">
        <v>0.99999997931751905</v>
      </c>
    </row>
    <row r="2261" spans="1:40" x14ac:dyDescent="0.3">
      <c r="A2261" t="str">
        <f>"20200111160452464"</f>
        <v>20200111160452464</v>
      </c>
      <c r="B2261" t="str">
        <f>"1578729892453250"</f>
        <v>1578729892453250</v>
      </c>
      <c r="C2261" t="s">
        <v>40</v>
      </c>
      <c r="D2261">
        <v>5.4305059999999896</v>
      </c>
      <c r="E2261">
        <v>0.33331490000000003</v>
      </c>
      <c r="F2261" t="s">
        <v>42</v>
      </c>
      <c r="G2261">
        <v>-477.77120000000002</v>
      </c>
      <c r="H2261">
        <v>1.0257670000000001</v>
      </c>
      <c r="I2261">
        <v>282.06849999999997</v>
      </c>
      <c r="J2261">
        <v>-477.2106</v>
      </c>
      <c r="K2261">
        <v>1.114115</v>
      </c>
      <c r="L2261">
        <v>282.73750000000001</v>
      </c>
      <c r="M2261">
        <v>-0.9730086</v>
      </c>
      <c r="N2261">
        <v>0</v>
      </c>
      <c r="O2261">
        <v>-0.23034660000000001</v>
      </c>
      <c r="P2261">
        <v>-0.93039019999999995</v>
      </c>
      <c r="Q2261">
        <v>-1.8887600000000001E-2</v>
      </c>
      <c r="R2261">
        <v>-0.36608420000000003</v>
      </c>
      <c r="S2261">
        <v>-2.3181150000000001</v>
      </c>
      <c r="T2261">
        <v>-0.28793619999999998</v>
      </c>
      <c r="U2261">
        <v>-2.3105470000000001</v>
      </c>
      <c r="V2261">
        <v>-0.14185610000000001</v>
      </c>
      <c r="W2261">
        <v>-6.2751760000000004E-3</v>
      </c>
      <c r="X2261">
        <v>0.98986739999999995</v>
      </c>
      <c r="Y2261">
        <v>-0.52271639999999997</v>
      </c>
      <c r="Z2261">
        <v>-3.8826239999999999E-3</v>
      </c>
      <c r="AA2261">
        <v>0.85249779999999997</v>
      </c>
      <c r="AB2261">
        <v>23</v>
      </c>
      <c r="AC2261">
        <v>-0.56060000000002197</v>
      </c>
      <c r="AD2261">
        <v>-8.8347999999999802E-2</v>
      </c>
      <c r="AE2261">
        <v>-0.66900000000003901</v>
      </c>
      <c r="AF2261">
        <v>-0.51656874846145096</v>
      </c>
      <c r="AG2261">
        <v>-8.8347999999999802E-2</v>
      </c>
      <c r="AH2261">
        <v>0.69254315672745204</v>
      </c>
      <c r="AI2261">
        <v>95.838608673014605</v>
      </c>
      <c r="AJ2261">
        <v>126.71930035046999</v>
      </c>
      <c r="AK2261">
        <v>0.86848411898033795</v>
      </c>
      <c r="AL2261">
        <v>90.359543460107702</v>
      </c>
      <c r="AM2261">
        <v>98.155426680833301</v>
      </c>
      <c r="AN2261">
        <v>1.0000000002619001</v>
      </c>
    </row>
    <row r="2262" spans="1:40" x14ac:dyDescent="0.3">
      <c r="A2262" t="str">
        <f>"20200111160452478"</f>
        <v>20200111160452478</v>
      </c>
      <c r="B2262" t="str">
        <f>"1578729892472770"</f>
        <v>1578729892472770</v>
      </c>
      <c r="C2262" t="s">
        <v>40</v>
      </c>
      <c r="D2262">
        <v>5.5138040000000004</v>
      </c>
      <c r="E2262">
        <v>0.33369739999999998</v>
      </c>
      <c r="F2262" t="s">
        <v>42</v>
      </c>
      <c r="G2262">
        <v>-477.95409999999998</v>
      </c>
      <c r="H2262">
        <v>1.018837</v>
      </c>
      <c r="I2262">
        <v>281.98590000000002</v>
      </c>
      <c r="J2262">
        <v>-477.35680000000002</v>
      </c>
      <c r="K2262">
        <v>1.1142030000000001</v>
      </c>
      <c r="L2262">
        <v>282.69869999999997</v>
      </c>
      <c r="M2262">
        <v>-0.97214100000000003</v>
      </c>
      <c r="N2262">
        <v>0</v>
      </c>
      <c r="O2262">
        <v>-0.23397970000000001</v>
      </c>
      <c r="P2262">
        <v>-0.92816759999999998</v>
      </c>
      <c r="Q2262">
        <v>-2.00847E-2</v>
      </c>
      <c r="R2262">
        <v>-0.37162030000000001</v>
      </c>
      <c r="S2262">
        <v>-2.302673</v>
      </c>
      <c r="T2262">
        <v>-0.29507990000000001</v>
      </c>
      <c r="U2262">
        <v>-2.3274840000000001</v>
      </c>
      <c r="V2262">
        <v>-0.14404839999999999</v>
      </c>
      <c r="W2262">
        <v>-7.5200789999999998E-3</v>
      </c>
      <c r="X2262">
        <v>0.98954209999999998</v>
      </c>
      <c r="Y2262">
        <v>-0.52543989999999996</v>
      </c>
      <c r="Z2262">
        <v>-3.7794149999999999E-3</v>
      </c>
      <c r="AA2262">
        <v>0.85082239999999998</v>
      </c>
      <c r="AB2262">
        <v>23</v>
      </c>
      <c r="AC2262">
        <v>-0.59729999999996097</v>
      </c>
      <c r="AD2262">
        <v>-9.5366000000000006E-2</v>
      </c>
      <c r="AE2262">
        <v>-0.71279999999995802</v>
      </c>
      <c r="AF2262">
        <v>-0.54748281196303294</v>
      </c>
      <c r="AG2262">
        <v>-9.5366000000000006E-2</v>
      </c>
      <c r="AH2262">
        <v>0.73973461296726895</v>
      </c>
      <c r="AI2262">
        <v>95.916179412174202</v>
      </c>
      <c r="AJ2262">
        <v>126.505404648832</v>
      </c>
      <c r="AK2262">
        <v>0.92522397341010698</v>
      </c>
      <c r="AL2262">
        <v>90.430872836361203</v>
      </c>
      <c r="AM2262">
        <v>98.282413616992699</v>
      </c>
      <c r="AN2262">
        <v>1.0000000304015599</v>
      </c>
    </row>
    <row r="2263" spans="1:40" x14ac:dyDescent="0.3">
      <c r="A2263" t="str">
        <f>"20200111160452646"</f>
        <v>20200111160452646</v>
      </c>
      <c r="B2263" t="str">
        <f>"1578729892643192"</f>
        <v>1578729892643192</v>
      </c>
      <c r="C2263" t="s">
        <v>40</v>
      </c>
      <c r="D2263">
        <v>5.5874920000000001</v>
      </c>
      <c r="E2263">
        <v>0.32766489999999998</v>
      </c>
      <c r="F2263" t="s">
        <v>42</v>
      </c>
      <c r="G2263">
        <v>-479.48939999999999</v>
      </c>
      <c r="H2263">
        <v>1.0170440000000001</v>
      </c>
      <c r="I2263">
        <v>281.49259999999998</v>
      </c>
      <c r="J2263">
        <v>-478.98989999999998</v>
      </c>
      <c r="K2263">
        <v>1.114892</v>
      </c>
      <c r="L2263">
        <v>282.21550000000002</v>
      </c>
      <c r="M2263">
        <v>-0.95992339999999998</v>
      </c>
      <c r="N2263">
        <v>0</v>
      </c>
      <c r="O2263">
        <v>-0.27990910000000002</v>
      </c>
      <c r="P2263">
        <v>-0.89053159999999898</v>
      </c>
      <c r="Q2263">
        <v>-2.6375840000000001E-2</v>
      </c>
      <c r="R2263">
        <v>-0.45415670000000002</v>
      </c>
      <c r="S2263">
        <v>-2.0854490000000001</v>
      </c>
      <c r="T2263">
        <v>-0.32156000000000001</v>
      </c>
      <c r="U2263">
        <v>-2.5188600000000001</v>
      </c>
      <c r="V2263">
        <v>-0.18656429999999999</v>
      </c>
      <c r="W2263">
        <v>-1.450748E-2</v>
      </c>
      <c r="X2263">
        <v>0.98233559999999998</v>
      </c>
      <c r="Y2263">
        <v>-0.55966199999999999</v>
      </c>
      <c r="Z2263">
        <v>-1.3606829999999999E-3</v>
      </c>
      <c r="AA2263">
        <v>0.82871989999999995</v>
      </c>
      <c r="AB2263">
        <v>23</v>
      </c>
      <c r="AC2263">
        <v>-0.49950000000001099</v>
      </c>
      <c r="AD2263">
        <v>-9.7847999999999893E-2</v>
      </c>
      <c r="AE2263">
        <v>-0.72290000000003796</v>
      </c>
      <c r="AF2263">
        <v>-0.54738108942778996</v>
      </c>
      <c r="AG2263">
        <v>-9.7847999999999893E-2</v>
      </c>
      <c r="AH2263">
        <v>0.67354325566492002</v>
      </c>
      <c r="AI2263">
        <v>96.432274569551694</v>
      </c>
      <c r="AJ2263">
        <v>129.10037570052799</v>
      </c>
      <c r="AK2263">
        <v>0.87341903197655002</v>
      </c>
      <c r="AL2263">
        <v>90.831246562019501</v>
      </c>
      <c r="AM2263">
        <v>100.75349368626701</v>
      </c>
      <c r="AN2263">
        <v>0.99999996801889901</v>
      </c>
    </row>
    <row r="2264" spans="1:40" x14ac:dyDescent="0.3">
      <c r="A2264" t="str">
        <f>"20200111160452659"</f>
        <v>20200111160452659</v>
      </c>
      <c r="B2264" t="str">
        <f>"1578729892652953"</f>
        <v>1578729892652953</v>
      </c>
      <c r="C2264" t="s">
        <v>40</v>
      </c>
      <c r="D2264">
        <v>5.7056610000000001</v>
      </c>
      <c r="E2264">
        <v>0.32372489999999998</v>
      </c>
      <c r="F2264" t="s">
        <v>56</v>
      </c>
      <c r="G2264">
        <v>-486.64400000000001</v>
      </c>
      <c r="H2264" s="1">
        <v>7.5002149999999998E-7</v>
      </c>
      <c r="I2264">
        <v>272.56950000000001</v>
      </c>
      <c r="J2264">
        <v>-479.12700000000001</v>
      </c>
      <c r="K2264">
        <v>1.1149279999999999</v>
      </c>
      <c r="L2264">
        <v>282.1705</v>
      </c>
      <c r="M2264">
        <v>-0.95868520000000002</v>
      </c>
      <c r="N2264">
        <v>0</v>
      </c>
      <c r="O2264">
        <v>-0.28412090000000001</v>
      </c>
      <c r="P2264">
        <v>-0.88714999999999999</v>
      </c>
      <c r="Q2264">
        <v>-2.774331E-2</v>
      </c>
      <c r="R2264">
        <v>-0.46064709999999998</v>
      </c>
      <c r="S2264">
        <v>-2.0453800000000002</v>
      </c>
      <c r="T2264">
        <v>-0.2979308</v>
      </c>
      <c r="U2264">
        <v>-2.5776979999999998</v>
      </c>
      <c r="V2264">
        <v>-0.18941820000000001</v>
      </c>
      <c r="W2264">
        <v>-1.5924219999999999E-2</v>
      </c>
      <c r="X2264">
        <v>0.98176739999999996</v>
      </c>
      <c r="Y2264">
        <v>-0.57331889999999996</v>
      </c>
      <c r="Z2264">
        <v>-1.6256440000000001E-3</v>
      </c>
      <c r="AA2264">
        <v>0.81933069999999897</v>
      </c>
      <c r="AB2264">
        <v>23</v>
      </c>
      <c r="AC2264">
        <v>-7.5170000000000501</v>
      </c>
      <c r="AD2264">
        <v>-1.1149272499784999</v>
      </c>
      <c r="AE2264">
        <v>-9.6010000000000009</v>
      </c>
      <c r="AF2264">
        <v>-7.0106875032753999</v>
      </c>
      <c r="AG2264">
        <v>-1.1149272499784999</v>
      </c>
      <c r="AH2264">
        <v>9.8528908838758191</v>
      </c>
      <c r="AI2264">
        <v>95.267760345892498</v>
      </c>
      <c r="AJ2264">
        <v>125.43322398967</v>
      </c>
      <c r="AK2264">
        <v>12.143815743451</v>
      </c>
      <c r="AL2264">
        <v>90.912429134492399</v>
      </c>
      <c r="AM2264">
        <v>100.92023430207099</v>
      </c>
      <c r="AN2264">
        <v>1.0000000314883</v>
      </c>
    </row>
    <row r="2265" spans="1:40" x14ac:dyDescent="0.3">
      <c r="A2265" t="str">
        <f>"20200111160452672"</f>
        <v>20200111160452672</v>
      </c>
      <c r="B2265" t="str">
        <f>"1578729892663689"</f>
        <v>1578729892663689</v>
      </c>
      <c r="C2265" t="s">
        <v>40</v>
      </c>
      <c r="D2265">
        <v>5.6595339999999998</v>
      </c>
      <c r="E2265">
        <v>0.32093579999999999</v>
      </c>
      <c r="F2265" t="s">
        <v>42</v>
      </c>
      <c r="G2265">
        <v>-479.6866</v>
      </c>
      <c r="H2265">
        <v>1.0347550000000001</v>
      </c>
      <c r="I2265">
        <v>281.44150000000002</v>
      </c>
      <c r="J2265">
        <v>-479.24790000000002</v>
      </c>
      <c r="K2265">
        <v>1.1149549999999999</v>
      </c>
      <c r="L2265">
        <v>282.1302</v>
      </c>
      <c r="M2265">
        <v>-0.95756249999999998</v>
      </c>
      <c r="N2265">
        <v>0</v>
      </c>
      <c r="O2265">
        <v>-0.28788150000000001</v>
      </c>
      <c r="P2265">
        <v>-0.88222889999999998</v>
      </c>
      <c r="Q2265">
        <v>-3.0013080000000001E-2</v>
      </c>
      <c r="R2265">
        <v>-0.4698638</v>
      </c>
      <c r="S2265">
        <v>-2.0118710000000002</v>
      </c>
      <c r="T2265">
        <v>-0.28824820000000001</v>
      </c>
      <c r="U2265">
        <v>-2.6206049999999999</v>
      </c>
      <c r="V2265">
        <v>-0.19578139999999999</v>
      </c>
      <c r="W2265">
        <v>-1.829128E-2</v>
      </c>
      <c r="X2265">
        <v>0.98047700000000004</v>
      </c>
      <c r="Y2265">
        <v>-0.58323590000000003</v>
      </c>
      <c r="Z2265">
        <v>-1.766751E-3</v>
      </c>
      <c r="AA2265">
        <v>0.81230089999999999</v>
      </c>
      <c r="AB2265">
        <v>23</v>
      </c>
      <c r="AC2265">
        <v>-0.43869999999998199</v>
      </c>
      <c r="AD2265">
        <v>-8.0199999999999994E-2</v>
      </c>
      <c r="AE2265">
        <v>-0.68869999999998199</v>
      </c>
      <c r="AF2265">
        <v>-0.52813780165700897</v>
      </c>
      <c r="AG2265">
        <v>-8.0199999999999994E-2</v>
      </c>
      <c r="AH2265">
        <v>0.61249941988823797</v>
      </c>
      <c r="AI2265">
        <v>95.663205803381601</v>
      </c>
      <c r="AJ2265">
        <v>130.77010108907299</v>
      </c>
      <c r="AK2265">
        <v>0.81272204160003303</v>
      </c>
      <c r="AL2265">
        <v>91.048071554485801</v>
      </c>
      <c r="AM2265">
        <v>101.29228801836</v>
      </c>
      <c r="AN2265">
        <v>1.00000003751949</v>
      </c>
    </row>
    <row r="2266" spans="1:40" x14ac:dyDescent="0.3">
      <c r="A2266" t="str">
        <f>"20200111160452686"</f>
        <v>20200111160452686</v>
      </c>
      <c r="B2266" t="str">
        <f>"1578729892683208"</f>
        <v>1578729892683208</v>
      </c>
      <c r="C2266" t="s">
        <v>40</v>
      </c>
      <c r="D2266">
        <v>5.9287210000000004</v>
      </c>
      <c r="E2266">
        <v>0.31376520000000002</v>
      </c>
      <c r="F2266" t="s">
        <v>42</v>
      </c>
      <c r="G2266">
        <v>-479.84640000000002</v>
      </c>
      <c r="H2266">
        <v>1.027158</v>
      </c>
      <c r="I2266">
        <v>281.32310000000001</v>
      </c>
      <c r="J2266">
        <v>-479.37729999999999</v>
      </c>
      <c r="K2266">
        <v>1.114997</v>
      </c>
      <c r="L2266">
        <v>282.0865</v>
      </c>
      <c r="M2266">
        <v>-0.95633140000000005</v>
      </c>
      <c r="N2266">
        <v>0</v>
      </c>
      <c r="O2266">
        <v>-0.2919446</v>
      </c>
      <c r="P2266">
        <v>-0.87868250000000003</v>
      </c>
      <c r="Q2266">
        <v>-3.119626E-2</v>
      </c>
      <c r="R2266">
        <v>-0.4763867</v>
      </c>
      <c r="S2266">
        <v>-1.9734499999999999</v>
      </c>
      <c r="T2266">
        <v>-0.2894892</v>
      </c>
      <c r="U2266">
        <v>-2.6609189999999998</v>
      </c>
      <c r="V2266">
        <v>-0.19887730000000001</v>
      </c>
      <c r="W2266">
        <v>-1.9530570000000001E-2</v>
      </c>
      <c r="X2266">
        <v>0.97982979999999997</v>
      </c>
      <c r="Y2266">
        <v>-0.59320349999999999</v>
      </c>
      <c r="Z2266">
        <v>-1.9490740000000001E-3</v>
      </c>
      <c r="AA2266">
        <v>0.80505009999999999</v>
      </c>
      <c r="AB2266">
        <v>23</v>
      </c>
      <c r="AC2266">
        <v>-0.469100000000025</v>
      </c>
      <c r="AD2266">
        <v>-8.7839E-2</v>
      </c>
      <c r="AE2266">
        <v>-0.76339999999998998</v>
      </c>
      <c r="AF2266">
        <v>-0.58752464255153203</v>
      </c>
      <c r="AG2266">
        <v>-8.7839E-2</v>
      </c>
      <c r="AH2266">
        <v>0.66515969826339905</v>
      </c>
      <c r="AI2266">
        <v>95.652476492522794</v>
      </c>
      <c r="AJ2266">
        <v>131.453632407664</v>
      </c>
      <c r="AK2266">
        <v>0.89181742510457895</v>
      </c>
      <c r="AL2266">
        <v>91.119090351165696</v>
      </c>
      <c r="AM2266">
        <v>101.473532102172</v>
      </c>
      <c r="AN2266">
        <v>1.00000003029392</v>
      </c>
    </row>
    <row r="2267" spans="1:40" x14ac:dyDescent="0.3">
      <c r="A2267" t="str">
        <f>"20200111160452700"</f>
        <v>20200111160452700</v>
      </c>
      <c r="B2267" t="str">
        <f>"1578729892692969"</f>
        <v>1578729892692969</v>
      </c>
      <c r="C2267" t="s">
        <v>40</v>
      </c>
      <c r="D2267">
        <v>6.1181669999999997</v>
      </c>
      <c r="E2267">
        <v>0.30908190000000002</v>
      </c>
      <c r="F2267" t="s">
        <v>41</v>
      </c>
      <c r="G2267">
        <v>-489.81790000000001</v>
      </c>
      <c r="H2267" s="1">
        <v>-3.3177710000000001E-6</v>
      </c>
      <c r="I2267">
        <v>267.29129999999998</v>
      </c>
      <c r="J2267">
        <v>-479.51690000000002</v>
      </c>
      <c r="K2267">
        <v>1.1150549999999999</v>
      </c>
      <c r="L2267">
        <v>282.03859999999997</v>
      </c>
      <c r="M2267">
        <v>-0.95495920000000001</v>
      </c>
      <c r="N2267">
        <v>0</v>
      </c>
      <c r="O2267">
        <v>-0.29640169999999999</v>
      </c>
      <c r="P2267">
        <v>-0.87493869999999896</v>
      </c>
      <c r="Q2267">
        <v>-3.2111140000000003E-2</v>
      </c>
      <c r="R2267">
        <v>-0.48316740000000002</v>
      </c>
      <c r="S2267">
        <v>-1.926666</v>
      </c>
      <c r="T2267">
        <v>-0.20575830000000001</v>
      </c>
      <c r="U2267">
        <v>-2.7302550000000001</v>
      </c>
      <c r="V2267">
        <v>-0.20188039999999999</v>
      </c>
      <c r="W2267">
        <v>-2.0505160000000001E-2</v>
      </c>
      <c r="X2267">
        <v>0.9791955</v>
      </c>
      <c r="Y2267">
        <v>-0.60885769999999995</v>
      </c>
      <c r="Z2267">
        <v>-1.7122789999999999E-3</v>
      </c>
      <c r="AA2267">
        <v>0.79327760000000003</v>
      </c>
      <c r="AB2267">
        <v>23</v>
      </c>
      <c r="AC2267">
        <v>-10.300999999999901</v>
      </c>
      <c r="AD2267">
        <v>-1.1150583177709901</v>
      </c>
      <c r="AE2267">
        <v>-14.7472999999999</v>
      </c>
      <c r="AF2267">
        <v>-10.9887109738929</v>
      </c>
      <c r="AG2267">
        <v>-1.1150583177709901</v>
      </c>
      <c r="AH2267">
        <v>14.1551841531814</v>
      </c>
      <c r="AI2267">
        <v>93.560625318694406</v>
      </c>
      <c r="AJ2267">
        <v>127.82229452015901</v>
      </c>
      <c r="AK2267">
        <v>17.954508133899399</v>
      </c>
      <c r="AL2267">
        <v>91.174941481326996</v>
      </c>
      <c r="AM2267">
        <v>101.649425010586</v>
      </c>
      <c r="AN2267">
        <v>0.99999999235551695</v>
      </c>
    </row>
    <row r="2268" spans="1:40" x14ac:dyDescent="0.3">
      <c r="A2268" t="str">
        <f>"20200111160452718"</f>
        <v>20200111160452718</v>
      </c>
      <c r="B2268" t="str">
        <f>"1578729892713464"</f>
        <v>1578729892713464</v>
      </c>
      <c r="C2268" t="s">
        <v>40</v>
      </c>
      <c r="D2268">
        <v>5.5473429999999997</v>
      </c>
      <c r="E2268">
        <v>0.30873929999999999</v>
      </c>
      <c r="F2268" t="s">
        <v>42</v>
      </c>
      <c r="G2268">
        <v>-480.04090000000002</v>
      </c>
      <c r="H2268">
        <v>1.071985</v>
      </c>
      <c r="I2268">
        <v>281.267</v>
      </c>
      <c r="J2268">
        <v>-479.68299999999999</v>
      </c>
      <c r="K2268">
        <v>1.115124</v>
      </c>
      <c r="L2268">
        <v>281.98039999999997</v>
      </c>
      <c r="M2268">
        <v>-0.95326759999999999</v>
      </c>
      <c r="N2268">
        <v>0</v>
      </c>
      <c r="O2268">
        <v>-0.301797599999999</v>
      </c>
      <c r="P2268">
        <v>-0.86924020000000002</v>
      </c>
      <c r="Q2268">
        <v>-3.3574769999999997E-2</v>
      </c>
      <c r="R2268">
        <v>-0.49324869999999998</v>
      </c>
      <c r="S2268">
        <v>-1.8878170000000001</v>
      </c>
      <c r="T2268">
        <v>-0.15513940000000001</v>
      </c>
      <c r="U2268">
        <v>-2.7802120000000001</v>
      </c>
      <c r="V2268">
        <v>-0.20765220000000001</v>
      </c>
      <c r="W2268">
        <v>-2.207419E-2</v>
      </c>
      <c r="X2268">
        <v>0.97795359999999998</v>
      </c>
      <c r="Y2268">
        <v>-0.61885129999999999</v>
      </c>
      <c r="Z2268">
        <v>-1.319925E-3</v>
      </c>
      <c r="AA2268">
        <v>0.78550710000000001</v>
      </c>
      <c r="AB2268">
        <v>23</v>
      </c>
      <c r="AC2268">
        <v>-0.35789999999997202</v>
      </c>
      <c r="AD2268">
        <v>-4.3138999999999997E-2</v>
      </c>
      <c r="AE2268">
        <v>-0.71339999999997805</v>
      </c>
      <c r="AF2268">
        <v>-0.57043826630648897</v>
      </c>
      <c r="AG2268">
        <v>-4.3138999999999997E-2</v>
      </c>
      <c r="AH2268">
        <v>0.55491121261257403</v>
      </c>
      <c r="AI2268">
        <v>93.102802386321599</v>
      </c>
      <c r="AJ2268">
        <v>135.79049061129601</v>
      </c>
      <c r="AK2268">
        <v>0.796986350492222</v>
      </c>
      <c r="AL2268">
        <v>91.264860690533197</v>
      </c>
      <c r="AM2268">
        <v>101.987765211724</v>
      </c>
      <c r="AN2268">
        <v>0.99999997489097703</v>
      </c>
    </row>
    <row r="2269" spans="1:40" x14ac:dyDescent="0.3">
      <c r="A2269" t="str">
        <f>"20200111160452741"</f>
        <v>20200111160452741</v>
      </c>
      <c r="B2269" t="str">
        <f>"1578729892733491"</f>
        <v>1578729892733491</v>
      </c>
      <c r="C2269" t="s">
        <v>40</v>
      </c>
      <c r="D2269">
        <v>6.1309750000000003</v>
      </c>
      <c r="E2269">
        <v>0.30767499999999998</v>
      </c>
      <c r="F2269" t="s">
        <v>42</v>
      </c>
      <c r="G2269">
        <v>-480.21550000000002</v>
      </c>
      <c r="H2269">
        <v>1.065939</v>
      </c>
      <c r="I2269">
        <v>281.17509999999999</v>
      </c>
      <c r="J2269">
        <v>-479.8965</v>
      </c>
      <c r="K2269">
        <v>1.1152260000000001</v>
      </c>
      <c r="L2269">
        <v>281.90390000000002</v>
      </c>
      <c r="M2269">
        <v>-0.95099409999999895</v>
      </c>
      <c r="N2269">
        <v>0</v>
      </c>
      <c r="O2269">
        <v>-0.3088861</v>
      </c>
      <c r="P2269">
        <v>-0.86295699999999997</v>
      </c>
      <c r="Q2269">
        <v>-3.4505840000000003E-2</v>
      </c>
      <c r="R2269">
        <v>-0.50409780000000004</v>
      </c>
      <c r="S2269">
        <v>-1.853699</v>
      </c>
      <c r="T2269">
        <v>-0.17121049999999999</v>
      </c>
      <c r="U2269">
        <v>-2.8038020000000001</v>
      </c>
      <c r="V2269">
        <v>-0.2126113</v>
      </c>
      <c r="W2269">
        <v>-2.3113089999999999E-2</v>
      </c>
      <c r="X2269">
        <v>0.97686340000000005</v>
      </c>
      <c r="Y2269">
        <v>-0.62262439999999997</v>
      </c>
      <c r="Z2269">
        <v>-1.185836E-3</v>
      </c>
      <c r="AA2269">
        <v>0.78251999999999999</v>
      </c>
      <c r="AB2269">
        <v>23</v>
      </c>
      <c r="AC2269">
        <v>-0.31900000000001599</v>
      </c>
      <c r="AD2269">
        <v>-4.9286999999999997E-2</v>
      </c>
      <c r="AE2269">
        <v>-0.72880000000003498</v>
      </c>
      <c r="AF2269">
        <v>-0.59233570259999002</v>
      </c>
      <c r="AG2269">
        <v>-4.9286999999999997E-2</v>
      </c>
      <c r="AH2269">
        <v>0.52651521085614195</v>
      </c>
      <c r="AI2269">
        <v>93.5586773874915</v>
      </c>
      <c r="AJ2269">
        <v>138.36675319050201</v>
      </c>
      <c r="AK2269">
        <v>0.79404600635385902</v>
      </c>
      <c r="AL2269">
        <v>91.324400523543801</v>
      </c>
      <c r="AM2269">
        <v>102.27875720154</v>
      </c>
      <c r="AN2269">
        <v>0.99999994103829704</v>
      </c>
    </row>
    <row r="2270" spans="1:40" x14ac:dyDescent="0.3">
      <c r="A2270" t="str">
        <f>"20200111160452757"</f>
        <v>20200111160452757</v>
      </c>
      <c r="B2270" t="str">
        <f>"1578729892753515"</f>
        <v>1578729892753515</v>
      </c>
      <c r="C2270" t="s">
        <v>40</v>
      </c>
      <c r="D2270">
        <v>5.4354370000000003</v>
      </c>
      <c r="E2270">
        <v>0.30672640000000001</v>
      </c>
      <c r="F2270" t="s">
        <v>42</v>
      </c>
      <c r="G2270">
        <v>-480.4042</v>
      </c>
      <c r="H2270">
        <v>1.0732919999999999</v>
      </c>
      <c r="I2270">
        <v>281.11040000000003</v>
      </c>
      <c r="J2270">
        <v>-480.04169999999999</v>
      </c>
      <c r="K2270">
        <v>1.115299</v>
      </c>
      <c r="L2270">
        <v>281.85059999999999</v>
      </c>
      <c r="M2270">
        <v>-0.94937280000000002</v>
      </c>
      <c r="N2270">
        <v>0</v>
      </c>
      <c r="O2270">
        <v>-0.31383309999999998</v>
      </c>
      <c r="P2270">
        <v>-0.85906170000000004</v>
      </c>
      <c r="Q2270">
        <v>-3.526638E-2</v>
      </c>
      <c r="R2270">
        <v>-0.51065609999999995</v>
      </c>
      <c r="S2270">
        <v>-1.813965</v>
      </c>
      <c r="T2270">
        <v>-0.14979149999999999</v>
      </c>
      <c r="U2270">
        <v>-2.8357239999999999</v>
      </c>
      <c r="V2270">
        <v>-0.2149607</v>
      </c>
      <c r="W2270">
        <v>-2.393605E-2</v>
      </c>
      <c r="X2270">
        <v>0.97632929999999996</v>
      </c>
      <c r="Y2270">
        <v>-0.63040249999999998</v>
      </c>
      <c r="Z2270">
        <v>-1.02765E-3</v>
      </c>
      <c r="AA2270">
        <v>0.77626779999999995</v>
      </c>
      <c r="AB2270">
        <v>23</v>
      </c>
      <c r="AC2270">
        <v>-0.36250000000001098</v>
      </c>
      <c r="AD2270">
        <v>-4.20070000000001E-2</v>
      </c>
      <c r="AE2270">
        <v>-0.740199999999958</v>
      </c>
      <c r="AF2270">
        <v>-0.58749407133062503</v>
      </c>
      <c r="AG2270">
        <v>-4.20070000000001E-2</v>
      </c>
      <c r="AH2270">
        <v>0.57501089895211499</v>
      </c>
      <c r="AI2270">
        <v>92.925242429023896</v>
      </c>
      <c r="AJ2270">
        <v>135.61522799614099</v>
      </c>
      <c r="AK2270">
        <v>0.823135107871942</v>
      </c>
      <c r="AL2270">
        <v>91.371565675814495</v>
      </c>
      <c r="AM2270">
        <v>102.416836317049</v>
      </c>
      <c r="AN2270">
        <v>0.99999996953629</v>
      </c>
    </row>
    <row r="2271" spans="1:40" x14ac:dyDescent="0.3">
      <c r="A2271" t="str">
        <f>"20200111160452771"</f>
        <v>20200111160452771</v>
      </c>
      <c r="B2271" t="str">
        <f>"1578729892763517"</f>
        <v>1578729892763517</v>
      </c>
      <c r="C2271" t="s">
        <v>40</v>
      </c>
      <c r="D2271">
        <v>5.4385890000000003</v>
      </c>
      <c r="E2271">
        <v>0.30733310000000003</v>
      </c>
      <c r="F2271" t="s">
        <v>41</v>
      </c>
      <c r="G2271">
        <v>-496.40539999999999</v>
      </c>
      <c r="H2271" s="1">
        <v>-4.1055729999999996E-6</v>
      </c>
      <c r="I2271">
        <v>255.7124</v>
      </c>
      <c r="J2271">
        <v>-480.18990000000002</v>
      </c>
      <c r="K2271">
        <v>1.11538</v>
      </c>
      <c r="L2271">
        <v>281.7953</v>
      </c>
      <c r="M2271">
        <v>-0.94765630000000001</v>
      </c>
      <c r="N2271">
        <v>0</v>
      </c>
      <c r="O2271">
        <v>-0.31897789999999998</v>
      </c>
      <c r="P2271">
        <v>-0.85528419999999905</v>
      </c>
      <c r="Q2271">
        <v>-3.622686E-2</v>
      </c>
      <c r="R2271">
        <v>-0.51689110000000005</v>
      </c>
      <c r="S2271">
        <v>-1.7887569999999999</v>
      </c>
      <c r="T2271">
        <v>-0.121916899999999</v>
      </c>
      <c r="U2271">
        <v>-2.8572389999999999</v>
      </c>
      <c r="V2271">
        <v>-0.21676219999999999</v>
      </c>
      <c r="W2271">
        <v>-2.4953820000000002E-2</v>
      </c>
      <c r="X2271">
        <v>0.97590549999999998</v>
      </c>
      <c r="Y2271">
        <v>-0.63384510000000005</v>
      </c>
      <c r="Z2271">
        <v>-7.1308109999999999E-4</v>
      </c>
      <c r="AA2271">
        <v>0.77345969999999997</v>
      </c>
      <c r="AB2271">
        <v>23</v>
      </c>
      <c r="AC2271">
        <v>-16.215499999999899</v>
      </c>
      <c r="AD2271">
        <v>-1.1153841055730001</v>
      </c>
      <c r="AE2271">
        <v>-26.082899999999899</v>
      </c>
      <c r="AF2271">
        <v>-19.521452234621599</v>
      </c>
      <c r="AG2271">
        <v>-1.1153841055730001</v>
      </c>
      <c r="AH2271">
        <v>23.657763330127299</v>
      </c>
      <c r="AI2271">
        <v>92.082631546928198</v>
      </c>
      <c r="AJ2271">
        <v>129.52810319742301</v>
      </c>
      <c r="AK2271">
        <v>30.6923597143637</v>
      </c>
      <c r="AL2271">
        <v>91.429896928820895</v>
      </c>
      <c r="AM2271">
        <v>102.522894540705</v>
      </c>
      <c r="AN2271">
        <v>1.0000000447058399</v>
      </c>
    </row>
    <row r="2272" spans="1:40" x14ac:dyDescent="0.3">
      <c r="A2272" t="str">
        <f>"20200111160452784"</f>
        <v>20200111160452784</v>
      </c>
      <c r="B2272" t="str">
        <f>"1578729892773275"</f>
        <v>1578729892773275</v>
      </c>
      <c r="C2272" t="s">
        <v>40</v>
      </c>
      <c r="D2272">
        <v>5.4615179999999999</v>
      </c>
      <c r="E2272">
        <v>0.30776829999999999</v>
      </c>
      <c r="F2272" t="s">
        <v>41</v>
      </c>
      <c r="G2272">
        <v>-495.78870000000001</v>
      </c>
      <c r="H2272" s="1">
        <v>-4.2793039999999999E-6</v>
      </c>
      <c r="I2272">
        <v>256.5444</v>
      </c>
      <c r="J2272">
        <v>-480.31060000000002</v>
      </c>
      <c r="K2272">
        <v>1.115448</v>
      </c>
      <c r="L2272">
        <v>281.74970000000002</v>
      </c>
      <c r="M2272">
        <v>-0.94621460000000002</v>
      </c>
      <c r="N2272">
        <v>0</v>
      </c>
      <c r="O2272">
        <v>-0.3232294</v>
      </c>
      <c r="P2272">
        <v>-0.85112129999999997</v>
      </c>
      <c r="Q2272">
        <v>-3.7305360000000003E-2</v>
      </c>
      <c r="R2272">
        <v>-0.52364200000000005</v>
      </c>
      <c r="S2272">
        <v>-1.7703249999999999</v>
      </c>
      <c r="T2272">
        <v>-0.12658610000000001</v>
      </c>
      <c r="U2272">
        <v>-2.8657530000000002</v>
      </c>
      <c r="V2272">
        <v>-0.22009709999999999</v>
      </c>
      <c r="W2272">
        <v>-2.610881E-2</v>
      </c>
      <c r="X2272">
        <v>0.97512849999999995</v>
      </c>
      <c r="Y2272">
        <v>-0.63498319999999997</v>
      </c>
      <c r="Z2272">
        <v>-5.9134889999999999E-4</v>
      </c>
      <c r="AA2272">
        <v>0.77252569999999998</v>
      </c>
      <c r="AB2272">
        <v>23</v>
      </c>
      <c r="AC2272">
        <v>-15.4780999999999</v>
      </c>
      <c r="AD2272">
        <v>-1.115452279304</v>
      </c>
      <c r="AE2272">
        <v>-25.205300000000001</v>
      </c>
      <c r="AF2272">
        <v>-18.821769375042201</v>
      </c>
      <c r="AG2272">
        <v>-1.115452279304</v>
      </c>
      <c r="AH2272">
        <v>22.762613124098799</v>
      </c>
      <c r="AI2272">
        <v>92.162771135135401</v>
      </c>
      <c r="AJ2272">
        <v>129.58639567166799</v>
      </c>
      <c r="AK2272">
        <v>29.557398268996501</v>
      </c>
      <c r="AL2272">
        <v>91.496094631558904</v>
      </c>
      <c r="AM2272">
        <v>102.719144726029</v>
      </c>
      <c r="AN2272">
        <v>0.99999999745013701</v>
      </c>
    </row>
    <row r="2273" spans="1:40" x14ac:dyDescent="0.3">
      <c r="A2273" t="str">
        <f>"20200111160452798"</f>
        <v>20200111160452798</v>
      </c>
      <c r="B2273" t="str">
        <f>"1578729892792795"</f>
        <v>1578729892792795</v>
      </c>
      <c r="C2273" t="s">
        <v>40</v>
      </c>
      <c r="D2273">
        <v>5.4638710000000001</v>
      </c>
      <c r="E2273">
        <v>0.30893209999999999</v>
      </c>
      <c r="F2273" t="s">
        <v>41</v>
      </c>
      <c r="G2273">
        <v>-495.26459999999997</v>
      </c>
      <c r="H2273" s="1">
        <v>-4.3935329999999998E-6</v>
      </c>
      <c r="I2273">
        <v>257.15320000000003</v>
      </c>
      <c r="J2273">
        <v>-480.44760000000002</v>
      </c>
      <c r="K2273">
        <v>1.115524</v>
      </c>
      <c r="L2273">
        <v>281.69670000000002</v>
      </c>
      <c r="M2273">
        <v>-0.94451019999999997</v>
      </c>
      <c r="N2273">
        <v>0</v>
      </c>
      <c r="O2273">
        <v>-0.32817610000000003</v>
      </c>
      <c r="P2273">
        <v>-0.84752729999999998</v>
      </c>
      <c r="Q2273">
        <v>-3.7599540000000001E-2</v>
      </c>
      <c r="R2273">
        <v>-0.52941850000000001</v>
      </c>
      <c r="S2273">
        <v>-1.7490840000000001</v>
      </c>
      <c r="T2273">
        <v>-0.130469</v>
      </c>
      <c r="U2273">
        <v>-2.8769230000000001</v>
      </c>
      <c r="V2273">
        <v>-0.22162129999999999</v>
      </c>
      <c r="W2273">
        <v>-2.6455369999999999E-2</v>
      </c>
      <c r="X2273">
        <v>0.97477389999999997</v>
      </c>
      <c r="Y2273">
        <v>-0.63642240000000005</v>
      </c>
      <c r="Z2273">
        <v>-4.3296440000000001E-4</v>
      </c>
      <c r="AA2273">
        <v>0.77134069999999899</v>
      </c>
      <c r="AB2273">
        <v>23</v>
      </c>
      <c r="AC2273">
        <v>-14.816999999999901</v>
      </c>
      <c r="AD2273">
        <v>-1.115528393533</v>
      </c>
      <c r="AE2273">
        <v>-24.543499999999899</v>
      </c>
      <c r="AF2273">
        <v>-18.2931455485454</v>
      </c>
      <c r="AG2273">
        <v>-1.115528393533</v>
      </c>
      <c r="AH2273">
        <v>22.018277423942301</v>
      </c>
      <c r="AI2273">
        <v>92.231639307335101</v>
      </c>
      <c r="AJ2273">
        <v>129.720357667131</v>
      </c>
      <c r="AK2273">
        <v>28.6476546749421</v>
      </c>
      <c r="AL2273">
        <v>91.515957881785397</v>
      </c>
      <c r="AM2273">
        <v>102.808836642682</v>
      </c>
      <c r="AN2273">
        <v>1.00000002166836</v>
      </c>
    </row>
    <row r="2274" spans="1:40" x14ac:dyDescent="0.3">
      <c r="A2274" t="str">
        <f>"20200111160452818"</f>
        <v>20200111160452818</v>
      </c>
      <c r="B2274" t="str">
        <f>"1578729892813290"</f>
        <v>1578729892813290</v>
      </c>
      <c r="C2274" t="s">
        <v>40</v>
      </c>
      <c r="D2274">
        <v>5.3929559999999999</v>
      </c>
      <c r="E2274">
        <v>0.31013819999999998</v>
      </c>
      <c r="F2274" t="s">
        <v>41</v>
      </c>
      <c r="G2274">
        <v>-494.70280000000002</v>
      </c>
      <c r="H2274" s="1">
        <v>-4.5906419999999996E-6</v>
      </c>
      <c r="I2274">
        <v>258.02530000000002</v>
      </c>
      <c r="J2274">
        <v>-480.62709999999998</v>
      </c>
      <c r="K2274">
        <v>1.1156219999999999</v>
      </c>
      <c r="L2274">
        <v>281.62599999999998</v>
      </c>
      <c r="M2274">
        <v>-0.94219030000000004</v>
      </c>
      <c r="N2274">
        <v>0</v>
      </c>
      <c r="O2274">
        <v>-0.33477699999999999</v>
      </c>
      <c r="P2274">
        <v>-0.8431999</v>
      </c>
      <c r="Q2274">
        <v>-3.7694610000000003E-2</v>
      </c>
      <c r="R2274">
        <v>-0.53627740000000002</v>
      </c>
      <c r="S2274">
        <v>-1.734497</v>
      </c>
      <c r="T2274">
        <v>-0.13573180000000001</v>
      </c>
      <c r="U2274">
        <v>-2.8802189999999999</v>
      </c>
      <c r="V2274">
        <v>-0.22270229999999999</v>
      </c>
      <c r="W2274">
        <v>-2.6604329999999999E-2</v>
      </c>
      <c r="X2274">
        <v>0.97452340000000004</v>
      </c>
      <c r="Y2274">
        <v>-0.63426349999999998</v>
      </c>
      <c r="Z2274" s="1">
        <v>-9.10051199999999E-5</v>
      </c>
      <c r="AA2274">
        <v>0.77311700000000005</v>
      </c>
      <c r="AB2274">
        <v>23</v>
      </c>
      <c r="AC2274">
        <v>-14.075699999999999</v>
      </c>
      <c r="AD2274">
        <v>-1.115626590642</v>
      </c>
      <c r="AE2274">
        <v>-23.6006999999999</v>
      </c>
      <c r="AF2274">
        <v>-17.497058936275199</v>
      </c>
      <c r="AG2274">
        <v>-1.115626590642</v>
      </c>
      <c r="AH2274">
        <v>21.1302672729412</v>
      </c>
      <c r="AI2274">
        <v>92.328680910323797</v>
      </c>
      <c r="AJ2274">
        <v>129.626683155178</v>
      </c>
      <c r="AK2274">
        <v>27.4568732585333</v>
      </c>
      <c r="AL2274">
        <v>91.524495728093598</v>
      </c>
      <c r="AM2274">
        <v>102.87243657523101</v>
      </c>
      <c r="AN2274">
        <v>0.99999998097379905</v>
      </c>
    </row>
    <row r="2275" spans="1:40" x14ac:dyDescent="0.3">
      <c r="A2275" t="str">
        <f>"20200111160452831"</f>
        <v>20200111160452831</v>
      </c>
      <c r="B2275" t="str">
        <f>"1578729892823050"</f>
        <v>1578729892823050</v>
      </c>
      <c r="C2275" t="s">
        <v>40</v>
      </c>
      <c r="D2275">
        <v>5.3276289999999999</v>
      </c>
      <c r="E2275">
        <v>0.31067230000000001</v>
      </c>
      <c r="F2275" t="s">
        <v>41</v>
      </c>
      <c r="G2275">
        <v>-494.98099999999999</v>
      </c>
      <c r="H2275" s="1">
        <v>-4.4554590000000003E-6</v>
      </c>
      <c r="I2275">
        <v>257.483</v>
      </c>
      <c r="J2275">
        <v>-480.74979999999999</v>
      </c>
      <c r="K2275">
        <v>1.115696</v>
      </c>
      <c r="L2275">
        <v>281.57679999999999</v>
      </c>
      <c r="M2275">
        <v>-0.94054190000000004</v>
      </c>
      <c r="N2275">
        <v>0</v>
      </c>
      <c r="O2275">
        <v>-0.3393796</v>
      </c>
      <c r="P2275">
        <v>-0.84018959999999998</v>
      </c>
      <c r="Q2275">
        <v>-3.7637520000000001E-2</v>
      </c>
      <c r="R2275">
        <v>-0.54098469999999999</v>
      </c>
      <c r="S2275">
        <v>-1.7161249999999999</v>
      </c>
      <c r="T2275">
        <v>-0.1333828</v>
      </c>
      <c r="U2275">
        <v>-2.8865050000000001</v>
      </c>
      <c r="V2275">
        <v>-0.22338269999999999</v>
      </c>
      <c r="W2275">
        <v>-2.6582930000000001E-2</v>
      </c>
      <c r="X2275">
        <v>0.97436829999999996</v>
      </c>
      <c r="Y2275">
        <v>-0.63486319999999996</v>
      </c>
      <c r="Z2275">
        <v>1.002988E-4</v>
      </c>
      <c r="AA2275">
        <v>0.77262459999999999</v>
      </c>
      <c r="AB2275">
        <v>23</v>
      </c>
      <c r="AC2275">
        <v>-14.231199999999999</v>
      </c>
      <c r="AD2275">
        <v>-1.115700455459</v>
      </c>
      <c r="AE2275">
        <v>-24.093799999999899</v>
      </c>
      <c r="AF2275">
        <v>-17.804950136477501</v>
      </c>
      <c r="AG2275">
        <v>-1.115700455459</v>
      </c>
      <c r="AH2275">
        <v>21.529940813272901</v>
      </c>
      <c r="AI2275">
        <v>92.286851136010497</v>
      </c>
      <c r="AJ2275">
        <v>129.59025689576501</v>
      </c>
      <c r="AK2275">
        <v>27.960675748125201</v>
      </c>
      <c r="AL2275">
        <v>91.523269084653606</v>
      </c>
      <c r="AM2275">
        <v>102.91243479364699</v>
      </c>
      <c r="AN2275">
        <v>1.0000000334357799</v>
      </c>
    </row>
    <row r="2276" spans="1:40" x14ac:dyDescent="0.3">
      <c r="A2276" t="str">
        <f>"20200111160452846"</f>
        <v>20200111160452846</v>
      </c>
      <c r="B2276" t="str">
        <f>"1578729892843547"</f>
        <v>1578729892843547</v>
      </c>
      <c r="C2276" t="s">
        <v>40</v>
      </c>
      <c r="D2276">
        <v>5.2941060000000002</v>
      </c>
      <c r="E2276">
        <v>0.31124159999999901</v>
      </c>
      <c r="F2276" t="s">
        <v>41</v>
      </c>
      <c r="G2276">
        <v>-495.35840000000002</v>
      </c>
      <c r="H2276" s="1">
        <v>-4.2736040000000002E-6</v>
      </c>
      <c r="I2276">
        <v>256.75189999999998</v>
      </c>
      <c r="J2276">
        <v>-480.88529999999997</v>
      </c>
      <c r="K2276">
        <v>1.115774</v>
      </c>
      <c r="L2276">
        <v>281.5215</v>
      </c>
      <c r="M2276">
        <v>-0.93866269999999996</v>
      </c>
      <c r="N2276">
        <v>0</v>
      </c>
      <c r="O2276">
        <v>-0.34454220000000002</v>
      </c>
      <c r="P2276">
        <v>-0.83718479999999995</v>
      </c>
      <c r="Q2276">
        <v>-3.7375730000000003E-2</v>
      </c>
      <c r="R2276">
        <v>-0.54564119999999905</v>
      </c>
      <c r="S2276">
        <v>-1.70224</v>
      </c>
      <c r="T2276">
        <v>-0.13000490000000001</v>
      </c>
      <c r="U2276">
        <v>-2.8926699999999999</v>
      </c>
      <c r="V2276">
        <v>-0.22343289999999999</v>
      </c>
      <c r="W2276">
        <v>-2.6349669999999999E-2</v>
      </c>
      <c r="X2276">
        <v>0.97436310000000004</v>
      </c>
      <c r="Y2276">
        <v>-0.63410540000000004</v>
      </c>
      <c r="Z2276">
        <v>3.4389549999999999E-4</v>
      </c>
      <c r="AA2276">
        <v>0.77324659999999901</v>
      </c>
      <c r="AB2276">
        <v>23</v>
      </c>
      <c r="AC2276">
        <v>-14.473100000000001</v>
      </c>
      <c r="AD2276">
        <v>-1.1157782736040001</v>
      </c>
      <c r="AE2276">
        <v>-24.769600000000001</v>
      </c>
      <c r="AF2276">
        <v>-18.2379713653736</v>
      </c>
      <c r="AG2276">
        <v>-1.1157782736040001</v>
      </c>
      <c r="AH2276">
        <v>22.088364003117999</v>
      </c>
      <c r="AI2276">
        <v>92.230676513606895</v>
      </c>
      <c r="AJ2276">
        <v>129.545884682874</v>
      </c>
      <c r="AK2276">
        <v>28.6664330710027</v>
      </c>
      <c r="AL2276">
        <v>91.509899626285204</v>
      </c>
      <c r="AM2276">
        <v>102.91530588387501</v>
      </c>
      <c r="AN2276">
        <v>1.0000000082765601</v>
      </c>
    </row>
    <row r="2277" spans="1:40" x14ac:dyDescent="0.3">
      <c r="A2277" t="str">
        <f>"20200111160452863"</f>
        <v>20200111160452863</v>
      </c>
      <c r="B2277" t="str">
        <f>"1578729892853307"</f>
        <v>1578729892853307</v>
      </c>
      <c r="C2277" t="s">
        <v>40</v>
      </c>
      <c r="D2277">
        <v>5.2360530000000001</v>
      </c>
      <c r="E2277">
        <v>0.31182530000000003</v>
      </c>
      <c r="F2277" t="s">
        <v>41</v>
      </c>
      <c r="G2277">
        <v>-495.6866</v>
      </c>
      <c r="H2277" s="1">
        <v>-4.1188869999999999E-6</v>
      </c>
      <c r="I2277">
        <v>256.12619999999998</v>
      </c>
      <c r="J2277">
        <v>-481.04140000000001</v>
      </c>
      <c r="K2277">
        <v>1.1158600000000001</v>
      </c>
      <c r="L2277">
        <v>281.45670000000001</v>
      </c>
      <c r="M2277">
        <v>-0.93641110000000005</v>
      </c>
      <c r="N2277">
        <v>0</v>
      </c>
      <c r="O2277">
        <v>-0.35061550000000002</v>
      </c>
      <c r="P2277">
        <v>-0.83371600000000001</v>
      </c>
      <c r="Q2277">
        <v>-3.7939279999999999E-2</v>
      </c>
      <c r="R2277">
        <v>-0.55088930000000003</v>
      </c>
      <c r="S2277">
        <v>-1.6890259999999999</v>
      </c>
      <c r="T2277">
        <v>-0.1273251</v>
      </c>
      <c r="U2277">
        <v>-2.8979490000000001</v>
      </c>
      <c r="V2277">
        <v>-0.22323750000000001</v>
      </c>
      <c r="W2277">
        <v>-2.6942629999999999E-2</v>
      </c>
      <c r="X2277">
        <v>0.97439169999999997</v>
      </c>
      <c r="Y2277">
        <v>-0.63235069999999904</v>
      </c>
      <c r="Z2277">
        <v>6.4348710000000002E-4</v>
      </c>
      <c r="AA2277">
        <v>0.77468199999999998</v>
      </c>
      <c r="AB2277">
        <v>23</v>
      </c>
      <c r="AC2277">
        <v>-14.6451999999999</v>
      </c>
      <c r="AD2277">
        <v>-1.115864118887</v>
      </c>
      <c r="AE2277">
        <v>-25.330500000000001</v>
      </c>
      <c r="AF2277">
        <v>-18.559820337558602</v>
      </c>
      <c r="AG2277">
        <v>-1.115864118887</v>
      </c>
      <c r="AH2277">
        <v>22.564669270208999</v>
      </c>
      <c r="AI2277">
        <v>92.187196333005403</v>
      </c>
      <c r="AJ2277">
        <v>129.437872063578</v>
      </c>
      <c r="AK2277">
        <v>29.238269151373999</v>
      </c>
      <c r="AL2277">
        <v>91.543885756834698</v>
      </c>
      <c r="AM2277">
        <v>102.904023167025</v>
      </c>
      <c r="AN2277">
        <v>1.00000003587322</v>
      </c>
    </row>
    <row r="2278" spans="1:40" x14ac:dyDescent="0.3">
      <c r="A2278" t="str">
        <f>"20200111160452887"</f>
        <v>20200111160452887</v>
      </c>
      <c r="B2278" t="str">
        <f>"1578729892883563"</f>
        <v>1578729892883563</v>
      </c>
      <c r="C2278" t="s">
        <v>40</v>
      </c>
      <c r="D2278">
        <v>5.2238759999999997</v>
      </c>
      <c r="E2278">
        <v>0.31329099999999999</v>
      </c>
      <c r="F2278" t="s">
        <v>41</v>
      </c>
      <c r="G2278">
        <v>-496.25420000000003</v>
      </c>
      <c r="H2278" s="1">
        <v>-3.8534490000000001E-6</v>
      </c>
      <c r="I2278">
        <v>255.0504</v>
      </c>
      <c r="J2278">
        <v>-481.25220000000002</v>
      </c>
      <c r="K2278">
        <v>1.1159829999999999</v>
      </c>
      <c r="L2278">
        <v>281.36680000000001</v>
      </c>
      <c r="M2278">
        <v>-0.93321849999999995</v>
      </c>
      <c r="N2278">
        <v>0</v>
      </c>
      <c r="O2278">
        <v>-0.3590257</v>
      </c>
      <c r="P2278">
        <v>-0.82923029999999998</v>
      </c>
      <c r="Q2278">
        <v>-3.9140340000000003E-2</v>
      </c>
      <c r="R2278">
        <v>-0.55753490000000006</v>
      </c>
      <c r="S2278">
        <v>-1.6734309999999999</v>
      </c>
      <c r="T2278">
        <v>-0.1227475</v>
      </c>
      <c r="U2278">
        <v>-2.9047550000000002</v>
      </c>
      <c r="V2278">
        <v>-0.22225639999999999</v>
      </c>
      <c r="W2278">
        <v>-2.816981E-2</v>
      </c>
      <c r="X2278">
        <v>0.97458120000000004</v>
      </c>
      <c r="Y2278">
        <v>-0.62930209999999998</v>
      </c>
      <c r="Z2278">
        <v>1.04583E-3</v>
      </c>
      <c r="AA2278">
        <v>0.77715999999999996</v>
      </c>
      <c r="AB2278">
        <v>23</v>
      </c>
      <c r="AC2278">
        <v>-15.002000000000001</v>
      </c>
      <c r="AD2278">
        <v>-1.1159868534489901</v>
      </c>
      <c r="AE2278">
        <v>-26.316400000000002</v>
      </c>
      <c r="AF2278">
        <v>-19.148811930272501</v>
      </c>
      <c r="AG2278">
        <v>-1.1159868534489901</v>
      </c>
      <c r="AH2278">
        <v>23.419012002973801</v>
      </c>
      <c r="AI2278">
        <v>92.112730483099995</v>
      </c>
      <c r="AJ2278">
        <v>129.27152619812901</v>
      </c>
      <c r="AK2278">
        <v>30.2716459445708</v>
      </c>
      <c r="AL2278">
        <v>91.614224793748704</v>
      </c>
      <c r="AM2278">
        <v>102.846782486308</v>
      </c>
      <c r="AN2278">
        <v>0.999999980464917</v>
      </c>
    </row>
    <row r="2279" spans="1:40" x14ac:dyDescent="0.3">
      <c r="A2279" t="str">
        <f>"20200111160452908"</f>
        <v>20200111160452908</v>
      </c>
      <c r="B2279" t="str">
        <f>"1578729892903083"</f>
        <v>1578729892903083</v>
      </c>
      <c r="C2279" t="s">
        <v>40</v>
      </c>
      <c r="D2279">
        <v>5.2491250000000003</v>
      </c>
      <c r="E2279">
        <v>0.313843599999999</v>
      </c>
      <c r="F2279" t="s">
        <v>41</v>
      </c>
      <c r="G2279">
        <v>-495.85570000000001</v>
      </c>
      <c r="H2279" s="1">
        <v>-4.0147769999999997E-6</v>
      </c>
      <c r="I2279">
        <v>255.7321</v>
      </c>
      <c r="J2279">
        <v>-481.45440000000002</v>
      </c>
      <c r="K2279">
        <v>1.116112</v>
      </c>
      <c r="L2279">
        <v>281.27820000000003</v>
      </c>
      <c r="M2279">
        <v>-0.9299866</v>
      </c>
      <c r="N2279">
        <v>0</v>
      </c>
      <c r="O2279">
        <v>-0.3673148</v>
      </c>
      <c r="P2279">
        <v>-0.82486389999999998</v>
      </c>
      <c r="Q2279">
        <v>-4.0341679999999998E-2</v>
      </c>
      <c r="R2279">
        <v>-0.56389019999999901</v>
      </c>
      <c r="S2279">
        <v>-1.6566160000000001</v>
      </c>
      <c r="T2279">
        <v>-0.12659690000000001</v>
      </c>
      <c r="U2279">
        <v>-2.9079899999999999</v>
      </c>
      <c r="V2279">
        <v>-0.22107089999999999</v>
      </c>
      <c r="W2279">
        <v>-2.9392419999999999E-2</v>
      </c>
      <c r="X2279">
        <v>0.97481470000000003</v>
      </c>
      <c r="Y2279">
        <v>-0.62613649999999998</v>
      </c>
      <c r="Z2279">
        <v>1.517567E-3</v>
      </c>
      <c r="AA2279">
        <v>0.77971199999999996</v>
      </c>
      <c r="AB2279">
        <v>23</v>
      </c>
      <c r="AC2279">
        <v>-14.4012999999999</v>
      </c>
      <c r="AD2279">
        <v>-1.116116014777</v>
      </c>
      <c r="AE2279">
        <v>-25.546099999999999</v>
      </c>
      <c r="AF2279">
        <v>-18.442896461516799</v>
      </c>
      <c r="AG2279">
        <v>-1.116116014777</v>
      </c>
      <c r="AH2279">
        <v>22.745861380229599</v>
      </c>
      <c r="AI2279">
        <v>92.182735100343507</v>
      </c>
      <c r="AJ2279">
        <v>129.03597819030301</v>
      </c>
      <c r="AK2279">
        <v>29.304613199584999</v>
      </c>
      <c r="AL2279">
        <v>91.684304227455598</v>
      </c>
      <c r="AM2279">
        <v>102.77755402723299</v>
      </c>
      <c r="AN2279">
        <v>0.99999997825817799</v>
      </c>
    </row>
    <row r="2280" spans="1:40" x14ac:dyDescent="0.3">
      <c r="A2280" t="str">
        <f>"20200111160452931"</f>
        <v>20200111160452931</v>
      </c>
      <c r="B2280" t="str">
        <f>"1578729892923578"</f>
        <v>1578729892923578</v>
      </c>
      <c r="C2280" t="s">
        <v>40</v>
      </c>
      <c r="D2280">
        <v>5.2138970000000002</v>
      </c>
      <c r="E2280">
        <v>0.31333220000000001</v>
      </c>
      <c r="F2280" t="s">
        <v>41</v>
      </c>
      <c r="G2280">
        <v>-495.3503</v>
      </c>
      <c r="H2280" s="1">
        <v>-4.1870900000000003E-6</v>
      </c>
      <c r="I2280">
        <v>256.50189999999998</v>
      </c>
      <c r="J2280">
        <v>-481.65820000000002</v>
      </c>
      <c r="K2280">
        <v>1.1162209999999999</v>
      </c>
      <c r="L2280">
        <v>281.18630000000002</v>
      </c>
      <c r="M2280">
        <v>-0.92656300000000003</v>
      </c>
      <c r="N2280">
        <v>0</v>
      </c>
      <c r="O2280">
        <v>-0.3758669</v>
      </c>
      <c r="P2280">
        <v>-0.82083510000000004</v>
      </c>
      <c r="Q2280">
        <v>-4.1840269999999999E-2</v>
      </c>
      <c r="R2280">
        <v>-0.56963129999999995</v>
      </c>
      <c r="S2280">
        <v>-1.6362000000000001</v>
      </c>
      <c r="T2280">
        <v>-0.13141900000000001</v>
      </c>
      <c r="U2280">
        <v>-2.9173279999999999</v>
      </c>
      <c r="V2280">
        <v>-0.21889110000000001</v>
      </c>
      <c r="W2280">
        <v>-3.0890379999999999E-2</v>
      </c>
      <c r="X2280">
        <v>0.97526020000000002</v>
      </c>
      <c r="Y2280">
        <v>-0.62415759999999998</v>
      </c>
      <c r="Z2280">
        <v>2.0112870000000001E-3</v>
      </c>
      <c r="AA2280">
        <v>0.78129579999999998</v>
      </c>
      <c r="AB2280">
        <v>23</v>
      </c>
      <c r="AC2280">
        <v>-13.6920999999999</v>
      </c>
      <c r="AD2280">
        <v>-1.11622518709</v>
      </c>
      <c r="AE2280">
        <v>-24.6844</v>
      </c>
      <c r="AF2280">
        <v>-17.6993855455665</v>
      </c>
      <c r="AG2280">
        <v>-1.11622518709</v>
      </c>
      <c r="AH2280">
        <v>21.9325983996054</v>
      </c>
      <c r="AI2280">
        <v>92.268053510996097</v>
      </c>
      <c r="AJ2280">
        <v>128.90317950715601</v>
      </c>
      <c r="AK2280">
        <v>28.205550516117899</v>
      </c>
      <c r="AL2280">
        <v>91.770170009898905</v>
      </c>
      <c r="AM2280">
        <v>102.650047248099</v>
      </c>
      <c r="AN2280">
        <v>0.99999999346989699</v>
      </c>
    </row>
    <row r="2281" spans="1:40" x14ac:dyDescent="0.3">
      <c r="A2281" t="str">
        <f>"20200111160452947"</f>
        <v>20200111160452947</v>
      </c>
      <c r="B2281" t="str">
        <f>"1578729892943099"</f>
        <v>1578729892943099</v>
      </c>
      <c r="C2281" t="s">
        <v>40</v>
      </c>
      <c r="D2281">
        <v>5.1358940000000004</v>
      </c>
      <c r="E2281">
        <v>0.27621990000000002</v>
      </c>
      <c r="F2281" t="s">
        <v>41</v>
      </c>
      <c r="G2281">
        <v>-495.08390000000003</v>
      </c>
      <c r="H2281" s="1">
        <v>-4.2366890000000004E-6</v>
      </c>
      <c r="I2281">
        <v>256.78649999999999</v>
      </c>
      <c r="J2281">
        <v>-481.80680000000001</v>
      </c>
      <c r="K2281">
        <v>1.1162970000000001</v>
      </c>
      <c r="L2281">
        <v>281.11790000000002</v>
      </c>
      <c r="M2281">
        <v>-0.92396069999999997</v>
      </c>
      <c r="N2281">
        <v>0</v>
      </c>
      <c r="O2281">
        <v>-0.382218</v>
      </c>
      <c r="P2281">
        <v>-0.81763629999999998</v>
      </c>
      <c r="Q2281">
        <v>-4.271581E-2</v>
      </c>
      <c r="R2281">
        <v>-0.57414829999999994</v>
      </c>
      <c r="S2281">
        <v>-1.613281</v>
      </c>
      <c r="T2281">
        <v>-0.1341299</v>
      </c>
      <c r="U2281">
        <v>-2.9319760000000001</v>
      </c>
      <c r="V2281">
        <v>-0.21757399999999999</v>
      </c>
      <c r="W2281">
        <v>-3.1767990000000003E-2</v>
      </c>
      <c r="X2281">
        <v>0.97552669999999997</v>
      </c>
      <c r="Y2281">
        <v>-0.62513039999999997</v>
      </c>
      <c r="Z2281">
        <v>2.3168400000000001E-3</v>
      </c>
      <c r="AA2281">
        <v>0.78051689999999996</v>
      </c>
      <c r="AB2281">
        <v>23</v>
      </c>
      <c r="AC2281">
        <v>-13.277100000000001</v>
      </c>
      <c r="AD2281">
        <v>-1.1163012366889999</v>
      </c>
      <c r="AE2281">
        <v>-24.331399999999999</v>
      </c>
      <c r="AF2281">
        <v>-17.380114756841898</v>
      </c>
      <c r="AG2281">
        <v>-1.1163012366889999</v>
      </c>
      <c r="AH2281">
        <v>21.534711858554999</v>
      </c>
      <c r="AI2281">
        <v>92.309976180591505</v>
      </c>
      <c r="AJ2281">
        <v>128.90611135489999</v>
      </c>
      <c r="AK2281">
        <v>27.6958179558398</v>
      </c>
      <c r="AL2281">
        <v>91.820478050500796</v>
      </c>
      <c r="AM2281">
        <v>102.57303199784199</v>
      </c>
      <c r="AN2281">
        <v>0.99999999653876503</v>
      </c>
    </row>
    <row r="2282" spans="1:40" x14ac:dyDescent="0.3">
      <c r="A2282" t="str">
        <f>"20200111160452961"</f>
        <v>20200111160452961</v>
      </c>
      <c r="B2282" t="str">
        <f>"1578729892952859"</f>
        <v>1578729892952859</v>
      </c>
      <c r="C2282" t="s">
        <v>40</v>
      </c>
      <c r="D2282">
        <v>5.1819300000000004</v>
      </c>
      <c r="E2282">
        <v>0.27605390000000002</v>
      </c>
      <c r="F2282" t="s">
        <v>66</v>
      </c>
      <c r="G2282">
        <v>-513.54679999999996</v>
      </c>
      <c r="H2282">
        <v>2.2974610000000002</v>
      </c>
      <c r="I2282">
        <v>210.4254</v>
      </c>
      <c r="J2282">
        <v>-481.93650000000002</v>
      </c>
      <c r="K2282">
        <v>1.116363</v>
      </c>
      <c r="L2282">
        <v>281.05709999999999</v>
      </c>
      <c r="M2282">
        <v>-0.92160949999999997</v>
      </c>
      <c r="N2282">
        <v>0</v>
      </c>
      <c r="O2282">
        <v>-0.3878528</v>
      </c>
      <c r="P2282">
        <v>-0.8146542</v>
      </c>
      <c r="Q2282">
        <v>-4.4448260000000003E-2</v>
      </c>
      <c r="R2282">
        <v>-0.57824140000000002</v>
      </c>
      <c r="S2282">
        <v>-1.4320980000000001</v>
      </c>
      <c r="T2282">
        <v>5.3296209999999997E-2</v>
      </c>
      <c r="U2282">
        <v>-3.1896059999999999</v>
      </c>
      <c r="V2282">
        <v>-0.21651629999999999</v>
      </c>
      <c r="W2282">
        <v>-3.3504230000000003E-2</v>
      </c>
      <c r="X2282">
        <v>0.97570389999999996</v>
      </c>
      <c r="Y2282">
        <v>-0.6819288</v>
      </c>
      <c r="Z2282">
        <v>-3.7914980000000001E-4</v>
      </c>
      <c r="AA2282">
        <v>0.73141840000000002</v>
      </c>
      <c r="AB2282">
        <v>23</v>
      </c>
      <c r="AC2282">
        <v>-31.610299999999899</v>
      </c>
      <c r="AD2282">
        <v>1.181098</v>
      </c>
      <c r="AE2282">
        <v>-70.631699999999995</v>
      </c>
      <c r="AF2282">
        <v>-52.827841818911899</v>
      </c>
      <c r="AG2282">
        <v>1.181098</v>
      </c>
      <c r="AH2282">
        <v>56.519715404504097</v>
      </c>
      <c r="AI2282">
        <v>89.1253519110968</v>
      </c>
      <c r="AJ2282">
        <v>133.066271805692</v>
      </c>
      <c r="AK2282">
        <v>77.373471507589201</v>
      </c>
      <c r="AL2282">
        <v>91.920010357408898</v>
      </c>
      <c r="AM2282">
        <v>102.51163893781199</v>
      </c>
      <c r="AN2282">
        <v>0.99999997103439597</v>
      </c>
    </row>
    <row r="2283" spans="1:40" x14ac:dyDescent="0.3">
      <c r="A2283" t="str">
        <f>"20200111160452974"</f>
        <v>20200111160452974</v>
      </c>
      <c r="B2283" t="str">
        <f>"1578729892963595"</f>
        <v>1578729892963595</v>
      </c>
      <c r="C2283" t="s">
        <v>40</v>
      </c>
      <c r="D2283">
        <v>5.1879350000000004</v>
      </c>
      <c r="E2283">
        <v>0.27573619999999999</v>
      </c>
      <c r="F2283" t="s">
        <v>66</v>
      </c>
      <c r="G2283">
        <v>-513.20809999999994</v>
      </c>
      <c r="H2283">
        <v>2.1916609999999999</v>
      </c>
      <c r="I2283">
        <v>210.4254</v>
      </c>
      <c r="J2283">
        <v>-482.04930000000002</v>
      </c>
      <c r="K2283">
        <v>1.116425</v>
      </c>
      <c r="L2283">
        <v>281.00310000000002</v>
      </c>
      <c r="M2283">
        <v>-0.91948989999999997</v>
      </c>
      <c r="N2283">
        <v>0</v>
      </c>
      <c r="O2283">
        <v>-0.39285039999999999</v>
      </c>
      <c r="P2283">
        <v>-0.81281029999999999</v>
      </c>
      <c r="Q2283">
        <v>-4.7675090000000003E-2</v>
      </c>
      <c r="R2283">
        <v>-0.58057409999999998</v>
      </c>
      <c r="S2283">
        <v>-1.4156489999999999</v>
      </c>
      <c r="T2283">
        <v>4.868078E-2</v>
      </c>
      <c r="U2283">
        <v>-3.1974490000000002</v>
      </c>
      <c r="V2283">
        <v>-0.21403730000000001</v>
      </c>
      <c r="W2283">
        <v>-3.6707990000000003E-2</v>
      </c>
      <c r="X2283">
        <v>0.97613550000000004</v>
      </c>
      <c r="Y2283">
        <v>-0.68177399999999999</v>
      </c>
      <c r="Z2283">
        <v>-4.2903610000000002E-4</v>
      </c>
      <c r="AA2283">
        <v>0.73156269999999901</v>
      </c>
      <c r="AB2283">
        <v>23</v>
      </c>
      <c r="AC2283">
        <v>-31.1587999999999</v>
      </c>
      <c r="AD2283">
        <v>1.0752360000000001</v>
      </c>
      <c r="AE2283">
        <v>-70.577699999999993</v>
      </c>
      <c r="AF2283">
        <v>-52.6499561806258</v>
      </c>
      <c r="AG2283">
        <v>1.0752360000000001</v>
      </c>
      <c r="AH2283">
        <v>56.371562667038198</v>
      </c>
      <c r="AI2283">
        <v>89.201365297459802</v>
      </c>
      <c r="AJ2283">
        <v>133.04488528050999</v>
      </c>
      <c r="AK2283">
        <v>77.142252338140395</v>
      </c>
      <c r="AL2283">
        <v>92.103685571969393</v>
      </c>
      <c r="AM2283">
        <v>102.36752128008</v>
      </c>
      <c r="AN2283">
        <v>0.99999997834068899</v>
      </c>
    </row>
    <row r="2284" spans="1:40" x14ac:dyDescent="0.3">
      <c r="A2284" t="str">
        <f>"20200111160452987"</f>
        <v>20200111160452987</v>
      </c>
      <c r="B2284" t="str">
        <f>"1578729892983115"</f>
        <v>1578729892983115</v>
      </c>
      <c r="C2284" t="s">
        <v>40</v>
      </c>
      <c r="D2284">
        <v>5.1778789999999999</v>
      </c>
      <c r="E2284">
        <v>0.2757829</v>
      </c>
      <c r="F2284" t="s">
        <v>66</v>
      </c>
      <c r="G2284">
        <v>-512.99339999999995</v>
      </c>
      <c r="H2284">
        <v>1.9768250000000001</v>
      </c>
      <c r="I2284">
        <v>210.4254</v>
      </c>
      <c r="J2284">
        <v>-482.1653</v>
      </c>
      <c r="K2284">
        <v>1.1164849999999999</v>
      </c>
      <c r="L2284">
        <v>280.94690000000003</v>
      </c>
      <c r="M2284">
        <v>-0.91725400000000001</v>
      </c>
      <c r="N2284">
        <v>0</v>
      </c>
      <c r="O2284">
        <v>-0.39804240000000002</v>
      </c>
      <c r="P2284">
        <v>-0.80978139999999998</v>
      </c>
      <c r="Q2284">
        <v>-4.9016570000000002E-2</v>
      </c>
      <c r="R2284">
        <v>-0.58468069999999905</v>
      </c>
      <c r="S2284">
        <v>-1.4047240000000001</v>
      </c>
      <c r="T2284">
        <v>3.9060829999999998E-2</v>
      </c>
      <c r="U2284">
        <v>-3.2038880000000001</v>
      </c>
      <c r="V2284">
        <v>-0.2134665</v>
      </c>
      <c r="W2284">
        <v>-3.805948E-2</v>
      </c>
      <c r="X2284">
        <v>0.97620870000000004</v>
      </c>
      <c r="Y2284">
        <v>-0.68028049999999995</v>
      </c>
      <c r="Z2284">
        <v>-4.2397849999999999E-4</v>
      </c>
      <c r="AA2284">
        <v>0.73295169999999998</v>
      </c>
      <c r="AB2284">
        <v>23</v>
      </c>
      <c r="AC2284">
        <v>-30.8280999999999</v>
      </c>
      <c r="AD2284">
        <v>0.86033999999999999</v>
      </c>
      <c r="AE2284">
        <v>-70.521500000000003</v>
      </c>
      <c r="AF2284">
        <v>-52.414122612962501</v>
      </c>
      <c r="AG2284">
        <v>0.86033999999999999</v>
      </c>
      <c r="AH2284">
        <v>56.346547100628598</v>
      </c>
      <c r="AI2284">
        <v>89.359477946459094</v>
      </c>
      <c r="AJ2284">
        <v>132.92927700459401</v>
      </c>
      <c r="AK2284">
        <v>76.960469101777406</v>
      </c>
      <c r="AL2284">
        <v>92.181174484143398</v>
      </c>
      <c r="AM2284">
        <v>102.334653687504</v>
      </c>
      <c r="AN2284">
        <v>0.99999994829790295</v>
      </c>
    </row>
    <row r="2285" spans="1:40" x14ac:dyDescent="0.3">
      <c r="A2285" t="str">
        <f>"20200111160453000"</f>
        <v>20200111160453000</v>
      </c>
      <c r="B2285" t="str">
        <f>"1578729892992876"</f>
        <v>1578729892992876</v>
      </c>
      <c r="C2285" t="s">
        <v>40</v>
      </c>
      <c r="D2285">
        <v>7.7501289999999896</v>
      </c>
      <c r="E2285">
        <v>0.2757829</v>
      </c>
      <c r="F2285" t="s">
        <v>66</v>
      </c>
      <c r="G2285">
        <v>-512.66740000000004</v>
      </c>
      <c r="H2285">
        <v>1.7078880000000001</v>
      </c>
      <c r="I2285">
        <v>210.4254</v>
      </c>
      <c r="J2285">
        <v>-482.2824</v>
      </c>
      <c r="K2285">
        <v>1.1165529999999999</v>
      </c>
      <c r="L2285">
        <v>280.88920000000002</v>
      </c>
      <c r="M2285">
        <v>-0.91492309999999999</v>
      </c>
      <c r="N2285">
        <v>0</v>
      </c>
      <c r="O2285">
        <v>-0.40337030000000001</v>
      </c>
      <c r="P2285">
        <v>-0.80672339999999998</v>
      </c>
      <c r="Q2285">
        <v>-5.0485580000000002E-2</v>
      </c>
      <c r="R2285">
        <v>-0.58876870000000003</v>
      </c>
      <c r="S2285">
        <v>-1.3884890000000001</v>
      </c>
      <c r="T2285">
        <v>2.6924010000000002E-2</v>
      </c>
      <c r="U2285">
        <v>-3.2102050000000002</v>
      </c>
      <c r="V2285">
        <v>-0.2127346</v>
      </c>
      <c r="W2285">
        <v>-3.9537500000000003E-2</v>
      </c>
      <c r="X2285">
        <v>0.97630980000000001</v>
      </c>
      <c r="Y2285">
        <v>-0.67967359999999999</v>
      </c>
      <c r="Z2285">
        <v>-3.4372899999999997E-4</v>
      </c>
      <c r="AA2285">
        <v>0.73351469999999996</v>
      </c>
      <c r="AB2285">
        <v>22</v>
      </c>
      <c r="AC2285">
        <v>-30.385000000000002</v>
      </c>
      <c r="AD2285">
        <v>0.59133499999999894</v>
      </c>
      <c r="AE2285">
        <v>-70.463800000000006</v>
      </c>
      <c r="AF2285">
        <v>-52.214885176975002</v>
      </c>
      <c r="AG2285">
        <v>0.59133499999999894</v>
      </c>
      <c r="AH2285">
        <v>56.225455173984201</v>
      </c>
      <c r="AI2285">
        <v>89.558455042803601</v>
      </c>
      <c r="AJ2285">
        <v>132.881931676086</v>
      </c>
      <c r="AK2285">
        <v>76.733602291620798</v>
      </c>
      <c r="AL2285">
        <v>92.2659224416429</v>
      </c>
      <c r="AM2285">
        <v>102.292416453914</v>
      </c>
      <c r="AN2285">
        <v>1.0000000247597201</v>
      </c>
    </row>
    <row r="2286" spans="1:40" x14ac:dyDescent="0.3">
      <c r="A2286" t="str">
        <f>"20200111160453013"</f>
        <v>20200111160453013</v>
      </c>
      <c r="B2286" t="str">
        <f>"1578729893003611"</f>
        <v>1578729893003611</v>
      </c>
      <c r="C2286" t="s">
        <v>40</v>
      </c>
      <c r="D2286">
        <v>5.2252549999999998</v>
      </c>
      <c r="E2286">
        <v>0.27605760000000001</v>
      </c>
      <c r="F2286" t="s">
        <v>66</v>
      </c>
      <c r="G2286">
        <v>-512.3374</v>
      </c>
      <c r="H2286">
        <v>1.645424</v>
      </c>
      <c r="I2286">
        <v>210.4254</v>
      </c>
      <c r="J2286">
        <v>-482.39769999999999</v>
      </c>
      <c r="K2286">
        <v>1.116622</v>
      </c>
      <c r="L2286">
        <v>280.8313</v>
      </c>
      <c r="M2286">
        <v>-0.91254840000000004</v>
      </c>
      <c r="N2286">
        <v>0</v>
      </c>
      <c r="O2286">
        <v>-0.40871420000000003</v>
      </c>
      <c r="P2286">
        <v>-0.80333109999999996</v>
      </c>
      <c r="Q2286">
        <v>-5.2386439999999999E-2</v>
      </c>
      <c r="R2286">
        <v>-0.59322430000000004</v>
      </c>
      <c r="S2286">
        <v>-1.3722529999999999</v>
      </c>
      <c r="T2286">
        <v>2.414989E-2</v>
      </c>
      <c r="U2286">
        <v>-3.2172239999999999</v>
      </c>
      <c r="V2286">
        <v>-0.21244250000000001</v>
      </c>
      <c r="W2286">
        <v>-4.1455350000000002E-2</v>
      </c>
      <c r="X2286">
        <v>0.97629379999999999</v>
      </c>
      <c r="Y2286">
        <v>-0.67909439999999999</v>
      </c>
      <c r="Z2286">
        <v>-3.5450910000000001E-4</v>
      </c>
      <c r="AA2286">
        <v>0.7340508</v>
      </c>
      <c r="AB2286">
        <v>22</v>
      </c>
      <c r="AC2286">
        <v>-29.939699999999998</v>
      </c>
      <c r="AD2286">
        <v>0.52880199999999999</v>
      </c>
      <c r="AE2286">
        <v>-70.405900000000003</v>
      </c>
      <c r="AF2286">
        <v>-52.014939192671598</v>
      </c>
      <c r="AG2286">
        <v>0.52880199999999999</v>
      </c>
      <c r="AH2286">
        <v>56.100474763106597</v>
      </c>
      <c r="AI2286">
        <v>89.603971604471496</v>
      </c>
      <c r="AJ2286">
        <v>132.835899531032</v>
      </c>
      <c r="AK2286">
        <v>76.505534436526204</v>
      </c>
      <c r="AL2286">
        <v>92.375897504206804</v>
      </c>
      <c r="AM2286">
        <v>102.276245323739</v>
      </c>
      <c r="AN2286">
        <v>0.99999997288415499</v>
      </c>
    </row>
    <row r="2287" spans="1:40" x14ac:dyDescent="0.3">
      <c r="A2287" t="str">
        <f>"20200111160453028"</f>
        <v>20200111160453028</v>
      </c>
      <c r="B2287" t="str">
        <f>"1578729893023132"</f>
        <v>1578729893023132</v>
      </c>
      <c r="C2287" t="s">
        <v>40</v>
      </c>
      <c r="D2287">
        <v>5.1817320000000002</v>
      </c>
      <c r="E2287">
        <v>0.27713559999999998</v>
      </c>
      <c r="F2287" t="s">
        <v>66</v>
      </c>
      <c r="G2287">
        <v>-512.01149999999996</v>
      </c>
      <c r="H2287">
        <v>1.4298729999999999</v>
      </c>
      <c r="I2287">
        <v>210.4255</v>
      </c>
      <c r="J2287">
        <v>-482.51639999999998</v>
      </c>
      <c r="K2287">
        <v>1.116695</v>
      </c>
      <c r="L2287">
        <v>280.77100000000002</v>
      </c>
      <c r="M2287">
        <v>-0.91004050000000003</v>
      </c>
      <c r="N2287">
        <v>0</v>
      </c>
      <c r="O2287">
        <v>-0.41426740000000001</v>
      </c>
      <c r="P2287">
        <v>-0.79954799999999904</v>
      </c>
      <c r="Q2287">
        <v>-5.367682E-2</v>
      </c>
      <c r="R2287">
        <v>-0.59819880000000003</v>
      </c>
      <c r="S2287">
        <v>-1.3555299999999999</v>
      </c>
      <c r="T2287">
        <v>1.4341349999999999E-2</v>
      </c>
      <c r="U2287">
        <v>-3.2227169999999998</v>
      </c>
      <c r="V2287">
        <v>-0.21256059999999999</v>
      </c>
      <c r="W2287">
        <v>-4.277098E-2</v>
      </c>
      <c r="X2287">
        <v>0.97621139999999995</v>
      </c>
      <c r="Y2287">
        <v>-0.67830690000000005</v>
      </c>
      <c r="Z2287">
        <v>-2.397329E-4</v>
      </c>
      <c r="AA2287">
        <v>0.73477869999999901</v>
      </c>
      <c r="AB2287">
        <v>22</v>
      </c>
      <c r="AC2287">
        <v>-29.495099999999901</v>
      </c>
      <c r="AD2287">
        <v>0.31317800000000001</v>
      </c>
      <c r="AE2287">
        <v>-70.345499999999902</v>
      </c>
      <c r="AF2287">
        <v>-51.802931220987702</v>
      </c>
      <c r="AG2287">
        <v>0.31317800000000001</v>
      </c>
      <c r="AH2287">
        <v>55.988485023387497</v>
      </c>
      <c r="AI2287">
        <v>89.764757874451902</v>
      </c>
      <c r="AJ2287">
        <v>132.77631507216</v>
      </c>
      <c r="AK2287">
        <v>76.278124116683401</v>
      </c>
      <c r="AL2287">
        <v>92.451344347496601</v>
      </c>
      <c r="AM2287">
        <v>102.283868044146</v>
      </c>
      <c r="AN2287">
        <v>1.0000000314462301</v>
      </c>
    </row>
    <row r="2288" spans="1:40" x14ac:dyDescent="0.3">
      <c r="A2288" t="str">
        <f>"20200111160453067"</f>
        <v>20200111160453067</v>
      </c>
      <c r="B2288" t="str">
        <f>"1578729893063147"</f>
        <v>1578729893063147</v>
      </c>
      <c r="C2288" t="s">
        <v>40</v>
      </c>
      <c r="D2288">
        <v>5.1938339999999998</v>
      </c>
      <c r="E2288">
        <v>0.27831539999999999</v>
      </c>
      <c r="F2288" t="s">
        <v>66</v>
      </c>
      <c r="G2288">
        <v>-511.7663</v>
      </c>
      <c r="H2288">
        <v>1.1386499999999999</v>
      </c>
      <c r="I2288">
        <v>210.4254</v>
      </c>
      <c r="J2288">
        <v>-482.8535</v>
      </c>
      <c r="K2288">
        <v>1.116908</v>
      </c>
      <c r="L2288">
        <v>280.59350000000001</v>
      </c>
      <c r="M2288">
        <v>-0.90244259999999998</v>
      </c>
      <c r="N2288">
        <v>0</v>
      </c>
      <c r="O2288">
        <v>-0.43056519999999998</v>
      </c>
      <c r="P2288">
        <v>-0.78551569999999904</v>
      </c>
      <c r="Q2288">
        <v>-5.6911009999999998E-2</v>
      </c>
      <c r="R2288">
        <v>-0.61621949999999903</v>
      </c>
      <c r="S2288">
        <v>-1.3403929999999999</v>
      </c>
      <c r="T2288">
        <v>1.008868E-3</v>
      </c>
      <c r="U2288">
        <v>-3.2236020000000001</v>
      </c>
      <c r="V2288">
        <v>-0.21721470000000001</v>
      </c>
      <c r="W2288">
        <v>-4.6160399999999997E-2</v>
      </c>
      <c r="X2288">
        <v>0.9750318</v>
      </c>
      <c r="Y2288">
        <v>-0.66803840000000003</v>
      </c>
      <c r="Z2288" s="1">
        <v>-2.4539700000000002E-5</v>
      </c>
      <c r="AA2288">
        <v>0.74412679999999998</v>
      </c>
      <c r="AB2288">
        <v>22</v>
      </c>
      <c r="AC2288">
        <v>-28.912800000000001</v>
      </c>
      <c r="AD2288">
        <v>2.17419999999999E-2</v>
      </c>
      <c r="AE2288">
        <v>-70.168099999999995</v>
      </c>
      <c r="AF2288">
        <v>-50.879199989445702</v>
      </c>
      <c r="AG2288">
        <v>2.17419999999999E-2</v>
      </c>
      <c r="AH2288">
        <v>56.310019751860899</v>
      </c>
      <c r="AI2288">
        <v>89.983585438176902</v>
      </c>
      <c r="AJ2288">
        <v>132.09954780651</v>
      </c>
      <c r="AK2288">
        <v>75.891447401769497</v>
      </c>
      <c r="AL2288">
        <v>92.645736224203802</v>
      </c>
      <c r="AM2288">
        <v>102.559097019684</v>
      </c>
      <c r="AN2288">
        <v>1.0000000097177399</v>
      </c>
    </row>
    <row r="2289" spans="1:40" x14ac:dyDescent="0.3">
      <c r="A2289" t="str">
        <f>"20200111160453079"</f>
        <v>20200111160453079</v>
      </c>
      <c r="B2289" t="str">
        <f>"1578729893072906"</f>
        <v>1578729893072906</v>
      </c>
      <c r="C2289" t="s">
        <v>40</v>
      </c>
      <c r="D2289">
        <v>5.2634220000000003</v>
      </c>
      <c r="E2289">
        <v>0.2789046</v>
      </c>
      <c r="F2289" t="s">
        <v>66</v>
      </c>
      <c r="G2289">
        <v>-511.05900000000003</v>
      </c>
      <c r="H2289">
        <v>1.1457790000000001</v>
      </c>
      <c r="I2289">
        <v>208.6799</v>
      </c>
      <c r="J2289">
        <v>-482.97329999999999</v>
      </c>
      <c r="K2289">
        <v>1.1169899999999999</v>
      </c>
      <c r="L2289">
        <v>280.5283</v>
      </c>
      <c r="M2289">
        <v>-0.89956389999999997</v>
      </c>
      <c r="N2289">
        <v>0</v>
      </c>
      <c r="O2289">
        <v>-0.43654700000000002</v>
      </c>
      <c r="P2289">
        <v>-0.77986279999999997</v>
      </c>
      <c r="Q2289">
        <v>-5.7467070000000002E-2</v>
      </c>
      <c r="R2289">
        <v>-0.62330719999999995</v>
      </c>
      <c r="S2289">
        <v>-1.2730410000000001</v>
      </c>
      <c r="T2289">
        <v>1.3058189999999999E-3</v>
      </c>
      <c r="U2289">
        <v>-3.2457579999999999</v>
      </c>
      <c r="V2289">
        <v>-0.21956719999999999</v>
      </c>
      <c r="W2289">
        <v>-4.67862E-2</v>
      </c>
      <c r="X2289">
        <v>0.97447490000000003</v>
      </c>
      <c r="Y2289">
        <v>-0.6781256</v>
      </c>
      <c r="Z2289" s="1">
        <v>-3.1816960000000001E-5</v>
      </c>
      <c r="AA2289">
        <v>0.73494599999999999</v>
      </c>
      <c r="AB2289">
        <v>22</v>
      </c>
      <c r="AC2289">
        <v>-28.085699999999999</v>
      </c>
      <c r="AD2289">
        <v>2.8789000000000099E-2</v>
      </c>
      <c r="AE2289">
        <v>-71.848399999999998</v>
      </c>
      <c r="AF2289">
        <v>-52.3770308779673</v>
      </c>
      <c r="AG2289">
        <v>2.8789000000000099E-2</v>
      </c>
      <c r="AH2289">
        <v>56.636067182015402</v>
      </c>
      <c r="AI2289">
        <v>89.978617705384806</v>
      </c>
      <c r="AJ2289">
        <v>132.76264720489399</v>
      </c>
      <c r="AK2289">
        <v>77.142713837690593</v>
      </c>
      <c r="AL2289">
        <v>92.681630685796605</v>
      </c>
      <c r="AM2289">
        <v>102.697750414171</v>
      </c>
      <c r="AN2289">
        <v>1.00000001727814</v>
      </c>
    </row>
    <row r="2290" spans="1:40" x14ac:dyDescent="0.3">
      <c r="A2290" t="str">
        <f>"20200111160453093"</f>
        <v>20200111160453093</v>
      </c>
      <c r="B2290" t="str">
        <f>"1578729893083643"</f>
        <v>1578729893083643</v>
      </c>
      <c r="C2290" t="s">
        <v>40</v>
      </c>
      <c r="D2290">
        <v>5.3346210000000003</v>
      </c>
      <c r="E2290">
        <v>0.2795782</v>
      </c>
      <c r="F2290" t="s">
        <v>66</v>
      </c>
      <c r="G2290">
        <v>-511.05900000000003</v>
      </c>
      <c r="H2290">
        <v>1.0407409999999999</v>
      </c>
      <c r="I2290">
        <v>207.23419999999999</v>
      </c>
      <c r="J2290">
        <v>-483.08429999999998</v>
      </c>
      <c r="K2290">
        <v>1.1170639999999901</v>
      </c>
      <c r="L2290">
        <v>280.46660000000003</v>
      </c>
      <c r="M2290">
        <v>-0.8968043</v>
      </c>
      <c r="N2290">
        <v>0</v>
      </c>
      <c r="O2290">
        <v>-0.44218800000000003</v>
      </c>
      <c r="P2290">
        <v>-0.77436669999999996</v>
      </c>
      <c r="Q2290">
        <v>-5.8012290000000001E-2</v>
      </c>
      <c r="R2290">
        <v>-0.63007230000000003</v>
      </c>
      <c r="S2290">
        <v>-1.2465520000000001</v>
      </c>
      <c r="T2290">
        <v>-3.3814909999999999E-3</v>
      </c>
      <c r="U2290">
        <v>-3.2530519999999998</v>
      </c>
      <c r="V2290">
        <v>-0.2219276</v>
      </c>
      <c r="W2290">
        <v>-4.73991E-2</v>
      </c>
      <c r="X2290">
        <v>0.97391039999999995</v>
      </c>
      <c r="Y2290">
        <v>-0.67927320000000002</v>
      </c>
      <c r="Z2290" s="1">
        <v>8.8196309999999894E-5</v>
      </c>
      <c r="AA2290">
        <v>0.73388549999999997</v>
      </c>
      <c r="AB2290">
        <v>22</v>
      </c>
      <c r="AC2290">
        <v>-27.974699999999999</v>
      </c>
      <c r="AD2290">
        <v>-7.6322999999999905E-2</v>
      </c>
      <c r="AE2290">
        <v>-73.232399999999998</v>
      </c>
      <c r="AF2290">
        <v>-53.3106504837152</v>
      </c>
      <c r="AG2290">
        <v>-7.6322999999999905E-2</v>
      </c>
      <c r="AH2290">
        <v>57.476352915516998</v>
      </c>
      <c r="AI2290">
        <v>90.055782415530999</v>
      </c>
      <c r="AJ2290">
        <v>132.846635682504</v>
      </c>
      <c r="AK2290">
        <v>78.393637654252501</v>
      </c>
      <c r="AL2290">
        <v>92.716786318095799</v>
      </c>
      <c r="AM2290">
        <v>102.83694974984</v>
      </c>
      <c r="AN2290">
        <v>1.00000000077536</v>
      </c>
    </row>
    <row r="2291" spans="1:40" x14ac:dyDescent="0.3">
      <c r="A2291" t="str">
        <f>"20200111160453106"</f>
        <v>20200111160453106</v>
      </c>
      <c r="B2291" t="str">
        <f>"1578729893103163"</f>
        <v>1578729893103163</v>
      </c>
      <c r="C2291" t="s">
        <v>40</v>
      </c>
      <c r="D2291">
        <v>5.2186130000000004</v>
      </c>
      <c r="E2291">
        <v>0.280362</v>
      </c>
      <c r="F2291" t="s">
        <v>66</v>
      </c>
      <c r="G2291">
        <v>-511.9255</v>
      </c>
      <c r="H2291">
        <v>1.035882</v>
      </c>
      <c r="I2291">
        <v>203.53440000000001</v>
      </c>
      <c r="J2291">
        <v>-483.19119999999998</v>
      </c>
      <c r="K2291">
        <v>1.1171359999999999</v>
      </c>
      <c r="L2291">
        <v>280.40660000000003</v>
      </c>
      <c r="M2291">
        <v>-0.89408149999999997</v>
      </c>
      <c r="N2291">
        <v>0</v>
      </c>
      <c r="O2291">
        <v>-0.44766679999999998</v>
      </c>
      <c r="P2291">
        <v>-0.768586199999999</v>
      </c>
      <c r="Q2291">
        <v>-5.8846839999999997E-2</v>
      </c>
      <c r="R2291">
        <v>-0.6370344</v>
      </c>
      <c r="S2291">
        <v>-1.2218929999999999</v>
      </c>
      <c r="T2291">
        <v>-3.4368039999999999E-3</v>
      </c>
      <c r="U2291">
        <v>-3.2593079999999999</v>
      </c>
      <c r="V2291">
        <v>-0.2247594</v>
      </c>
      <c r="W2291">
        <v>-4.8310859999999997E-2</v>
      </c>
      <c r="X2291">
        <v>0.97321590000000002</v>
      </c>
      <c r="Y2291">
        <v>-0.68010899999999996</v>
      </c>
      <c r="Z2291" s="1">
        <v>9.5596569999999997E-5</v>
      </c>
      <c r="AA2291">
        <v>0.73311110000000002</v>
      </c>
      <c r="AB2291">
        <v>22</v>
      </c>
      <c r="AC2291">
        <v>-28.734300000000001</v>
      </c>
      <c r="AD2291">
        <v>-8.1254000000000104E-2</v>
      </c>
      <c r="AE2291">
        <v>-76.872200000000007</v>
      </c>
      <c r="AF2291">
        <v>-55.872507555638897</v>
      </c>
      <c r="AG2291">
        <v>-8.1254000000000104E-2</v>
      </c>
      <c r="AH2291">
        <v>60.110272203421701</v>
      </c>
      <c r="AI2291">
        <v>90.056728202547703</v>
      </c>
      <c r="AJ2291">
        <v>132.90746466123301</v>
      </c>
      <c r="AK2291">
        <v>82.066975862017102</v>
      </c>
      <c r="AL2291">
        <v>92.769086359932999</v>
      </c>
      <c r="AM2291">
        <v>103.00418107589699</v>
      </c>
      <c r="AN2291">
        <v>0.999999957547553</v>
      </c>
    </row>
    <row r="2292" spans="1:40" x14ac:dyDescent="0.3">
      <c r="A2292" t="str">
        <f>"20200111160453119"</f>
        <v>20200111160453119</v>
      </c>
      <c r="B2292" t="str">
        <f>"1578729893112922"</f>
        <v>1578729893112922</v>
      </c>
      <c r="C2292" t="s">
        <v>40</v>
      </c>
      <c r="D2292">
        <v>5.2408510000000001</v>
      </c>
      <c r="E2292">
        <v>0.28075250000000002</v>
      </c>
      <c r="F2292" t="s">
        <v>66</v>
      </c>
      <c r="G2292">
        <v>-511.9255</v>
      </c>
      <c r="H2292">
        <v>0.89621039999999996</v>
      </c>
      <c r="I2292">
        <v>202.00569999999999</v>
      </c>
      <c r="J2292">
        <v>-483.31709999999998</v>
      </c>
      <c r="K2292">
        <v>1.1172219999999999</v>
      </c>
      <c r="L2292">
        <v>280.33440000000002</v>
      </c>
      <c r="M2292">
        <v>-0.89074869999999995</v>
      </c>
      <c r="N2292">
        <v>0</v>
      </c>
      <c r="O2292">
        <v>-0.45426139999999998</v>
      </c>
      <c r="P2292">
        <v>-0.76192409999999999</v>
      </c>
      <c r="Q2292">
        <v>-5.8998620000000002E-2</v>
      </c>
      <c r="R2292">
        <v>-0.64497389999999999</v>
      </c>
      <c r="S2292">
        <v>-1.1965939999999999</v>
      </c>
      <c r="T2292">
        <v>-9.1975930000000004E-3</v>
      </c>
      <c r="U2292">
        <v>-3.2648619999999999</v>
      </c>
      <c r="V2292">
        <v>-0.22765340000000001</v>
      </c>
      <c r="W2292">
        <v>-4.8545119999999997E-2</v>
      </c>
      <c r="X2292">
        <v>0.97253140000000005</v>
      </c>
      <c r="Y2292">
        <v>-0.68009629999999999</v>
      </c>
      <c r="Z2292">
        <v>2.7702770000000002E-4</v>
      </c>
      <c r="AA2292">
        <v>0.73312279999999996</v>
      </c>
      <c r="AB2292">
        <v>22</v>
      </c>
      <c r="AC2292">
        <v>-28.6084</v>
      </c>
      <c r="AD2292">
        <v>-0.2210116</v>
      </c>
      <c r="AE2292">
        <v>-78.328699999999998</v>
      </c>
      <c r="AF2292">
        <v>-56.781154049703403</v>
      </c>
      <c r="AG2292">
        <v>-0.2210116</v>
      </c>
      <c r="AH2292">
        <v>61.070685666762401</v>
      </c>
      <c r="AI2292">
        <v>90.151854557797606</v>
      </c>
      <c r="AJ2292">
        <v>132.91548768004199</v>
      </c>
      <c r="AK2292">
        <v>83.389309561549894</v>
      </c>
      <c r="AL2292">
        <v>92.782524086308698</v>
      </c>
      <c r="AM2292">
        <v>103.174769047529</v>
      </c>
      <c r="AN2292">
        <v>1.0000000115966601</v>
      </c>
    </row>
    <row r="2293" spans="1:40" x14ac:dyDescent="0.3">
      <c r="A2293" t="str">
        <f>"20200111160453132"</f>
        <v>20200111160453132</v>
      </c>
      <c r="B2293" t="str">
        <f>"1578729893123659"</f>
        <v>1578729893123659</v>
      </c>
      <c r="C2293" t="s">
        <v>40</v>
      </c>
      <c r="D2293">
        <v>5.3004939999999996</v>
      </c>
      <c r="E2293">
        <v>0.2814026</v>
      </c>
      <c r="F2293" t="s">
        <v>66</v>
      </c>
      <c r="G2293">
        <v>-511.9255</v>
      </c>
      <c r="H2293">
        <v>0.90805089999999999</v>
      </c>
      <c r="I2293">
        <v>199.9006</v>
      </c>
      <c r="J2293">
        <v>-483.4151</v>
      </c>
      <c r="K2293">
        <v>1.117292</v>
      </c>
      <c r="L2293">
        <v>280.27719999999999</v>
      </c>
      <c r="M2293">
        <v>-0.88807099999999894</v>
      </c>
      <c r="N2293">
        <v>0</v>
      </c>
      <c r="O2293">
        <v>-0.45947359999999998</v>
      </c>
      <c r="P2293">
        <v>-0.753996</v>
      </c>
      <c r="Q2293">
        <v>-5.7705779999999998E-2</v>
      </c>
      <c r="R2293">
        <v>-0.65433960000000002</v>
      </c>
      <c r="S2293">
        <v>-1.1647339999999999</v>
      </c>
      <c r="T2293">
        <v>-8.5135699999999998E-3</v>
      </c>
      <c r="U2293">
        <v>-3.274689</v>
      </c>
      <c r="V2293">
        <v>-0.2339281</v>
      </c>
      <c r="W2293">
        <v>-4.739616E-2</v>
      </c>
      <c r="X2293">
        <v>0.97109789999999996</v>
      </c>
      <c r="Y2293">
        <v>-0.6828187</v>
      </c>
      <c r="Z2293">
        <v>2.6721189999999998E-4</v>
      </c>
      <c r="AA2293">
        <v>0.73058789999999996</v>
      </c>
      <c r="AB2293">
        <v>22</v>
      </c>
      <c r="AC2293">
        <v>-28.510400000000001</v>
      </c>
      <c r="AD2293">
        <v>-0.20924110000000001</v>
      </c>
      <c r="AE2293">
        <v>-80.376599999999996</v>
      </c>
      <c r="AF2293">
        <v>-58.286234925816601</v>
      </c>
      <c r="AG2293">
        <v>-0.20924110000000001</v>
      </c>
      <c r="AH2293">
        <v>62.2564694711103</v>
      </c>
      <c r="AI2293">
        <v>90.140574772229797</v>
      </c>
      <c r="AJ2293">
        <v>133.11356911496401</v>
      </c>
      <c r="AK2293">
        <v>85.283040252283996</v>
      </c>
      <c r="AL2293">
        <v>92.716617839662305</v>
      </c>
      <c r="AM2293">
        <v>103.54395776328801</v>
      </c>
      <c r="AN2293">
        <v>0.99999994166838102</v>
      </c>
    </row>
    <row r="2294" spans="1:40" x14ac:dyDescent="0.3">
      <c r="A2294" t="str">
        <f>"20200111160453146"</f>
        <v>20200111160453146</v>
      </c>
      <c r="B2294" t="str">
        <f>"1578729893143179"</f>
        <v>1578729893143179</v>
      </c>
      <c r="C2294" t="s">
        <v>40</v>
      </c>
      <c r="D2294">
        <v>5.2935759999999998</v>
      </c>
      <c r="E2294">
        <v>0.28194140000000001</v>
      </c>
      <c r="F2294" t="s">
        <v>66</v>
      </c>
      <c r="G2294">
        <v>-511.9255</v>
      </c>
      <c r="H2294">
        <v>1.0622049999999901</v>
      </c>
      <c r="I2294">
        <v>197.30340000000001</v>
      </c>
      <c r="J2294">
        <v>-483.5206</v>
      </c>
      <c r="K2294">
        <v>1.1173789999999999</v>
      </c>
      <c r="L2294">
        <v>280.2149</v>
      </c>
      <c r="M2294">
        <v>-0.88511879999999998</v>
      </c>
      <c r="N2294">
        <v>0</v>
      </c>
      <c r="O2294">
        <v>-0.4651343</v>
      </c>
      <c r="P2294">
        <v>-0.74795500000000004</v>
      </c>
      <c r="Q2294">
        <v>-5.5900020000000002E-2</v>
      </c>
      <c r="R2294">
        <v>-0.66139150000000002</v>
      </c>
      <c r="S2294">
        <v>-1.1285099999999999</v>
      </c>
      <c r="T2294">
        <v>-2.1781919999999998E-3</v>
      </c>
      <c r="U2294">
        <v>-3.2842709999999999</v>
      </c>
      <c r="V2294">
        <v>-0.23680180000000001</v>
      </c>
      <c r="W2294">
        <v>-4.5668830000000001E-2</v>
      </c>
      <c r="X2294">
        <v>0.97048400000000001</v>
      </c>
      <c r="Y2294">
        <v>-0.6860039</v>
      </c>
      <c r="Z2294" s="1">
        <v>7.1302129999999998E-5</v>
      </c>
      <c r="AA2294">
        <v>0.72759799999999997</v>
      </c>
      <c r="AB2294">
        <v>22</v>
      </c>
      <c r="AC2294">
        <v>-28.404900000000001</v>
      </c>
      <c r="AD2294">
        <v>-5.5174000000000202E-2</v>
      </c>
      <c r="AE2294">
        <v>-82.911499999999904</v>
      </c>
      <c r="AF2294">
        <v>-60.180873817808298</v>
      </c>
      <c r="AG2294">
        <v>-5.5174000000000202E-2</v>
      </c>
      <c r="AH2294">
        <v>63.713511239360301</v>
      </c>
      <c r="AI2294">
        <v>90.036069817773395</v>
      </c>
      <c r="AJ2294">
        <v>133.36675092989501</v>
      </c>
      <c r="AK2294">
        <v>87.642182378654496</v>
      </c>
      <c r="AL2294">
        <v>92.617541721644699</v>
      </c>
      <c r="AM2294">
        <v>103.71244324876</v>
      </c>
      <c r="AN2294">
        <v>0.99999996438640304</v>
      </c>
    </row>
    <row r="2295" spans="1:40" x14ac:dyDescent="0.3">
      <c r="A2295" t="str">
        <f>"20200111160453158"</f>
        <v>20200111160453158</v>
      </c>
      <c r="B2295" t="str">
        <f>"1578729893152939"</f>
        <v>1578729893152939</v>
      </c>
      <c r="C2295" t="s">
        <v>40</v>
      </c>
      <c r="D2295">
        <v>5.2963740000000001</v>
      </c>
      <c r="E2295">
        <v>0.2968558</v>
      </c>
      <c r="F2295" t="s">
        <v>66</v>
      </c>
      <c r="G2295">
        <v>-511.92559999999997</v>
      </c>
      <c r="H2295">
        <v>1.1229009999999999</v>
      </c>
      <c r="I2295">
        <v>195.2792</v>
      </c>
      <c r="J2295">
        <v>-483.64</v>
      </c>
      <c r="K2295">
        <v>1.117478</v>
      </c>
      <c r="L2295">
        <v>280.1429</v>
      </c>
      <c r="M2295">
        <v>-0.88165169999999904</v>
      </c>
      <c r="N2295">
        <v>0</v>
      </c>
      <c r="O2295">
        <v>-0.47167239999999999</v>
      </c>
      <c r="P2295">
        <v>-0.74133400000000005</v>
      </c>
      <c r="Q2295">
        <v>-5.359013E-2</v>
      </c>
      <c r="R2295">
        <v>-0.66899379999999997</v>
      </c>
      <c r="S2295">
        <v>-1.1006769999999999</v>
      </c>
      <c r="T2295">
        <v>2.161264E-4</v>
      </c>
      <c r="U2295">
        <v>-3.2911990000000002</v>
      </c>
      <c r="V2295">
        <v>-0.2394732</v>
      </c>
      <c r="W2295">
        <v>-4.3435670000000003E-2</v>
      </c>
      <c r="X2295">
        <v>0.96993090000000004</v>
      </c>
      <c r="Y2295">
        <v>-0.68660900000000002</v>
      </c>
      <c r="Z2295" s="1">
        <v>-7.5461679999999998E-6</v>
      </c>
      <c r="AA2295">
        <v>0.72702690000000003</v>
      </c>
      <c r="AB2295">
        <v>22</v>
      </c>
      <c r="AC2295">
        <v>-28.285599999999899</v>
      </c>
      <c r="AD2295">
        <v>5.4229999999999504E-3</v>
      </c>
      <c r="AE2295">
        <v>-84.863699999999994</v>
      </c>
      <c r="AF2295">
        <v>-61.485311463653296</v>
      </c>
      <c r="AG2295">
        <v>5.4229999999999504E-3</v>
      </c>
      <c r="AH2295">
        <v>64.972910974110405</v>
      </c>
      <c r="AI2295">
        <v>89.996526517934498</v>
      </c>
      <c r="AJ2295">
        <v>133.42023642838899</v>
      </c>
      <c r="AK2295">
        <v>89.453466761445696</v>
      </c>
      <c r="AL2295">
        <v>92.489463757343401</v>
      </c>
      <c r="AM2295">
        <v>103.86880054318399</v>
      </c>
      <c r="AN2295">
        <v>1.0000000108606899</v>
      </c>
    </row>
    <row r="2296" spans="1:40" x14ac:dyDescent="0.3">
      <c r="A2296" t="str">
        <f>"20200111160453172"</f>
        <v>20200111160453172</v>
      </c>
      <c r="B2296" t="str">
        <f>"1578729893163675"</f>
        <v>1578729893163675</v>
      </c>
      <c r="C2296" t="s">
        <v>40</v>
      </c>
      <c r="D2296">
        <v>5.3180170000000002</v>
      </c>
      <c r="E2296">
        <v>0.29788189999999998</v>
      </c>
      <c r="F2296" t="s">
        <v>41</v>
      </c>
      <c r="G2296">
        <v>-491.22519999999997</v>
      </c>
      <c r="H2296" s="1">
        <v>-4.2219570000000003E-6</v>
      </c>
      <c r="I2296">
        <v>258.75459999999998</v>
      </c>
      <c r="J2296">
        <v>-483.75029999999998</v>
      </c>
      <c r="K2296">
        <v>1.1175790000000001</v>
      </c>
      <c r="L2296">
        <v>280.0752</v>
      </c>
      <c r="M2296">
        <v>-0.87834749999999995</v>
      </c>
      <c r="N2296">
        <v>0</v>
      </c>
      <c r="O2296">
        <v>-0.47779640000000001</v>
      </c>
      <c r="P2296">
        <v>-0.73494649999999995</v>
      </c>
      <c r="Q2296">
        <v>-5.1331460000000002E-2</v>
      </c>
      <c r="R2296">
        <v>-0.67617950000000004</v>
      </c>
      <c r="S2296">
        <v>-1.138245</v>
      </c>
      <c r="T2296">
        <v>-0.1676906</v>
      </c>
      <c r="U2296">
        <v>-3.2095639999999999</v>
      </c>
      <c r="V2296">
        <v>-0.24211759999999999</v>
      </c>
      <c r="W2296">
        <v>-4.1251139999999999E-2</v>
      </c>
      <c r="X2296">
        <v>0.96936960000000005</v>
      </c>
      <c r="Y2296">
        <v>-0.66797569999999995</v>
      </c>
      <c r="Z2296">
        <v>6.9597679999999999E-3</v>
      </c>
      <c r="AA2296">
        <v>0.7441506</v>
      </c>
      <c r="AB2296">
        <v>22</v>
      </c>
      <c r="AC2296">
        <v>-7.4748999999999901</v>
      </c>
      <c r="AD2296">
        <v>-1.1175832219570001</v>
      </c>
      <c r="AE2296">
        <v>-21.320599999999999</v>
      </c>
      <c r="AF2296">
        <v>-15.1200574749138</v>
      </c>
      <c r="AG2296">
        <v>-1.1175832219570001</v>
      </c>
      <c r="AH2296">
        <v>16.713381776383901</v>
      </c>
      <c r="AI2296">
        <v>92.838801633685307</v>
      </c>
      <c r="AJ2296">
        <v>132.13462821691601</v>
      </c>
      <c r="AK2296">
        <v>22.565510424226201</v>
      </c>
      <c r="AL2296">
        <v>92.364187039345296</v>
      </c>
      <c r="AM2296">
        <v>104.02373729884501</v>
      </c>
      <c r="AN2296">
        <v>1.0000000050925999</v>
      </c>
    </row>
    <row r="2297" spans="1:40" x14ac:dyDescent="0.3">
      <c r="A2297" t="str">
        <f>"20200111160453185"</f>
        <v>20200111160453185</v>
      </c>
      <c r="B2297" t="str">
        <f>"1578729893173435"</f>
        <v>1578729893173435</v>
      </c>
      <c r="C2297" t="s">
        <v>40</v>
      </c>
      <c r="D2297">
        <v>5.2744369999999998</v>
      </c>
      <c r="E2297">
        <v>0.29858299999999999</v>
      </c>
      <c r="F2297" t="s">
        <v>41</v>
      </c>
      <c r="G2297">
        <v>-492.15649999999999</v>
      </c>
      <c r="H2297" s="1">
        <v>-3.2432760000000001E-6</v>
      </c>
      <c r="I2297">
        <v>255.81180000000001</v>
      </c>
      <c r="J2297">
        <v>-483.85079999999999</v>
      </c>
      <c r="K2297">
        <v>1.117664</v>
      </c>
      <c r="L2297">
        <v>280.01280000000003</v>
      </c>
      <c r="M2297">
        <v>-0.87526349999999997</v>
      </c>
      <c r="N2297">
        <v>0</v>
      </c>
      <c r="O2297">
        <v>-0.48342220000000002</v>
      </c>
      <c r="P2297">
        <v>-0.72877890000000001</v>
      </c>
      <c r="Q2297">
        <v>-4.935287E-2</v>
      </c>
      <c r="R2297">
        <v>-0.68296859999999904</v>
      </c>
      <c r="S2297">
        <v>-1.1137999999999999</v>
      </c>
      <c r="T2297">
        <v>-0.14807679999999901</v>
      </c>
      <c r="U2297">
        <v>-3.2148439999999998</v>
      </c>
      <c r="V2297">
        <v>-0.2448487</v>
      </c>
      <c r="W2297">
        <v>-3.9347510000000002E-2</v>
      </c>
      <c r="X2297">
        <v>0.96876260000000003</v>
      </c>
      <c r="Y2297">
        <v>-0.668678199999999</v>
      </c>
      <c r="Z2297">
        <v>6.4276759999999898E-3</v>
      </c>
      <c r="AA2297">
        <v>0.74352410000000002</v>
      </c>
      <c r="AB2297">
        <v>22</v>
      </c>
      <c r="AC2297">
        <v>-8.3056999999999999</v>
      </c>
      <c r="AD2297">
        <v>-1.117667243276</v>
      </c>
      <c r="AE2297">
        <v>-24.201000000000001</v>
      </c>
      <c r="AF2297">
        <v>-17.136255611026002</v>
      </c>
      <c r="AG2297">
        <v>-1.117667243276</v>
      </c>
      <c r="AH2297">
        <v>18.934903472519199</v>
      </c>
      <c r="AI2297">
        <v>92.505957829326107</v>
      </c>
      <c r="AJ2297">
        <v>132.14537461610499</v>
      </c>
      <c r="AK2297">
        <v>25.562296570275699</v>
      </c>
      <c r="AL2297">
        <v>92.255028296458505</v>
      </c>
      <c r="AM2297">
        <v>104.184106029552</v>
      </c>
      <c r="AN2297">
        <v>1.0000000437968199</v>
      </c>
    </row>
    <row r="2298" spans="1:40" x14ac:dyDescent="0.3">
      <c r="A2298" t="str">
        <f>"20200111160453198"</f>
        <v>20200111160453198</v>
      </c>
      <c r="B2298" t="str">
        <f>"1578729893192955"</f>
        <v>1578729893192955</v>
      </c>
      <c r="C2298" t="s">
        <v>40</v>
      </c>
      <c r="D2298">
        <v>5.3821510000000004</v>
      </c>
      <c r="E2298">
        <v>0.29919370000000001</v>
      </c>
      <c r="F2298" t="s">
        <v>41</v>
      </c>
      <c r="G2298">
        <v>-492.9511</v>
      </c>
      <c r="H2298" s="1">
        <v>-2.285762E-6</v>
      </c>
      <c r="I2298">
        <v>253.08690000000001</v>
      </c>
      <c r="J2298">
        <v>-483.9665</v>
      </c>
      <c r="K2298">
        <v>1.117767</v>
      </c>
      <c r="L2298">
        <v>279.9393</v>
      </c>
      <c r="M2298">
        <v>-0.87158279999999999</v>
      </c>
      <c r="N2298">
        <v>0</v>
      </c>
      <c r="O2298">
        <v>-0.49002590000000001</v>
      </c>
      <c r="P2298">
        <v>-0.72056279999999995</v>
      </c>
      <c r="Q2298">
        <v>-4.608959E-2</v>
      </c>
      <c r="R2298">
        <v>-0.69185620000000003</v>
      </c>
      <c r="S2298">
        <v>-1.088684</v>
      </c>
      <c r="T2298">
        <v>-0.1337082</v>
      </c>
      <c r="U2298">
        <v>-3.2211910000000001</v>
      </c>
      <c r="V2298">
        <v>-0.24934509999999999</v>
      </c>
      <c r="W2298">
        <v>-3.6198210000000001E-2</v>
      </c>
      <c r="X2298">
        <v>0.96773790000000004</v>
      </c>
      <c r="Y2298">
        <v>-0.66873570000000004</v>
      </c>
      <c r="Z2298">
        <v>6.1216889999999996E-3</v>
      </c>
      <c r="AA2298">
        <v>0.743475</v>
      </c>
      <c r="AB2298">
        <v>22</v>
      </c>
      <c r="AC2298">
        <v>-8.9846000000000004</v>
      </c>
      <c r="AD2298">
        <v>-1.1177692857620001</v>
      </c>
      <c r="AE2298">
        <v>-26.8523999999999</v>
      </c>
      <c r="AF2298">
        <v>-18.9739080359947</v>
      </c>
      <c r="AG2298">
        <v>-1.1177692857620001</v>
      </c>
      <c r="AH2298">
        <v>20.9588227047646</v>
      </c>
      <c r="AI2298">
        <v>92.264116674920402</v>
      </c>
      <c r="AJ2298">
        <v>132.154371701228</v>
      </c>
      <c r="AK2298">
        <v>28.293653767308601</v>
      </c>
      <c r="AL2298">
        <v>92.074457928001195</v>
      </c>
      <c r="AM2298">
        <v>104.448437289718</v>
      </c>
      <c r="AN2298">
        <v>0.99999996619881104</v>
      </c>
    </row>
    <row r="2299" spans="1:40" x14ac:dyDescent="0.3">
      <c r="A2299" t="str">
        <f>"20200111160453210"</f>
        <v>20200111160453210</v>
      </c>
      <c r="B2299" t="str">
        <f>"1578729893203691"</f>
        <v>1578729893203691</v>
      </c>
      <c r="C2299" t="s">
        <v>40</v>
      </c>
      <c r="D2299">
        <v>5.3664860000000001</v>
      </c>
      <c r="E2299">
        <v>0.30625049999999998</v>
      </c>
      <c r="F2299" t="s">
        <v>41</v>
      </c>
      <c r="G2299">
        <v>-493.48489999999998</v>
      </c>
      <c r="H2299" s="1">
        <v>-1.4157419999999999E-6</v>
      </c>
      <c r="I2299">
        <v>250.7278</v>
      </c>
      <c r="J2299">
        <v>-484.06310000000002</v>
      </c>
      <c r="K2299">
        <v>1.1178410000000001</v>
      </c>
      <c r="L2299">
        <v>279.87689999999998</v>
      </c>
      <c r="M2299">
        <v>-0.86842369999999902</v>
      </c>
      <c r="N2299">
        <v>0</v>
      </c>
      <c r="O2299">
        <v>-0.4956025</v>
      </c>
      <c r="P2299">
        <v>-0.71521299999999999</v>
      </c>
      <c r="Q2299">
        <v>-4.4627E-2</v>
      </c>
      <c r="R2299">
        <v>-0.69748049999999995</v>
      </c>
      <c r="S2299">
        <v>-1.0529170000000001</v>
      </c>
      <c r="T2299">
        <v>-0.12364700000000001</v>
      </c>
      <c r="U2299">
        <v>-3.2313540000000001</v>
      </c>
      <c r="V2299">
        <v>-0.25069750000000002</v>
      </c>
      <c r="W2299">
        <v>-3.4780070000000003E-2</v>
      </c>
      <c r="X2299">
        <v>0.96744050000000004</v>
      </c>
      <c r="Y2299">
        <v>-0.67210789999999998</v>
      </c>
      <c r="Z2299">
        <v>5.8285749999999999E-3</v>
      </c>
      <c r="AA2299">
        <v>0.74043029999999999</v>
      </c>
      <c r="AB2299">
        <v>22</v>
      </c>
      <c r="AC2299">
        <v>-9.4217999999999602</v>
      </c>
      <c r="AD2299">
        <v>-1.1178424157419999</v>
      </c>
      <c r="AE2299">
        <v>-29.149099999999901</v>
      </c>
      <c r="AF2299">
        <v>-20.6191015954523</v>
      </c>
      <c r="AG2299">
        <v>-1.1178424157419999</v>
      </c>
      <c r="AH2299">
        <v>22.600859161401502</v>
      </c>
      <c r="AI2299">
        <v>92.092592263969806</v>
      </c>
      <c r="AJ2299">
        <v>132.37466516842099</v>
      </c>
      <c r="AK2299">
        <v>30.6136531159468</v>
      </c>
      <c r="AL2299">
        <v>91.993153186576194</v>
      </c>
      <c r="AM2299">
        <v>104.527772985722</v>
      </c>
      <c r="AN2299">
        <v>1.0000000054078499</v>
      </c>
    </row>
    <row r="2300" spans="1:40" x14ac:dyDescent="0.3">
      <c r="A2300" t="str">
        <f>"20200111160453223"</f>
        <v>20200111160453223</v>
      </c>
      <c r="B2300" t="str">
        <f>"1578729893213451"</f>
        <v>1578729893213451</v>
      </c>
      <c r="C2300" t="s">
        <v>40</v>
      </c>
      <c r="D2300">
        <v>5.4704379999999997</v>
      </c>
      <c r="E2300">
        <v>0.30625049999999998</v>
      </c>
      <c r="F2300" t="s">
        <v>41</v>
      </c>
      <c r="G2300">
        <v>-489.95209999999997</v>
      </c>
      <c r="H2300" s="1">
        <v>-1.1006990000000001E-6</v>
      </c>
      <c r="I2300">
        <v>262.17869999999999</v>
      </c>
      <c r="J2300">
        <v>-484.16539999999998</v>
      </c>
      <c r="K2300">
        <v>1.1179159999999999</v>
      </c>
      <c r="L2300">
        <v>279.81009999999998</v>
      </c>
      <c r="M2300">
        <v>-0.86500390000000005</v>
      </c>
      <c r="N2300">
        <v>0</v>
      </c>
      <c r="O2300">
        <v>-0.50154679999999996</v>
      </c>
      <c r="P2300">
        <v>-0.70961189999999996</v>
      </c>
      <c r="Q2300">
        <v>-4.3775040000000001E-2</v>
      </c>
      <c r="R2300">
        <v>-0.70323199999999997</v>
      </c>
      <c r="S2300">
        <v>-1.063904</v>
      </c>
      <c r="T2300">
        <v>-0.20194799999999999</v>
      </c>
      <c r="U2300">
        <v>-3.197327</v>
      </c>
      <c r="V2300">
        <v>-0.25185489999999999</v>
      </c>
      <c r="W2300">
        <v>-3.396938E-2</v>
      </c>
      <c r="X2300">
        <v>0.96716860000000004</v>
      </c>
      <c r="Y2300">
        <v>-0.66218120000000003</v>
      </c>
      <c r="Z2300">
        <v>1.042567E-2</v>
      </c>
      <c r="AA2300">
        <v>0.74927119999999903</v>
      </c>
      <c r="AB2300">
        <v>22</v>
      </c>
      <c r="AC2300">
        <v>-5.78669999999999</v>
      </c>
      <c r="AD2300">
        <v>-1.1179171006990001</v>
      </c>
      <c r="AE2300">
        <v>-17.6313999999999</v>
      </c>
      <c r="AF2300">
        <v>-12.305621572255999</v>
      </c>
      <c r="AG2300">
        <v>-1.1179171006990001</v>
      </c>
      <c r="AH2300">
        <v>13.7999240781468</v>
      </c>
      <c r="AI2300">
        <v>93.459997312756002</v>
      </c>
      <c r="AJ2300">
        <v>131.723918247809</v>
      </c>
      <c r="AK2300">
        <v>18.523389686723799</v>
      </c>
      <c r="AL2300">
        <v>91.946676700984497</v>
      </c>
      <c r="AM2300">
        <v>104.595914059545</v>
      </c>
      <c r="AN2300">
        <v>0.99999995512877604</v>
      </c>
    </row>
    <row r="2301" spans="1:40" x14ac:dyDescent="0.3">
      <c r="A2301" t="str">
        <f>"20200111160453261"</f>
        <v>20200111160453261</v>
      </c>
      <c r="B2301" t="str">
        <f>"1578729893253467"</f>
        <v>1578729893253467</v>
      </c>
      <c r="C2301" t="s">
        <v>40</v>
      </c>
      <c r="D2301">
        <v>5.4748159999999997</v>
      </c>
      <c r="E2301">
        <v>0.31197740000000002</v>
      </c>
      <c r="F2301" t="s">
        <v>41</v>
      </c>
      <c r="G2301">
        <v>-490.04570000000001</v>
      </c>
      <c r="H2301" s="1">
        <v>-8.9735019999999996E-7</v>
      </c>
      <c r="I2301">
        <v>261.65260000000001</v>
      </c>
      <c r="J2301">
        <v>-484.47039999999998</v>
      </c>
      <c r="K2301">
        <v>1.1181099999999999</v>
      </c>
      <c r="L2301">
        <v>279.60340000000002</v>
      </c>
      <c r="M2301">
        <v>-0.85417929999999997</v>
      </c>
      <c r="N2301">
        <v>0</v>
      </c>
      <c r="O2301">
        <v>-0.5197659</v>
      </c>
      <c r="P2301">
        <v>-0.69354740000000004</v>
      </c>
      <c r="Q2301">
        <v>-4.3966030000000003E-2</v>
      </c>
      <c r="R2301">
        <v>-0.71906829999999999</v>
      </c>
      <c r="S2301">
        <v>-1.0382690000000001</v>
      </c>
      <c r="T2301">
        <v>-0.1973895</v>
      </c>
      <c r="U2301">
        <v>-3.2060550000000001</v>
      </c>
      <c r="V2301">
        <v>-0.25317420000000002</v>
      </c>
      <c r="W2301">
        <v>-3.423093E-2</v>
      </c>
      <c r="X2301">
        <v>0.96681490000000003</v>
      </c>
      <c r="Y2301">
        <v>-0.65231249999999996</v>
      </c>
      <c r="Z2301">
        <v>1.1868790000000001E-2</v>
      </c>
      <c r="AA2301">
        <v>0.75785719999999901</v>
      </c>
      <c r="AB2301">
        <v>22</v>
      </c>
      <c r="AC2301">
        <v>-5.5753000000000199</v>
      </c>
      <c r="AD2301">
        <v>-1.1181108973502001</v>
      </c>
      <c r="AE2301">
        <v>-17.950800000000001</v>
      </c>
      <c r="AF2301">
        <v>-12.3928751130998</v>
      </c>
      <c r="AG2301">
        <v>-1.1181108973502001</v>
      </c>
      <c r="AH2301">
        <v>14.044383279830299</v>
      </c>
      <c r="AI2301">
        <v>93.416215678792696</v>
      </c>
      <c r="AJ2301">
        <v>131.4254368894</v>
      </c>
      <c r="AK2301">
        <v>18.7637476869211</v>
      </c>
      <c r="AL2301">
        <v>91.961671061932194</v>
      </c>
      <c r="AM2301">
        <v>104.674217698124</v>
      </c>
      <c r="AN2301">
        <v>0.99999999148815699</v>
      </c>
    </row>
    <row r="2302" spans="1:40" x14ac:dyDescent="0.3">
      <c r="A2302" t="str">
        <f>"20200111160453272"</f>
        <v>20200111160453272</v>
      </c>
      <c r="B2302" t="str">
        <f>"1578729893253467"</f>
        <v>1578729893253467</v>
      </c>
      <c r="C2302" t="s">
        <v>40</v>
      </c>
      <c r="D2302">
        <v>5.4748159999999997</v>
      </c>
      <c r="E2302">
        <v>0.31197740000000002</v>
      </c>
      <c r="F2302" t="s">
        <v>41</v>
      </c>
      <c r="G2302">
        <v>-489.48410000000001</v>
      </c>
      <c r="H2302" s="1">
        <v>-1.7636839999999999E-6</v>
      </c>
      <c r="I2302">
        <v>263.53070000000002</v>
      </c>
      <c r="J2302">
        <v>-484.56310000000002</v>
      </c>
      <c r="K2302">
        <v>1.118152</v>
      </c>
      <c r="L2302">
        <v>279.53820000000002</v>
      </c>
      <c r="M2302">
        <v>-0.85069980000000001</v>
      </c>
      <c r="N2302">
        <v>0</v>
      </c>
      <c r="O2302">
        <v>-0.52544089999999999</v>
      </c>
      <c r="P2302">
        <v>-0.68875489999999995</v>
      </c>
      <c r="Q2302">
        <v>-4.467902E-2</v>
      </c>
      <c r="R2302">
        <v>-0.7236167</v>
      </c>
      <c r="S2302">
        <v>-0.99716190000000005</v>
      </c>
      <c r="T2302">
        <v>-0.2223783</v>
      </c>
      <c r="U2302">
        <v>-3.1966549999999998</v>
      </c>
      <c r="V2302">
        <v>-0.25310700000000003</v>
      </c>
      <c r="W2302">
        <v>-3.4953239999999997E-2</v>
      </c>
      <c r="X2302">
        <v>0.96680670000000002</v>
      </c>
      <c r="Y2302">
        <v>-0.65538719999999995</v>
      </c>
      <c r="Z2302">
        <v>1.378448E-2</v>
      </c>
      <c r="AA2302">
        <v>0.75516740000000004</v>
      </c>
      <c r="AB2302">
        <v>22</v>
      </c>
      <c r="AC2302">
        <v>-4.9209999999999896</v>
      </c>
      <c r="AD2302">
        <v>-1.118153763684</v>
      </c>
      <c r="AE2302">
        <v>-16.007499999999901</v>
      </c>
      <c r="AF2302">
        <v>-10.984138485905801</v>
      </c>
      <c r="AG2302">
        <v>-1.118153763684</v>
      </c>
      <c r="AH2302">
        <v>12.542770246366</v>
      </c>
      <c r="AI2302">
        <v>93.836838127696197</v>
      </c>
      <c r="AJ2302">
        <v>131.209756333109</v>
      </c>
      <c r="AK2302">
        <v>16.709956659726</v>
      </c>
      <c r="AL2302">
        <v>92.003081066214605</v>
      </c>
      <c r="AM2302">
        <v>104.670609823623</v>
      </c>
      <c r="AN2302">
        <v>1.0000000388001899</v>
      </c>
    </row>
    <row r="2303" spans="1:40" x14ac:dyDescent="0.3">
      <c r="A2303" t="str">
        <f>"20200111160453360"</f>
        <v>20200111160453360</v>
      </c>
      <c r="B2303" t="str">
        <f>"1578729893353019"</f>
        <v>1578729893353019</v>
      </c>
      <c r="C2303" t="s">
        <v>40</v>
      </c>
      <c r="D2303">
        <v>5.4135049999999998</v>
      </c>
      <c r="E2303">
        <v>0.32223259999999998</v>
      </c>
      <c r="F2303" t="s">
        <v>41</v>
      </c>
      <c r="G2303">
        <v>-489.46589999999998</v>
      </c>
      <c r="H2303" s="1">
        <v>-1.7318300000000001E-6</v>
      </c>
      <c r="I2303">
        <v>263.44889999999998</v>
      </c>
      <c r="J2303">
        <v>-485.2294</v>
      </c>
      <c r="K2303">
        <v>1.1184320000000001</v>
      </c>
      <c r="L2303">
        <v>279.041</v>
      </c>
      <c r="M2303">
        <v>-0.82313579999999997</v>
      </c>
      <c r="N2303">
        <v>0</v>
      </c>
      <c r="O2303">
        <v>-0.56764519999999996</v>
      </c>
      <c r="P2303">
        <v>-0.6579159</v>
      </c>
      <c r="Q2303">
        <v>-5.0041120000000001E-2</v>
      </c>
      <c r="R2303">
        <v>-0.75142710000000001</v>
      </c>
      <c r="S2303">
        <v>-0.9760742</v>
      </c>
      <c r="T2303">
        <v>-0.22260849999999999</v>
      </c>
      <c r="U2303">
        <v>-3.2031559999999999</v>
      </c>
      <c r="V2303">
        <v>-0.2443639</v>
      </c>
      <c r="W2303">
        <v>-4.0170909999999997E-2</v>
      </c>
      <c r="X2303">
        <v>0.96885109999999997</v>
      </c>
      <c r="Y2303">
        <v>-0.62178250000000002</v>
      </c>
      <c r="Z2303">
        <v>1.8631729999999999E-2</v>
      </c>
      <c r="AA2303">
        <v>0.78296829999999995</v>
      </c>
      <c r="AB2303">
        <v>22</v>
      </c>
      <c r="AC2303">
        <v>-4.2364999999999702</v>
      </c>
      <c r="AD2303">
        <v>-1.1184337318299999</v>
      </c>
      <c r="AE2303">
        <v>-15.5921</v>
      </c>
      <c r="AF2303">
        <v>-10.3810261582676</v>
      </c>
      <c r="AG2303">
        <v>-1.1184337318299999</v>
      </c>
      <c r="AH2303">
        <v>12.2805492374778</v>
      </c>
      <c r="AI2303">
        <v>93.978676185245803</v>
      </c>
      <c r="AJ2303">
        <v>130.20859289121799</v>
      </c>
      <c r="AK2303">
        <v>16.119196248115099</v>
      </c>
      <c r="AL2303">
        <v>92.302243222462295</v>
      </c>
      <c r="AM2303">
        <v>104.155910590459</v>
      </c>
      <c r="AN2303">
        <v>0.99999993580232105</v>
      </c>
    </row>
    <row r="2304" spans="1:40" x14ac:dyDescent="0.3">
      <c r="A2304" t="str">
        <f>"20200111160453385"</f>
        <v>20200111160453385</v>
      </c>
      <c r="B2304" t="str">
        <f>"1578729893383275"</f>
        <v>1578729893383275</v>
      </c>
      <c r="C2304" t="s">
        <v>40</v>
      </c>
      <c r="D2304">
        <v>5.2530780000000004</v>
      </c>
      <c r="E2304">
        <v>0.32223259999999998</v>
      </c>
      <c r="F2304" t="s">
        <v>42</v>
      </c>
      <c r="G2304">
        <v>-485.48410000000001</v>
      </c>
      <c r="H2304">
        <v>1.0314639999999999</v>
      </c>
      <c r="I2304">
        <v>278.13709999999998</v>
      </c>
      <c r="J2304">
        <v>-485.41039999999998</v>
      </c>
      <c r="K2304">
        <v>1.1185</v>
      </c>
      <c r="L2304">
        <v>278.89589999999998</v>
      </c>
      <c r="M2304">
        <v>-0.81478969999999995</v>
      </c>
      <c r="N2304">
        <v>0</v>
      </c>
      <c r="O2304">
        <v>-0.57956049999999903</v>
      </c>
      <c r="P2304">
        <v>-0.64887010000000001</v>
      </c>
      <c r="Q2304">
        <v>-5.0056919999999998E-2</v>
      </c>
      <c r="R2304">
        <v>-0.75925109999999996</v>
      </c>
      <c r="S2304">
        <v>-0.89785769999999998</v>
      </c>
      <c r="T2304">
        <v>-0.30655880000000002</v>
      </c>
      <c r="U2304">
        <v>-3.185883</v>
      </c>
      <c r="V2304">
        <v>-0.2418651</v>
      </c>
      <c r="W2304">
        <v>-4.0134309999999999E-2</v>
      </c>
      <c r="X2304">
        <v>0.96947950000000005</v>
      </c>
      <c r="Y2304">
        <v>-0.62669180000000002</v>
      </c>
      <c r="Z2304">
        <v>2.7026270000000002E-2</v>
      </c>
      <c r="AA2304">
        <v>0.7787984</v>
      </c>
      <c r="AB2304">
        <v>22</v>
      </c>
      <c r="AC2304">
        <v>-7.3700000000030699E-2</v>
      </c>
      <c r="AD2304">
        <v>-8.7036000000000099E-2</v>
      </c>
      <c r="AE2304">
        <v>-0.75880000000000702</v>
      </c>
      <c r="AF2304">
        <v>-0.56820843930989795</v>
      </c>
      <c r="AG2304">
        <v>-8.7036000000000099E-2</v>
      </c>
      <c r="AH2304">
        <v>0.49344594810590597</v>
      </c>
      <c r="AI2304">
        <v>96.597114494942005</v>
      </c>
      <c r="AJ2304">
        <v>139.028161510323</v>
      </c>
      <c r="AK2304">
        <v>0.75757837845408804</v>
      </c>
      <c r="AL2304">
        <v>92.3001443676566</v>
      </c>
      <c r="AM2304">
        <v>104.00816288787</v>
      </c>
      <c r="AN2304">
        <v>0.99999999517871796</v>
      </c>
    </row>
    <row r="2305" spans="1:40" x14ac:dyDescent="0.3">
      <c r="A2305" t="str">
        <f>"20200111160453400"</f>
        <v>20200111160453400</v>
      </c>
      <c r="B2305" t="str">
        <f>"1578729893393038"</f>
        <v>1578729893393038</v>
      </c>
      <c r="C2305" t="s">
        <v>40</v>
      </c>
      <c r="D2305">
        <v>5.282921</v>
      </c>
      <c r="E2305">
        <v>0.27976390000000001</v>
      </c>
      <c r="F2305" t="s">
        <v>41</v>
      </c>
      <c r="G2305">
        <v>-488.56810000000002</v>
      </c>
      <c r="H2305" s="1">
        <v>-3.4847540000000001E-6</v>
      </c>
      <c r="I2305">
        <v>267.16379999999998</v>
      </c>
      <c r="J2305">
        <v>-485.52409999999998</v>
      </c>
      <c r="K2305">
        <v>1.118549</v>
      </c>
      <c r="L2305">
        <v>278.80220000000003</v>
      </c>
      <c r="M2305">
        <v>-0.80933330000000003</v>
      </c>
      <c r="N2305">
        <v>0</v>
      </c>
      <c r="O2305">
        <v>-0.58715550000000005</v>
      </c>
      <c r="P2305">
        <v>-0.64296779999999998</v>
      </c>
      <c r="Q2305">
        <v>-4.8785340000000003E-2</v>
      </c>
      <c r="R2305">
        <v>-0.76433819999999997</v>
      </c>
      <c r="S2305">
        <v>-0.86019899999999905</v>
      </c>
      <c r="T2305">
        <v>-0.30469390000000002</v>
      </c>
      <c r="U2305">
        <v>-3.1959840000000002</v>
      </c>
      <c r="V2305">
        <v>-0.24039749999999999</v>
      </c>
      <c r="W2305">
        <v>-3.8829719999999998E-2</v>
      </c>
      <c r="X2305">
        <v>0.96989760000000003</v>
      </c>
      <c r="Y2305">
        <v>-0.62859339999999997</v>
      </c>
      <c r="Z2305">
        <v>2.763591E-2</v>
      </c>
      <c r="AA2305">
        <v>0.77724300000000002</v>
      </c>
      <c r="AB2305">
        <v>22</v>
      </c>
      <c r="AC2305">
        <v>-3.04400000000004</v>
      </c>
      <c r="AD2305">
        <v>-1.118552484754</v>
      </c>
      <c r="AE2305">
        <v>-11.638400000000001</v>
      </c>
      <c r="AF2305">
        <v>-7.5674890414179297</v>
      </c>
      <c r="AG2305">
        <v>-1.118552484754</v>
      </c>
      <c r="AH2305">
        <v>9.21852273525489</v>
      </c>
      <c r="AI2305">
        <v>95.357810716380101</v>
      </c>
      <c r="AJ2305">
        <v>129.38258651877399</v>
      </c>
      <c r="AK2305">
        <v>11.979115638207199</v>
      </c>
      <c r="AL2305">
        <v>92.225338456320998</v>
      </c>
      <c r="AM2305">
        <v>103.920711630376</v>
      </c>
      <c r="AN2305">
        <v>1.00000002982364</v>
      </c>
    </row>
    <row r="2306" spans="1:40" x14ac:dyDescent="0.3">
      <c r="A2306" t="str">
        <f>"20200111160453412"</f>
        <v>20200111160453412</v>
      </c>
      <c r="B2306" t="str">
        <f>"1578729893402795"</f>
        <v>1578729893402795</v>
      </c>
      <c r="C2306" t="s">
        <v>40</v>
      </c>
      <c r="D2306">
        <v>5.2995049999999999</v>
      </c>
      <c r="E2306">
        <v>0.27584920000000002</v>
      </c>
      <c r="F2306" t="s">
        <v>56</v>
      </c>
      <c r="G2306">
        <v>-495.1121</v>
      </c>
      <c r="H2306" s="1">
        <v>3.5762350000000001E-6</v>
      </c>
      <c r="I2306">
        <v>222.96629999999999</v>
      </c>
      <c r="J2306">
        <v>-485.6121</v>
      </c>
      <c r="K2306">
        <v>1.1185860000000001</v>
      </c>
      <c r="L2306">
        <v>278.72820000000002</v>
      </c>
      <c r="M2306">
        <v>-0.80499449999999995</v>
      </c>
      <c r="N2306">
        <v>0</v>
      </c>
      <c r="O2306">
        <v>-0.59308950000000005</v>
      </c>
      <c r="P2306">
        <v>-0.63738830000000002</v>
      </c>
      <c r="Q2306">
        <v>-4.7779599999999998E-2</v>
      </c>
      <c r="R2306">
        <v>-0.76906039999999998</v>
      </c>
      <c r="S2306">
        <v>-0.58825680000000002</v>
      </c>
      <c r="T2306">
        <v>-6.8626519999999996E-2</v>
      </c>
      <c r="U2306">
        <v>-3.4257200000000001</v>
      </c>
      <c r="V2306">
        <v>-0.24039379999999999</v>
      </c>
      <c r="W2306">
        <v>-3.7823679999999998E-2</v>
      </c>
      <c r="X2306">
        <v>0.96993819999999997</v>
      </c>
      <c r="Y2306">
        <v>-0.6930598</v>
      </c>
      <c r="Z2306">
        <v>5.3088379999999998E-3</v>
      </c>
      <c r="AA2306">
        <v>0.72086049999999902</v>
      </c>
      <c r="AB2306">
        <v>22</v>
      </c>
      <c r="AC2306">
        <v>-9.5</v>
      </c>
      <c r="AD2306">
        <v>-1.1185824237649999</v>
      </c>
      <c r="AE2306">
        <v>-55.761899999999997</v>
      </c>
      <c r="AF2306">
        <v>-39.242815989679897</v>
      </c>
      <c r="AG2306">
        <v>-1.1185824237649999</v>
      </c>
      <c r="AH2306">
        <v>40.707983229989203</v>
      </c>
      <c r="AI2306">
        <v>91.133321825719904</v>
      </c>
      <c r="AJ2306">
        <v>133.95012302248</v>
      </c>
      <c r="AK2306">
        <v>56.554307811975903</v>
      </c>
      <c r="AL2306">
        <v>92.167654376406006</v>
      </c>
      <c r="AM2306">
        <v>103.919945677451</v>
      </c>
      <c r="AN2306">
        <v>0.99999996083320997</v>
      </c>
    </row>
    <row r="2307" spans="1:40" x14ac:dyDescent="0.3">
      <c r="A2307" t="str">
        <f>"20200111160453426"</f>
        <v>20200111160453426</v>
      </c>
      <c r="B2307" t="str">
        <f>"1578729893423291"</f>
        <v>1578729893423291</v>
      </c>
      <c r="C2307" t="s">
        <v>40</v>
      </c>
      <c r="D2307">
        <v>5.3326149999999997</v>
      </c>
      <c r="E2307">
        <v>0.2734105</v>
      </c>
      <c r="F2307" t="s">
        <v>41</v>
      </c>
      <c r="G2307">
        <v>-499.95780000000002</v>
      </c>
      <c r="H2307" s="1">
        <v>-1.5855549999999999E-6</v>
      </c>
      <c r="I2307">
        <v>187.12200000000001</v>
      </c>
      <c r="J2307">
        <v>-485.70530000000002</v>
      </c>
      <c r="K2307">
        <v>1.1186259999999999</v>
      </c>
      <c r="L2307">
        <v>278.649</v>
      </c>
      <c r="M2307">
        <v>-0.80031160000000001</v>
      </c>
      <c r="N2307">
        <v>0</v>
      </c>
      <c r="O2307">
        <v>-0.59939319999999996</v>
      </c>
      <c r="P2307">
        <v>-0.63132919999999904</v>
      </c>
      <c r="Q2307">
        <v>-4.7133340000000003E-2</v>
      </c>
      <c r="R2307">
        <v>-0.77408159999999904</v>
      </c>
      <c r="S2307">
        <v>-0.54034419999999905</v>
      </c>
      <c r="T2307">
        <v>-4.2132740000000002E-2</v>
      </c>
      <c r="U2307">
        <v>-3.4504389999999998</v>
      </c>
      <c r="V2307">
        <v>-0.2404347</v>
      </c>
      <c r="W2307">
        <v>-3.7178269999999999E-2</v>
      </c>
      <c r="X2307">
        <v>0.96995310000000001</v>
      </c>
      <c r="Y2307">
        <v>-0.69800930000000005</v>
      </c>
      <c r="Z2307">
        <v>3.3041519999999999E-3</v>
      </c>
      <c r="AA2307">
        <v>0.71608109999999903</v>
      </c>
      <c r="AB2307">
        <v>22</v>
      </c>
      <c r="AC2307">
        <v>-14.2524999999999</v>
      </c>
      <c r="AD2307">
        <v>-1.1186275855550001</v>
      </c>
      <c r="AE2307">
        <v>-91.527000000000001</v>
      </c>
      <c r="AF2307">
        <v>-64.705246435076205</v>
      </c>
      <c r="AG2307">
        <v>-1.1186275855550001</v>
      </c>
      <c r="AH2307">
        <v>66.265031962856199</v>
      </c>
      <c r="AI2307">
        <v>90.691987884271796</v>
      </c>
      <c r="AJ2307">
        <v>134.31767036072301</v>
      </c>
      <c r="AK2307">
        <v>92.623294612842798</v>
      </c>
      <c r="AL2307">
        <v>92.130648901392107</v>
      </c>
      <c r="AM2307">
        <v>103.922016314386</v>
      </c>
      <c r="AN2307">
        <v>1.00000004246194</v>
      </c>
    </row>
    <row r="2308" spans="1:40" x14ac:dyDescent="0.3">
      <c r="A2308" t="str">
        <f>"20200111160453437"</f>
        <v>20200111160453437</v>
      </c>
      <c r="B2308" t="str">
        <f>"1578729893433051"</f>
        <v>1578729893433051</v>
      </c>
      <c r="C2308" t="s">
        <v>40</v>
      </c>
      <c r="D2308">
        <v>5.5063139999999997</v>
      </c>
      <c r="E2308">
        <v>0.27398800000000001</v>
      </c>
      <c r="F2308" t="s">
        <v>45</v>
      </c>
      <c r="G2308">
        <v>-502.27</v>
      </c>
      <c r="H2308">
        <v>0.42357299999999998</v>
      </c>
      <c r="I2308">
        <v>163.53829999999999</v>
      </c>
      <c r="J2308">
        <v>-485.79599999999999</v>
      </c>
      <c r="K2308">
        <v>1.118665</v>
      </c>
      <c r="L2308">
        <v>278.5702</v>
      </c>
      <c r="M2308">
        <v>-0.7956261</v>
      </c>
      <c r="N2308">
        <v>0</v>
      </c>
      <c r="O2308">
        <v>-0.60559819999999998</v>
      </c>
      <c r="P2308">
        <v>-0.62518560000000001</v>
      </c>
      <c r="Q2308">
        <v>-4.6733360000000002E-2</v>
      </c>
      <c r="R2308">
        <v>-0.77907590000000004</v>
      </c>
      <c r="S2308">
        <v>-0.49896239999999997</v>
      </c>
      <c r="T2308">
        <v>-2.0936489999999999E-2</v>
      </c>
      <c r="U2308">
        <v>-3.4673769999999902</v>
      </c>
      <c r="V2308">
        <v>-0.24059050000000001</v>
      </c>
      <c r="W2308">
        <v>-3.6780720000000003E-2</v>
      </c>
      <c r="X2308">
        <v>0.96992959999999995</v>
      </c>
      <c r="Y2308">
        <v>-0.70133400000000001</v>
      </c>
      <c r="Z2308">
        <v>1.672551E-3</v>
      </c>
      <c r="AA2308">
        <v>0.71283090000000005</v>
      </c>
      <c r="AB2308">
        <v>22</v>
      </c>
      <c r="AC2308">
        <v>-16.473999999999901</v>
      </c>
      <c r="AD2308">
        <v>-0.69509200000000004</v>
      </c>
      <c r="AE2308">
        <v>-115.03189999999999</v>
      </c>
      <c r="AF2308">
        <v>-81.5522158420236</v>
      </c>
      <c r="AG2308">
        <v>-0.69509200000000004</v>
      </c>
      <c r="AH2308">
        <v>82.776811553399895</v>
      </c>
      <c r="AI2308">
        <v>90.342727061210198</v>
      </c>
      <c r="AJ2308">
        <v>134.573034245982</v>
      </c>
      <c r="AK2308">
        <v>116.20347495914</v>
      </c>
      <c r="AL2308">
        <v>92.1078554232637</v>
      </c>
      <c r="AM2308">
        <v>103.93101081085599</v>
      </c>
      <c r="AN2308">
        <v>1.00000001950506</v>
      </c>
    </row>
    <row r="2309" spans="1:40" x14ac:dyDescent="0.3">
      <c r="A2309" t="str">
        <f>"20200111160453450"</f>
        <v>20200111160453450</v>
      </c>
      <c r="B2309" t="str">
        <f>"1578729893442810"</f>
        <v>1578729893442810</v>
      </c>
      <c r="C2309" t="s">
        <v>40</v>
      </c>
      <c r="D2309">
        <v>5.363461</v>
      </c>
      <c r="E2309">
        <v>0.27365780000000001</v>
      </c>
      <c r="F2309" t="s">
        <v>64</v>
      </c>
      <c r="G2309">
        <v>-569.66369999999995</v>
      </c>
      <c r="H2309">
        <v>-0.1</v>
      </c>
      <c r="I2309">
        <v>-332.36090000000002</v>
      </c>
      <c r="J2309">
        <v>-485.8802</v>
      </c>
      <c r="K2309">
        <v>1.1186929999999999</v>
      </c>
      <c r="L2309">
        <v>278.49599999999998</v>
      </c>
      <c r="M2309">
        <v>-0.79118820000000001</v>
      </c>
      <c r="N2309">
        <v>0</v>
      </c>
      <c r="O2309">
        <v>-0.6113845</v>
      </c>
      <c r="P2309">
        <v>-0.61913680000000004</v>
      </c>
      <c r="Q2309">
        <v>-4.60857E-2</v>
      </c>
      <c r="R2309">
        <v>-0.78393020000000002</v>
      </c>
      <c r="S2309">
        <v>-0.47610469999999999</v>
      </c>
      <c r="T2309">
        <v>-6.9181919999999897E-3</v>
      </c>
      <c r="U2309">
        <v>-3.4681700000000002</v>
      </c>
      <c r="V2309">
        <v>-0.241065</v>
      </c>
      <c r="W2309">
        <v>-3.6142069999999998E-2</v>
      </c>
      <c r="X2309">
        <v>0.96983580000000003</v>
      </c>
      <c r="Y2309">
        <v>-0.70076729999999998</v>
      </c>
      <c r="Z2309">
        <v>5.6881010000000003E-4</v>
      </c>
      <c r="AA2309">
        <v>0.71338979999999996</v>
      </c>
      <c r="AB2309">
        <v>22</v>
      </c>
      <c r="AC2309">
        <v>-83.783499999999904</v>
      </c>
      <c r="AD2309">
        <v>-1.218693</v>
      </c>
      <c r="AE2309">
        <v>-610.8569</v>
      </c>
      <c r="AF2309">
        <v>-432.12689603993402</v>
      </c>
      <c r="AG2309">
        <v>-1.218693</v>
      </c>
      <c r="AH2309">
        <v>439.80586906145498</v>
      </c>
      <c r="AI2309">
        <v>90.113248261090604</v>
      </c>
      <c r="AJ2309">
        <v>134.495418238149</v>
      </c>
      <c r="AK2309">
        <v>616.57468481493595</v>
      </c>
      <c r="AL2309">
        <v>92.071239101965105</v>
      </c>
      <c r="AM2309">
        <v>103.958709981704</v>
      </c>
      <c r="AN2309">
        <v>1.0000000312052599</v>
      </c>
    </row>
    <row r="2310" spans="1:40" x14ac:dyDescent="0.3">
      <c r="A2310" t="str">
        <f>"20200111160453461"</f>
        <v>20200111160453461</v>
      </c>
      <c r="B2310" t="str">
        <f>"1578729893453548"</f>
        <v>1578729893453548</v>
      </c>
      <c r="C2310" t="s">
        <v>40</v>
      </c>
      <c r="D2310">
        <v>5.3639359999999998</v>
      </c>
      <c r="E2310">
        <v>0.27356029999999998</v>
      </c>
      <c r="F2310" t="s">
        <v>46</v>
      </c>
      <c r="G2310">
        <v>0</v>
      </c>
      <c r="H2310">
        <v>0</v>
      </c>
      <c r="I2310">
        <v>0</v>
      </c>
      <c r="J2310">
        <v>-485.96409999999997</v>
      </c>
      <c r="K2310">
        <v>1.1187180000000001</v>
      </c>
      <c r="L2310">
        <v>278.42110000000002</v>
      </c>
      <c r="M2310">
        <v>-0.78668549999999904</v>
      </c>
      <c r="N2310">
        <v>0</v>
      </c>
      <c r="O2310">
        <v>-0.61716719999999903</v>
      </c>
      <c r="P2310">
        <v>-0.61307659999999997</v>
      </c>
      <c r="Q2310">
        <v>-4.5880629999999999E-2</v>
      </c>
      <c r="R2310">
        <v>-0.78869029999999996</v>
      </c>
      <c r="S2310">
        <v>-0.44757079999999999</v>
      </c>
      <c r="T2310">
        <v>1.326799E-3</v>
      </c>
      <c r="U2310">
        <v>-3.4734799999999999</v>
      </c>
      <c r="V2310">
        <v>-0.2414422</v>
      </c>
      <c r="W2310">
        <v>-3.594352E-2</v>
      </c>
      <c r="X2310">
        <v>0.96974930000000004</v>
      </c>
      <c r="Y2310">
        <v>-0.70144359999999994</v>
      </c>
      <c r="Z2310">
        <v>-1.1176590000000001E-4</v>
      </c>
      <c r="AA2310">
        <v>0.71272489999999999</v>
      </c>
      <c r="AB2310">
        <v>22</v>
      </c>
      <c r="AC2310">
        <v>-0.44757079999999999</v>
      </c>
      <c r="AD2310">
        <v>1.326799E-3</v>
      </c>
      <c r="AE2310">
        <v>-3.4734799999999999</v>
      </c>
      <c r="AF2310">
        <v>-2.45659320687224</v>
      </c>
      <c r="AG2310">
        <v>1.326799E-3</v>
      </c>
      <c r="AH2310">
        <v>2.4961028076926901</v>
      </c>
      <c r="AI2310">
        <v>89.978293627396994</v>
      </c>
      <c r="AJ2310">
        <v>134.54293876466099</v>
      </c>
      <c r="AK2310">
        <v>3.5021966208392401</v>
      </c>
      <c r="AL2310">
        <v>92.059855716408407</v>
      </c>
      <c r="AM2310">
        <v>103.980893599316</v>
      </c>
      <c r="AN2310">
        <v>0.99999998871065998</v>
      </c>
    </row>
    <row r="2311" spans="1:40" x14ac:dyDescent="0.3">
      <c r="A2311" t="str">
        <f>"20200111160453474"</f>
        <v>20200111160453474</v>
      </c>
      <c r="B2311" t="str">
        <f>"1578729893463307"</f>
        <v>1578729893463307</v>
      </c>
      <c r="C2311" t="s">
        <v>40</v>
      </c>
      <c r="D2311">
        <v>5.3457239999999997</v>
      </c>
      <c r="E2311">
        <v>0.27383400000000002</v>
      </c>
      <c r="F2311" t="s">
        <v>46</v>
      </c>
      <c r="G2311">
        <v>0</v>
      </c>
      <c r="H2311">
        <v>0</v>
      </c>
      <c r="I2311">
        <v>0</v>
      </c>
      <c r="J2311">
        <v>-486.04450000000003</v>
      </c>
      <c r="K2311">
        <v>1.1187339999999999</v>
      </c>
      <c r="L2311">
        <v>278.34780000000001</v>
      </c>
      <c r="M2311">
        <v>-0.78225239999999996</v>
      </c>
      <c r="N2311">
        <v>0</v>
      </c>
      <c r="O2311">
        <v>-0.62277569999999904</v>
      </c>
      <c r="P2311">
        <v>-0.60721139999999996</v>
      </c>
      <c r="Q2311">
        <v>-4.5552380000000003E-2</v>
      </c>
      <c r="R2311">
        <v>-0.79323350000000004</v>
      </c>
      <c r="S2311">
        <v>-0.4202881</v>
      </c>
      <c r="T2311">
        <v>3.4263129999999998E-3</v>
      </c>
      <c r="U2311">
        <v>-3.4772949999999998</v>
      </c>
      <c r="V2311">
        <v>-0.2417192</v>
      </c>
      <c r="W2311">
        <v>-3.5617709999999997E-2</v>
      </c>
      <c r="X2311">
        <v>0.96969229999999995</v>
      </c>
      <c r="Y2311">
        <v>-0.70195280000000004</v>
      </c>
      <c r="Z2311">
        <v>-2.9553389999999999E-4</v>
      </c>
      <c r="AA2311">
        <v>0.71222339999999995</v>
      </c>
      <c r="AB2311">
        <v>22</v>
      </c>
      <c r="AC2311">
        <v>-0.4202881</v>
      </c>
      <c r="AD2311">
        <v>3.4263129999999998E-3</v>
      </c>
      <c r="AE2311">
        <v>-3.4772949999999998</v>
      </c>
      <c r="AF2311">
        <v>-2.45865953290954</v>
      </c>
      <c r="AG2311">
        <v>3.4263129999999998E-3</v>
      </c>
      <c r="AH2311">
        <v>2.49463272367933</v>
      </c>
      <c r="AI2311">
        <v>89.943952129086696</v>
      </c>
      <c r="AJ2311">
        <v>134.58389780690001</v>
      </c>
      <c r="AK2311">
        <v>3.5026005859131999</v>
      </c>
      <c r="AL2311">
        <v>92.0411762455375</v>
      </c>
      <c r="AM2311">
        <v>103.997093681189</v>
      </c>
      <c r="AN2311">
        <v>0.99999997479678604</v>
      </c>
    </row>
    <row r="2312" spans="1:40" x14ac:dyDescent="0.3">
      <c r="A2312" t="str">
        <f>"20200111160453486"</f>
        <v>20200111160453486</v>
      </c>
      <c r="B2312" t="str">
        <f>"1578729893482827"</f>
        <v>1578729893482827</v>
      </c>
      <c r="C2312" t="s">
        <v>40</v>
      </c>
      <c r="D2312">
        <v>5.2805119999999999</v>
      </c>
      <c r="E2312">
        <v>0.2743872</v>
      </c>
      <c r="F2312" t="s">
        <v>46</v>
      </c>
      <c r="G2312">
        <v>0</v>
      </c>
      <c r="H2312">
        <v>0</v>
      </c>
      <c r="I2312">
        <v>0</v>
      </c>
      <c r="J2312">
        <v>-486.12860000000001</v>
      </c>
      <c r="K2312">
        <v>1.118752</v>
      </c>
      <c r="L2312">
        <v>278.27050000000003</v>
      </c>
      <c r="M2312">
        <v>-0.77754840000000003</v>
      </c>
      <c r="N2312">
        <v>0</v>
      </c>
      <c r="O2312">
        <v>-0.62863859999999905</v>
      </c>
      <c r="P2312">
        <v>-0.60122279999999995</v>
      </c>
      <c r="Q2312">
        <v>-4.5504160000000002E-2</v>
      </c>
      <c r="R2312">
        <v>-0.79778470000000001</v>
      </c>
      <c r="S2312">
        <v>-0.39611819999999998</v>
      </c>
      <c r="T2312">
        <v>9.5683339999999995E-3</v>
      </c>
      <c r="U2312">
        <v>-3.4793090000000002</v>
      </c>
      <c r="V2312">
        <v>-0.24173169999999999</v>
      </c>
      <c r="W2312">
        <v>-3.5565369999999999E-2</v>
      </c>
      <c r="X2312">
        <v>0.96969110000000003</v>
      </c>
      <c r="Y2312">
        <v>-0.70152769999999898</v>
      </c>
      <c r="Z2312">
        <v>-8.4753170000000002E-4</v>
      </c>
      <c r="AA2312">
        <v>0.71264179999999999</v>
      </c>
      <c r="AB2312">
        <v>22</v>
      </c>
      <c r="AC2312">
        <v>-0.39611819999999998</v>
      </c>
      <c r="AD2312">
        <v>9.5683339999999995E-3</v>
      </c>
      <c r="AE2312">
        <v>-3.4793090000000002</v>
      </c>
      <c r="AF2312">
        <v>-2.4565825919184601</v>
      </c>
      <c r="AG2312">
        <v>9.5683339999999995E-3</v>
      </c>
      <c r="AH2312">
        <v>2.4954998719605102</v>
      </c>
      <c r="AI2312">
        <v>89.843443322001704</v>
      </c>
      <c r="AJ2312">
        <v>134.54973488219599</v>
      </c>
      <c r="AK2312">
        <v>3.5017722934090498</v>
      </c>
      <c r="AL2312">
        <v>92.0381754931784</v>
      </c>
      <c r="AM2312">
        <v>103.997805693516</v>
      </c>
      <c r="AN2312">
        <v>0.99999996987366702</v>
      </c>
    </row>
    <row r="2313" spans="1:40" x14ac:dyDescent="0.3">
      <c r="A2313" t="str">
        <f>"20200111160453500"</f>
        <v>20200111160453500</v>
      </c>
      <c r="B2313" t="str">
        <f>"1578729893493562"</f>
        <v>1578729893493562</v>
      </c>
      <c r="C2313" t="s">
        <v>40</v>
      </c>
      <c r="D2313">
        <v>5.3276339999999998</v>
      </c>
      <c r="E2313">
        <v>0.27459450000000002</v>
      </c>
      <c r="F2313" t="s">
        <v>46</v>
      </c>
      <c r="G2313">
        <v>0</v>
      </c>
      <c r="H2313">
        <v>0</v>
      </c>
      <c r="I2313">
        <v>0</v>
      </c>
      <c r="J2313">
        <v>-486.22879999999998</v>
      </c>
      <c r="K2313">
        <v>1.118765</v>
      </c>
      <c r="L2313">
        <v>278.1764</v>
      </c>
      <c r="M2313">
        <v>-0.77179779999999998</v>
      </c>
      <c r="N2313">
        <v>0</v>
      </c>
      <c r="O2313">
        <v>-0.63568539999999996</v>
      </c>
      <c r="P2313">
        <v>-0.59451759999999998</v>
      </c>
      <c r="Q2313">
        <v>-4.473978E-2</v>
      </c>
      <c r="R2313">
        <v>-0.80283700000000002</v>
      </c>
      <c r="S2313">
        <v>-0.3732605</v>
      </c>
      <c r="T2313">
        <v>5.6833029999999998E-3</v>
      </c>
      <c r="U2313">
        <v>-3.4794010000000002</v>
      </c>
      <c r="V2313">
        <v>-0.24108370000000001</v>
      </c>
      <c r="W2313">
        <v>-3.4778160000000002E-2</v>
      </c>
      <c r="X2313">
        <v>0.96988099999999999</v>
      </c>
      <c r="Y2313">
        <v>-0.69967040000000003</v>
      </c>
      <c r="Z2313">
        <v>-5.2093349999999996E-4</v>
      </c>
      <c r="AA2313">
        <v>0.71446560000000003</v>
      </c>
      <c r="AB2313">
        <v>22</v>
      </c>
      <c r="AC2313">
        <v>-0.3732605</v>
      </c>
      <c r="AD2313">
        <v>5.6833029999999998E-3</v>
      </c>
      <c r="AE2313">
        <v>-3.4794010000000002</v>
      </c>
      <c r="AF2313">
        <v>-2.4483956392133899</v>
      </c>
      <c r="AG2313">
        <v>5.6833029999999998E-3</v>
      </c>
      <c r="AH2313">
        <v>2.5001697770214899</v>
      </c>
      <c r="AI2313">
        <v>89.906946015266698</v>
      </c>
      <c r="AJ2313">
        <v>134.400567416304</v>
      </c>
      <c r="AK2313">
        <v>3.4993602872501999</v>
      </c>
      <c r="AL2313">
        <v>91.993043671271906</v>
      </c>
      <c r="AM2313">
        <v>103.959125313621</v>
      </c>
      <c r="AN2313">
        <v>1.0000000124898301</v>
      </c>
    </row>
    <row r="2314" spans="1:40" x14ac:dyDescent="0.3">
      <c r="A2314" t="str">
        <f>"20200111160453512"</f>
        <v>20200111160453512</v>
      </c>
      <c r="B2314" t="str">
        <f>"1578729893503323"</f>
        <v>1578729893503323</v>
      </c>
      <c r="C2314" t="s">
        <v>40</v>
      </c>
      <c r="D2314">
        <v>5.3603480000000001</v>
      </c>
      <c r="E2314">
        <v>0.27521820000000002</v>
      </c>
      <c r="F2314" t="s">
        <v>46</v>
      </c>
      <c r="G2314">
        <v>0</v>
      </c>
      <c r="H2314">
        <v>0</v>
      </c>
      <c r="I2314">
        <v>0</v>
      </c>
      <c r="J2314">
        <v>-486.3064</v>
      </c>
      <c r="K2314">
        <v>1.11877</v>
      </c>
      <c r="L2314">
        <v>278.10210000000001</v>
      </c>
      <c r="M2314">
        <v>-0.76724199999999998</v>
      </c>
      <c r="N2314">
        <v>0</v>
      </c>
      <c r="O2314">
        <v>-0.64117650000000004</v>
      </c>
      <c r="P2314">
        <v>-0.58910750000000001</v>
      </c>
      <c r="Q2314">
        <v>-4.447334E-2</v>
      </c>
      <c r="R2314">
        <v>-0.80683019999999905</v>
      </c>
      <c r="S2314">
        <v>-0.3451843</v>
      </c>
      <c r="T2314">
        <v>3.4738780000000001E-3</v>
      </c>
      <c r="U2314">
        <v>-3.4813230000000002</v>
      </c>
      <c r="V2314">
        <v>-0.24069889999999999</v>
      </c>
      <c r="W2314">
        <v>-3.44958E-2</v>
      </c>
      <c r="X2314">
        <v>0.96998660000000003</v>
      </c>
      <c r="Y2314">
        <v>-0.70031489999999996</v>
      </c>
      <c r="Z2314">
        <v>-3.25404E-4</v>
      </c>
      <c r="AA2314">
        <v>0.71383399999999997</v>
      </c>
      <c r="AB2314">
        <v>22</v>
      </c>
      <c r="AC2314">
        <v>-0.3451843</v>
      </c>
      <c r="AD2314">
        <v>3.4738780000000001E-3</v>
      </c>
      <c r="AE2314">
        <v>-3.4813230000000002</v>
      </c>
      <c r="AF2314">
        <v>-2.44997545942454</v>
      </c>
      <c r="AG2314">
        <v>3.4738780000000001E-3</v>
      </c>
      <c r="AH2314">
        <v>2.4972701383494602</v>
      </c>
      <c r="AI2314">
        <v>89.943105703081201</v>
      </c>
      <c r="AJ2314">
        <v>134.45228048660601</v>
      </c>
      <c r="AK2314">
        <v>3.4983924827701598</v>
      </c>
      <c r="AL2314">
        <v>91.976856020818104</v>
      </c>
      <c r="AM2314">
        <v>103.936255844088</v>
      </c>
      <c r="AN2314">
        <v>0.99999996242920397</v>
      </c>
    </row>
    <row r="2315" spans="1:40" x14ac:dyDescent="0.3">
      <c r="A2315" t="str">
        <f>"20200111160453524"</f>
        <v>20200111160453524</v>
      </c>
      <c r="B2315" t="str">
        <f>"1578729893513083"</f>
        <v>1578729893513083</v>
      </c>
      <c r="C2315" t="s">
        <v>40</v>
      </c>
      <c r="D2315">
        <v>5.3807710000000002</v>
      </c>
      <c r="E2315">
        <v>0.2756342</v>
      </c>
      <c r="F2315" t="s">
        <v>64</v>
      </c>
      <c r="G2315">
        <v>-567.22360000000003</v>
      </c>
      <c r="H2315">
        <v>-0.1</v>
      </c>
      <c r="I2315">
        <v>-587.33960000000002</v>
      </c>
      <c r="J2315">
        <v>-486.38959999999997</v>
      </c>
      <c r="K2315">
        <v>1.1187750000000001</v>
      </c>
      <c r="L2315">
        <v>278.02170000000001</v>
      </c>
      <c r="M2315">
        <v>-0.76228379999999996</v>
      </c>
      <c r="N2315">
        <v>0</v>
      </c>
      <c r="O2315">
        <v>-0.6470629</v>
      </c>
      <c r="P2315">
        <v>-0.58342320000000003</v>
      </c>
      <c r="Q2315">
        <v>-4.4670250000000002E-2</v>
      </c>
      <c r="R2315">
        <v>-0.81093899999999997</v>
      </c>
      <c r="S2315">
        <v>-0.3254089</v>
      </c>
      <c r="T2315">
        <v>-4.90129E-3</v>
      </c>
      <c r="U2315">
        <v>-3.4803769999999998</v>
      </c>
      <c r="V2315">
        <v>-0.24003640000000001</v>
      </c>
      <c r="W2315">
        <v>-3.4669569999999997E-2</v>
      </c>
      <c r="X2315">
        <v>0.97014460000000002</v>
      </c>
      <c r="Y2315">
        <v>-0.69881839999999995</v>
      </c>
      <c r="Z2315">
        <v>4.7188619999999999E-4</v>
      </c>
      <c r="AA2315">
        <v>0.71529900000000002</v>
      </c>
      <c r="AB2315">
        <v>22</v>
      </c>
      <c r="AC2315">
        <v>-80.834000000000003</v>
      </c>
      <c r="AD2315">
        <v>-1.2187749999999999</v>
      </c>
      <c r="AE2315">
        <v>-865.36130000000003</v>
      </c>
      <c r="AF2315">
        <v>-607.41579499190095</v>
      </c>
      <c r="AG2315">
        <v>-1.2187749999999999</v>
      </c>
      <c r="AH2315">
        <v>621.63284684113</v>
      </c>
      <c r="AI2315">
        <v>90.080345721963496</v>
      </c>
      <c r="AJ2315">
        <v>134.337259152277</v>
      </c>
      <c r="AK2315">
        <v>869.12762566262495</v>
      </c>
      <c r="AL2315">
        <v>91.986818195817406</v>
      </c>
      <c r="AM2315">
        <v>103.89721096848299</v>
      </c>
      <c r="AN2315">
        <v>0.99999999865905198</v>
      </c>
    </row>
    <row r="2316" spans="1:40" x14ac:dyDescent="0.3">
      <c r="A2316" t="str">
        <f>"20200111160453536"</f>
        <v>20200111160453536</v>
      </c>
      <c r="B2316" t="str">
        <f>"1578729893533579"</f>
        <v>1578729893533579</v>
      </c>
      <c r="C2316" t="s">
        <v>40</v>
      </c>
      <c r="D2316">
        <v>5.4207390000000002</v>
      </c>
      <c r="E2316">
        <v>0.27678249999999999</v>
      </c>
      <c r="F2316" t="s">
        <v>44</v>
      </c>
      <c r="G2316">
        <v>-519.11720000000003</v>
      </c>
      <c r="H2316">
        <v>-0.05</v>
      </c>
      <c r="I2316">
        <v>-97.173829999999995</v>
      </c>
      <c r="J2316">
        <v>-486.47329999999999</v>
      </c>
      <c r="K2316">
        <v>1.118773</v>
      </c>
      <c r="L2316">
        <v>277.93900000000002</v>
      </c>
      <c r="M2316">
        <v>-0.7571734</v>
      </c>
      <c r="N2316">
        <v>0</v>
      </c>
      <c r="O2316">
        <v>-0.65303529999999999</v>
      </c>
      <c r="P2316">
        <v>-0.57745329999999995</v>
      </c>
      <c r="Q2316">
        <v>-4.5217220000000002E-2</v>
      </c>
      <c r="R2316">
        <v>-0.81517079999999997</v>
      </c>
      <c r="S2316">
        <v>-0.30358889999999999</v>
      </c>
      <c r="T2316">
        <v>-1.084185E-2</v>
      </c>
      <c r="U2316">
        <v>-3.4804080000000002</v>
      </c>
      <c r="V2316">
        <v>-0.23949999999999999</v>
      </c>
      <c r="W2316">
        <v>-3.5195280000000002E-2</v>
      </c>
      <c r="X2316">
        <v>0.97025819999999996</v>
      </c>
      <c r="Y2316">
        <v>-0.6976426</v>
      </c>
      <c r="Z2316">
        <v>1.071654E-3</v>
      </c>
      <c r="AA2316">
        <v>0.71644529999999995</v>
      </c>
      <c r="AB2316">
        <v>22</v>
      </c>
      <c r="AC2316">
        <v>-32.643900000000002</v>
      </c>
      <c r="AD2316">
        <v>-1.1687730000000001</v>
      </c>
      <c r="AE2316">
        <v>-375.11282999999997</v>
      </c>
      <c r="AF2316">
        <v>-262.73596173106802</v>
      </c>
      <c r="AG2316">
        <v>-1.1687730000000001</v>
      </c>
      <c r="AH2316">
        <v>269.70788240224601</v>
      </c>
      <c r="AI2316">
        <v>90.177850613255501</v>
      </c>
      <c r="AJ2316">
        <v>134.24980107097301</v>
      </c>
      <c r="AK2316">
        <v>376.52874186040299</v>
      </c>
      <c r="AL2316">
        <v>92.016957620704702</v>
      </c>
      <c r="AM2316">
        <v>103.865794381218</v>
      </c>
      <c r="AN2316">
        <v>0.99999996620075804</v>
      </c>
    </row>
    <row r="2317" spans="1:40" x14ac:dyDescent="0.3">
      <c r="A2317" t="str">
        <f>"20200111160453549"</f>
        <v>20200111160453549</v>
      </c>
      <c r="B2317" t="str">
        <f>"1578729893543339"</f>
        <v>1578729893543339</v>
      </c>
      <c r="C2317" t="s">
        <v>40</v>
      </c>
      <c r="D2317">
        <v>5.4482350000000004</v>
      </c>
      <c r="E2317">
        <v>0.27754980000000001</v>
      </c>
      <c r="F2317" t="s">
        <v>67</v>
      </c>
      <c r="G2317">
        <v>-497.23320000000001</v>
      </c>
      <c r="H2317" s="1">
        <v>-7.4718229999999998E-6</v>
      </c>
      <c r="I2317">
        <v>146.39850000000001</v>
      </c>
      <c r="J2317">
        <v>-486.55110000000002</v>
      </c>
      <c r="K2317">
        <v>1.1187689999999999</v>
      </c>
      <c r="L2317">
        <v>277.8612</v>
      </c>
      <c r="M2317">
        <v>-0.75233939999999999</v>
      </c>
      <c r="N2317">
        <v>0</v>
      </c>
      <c r="O2317">
        <v>-0.65859849999999998</v>
      </c>
      <c r="P2317">
        <v>-0.57151479999999999</v>
      </c>
      <c r="Q2317">
        <v>-4.5655220000000003E-2</v>
      </c>
      <c r="R2317">
        <v>-0.81932090000000002</v>
      </c>
      <c r="S2317">
        <v>-0.2844238</v>
      </c>
      <c r="T2317">
        <v>-2.957332E-2</v>
      </c>
      <c r="U2317">
        <v>-3.4770810000000001</v>
      </c>
      <c r="V2317">
        <v>-0.2393719</v>
      </c>
      <c r="W2317">
        <v>-3.5621769999999997E-2</v>
      </c>
      <c r="X2317">
        <v>0.97027430000000003</v>
      </c>
      <c r="Y2317">
        <v>-0.69621809999999995</v>
      </c>
      <c r="Z2317">
        <v>2.9984130000000001E-3</v>
      </c>
      <c r="AA2317">
        <v>0.71782400000000002</v>
      </c>
      <c r="AB2317">
        <v>22</v>
      </c>
      <c r="AC2317">
        <v>-10.682099999999901</v>
      </c>
      <c r="AD2317">
        <v>-1.118776471823</v>
      </c>
      <c r="AE2317">
        <v>-131.46269999999899</v>
      </c>
      <c r="AF2317">
        <v>-91.873468624601202</v>
      </c>
      <c r="AG2317">
        <v>-1.118776471823</v>
      </c>
      <c r="AH2317">
        <v>94.621939650046997</v>
      </c>
      <c r="AI2317">
        <v>90.486021226040094</v>
      </c>
      <c r="AJ2317">
        <v>134.15566612642601</v>
      </c>
      <c r="AK2317">
        <v>131.89123307121901</v>
      </c>
      <c r="AL2317">
        <v>92.041408927675704</v>
      </c>
      <c r="AM2317">
        <v>103.858442937349</v>
      </c>
      <c r="AN2317">
        <v>1.00000001712401</v>
      </c>
    </row>
    <row r="2318" spans="1:40" x14ac:dyDescent="0.3">
      <c r="A2318" t="str">
        <f>"20200111160453559"</f>
        <v>20200111160453559</v>
      </c>
      <c r="B2318" t="str">
        <f>"1578729893553099"</f>
        <v>1578729893553099</v>
      </c>
      <c r="C2318" t="s">
        <v>40</v>
      </c>
      <c r="D2318">
        <v>5.3691839999999997</v>
      </c>
      <c r="E2318">
        <v>0.27796120000000002</v>
      </c>
      <c r="F2318" t="s">
        <v>41</v>
      </c>
      <c r="G2318">
        <v>-494.20710000000003</v>
      </c>
      <c r="H2318" s="1">
        <v>-4.210285E-6</v>
      </c>
      <c r="I2318">
        <v>177.16589999999999</v>
      </c>
      <c r="J2318">
        <v>-486.62950000000001</v>
      </c>
      <c r="K2318">
        <v>1.1187609999999999</v>
      </c>
      <c r="L2318">
        <v>277.78160000000003</v>
      </c>
      <c r="M2318">
        <v>-0.74738199999999999</v>
      </c>
      <c r="N2318">
        <v>0</v>
      </c>
      <c r="O2318">
        <v>-0.66421869999999905</v>
      </c>
      <c r="P2318">
        <v>-0.5655249</v>
      </c>
      <c r="Q2318">
        <v>-4.5779689999999998E-2</v>
      </c>
      <c r="R2318">
        <v>-0.82345970000000002</v>
      </c>
      <c r="S2318">
        <v>-0.26422119999999999</v>
      </c>
      <c r="T2318">
        <v>-3.8610699999999998E-2</v>
      </c>
      <c r="U2318">
        <v>-3.4751590000000001</v>
      </c>
      <c r="V2318">
        <v>-0.23916789999999999</v>
      </c>
      <c r="W2318">
        <v>-3.573175E-2</v>
      </c>
      <c r="X2318">
        <v>0.97032050000000003</v>
      </c>
      <c r="Y2318">
        <v>-0.69494889999999998</v>
      </c>
      <c r="Z2318">
        <v>4.0116129999999998E-3</v>
      </c>
      <c r="AA2318">
        <v>0.71904799999999902</v>
      </c>
      <c r="AB2318">
        <v>21</v>
      </c>
      <c r="AC2318">
        <v>-7.5776000000000101</v>
      </c>
      <c r="AD2318">
        <v>-1.1187652102850001</v>
      </c>
      <c r="AE2318">
        <v>-100.6157</v>
      </c>
      <c r="AF2318">
        <v>-70.164752481849803</v>
      </c>
      <c r="AG2318">
        <v>-1.1187652102850001</v>
      </c>
      <c r="AH2318">
        <v>72.493750129017997</v>
      </c>
      <c r="AI2318">
        <v>90.635335690837493</v>
      </c>
      <c r="AJ2318">
        <v>134.06469029315201</v>
      </c>
      <c r="AK2318">
        <v>100.894439560381</v>
      </c>
      <c r="AL2318">
        <v>92.047714453611405</v>
      </c>
      <c r="AM2318">
        <v>103.84645314799999</v>
      </c>
      <c r="AN2318">
        <v>0.99999995753436</v>
      </c>
    </row>
    <row r="2319" spans="1:40" x14ac:dyDescent="0.3">
      <c r="A2319" t="str">
        <f>"20200111160453572"</f>
        <v>20200111160453572</v>
      </c>
      <c r="B2319" t="str">
        <f>"1578729893562859"</f>
        <v>1578729893562859</v>
      </c>
      <c r="C2319" t="s">
        <v>40</v>
      </c>
      <c r="D2319">
        <v>5.412134</v>
      </c>
      <c r="E2319">
        <v>0.27840209999999999</v>
      </c>
      <c r="F2319" t="s">
        <v>41</v>
      </c>
      <c r="G2319">
        <v>-492.82339999999999</v>
      </c>
      <c r="H2319" s="1">
        <v>-4.4266129999999998E-6</v>
      </c>
      <c r="I2319">
        <v>188.52289999999999</v>
      </c>
      <c r="J2319">
        <v>-486.70839999999998</v>
      </c>
      <c r="K2319">
        <v>1.118754</v>
      </c>
      <c r="L2319">
        <v>277.7</v>
      </c>
      <c r="M2319">
        <v>-0.74229330000000004</v>
      </c>
      <c r="N2319">
        <v>0</v>
      </c>
      <c r="O2319">
        <v>-0.66990050000000001</v>
      </c>
      <c r="P2319">
        <v>-0.55964510000000001</v>
      </c>
      <c r="Q2319">
        <v>-4.6028600000000003E-2</v>
      </c>
      <c r="R2319">
        <v>-0.82745340000000001</v>
      </c>
      <c r="S2319">
        <v>-0.2411499</v>
      </c>
      <c r="T2319">
        <v>-4.3557520000000002E-2</v>
      </c>
      <c r="U2319">
        <v>-3.4751590000000001</v>
      </c>
      <c r="V2319">
        <v>-0.2386634</v>
      </c>
      <c r="W2319">
        <v>-3.5958410000000003E-2</v>
      </c>
      <c r="X2319">
        <v>0.97043639999999998</v>
      </c>
      <c r="Y2319">
        <v>-0.69421029999999995</v>
      </c>
      <c r="Z2319">
        <v>4.630019E-3</v>
      </c>
      <c r="AA2319">
        <v>0.71975739999999999</v>
      </c>
      <c r="AB2319">
        <v>21</v>
      </c>
      <c r="AC2319">
        <v>-6.1150000000000002</v>
      </c>
      <c r="AD2319">
        <v>-1.118758426613</v>
      </c>
      <c r="AE2319">
        <v>-89.177099999999996</v>
      </c>
      <c r="AF2319">
        <v>-62.0966610372137</v>
      </c>
      <c r="AG2319">
        <v>-1.118758426613</v>
      </c>
      <c r="AH2319">
        <v>64.276359765305401</v>
      </c>
      <c r="AI2319">
        <v>90.717186834625096</v>
      </c>
      <c r="AJ2319">
        <v>134.01185273134399</v>
      </c>
      <c r="AK2319">
        <v>89.379513072441299</v>
      </c>
      <c r="AL2319">
        <v>92.060709345976093</v>
      </c>
      <c r="AM2319">
        <v>103.81677899088299</v>
      </c>
      <c r="AN2319">
        <v>1.0000000160971201</v>
      </c>
    </row>
    <row r="2320" spans="1:40" x14ac:dyDescent="0.3">
      <c r="A2320" t="str">
        <f>"20200111160453584"</f>
        <v>20200111160453584</v>
      </c>
      <c r="B2320" t="str">
        <f>"1578729893573595"</f>
        <v>1578729893573595</v>
      </c>
      <c r="C2320" t="s">
        <v>40</v>
      </c>
      <c r="D2320">
        <v>5.4961710000000004</v>
      </c>
      <c r="E2320">
        <v>0.27901369999999998</v>
      </c>
      <c r="F2320" t="s">
        <v>41</v>
      </c>
      <c r="G2320">
        <v>-491.86680000000001</v>
      </c>
      <c r="H2320" s="1">
        <v>-3.1833890000000002E-6</v>
      </c>
      <c r="I2320">
        <v>195.8519</v>
      </c>
      <c r="J2320">
        <v>-486.78280000000001</v>
      </c>
      <c r="K2320">
        <v>1.1187450000000001</v>
      </c>
      <c r="L2320">
        <v>277.62240000000003</v>
      </c>
      <c r="M2320">
        <v>-0.73743400000000003</v>
      </c>
      <c r="N2320">
        <v>0</v>
      </c>
      <c r="O2320">
        <v>-0.67524569999999995</v>
      </c>
      <c r="P2320">
        <v>-0.55389880000000002</v>
      </c>
      <c r="Q2320">
        <v>-4.682679E-2</v>
      </c>
      <c r="R2320">
        <v>-0.83126599999999995</v>
      </c>
      <c r="S2320">
        <v>-0.2189941</v>
      </c>
      <c r="T2320">
        <v>-4.7496320000000002E-2</v>
      </c>
      <c r="U2320">
        <v>-3.4748230000000002</v>
      </c>
      <c r="V2320">
        <v>-0.2383276</v>
      </c>
      <c r="W2320">
        <v>-3.6739170000000002E-2</v>
      </c>
      <c r="X2320">
        <v>0.97048970000000001</v>
      </c>
      <c r="Y2320">
        <v>-0.69357259999999998</v>
      </c>
      <c r="Z2320">
        <v>5.1561109999999997E-3</v>
      </c>
      <c r="AA2320">
        <v>0.72036829999999996</v>
      </c>
      <c r="AB2320">
        <v>21</v>
      </c>
      <c r="AC2320">
        <v>-5.0839999999999996</v>
      </c>
      <c r="AD2320">
        <v>-1.1187481833890001</v>
      </c>
      <c r="AE2320">
        <v>-81.770499999999998</v>
      </c>
      <c r="AF2320">
        <v>-56.863459082592598</v>
      </c>
      <c r="AG2320">
        <v>-1.1187481833890001</v>
      </c>
      <c r="AH2320">
        <v>58.960209059818801</v>
      </c>
      <c r="AI2320">
        <v>90.782482270214601</v>
      </c>
      <c r="AJ2320">
        <v>133.96289069854299</v>
      </c>
      <c r="AK2320">
        <v>81.920759449074097</v>
      </c>
      <c r="AL2320">
        <v>92.105473141624003</v>
      </c>
      <c r="AM2320">
        <v>103.79735335551401</v>
      </c>
      <c r="AN2320">
        <v>1.0000000346700599</v>
      </c>
    </row>
    <row r="2321" spans="1:40" x14ac:dyDescent="0.3">
      <c r="A2321" t="str">
        <f>"20200111160453596"</f>
        <v>20200111160453596</v>
      </c>
      <c r="B2321" t="str">
        <f>"1578729893593115"</f>
        <v>1578729893593115</v>
      </c>
      <c r="C2321" t="s">
        <v>40</v>
      </c>
      <c r="D2321">
        <v>5.4478650000000002</v>
      </c>
      <c r="E2321">
        <v>0.28015079999999998</v>
      </c>
      <c r="F2321" t="s">
        <v>56</v>
      </c>
      <c r="G2321">
        <v>-491.01499999999999</v>
      </c>
      <c r="H2321" s="1">
        <v>1.292688E-6</v>
      </c>
      <c r="I2321">
        <v>203.78919999999999</v>
      </c>
      <c r="J2321">
        <v>-486.85610000000003</v>
      </c>
      <c r="K2321">
        <v>1.118733</v>
      </c>
      <c r="L2321">
        <v>277.54410000000001</v>
      </c>
      <c r="M2321">
        <v>-0.73253020000000002</v>
      </c>
      <c r="N2321">
        <v>0</v>
      </c>
      <c r="O2321">
        <v>-0.68056240000000001</v>
      </c>
      <c r="P2321">
        <v>-0.5482011</v>
      </c>
      <c r="Q2321">
        <v>-4.7465680000000003E-2</v>
      </c>
      <c r="R2321">
        <v>-0.83499880000000004</v>
      </c>
      <c r="S2321">
        <v>-0.19909669999999999</v>
      </c>
      <c r="T2321">
        <v>-5.2629349999999998E-2</v>
      </c>
      <c r="U2321">
        <v>-3.4733580000000002</v>
      </c>
      <c r="V2321">
        <v>-0.23790610000000001</v>
      </c>
      <c r="W2321">
        <v>-3.7358530000000001E-2</v>
      </c>
      <c r="X2321">
        <v>0.97056940000000003</v>
      </c>
      <c r="Y2321">
        <v>-0.69245129999999999</v>
      </c>
      <c r="Z2321">
        <v>5.8379690000000001E-3</v>
      </c>
      <c r="AA2321">
        <v>0.721441</v>
      </c>
      <c r="AB2321">
        <v>21</v>
      </c>
      <c r="AC2321">
        <v>-4.1588999999999601</v>
      </c>
      <c r="AD2321">
        <v>-1.118731707312</v>
      </c>
      <c r="AE2321">
        <v>-73.754900000000006</v>
      </c>
      <c r="AF2321">
        <v>-51.191559574459603</v>
      </c>
      <c r="AG2321">
        <v>-1.118731707312</v>
      </c>
      <c r="AH2321">
        <v>53.235361285025597</v>
      </c>
      <c r="AI2321">
        <v>90.867830141237405</v>
      </c>
      <c r="AJ2321">
        <v>133.87877318534899</v>
      </c>
      <c r="AK2321">
        <v>73.863597417439706</v>
      </c>
      <c r="AL2321">
        <v>92.140984381565204</v>
      </c>
      <c r="AM2321">
        <v>103.772793832625</v>
      </c>
      <c r="AN2321">
        <v>0.99999996619866405</v>
      </c>
    </row>
    <row r="2322" spans="1:40" x14ac:dyDescent="0.3">
      <c r="A2322" t="str">
        <f>"20200111160453662"</f>
        <v>20200111160453662</v>
      </c>
      <c r="B2322" t="str">
        <f>"1578729893653627"</f>
        <v>1578729893653627</v>
      </c>
      <c r="C2322" t="s">
        <v>40</v>
      </c>
      <c r="D2322">
        <v>5.5043230000000003</v>
      </c>
      <c r="E2322">
        <v>0.28015079999999998</v>
      </c>
      <c r="F2322" t="s">
        <v>56</v>
      </c>
      <c r="G2322">
        <v>-490.16699999999997</v>
      </c>
      <c r="H2322" s="1">
        <v>3.2739199999999998E-6</v>
      </c>
      <c r="I2322">
        <v>214.49299999999999</v>
      </c>
      <c r="J2322">
        <v>-487.27390000000003</v>
      </c>
      <c r="K2322">
        <v>1.1186320000000001</v>
      </c>
      <c r="L2322">
        <v>277.07740000000001</v>
      </c>
      <c r="M2322">
        <v>-0.70308470000000001</v>
      </c>
      <c r="N2322">
        <v>0</v>
      </c>
      <c r="O2322">
        <v>-0.71094099999999905</v>
      </c>
      <c r="P2322">
        <v>-0.51172410000000002</v>
      </c>
      <c r="Q2322">
        <v>-5.1950219999999998E-2</v>
      </c>
      <c r="R2322">
        <v>-0.85757779999999995</v>
      </c>
      <c r="S2322">
        <v>-0.18218989999999999</v>
      </c>
      <c r="T2322">
        <v>-6.1561940000000002E-2</v>
      </c>
      <c r="U2322">
        <v>-3.4696039999999999</v>
      </c>
      <c r="V2322">
        <v>-0.2383922</v>
      </c>
      <c r="W2322">
        <v>-4.1798149999999999E-2</v>
      </c>
      <c r="X2322">
        <v>0.9702691</v>
      </c>
      <c r="Y2322">
        <v>-0.66490070000000001</v>
      </c>
      <c r="Z2322">
        <v>7.8554249999999992E-3</v>
      </c>
      <c r="AA2322">
        <v>0.74689050000000001</v>
      </c>
      <c r="AB2322">
        <v>21</v>
      </c>
      <c r="AC2322">
        <v>-2.8930999999999401</v>
      </c>
      <c r="AD2322">
        <v>-1.1186287260799901</v>
      </c>
      <c r="AE2322">
        <v>-62.584400000000002</v>
      </c>
      <c r="AF2322">
        <v>-41.936866620994103</v>
      </c>
      <c r="AG2322">
        <v>-1.1186287260799901</v>
      </c>
      <c r="AH2322">
        <v>46.518543665698701</v>
      </c>
      <c r="AI2322">
        <v>91.023225193866693</v>
      </c>
      <c r="AJ2322">
        <v>132.03493123758599</v>
      </c>
      <c r="AK2322">
        <v>62.641256508721</v>
      </c>
      <c r="AL2322">
        <v>92.395555408774001</v>
      </c>
      <c r="AM2322">
        <v>103.80396800775701</v>
      </c>
      <c r="AN2322">
        <v>1.0000000263895299</v>
      </c>
    </row>
    <row r="2323" spans="1:40" x14ac:dyDescent="0.3">
      <c r="A2323" t="str">
        <f>"20200111160453674"</f>
        <v>20200111160453674</v>
      </c>
      <c r="B2323" t="str">
        <f>"1578729893663388"</f>
        <v>1578729893663388</v>
      </c>
      <c r="C2323" t="s">
        <v>40</v>
      </c>
      <c r="D2323">
        <v>5.6085029999999998</v>
      </c>
      <c r="E2323">
        <v>0.30590060000000002</v>
      </c>
      <c r="F2323" t="s">
        <v>56</v>
      </c>
      <c r="G2323">
        <v>-487.7389</v>
      </c>
      <c r="H2323" s="1">
        <v>5.5777949999999998E-6</v>
      </c>
      <c r="I2323">
        <v>228.1164</v>
      </c>
      <c r="J2323">
        <v>-487.3374</v>
      </c>
      <c r="K2323">
        <v>1.1186149999999999</v>
      </c>
      <c r="L2323">
        <v>277.00229999999999</v>
      </c>
      <c r="M2323">
        <v>-0.6983374</v>
      </c>
      <c r="N2323">
        <v>0</v>
      </c>
      <c r="O2323">
        <v>-0.71560440000000003</v>
      </c>
      <c r="P2323">
        <v>-0.50637589999999999</v>
      </c>
      <c r="Q2323">
        <v>-5.2175390000000002E-2</v>
      </c>
      <c r="R2323">
        <v>-0.86073310000000003</v>
      </c>
      <c r="S2323">
        <v>-3.2989499999999998E-2</v>
      </c>
      <c r="T2323">
        <v>-7.9364539999999997E-2</v>
      </c>
      <c r="U2323">
        <v>-3.4736940000000001</v>
      </c>
      <c r="V2323">
        <v>-0.23796210000000001</v>
      </c>
      <c r="W2323">
        <v>-4.2005019999999997E-2</v>
      </c>
      <c r="X2323">
        <v>0.9703657</v>
      </c>
      <c r="Y2323">
        <v>-0.69156249999999997</v>
      </c>
      <c r="Z2323">
        <v>9.9418890000000006E-3</v>
      </c>
      <c r="AA2323">
        <v>0.72224809999999995</v>
      </c>
      <c r="AB2323">
        <v>21</v>
      </c>
      <c r="AC2323">
        <v>-0.40149999999999803</v>
      </c>
      <c r="AD2323">
        <v>-1.11860942220499</v>
      </c>
      <c r="AE2323">
        <v>-48.8858999999999</v>
      </c>
      <c r="AF2323">
        <v>-33.837803217787297</v>
      </c>
      <c r="AG2323">
        <v>-1.11860942220499</v>
      </c>
      <c r="AH2323">
        <v>35.249040899697697</v>
      </c>
      <c r="AI2323">
        <v>91.311457756491507</v>
      </c>
      <c r="AJ2323">
        <v>133.82978126194499</v>
      </c>
      <c r="AK2323">
        <v>48.874769544149302</v>
      </c>
      <c r="AL2323">
        <v>92.407418699633297</v>
      </c>
      <c r="AM2323">
        <v>103.778693926947</v>
      </c>
      <c r="AN2323">
        <v>0.99999998723905004</v>
      </c>
    </row>
    <row r="2324" spans="1:40" x14ac:dyDescent="0.3">
      <c r="A2324" t="str">
        <f>"20200111160453686"</f>
        <v>20200111160453686</v>
      </c>
      <c r="B2324" t="str">
        <f>"1578729893682907"</f>
        <v>1578729893682907</v>
      </c>
      <c r="C2324" t="s">
        <v>40</v>
      </c>
      <c r="D2324">
        <v>5.5759860000000003</v>
      </c>
      <c r="E2324">
        <v>0.30924390000000002</v>
      </c>
      <c r="F2324" t="s">
        <v>41</v>
      </c>
      <c r="G2324">
        <v>-488.35989999999998</v>
      </c>
      <c r="H2324" s="1">
        <v>-3.9237199999999999E-6</v>
      </c>
      <c r="I2324">
        <v>258.10090000000002</v>
      </c>
      <c r="J2324">
        <v>-487.41030000000001</v>
      </c>
      <c r="K2324">
        <v>1.1185989999999999</v>
      </c>
      <c r="L2324">
        <v>276.91559999999998</v>
      </c>
      <c r="M2324">
        <v>-0.69282619999999995</v>
      </c>
      <c r="N2324">
        <v>0</v>
      </c>
      <c r="O2324">
        <v>-0.72094169999999902</v>
      </c>
      <c r="P2324">
        <v>-0.49974839999999998</v>
      </c>
      <c r="Q2324">
        <v>-5.2735209999999998E-2</v>
      </c>
      <c r="R2324">
        <v>-0.86456390000000005</v>
      </c>
      <c r="S2324">
        <v>-0.18209839999999999</v>
      </c>
      <c r="T2324">
        <v>-0.19921639999999999</v>
      </c>
      <c r="U2324">
        <v>-3.3661799999999999</v>
      </c>
      <c r="V2324">
        <v>-0.2379385</v>
      </c>
      <c r="W2324">
        <v>-4.2555240000000001E-2</v>
      </c>
      <c r="X2324">
        <v>0.97034750000000003</v>
      </c>
      <c r="Y2324">
        <v>-0.65280079999999996</v>
      </c>
      <c r="Z2324">
        <v>2.7362919999999999E-2</v>
      </c>
      <c r="AA2324">
        <v>0.75703529999999997</v>
      </c>
      <c r="AB2324">
        <v>21</v>
      </c>
      <c r="AC2324">
        <v>-0.94959999999997502</v>
      </c>
      <c r="AD2324">
        <v>-1.1186029237199999</v>
      </c>
      <c r="AE2324">
        <v>-18.814699999999899</v>
      </c>
      <c r="AF2324">
        <v>-12.308764132872501</v>
      </c>
      <c r="AG2324">
        <v>-1.1186029237199999</v>
      </c>
      <c r="AH2324">
        <v>14.1739066553253</v>
      </c>
      <c r="AI2324">
        <v>93.4100766596912</v>
      </c>
      <c r="AJ2324">
        <v>130.97137959384199</v>
      </c>
      <c r="AK2324">
        <v>18.8057591405803</v>
      </c>
      <c r="AL2324">
        <v>92.438972230623193</v>
      </c>
      <c r="AM2324">
        <v>103.77762805486201</v>
      </c>
      <c r="AN2324">
        <v>0.99999997449497802</v>
      </c>
    </row>
    <row r="2325" spans="1:40" x14ac:dyDescent="0.3">
      <c r="A2325" t="str">
        <f>"20200111160453713"</f>
        <v>20200111160453713</v>
      </c>
      <c r="B2325" t="str">
        <f>"1578729893703403"</f>
        <v>1578729893703403</v>
      </c>
      <c r="C2325" t="s">
        <v>40</v>
      </c>
      <c r="D2325">
        <v>5.6801059999999897</v>
      </c>
      <c r="E2325">
        <v>0.31080029999999997</v>
      </c>
      <c r="F2325" t="s">
        <v>41</v>
      </c>
      <c r="G2325">
        <v>-488.26569999999998</v>
      </c>
      <c r="H2325" s="1">
        <v>-8.4986379999999998E-7</v>
      </c>
      <c r="I2325">
        <v>260.78949999999998</v>
      </c>
      <c r="J2325">
        <v>-487.56569999999999</v>
      </c>
      <c r="K2325">
        <v>1.1185670000000001</v>
      </c>
      <c r="L2325">
        <v>276.72539999999998</v>
      </c>
      <c r="M2325">
        <v>-0.68073450000000002</v>
      </c>
      <c r="N2325">
        <v>0</v>
      </c>
      <c r="O2325">
        <v>-0.73236979999999996</v>
      </c>
      <c r="P2325">
        <v>-0.48619420000000002</v>
      </c>
      <c r="Q2325">
        <v>-5.3971940000000003E-2</v>
      </c>
      <c r="R2325">
        <v>-0.87218280000000004</v>
      </c>
      <c r="S2325">
        <v>-0.1778564</v>
      </c>
      <c r="T2325">
        <v>-0.2325826</v>
      </c>
      <c r="U2325">
        <v>-3.3529969999999998</v>
      </c>
      <c r="V2325">
        <v>-0.23686570000000001</v>
      </c>
      <c r="W2325">
        <v>-4.3748990000000001E-2</v>
      </c>
      <c r="X2325">
        <v>0.97055689999999994</v>
      </c>
      <c r="Y2325">
        <v>-0.64087720000000004</v>
      </c>
      <c r="Z2325">
        <v>3.3574319999999998E-2</v>
      </c>
      <c r="AA2325">
        <v>0.76690879999999995</v>
      </c>
      <c r="AB2325">
        <v>21</v>
      </c>
      <c r="AC2325">
        <v>-0.69999999999998797</v>
      </c>
      <c r="AD2325">
        <v>-1.1185678498638001</v>
      </c>
      <c r="AE2325">
        <v>-15.9359</v>
      </c>
      <c r="AF2325">
        <v>-10.2860920878207</v>
      </c>
      <c r="AG2325">
        <v>-1.1185678498638001</v>
      </c>
      <c r="AH2325">
        <v>12.089465159162099</v>
      </c>
      <c r="AI2325">
        <v>94.030907280703701</v>
      </c>
      <c r="AJ2325">
        <v>130.39216790132301</v>
      </c>
      <c r="AK2325">
        <v>15.912575288383399</v>
      </c>
      <c r="AL2325">
        <v>92.507432741628193</v>
      </c>
      <c r="AM2325">
        <v>103.715012434507</v>
      </c>
      <c r="AN2325">
        <v>1.0000000150500501</v>
      </c>
    </row>
    <row r="2326" spans="1:40" x14ac:dyDescent="0.3">
      <c r="A2326" t="str">
        <f>"20200111160453724"</f>
        <v>20200111160453724</v>
      </c>
      <c r="B2326" t="str">
        <f>"1578729893713163"</f>
        <v>1578729893713163</v>
      </c>
      <c r="C2326" t="s">
        <v>40</v>
      </c>
      <c r="D2326">
        <v>5.6106350000000003</v>
      </c>
      <c r="E2326">
        <v>0.31225540000000002</v>
      </c>
      <c r="F2326" t="s">
        <v>41</v>
      </c>
      <c r="G2326">
        <v>-488.18360000000001</v>
      </c>
      <c r="H2326" s="1">
        <v>-1.1417729999999999E-6</v>
      </c>
      <c r="I2326">
        <v>261.54320000000001</v>
      </c>
      <c r="J2326">
        <v>-487.63260000000002</v>
      </c>
      <c r="K2326">
        <v>1.118554</v>
      </c>
      <c r="L2326">
        <v>276.642</v>
      </c>
      <c r="M2326">
        <v>-0.6754097</v>
      </c>
      <c r="N2326">
        <v>0</v>
      </c>
      <c r="O2326">
        <v>-0.73728309999999997</v>
      </c>
      <c r="P2326">
        <v>-0.48004229999999998</v>
      </c>
      <c r="Q2326">
        <v>-5.460769E-2</v>
      </c>
      <c r="R2326">
        <v>-0.8755444</v>
      </c>
      <c r="S2326">
        <v>-0.13626099999999999</v>
      </c>
      <c r="T2326">
        <v>-0.24670139999999999</v>
      </c>
      <c r="U2326">
        <v>-3.3484500000000001</v>
      </c>
      <c r="V2326">
        <v>-0.23662730000000001</v>
      </c>
      <c r="W2326">
        <v>-4.4371870000000001E-2</v>
      </c>
      <c r="X2326">
        <v>0.97058679999999997</v>
      </c>
      <c r="Y2326">
        <v>-0.64473210000000003</v>
      </c>
      <c r="Z2326">
        <v>3.6033589999999997E-2</v>
      </c>
      <c r="AA2326">
        <v>0.76355890000000004</v>
      </c>
      <c r="AB2326">
        <v>21</v>
      </c>
      <c r="AC2326">
        <v>-0.55099999999998694</v>
      </c>
      <c r="AD2326">
        <v>-1.118555141773</v>
      </c>
      <c r="AE2326">
        <v>-15.098799999999899</v>
      </c>
      <c r="AF2326">
        <v>-9.7394047976046103</v>
      </c>
      <c r="AG2326">
        <v>-1.118555141773</v>
      </c>
      <c r="AH2326">
        <v>11.442877638251799</v>
      </c>
      <c r="AI2326">
        <v>94.2571817339375</v>
      </c>
      <c r="AJ2326">
        <v>130.40218530985999</v>
      </c>
      <c r="AK2326">
        <v>15.0680662349484</v>
      </c>
      <c r="AL2326">
        <v>92.5431557673447</v>
      </c>
      <c r="AM2326">
        <v>103.70132293176</v>
      </c>
      <c r="AN2326">
        <v>1.0000000391434101</v>
      </c>
    </row>
    <row r="2327" spans="1:40" x14ac:dyDescent="0.3">
      <c r="A2327" t="str">
        <f>"20200111160453780"</f>
        <v>20200111160453780</v>
      </c>
      <c r="B2327" t="str">
        <f>"1578729893773674"</f>
        <v>1578729893773674</v>
      </c>
      <c r="C2327" t="s">
        <v>40</v>
      </c>
      <c r="D2327">
        <v>5.7574290000000001</v>
      </c>
      <c r="E2327">
        <v>0.31463609999999997</v>
      </c>
      <c r="F2327" t="s">
        <v>41</v>
      </c>
      <c r="G2327">
        <v>-488.19979999999998</v>
      </c>
      <c r="H2327" s="1">
        <v>-1.0168050000000001E-6</v>
      </c>
      <c r="I2327">
        <v>261.2285</v>
      </c>
      <c r="J2327">
        <v>-487.94740000000002</v>
      </c>
      <c r="K2327">
        <v>1.1184909999999999</v>
      </c>
      <c r="L2327">
        <v>276.2296</v>
      </c>
      <c r="M2327">
        <v>-0.64903929999999999</v>
      </c>
      <c r="N2327">
        <v>0</v>
      </c>
      <c r="O2327">
        <v>-0.76060030000000001</v>
      </c>
      <c r="P2327">
        <v>-0.45258720000000002</v>
      </c>
      <c r="Q2327">
        <v>-5.4612620000000001E-2</v>
      </c>
      <c r="R2327">
        <v>-0.89004649999999996</v>
      </c>
      <c r="S2327">
        <v>-0.1230469</v>
      </c>
      <c r="T2327">
        <v>-0.2426635</v>
      </c>
      <c r="U2327">
        <v>-3.3438720000000002</v>
      </c>
      <c r="V2327">
        <v>-0.23264779999999999</v>
      </c>
      <c r="W2327">
        <v>-4.4252029999999998E-2</v>
      </c>
      <c r="X2327">
        <v>0.97155380000000002</v>
      </c>
      <c r="Y2327">
        <v>-0.62052790000000002</v>
      </c>
      <c r="Z2327">
        <v>3.8710010000000003E-2</v>
      </c>
      <c r="AA2327">
        <v>0.78322840000000005</v>
      </c>
      <c r="AB2327">
        <v>21</v>
      </c>
      <c r="AC2327">
        <v>-0.25239999999996598</v>
      </c>
      <c r="AD2327">
        <v>-1.1184920168050001</v>
      </c>
      <c r="AE2327">
        <v>-15.001099999999999</v>
      </c>
      <c r="AF2327">
        <v>-9.4926926739979098</v>
      </c>
      <c r="AG2327">
        <v>-1.1184920168050001</v>
      </c>
      <c r="AH2327">
        <v>11.511044653337599</v>
      </c>
      <c r="AI2327">
        <v>94.2871274909958</v>
      </c>
      <c r="AJ2327">
        <v>129.51102204671901</v>
      </c>
      <c r="AK2327">
        <v>14.962165204467</v>
      </c>
      <c r="AL2327">
        <v>92.536282754968596</v>
      </c>
      <c r="AM2327">
        <v>103.466448666315</v>
      </c>
      <c r="AN2327">
        <v>1.0000000136492</v>
      </c>
    </row>
    <row r="2328" spans="1:40" x14ac:dyDescent="0.3">
      <c r="A2328" t="str">
        <f>"20200111160453805"</f>
        <v>20200111160453805</v>
      </c>
      <c r="B2328" t="str">
        <f>"1578729893802955"</f>
        <v>1578729893802955</v>
      </c>
      <c r="C2328" t="s">
        <v>40</v>
      </c>
      <c r="D2328">
        <v>5.5157920000000003</v>
      </c>
      <c r="E2328">
        <v>0.31851760000000001</v>
      </c>
      <c r="F2328" t="s">
        <v>42</v>
      </c>
      <c r="G2328">
        <v>-487.95760000000001</v>
      </c>
      <c r="H2328">
        <v>1.047372</v>
      </c>
      <c r="I2328">
        <v>275.28910000000002</v>
      </c>
      <c r="J2328">
        <v>-488.0806</v>
      </c>
      <c r="K2328">
        <v>1.1184730000000001</v>
      </c>
      <c r="L2328">
        <v>276.04579999999999</v>
      </c>
      <c r="M2328">
        <v>-0.63723359999999996</v>
      </c>
      <c r="N2328">
        <v>0</v>
      </c>
      <c r="O2328">
        <v>-0.7705185</v>
      </c>
      <c r="P2328">
        <v>-0.4414573</v>
      </c>
      <c r="Q2328">
        <v>-5.3884719999999997E-2</v>
      </c>
      <c r="R2328">
        <v>-0.89566299999999899</v>
      </c>
      <c r="S2328">
        <v>-3.5644530000000001E-2</v>
      </c>
      <c r="T2328">
        <v>-0.25225999999999998</v>
      </c>
      <c r="U2328">
        <v>-3.3370669999999998</v>
      </c>
      <c r="V2328">
        <v>-0.22982340000000001</v>
      </c>
      <c r="W2328">
        <v>-4.3445890000000001E-2</v>
      </c>
      <c r="X2328">
        <v>0.97226210000000002</v>
      </c>
      <c r="Y2328">
        <v>-0.62882369999999899</v>
      </c>
      <c r="Z2328">
        <v>4.1110220000000003E-2</v>
      </c>
      <c r="AA2328">
        <v>0.77646040000000005</v>
      </c>
      <c r="AB2328">
        <v>21</v>
      </c>
      <c r="AC2328">
        <v>0.12299999999999001</v>
      </c>
      <c r="AD2328">
        <v>-7.1100999999999998E-2</v>
      </c>
      <c r="AE2328">
        <v>-0.75669999999996596</v>
      </c>
      <c r="AF2328">
        <v>-0.57211503378628403</v>
      </c>
      <c r="AG2328">
        <v>-7.1100999999999998E-2</v>
      </c>
      <c r="AH2328">
        <v>0.50042636372688698</v>
      </c>
      <c r="AI2328">
        <v>95.344035937299907</v>
      </c>
      <c r="AJ2328">
        <v>138.823962207416</v>
      </c>
      <c r="AK2328">
        <v>0.76341175626145197</v>
      </c>
      <c r="AL2328">
        <v>92.490049985716993</v>
      </c>
      <c r="AM2328">
        <v>103.299463019211</v>
      </c>
      <c r="AN2328">
        <v>0.99999996582092998</v>
      </c>
    </row>
    <row r="2329" spans="1:40" x14ac:dyDescent="0.3">
      <c r="A2329" t="str">
        <f>"20200111160453816"</f>
        <v>20200111160453816</v>
      </c>
      <c r="B2329" t="str">
        <f>"1578729893813691"</f>
        <v>1578729893813691</v>
      </c>
      <c r="C2329" t="s">
        <v>40</v>
      </c>
      <c r="D2329">
        <v>5.5264499999999996</v>
      </c>
      <c r="E2329">
        <v>0.32018999999999997</v>
      </c>
      <c r="F2329" t="s">
        <v>41</v>
      </c>
      <c r="G2329">
        <v>-488.16910000000001</v>
      </c>
      <c r="H2329" s="1">
        <v>-1.094829E-6</v>
      </c>
      <c r="I2329">
        <v>261.42779999999999</v>
      </c>
      <c r="J2329">
        <v>-488.14139999999998</v>
      </c>
      <c r="K2329">
        <v>1.1184639999999999</v>
      </c>
      <c r="L2329">
        <v>275.95949999999999</v>
      </c>
      <c r="M2329">
        <v>-0.63168409999999997</v>
      </c>
      <c r="N2329">
        <v>0</v>
      </c>
      <c r="O2329">
        <v>-0.77507459999999995</v>
      </c>
      <c r="P2329">
        <v>-0.43664579999999997</v>
      </c>
      <c r="Q2329">
        <v>-5.371985E-2</v>
      </c>
      <c r="R2329">
        <v>-0.89802850000000001</v>
      </c>
      <c r="S2329">
        <v>-2.0141599999999999E-2</v>
      </c>
      <c r="T2329">
        <v>-0.25435210000000003</v>
      </c>
      <c r="U2329">
        <v>-3.3242799999999999</v>
      </c>
      <c r="V2329">
        <v>-0.22806989999999999</v>
      </c>
      <c r="W2329">
        <v>-4.3234960000000003E-2</v>
      </c>
      <c r="X2329">
        <v>0.9726844</v>
      </c>
      <c r="Y2329">
        <v>-0.62682680000000002</v>
      </c>
      <c r="Z2329">
        <v>4.2176440000000003E-2</v>
      </c>
      <c r="AA2329">
        <v>0.77801629999999999</v>
      </c>
      <c r="AB2329">
        <v>21</v>
      </c>
      <c r="AC2329">
        <v>-2.7700000000038399E-2</v>
      </c>
      <c r="AD2329">
        <v>-1.11846509482899</v>
      </c>
      <c r="AE2329">
        <v>-14.531700000000001</v>
      </c>
      <c r="AF2329">
        <v>-9.1051104138083101</v>
      </c>
      <c r="AG2329">
        <v>-1.11846509482899</v>
      </c>
      <c r="AH2329">
        <v>11.2155323451797</v>
      </c>
      <c r="AI2329">
        <v>94.427183012846399</v>
      </c>
      <c r="AJ2329">
        <v>129.07074282373301</v>
      </c>
      <c r="AK2329">
        <v>14.489381132462601</v>
      </c>
      <c r="AL2329">
        <v>92.477953032215893</v>
      </c>
      <c r="AM2329">
        <v>103.196026485685</v>
      </c>
      <c r="AN2329">
        <v>1.0000000415277801</v>
      </c>
    </row>
    <row r="2330" spans="1:40" x14ac:dyDescent="0.3">
      <c r="A2330" t="str">
        <f>"20200111160453830"</f>
        <v>20200111160453830</v>
      </c>
      <c r="B2330" t="str">
        <f>"1578729893823451"</f>
        <v>1578729893823451</v>
      </c>
      <c r="C2330" t="s">
        <v>40</v>
      </c>
      <c r="D2330">
        <v>5.5078139999999998</v>
      </c>
      <c r="E2330">
        <v>0.32138159999999999</v>
      </c>
      <c r="F2330" t="s">
        <v>42</v>
      </c>
      <c r="G2330">
        <v>-488.14600000000002</v>
      </c>
      <c r="H2330">
        <v>1.0443119999999999</v>
      </c>
      <c r="I2330">
        <v>274.99020000000002</v>
      </c>
      <c r="J2330">
        <v>-488.20890000000003</v>
      </c>
      <c r="K2330">
        <v>1.118452</v>
      </c>
      <c r="L2330">
        <v>275.86250000000001</v>
      </c>
      <c r="M2330">
        <v>-0.62543789999999999</v>
      </c>
      <c r="N2330">
        <v>0</v>
      </c>
      <c r="O2330">
        <v>-0.78012369999999898</v>
      </c>
      <c r="P2330">
        <v>-0.43114390000000002</v>
      </c>
      <c r="Q2330">
        <v>-5.3481170000000001E-2</v>
      </c>
      <c r="R2330">
        <v>-0.90069699999999997</v>
      </c>
      <c r="S2330">
        <v>-1.498413E-2</v>
      </c>
      <c r="T2330">
        <v>-0.2537316</v>
      </c>
      <c r="U2330">
        <v>-3.3181759999999998</v>
      </c>
      <c r="V2330">
        <v>-0.22622349999999999</v>
      </c>
      <c r="W2330">
        <v>-4.2947550000000001E-2</v>
      </c>
      <c r="X2330">
        <v>0.97312810000000005</v>
      </c>
      <c r="Y2330">
        <v>-0.62176430000000005</v>
      </c>
      <c r="Z2330">
        <v>4.2877430000000001E-2</v>
      </c>
      <c r="AA2330">
        <v>0.78202989999999994</v>
      </c>
      <c r="AB2330">
        <v>21</v>
      </c>
      <c r="AC2330">
        <v>6.2900000000070094E-2</v>
      </c>
      <c r="AD2330">
        <v>-7.4139999999999803E-2</v>
      </c>
      <c r="AE2330">
        <v>-0.87229999999999497</v>
      </c>
      <c r="AF2330">
        <v>-0.59046556179001697</v>
      </c>
      <c r="AG2330">
        <v>-7.4139999999999803E-2</v>
      </c>
      <c r="AH2330">
        <v>0.63666162414837801</v>
      </c>
      <c r="AI2330">
        <v>94.880238675178603</v>
      </c>
      <c r="AJ2330">
        <v>132.84407832385099</v>
      </c>
      <c r="AK2330">
        <v>0.87148398890814405</v>
      </c>
      <c r="AL2330">
        <v>92.461470613732104</v>
      </c>
      <c r="AM2330">
        <v>103.087124991655</v>
      </c>
      <c r="AN2330">
        <v>0.99999993150642896</v>
      </c>
    </row>
    <row r="2331" spans="1:40" x14ac:dyDescent="0.3">
      <c r="A2331" t="str">
        <f>"20200111160453841"</f>
        <v>20200111160453841</v>
      </c>
      <c r="B2331" t="str">
        <f>"1578729893833211"</f>
        <v>1578729893833211</v>
      </c>
      <c r="C2331" t="s">
        <v>40</v>
      </c>
      <c r="D2331">
        <v>5.5503169999999997</v>
      </c>
      <c r="E2331">
        <v>0.32266119999999998</v>
      </c>
      <c r="F2331" t="s">
        <v>41</v>
      </c>
      <c r="G2331">
        <v>-488.22239999999999</v>
      </c>
      <c r="H2331" s="1">
        <v>-9.9893049999999997E-7</v>
      </c>
      <c r="I2331">
        <v>261.1936</v>
      </c>
      <c r="J2331">
        <v>-488.27499999999998</v>
      </c>
      <c r="K2331">
        <v>1.1184379999999901</v>
      </c>
      <c r="L2331">
        <v>275.76609999999999</v>
      </c>
      <c r="M2331">
        <v>-0.61921309999999996</v>
      </c>
      <c r="N2331">
        <v>0</v>
      </c>
      <c r="O2331">
        <v>-0.78507349999999998</v>
      </c>
      <c r="P2331">
        <v>-0.42550060000000001</v>
      </c>
      <c r="Q2331">
        <v>-5.3609789999999997E-2</v>
      </c>
      <c r="R2331">
        <v>-0.90336890000000003</v>
      </c>
      <c r="S2331">
        <v>-3.0517579999999999E-3</v>
      </c>
      <c r="T2331">
        <v>-0.25270369999999998</v>
      </c>
      <c r="U2331">
        <v>-3.3143009999999999</v>
      </c>
      <c r="V2331">
        <v>-0.22456770000000001</v>
      </c>
      <c r="W2331">
        <v>-4.3032420000000002E-2</v>
      </c>
      <c r="X2331">
        <v>0.97350789999999998</v>
      </c>
      <c r="Y2331">
        <v>-0.61834820000000001</v>
      </c>
      <c r="Z2331">
        <v>4.3410629999999999E-2</v>
      </c>
      <c r="AA2331">
        <v>0.78470439999999997</v>
      </c>
      <c r="AB2331">
        <v>21</v>
      </c>
      <c r="AC2331">
        <v>5.2599999999983903E-2</v>
      </c>
      <c r="AD2331">
        <v>-1.1184389989304999</v>
      </c>
      <c r="AE2331">
        <v>-14.5724999999999</v>
      </c>
      <c r="AF2331">
        <v>-9.01275241576921</v>
      </c>
      <c r="AG2331">
        <v>-1.1184389989304999</v>
      </c>
      <c r="AH2331">
        <v>11.342439697066</v>
      </c>
      <c r="AI2331">
        <v>94.414567382455004</v>
      </c>
      <c r="AJ2331">
        <v>128.47080814560599</v>
      </c>
      <c r="AK2331">
        <v>14.5303664848434</v>
      </c>
      <c r="AL2331">
        <v>92.466337548188605</v>
      </c>
      <c r="AM2331">
        <v>102.98970104804501</v>
      </c>
      <c r="AN2331">
        <v>1.0000000362083701</v>
      </c>
    </row>
    <row r="2332" spans="1:40" x14ac:dyDescent="0.3">
      <c r="A2332" t="str">
        <f>"20200111160453858"</f>
        <v>20200111160453858</v>
      </c>
      <c r="B2332" t="str">
        <f>"1578729893853707"</f>
        <v>1578729893853707</v>
      </c>
      <c r="C2332" t="s">
        <v>40</v>
      </c>
      <c r="D2332">
        <v>5.6129419999999897</v>
      </c>
      <c r="E2332">
        <v>0.32502320000000001</v>
      </c>
      <c r="F2332" t="s">
        <v>42</v>
      </c>
      <c r="G2332">
        <v>-488.27280000000002</v>
      </c>
      <c r="H2332">
        <v>1.0489850000000001</v>
      </c>
      <c r="I2332">
        <v>274.85680000000002</v>
      </c>
      <c r="J2332">
        <v>-488.35550000000001</v>
      </c>
      <c r="K2332">
        <v>1.118422</v>
      </c>
      <c r="L2332">
        <v>275.64589999999998</v>
      </c>
      <c r="M2332">
        <v>-0.61145660000000002</v>
      </c>
      <c r="N2332">
        <v>0</v>
      </c>
      <c r="O2332">
        <v>-0.79112959999999999</v>
      </c>
      <c r="P2332">
        <v>-0.41970039999999997</v>
      </c>
      <c r="Q2332">
        <v>-5.38316E-2</v>
      </c>
      <c r="R2332">
        <v>-0.90606509999999996</v>
      </c>
      <c r="S2332">
        <v>8.3923339999999996E-3</v>
      </c>
      <c r="T2332">
        <v>-0.25276320000000002</v>
      </c>
      <c r="U2332">
        <v>-3.3098749999999999</v>
      </c>
      <c r="V2332">
        <v>-0.221219</v>
      </c>
      <c r="W2332">
        <v>-4.3171090000000002E-2</v>
      </c>
      <c r="X2332">
        <v>0.97426809999999997</v>
      </c>
      <c r="Y2332">
        <v>-0.61332100000000001</v>
      </c>
      <c r="Z2332">
        <v>4.4309920000000003E-2</v>
      </c>
      <c r="AA2332">
        <v>0.78858989999999995</v>
      </c>
      <c r="AB2332">
        <v>21</v>
      </c>
      <c r="AC2332">
        <v>8.2699999999988394E-2</v>
      </c>
      <c r="AD2332">
        <v>-6.9436999999999902E-2</v>
      </c>
      <c r="AE2332">
        <v>-0.78909999999996205</v>
      </c>
      <c r="AF2332">
        <v>-0.54382597551460399</v>
      </c>
      <c r="AG2332">
        <v>-6.9436999999999902E-2</v>
      </c>
      <c r="AH2332">
        <v>0.56941907042697704</v>
      </c>
      <c r="AI2332">
        <v>95.039657704996202</v>
      </c>
      <c r="AJ2332">
        <v>133.68302304832599</v>
      </c>
      <c r="AK2332">
        <v>0.79044687764538202</v>
      </c>
      <c r="AL2332">
        <v>92.474290333210007</v>
      </c>
      <c r="AM2332">
        <v>102.792770047649</v>
      </c>
      <c r="AN2332">
        <v>0.99999995982519796</v>
      </c>
    </row>
    <row r="2333" spans="1:40" x14ac:dyDescent="0.3">
      <c r="A2333" t="str">
        <f>"20200111160453870"</f>
        <v>20200111160453870</v>
      </c>
      <c r="B2333" t="str">
        <f>"1578729893863467"</f>
        <v>1578729893863467</v>
      </c>
      <c r="C2333" t="s">
        <v>40</v>
      </c>
      <c r="D2333">
        <v>5.5672009999999998</v>
      </c>
      <c r="E2333">
        <v>0.32589190000000001</v>
      </c>
      <c r="F2333" t="s">
        <v>42</v>
      </c>
      <c r="G2333">
        <v>-488.35210000000001</v>
      </c>
      <c r="H2333">
        <v>1.046019</v>
      </c>
      <c r="I2333">
        <v>274.69979999999998</v>
      </c>
      <c r="J2333">
        <v>-488.41480000000001</v>
      </c>
      <c r="K2333">
        <v>1.118412</v>
      </c>
      <c r="L2333">
        <v>275.5557</v>
      </c>
      <c r="M2333">
        <v>-0.60562590000000005</v>
      </c>
      <c r="N2333">
        <v>0</v>
      </c>
      <c r="O2333">
        <v>-0.79560209999999998</v>
      </c>
      <c r="P2333">
        <v>-0.41463040000000001</v>
      </c>
      <c r="Q2333">
        <v>-5.3587700000000002E-2</v>
      </c>
      <c r="R2333">
        <v>-0.90841090000000002</v>
      </c>
      <c r="S2333">
        <v>1.2451169999999999E-2</v>
      </c>
      <c r="T2333">
        <v>-0.25260700000000003</v>
      </c>
      <c r="U2333">
        <v>-3.3016969999999999</v>
      </c>
      <c r="V2333">
        <v>-0.2195192</v>
      </c>
      <c r="W2333">
        <v>-4.288322E-2</v>
      </c>
      <c r="X2333">
        <v>0.97466520000000001</v>
      </c>
      <c r="Y2333">
        <v>-0.60848549999999901</v>
      </c>
      <c r="Z2333">
        <v>4.5042539999999999E-2</v>
      </c>
      <c r="AA2333">
        <v>0.79228569999999998</v>
      </c>
      <c r="AB2333">
        <v>21</v>
      </c>
      <c r="AC2333">
        <v>6.2700000000006598E-2</v>
      </c>
      <c r="AD2333">
        <v>-7.2393000000000096E-2</v>
      </c>
      <c r="AE2333">
        <v>-0.85590000000001898</v>
      </c>
      <c r="AF2333">
        <v>-0.56429074601185103</v>
      </c>
      <c r="AG2333">
        <v>-7.2393000000000096E-2</v>
      </c>
      <c r="AH2333">
        <v>0.63851498418215102</v>
      </c>
      <c r="AI2333">
        <v>94.855923196022005</v>
      </c>
      <c r="AJ2333">
        <v>131.468798248139</v>
      </c>
      <c r="AK2333">
        <v>0.85519949573695597</v>
      </c>
      <c r="AL2333">
        <v>92.457781329411901</v>
      </c>
      <c r="AM2333">
        <v>102.69266614995099</v>
      </c>
      <c r="AN2333">
        <v>0.99999995090862304</v>
      </c>
    </row>
    <row r="2334" spans="1:40" x14ac:dyDescent="0.3">
      <c r="A2334" t="str">
        <f>"20200111160453882"</f>
        <v>20200111160453882</v>
      </c>
      <c r="B2334" t="str">
        <f>"1578729893873227"</f>
        <v>1578729893873227</v>
      </c>
      <c r="C2334" t="s">
        <v>40</v>
      </c>
      <c r="D2334">
        <v>5.5417160000000001</v>
      </c>
      <c r="E2334">
        <v>0.32673550000000001</v>
      </c>
      <c r="F2334" t="s">
        <v>41</v>
      </c>
      <c r="G2334">
        <v>-488.30340000000001</v>
      </c>
      <c r="H2334" s="1">
        <v>-9.1823020000000002E-7</v>
      </c>
      <c r="I2334">
        <v>261.01979999999998</v>
      </c>
      <c r="J2334">
        <v>-488.47500000000002</v>
      </c>
      <c r="K2334">
        <v>1.118401</v>
      </c>
      <c r="L2334">
        <v>275.4631</v>
      </c>
      <c r="M2334">
        <v>-0.59962839999999995</v>
      </c>
      <c r="N2334">
        <v>0</v>
      </c>
      <c r="O2334">
        <v>-0.80013199999999995</v>
      </c>
      <c r="P2334">
        <v>-0.40918300000000002</v>
      </c>
      <c r="Q2334">
        <v>-5.3370620000000001E-2</v>
      </c>
      <c r="R2334">
        <v>-0.91089030000000004</v>
      </c>
      <c r="S2334">
        <v>2.5268550000000001E-2</v>
      </c>
      <c r="T2334">
        <v>-0.25383129999999998</v>
      </c>
      <c r="U2334">
        <v>-3.2990110000000001</v>
      </c>
      <c r="V2334">
        <v>-0.21804390000000001</v>
      </c>
      <c r="W2334">
        <v>-4.2627320000000003E-2</v>
      </c>
      <c r="X2334">
        <v>0.97500759999999997</v>
      </c>
      <c r="Y2334">
        <v>-0.60559989999999997</v>
      </c>
      <c r="Z2334">
        <v>4.5891750000000002E-2</v>
      </c>
      <c r="AA2334">
        <v>0.79444490000000001</v>
      </c>
      <c r="AB2334">
        <v>21</v>
      </c>
      <c r="AC2334">
        <v>0.17160000000001199</v>
      </c>
      <c r="AD2334">
        <v>-1.1184019182301901</v>
      </c>
      <c r="AE2334">
        <v>-14.443300000000001</v>
      </c>
      <c r="AF2334">
        <v>-8.7465107061805494</v>
      </c>
      <c r="AG2334">
        <v>-1.1184019182301901</v>
      </c>
      <c r="AH2334">
        <v>11.386728433519201</v>
      </c>
      <c r="AI2334">
        <v>94.453929348319903</v>
      </c>
      <c r="AJ2334">
        <v>127.529020168092</v>
      </c>
      <c r="AK2334">
        <v>14.401731034939701</v>
      </c>
      <c r="AL2334">
        <v>92.443105737021199</v>
      </c>
      <c r="AM2334">
        <v>102.605813850215</v>
      </c>
      <c r="AN2334">
        <v>1.00000002539767</v>
      </c>
    </row>
    <row r="2335" spans="1:40" x14ac:dyDescent="0.3">
      <c r="A2335" t="str">
        <f>"20200111160453895"</f>
        <v>20200111160453895</v>
      </c>
      <c r="B2335" t="str">
        <f>"1578729893893723"</f>
        <v>1578729893893723</v>
      </c>
      <c r="C2335" t="s">
        <v>40</v>
      </c>
      <c r="D2335">
        <v>5.5349820000000003</v>
      </c>
      <c r="E2335">
        <v>0.32776050000000001</v>
      </c>
      <c r="F2335" t="s">
        <v>42</v>
      </c>
      <c r="G2335">
        <v>-488.46440000000001</v>
      </c>
      <c r="H2335">
        <v>1.0495490000000001</v>
      </c>
      <c r="I2335">
        <v>274.55840000000001</v>
      </c>
      <c r="J2335">
        <v>-488.5385</v>
      </c>
      <c r="K2335">
        <v>1.11839</v>
      </c>
      <c r="L2335">
        <v>275.36279999999999</v>
      </c>
      <c r="M2335">
        <v>-0.59314049999999996</v>
      </c>
      <c r="N2335">
        <v>0</v>
      </c>
      <c r="O2335">
        <v>-0.80495329999999998</v>
      </c>
      <c r="P2335">
        <v>-0.40334740000000002</v>
      </c>
      <c r="Q2335">
        <v>-5.2978749999999998E-2</v>
      </c>
      <c r="R2335">
        <v>-0.91351190000000004</v>
      </c>
      <c r="S2335">
        <v>3.8421629999999998E-2</v>
      </c>
      <c r="T2335">
        <v>-0.25089280000000003</v>
      </c>
      <c r="U2335">
        <v>-3.2960509999999998</v>
      </c>
      <c r="V2335">
        <v>-0.21642320000000001</v>
      </c>
      <c r="W2335">
        <v>-4.2193309999999998E-2</v>
      </c>
      <c r="X2335">
        <v>0.97538749999999996</v>
      </c>
      <c r="Y2335">
        <v>-0.60234739999999998</v>
      </c>
      <c r="Z2335">
        <v>4.6035840000000001E-2</v>
      </c>
      <c r="AA2335">
        <v>0.79690550000000004</v>
      </c>
      <c r="AB2335">
        <v>21</v>
      </c>
      <c r="AC2335">
        <v>7.4099999999987107E-2</v>
      </c>
      <c r="AD2335">
        <v>-6.8840999999999902E-2</v>
      </c>
      <c r="AE2335">
        <v>-0.80439999999998602</v>
      </c>
      <c r="AF2335">
        <v>-0.53296163067233304</v>
      </c>
      <c r="AG2335">
        <v>-6.8840999999999902E-2</v>
      </c>
      <c r="AH2335">
        <v>0.59927136113877699</v>
      </c>
      <c r="AI2335">
        <v>94.9061655363694</v>
      </c>
      <c r="AJ2335">
        <v>131.64827564308499</v>
      </c>
      <c r="AK2335">
        <v>0.804930647528739</v>
      </c>
      <c r="AL2335">
        <v>92.418216401171307</v>
      </c>
      <c r="AM2335">
        <v>102.51035753275301</v>
      </c>
      <c r="AN2335">
        <v>1.00000002603162</v>
      </c>
    </row>
    <row r="2336" spans="1:40" x14ac:dyDescent="0.3">
      <c r="A2336" t="str">
        <f>"20200111160453922"</f>
        <v>20200111160453922</v>
      </c>
      <c r="B2336" t="str">
        <f>"1578729893913243"</f>
        <v>1578729893913243</v>
      </c>
      <c r="C2336" t="s">
        <v>40</v>
      </c>
      <c r="D2336">
        <v>5.5178669999999999</v>
      </c>
      <c r="E2336">
        <v>0.32776050000000001</v>
      </c>
      <c r="F2336" t="s">
        <v>42</v>
      </c>
      <c r="G2336">
        <v>-488.52359999999999</v>
      </c>
      <c r="H2336">
        <v>1.0474749999999999</v>
      </c>
      <c r="I2336">
        <v>274.39269999999999</v>
      </c>
      <c r="J2336">
        <v>-488.66800000000001</v>
      </c>
      <c r="K2336">
        <v>1.1183639999999999</v>
      </c>
      <c r="L2336">
        <v>275.15410000000003</v>
      </c>
      <c r="M2336">
        <v>-0.57959719999999904</v>
      </c>
      <c r="N2336">
        <v>0</v>
      </c>
      <c r="O2336">
        <v>-0.81475929999999996</v>
      </c>
      <c r="P2336">
        <v>-0.39095730000000001</v>
      </c>
      <c r="Q2336">
        <v>-5.2389440000000002E-2</v>
      </c>
      <c r="R2336">
        <v>-0.91891650000000002</v>
      </c>
      <c r="S2336">
        <v>5.1544189999999997E-2</v>
      </c>
      <c r="T2336">
        <v>-0.24059459999999999</v>
      </c>
      <c r="U2336">
        <v>-3.2928470000000001</v>
      </c>
      <c r="V2336">
        <v>-0.21333840000000001</v>
      </c>
      <c r="W2336">
        <v>-4.1524020000000002E-2</v>
      </c>
      <c r="X2336">
        <v>0.9760955</v>
      </c>
      <c r="Y2336">
        <v>-0.59216369999999996</v>
      </c>
      <c r="Z2336">
        <v>4.5537590000000003E-2</v>
      </c>
      <c r="AA2336">
        <v>0.80452999999999997</v>
      </c>
      <c r="AB2336">
        <v>21</v>
      </c>
      <c r="AC2336">
        <v>0.14440000000001799</v>
      </c>
      <c r="AD2336">
        <v>-7.0888999999999897E-2</v>
      </c>
      <c r="AE2336">
        <v>-0.76140000000003705</v>
      </c>
      <c r="AF2336">
        <v>-0.55438336580952097</v>
      </c>
      <c r="AG2336">
        <v>-7.0888999999999897E-2</v>
      </c>
      <c r="AH2336">
        <v>0.53227310078888201</v>
      </c>
      <c r="AI2336">
        <v>95.269958559706097</v>
      </c>
      <c r="AJ2336">
        <v>136.16563985850101</v>
      </c>
      <c r="AK2336">
        <v>0.77180361519670604</v>
      </c>
      <c r="AL2336">
        <v>92.3798354004483</v>
      </c>
      <c r="AM2336">
        <v>102.328864049982</v>
      </c>
      <c r="AN2336">
        <v>0.99999997113588401</v>
      </c>
    </row>
    <row r="2337" spans="1:40" x14ac:dyDescent="0.3">
      <c r="A2337" t="str">
        <f>"20200111160453937"</f>
        <v>20200111160453937</v>
      </c>
      <c r="B2337" t="str">
        <f>"1578729893933739"</f>
        <v>1578729893933739</v>
      </c>
      <c r="C2337" t="s">
        <v>40</v>
      </c>
      <c r="D2337">
        <v>5.5329959999999998</v>
      </c>
      <c r="E2337">
        <v>0.32910780000000001</v>
      </c>
      <c r="F2337" t="s">
        <v>42</v>
      </c>
      <c r="G2337">
        <v>-488.64179999999999</v>
      </c>
      <c r="H2337">
        <v>1.0534220000000001</v>
      </c>
      <c r="I2337">
        <v>274.25319999999999</v>
      </c>
      <c r="J2337">
        <v>-488.73739999999998</v>
      </c>
      <c r="K2337">
        <v>1.118355</v>
      </c>
      <c r="L2337">
        <v>275.03829999999999</v>
      </c>
      <c r="M2337">
        <v>-0.57208590000000004</v>
      </c>
      <c r="N2337">
        <v>0</v>
      </c>
      <c r="O2337">
        <v>-0.82005110000000003</v>
      </c>
      <c r="P2337">
        <v>-0.38547360000000003</v>
      </c>
      <c r="Q2337">
        <v>-5.1861839999999999E-2</v>
      </c>
      <c r="R2337">
        <v>-0.92126050000000004</v>
      </c>
      <c r="S2337">
        <v>9.5794679999999993E-2</v>
      </c>
      <c r="T2337">
        <v>-0.23731859999999999</v>
      </c>
      <c r="U2337">
        <v>-3.2919309999999999</v>
      </c>
      <c r="V2337">
        <v>-0.21021670000000001</v>
      </c>
      <c r="W2337">
        <v>-4.0920999999999999E-2</v>
      </c>
      <c r="X2337">
        <v>0.9767981</v>
      </c>
      <c r="Y2337">
        <v>-0.59557190000000004</v>
      </c>
      <c r="Z2337">
        <v>4.5379759999999998E-2</v>
      </c>
      <c r="AA2337">
        <v>0.80201919999999904</v>
      </c>
      <c r="AB2337">
        <v>21</v>
      </c>
      <c r="AC2337">
        <v>9.5599999999990304E-2</v>
      </c>
      <c r="AD2337">
        <v>-6.4933000000000102E-2</v>
      </c>
      <c r="AE2337">
        <v>-0.78509999999999902</v>
      </c>
      <c r="AF2337">
        <v>-0.52407076446461398</v>
      </c>
      <c r="AG2337">
        <v>-6.4933000000000102E-2</v>
      </c>
      <c r="AH2337">
        <v>0.58525474296153601</v>
      </c>
      <c r="AI2337">
        <v>94.724963739317104</v>
      </c>
      <c r="AJ2337">
        <v>131.84309470506</v>
      </c>
      <c r="AK2337">
        <v>0.78828267443506495</v>
      </c>
      <c r="AL2337">
        <v>92.345255299308207</v>
      </c>
      <c r="AM2337">
        <v>102.145379106335</v>
      </c>
      <c r="AN2337">
        <v>1.0000000586817399</v>
      </c>
    </row>
    <row r="2338" spans="1:40" x14ac:dyDescent="0.3">
      <c r="A2338" t="str">
        <f>"20200111160453951"</f>
        <v>20200111160453951</v>
      </c>
      <c r="B2338" t="str">
        <f>"1578729893943499"</f>
        <v>1578729893943499</v>
      </c>
      <c r="C2338" t="s">
        <v>40</v>
      </c>
      <c r="D2338">
        <v>5.4106129999999997</v>
      </c>
      <c r="E2338">
        <v>0.32963880000000001</v>
      </c>
      <c r="F2338" t="s">
        <v>42</v>
      </c>
      <c r="G2338">
        <v>-488.70699999999999</v>
      </c>
      <c r="H2338">
        <v>1.0519309999999999</v>
      </c>
      <c r="I2338">
        <v>274.0908</v>
      </c>
      <c r="J2338">
        <v>-488.80259999999998</v>
      </c>
      <c r="K2338">
        <v>1.1183379999999901</v>
      </c>
      <c r="L2338">
        <v>274.92770000000002</v>
      </c>
      <c r="M2338">
        <v>-0.56489119999999904</v>
      </c>
      <c r="N2338">
        <v>0</v>
      </c>
      <c r="O2338">
        <v>-0.82502379999999997</v>
      </c>
      <c r="P2338">
        <v>-0.37883719999999999</v>
      </c>
      <c r="Q2338">
        <v>-5.1387910000000002E-2</v>
      </c>
      <c r="R2338">
        <v>-0.92403579999999996</v>
      </c>
      <c r="S2338">
        <v>0.105712899999999</v>
      </c>
      <c r="T2338">
        <v>-0.23043430000000001</v>
      </c>
      <c r="U2338">
        <v>-3.2876590000000001</v>
      </c>
      <c r="V2338">
        <v>-0.20872560000000001</v>
      </c>
      <c r="W2338">
        <v>-4.0408739999999999E-2</v>
      </c>
      <c r="X2338">
        <v>0.97713910000000004</v>
      </c>
      <c r="Y2338">
        <v>-0.59099919999999995</v>
      </c>
      <c r="Z2338">
        <v>4.475954E-2</v>
      </c>
      <c r="AA2338">
        <v>0.80542939999999996</v>
      </c>
      <c r="AB2338">
        <v>21</v>
      </c>
      <c r="AC2338">
        <v>9.5599999999990304E-2</v>
      </c>
      <c r="AD2338">
        <v>-6.64069999999998E-2</v>
      </c>
      <c r="AE2338">
        <v>-0.83690000000001397</v>
      </c>
      <c r="AF2338">
        <v>-0.54828650706174098</v>
      </c>
      <c r="AG2338">
        <v>-6.64069999999998E-2</v>
      </c>
      <c r="AH2338">
        <v>0.63260148977840902</v>
      </c>
      <c r="AI2338">
        <v>94.535551699888501</v>
      </c>
      <c r="AJ2338">
        <v>130.916032223005</v>
      </c>
      <c r="AK2338">
        <v>0.83976938997848005</v>
      </c>
      <c r="AL2338">
        <v>92.315880730090996</v>
      </c>
      <c r="AM2338">
        <v>102.05767534813501</v>
      </c>
      <c r="AN2338">
        <v>1.00000003155627</v>
      </c>
    </row>
    <row r="2339" spans="1:40" x14ac:dyDescent="0.3">
      <c r="A2339" t="str">
        <f>"20200111160453964"</f>
        <v>20200111160453964</v>
      </c>
      <c r="B2339" t="str">
        <f>"1578729893953259"</f>
        <v>1578729893953259</v>
      </c>
      <c r="C2339" t="s">
        <v>40</v>
      </c>
      <c r="D2339">
        <v>5.4380030000000001</v>
      </c>
      <c r="E2339">
        <v>0.32925490000000002</v>
      </c>
      <c r="F2339" t="s">
        <v>42</v>
      </c>
      <c r="G2339">
        <v>-488.76440000000002</v>
      </c>
      <c r="H2339">
        <v>1.049234</v>
      </c>
      <c r="I2339">
        <v>273.92579999999998</v>
      </c>
      <c r="J2339">
        <v>-488.86090000000002</v>
      </c>
      <c r="K2339">
        <v>1.1183270000000001</v>
      </c>
      <c r="L2339">
        <v>274.8272</v>
      </c>
      <c r="M2339">
        <v>-0.55834729999999999</v>
      </c>
      <c r="N2339">
        <v>0</v>
      </c>
      <c r="O2339">
        <v>-0.82946629999999999</v>
      </c>
      <c r="P2339">
        <v>-0.37324190000000002</v>
      </c>
      <c r="Q2339">
        <v>-5.1174150000000002E-2</v>
      </c>
      <c r="R2339">
        <v>-0.92632170000000003</v>
      </c>
      <c r="S2339">
        <v>0.12530519999999901</v>
      </c>
      <c r="T2339">
        <v>-0.2266098</v>
      </c>
      <c r="U2339">
        <v>-3.2854610000000002</v>
      </c>
      <c r="V2339">
        <v>-0.20691870000000001</v>
      </c>
      <c r="W2339">
        <v>-4.0150569999999997E-2</v>
      </c>
      <c r="X2339">
        <v>0.97753389999999996</v>
      </c>
      <c r="Y2339">
        <v>-0.58944030000000003</v>
      </c>
      <c r="Z2339">
        <v>4.4533330000000003E-2</v>
      </c>
      <c r="AA2339">
        <v>0.80658350000000001</v>
      </c>
      <c r="AB2339">
        <v>21</v>
      </c>
      <c r="AC2339">
        <v>9.6499999999991801E-2</v>
      </c>
      <c r="AD2339">
        <v>-6.9093000000000002E-2</v>
      </c>
      <c r="AE2339">
        <v>-0.90140000000002296</v>
      </c>
      <c r="AF2339">
        <v>-0.58003670449454303</v>
      </c>
      <c r="AG2339">
        <v>-6.9093000000000002E-2</v>
      </c>
      <c r="AH2339">
        <v>0.689874261645396</v>
      </c>
      <c r="AI2339">
        <v>94.383605336763594</v>
      </c>
      <c r="AJ2339">
        <v>130.05665701251701</v>
      </c>
      <c r="AK2339">
        <v>0.90395957768623203</v>
      </c>
      <c r="AL2339">
        <v>92.301076803852297</v>
      </c>
      <c r="AM2339">
        <v>101.95162076017399</v>
      </c>
      <c r="AN2339">
        <v>0.99999997116511197</v>
      </c>
    </row>
    <row r="2340" spans="1:40" x14ac:dyDescent="0.3">
      <c r="A2340" t="str">
        <f>"20200111160454496"</f>
        <v>20200111160454496</v>
      </c>
      <c r="B2340" t="str">
        <f>"1578729894493565"</f>
        <v>1578729894493565</v>
      </c>
      <c r="C2340" t="s">
        <v>40</v>
      </c>
      <c r="D2340">
        <v>5.2633029999999996</v>
      </c>
      <c r="E2340">
        <v>0.32894759999999901</v>
      </c>
      <c r="F2340" t="s">
        <v>41</v>
      </c>
      <c r="G2340">
        <v>-488.06959999999998</v>
      </c>
      <c r="H2340" s="1">
        <v>-3.5755069999999999E-6</v>
      </c>
      <c r="I2340">
        <v>257.16919999999999</v>
      </c>
      <c r="J2340">
        <v>-490.54079999999999</v>
      </c>
      <c r="K2340">
        <v>1.1160079999999999</v>
      </c>
      <c r="L2340">
        <v>270.41449999999998</v>
      </c>
      <c r="M2340">
        <v>-0.28191509999999997</v>
      </c>
      <c r="N2340">
        <v>0</v>
      </c>
      <c r="O2340">
        <v>-0.9593275</v>
      </c>
      <c r="P2340">
        <v>-0.12816620000000001</v>
      </c>
      <c r="Q2340">
        <v>-2.8158590000000001E-2</v>
      </c>
      <c r="R2340">
        <v>-0.99135329999999999</v>
      </c>
      <c r="S2340">
        <v>0.14727779999999999</v>
      </c>
      <c r="T2340">
        <v>-0.20813880000000001</v>
      </c>
      <c r="U2340">
        <v>-3.2864379999999902</v>
      </c>
      <c r="V2340">
        <v>-0.15635009999999999</v>
      </c>
      <c r="W2340">
        <v>-1.5706419999999999E-2</v>
      </c>
      <c r="X2340">
        <v>0.98757680000000003</v>
      </c>
      <c r="Y2340">
        <v>-0.32452229999999999</v>
      </c>
      <c r="Z2340">
        <v>5.7614310000000002E-2</v>
      </c>
      <c r="AA2340">
        <v>0.94412169999999895</v>
      </c>
      <c r="AB2340">
        <v>20</v>
      </c>
      <c r="AC2340">
        <v>2.4712000000000098</v>
      </c>
      <c r="AD2340">
        <v>-1.1160115755069999</v>
      </c>
      <c r="AE2340">
        <v>-13.245299999999901</v>
      </c>
      <c r="AF2340">
        <v>-6.0637949540785803</v>
      </c>
      <c r="AG2340">
        <v>-1.1160115755069999</v>
      </c>
      <c r="AH2340">
        <v>11.9293599946476</v>
      </c>
      <c r="AI2340">
        <v>94.767216823611804</v>
      </c>
      <c r="AJ2340">
        <v>116.944617242579</v>
      </c>
      <c r="AK2340">
        <v>13.428504047870399</v>
      </c>
      <c r="AL2340">
        <v>90.8999485898931</v>
      </c>
      <c r="AM2340">
        <v>98.996225027393805</v>
      </c>
      <c r="AN2340">
        <v>0.99999999064873302</v>
      </c>
    </row>
    <row r="2341" spans="1:40" x14ac:dyDescent="0.3">
      <c r="A2341" t="str">
        <f>"20200111160454562"</f>
        <v>20200111160454562</v>
      </c>
      <c r="B2341" t="str">
        <f>"1578729894553100"</f>
        <v>1578729894553100</v>
      </c>
      <c r="C2341" t="s">
        <v>40</v>
      </c>
      <c r="D2341">
        <v>5.2710900000000001</v>
      </c>
      <c r="E2341">
        <v>0.40096660000000001</v>
      </c>
      <c r="F2341" t="s">
        <v>42</v>
      </c>
      <c r="G2341">
        <v>-490.24189999999999</v>
      </c>
      <c r="H2341">
        <v>1.074981</v>
      </c>
      <c r="I2341">
        <v>269.44420000000002</v>
      </c>
      <c r="J2341">
        <v>-490.66770000000002</v>
      </c>
      <c r="K2341">
        <v>1.115057</v>
      </c>
      <c r="L2341">
        <v>269.84519999999998</v>
      </c>
      <c r="M2341">
        <v>-0.25541180000000002</v>
      </c>
      <c r="N2341">
        <v>0</v>
      </c>
      <c r="O2341">
        <v>-0.96672449999999999</v>
      </c>
      <c r="P2341">
        <v>-9.3719380000000005E-2</v>
      </c>
      <c r="Q2341">
        <v>-2.5624009999999999E-2</v>
      </c>
      <c r="R2341">
        <v>-0.99526899999999996</v>
      </c>
      <c r="S2341">
        <v>0.96994020000000003</v>
      </c>
      <c r="T2341">
        <v>-0.13309199999999999</v>
      </c>
      <c r="U2341">
        <v>-3.1477970000000002</v>
      </c>
      <c r="V2341">
        <v>-0.16348969999999999</v>
      </c>
      <c r="W2341">
        <v>-1.3123849999999999E-2</v>
      </c>
      <c r="X2341">
        <v>0.98645780000000005</v>
      </c>
      <c r="Y2341">
        <v>-0.52860079999999998</v>
      </c>
      <c r="Z2341">
        <v>3.6085369999999999E-2</v>
      </c>
      <c r="AA2341">
        <v>0.84810319999999995</v>
      </c>
      <c r="AB2341">
        <v>20</v>
      </c>
      <c r="AC2341">
        <v>0.42580000000003698</v>
      </c>
      <c r="AD2341">
        <v>-4.0076000000000001E-2</v>
      </c>
      <c r="AE2341">
        <v>-0.40099999999995301</v>
      </c>
      <c r="AF2341">
        <v>-0.51170274840062802</v>
      </c>
      <c r="AG2341">
        <v>-4.0076000000000001E-2</v>
      </c>
      <c r="AH2341">
        <v>0.2776278898108</v>
      </c>
      <c r="AI2341">
        <v>93.938000245800794</v>
      </c>
      <c r="AJ2341">
        <v>151.517647246287</v>
      </c>
      <c r="AK2341">
        <v>0.583543514827776</v>
      </c>
      <c r="AL2341">
        <v>90.751962761946501</v>
      </c>
      <c r="AM2341">
        <v>99.410326581452196</v>
      </c>
      <c r="AN2341">
        <v>1.00000005431287</v>
      </c>
    </row>
    <row r="2342" spans="1:40" x14ac:dyDescent="0.3">
      <c r="A2342" t="str">
        <f>"20200111160454576"</f>
        <v>20200111160454576</v>
      </c>
      <c r="B2342" t="str">
        <f>"1578729894573596"</f>
        <v>1578729894573596</v>
      </c>
      <c r="C2342" t="s">
        <v>40</v>
      </c>
      <c r="D2342">
        <v>5.2977109999999996</v>
      </c>
      <c r="E2342">
        <v>0.40451150000000002</v>
      </c>
      <c r="F2342" t="s">
        <v>41</v>
      </c>
      <c r="G2342">
        <v>-487.08300000000003</v>
      </c>
      <c r="H2342" s="1">
        <v>-4.2085179999999997E-6</v>
      </c>
      <c r="I2342">
        <v>248.23679999999999</v>
      </c>
      <c r="J2342">
        <v>-490.6902</v>
      </c>
      <c r="K2342">
        <v>1.1148480000000001</v>
      </c>
      <c r="L2342">
        <v>269.73849999999999</v>
      </c>
      <c r="M2342">
        <v>-0.25102930000000001</v>
      </c>
      <c r="N2342">
        <v>0</v>
      </c>
      <c r="O2342">
        <v>-0.96787259999999997</v>
      </c>
      <c r="P2342">
        <v>-8.7711590000000006E-2</v>
      </c>
      <c r="Q2342">
        <v>-2.5673359999999999E-2</v>
      </c>
      <c r="R2342">
        <v>-0.99581520000000001</v>
      </c>
      <c r="S2342">
        <v>0.50729369999999996</v>
      </c>
      <c r="T2342">
        <v>-0.1578012</v>
      </c>
      <c r="U2342">
        <v>-3.0579830000000001</v>
      </c>
      <c r="V2342">
        <v>-0.16497719999999999</v>
      </c>
      <c r="W2342">
        <v>-1.3156330000000001E-2</v>
      </c>
      <c r="X2342">
        <v>0.98620960000000002</v>
      </c>
      <c r="Y2342">
        <v>-0.4058872</v>
      </c>
      <c r="Z2342">
        <v>4.650667E-2</v>
      </c>
      <c r="AA2342">
        <v>0.91273910000000003</v>
      </c>
      <c r="AB2342">
        <v>20</v>
      </c>
      <c r="AC2342">
        <v>3.60719999999997</v>
      </c>
      <c r="AD2342">
        <v>-1.1148522085179999</v>
      </c>
      <c r="AE2342">
        <v>-21.5017</v>
      </c>
      <c r="AF2342">
        <v>-8.8666023346139706</v>
      </c>
      <c r="AG2342">
        <v>-1.1148522085179999</v>
      </c>
      <c r="AH2342">
        <v>19.855535315940699</v>
      </c>
      <c r="AI2342">
        <v>92.934905085815799</v>
      </c>
      <c r="AJ2342">
        <v>114.06342232511599</v>
      </c>
      <c r="AK2342">
        <v>21.7738791925001</v>
      </c>
      <c r="AL2342">
        <v>90.753823952751802</v>
      </c>
      <c r="AM2342">
        <v>99.496739793293798</v>
      </c>
      <c r="AN2342">
        <v>0.99999997033553401</v>
      </c>
    </row>
    <row r="2343" spans="1:40" x14ac:dyDescent="0.3">
      <c r="A2343" t="str">
        <f>"20200111160454592"</f>
        <v>20200111160454592</v>
      </c>
      <c r="B2343" t="str">
        <f>"1578729894583357"</f>
        <v>1578729894583357</v>
      </c>
      <c r="C2343" t="s">
        <v>40</v>
      </c>
      <c r="D2343">
        <v>5.2467430000000004</v>
      </c>
      <c r="E2343">
        <v>0.4051149</v>
      </c>
      <c r="F2343" t="s">
        <v>41</v>
      </c>
      <c r="G2343">
        <v>-487.35210000000001</v>
      </c>
      <c r="H2343" s="1">
        <v>-4.6058890000000001E-6</v>
      </c>
      <c r="I2343">
        <v>249.27440000000001</v>
      </c>
      <c r="J2343">
        <v>-490.7183</v>
      </c>
      <c r="K2343">
        <v>1.114581</v>
      </c>
      <c r="L2343">
        <v>269.60419999999999</v>
      </c>
      <c r="M2343">
        <v>-0.24570900000000001</v>
      </c>
      <c r="N2343">
        <v>0</v>
      </c>
      <c r="O2343">
        <v>-0.96923789999999999</v>
      </c>
      <c r="P2343">
        <v>-8.0901169999999994E-2</v>
      </c>
      <c r="Q2343">
        <v>-2.5708829999999998E-2</v>
      </c>
      <c r="R2343">
        <v>-0.99639080000000002</v>
      </c>
      <c r="S2343">
        <v>0.49786380000000002</v>
      </c>
      <c r="T2343">
        <v>-0.16627610000000001</v>
      </c>
      <c r="U2343">
        <v>-3.052155</v>
      </c>
      <c r="V2343">
        <v>-0.16630929999999999</v>
      </c>
      <c r="W2343">
        <v>-1.3158899999999999E-2</v>
      </c>
      <c r="X2343">
        <v>0.98598580000000002</v>
      </c>
      <c r="Y2343">
        <v>-0.39836690000000002</v>
      </c>
      <c r="Z2343">
        <v>4.9302869999999999E-2</v>
      </c>
      <c r="AA2343">
        <v>0.91590009999999999</v>
      </c>
      <c r="AB2343">
        <v>20</v>
      </c>
      <c r="AC2343">
        <v>3.3661999999999899</v>
      </c>
      <c r="AD2343">
        <v>-1.114585605889</v>
      </c>
      <c r="AE2343">
        <v>-20.329799999999899</v>
      </c>
      <c r="AF2343">
        <v>-8.2346187759319296</v>
      </c>
      <c r="AG2343">
        <v>-1.114585605889</v>
      </c>
      <c r="AH2343">
        <v>18.8241701803409</v>
      </c>
      <c r="AI2343">
        <v>93.105080892081801</v>
      </c>
      <c r="AJ2343">
        <v>113.62693617522901</v>
      </c>
      <c r="AK2343">
        <v>20.576701155341201</v>
      </c>
      <c r="AL2343">
        <v>90.753971216770907</v>
      </c>
      <c r="AM2343">
        <v>99.574139863575198</v>
      </c>
      <c r="AN2343">
        <v>0.99999996885866904</v>
      </c>
    </row>
    <row r="2344" spans="1:40" x14ac:dyDescent="0.3">
      <c r="A2344" t="str">
        <f>"20200111160454608"</f>
        <v>20200111160454608</v>
      </c>
      <c r="B2344" t="str">
        <f>"1578729894602876"</f>
        <v>1578729894602876</v>
      </c>
      <c r="C2344" t="s">
        <v>40</v>
      </c>
      <c r="D2344">
        <v>5.3106859999999996</v>
      </c>
      <c r="E2344">
        <v>0.4077519</v>
      </c>
      <c r="F2344" t="s">
        <v>41</v>
      </c>
      <c r="G2344">
        <v>-487.23950000000002</v>
      </c>
      <c r="H2344" s="1">
        <v>-4.4957229999999996E-6</v>
      </c>
      <c r="I2344">
        <v>248.971</v>
      </c>
      <c r="J2344">
        <v>-490.74900000000002</v>
      </c>
      <c r="K2344">
        <v>1.1142829999999999</v>
      </c>
      <c r="L2344">
        <v>269.45519999999999</v>
      </c>
      <c r="M2344">
        <v>-0.24014469999999999</v>
      </c>
      <c r="N2344">
        <v>0</v>
      </c>
      <c r="O2344">
        <v>-0.97063219999999995</v>
      </c>
      <c r="P2344">
        <v>-7.3422719999999997E-2</v>
      </c>
      <c r="Q2344">
        <v>-2.705631E-2</v>
      </c>
      <c r="R2344">
        <v>-0.99693390000000004</v>
      </c>
      <c r="S2344">
        <v>0.51394649999999997</v>
      </c>
      <c r="T2344">
        <v>-0.1646668</v>
      </c>
      <c r="U2344">
        <v>-3.0483090000000002</v>
      </c>
      <c r="V2344">
        <v>-0.16803850000000001</v>
      </c>
      <c r="W2344">
        <v>-1.4468679999999999E-2</v>
      </c>
      <c r="X2344">
        <v>0.9856743</v>
      </c>
      <c r="Y2344">
        <v>-0.3979953</v>
      </c>
      <c r="Z2344">
        <v>4.8983619999999999E-2</v>
      </c>
      <c r="AA2344">
        <v>0.91607879999999997</v>
      </c>
      <c r="AB2344">
        <v>20</v>
      </c>
      <c r="AC2344">
        <v>3.5095000000000001</v>
      </c>
      <c r="AD2344">
        <v>-1.114287495723</v>
      </c>
      <c r="AE2344">
        <v>-20.484200000000001</v>
      </c>
      <c r="AF2344">
        <v>-8.3025862516872699</v>
      </c>
      <c r="AG2344">
        <v>-1.114287495723</v>
      </c>
      <c r="AH2344">
        <v>18.987192927614899</v>
      </c>
      <c r="AI2344">
        <v>93.077849368347799</v>
      </c>
      <c r="AJ2344">
        <v>113.618458768084</v>
      </c>
      <c r="AK2344">
        <v>20.7530255712342</v>
      </c>
      <c r="AL2344">
        <v>90.829023181949907</v>
      </c>
      <c r="AM2344">
        <v>99.674814787965005</v>
      </c>
      <c r="AN2344">
        <v>1.00000005293183</v>
      </c>
    </row>
    <row r="2345" spans="1:40" x14ac:dyDescent="0.3">
      <c r="A2345" t="str">
        <f>"20200111160454620"</f>
        <v>20200111160454620</v>
      </c>
      <c r="B2345" t="str">
        <f>"1578729894613613"</f>
        <v>1578729894613613</v>
      </c>
      <c r="C2345" t="s">
        <v>40</v>
      </c>
      <c r="D2345">
        <v>5.3683189999999996</v>
      </c>
      <c r="E2345">
        <v>0.40890149999999997</v>
      </c>
      <c r="F2345" t="s">
        <v>41</v>
      </c>
      <c r="G2345">
        <v>-487.53309999999999</v>
      </c>
      <c r="H2345" s="1">
        <v>-9.4462230000000003E-7</v>
      </c>
      <c r="I2345">
        <v>250.49510000000001</v>
      </c>
      <c r="J2345">
        <v>-490.77080000000001</v>
      </c>
      <c r="K2345">
        <v>1.114069</v>
      </c>
      <c r="L2345">
        <v>269.34769999999997</v>
      </c>
      <c r="M2345">
        <v>-0.23634140000000001</v>
      </c>
      <c r="N2345">
        <v>0</v>
      </c>
      <c r="O2345">
        <v>-0.97156600000000004</v>
      </c>
      <c r="P2345">
        <v>-6.9144659999999997E-2</v>
      </c>
      <c r="Q2345">
        <v>-2.8304590000000001E-2</v>
      </c>
      <c r="R2345">
        <v>-0.99720500000000001</v>
      </c>
      <c r="S2345">
        <v>0.51602170000000003</v>
      </c>
      <c r="T2345">
        <v>-0.17880079999999901</v>
      </c>
      <c r="U2345">
        <v>-3.042389</v>
      </c>
      <c r="V2345">
        <v>-0.16839499999999999</v>
      </c>
      <c r="W2345">
        <v>-1.5679140000000001E-2</v>
      </c>
      <c r="X2345">
        <v>0.98559490000000005</v>
      </c>
      <c r="Y2345">
        <v>-0.39525979999999999</v>
      </c>
      <c r="Z2345">
        <v>5.3389850000000003E-2</v>
      </c>
      <c r="AA2345">
        <v>0.91701639999999995</v>
      </c>
      <c r="AB2345">
        <v>20</v>
      </c>
      <c r="AC2345">
        <v>3.23770000000001</v>
      </c>
      <c r="AD2345">
        <v>-1.1140699446222999</v>
      </c>
      <c r="AE2345">
        <v>-18.852599999999899</v>
      </c>
      <c r="AF2345">
        <v>-7.5763587375341697</v>
      </c>
      <c r="AG2345">
        <v>-1.1140699446222999</v>
      </c>
      <c r="AH2345">
        <v>17.493778488651799</v>
      </c>
      <c r="AI2345">
        <v>93.344482757479696</v>
      </c>
      <c r="AJ2345">
        <v>113.41689381383399</v>
      </c>
      <c r="AK2345">
        <v>19.096456461117</v>
      </c>
      <c r="AL2345">
        <v>90.898385351868797</v>
      </c>
      <c r="AM2345">
        <v>99.695717328763493</v>
      </c>
      <c r="AN2345">
        <v>1.0000000091810699</v>
      </c>
    </row>
    <row r="2346" spans="1:40" x14ac:dyDescent="0.3">
      <c r="A2346" t="str">
        <f>"20200111160454647"</f>
        <v>20200111160454647</v>
      </c>
      <c r="B2346" t="str">
        <f>"1578729894643434"</f>
        <v>1578729894643434</v>
      </c>
      <c r="C2346" t="s">
        <v>40</v>
      </c>
      <c r="D2346">
        <v>5.3475970000000004</v>
      </c>
      <c r="E2346">
        <v>0.410134</v>
      </c>
      <c r="F2346" t="s">
        <v>41</v>
      </c>
      <c r="G2346">
        <v>-487.65629999999999</v>
      </c>
      <c r="H2346" s="1">
        <v>-1.132301E-6</v>
      </c>
      <c r="I2346">
        <v>251.1429</v>
      </c>
      <c r="J2346">
        <v>-490.81569999999999</v>
      </c>
      <c r="K2346">
        <v>1.1136509999999999</v>
      </c>
      <c r="L2346">
        <v>269.12329999999997</v>
      </c>
      <c r="M2346">
        <v>-0.22901460000000001</v>
      </c>
      <c r="N2346">
        <v>0</v>
      </c>
      <c r="O2346">
        <v>-0.97332030000000003</v>
      </c>
      <c r="P2346">
        <v>-6.2280389999999998E-2</v>
      </c>
      <c r="Q2346">
        <v>-3.1055019999999999E-2</v>
      </c>
      <c r="R2346">
        <v>-0.99757560000000001</v>
      </c>
      <c r="S2346">
        <v>0.51995849999999999</v>
      </c>
      <c r="T2346">
        <v>-0.18598690000000001</v>
      </c>
      <c r="U2346">
        <v>-3.0391849999999998</v>
      </c>
      <c r="V2346">
        <v>-0.16772799999999999</v>
      </c>
      <c r="W2346">
        <v>-1.8344579999999999E-2</v>
      </c>
      <c r="X2346">
        <v>0.98566260000000006</v>
      </c>
      <c r="Y2346">
        <v>-0.389623</v>
      </c>
      <c r="Z2346">
        <v>5.5813269999999998E-2</v>
      </c>
      <c r="AA2346">
        <v>0.91928169999999998</v>
      </c>
      <c r="AB2346">
        <v>20</v>
      </c>
      <c r="AC2346">
        <v>3.1594000000000002</v>
      </c>
      <c r="AD2346">
        <v>-1.113652132301</v>
      </c>
      <c r="AE2346">
        <v>-17.9803999999999</v>
      </c>
      <c r="AF2346">
        <v>-7.1669310531550297</v>
      </c>
      <c r="AG2346">
        <v>-1.113652132301</v>
      </c>
      <c r="AH2346">
        <v>16.716609314300001</v>
      </c>
      <c r="AI2346">
        <v>93.503814197908596</v>
      </c>
      <c r="AJ2346">
        <v>113.206321152892</v>
      </c>
      <c r="AK2346">
        <v>18.222243241692301</v>
      </c>
      <c r="AL2346">
        <v>91.051125988883399</v>
      </c>
      <c r="AM2346">
        <v>99.657387197646997</v>
      </c>
      <c r="AN2346">
        <v>0.99999998331906803</v>
      </c>
    </row>
    <row r="2347" spans="1:40" x14ac:dyDescent="0.3">
      <c r="A2347" t="str">
        <f>"20200111160454664"</f>
        <v>20200111160454664</v>
      </c>
      <c r="B2347" t="str">
        <f>"1578729894653193"</f>
        <v>1578729894653193</v>
      </c>
      <c r="C2347" t="s">
        <v>40</v>
      </c>
      <c r="D2347">
        <v>5.2986639999999996</v>
      </c>
      <c r="E2347">
        <v>0.410134</v>
      </c>
      <c r="F2347" t="s">
        <v>41</v>
      </c>
      <c r="G2347">
        <v>-487.80880000000002</v>
      </c>
      <c r="H2347" s="1">
        <v>-1.382312E-6</v>
      </c>
      <c r="I2347">
        <v>251.94900000000001</v>
      </c>
      <c r="J2347">
        <v>-490.84440000000001</v>
      </c>
      <c r="K2347">
        <v>1.1133879999999901</v>
      </c>
      <c r="L2347">
        <v>268.97809999999998</v>
      </c>
      <c r="M2347">
        <v>-0.22466910000000001</v>
      </c>
      <c r="N2347">
        <v>0</v>
      </c>
      <c r="O2347">
        <v>-0.97433340000000002</v>
      </c>
      <c r="P2347">
        <v>-5.9396690000000002E-2</v>
      </c>
      <c r="Q2347">
        <v>-3.4468220000000001E-2</v>
      </c>
      <c r="R2347">
        <v>-0.99763939999999995</v>
      </c>
      <c r="S2347">
        <v>0.53125</v>
      </c>
      <c r="T2347">
        <v>-0.19676009999999999</v>
      </c>
      <c r="U2347">
        <v>-3.0343629999999999</v>
      </c>
      <c r="V2347">
        <v>-0.16614219999999999</v>
      </c>
      <c r="W2347">
        <v>-2.16954E-2</v>
      </c>
      <c r="X2347">
        <v>0.98586309999999999</v>
      </c>
      <c r="Y2347">
        <v>-0.38904169999999999</v>
      </c>
      <c r="Z2347">
        <v>5.9212830000000001E-2</v>
      </c>
      <c r="AA2347">
        <v>0.9193152</v>
      </c>
      <c r="AB2347">
        <v>20</v>
      </c>
      <c r="AC2347">
        <v>3.0355999999999801</v>
      </c>
      <c r="AD2347">
        <v>-1.11338938231199</v>
      </c>
      <c r="AE2347">
        <v>-17.0290999999999</v>
      </c>
      <c r="AF2347">
        <v>-6.7562795423279001</v>
      </c>
      <c r="AG2347">
        <v>-1.11338938231199</v>
      </c>
      <c r="AH2347">
        <v>15.845941190204901</v>
      </c>
      <c r="AI2347">
        <v>93.698087185713703</v>
      </c>
      <c r="AJ2347">
        <v>113.09208487019301</v>
      </c>
      <c r="AK2347">
        <v>17.262120419408401</v>
      </c>
      <c r="AL2347">
        <v>91.243152407989598</v>
      </c>
      <c r="AM2347">
        <v>99.565866434951303</v>
      </c>
      <c r="AN2347">
        <v>0.99999998647180399</v>
      </c>
    </row>
    <row r="2348" spans="1:40" x14ac:dyDescent="0.3">
      <c r="A2348" t="str">
        <f>"20200111160454678"</f>
        <v>20200111160454678</v>
      </c>
      <c r="B2348" t="str">
        <f>"1578729894673690"</f>
        <v>1578729894673690</v>
      </c>
      <c r="C2348" t="s">
        <v>40</v>
      </c>
      <c r="D2348">
        <v>5.2685930000000001</v>
      </c>
      <c r="E2348">
        <v>0.42576829999999999</v>
      </c>
      <c r="F2348" t="s">
        <v>41</v>
      </c>
      <c r="G2348">
        <v>-487.95089999999999</v>
      </c>
      <c r="H2348" s="1">
        <v>-1.6894549999999999E-6</v>
      </c>
      <c r="I2348">
        <v>252.7236</v>
      </c>
      <c r="J2348">
        <v>-490.8691</v>
      </c>
      <c r="K2348">
        <v>1.113178</v>
      </c>
      <c r="L2348">
        <v>268.851</v>
      </c>
      <c r="M2348">
        <v>-0.22118280000000001</v>
      </c>
      <c r="N2348">
        <v>0</v>
      </c>
      <c r="O2348">
        <v>-0.97513130000000003</v>
      </c>
      <c r="P2348">
        <v>-5.7252459999999998E-2</v>
      </c>
      <c r="Q2348">
        <v>-3.6244209999999999E-2</v>
      </c>
      <c r="R2348">
        <v>-0.99770179999999997</v>
      </c>
      <c r="S2348">
        <v>0.53973389999999999</v>
      </c>
      <c r="T2348">
        <v>-0.2076846</v>
      </c>
      <c r="U2348">
        <v>-3.0320130000000001</v>
      </c>
      <c r="V2348">
        <v>-0.16472100000000001</v>
      </c>
      <c r="W2348">
        <v>-2.342236E-2</v>
      </c>
      <c r="X2348">
        <v>0.98606199999999999</v>
      </c>
      <c r="Y2348">
        <v>-0.38832410000000001</v>
      </c>
      <c r="Z2348">
        <v>6.2610089999999993E-2</v>
      </c>
      <c r="AA2348">
        <v>0.91939349999999997</v>
      </c>
      <c r="AB2348">
        <v>20</v>
      </c>
      <c r="AC2348">
        <v>2.9182000000000099</v>
      </c>
      <c r="AD2348">
        <v>-1.1131796894549999</v>
      </c>
      <c r="AE2348">
        <v>-16.127399999999898</v>
      </c>
      <c r="AF2348">
        <v>-6.3839129719099299</v>
      </c>
      <c r="AG2348">
        <v>-1.1131796894549999</v>
      </c>
      <c r="AH2348">
        <v>15.0131037481574</v>
      </c>
      <c r="AI2348">
        <v>93.903497847469197</v>
      </c>
      <c r="AJ2348">
        <v>113.03630027125701</v>
      </c>
      <c r="AK2348">
        <v>16.351966181681998</v>
      </c>
      <c r="AL2348">
        <v>91.342125188617999</v>
      </c>
      <c r="AM2348">
        <v>99.483653511267306</v>
      </c>
      <c r="AN2348">
        <v>0.99999994131648295</v>
      </c>
    </row>
    <row r="2349" spans="1:40" x14ac:dyDescent="0.3">
      <c r="A2349" t="str">
        <f>"20200111160454699"</f>
        <v>20200111160454699</v>
      </c>
      <c r="B2349" t="str">
        <f>"1578729894693210"</f>
        <v>1578729894693210</v>
      </c>
      <c r="C2349" t="s">
        <v>40</v>
      </c>
      <c r="D2349">
        <v>5.4586119999999996</v>
      </c>
      <c r="E2349">
        <v>0.42307790000000001</v>
      </c>
      <c r="F2349" t="s">
        <v>41</v>
      </c>
      <c r="G2349">
        <v>-489.04660000000001</v>
      </c>
      <c r="H2349" s="1">
        <v>-2.819005E-6</v>
      </c>
      <c r="I2349">
        <v>255.80969999999999</v>
      </c>
      <c r="J2349">
        <v>-490.90199999999999</v>
      </c>
      <c r="K2349">
        <v>1.1129180000000001</v>
      </c>
      <c r="L2349">
        <v>268.68099999999998</v>
      </c>
      <c r="M2349">
        <v>-0.21680289999999999</v>
      </c>
      <c r="N2349">
        <v>0</v>
      </c>
      <c r="O2349">
        <v>-0.97611550000000002</v>
      </c>
      <c r="P2349">
        <v>-5.5998810000000003E-2</v>
      </c>
      <c r="Q2349">
        <v>-3.9186199999999997E-2</v>
      </c>
      <c r="R2349">
        <v>-0.99766189999999999</v>
      </c>
      <c r="S2349">
        <v>0.42230220000000002</v>
      </c>
      <c r="T2349">
        <v>-0.25793500000000003</v>
      </c>
      <c r="U2349">
        <v>-3.0217900000000002</v>
      </c>
      <c r="V2349">
        <v>-0.1615066</v>
      </c>
      <c r="W2349">
        <v>-2.6297790000000001E-2</v>
      </c>
      <c r="X2349">
        <v>0.98652119999999999</v>
      </c>
      <c r="Y2349">
        <v>-0.34938530000000001</v>
      </c>
      <c r="Z2349">
        <v>7.893936E-2</v>
      </c>
      <c r="AA2349">
        <v>0.93364800000000003</v>
      </c>
      <c r="AB2349">
        <v>20</v>
      </c>
      <c r="AC2349">
        <v>1.85539999999997</v>
      </c>
      <c r="AD2349">
        <v>-1.112920819005</v>
      </c>
      <c r="AE2349">
        <v>-12.8712999999999</v>
      </c>
      <c r="AF2349">
        <v>-4.5686079091373397</v>
      </c>
      <c r="AG2349">
        <v>-1.112920819005</v>
      </c>
      <c r="AH2349">
        <v>12.0743720480687</v>
      </c>
      <c r="AI2349">
        <v>94.927145275012606</v>
      </c>
      <c r="AJ2349">
        <v>110.725254159089</v>
      </c>
      <c r="AK2349">
        <v>12.9576707525693</v>
      </c>
      <c r="AL2349">
        <v>91.506926077964593</v>
      </c>
      <c r="AM2349">
        <v>99.297599389239394</v>
      </c>
      <c r="AN2349">
        <v>1.00000001682594</v>
      </c>
    </row>
    <row r="2350" spans="1:40" x14ac:dyDescent="0.3">
      <c r="A2350" t="str">
        <f>"20200111160454711"</f>
        <v>20200111160454711</v>
      </c>
      <c r="B2350" t="str">
        <f>"1578729894702970"</f>
        <v>1578729894702970</v>
      </c>
      <c r="C2350" t="s">
        <v>40</v>
      </c>
      <c r="D2350">
        <v>5.4547509999999999</v>
      </c>
      <c r="E2350">
        <v>0.42362689999999997</v>
      </c>
      <c r="F2350" t="s">
        <v>56</v>
      </c>
      <c r="G2350">
        <v>-484.84640000000002</v>
      </c>
      <c r="H2350" s="1">
        <v>4.5699180000000001E-6</v>
      </c>
      <c r="I2350">
        <v>227.34719999999999</v>
      </c>
      <c r="J2350">
        <v>-490.92439999999999</v>
      </c>
      <c r="K2350">
        <v>1.1127560000000001</v>
      </c>
      <c r="L2350">
        <v>268.56380000000001</v>
      </c>
      <c r="M2350">
        <v>-0.21400449999999999</v>
      </c>
      <c r="N2350">
        <v>0</v>
      </c>
      <c r="O2350">
        <v>-0.97673310000000002</v>
      </c>
      <c r="P2350">
        <v>-5.4687939999999997E-2</v>
      </c>
      <c r="Q2350">
        <v>-3.9958210000000001E-2</v>
      </c>
      <c r="R2350">
        <v>-0.99770369999999997</v>
      </c>
      <c r="S2350">
        <v>0.4437256</v>
      </c>
      <c r="T2350">
        <v>-8.1549999999999997E-2</v>
      </c>
      <c r="U2350">
        <v>-3.028778</v>
      </c>
      <c r="V2350">
        <v>-0.15997529999999999</v>
      </c>
      <c r="W2350">
        <v>-2.703378E-2</v>
      </c>
      <c r="X2350">
        <v>0.98675080000000004</v>
      </c>
      <c r="Y2350">
        <v>-0.35331309999999999</v>
      </c>
      <c r="Z2350">
        <v>2.497371E-2</v>
      </c>
      <c r="AA2350">
        <v>0.93517169999999905</v>
      </c>
      <c r="AB2350">
        <v>20</v>
      </c>
      <c r="AC2350">
        <v>6.0779999999999701</v>
      </c>
      <c r="AD2350">
        <v>-1.1127514300819901</v>
      </c>
      <c r="AE2350">
        <v>-41.2166</v>
      </c>
      <c r="AF2350">
        <v>-14.748036515343401</v>
      </c>
      <c r="AG2350">
        <v>-1.1127514300819901</v>
      </c>
      <c r="AH2350">
        <v>38.932914537399697</v>
      </c>
      <c r="AI2350">
        <v>91.531029274302895</v>
      </c>
      <c r="AJ2350">
        <v>110.747007425059</v>
      </c>
      <c r="AK2350">
        <v>41.647504501224603</v>
      </c>
      <c r="AL2350">
        <v>91.549110176576505</v>
      </c>
      <c r="AM2350">
        <v>99.208857170067105</v>
      </c>
      <c r="AN2350">
        <v>1.0000000315858999</v>
      </c>
    </row>
    <row r="2351" spans="1:40" x14ac:dyDescent="0.3">
      <c r="A2351" t="str">
        <f>"20200111160454725"</f>
        <v>20200111160454725</v>
      </c>
      <c r="B2351" t="str">
        <f>"1578729894713706"</f>
        <v>1578729894713706</v>
      </c>
      <c r="C2351" t="s">
        <v>40</v>
      </c>
      <c r="D2351">
        <v>5.4460419999999896</v>
      </c>
      <c r="E2351">
        <v>0.42362139999999998</v>
      </c>
      <c r="F2351" t="s">
        <v>41</v>
      </c>
      <c r="G2351">
        <v>-485.33339999999998</v>
      </c>
      <c r="H2351" s="1">
        <v>-1.5025560000000001E-6</v>
      </c>
      <c r="I2351">
        <v>230.41470000000001</v>
      </c>
      <c r="J2351">
        <v>-490.94479999999999</v>
      </c>
      <c r="K2351">
        <v>1.112614</v>
      </c>
      <c r="L2351">
        <v>268.45670000000001</v>
      </c>
      <c r="M2351">
        <v>-0.2115476</v>
      </c>
      <c r="N2351">
        <v>0</v>
      </c>
      <c r="O2351">
        <v>-0.9772689</v>
      </c>
      <c r="P2351">
        <v>-5.3505919999999998E-2</v>
      </c>
      <c r="Q2351">
        <v>-3.995816E-2</v>
      </c>
      <c r="R2351">
        <v>-0.99776799999999999</v>
      </c>
      <c r="S2351">
        <v>0.4437256</v>
      </c>
      <c r="T2351">
        <v>-8.8312269999999998E-2</v>
      </c>
      <c r="U2351">
        <v>-3.0276489999999998</v>
      </c>
      <c r="V2351">
        <v>-0.15867200000000001</v>
      </c>
      <c r="W2351">
        <v>-2.7002749999999999E-2</v>
      </c>
      <c r="X2351">
        <v>0.98696200000000001</v>
      </c>
      <c r="Y2351">
        <v>-0.3510009</v>
      </c>
      <c r="Z2351">
        <v>2.7088959999999999E-2</v>
      </c>
      <c r="AA2351">
        <v>0.93598320000000002</v>
      </c>
      <c r="AB2351">
        <v>20</v>
      </c>
      <c r="AC2351">
        <v>5.6113999999999997</v>
      </c>
      <c r="AD2351">
        <v>-1.1126155025560001</v>
      </c>
      <c r="AE2351">
        <v>-38.042000000000002</v>
      </c>
      <c r="AF2351">
        <v>-13.521527365522299</v>
      </c>
      <c r="AG2351">
        <v>-1.1126155025560001</v>
      </c>
      <c r="AH2351">
        <v>35.9635530882125</v>
      </c>
      <c r="AI2351">
        <v>91.658717720251701</v>
      </c>
      <c r="AJ2351">
        <v>110.605187780447</v>
      </c>
      <c r="AK2351">
        <v>38.437569723927297</v>
      </c>
      <c r="AL2351">
        <v>91.547331733450307</v>
      </c>
      <c r="AM2351">
        <v>99.133181842054</v>
      </c>
      <c r="AN2351">
        <v>0.99999997076778002</v>
      </c>
    </row>
    <row r="2352" spans="1:40" x14ac:dyDescent="0.3">
      <c r="A2352" t="str">
        <f>"20200111160454742"</f>
        <v>20200111160454742</v>
      </c>
      <c r="B2352" t="str">
        <f>"1578729894733071"</f>
        <v>1578729894733071</v>
      </c>
      <c r="C2352" t="s">
        <v>40</v>
      </c>
      <c r="D2352">
        <v>5.1513640000000001</v>
      </c>
      <c r="E2352">
        <v>0.42265779999999997</v>
      </c>
      <c r="F2352" t="s">
        <v>56</v>
      </c>
      <c r="G2352">
        <v>-484.88470000000001</v>
      </c>
      <c r="H2352" s="1">
        <v>4.6003470000000001E-6</v>
      </c>
      <c r="I2352">
        <v>227.4126</v>
      </c>
      <c r="J2352">
        <v>-490.97469999999998</v>
      </c>
      <c r="K2352">
        <v>1.11243</v>
      </c>
      <c r="L2352">
        <v>268.29880000000003</v>
      </c>
      <c r="M2352">
        <v>-0.20822599999999999</v>
      </c>
      <c r="N2352">
        <v>0</v>
      </c>
      <c r="O2352">
        <v>-0.97798269999999998</v>
      </c>
      <c r="P2352">
        <v>-5.1784509999999999E-2</v>
      </c>
      <c r="Q2352">
        <v>-3.936767E-2</v>
      </c>
      <c r="R2352">
        <v>-0.99788209999999999</v>
      </c>
      <c r="S2352">
        <v>0.44699100000000003</v>
      </c>
      <c r="T2352">
        <v>-8.2065109999999997E-2</v>
      </c>
      <c r="U2352">
        <v>-3.027374</v>
      </c>
      <c r="V2352">
        <v>-0.15704179999999901</v>
      </c>
      <c r="W2352">
        <v>-2.6371680000000002E-2</v>
      </c>
      <c r="X2352">
        <v>0.9872398</v>
      </c>
      <c r="Y2352">
        <v>-0.34882659999999999</v>
      </c>
      <c r="Z2352">
        <v>2.5214400000000001E-2</v>
      </c>
      <c r="AA2352">
        <v>0.93684800000000001</v>
      </c>
      <c r="AB2352">
        <v>20</v>
      </c>
      <c r="AC2352">
        <v>6.0899999999999697</v>
      </c>
      <c r="AD2352">
        <v>-1.112425399653</v>
      </c>
      <c r="AE2352">
        <v>-40.886200000000002</v>
      </c>
      <c r="AF2352">
        <v>-14.4603999237798</v>
      </c>
      <c r="AG2352">
        <v>-1.112425399653</v>
      </c>
      <c r="AH2352">
        <v>38.693591070371802</v>
      </c>
      <c r="AI2352">
        <v>91.5426280991407</v>
      </c>
      <c r="AJ2352">
        <v>110.491501834291</v>
      </c>
      <c r="AK2352">
        <v>41.322326243165499</v>
      </c>
      <c r="AL2352">
        <v>91.511161145818207</v>
      </c>
      <c r="AM2352">
        <v>99.038402955899201</v>
      </c>
      <c r="AN2352">
        <v>1.0000000075786499</v>
      </c>
    </row>
    <row r="2353" spans="1:40" x14ac:dyDescent="0.3">
      <c r="A2353" t="str">
        <f>"20200111160454755"</f>
        <v>20200111160454755</v>
      </c>
      <c r="B2353" t="str">
        <f>"1578729894753564"</f>
        <v>1578729894753564</v>
      </c>
      <c r="C2353" t="s">
        <v>40</v>
      </c>
      <c r="D2353">
        <v>5.5512090000000001</v>
      </c>
      <c r="E2353">
        <v>0.42575200000000002</v>
      </c>
      <c r="F2353" t="s">
        <v>41</v>
      </c>
      <c r="G2353">
        <v>-485.40570000000002</v>
      </c>
      <c r="H2353" s="1">
        <v>-1.9186499999999998E-6</v>
      </c>
      <c r="I2353">
        <v>231.69390000000001</v>
      </c>
      <c r="J2353">
        <v>-490.99529999999999</v>
      </c>
      <c r="K2353">
        <v>1.1123160000000001</v>
      </c>
      <c r="L2353">
        <v>268.18900000000002</v>
      </c>
      <c r="M2353">
        <v>-0.20609189999999999</v>
      </c>
      <c r="N2353">
        <v>0</v>
      </c>
      <c r="O2353">
        <v>-0.97843500000000005</v>
      </c>
      <c r="P2353">
        <v>-5.0364199999999998E-2</v>
      </c>
      <c r="Q2353">
        <v>-3.7575530000000003E-2</v>
      </c>
      <c r="R2353">
        <v>-0.99802409999999997</v>
      </c>
      <c r="S2353">
        <v>0.46047969999999999</v>
      </c>
      <c r="T2353">
        <v>-9.1982250000000002E-2</v>
      </c>
      <c r="U2353">
        <v>-3.0267029999999999</v>
      </c>
      <c r="V2353">
        <v>-0.15632270000000001</v>
      </c>
      <c r="W2353">
        <v>-2.455676E-2</v>
      </c>
      <c r="X2353">
        <v>0.98740070000000002</v>
      </c>
      <c r="Y2353">
        <v>-0.35088130000000001</v>
      </c>
      <c r="Z2353">
        <v>2.8264620000000001E-2</v>
      </c>
      <c r="AA2353">
        <v>0.93599330000000003</v>
      </c>
      <c r="AB2353">
        <v>20</v>
      </c>
      <c r="AC2353">
        <v>5.5895999999999599</v>
      </c>
      <c r="AD2353">
        <v>-1.1123179186499901</v>
      </c>
      <c r="AE2353">
        <v>-36.495100000000001</v>
      </c>
      <c r="AF2353">
        <v>-12.979864871777799</v>
      </c>
      <c r="AG2353">
        <v>-1.1123179186499901</v>
      </c>
      <c r="AH2353">
        <v>34.528074413132103</v>
      </c>
      <c r="AI2353">
        <v>91.727207065497495</v>
      </c>
      <c r="AJ2353">
        <v>110.60234802921499</v>
      </c>
      <c r="AK2353">
        <v>36.903957320598401</v>
      </c>
      <c r="AL2353">
        <v>91.407140182140694</v>
      </c>
      <c r="AM2353">
        <v>98.996252176977805</v>
      </c>
      <c r="AN2353">
        <v>0.99999998167873805</v>
      </c>
    </row>
    <row r="2354" spans="1:40" x14ac:dyDescent="0.3">
      <c r="A2354" t="str">
        <f>"20200111160454769"</f>
        <v>20200111160454769</v>
      </c>
      <c r="B2354" t="str">
        <f>"1578729894763325"</f>
        <v>1578729894763325</v>
      </c>
      <c r="C2354" t="s">
        <v>40</v>
      </c>
      <c r="D2354">
        <v>7.6078460000000003</v>
      </c>
      <c r="E2354">
        <v>0.42575200000000002</v>
      </c>
      <c r="F2354" t="s">
        <v>56</v>
      </c>
      <c r="G2354">
        <v>-485.09809999999999</v>
      </c>
      <c r="H2354" s="1">
        <v>4.7248580000000004E-6</v>
      </c>
      <c r="I2354">
        <v>227.63130000000001</v>
      </c>
      <c r="J2354">
        <v>-491.01580000000001</v>
      </c>
      <c r="K2354">
        <v>1.1122080000000001</v>
      </c>
      <c r="L2354">
        <v>268.0795</v>
      </c>
      <c r="M2354">
        <v>-0.20404120000000001</v>
      </c>
      <c r="N2354">
        <v>0</v>
      </c>
      <c r="O2354">
        <v>-0.97886499999999999</v>
      </c>
      <c r="P2354">
        <v>-4.905818E-2</v>
      </c>
      <c r="Q2354">
        <v>-3.6408099999999999E-2</v>
      </c>
      <c r="R2354">
        <v>-0.99813229999999997</v>
      </c>
      <c r="S2354">
        <v>0.43984990000000002</v>
      </c>
      <c r="T2354">
        <v>-8.2962389999999997E-2</v>
      </c>
      <c r="U2354">
        <v>-3.0250240000000002</v>
      </c>
      <c r="V2354">
        <v>-0.15556619999999999</v>
      </c>
      <c r="W2354">
        <v>-2.336732E-2</v>
      </c>
      <c r="X2354">
        <v>0.98754909999999996</v>
      </c>
      <c r="Y2354">
        <v>-0.34274969999999999</v>
      </c>
      <c r="Z2354">
        <v>2.5580749999999999E-2</v>
      </c>
      <c r="AA2354">
        <v>0.93907850000000004</v>
      </c>
      <c r="AB2354">
        <v>20</v>
      </c>
      <c r="AC2354">
        <v>5.9177000000000204</v>
      </c>
      <c r="AD2354">
        <v>-1.1122032751419999</v>
      </c>
      <c r="AE2354">
        <v>-40.4481999999999</v>
      </c>
      <c r="AF2354">
        <v>-14.0366762275215</v>
      </c>
      <c r="AG2354">
        <v>-1.1122032751419999</v>
      </c>
      <c r="AH2354">
        <v>38.361133052528999</v>
      </c>
      <c r="AI2354">
        <v>91.559634278468096</v>
      </c>
      <c r="AJ2354">
        <v>110.098017643378</v>
      </c>
      <c r="AK2354">
        <v>40.863697883516799</v>
      </c>
      <c r="AL2354">
        <v>91.338970620399905</v>
      </c>
      <c r="AM2354">
        <v>98.952099492860498</v>
      </c>
      <c r="AN2354">
        <v>1.0000000495686101</v>
      </c>
    </row>
    <row r="2355" spans="1:40" x14ac:dyDescent="0.3">
      <c r="A2355" t="str">
        <f>"20200111160454877"</f>
        <v>20200111160454877</v>
      </c>
      <c r="B2355" t="str">
        <f>"1578729894873172"</f>
        <v>1578729894873172</v>
      </c>
      <c r="C2355" t="s">
        <v>40</v>
      </c>
      <c r="D2355">
        <v>5.5611769999999998</v>
      </c>
      <c r="E2355">
        <v>0.49120209999999997</v>
      </c>
      <c r="F2355" t="s">
        <v>56</v>
      </c>
      <c r="G2355">
        <v>-484.79219999999998</v>
      </c>
      <c r="H2355" s="1">
        <v>4.1720349999999999E-6</v>
      </c>
      <c r="I2355">
        <v>225.67230000000001</v>
      </c>
      <c r="J2355">
        <v>-491.18650000000002</v>
      </c>
      <c r="K2355">
        <v>1.111548</v>
      </c>
      <c r="L2355">
        <v>267.14929999999998</v>
      </c>
      <c r="M2355">
        <v>-0.190583</v>
      </c>
      <c r="N2355">
        <v>0</v>
      </c>
      <c r="O2355">
        <v>-0.98157649999999996</v>
      </c>
      <c r="P2355">
        <v>-4.1573510000000001E-2</v>
      </c>
      <c r="Q2355">
        <v>-3.0748190000000002E-2</v>
      </c>
      <c r="R2355">
        <v>-0.99866259999999996</v>
      </c>
      <c r="S2355">
        <v>0.4438782</v>
      </c>
      <c r="T2355">
        <v>-7.932401E-2</v>
      </c>
      <c r="U2355">
        <v>-3.0245359999999999</v>
      </c>
      <c r="V2355">
        <v>-0.1494974</v>
      </c>
      <c r="W2355">
        <v>-1.7583729999999999E-2</v>
      </c>
      <c r="X2355">
        <v>0.98860570000000003</v>
      </c>
      <c r="Y2355">
        <v>-0.33107589999999998</v>
      </c>
      <c r="Z2355">
        <v>2.4622419999999999E-2</v>
      </c>
      <c r="AA2355">
        <v>0.94328279999999998</v>
      </c>
      <c r="AB2355">
        <v>20</v>
      </c>
      <c r="AC2355">
        <v>6.3943000000000403</v>
      </c>
      <c r="AD2355">
        <v>-1.1115438279650001</v>
      </c>
      <c r="AE2355">
        <v>-41.476999999999897</v>
      </c>
      <c r="AF2355">
        <v>-14.172680226399301</v>
      </c>
      <c r="AG2355">
        <v>-1.1115438279650001</v>
      </c>
      <c r="AH2355">
        <v>39.470182101530803</v>
      </c>
      <c r="AI2355">
        <v>91.518253358069501</v>
      </c>
      <c r="AJ2355">
        <v>109.75184754224701</v>
      </c>
      <c r="AK2355">
        <v>41.952302315954697</v>
      </c>
      <c r="AL2355">
        <v>91.007525496000795</v>
      </c>
      <c r="AM2355">
        <v>98.599141308274397</v>
      </c>
      <c r="AN2355">
        <v>0.99999994511998003</v>
      </c>
    </row>
    <row r="2356" spans="1:40" x14ac:dyDescent="0.3">
      <c r="A2356" t="str">
        <f>"20200111160454890"</f>
        <v>20200111160454890</v>
      </c>
      <c r="B2356" t="str">
        <f>"1578729894882933"</f>
        <v>1578729894882933</v>
      </c>
      <c r="C2356" t="s">
        <v>40</v>
      </c>
      <c r="D2356">
        <v>5.5741889999999996</v>
      </c>
      <c r="E2356">
        <v>0.49652259999999998</v>
      </c>
      <c r="F2356" t="s">
        <v>41</v>
      </c>
      <c r="G2356">
        <v>-491.41070000000002</v>
      </c>
      <c r="H2356" s="1">
        <v>-2.2114199999999998E-6</v>
      </c>
      <c r="I2356">
        <v>253.869</v>
      </c>
      <c r="J2356">
        <v>-491.20839999999998</v>
      </c>
      <c r="K2356">
        <v>1.111478</v>
      </c>
      <c r="L2356">
        <v>267.02760000000001</v>
      </c>
      <c r="M2356">
        <v>-0.1892625</v>
      </c>
      <c r="N2356">
        <v>0</v>
      </c>
      <c r="O2356">
        <v>-0.98183220000000004</v>
      </c>
      <c r="P2356">
        <v>-4.1015679999999999E-2</v>
      </c>
      <c r="Q2356">
        <v>-3.057296E-2</v>
      </c>
      <c r="R2356">
        <v>-0.99869079999999999</v>
      </c>
      <c r="S2356">
        <v>-5.0567630000000002E-2</v>
      </c>
      <c r="T2356">
        <v>-0.25061299999999997</v>
      </c>
      <c r="U2356">
        <v>-2.994202</v>
      </c>
      <c r="V2356">
        <v>-0.14872479999999999</v>
      </c>
      <c r="W2356">
        <v>-1.739578E-2</v>
      </c>
      <c r="X2356">
        <v>0.98872559999999998</v>
      </c>
      <c r="Y2356">
        <v>-0.17272299999999999</v>
      </c>
      <c r="Z2356">
        <v>8.0517710000000006E-2</v>
      </c>
      <c r="AA2356">
        <v>0.98167389999999999</v>
      </c>
      <c r="AB2356">
        <v>20</v>
      </c>
      <c r="AC2356">
        <v>-0.20230000000003601</v>
      </c>
      <c r="AD2356">
        <v>-1.11148021142</v>
      </c>
      <c r="AE2356">
        <v>-13.1585999999999</v>
      </c>
      <c r="AF2356">
        <v>-2.2757836614561802</v>
      </c>
      <c r="AG2356">
        <v>-1.11148021142</v>
      </c>
      <c r="AH2356">
        <v>12.867241308016</v>
      </c>
      <c r="AI2356">
        <v>94.861900995776395</v>
      </c>
      <c r="AJ2356">
        <v>100.029976113346</v>
      </c>
      <c r="AK2356">
        <v>13.114132773952001</v>
      </c>
      <c r="AL2356">
        <v>90.996755055805707</v>
      </c>
      <c r="AM2356">
        <v>98.554338252963404</v>
      </c>
      <c r="AN2356">
        <v>0.99999999569610398</v>
      </c>
    </row>
    <row r="2357" spans="1:40" x14ac:dyDescent="0.3">
      <c r="A2357" t="str">
        <f>"20200111160454912"</f>
        <v>20200111160454912</v>
      </c>
      <c r="B2357" t="str">
        <f>"1578729894903428"</f>
        <v>1578729894903428</v>
      </c>
      <c r="C2357" t="s">
        <v>40</v>
      </c>
      <c r="D2357">
        <v>6.5654880000000002</v>
      </c>
      <c r="E2357">
        <v>0.49929190000000001</v>
      </c>
      <c r="F2357" t="s">
        <v>41</v>
      </c>
      <c r="G2357">
        <v>-491.57580000000002</v>
      </c>
      <c r="H2357" s="1">
        <v>-2.6897709999999999E-6</v>
      </c>
      <c r="I2357">
        <v>254.8817</v>
      </c>
      <c r="J2357">
        <v>-491.2414</v>
      </c>
      <c r="K2357">
        <v>1.111372</v>
      </c>
      <c r="L2357">
        <v>266.8442</v>
      </c>
      <c r="M2357">
        <v>-0.18743280000000001</v>
      </c>
      <c r="N2357">
        <v>0</v>
      </c>
      <c r="O2357">
        <v>-0.98218320000000003</v>
      </c>
      <c r="P2357">
        <v>-4.1255E-2</v>
      </c>
      <c r="Q2357">
        <v>-3.1422819999999997E-2</v>
      </c>
      <c r="R2357">
        <v>-0.99865429999999999</v>
      </c>
      <c r="S2357">
        <v>-9.0515139999999994E-2</v>
      </c>
      <c r="T2357">
        <v>-0.27378449999999999</v>
      </c>
      <c r="U2357">
        <v>-2.9918520000000002</v>
      </c>
      <c r="V2357">
        <v>-0.14664369999999999</v>
      </c>
      <c r="W2357">
        <v>-1.822379E-2</v>
      </c>
      <c r="X2357">
        <v>0.9890215</v>
      </c>
      <c r="Y2357">
        <v>-0.15777529999999901</v>
      </c>
      <c r="Z2357">
        <v>8.8121710000000006E-2</v>
      </c>
      <c r="AA2357">
        <v>0.98353520000000005</v>
      </c>
      <c r="AB2357">
        <v>20</v>
      </c>
      <c r="AC2357">
        <v>-0.33440000000001602</v>
      </c>
      <c r="AD2357">
        <v>-1.111374689771</v>
      </c>
      <c r="AE2357">
        <v>-11.9625</v>
      </c>
      <c r="AF2357">
        <v>-1.8975345194837601</v>
      </c>
      <c r="AG2357">
        <v>-1.111374689771</v>
      </c>
      <c r="AH2357">
        <v>11.712125315936699</v>
      </c>
      <c r="AI2357">
        <v>95.351256283214397</v>
      </c>
      <c r="AJ2357">
        <v>99.202784580185494</v>
      </c>
      <c r="AK2357">
        <v>11.9167810406125</v>
      </c>
      <c r="AL2357">
        <v>91.044204052441302</v>
      </c>
      <c r="AM2357">
        <v>98.433884576381203</v>
      </c>
      <c r="AN2357">
        <v>1.0000000043669499</v>
      </c>
    </row>
    <row r="2358" spans="1:40" x14ac:dyDescent="0.3">
      <c r="A2358" t="str">
        <f>"20200111160454935"</f>
        <v>20200111160454935</v>
      </c>
      <c r="B2358" t="str">
        <f>"1578729894922947"</f>
        <v>1578729894922947</v>
      </c>
      <c r="C2358" t="s">
        <v>40</v>
      </c>
      <c r="D2358">
        <v>5.5332280000000003</v>
      </c>
      <c r="E2358">
        <v>0.5054862</v>
      </c>
      <c r="F2358" t="s">
        <v>41</v>
      </c>
      <c r="G2358">
        <v>-491.67829999999998</v>
      </c>
      <c r="H2358" s="1">
        <v>-2.8692590000000001E-6</v>
      </c>
      <c r="I2358">
        <v>255.23650000000001</v>
      </c>
      <c r="J2358">
        <v>-491.27510000000001</v>
      </c>
      <c r="K2358">
        <v>1.111275</v>
      </c>
      <c r="L2358">
        <v>266.65649999999999</v>
      </c>
      <c r="M2358">
        <v>-0.1857471</v>
      </c>
      <c r="N2358">
        <v>0</v>
      </c>
      <c r="O2358">
        <v>-0.98250369999999998</v>
      </c>
      <c r="P2358">
        <v>-4.1853210000000002E-2</v>
      </c>
      <c r="Q2358">
        <v>-3.2241800000000001E-2</v>
      </c>
      <c r="R2358">
        <v>-0.99860320000000002</v>
      </c>
      <c r="S2358">
        <v>-0.1125488</v>
      </c>
      <c r="T2358">
        <v>-0.28631649999999997</v>
      </c>
      <c r="U2358">
        <v>-2.9904169999999999</v>
      </c>
      <c r="V2358">
        <v>-0.14435190000000001</v>
      </c>
      <c r="W2358">
        <v>-1.90215E-2</v>
      </c>
      <c r="X2358">
        <v>0.98934359999999999</v>
      </c>
      <c r="Y2358">
        <v>-0.1488362</v>
      </c>
      <c r="Z2358">
        <v>9.2264650000000004E-2</v>
      </c>
      <c r="AA2358">
        <v>0.98454819999999998</v>
      </c>
      <c r="AB2358">
        <v>20</v>
      </c>
      <c r="AC2358">
        <v>-0.40319999999996903</v>
      </c>
      <c r="AD2358">
        <v>-1.111277869259</v>
      </c>
      <c r="AE2358">
        <v>-11.4199999999999</v>
      </c>
      <c r="AF2358">
        <v>-1.7090820613943001</v>
      </c>
      <c r="AG2358">
        <v>-1.111277869259</v>
      </c>
      <c r="AH2358">
        <v>11.1902963781769</v>
      </c>
      <c r="AI2358">
        <v>95.606700413822097</v>
      </c>
      <c r="AJ2358">
        <v>98.683619972145905</v>
      </c>
      <c r="AK2358">
        <v>11.3744728680816</v>
      </c>
      <c r="AL2358">
        <v>91.0899173761279</v>
      </c>
      <c r="AM2358">
        <v>98.301263266457994</v>
      </c>
      <c r="AN2358">
        <v>1.0000000236783999</v>
      </c>
    </row>
    <row r="2359" spans="1:40" x14ac:dyDescent="0.3">
      <c r="A2359" t="str">
        <f>"20200111160454950"</f>
        <v>20200111160454950</v>
      </c>
      <c r="B2359" t="str">
        <f>"1578729894943234"</f>
        <v>1578729894943234</v>
      </c>
      <c r="C2359" t="s">
        <v>40</v>
      </c>
      <c r="D2359">
        <v>6.6049539999999904</v>
      </c>
      <c r="E2359">
        <v>0.50814579999999998</v>
      </c>
      <c r="F2359" t="s">
        <v>46</v>
      </c>
      <c r="G2359">
        <v>0</v>
      </c>
      <c r="H2359">
        <v>0</v>
      </c>
      <c r="I2359">
        <v>0</v>
      </c>
      <c r="J2359">
        <v>-491.30040000000002</v>
      </c>
      <c r="K2359">
        <v>1.1112150000000001</v>
      </c>
      <c r="L2359">
        <v>266.51510000000002</v>
      </c>
      <c r="M2359">
        <v>-0.18459039999999999</v>
      </c>
      <c r="N2359">
        <v>0</v>
      </c>
      <c r="O2359">
        <v>-0.98272219999999999</v>
      </c>
      <c r="P2359">
        <v>-4.2191480000000003E-2</v>
      </c>
      <c r="Q2359">
        <v>-3.2791229999999998E-2</v>
      </c>
      <c r="R2359">
        <v>-0.99857149999999995</v>
      </c>
      <c r="S2359">
        <v>-0.17648320000000001</v>
      </c>
      <c r="T2359">
        <v>0.13811119999999999</v>
      </c>
      <c r="U2359">
        <v>-3.0012509999999999</v>
      </c>
      <c r="V2359">
        <v>-0.14285110000000001</v>
      </c>
      <c r="W2359">
        <v>-1.9558030000000001E-2</v>
      </c>
      <c r="X2359">
        <v>0.98955090000000001</v>
      </c>
      <c r="Y2359">
        <v>-0.12665470000000001</v>
      </c>
      <c r="Z2359">
        <v>-4.4563270000000002E-2</v>
      </c>
      <c r="AA2359">
        <v>0.99094530000000003</v>
      </c>
      <c r="AB2359">
        <v>20</v>
      </c>
      <c r="AC2359">
        <v>-0.17648320000000001</v>
      </c>
      <c r="AD2359">
        <v>0.13811119999999999</v>
      </c>
      <c r="AE2359">
        <v>-3.0012509999999999</v>
      </c>
      <c r="AF2359">
        <v>-0.37980156529104703</v>
      </c>
      <c r="AG2359">
        <v>0.13811119999999999</v>
      </c>
      <c r="AH2359">
        <v>2.9759663426565299</v>
      </c>
      <c r="AI2359">
        <v>87.364222865898299</v>
      </c>
      <c r="AJ2359">
        <v>97.272939441971801</v>
      </c>
      <c r="AK2359">
        <v>3.0032814728538999</v>
      </c>
      <c r="AL2359">
        <v>91.120664063061298</v>
      </c>
      <c r="AM2359">
        <v>98.214443226249401</v>
      </c>
      <c r="AN2359">
        <v>0.99999996849974904</v>
      </c>
    </row>
    <row r="2360" spans="1:40" x14ac:dyDescent="0.3">
      <c r="A2360" t="str">
        <f>"20200111160454965"</f>
        <v>20200111160454965</v>
      </c>
      <c r="B2360" t="str">
        <f>"1578729894952994"</f>
        <v>1578729894952994</v>
      </c>
      <c r="C2360" t="s">
        <v>40</v>
      </c>
      <c r="D2360">
        <v>5.6524140000000003</v>
      </c>
      <c r="E2360">
        <v>0.50682240000000001</v>
      </c>
      <c r="F2360" t="s">
        <v>41</v>
      </c>
      <c r="G2360">
        <v>-492.2756</v>
      </c>
      <c r="H2360" s="1">
        <v>-1.2070879999999999E-6</v>
      </c>
      <c r="I2360">
        <v>250.9914</v>
      </c>
      <c r="J2360">
        <v>-491.32310000000001</v>
      </c>
      <c r="K2360">
        <v>1.1111660000000001</v>
      </c>
      <c r="L2360">
        <v>266.38810000000001</v>
      </c>
      <c r="M2360">
        <v>-0.18362210000000001</v>
      </c>
      <c r="N2360">
        <v>0</v>
      </c>
      <c r="O2360">
        <v>-0.98290339999999998</v>
      </c>
      <c r="P2360">
        <v>-4.3783990000000002E-2</v>
      </c>
      <c r="Q2360">
        <v>-3.263891E-2</v>
      </c>
      <c r="R2360">
        <v>-0.99850779999999995</v>
      </c>
      <c r="S2360">
        <v>-0.18780520000000001</v>
      </c>
      <c r="T2360">
        <v>-0.21398</v>
      </c>
      <c r="U2360">
        <v>-2.9892880000000002</v>
      </c>
      <c r="V2360">
        <v>-0.14030210000000001</v>
      </c>
      <c r="W2360">
        <v>-1.939184E-2</v>
      </c>
      <c r="X2360">
        <v>0.98991879999999999</v>
      </c>
      <c r="Y2360">
        <v>-0.121792899999999</v>
      </c>
      <c r="Z2360">
        <v>6.9250060000000002E-2</v>
      </c>
      <c r="AA2360">
        <v>0.99013680000000004</v>
      </c>
      <c r="AB2360">
        <v>20</v>
      </c>
      <c r="AC2360">
        <v>-0.95249999999998602</v>
      </c>
      <c r="AD2360">
        <v>-1.1111672070880001</v>
      </c>
      <c r="AE2360">
        <v>-15.396699999999999</v>
      </c>
      <c r="AF2360">
        <v>-1.88137117381012</v>
      </c>
      <c r="AG2360">
        <v>-1.1111672070880001</v>
      </c>
      <c r="AH2360">
        <v>15.230750840100299</v>
      </c>
      <c r="AI2360">
        <v>94.141286206754899</v>
      </c>
      <c r="AJ2360">
        <v>97.041763060714601</v>
      </c>
      <c r="AK2360">
        <v>15.386683242627999</v>
      </c>
      <c r="AL2360">
        <v>91.111140261856306</v>
      </c>
      <c r="AM2360">
        <v>98.066855019779297</v>
      </c>
      <c r="AN2360">
        <v>0.99999997665821705</v>
      </c>
    </row>
    <row r="2361" spans="1:40" x14ac:dyDescent="0.3">
      <c r="A2361" t="str">
        <f>"20200111160454978"</f>
        <v>20200111160454978</v>
      </c>
      <c r="B2361" t="str">
        <f>"1578729894973490"</f>
        <v>1578729894973490</v>
      </c>
      <c r="C2361" t="s">
        <v>40</v>
      </c>
      <c r="D2361">
        <v>5.6000649999999998</v>
      </c>
      <c r="E2361">
        <v>0.50592929999999903</v>
      </c>
      <c r="F2361" t="s">
        <v>41</v>
      </c>
      <c r="G2361">
        <v>-493.16039999999998</v>
      </c>
      <c r="H2361" s="1">
        <v>-3.8811820000000001E-6</v>
      </c>
      <c r="I2361">
        <v>236.74449999999999</v>
      </c>
      <c r="J2361">
        <v>-491.34339999999997</v>
      </c>
      <c r="K2361">
        <v>1.1111359999999999</v>
      </c>
      <c r="L2361">
        <v>266.27370000000002</v>
      </c>
      <c r="M2361">
        <v>-0.1828246</v>
      </c>
      <c r="N2361">
        <v>0</v>
      </c>
      <c r="O2361">
        <v>-0.98305229999999999</v>
      </c>
      <c r="P2361">
        <v>-4.4558019999999997E-2</v>
      </c>
      <c r="Q2361">
        <v>-3.2779509999999998E-2</v>
      </c>
      <c r="R2361">
        <v>-0.9984691</v>
      </c>
      <c r="S2361">
        <v>-0.18548580000000001</v>
      </c>
      <c r="T2361">
        <v>-0.112179399999999</v>
      </c>
      <c r="U2361">
        <v>-2.9927060000000001</v>
      </c>
      <c r="V2361">
        <v>-0.13873250000000001</v>
      </c>
      <c r="W2361">
        <v>-1.9524369999999999E-2</v>
      </c>
      <c r="X2361">
        <v>0.99013739999999995</v>
      </c>
      <c r="Y2361">
        <v>-0.1217145</v>
      </c>
      <c r="Z2361">
        <v>3.6338809999999999E-2</v>
      </c>
      <c r="AA2361">
        <v>0.99189970000000005</v>
      </c>
      <c r="AB2361">
        <v>20</v>
      </c>
      <c r="AC2361">
        <v>-1.8169999999999999</v>
      </c>
      <c r="AD2361">
        <v>-1.1111398811819999</v>
      </c>
      <c r="AE2361">
        <v>-29.529199999999999</v>
      </c>
      <c r="AF2361">
        <v>-3.6077004574486198</v>
      </c>
      <c r="AG2361">
        <v>-1.1111398811819999</v>
      </c>
      <c r="AH2361">
        <v>29.322271231130902</v>
      </c>
      <c r="AI2361">
        <v>92.153905217634204</v>
      </c>
      <c r="AJ2361">
        <v>97.014202577019901</v>
      </c>
      <c r="AK2361">
        <v>29.564264316539902</v>
      </c>
      <c r="AL2361">
        <v>91.118735095540899</v>
      </c>
      <c r="AM2361">
        <v>97.976038491180304</v>
      </c>
      <c r="AN2361">
        <v>0.99999998922945299</v>
      </c>
    </row>
    <row r="2362" spans="1:40" x14ac:dyDescent="0.3">
      <c r="A2362" t="str">
        <f>"20200111160454993"</f>
        <v>20200111160454993</v>
      </c>
      <c r="B2362" t="str">
        <f>"1578729894983250"</f>
        <v>1578729894983250</v>
      </c>
      <c r="C2362" t="s">
        <v>40</v>
      </c>
      <c r="D2362">
        <v>5.6225300000000002</v>
      </c>
      <c r="E2362">
        <v>0.50618180000000002</v>
      </c>
      <c r="F2362" t="s">
        <v>41</v>
      </c>
      <c r="G2362">
        <v>-493.06400000000002</v>
      </c>
      <c r="H2362" s="1">
        <v>-4.1975470000000003E-6</v>
      </c>
      <c r="I2362">
        <v>237.7244</v>
      </c>
      <c r="J2362">
        <v>-491.36419999999998</v>
      </c>
      <c r="K2362">
        <v>1.111108</v>
      </c>
      <c r="L2362">
        <v>266.15710000000001</v>
      </c>
      <c r="M2362">
        <v>-0.18205569999999999</v>
      </c>
      <c r="N2362">
        <v>0</v>
      </c>
      <c r="O2362">
        <v>-0.98319520000000005</v>
      </c>
      <c r="P2362">
        <v>-4.5134809999999997E-2</v>
      </c>
      <c r="Q2362">
        <v>-3.2548939999999998E-2</v>
      </c>
      <c r="R2362">
        <v>-0.99845079999999997</v>
      </c>
      <c r="S2362">
        <v>-0.18035889999999999</v>
      </c>
      <c r="T2362">
        <v>-0.1164786</v>
      </c>
      <c r="U2362">
        <v>-2.9927670000000002</v>
      </c>
      <c r="V2362">
        <v>-0.13738929999999999</v>
      </c>
      <c r="W2362">
        <v>-1.9287740000000001E-2</v>
      </c>
      <c r="X2362">
        <v>0.99032929999999997</v>
      </c>
      <c r="Y2362">
        <v>-0.12263540000000001</v>
      </c>
      <c r="Z2362">
        <v>3.773667E-2</v>
      </c>
      <c r="AA2362">
        <v>0.99173409999999995</v>
      </c>
      <c r="AB2362">
        <v>20</v>
      </c>
      <c r="AC2362">
        <v>-1.69980000000003</v>
      </c>
      <c r="AD2362">
        <v>-1.111112197547</v>
      </c>
      <c r="AE2362">
        <v>-28.432700000000001</v>
      </c>
      <c r="AF2362">
        <v>-3.50009441428156</v>
      </c>
      <c r="AG2362">
        <v>-1.111112197547</v>
      </c>
      <c r="AH2362">
        <v>28.2239893057098</v>
      </c>
      <c r="AI2362">
        <v>92.237315784916603</v>
      </c>
      <c r="AJ2362">
        <v>97.069234372125393</v>
      </c>
      <c r="AK2362">
        <v>28.461883345155599</v>
      </c>
      <c r="AL2362">
        <v>91.105174652111899</v>
      </c>
      <c r="AM2362">
        <v>97.898283140965304</v>
      </c>
      <c r="AN2362">
        <v>0.99999997955364295</v>
      </c>
    </row>
    <row r="2363" spans="1:40" x14ac:dyDescent="0.3">
      <c r="A2363" t="str">
        <f>"20200111160455005"</f>
        <v>20200111160455005</v>
      </c>
      <c r="B2363" t="str">
        <f>"1578729895003745"</f>
        <v>1578729895003745</v>
      </c>
      <c r="C2363" t="s">
        <v>40</v>
      </c>
      <c r="D2363">
        <v>5.6679300000000001</v>
      </c>
      <c r="E2363">
        <v>0.50617060000000003</v>
      </c>
      <c r="F2363" t="s">
        <v>41</v>
      </c>
      <c r="G2363">
        <v>-492.7174</v>
      </c>
      <c r="H2363" s="1">
        <v>-2.628304E-6</v>
      </c>
      <c r="I2363">
        <v>244.03030000000001</v>
      </c>
      <c r="J2363">
        <v>-491.38440000000003</v>
      </c>
      <c r="K2363">
        <v>1.1110869999999999</v>
      </c>
      <c r="L2363">
        <v>266.0428</v>
      </c>
      <c r="M2363">
        <v>-0.1813361</v>
      </c>
      <c r="N2363">
        <v>0</v>
      </c>
      <c r="O2363">
        <v>-0.98332830000000004</v>
      </c>
      <c r="P2363">
        <v>-4.606764E-2</v>
      </c>
      <c r="Q2363">
        <v>-3.1975589999999998E-2</v>
      </c>
      <c r="R2363">
        <v>-0.9984267</v>
      </c>
      <c r="S2363">
        <v>-0.1829529</v>
      </c>
      <c r="T2363">
        <v>-0.15022240000000001</v>
      </c>
      <c r="U2363">
        <v>-2.9915470000000002</v>
      </c>
      <c r="V2363">
        <v>-0.135744899999999</v>
      </c>
      <c r="W2363">
        <v>-1.870848E-2</v>
      </c>
      <c r="X2363">
        <v>0.99056710000000003</v>
      </c>
      <c r="Y2363">
        <v>-0.12105680000000001</v>
      </c>
      <c r="Z2363">
        <v>4.8678230000000003E-2</v>
      </c>
      <c r="AA2363">
        <v>0.99145130000000004</v>
      </c>
      <c r="AB2363">
        <v>19</v>
      </c>
      <c r="AC2363">
        <v>-1.33299999999997</v>
      </c>
      <c r="AD2363">
        <v>-1.1110896283039999</v>
      </c>
      <c r="AE2363">
        <v>-22.0124999999999</v>
      </c>
      <c r="AF2363">
        <v>-2.6743404762459302</v>
      </c>
      <c r="AG2363">
        <v>-1.1110896283039999</v>
      </c>
      <c r="AH2363">
        <v>21.833810422181301</v>
      </c>
      <c r="AI2363">
        <v>92.891609323351602</v>
      </c>
      <c r="AJ2363">
        <v>96.983158482582795</v>
      </c>
      <c r="AK2363">
        <v>22.025028823971201</v>
      </c>
      <c r="AL2363">
        <v>91.071979557261201</v>
      </c>
      <c r="AM2363">
        <v>97.803070761727994</v>
      </c>
      <c r="AN2363">
        <v>0.99999993235116202</v>
      </c>
    </row>
    <row r="2364" spans="1:40" x14ac:dyDescent="0.3">
      <c r="A2364" t="str">
        <f>"20200111160455022"</f>
        <v>20200111160455022</v>
      </c>
      <c r="B2364" t="str">
        <f>"1578729895013505"</f>
        <v>1578729895013505</v>
      </c>
      <c r="C2364" t="s">
        <v>40</v>
      </c>
      <c r="D2364">
        <v>6.2969480000000004</v>
      </c>
      <c r="E2364">
        <v>0.50572099999999998</v>
      </c>
      <c r="F2364" t="s">
        <v>41</v>
      </c>
      <c r="G2364">
        <v>-492.44130000000001</v>
      </c>
      <c r="H2364" s="1">
        <v>-4.4729960000000001E-6</v>
      </c>
      <c r="I2364">
        <v>248.85830000000001</v>
      </c>
      <c r="J2364">
        <v>-491.41019999999997</v>
      </c>
      <c r="K2364">
        <v>1.1110739999999999</v>
      </c>
      <c r="L2364">
        <v>265.89780000000002</v>
      </c>
      <c r="M2364">
        <v>-0.18048729999999999</v>
      </c>
      <c r="N2364">
        <v>0</v>
      </c>
      <c r="O2364">
        <v>-0.98348460000000004</v>
      </c>
      <c r="P2364">
        <v>-4.8933049999999999E-2</v>
      </c>
      <c r="Q2364">
        <v>-2.9595090000000001E-2</v>
      </c>
      <c r="R2364">
        <v>-0.99836389999999997</v>
      </c>
      <c r="S2364">
        <v>-0.1838989</v>
      </c>
      <c r="T2364">
        <v>-0.19332659999999999</v>
      </c>
      <c r="U2364">
        <v>-2.9900509999999998</v>
      </c>
      <c r="V2364">
        <v>-0.1320644</v>
      </c>
      <c r="W2364">
        <v>-1.6316790000000001E-2</v>
      </c>
      <c r="X2364">
        <v>0.99110690000000001</v>
      </c>
      <c r="Y2364">
        <v>-0.11990530000000001</v>
      </c>
      <c r="Z2364">
        <v>6.2644870000000005E-2</v>
      </c>
      <c r="AA2364">
        <v>0.99080690000000005</v>
      </c>
      <c r="AB2364">
        <v>19</v>
      </c>
      <c r="AC2364">
        <v>-1.0311000000000301</v>
      </c>
      <c r="AD2364">
        <v>-1.1110784729959999</v>
      </c>
      <c r="AE2364">
        <v>-17.0395</v>
      </c>
      <c r="AF2364">
        <v>-2.0528339185332598</v>
      </c>
      <c r="AG2364">
        <v>-1.1110784729959999</v>
      </c>
      <c r="AH2364">
        <v>16.874246964060202</v>
      </c>
      <c r="AI2364">
        <v>93.739688439984405</v>
      </c>
      <c r="AJ2364">
        <v>96.936224772157402</v>
      </c>
      <c r="AK2364">
        <v>17.034929793642601</v>
      </c>
      <c r="AL2364">
        <v>90.934924629626593</v>
      </c>
      <c r="AM2364">
        <v>97.589918304919905</v>
      </c>
      <c r="AN2364">
        <v>1.00000006530543</v>
      </c>
    </row>
    <row r="2365" spans="1:40" x14ac:dyDescent="0.3">
      <c r="A2365" t="str">
        <f>"20200111160455035"</f>
        <v>20200111160455035</v>
      </c>
      <c r="B2365" t="str">
        <f>"1578729895023267"</f>
        <v>1578729895023267</v>
      </c>
      <c r="C2365" t="s">
        <v>40</v>
      </c>
      <c r="D2365">
        <v>5.6635080000000002</v>
      </c>
      <c r="E2365">
        <v>0.50565400000000005</v>
      </c>
      <c r="F2365" t="s">
        <v>41</v>
      </c>
      <c r="G2365">
        <v>-492.67169999999999</v>
      </c>
      <c r="H2365" s="1">
        <v>-3.4659940000000002E-6</v>
      </c>
      <c r="I2365">
        <v>246.01130000000001</v>
      </c>
      <c r="J2365">
        <v>-491.4282</v>
      </c>
      <c r="K2365">
        <v>1.1110629999999999</v>
      </c>
      <c r="L2365">
        <v>265.79599999999999</v>
      </c>
      <c r="M2365">
        <v>-0.17992900000000001</v>
      </c>
      <c r="N2365">
        <v>0</v>
      </c>
      <c r="O2365">
        <v>-0.98358679999999998</v>
      </c>
      <c r="P2365">
        <v>-4.9937570000000001E-2</v>
      </c>
      <c r="Q2365">
        <v>-2.819673E-2</v>
      </c>
      <c r="R2365">
        <v>-0.99835450000000003</v>
      </c>
      <c r="S2365">
        <v>-0.1897278</v>
      </c>
      <c r="T2365">
        <v>-0.1670952</v>
      </c>
      <c r="U2365">
        <v>-2.990723</v>
      </c>
      <c r="V2365">
        <v>-0.13051360000000001</v>
      </c>
      <c r="W2365">
        <v>-1.491458E-2</v>
      </c>
      <c r="X2365">
        <v>0.9913343</v>
      </c>
      <c r="Y2365">
        <v>-0.1173999</v>
      </c>
      <c r="Z2365">
        <v>5.4174680000000003E-2</v>
      </c>
      <c r="AA2365">
        <v>0.99160590000000004</v>
      </c>
      <c r="AB2365">
        <v>19</v>
      </c>
      <c r="AC2365">
        <v>-1.2434999999999801</v>
      </c>
      <c r="AD2365">
        <v>-1.1110664659939999</v>
      </c>
      <c r="AE2365">
        <v>-19.784699999999901</v>
      </c>
      <c r="AF2365">
        <v>-2.32964632086806</v>
      </c>
      <c r="AG2365">
        <v>-1.1110664659939999</v>
      </c>
      <c r="AH2365">
        <v>19.623864092911798</v>
      </c>
      <c r="AI2365">
        <v>93.217971662808495</v>
      </c>
      <c r="AJ2365">
        <v>96.770180461543006</v>
      </c>
      <c r="AK2365">
        <v>19.792871509946799</v>
      </c>
      <c r="AL2365">
        <v>90.854574197925004</v>
      </c>
      <c r="AM2365">
        <v>97.500111548000007</v>
      </c>
      <c r="AN2365">
        <v>0.99999996941901204</v>
      </c>
    </row>
    <row r="2366" spans="1:40" x14ac:dyDescent="0.3">
      <c r="A2366" t="str">
        <f>"20200111160455049"</f>
        <v>20200111160455049</v>
      </c>
      <c r="B2366" t="str">
        <f>"1578729895043293"</f>
        <v>1578729895043293</v>
      </c>
      <c r="C2366" t="s">
        <v>40</v>
      </c>
      <c r="D2366">
        <v>5.6530860000000001</v>
      </c>
      <c r="E2366">
        <v>0.5052778</v>
      </c>
      <c r="F2366" t="s">
        <v>41</v>
      </c>
      <c r="G2366">
        <v>-492.60610000000003</v>
      </c>
      <c r="H2366" s="1">
        <v>-4.003766E-6</v>
      </c>
      <c r="I2366">
        <v>247.39359999999999</v>
      </c>
      <c r="J2366">
        <v>-491.44839999999999</v>
      </c>
      <c r="K2366">
        <v>1.111054</v>
      </c>
      <c r="L2366">
        <v>265.68130000000002</v>
      </c>
      <c r="M2366">
        <v>-0.1793158</v>
      </c>
      <c r="N2366">
        <v>0</v>
      </c>
      <c r="O2366">
        <v>-0.98369879999999998</v>
      </c>
      <c r="P2366">
        <v>-5.0941430000000003E-2</v>
      </c>
      <c r="Q2366">
        <v>-2.6865409999999999E-2</v>
      </c>
      <c r="R2366">
        <v>-0.99834040000000002</v>
      </c>
      <c r="S2366">
        <v>-0.1914063</v>
      </c>
      <c r="T2366">
        <v>-0.18053939999999999</v>
      </c>
      <c r="U2366">
        <v>-2.9902340000000001</v>
      </c>
      <c r="V2366">
        <v>-0.1289073</v>
      </c>
      <c r="W2366">
        <v>-1.358121E-2</v>
      </c>
      <c r="X2366">
        <v>0.99156359999999999</v>
      </c>
      <c r="Y2366">
        <v>-0.116232</v>
      </c>
      <c r="Z2366">
        <v>5.8541169999999997E-2</v>
      </c>
      <c r="AA2366">
        <v>0.99149540000000003</v>
      </c>
      <c r="AB2366">
        <v>19</v>
      </c>
      <c r="AC2366">
        <v>-1.1577000000000299</v>
      </c>
      <c r="AD2366">
        <v>-1.1110580037660001</v>
      </c>
      <c r="AE2366">
        <v>-18.287700000000001</v>
      </c>
      <c r="AF2366">
        <v>-2.13279986760211</v>
      </c>
      <c r="AG2366">
        <v>-1.1110580037660001</v>
      </c>
      <c r="AH2366">
        <v>18.132182823724399</v>
      </c>
      <c r="AI2366">
        <v>93.482492766564107</v>
      </c>
      <c r="AJ2366">
        <v>96.708595987802696</v>
      </c>
      <c r="AK2366">
        <v>18.2909633184242</v>
      </c>
      <c r="AL2366">
        <v>90.778169970499803</v>
      </c>
      <c r="AM2366">
        <v>97.407141238527799</v>
      </c>
      <c r="AN2366">
        <v>0.99999995705165601</v>
      </c>
    </row>
    <row r="2367" spans="1:40" x14ac:dyDescent="0.3">
      <c r="A2367" t="str">
        <f>"20200111160455066"</f>
        <v>20200111160455066</v>
      </c>
      <c r="B2367" t="str">
        <f>"1578729895063789"</f>
        <v>1578729895063789</v>
      </c>
      <c r="C2367" t="s">
        <v>40</v>
      </c>
      <c r="D2367">
        <v>6.5428519999999999</v>
      </c>
      <c r="E2367">
        <v>0.50503489999999995</v>
      </c>
      <c r="F2367" t="s">
        <v>41</v>
      </c>
      <c r="G2367">
        <v>-492.50330000000002</v>
      </c>
      <c r="H2367" s="1">
        <v>-4.5569829999999999E-6</v>
      </c>
      <c r="I2367">
        <v>249.0729</v>
      </c>
      <c r="J2367">
        <v>-491.47539999999998</v>
      </c>
      <c r="K2367">
        <v>1.1110500000000001</v>
      </c>
      <c r="L2367">
        <v>265.52769999999998</v>
      </c>
      <c r="M2367">
        <v>-0.178533</v>
      </c>
      <c r="N2367">
        <v>0</v>
      </c>
      <c r="O2367">
        <v>-0.98384170000000004</v>
      </c>
      <c r="P2367">
        <v>-5.3433710000000002E-2</v>
      </c>
      <c r="Q2367">
        <v>-2.439328E-2</v>
      </c>
      <c r="R2367">
        <v>-0.99827390000000005</v>
      </c>
      <c r="S2367">
        <v>-0.18991089999999999</v>
      </c>
      <c r="T2367">
        <v>-0.20001830000000001</v>
      </c>
      <c r="U2367">
        <v>-2.9899290000000001</v>
      </c>
      <c r="V2367">
        <v>-0.12565699999999999</v>
      </c>
      <c r="W2367">
        <v>-1.1110099999999999E-2</v>
      </c>
      <c r="X2367">
        <v>0.99201150000000005</v>
      </c>
      <c r="Y2367">
        <v>-0.1159539</v>
      </c>
      <c r="Z2367">
        <v>6.4853739999999993E-2</v>
      </c>
      <c r="AA2367">
        <v>0.99113510000000005</v>
      </c>
      <c r="AB2367">
        <v>19</v>
      </c>
      <c r="AC2367">
        <v>-1.02790000000004</v>
      </c>
      <c r="AD2367">
        <v>-1.1110545569829999</v>
      </c>
      <c r="AE2367">
        <v>-16.454799999999899</v>
      </c>
      <c r="AF2367">
        <v>-1.91789871795077</v>
      </c>
      <c r="AG2367">
        <v>-1.1110545569829999</v>
      </c>
      <c r="AH2367">
        <v>16.2998932110673</v>
      </c>
      <c r="AI2367">
        <v>93.872803299532094</v>
      </c>
      <c r="AJ2367">
        <v>96.710752895615499</v>
      </c>
      <c r="AK2367">
        <v>16.449902626250001</v>
      </c>
      <c r="AL2367">
        <v>90.636574957903804</v>
      </c>
      <c r="AM2367">
        <v>97.219146452559301</v>
      </c>
      <c r="AN2367">
        <v>0.999999966051629</v>
      </c>
    </row>
    <row r="2368" spans="1:40" x14ac:dyDescent="0.3">
      <c r="A2368" t="str">
        <f>"20200111160455079"</f>
        <v>20200111160455079</v>
      </c>
      <c r="B2368" t="str">
        <f>"1578729895073549"</f>
        <v>1578729895073549</v>
      </c>
      <c r="C2368" t="s">
        <v>40</v>
      </c>
      <c r="D2368">
        <v>5.658156</v>
      </c>
      <c r="E2368">
        <v>0.50469679999999995</v>
      </c>
      <c r="F2368" t="s">
        <v>41</v>
      </c>
      <c r="G2368">
        <v>-492.5496</v>
      </c>
      <c r="H2368" s="1">
        <v>-4.571906E-6</v>
      </c>
      <c r="I2368">
        <v>249.0926</v>
      </c>
      <c r="J2368">
        <v>-491.49509999999998</v>
      </c>
      <c r="K2368">
        <v>1.11104</v>
      </c>
      <c r="L2368">
        <v>265.41559999999998</v>
      </c>
      <c r="M2368">
        <v>-0.17798259999999999</v>
      </c>
      <c r="N2368">
        <v>0</v>
      </c>
      <c r="O2368">
        <v>-0.98394139999999997</v>
      </c>
      <c r="P2368">
        <v>-5.4577109999999998E-2</v>
      </c>
      <c r="Q2368">
        <v>-2.338115E-2</v>
      </c>
      <c r="R2368">
        <v>-0.99823609999999896</v>
      </c>
      <c r="S2368">
        <v>-0.1954041</v>
      </c>
      <c r="T2368">
        <v>-0.20211409999999999</v>
      </c>
      <c r="U2368">
        <v>-2.9897459999999998</v>
      </c>
      <c r="V2368">
        <v>-0.12397130000000001</v>
      </c>
      <c r="W2368">
        <v>-1.011066E-2</v>
      </c>
      <c r="X2368">
        <v>0.99223430000000001</v>
      </c>
      <c r="Y2368">
        <v>-0.11358360000000001</v>
      </c>
      <c r="Z2368">
        <v>6.5549750000000004E-2</v>
      </c>
      <c r="AA2368">
        <v>0.99136369999999896</v>
      </c>
      <c r="AB2368">
        <v>19</v>
      </c>
      <c r="AC2368">
        <v>-1.05450000000001</v>
      </c>
      <c r="AD2368">
        <v>-1.111044571906</v>
      </c>
      <c r="AE2368">
        <v>-16.322999999999901</v>
      </c>
      <c r="AF2368">
        <v>-1.8592352487534101</v>
      </c>
      <c r="AG2368">
        <v>-1.111044571906</v>
      </c>
      <c r="AH2368">
        <v>16.175403700653199</v>
      </c>
      <c r="AI2368">
        <v>93.903697526266896</v>
      </c>
      <c r="AJ2368">
        <v>96.556923578887293</v>
      </c>
      <c r="AK2368">
        <v>16.3197690127671</v>
      </c>
      <c r="AL2368">
        <v>90.579308012103795</v>
      </c>
      <c r="AM2368">
        <v>97.121719397673004</v>
      </c>
      <c r="AN2368">
        <v>1.0000000073829001</v>
      </c>
    </row>
    <row r="2369" spans="1:40" x14ac:dyDescent="0.3">
      <c r="A2369" t="str">
        <f>"20200111160455092"</f>
        <v>20200111160455092</v>
      </c>
      <c r="B2369" t="str">
        <f>"1578729895083311"</f>
        <v>1578729895083311</v>
      </c>
      <c r="C2369" t="s">
        <v>40</v>
      </c>
      <c r="D2369">
        <v>5.5842589999999896</v>
      </c>
      <c r="E2369">
        <v>0.50471350000000004</v>
      </c>
      <c r="F2369" t="s">
        <v>41</v>
      </c>
      <c r="G2369">
        <v>-492.54140000000001</v>
      </c>
      <c r="H2369" s="1">
        <v>-4.6891009999999999E-6</v>
      </c>
      <c r="I2369">
        <v>249.44120000000001</v>
      </c>
      <c r="J2369">
        <v>-491.51319999999998</v>
      </c>
      <c r="K2369">
        <v>1.1110310000000001</v>
      </c>
      <c r="L2369">
        <v>265.31209999999999</v>
      </c>
      <c r="M2369">
        <v>-0.1774847</v>
      </c>
      <c r="N2369">
        <v>0</v>
      </c>
      <c r="O2369">
        <v>-0.98403160000000001</v>
      </c>
      <c r="P2369">
        <v>-5.581552E-2</v>
      </c>
      <c r="Q2369">
        <v>-2.3021529999999998E-2</v>
      </c>
      <c r="R2369">
        <v>-0.99817549999999999</v>
      </c>
      <c r="S2369">
        <v>-0.19583130000000001</v>
      </c>
      <c r="T2369">
        <v>-0.20794019999999999</v>
      </c>
      <c r="U2369">
        <v>-2.989716</v>
      </c>
      <c r="V2369">
        <v>-0.122239899999999</v>
      </c>
      <c r="W2369">
        <v>-9.7710660000000001E-3</v>
      </c>
      <c r="X2369">
        <v>0.99245249999999996</v>
      </c>
      <c r="Y2369">
        <v>-0.1129474</v>
      </c>
      <c r="Z2369">
        <v>6.7442639999999998E-2</v>
      </c>
      <c r="AA2369">
        <v>0.99130940000000001</v>
      </c>
      <c r="AB2369">
        <v>19</v>
      </c>
      <c r="AC2369">
        <v>-1.02820000000002</v>
      </c>
      <c r="AD2369">
        <v>-1.11103568910099</v>
      </c>
      <c r="AE2369">
        <v>-15.870899999999899</v>
      </c>
      <c r="AF2369">
        <v>-1.79645701147529</v>
      </c>
      <c r="AG2369">
        <v>-1.11103568910099</v>
      </c>
      <c r="AH2369">
        <v>15.724648135274901</v>
      </c>
      <c r="AI2369">
        <v>94.015521930042794</v>
      </c>
      <c r="AJ2369">
        <v>96.517479584724398</v>
      </c>
      <c r="AK2369">
        <v>15.8658821713367</v>
      </c>
      <c r="AL2369">
        <v>90.559849743018603</v>
      </c>
      <c r="AM2369">
        <v>97.021728043139504</v>
      </c>
      <c r="AN2369">
        <v>1.0000000158195099</v>
      </c>
    </row>
    <row r="2370" spans="1:40" x14ac:dyDescent="0.3">
      <c r="A2370" t="str">
        <f>"20200111160455104"</f>
        <v>20200111160455104</v>
      </c>
      <c r="B2370" t="str">
        <f>"1578729895093070"</f>
        <v>1578729895093070</v>
      </c>
      <c r="C2370" t="s">
        <v>40</v>
      </c>
      <c r="D2370">
        <v>6.4355370000000001</v>
      </c>
      <c r="E2370">
        <v>0.50471350000000004</v>
      </c>
      <c r="F2370" t="s">
        <v>41</v>
      </c>
      <c r="G2370">
        <v>-492.54160000000002</v>
      </c>
      <c r="H2370" s="1">
        <v>-8.0318080000000001E-7</v>
      </c>
      <c r="I2370">
        <v>249.88499999999999</v>
      </c>
      <c r="J2370">
        <v>-491.53219999999999</v>
      </c>
      <c r="K2370">
        <v>1.111019</v>
      </c>
      <c r="L2370">
        <v>265.20269999999999</v>
      </c>
      <c r="M2370">
        <v>-0.1769646</v>
      </c>
      <c r="N2370">
        <v>0</v>
      </c>
      <c r="O2370">
        <v>-0.98412599999999995</v>
      </c>
      <c r="P2370">
        <v>-5.6896839999999997E-2</v>
      </c>
      <c r="Q2370">
        <v>-2.2692130000000001E-2</v>
      </c>
      <c r="R2370">
        <v>-0.99812279999999998</v>
      </c>
      <c r="S2370">
        <v>-0.19927980000000001</v>
      </c>
      <c r="T2370">
        <v>-0.2152897</v>
      </c>
      <c r="U2370">
        <v>-2.9893800000000001</v>
      </c>
      <c r="V2370">
        <v>-0.1206424</v>
      </c>
      <c r="W2370">
        <v>-9.4695100000000004E-3</v>
      </c>
      <c r="X2370">
        <v>0.9926509</v>
      </c>
      <c r="Y2370">
        <v>-0.1112872</v>
      </c>
      <c r="Z2370">
        <v>6.9836389999999998E-2</v>
      </c>
      <c r="AA2370">
        <v>0.99133150000000003</v>
      </c>
      <c r="AB2370">
        <v>19</v>
      </c>
      <c r="AC2370">
        <v>-1.0094000000000201</v>
      </c>
      <c r="AD2370">
        <v>-1.1110198031808001</v>
      </c>
      <c r="AE2370">
        <v>-15.3177</v>
      </c>
      <c r="AF2370">
        <v>-1.7085186494198701</v>
      </c>
      <c r="AG2370">
        <v>-1.1110198031808001</v>
      </c>
      <c r="AH2370">
        <v>15.175055792224599</v>
      </c>
      <c r="AI2370">
        <v>94.161159771248805</v>
      </c>
      <c r="AJ2370">
        <v>96.4237264266376</v>
      </c>
      <c r="AK2370">
        <v>15.3112938472098</v>
      </c>
      <c r="AL2370">
        <v>90.542571047260594</v>
      </c>
      <c r="AM2370">
        <v>96.929490724332993</v>
      </c>
      <c r="AN2370">
        <v>1.0000000347841</v>
      </c>
    </row>
    <row r="2371" spans="1:40" x14ac:dyDescent="0.3">
      <c r="A2371" t="str">
        <f>"20200111160455123"</f>
        <v>20200111160455123</v>
      </c>
      <c r="B2371" t="str">
        <f>"1578729895113565"</f>
        <v>1578729895113565</v>
      </c>
      <c r="C2371" t="s">
        <v>40</v>
      </c>
      <c r="D2371">
        <v>5.6807720000000002</v>
      </c>
      <c r="E2371">
        <v>0.498917</v>
      </c>
      <c r="F2371" t="s">
        <v>41</v>
      </c>
      <c r="G2371">
        <v>-492.58249999999998</v>
      </c>
      <c r="H2371" s="1">
        <v>-7.3785230000000004E-7</v>
      </c>
      <c r="I2371">
        <v>249.7073</v>
      </c>
      <c r="J2371">
        <v>-491.56099999999998</v>
      </c>
      <c r="K2371">
        <v>1.111011</v>
      </c>
      <c r="L2371">
        <v>265.03809999999999</v>
      </c>
      <c r="M2371">
        <v>-0.17619089999999901</v>
      </c>
      <c r="N2371">
        <v>0</v>
      </c>
      <c r="O2371">
        <v>-0.98426559999999996</v>
      </c>
      <c r="P2371">
        <v>-5.9780460000000001E-2</v>
      </c>
      <c r="Q2371">
        <v>-2.2559639999999999E-2</v>
      </c>
      <c r="R2371">
        <v>-0.99795659999999997</v>
      </c>
      <c r="S2371">
        <v>-0.20260619999999999</v>
      </c>
      <c r="T2371">
        <v>-0.21432979999999999</v>
      </c>
      <c r="U2371">
        <v>-2.989258</v>
      </c>
      <c r="V2371">
        <v>-0.11699370000000001</v>
      </c>
      <c r="W2371">
        <v>-9.4034779999999998E-3</v>
      </c>
      <c r="X2371">
        <v>0.99308810000000003</v>
      </c>
      <c r="Y2371">
        <v>-0.109403399999999</v>
      </c>
      <c r="Z2371">
        <v>6.954921E-2</v>
      </c>
      <c r="AA2371">
        <v>0.99156129999999998</v>
      </c>
      <c r="AB2371">
        <v>19</v>
      </c>
      <c r="AC2371">
        <v>-1.0215000000000001</v>
      </c>
      <c r="AD2371">
        <v>-1.1110117378522999</v>
      </c>
      <c r="AE2371">
        <v>-15.330799999999901</v>
      </c>
      <c r="AF2371">
        <v>-1.68705019653163</v>
      </c>
      <c r="AG2371">
        <v>-1.1110117378522999</v>
      </c>
      <c r="AH2371">
        <v>15.191487284306699</v>
      </c>
      <c r="AI2371">
        <v>94.157346895522906</v>
      </c>
      <c r="AJ2371">
        <v>96.336865399001198</v>
      </c>
      <c r="AK2371">
        <v>15.3252005323427</v>
      </c>
      <c r="AL2371">
        <v>90.538787562803805</v>
      </c>
      <c r="AM2371">
        <v>96.718930698353404</v>
      </c>
      <c r="AN2371">
        <v>0.999999962799897</v>
      </c>
    </row>
    <row r="2372" spans="1:40" x14ac:dyDescent="0.3">
      <c r="A2372" t="str">
        <f>"20200111160455144"</f>
        <v>20200111160455144</v>
      </c>
      <c r="B2372" t="str">
        <f>"1578729895133593"</f>
        <v>1578729895133593</v>
      </c>
      <c r="C2372" t="s">
        <v>40</v>
      </c>
      <c r="D2372">
        <v>5.6564899999999998</v>
      </c>
      <c r="E2372">
        <v>0.49972909999999998</v>
      </c>
      <c r="F2372" t="s">
        <v>46</v>
      </c>
      <c r="G2372">
        <v>0</v>
      </c>
      <c r="H2372">
        <v>0</v>
      </c>
      <c r="I2372">
        <v>0</v>
      </c>
      <c r="J2372">
        <v>-491.5908</v>
      </c>
      <c r="K2372">
        <v>1.1110100000000001</v>
      </c>
      <c r="L2372">
        <v>264.86630000000002</v>
      </c>
      <c r="M2372">
        <v>-0.17538190000000001</v>
      </c>
      <c r="N2372">
        <v>0</v>
      </c>
      <c r="O2372">
        <v>-0.98441140000000005</v>
      </c>
      <c r="P2372">
        <v>-6.2641710000000003E-2</v>
      </c>
      <c r="Q2372">
        <v>-2.2525570000000002E-2</v>
      </c>
      <c r="R2372">
        <v>-0.99778180000000005</v>
      </c>
      <c r="S2372">
        <v>-0.17611689999999999</v>
      </c>
      <c r="T2372">
        <v>6.4343449999999996E-2</v>
      </c>
      <c r="U2372">
        <v>-2.9970699999999999</v>
      </c>
      <c r="V2372">
        <v>-0.1133295</v>
      </c>
      <c r="W2372">
        <v>-9.4643729999999999E-3</v>
      </c>
      <c r="X2372">
        <v>0.99351239999999996</v>
      </c>
      <c r="Y2372">
        <v>-0.11735569999999999</v>
      </c>
      <c r="Z2372">
        <v>-2.0873490000000001E-2</v>
      </c>
      <c r="AA2372">
        <v>0.99287060000000005</v>
      </c>
      <c r="AB2372">
        <v>19</v>
      </c>
      <c r="AC2372">
        <v>-0.17611689999999999</v>
      </c>
      <c r="AD2372">
        <v>6.4343449999999996E-2</v>
      </c>
      <c r="AE2372">
        <v>-2.9970699999999999</v>
      </c>
      <c r="AF2372">
        <v>-0.35212950049590502</v>
      </c>
      <c r="AG2372">
        <v>6.4343449999999996E-2</v>
      </c>
      <c r="AH2372">
        <v>2.98013021603672</v>
      </c>
      <c r="AI2372">
        <v>88.771671735852607</v>
      </c>
      <c r="AJ2372">
        <v>96.738772297923106</v>
      </c>
      <c r="AK2372">
        <v>3.0015514936799699</v>
      </c>
      <c r="AL2372">
        <v>90.542276713982204</v>
      </c>
      <c r="AM2372">
        <v>96.507575128806494</v>
      </c>
      <c r="AN2372">
        <v>1.0000000194401399</v>
      </c>
    </row>
    <row r="2373" spans="1:40" x14ac:dyDescent="0.3">
      <c r="A2373" t="str">
        <f>"20200111160455157"</f>
        <v>20200111160455157</v>
      </c>
      <c r="B2373" t="str">
        <f>"1578729895153115"</f>
        <v>1578729895153115</v>
      </c>
      <c r="C2373" t="s">
        <v>40</v>
      </c>
      <c r="D2373">
        <v>5.6445129999999999</v>
      </c>
      <c r="E2373">
        <v>0.49972630000000001</v>
      </c>
      <c r="F2373" t="s">
        <v>41</v>
      </c>
      <c r="G2373">
        <v>-492.17430000000002</v>
      </c>
      <c r="H2373" s="1">
        <v>-2.8402860000000002E-6</v>
      </c>
      <c r="I2373">
        <v>254.8613</v>
      </c>
      <c r="J2373">
        <v>-491.60950000000003</v>
      </c>
      <c r="K2373">
        <v>1.1110139999999999</v>
      </c>
      <c r="L2373">
        <v>264.75749999999999</v>
      </c>
      <c r="M2373">
        <v>-0.17486260000000001</v>
      </c>
      <c r="N2373">
        <v>0</v>
      </c>
      <c r="O2373">
        <v>-0.98450479999999996</v>
      </c>
      <c r="P2373">
        <v>-6.418314E-2</v>
      </c>
      <c r="Q2373">
        <v>-2.272704E-2</v>
      </c>
      <c r="R2373">
        <v>-0.99767919999999999</v>
      </c>
      <c r="S2373">
        <v>-0.17428589999999999</v>
      </c>
      <c r="T2373">
        <v>-0.3318275</v>
      </c>
      <c r="U2373">
        <v>-2.9881899999999999</v>
      </c>
      <c r="V2373">
        <v>-0.111268699999999</v>
      </c>
      <c r="W2373">
        <v>-9.7356330000000005E-3</v>
      </c>
      <c r="X2373">
        <v>0.99374260000000003</v>
      </c>
      <c r="Y2373">
        <v>-0.1175905</v>
      </c>
      <c r="Z2373">
        <v>0.10735500000000001</v>
      </c>
      <c r="AA2373">
        <v>0.98724230000000002</v>
      </c>
      <c r="AB2373">
        <v>19</v>
      </c>
      <c r="AC2373">
        <v>-0.56479999999999098</v>
      </c>
      <c r="AD2373">
        <v>-1.1110168402859999</v>
      </c>
      <c r="AE2373">
        <v>-9.8961999999999897</v>
      </c>
      <c r="AF2373">
        <v>-1.15995628279506</v>
      </c>
      <c r="AG2373">
        <v>-1.1110168402859999</v>
      </c>
      <c r="AH2373">
        <v>9.7203555720467794</v>
      </c>
      <c r="AI2373">
        <v>96.474949130648895</v>
      </c>
      <c r="AJ2373">
        <v>96.805079758495907</v>
      </c>
      <c r="AK2373">
        <v>9.8521657235562099</v>
      </c>
      <c r="AL2373">
        <v>90.557819532663302</v>
      </c>
      <c r="AM2373">
        <v>96.388760209289302</v>
      </c>
      <c r="AN2373">
        <v>0.99999993060217796</v>
      </c>
    </row>
    <row r="2374" spans="1:40" x14ac:dyDescent="0.3">
      <c r="A2374" t="str">
        <f>"20200111160455170"</f>
        <v>20200111160455170</v>
      </c>
      <c r="B2374" t="str">
        <f>"1578729895163850"</f>
        <v>1578729895163850</v>
      </c>
      <c r="C2374" t="s">
        <v>40</v>
      </c>
      <c r="D2374">
        <v>5.64201</v>
      </c>
      <c r="E2374">
        <v>0.49943300000000002</v>
      </c>
      <c r="F2374" t="s">
        <v>41</v>
      </c>
      <c r="G2374">
        <v>-492.20159999999998</v>
      </c>
      <c r="H2374" s="1">
        <v>-2.8328549999999998E-6</v>
      </c>
      <c r="I2374">
        <v>254.8271</v>
      </c>
      <c r="J2374">
        <v>-491.62909999999999</v>
      </c>
      <c r="K2374">
        <v>1.111016</v>
      </c>
      <c r="L2374">
        <v>264.64350000000002</v>
      </c>
      <c r="M2374">
        <v>-0.17431250000000001</v>
      </c>
      <c r="N2374">
        <v>0</v>
      </c>
      <c r="O2374">
        <v>-0.98460349999999996</v>
      </c>
      <c r="P2374">
        <v>-6.5370510000000007E-2</v>
      </c>
      <c r="Q2374">
        <v>-2.2598449999999999E-2</v>
      </c>
      <c r="R2374">
        <v>-0.99760539999999998</v>
      </c>
      <c r="S2374">
        <v>-0.1781616</v>
      </c>
      <c r="T2374">
        <v>-0.33428839999999999</v>
      </c>
      <c r="U2374">
        <v>-2.9879150000000001</v>
      </c>
      <c r="V2374">
        <v>-0.1095314</v>
      </c>
      <c r="W2374">
        <v>-9.6810899999999998E-3</v>
      </c>
      <c r="X2374">
        <v>0.99393620000000005</v>
      </c>
      <c r="Y2374">
        <v>-0.11575920000000001</v>
      </c>
      <c r="Z2374">
        <v>0.1081754</v>
      </c>
      <c r="AA2374">
        <v>0.98736919999999995</v>
      </c>
      <c r="AB2374">
        <v>19</v>
      </c>
      <c r="AC2374">
        <v>-0.57249999999999002</v>
      </c>
      <c r="AD2374">
        <v>-1.1110188328549999</v>
      </c>
      <c r="AE2374">
        <v>-9.8164000000000105</v>
      </c>
      <c r="AF2374">
        <v>-1.13306884562942</v>
      </c>
      <c r="AG2374">
        <v>-1.1110188328549999</v>
      </c>
      <c r="AH2374">
        <v>9.6427888627941307</v>
      </c>
      <c r="AI2374">
        <v>96.527979404692104</v>
      </c>
      <c r="AJ2374">
        <v>96.701767045948699</v>
      </c>
      <c r="AK2374">
        <v>9.7724912334737297</v>
      </c>
      <c r="AL2374">
        <v>90.554694257206805</v>
      </c>
      <c r="AM2374">
        <v>96.288599371561105</v>
      </c>
      <c r="AN2374">
        <v>1.00000001037999</v>
      </c>
    </row>
    <row r="2375" spans="1:40" x14ac:dyDescent="0.3">
      <c r="A2375" t="str">
        <f>"20200111160455182"</f>
        <v>20200111160455182</v>
      </c>
      <c r="B2375" t="str">
        <f>"1578729895173610"</f>
        <v>1578729895173610</v>
      </c>
      <c r="C2375" t="s">
        <v>40</v>
      </c>
      <c r="D2375">
        <v>5.6842899999999998</v>
      </c>
      <c r="E2375">
        <v>0.498975</v>
      </c>
      <c r="F2375" t="s">
        <v>41</v>
      </c>
      <c r="G2375">
        <v>-492.23129999999998</v>
      </c>
      <c r="H2375" s="1">
        <v>-2.7563230000000002E-6</v>
      </c>
      <c r="I2375">
        <v>254.6302</v>
      </c>
      <c r="J2375">
        <v>-491.6472</v>
      </c>
      <c r="K2375">
        <v>1.111019</v>
      </c>
      <c r="L2375">
        <v>264.53800000000001</v>
      </c>
      <c r="M2375">
        <v>-0.173797799999999</v>
      </c>
      <c r="N2375">
        <v>0</v>
      </c>
      <c r="O2375">
        <v>-0.9846954</v>
      </c>
      <c r="P2375">
        <v>-6.6745269999999995E-2</v>
      </c>
      <c r="Q2375">
        <v>-2.2533500000000001E-2</v>
      </c>
      <c r="R2375">
        <v>-0.99751590000000001</v>
      </c>
      <c r="S2375">
        <v>-0.1796875</v>
      </c>
      <c r="T2375">
        <v>-0.33152029999999999</v>
      </c>
      <c r="U2375">
        <v>-2.9878849999999999</v>
      </c>
      <c r="V2375">
        <v>-0.1076421</v>
      </c>
      <c r="W2375">
        <v>-9.6839700000000001E-3</v>
      </c>
      <c r="X2375">
        <v>0.99414250000000004</v>
      </c>
      <c r="Y2375">
        <v>-0.114731</v>
      </c>
      <c r="Z2375">
        <v>0.1073115</v>
      </c>
      <c r="AA2375">
        <v>0.9875834</v>
      </c>
      <c r="AB2375">
        <v>19</v>
      </c>
      <c r="AC2375">
        <v>-0.58409999999997797</v>
      </c>
      <c r="AD2375">
        <v>-1.111021756323</v>
      </c>
      <c r="AE2375">
        <v>-9.9077999999999999</v>
      </c>
      <c r="AF2375">
        <v>-1.1326965841115599</v>
      </c>
      <c r="AG2375">
        <v>-1.111021756323</v>
      </c>
      <c r="AH2375">
        <v>9.7365072546649998</v>
      </c>
      <c r="AI2375">
        <v>96.466560768817502</v>
      </c>
      <c r="AJ2375">
        <v>96.635676484158196</v>
      </c>
      <c r="AK2375">
        <v>9.8649350943037195</v>
      </c>
      <c r="AL2375">
        <v>90.554859307161394</v>
      </c>
      <c r="AM2375">
        <v>96.179701902342401</v>
      </c>
      <c r="AN2375">
        <v>0.99999995563680899</v>
      </c>
    </row>
    <row r="2376" spans="1:40" x14ac:dyDescent="0.3">
      <c r="A2376" t="str">
        <f>"20200111160455201"</f>
        <v>20200111160455201</v>
      </c>
      <c r="B2376" t="str">
        <f>"1578729895193132"</f>
        <v>1578729895193132</v>
      </c>
      <c r="C2376" t="s">
        <v>40</v>
      </c>
      <c r="D2376">
        <v>5.7232129999999897</v>
      </c>
      <c r="E2376">
        <v>0.49871579999999899</v>
      </c>
      <c r="F2376" t="s">
        <v>41</v>
      </c>
      <c r="G2376">
        <v>-492.25380000000001</v>
      </c>
      <c r="H2376" s="1">
        <v>-2.6886579999999999E-6</v>
      </c>
      <c r="I2376">
        <v>254.45859999999999</v>
      </c>
      <c r="J2376">
        <v>-491.67469999999997</v>
      </c>
      <c r="K2376">
        <v>1.1110230000000001</v>
      </c>
      <c r="L2376">
        <v>264.3766</v>
      </c>
      <c r="M2376">
        <v>-0.1729879</v>
      </c>
      <c r="N2376">
        <v>0</v>
      </c>
      <c r="O2376">
        <v>-0.98483909999999997</v>
      </c>
      <c r="P2376">
        <v>-6.9359420000000005E-2</v>
      </c>
      <c r="Q2376">
        <v>-2.220128E-2</v>
      </c>
      <c r="R2376">
        <v>-0.99734489999999998</v>
      </c>
      <c r="S2376">
        <v>-0.17980960000000001</v>
      </c>
      <c r="T2376">
        <v>-0.32935950000000003</v>
      </c>
      <c r="U2376">
        <v>-2.9880070000000001</v>
      </c>
      <c r="V2376">
        <v>-0.10421999999999999</v>
      </c>
      <c r="W2376">
        <v>-9.4515180000000008E-3</v>
      </c>
      <c r="X2376">
        <v>0.99450930000000004</v>
      </c>
      <c r="Y2376">
        <v>-0.11387170000000001</v>
      </c>
      <c r="Z2376">
        <v>0.1066447</v>
      </c>
      <c r="AA2376">
        <v>0.9877551</v>
      </c>
      <c r="AB2376">
        <v>19</v>
      </c>
      <c r="AC2376">
        <v>-0.57910000000003903</v>
      </c>
      <c r="AD2376">
        <v>-1.1110256886580001</v>
      </c>
      <c r="AE2376">
        <v>-9.9179999999999993</v>
      </c>
      <c r="AF2376">
        <v>-1.1313209833687099</v>
      </c>
      <c r="AG2376">
        <v>-1.1110256886580001</v>
      </c>
      <c r="AH2376">
        <v>9.74674247642265</v>
      </c>
      <c r="AI2376">
        <v>96.460043591333601</v>
      </c>
      <c r="AJ2376">
        <v>96.620791512369294</v>
      </c>
      <c r="AK2376">
        <v>9.8748799562308491</v>
      </c>
      <c r="AL2376">
        <v>90.541540184829202</v>
      </c>
      <c r="AM2376">
        <v>95.982497825837598</v>
      </c>
      <c r="AN2376">
        <v>0.99999994368949496</v>
      </c>
    </row>
    <row r="2377" spans="1:40" x14ac:dyDescent="0.3">
      <c r="A2377" t="str">
        <f>"20200111160455215"</f>
        <v>20200111160455215</v>
      </c>
      <c r="B2377" t="str">
        <f>"1578729895213626"</f>
        <v>1578729895213626</v>
      </c>
      <c r="C2377" t="s">
        <v>40</v>
      </c>
      <c r="D2377">
        <v>5.7482069999999998</v>
      </c>
      <c r="E2377">
        <v>0.49364599999999997</v>
      </c>
      <c r="F2377" t="s">
        <v>41</v>
      </c>
      <c r="G2377">
        <v>-492.30410000000001</v>
      </c>
      <c r="H2377" s="1">
        <v>-2.6194650000000002E-6</v>
      </c>
      <c r="I2377">
        <v>254.26609999999999</v>
      </c>
      <c r="J2377">
        <v>-491.69450000000001</v>
      </c>
      <c r="K2377">
        <v>1.1110329999999999</v>
      </c>
      <c r="L2377">
        <v>264.25990000000002</v>
      </c>
      <c r="M2377">
        <v>-0.17238539999999999</v>
      </c>
      <c r="N2377">
        <v>0</v>
      </c>
      <c r="O2377">
        <v>-0.98494570000000004</v>
      </c>
      <c r="P2377">
        <v>-6.994467E-2</v>
      </c>
      <c r="Q2377">
        <v>-2.2041249999999998E-2</v>
      </c>
      <c r="R2377">
        <v>-0.99730719999999995</v>
      </c>
      <c r="S2377">
        <v>-0.1859741</v>
      </c>
      <c r="T2377">
        <v>-0.32832149999999999</v>
      </c>
      <c r="U2377">
        <v>-2.987762</v>
      </c>
      <c r="V2377">
        <v>-0.1030278</v>
      </c>
      <c r="W2377">
        <v>-9.3651110000000006E-3</v>
      </c>
      <c r="X2377">
        <v>0.99463440000000003</v>
      </c>
      <c r="Y2377">
        <v>-0.1112262</v>
      </c>
      <c r="Z2377">
        <v>0.10634830000000001</v>
      </c>
      <c r="AA2377">
        <v>0.98808839999999998</v>
      </c>
      <c r="AB2377">
        <v>19</v>
      </c>
      <c r="AC2377">
        <v>-0.60960000000000003</v>
      </c>
      <c r="AD2377">
        <v>-1.111035619465</v>
      </c>
      <c r="AE2377">
        <v>-9.9938000000000198</v>
      </c>
      <c r="AF2377">
        <v>-1.1088018150300101</v>
      </c>
      <c r="AG2377">
        <v>-1.111035619465</v>
      </c>
      <c r="AH2377">
        <v>9.8282384448236897</v>
      </c>
      <c r="AI2377">
        <v>96.409316598024702</v>
      </c>
      <c r="AJ2377">
        <v>96.436776192260695</v>
      </c>
      <c r="AK2377">
        <v>9.9527942077109302</v>
      </c>
      <c r="AL2377">
        <v>90.536589172738303</v>
      </c>
      <c r="AM2377">
        <v>95.913811738973095</v>
      </c>
      <c r="AN2377">
        <v>1.0000000112701199</v>
      </c>
    </row>
    <row r="2378" spans="1:40" x14ac:dyDescent="0.3">
      <c r="A2378" t="str">
        <f>"20200111160455235"</f>
        <v>20200111160455235</v>
      </c>
      <c r="B2378" t="str">
        <f>"1578729895223386"</f>
        <v>1578729895223386</v>
      </c>
      <c r="C2378" t="s">
        <v>40</v>
      </c>
      <c r="D2378">
        <v>5.7553720000000004</v>
      </c>
      <c r="E2378">
        <v>0.49364599999999997</v>
      </c>
      <c r="F2378" t="s">
        <v>46</v>
      </c>
      <c r="G2378">
        <v>0</v>
      </c>
      <c r="H2378">
        <v>0</v>
      </c>
      <c r="I2378">
        <v>0</v>
      </c>
      <c r="J2378">
        <v>-491.72190000000001</v>
      </c>
      <c r="K2378">
        <v>1.1110469999999999</v>
      </c>
      <c r="L2378">
        <v>264.09750000000003</v>
      </c>
      <c r="M2378">
        <v>-0.17152600000000001</v>
      </c>
      <c r="N2378">
        <v>0</v>
      </c>
      <c r="O2378">
        <v>-0.98509709999999995</v>
      </c>
      <c r="P2378">
        <v>-7.1708549999999996E-2</v>
      </c>
      <c r="Q2378">
        <v>-2.176001E-2</v>
      </c>
      <c r="R2378">
        <v>-0.99718870000000004</v>
      </c>
      <c r="S2378">
        <v>-0.16616819999999999</v>
      </c>
      <c r="T2378">
        <v>6.8991780000000003E-2</v>
      </c>
      <c r="U2378">
        <v>-2.9980470000000001</v>
      </c>
      <c r="V2378">
        <v>-0.10040159999999999</v>
      </c>
      <c r="W2378">
        <v>-9.1816480000000006E-3</v>
      </c>
      <c r="X2378">
        <v>0.99490460000000003</v>
      </c>
      <c r="Y2378">
        <v>-0.11677079999999999</v>
      </c>
      <c r="Z2378">
        <v>-2.239963E-2</v>
      </c>
      <c r="AA2378">
        <v>0.99290630000000002</v>
      </c>
      <c r="AB2378">
        <v>19</v>
      </c>
      <c r="AC2378">
        <v>-0.16616819999999999</v>
      </c>
      <c r="AD2378">
        <v>6.8991780000000003E-2</v>
      </c>
      <c r="AE2378">
        <v>-2.9980470000000001</v>
      </c>
      <c r="AF2378">
        <v>-0.35039470179237697</v>
      </c>
      <c r="AG2378">
        <v>6.8991780000000003E-2</v>
      </c>
      <c r="AH2378">
        <v>2.9805383808849499</v>
      </c>
      <c r="AI2378">
        <v>88.683053215989801</v>
      </c>
      <c r="AJ2378">
        <v>96.704966235715105</v>
      </c>
      <c r="AK2378">
        <v>3.0018569840483802</v>
      </c>
      <c r="AL2378">
        <v>90.526077085097299</v>
      </c>
      <c r="AM2378">
        <v>95.762540731356495</v>
      </c>
      <c r="AN2378">
        <v>0.99999997352185699</v>
      </c>
    </row>
    <row r="2379" spans="1:40" x14ac:dyDescent="0.3">
      <c r="A2379" t="str">
        <f>"20200111160455258"</f>
        <v>20200111160455258</v>
      </c>
      <c r="B2379" t="str">
        <f>"1578729895253642"</f>
        <v>1578729895253642</v>
      </c>
      <c r="C2379" t="s">
        <v>40</v>
      </c>
      <c r="D2379">
        <v>5.7541399999999996</v>
      </c>
      <c r="E2379">
        <v>0.49247439999999998</v>
      </c>
      <c r="F2379" t="s">
        <v>46</v>
      </c>
      <c r="G2379">
        <v>0</v>
      </c>
      <c r="H2379">
        <v>0</v>
      </c>
      <c r="I2379">
        <v>0</v>
      </c>
      <c r="J2379">
        <v>-491.75479999999999</v>
      </c>
      <c r="K2379">
        <v>1.111073</v>
      </c>
      <c r="L2379">
        <v>263.90120000000002</v>
      </c>
      <c r="M2379">
        <v>-0.1704523</v>
      </c>
      <c r="N2379">
        <v>0</v>
      </c>
      <c r="O2379">
        <v>-0.98528490000000002</v>
      </c>
      <c r="P2379">
        <v>-7.2909929999999998E-2</v>
      </c>
      <c r="Q2379">
        <v>-2.1930720000000001E-2</v>
      </c>
      <c r="R2379">
        <v>-0.99709780000000003</v>
      </c>
      <c r="S2379">
        <v>-0.17086789999999999</v>
      </c>
      <c r="T2379">
        <v>6.9846149999999996E-2</v>
      </c>
      <c r="U2379">
        <v>-2.9977109999999998</v>
      </c>
      <c r="V2379">
        <v>-9.8116780000000001E-2</v>
      </c>
      <c r="W2379">
        <v>-9.4661009999999993E-3</v>
      </c>
      <c r="X2379">
        <v>0.99512990000000001</v>
      </c>
      <c r="Y2379">
        <v>-0.1141302</v>
      </c>
      <c r="Z2379">
        <v>-2.2688489999999999E-2</v>
      </c>
      <c r="AA2379">
        <v>0.9932067</v>
      </c>
      <c r="AB2379">
        <v>19</v>
      </c>
      <c r="AC2379">
        <v>-0.17086789999999999</v>
      </c>
      <c r="AD2379">
        <v>6.9846149999999996E-2</v>
      </c>
      <c r="AE2379">
        <v>-2.9977109999999998</v>
      </c>
      <c r="AF2379">
        <v>-0.34245521960269898</v>
      </c>
      <c r="AG2379">
        <v>6.9846149999999996E-2</v>
      </c>
      <c r="AH2379">
        <v>2.98134909829131</v>
      </c>
      <c r="AI2379">
        <v>88.666701071024207</v>
      </c>
      <c r="AJ2379">
        <v>96.552610783535499</v>
      </c>
      <c r="AK2379">
        <v>3.0017655651275201</v>
      </c>
      <c r="AL2379">
        <v>90.542375728619803</v>
      </c>
      <c r="AM2379">
        <v>95.630989615669904</v>
      </c>
      <c r="AN2379">
        <v>1.0000000137298599</v>
      </c>
    </row>
    <row r="2380" spans="1:40" x14ac:dyDescent="0.3">
      <c r="A2380" t="str">
        <f>"20200111160455271"</f>
        <v>20200111160455271</v>
      </c>
      <c r="B2380" t="str">
        <f>"1578729895263402"</f>
        <v>1578729895263402</v>
      </c>
      <c r="C2380" t="s">
        <v>40</v>
      </c>
      <c r="D2380">
        <v>5.7161960000000001</v>
      </c>
      <c r="E2380">
        <v>0.49204799999999899</v>
      </c>
      <c r="F2380" t="s">
        <v>44</v>
      </c>
      <c r="G2380">
        <v>-500.46420000000001</v>
      </c>
      <c r="H2380">
        <v>-0.05</v>
      </c>
      <c r="I2380">
        <v>101.5967</v>
      </c>
      <c r="J2380">
        <v>-491.77449999999999</v>
      </c>
      <c r="K2380">
        <v>1.111089</v>
      </c>
      <c r="L2380">
        <v>263.78269999999998</v>
      </c>
      <c r="M2380">
        <v>-0.16978399999999999</v>
      </c>
      <c r="N2380">
        <v>0</v>
      </c>
      <c r="O2380">
        <v>-0.98540090000000002</v>
      </c>
      <c r="P2380">
        <v>-7.2994509999999999E-2</v>
      </c>
      <c r="Q2380">
        <v>-2.1716329999999999E-2</v>
      </c>
      <c r="R2380">
        <v>-0.99709619999999999</v>
      </c>
      <c r="S2380">
        <v>-0.1607971</v>
      </c>
      <c r="T2380">
        <v>-2.143633E-2</v>
      </c>
      <c r="U2380">
        <v>-2.9965519999999999</v>
      </c>
      <c r="V2380">
        <v>-9.7357659999999999E-2</v>
      </c>
      <c r="W2380">
        <v>-9.3165320000000006E-3</v>
      </c>
      <c r="X2380">
        <v>0.99520589999999998</v>
      </c>
      <c r="Y2380">
        <v>-0.1167493</v>
      </c>
      <c r="Z2380">
        <v>6.9684389999999999E-3</v>
      </c>
      <c r="AA2380">
        <v>0.99313689999999999</v>
      </c>
      <c r="AB2380">
        <v>19</v>
      </c>
      <c r="AC2380">
        <v>-8.6897000000000109</v>
      </c>
      <c r="AD2380">
        <v>-1.161089</v>
      </c>
      <c r="AE2380">
        <v>-162.18599999999901</v>
      </c>
      <c r="AF2380">
        <v>-18.9742834167943</v>
      </c>
      <c r="AG2380">
        <v>-1.161089</v>
      </c>
      <c r="AH2380">
        <v>161.29814010784301</v>
      </c>
      <c r="AI2380">
        <v>90.409606755608905</v>
      </c>
      <c r="AJ2380">
        <v>96.709147157705004</v>
      </c>
      <c r="AK2380">
        <v>162.41447460462399</v>
      </c>
      <c r="AL2380">
        <v>90.533805660289204</v>
      </c>
      <c r="AM2380">
        <v>95.587275960774505</v>
      </c>
      <c r="AN2380">
        <v>1.0000000475619899</v>
      </c>
    </row>
    <row r="2381" spans="1:40" x14ac:dyDescent="0.3">
      <c r="A2381" t="str">
        <f>"20200111160455283"</f>
        <v>20200111160455283</v>
      </c>
      <c r="B2381" t="str">
        <f>"1578729895273163"</f>
        <v>1578729895273163</v>
      </c>
      <c r="C2381" t="s">
        <v>40</v>
      </c>
      <c r="D2381">
        <v>5.678223</v>
      </c>
      <c r="E2381">
        <v>0.49268459999999997</v>
      </c>
      <c r="F2381" t="s">
        <v>44</v>
      </c>
      <c r="G2381">
        <v>-503.60399999999998</v>
      </c>
      <c r="H2381">
        <v>-0.05</v>
      </c>
      <c r="I2381">
        <v>39.219639999999998</v>
      </c>
      <c r="J2381">
        <v>-491.79250000000002</v>
      </c>
      <c r="K2381">
        <v>1.111105</v>
      </c>
      <c r="L2381">
        <v>263.67469999999997</v>
      </c>
      <c r="M2381">
        <v>-0.16916579999999901</v>
      </c>
      <c r="N2381">
        <v>0</v>
      </c>
      <c r="O2381">
        <v>-0.9855081</v>
      </c>
      <c r="P2381">
        <v>-7.3062530000000001E-2</v>
      </c>
      <c r="Q2381">
        <v>-2.172516E-2</v>
      </c>
      <c r="R2381">
        <v>-0.99709119999999996</v>
      </c>
      <c r="S2381">
        <v>-0.15786739999999999</v>
      </c>
      <c r="T2381">
        <v>-1.549506E-2</v>
      </c>
      <c r="U2381">
        <v>-2.9968569999999999</v>
      </c>
      <c r="V2381">
        <v>-9.6664730000000004E-2</v>
      </c>
      <c r="W2381">
        <v>-9.3817109999999992E-3</v>
      </c>
      <c r="X2381">
        <v>0.99527279999999996</v>
      </c>
      <c r="Y2381">
        <v>-0.1170991</v>
      </c>
      <c r="Z2381">
        <v>5.0374649999999997E-3</v>
      </c>
      <c r="AA2381">
        <v>0.99310739999999997</v>
      </c>
      <c r="AB2381">
        <v>19</v>
      </c>
      <c r="AC2381">
        <v>-11.811500000000001</v>
      </c>
      <c r="AD2381">
        <v>-1.1611049999999901</v>
      </c>
      <c r="AE2381">
        <v>-224.45506</v>
      </c>
      <c r="AF2381">
        <v>-26.331151597844102</v>
      </c>
      <c r="AG2381">
        <v>-1.1611049999999901</v>
      </c>
      <c r="AH2381">
        <v>223.21191663007201</v>
      </c>
      <c r="AI2381">
        <v>90.295986541698099</v>
      </c>
      <c r="AJ2381">
        <v>96.727793469597003</v>
      </c>
      <c r="AK2381">
        <v>224.762624639774</v>
      </c>
      <c r="AL2381">
        <v>90.537540321655797</v>
      </c>
      <c r="AM2381">
        <v>95.547387663831003</v>
      </c>
      <c r="AN2381">
        <v>1.0000000164735401</v>
      </c>
    </row>
    <row r="2382" spans="1:40" x14ac:dyDescent="0.3">
      <c r="A2382" t="str">
        <f>"20200111160455301"</f>
        <v>20200111160455301</v>
      </c>
      <c r="B2382" t="str">
        <f>"1578729895293657"</f>
        <v>1578729895293657</v>
      </c>
      <c r="C2382" t="s">
        <v>40</v>
      </c>
      <c r="D2382">
        <v>5.7142200000000001</v>
      </c>
      <c r="E2382">
        <v>0.49241239999999997</v>
      </c>
      <c r="F2382" t="s">
        <v>56</v>
      </c>
      <c r="G2382">
        <v>-494.94150000000002</v>
      </c>
      <c r="H2382" s="1">
        <v>1.2764209999999999E-6</v>
      </c>
      <c r="I2382">
        <v>205.1635</v>
      </c>
      <c r="J2382">
        <v>-491.81779999999998</v>
      </c>
      <c r="K2382">
        <v>1.111132</v>
      </c>
      <c r="L2382">
        <v>263.52100000000002</v>
      </c>
      <c r="M2382">
        <v>-0.16825370000000001</v>
      </c>
      <c r="N2382">
        <v>0</v>
      </c>
      <c r="O2382">
        <v>-0.98566509999999996</v>
      </c>
      <c r="P2382">
        <v>-7.3214459999999995E-2</v>
      </c>
      <c r="Q2382">
        <v>-2.1364749999999998E-2</v>
      </c>
      <c r="R2382">
        <v>-0.99708759999999996</v>
      </c>
      <c r="S2382">
        <v>-0.16122439999999999</v>
      </c>
      <c r="T2382">
        <v>-5.6887029999999998E-2</v>
      </c>
      <c r="U2382">
        <v>-2.9956969999999998</v>
      </c>
      <c r="V2382">
        <v>-9.5593339999999999E-2</v>
      </c>
      <c r="W2382">
        <v>-9.0933439999999997E-3</v>
      </c>
      <c r="X2382">
        <v>0.99537889999999996</v>
      </c>
      <c r="Y2382">
        <v>-0.1150583</v>
      </c>
      <c r="Z2382">
        <v>1.8504300000000001E-2</v>
      </c>
      <c r="AA2382">
        <v>0.99318640000000002</v>
      </c>
      <c r="AB2382">
        <v>19</v>
      </c>
      <c r="AC2382">
        <v>-3.1237000000000399</v>
      </c>
      <c r="AD2382">
        <v>-1.111130723579</v>
      </c>
      <c r="AE2382">
        <v>-58.357499999999902</v>
      </c>
      <c r="AF2382">
        <v>-6.7380299216170298</v>
      </c>
      <c r="AG2382">
        <v>-1.111130723579</v>
      </c>
      <c r="AH2382">
        <v>58.030047182420503</v>
      </c>
      <c r="AI2382">
        <v>91.089618446144001</v>
      </c>
      <c r="AJ2382">
        <v>96.623113662220504</v>
      </c>
      <c r="AK2382">
        <v>58.4304889137806</v>
      </c>
      <c r="AL2382">
        <v>90.521017431626206</v>
      </c>
      <c r="AM2382">
        <v>95.485698811902395</v>
      </c>
      <c r="AN2382">
        <v>0.99999996506133304</v>
      </c>
    </row>
    <row r="2383" spans="1:40" x14ac:dyDescent="0.3">
      <c r="A2383" t="str">
        <f>"20200111160455315"</f>
        <v>20200111160455315</v>
      </c>
      <c r="B2383" t="str">
        <f>"1578729895303418"</f>
        <v>1578729895303418</v>
      </c>
      <c r="C2383" t="s">
        <v>40</v>
      </c>
      <c r="D2383">
        <v>6.0610660000000003</v>
      </c>
      <c r="E2383">
        <v>0.49269689999999999</v>
      </c>
      <c r="F2383" t="s">
        <v>56</v>
      </c>
      <c r="G2383">
        <v>-494.35660000000001</v>
      </c>
      <c r="H2383" s="1">
        <v>2.5838219999999999E-6</v>
      </c>
      <c r="I2383">
        <v>215.7071</v>
      </c>
      <c r="J2383">
        <v>-491.83479999999997</v>
      </c>
      <c r="K2383">
        <v>1.1111470000000001</v>
      </c>
      <c r="L2383">
        <v>263.41680000000002</v>
      </c>
      <c r="M2383">
        <v>-0.16761619999999999</v>
      </c>
      <c r="N2383">
        <v>0</v>
      </c>
      <c r="O2383">
        <v>-0.98577420000000004</v>
      </c>
      <c r="P2383">
        <v>-7.282255E-2</v>
      </c>
      <c r="Q2383">
        <v>-2.090931E-2</v>
      </c>
      <c r="R2383">
        <v>-0.99712599999999996</v>
      </c>
      <c r="S2383">
        <v>-0.15905759999999999</v>
      </c>
      <c r="T2383">
        <v>-6.9613700000000001E-2</v>
      </c>
      <c r="U2383">
        <v>-2.9956049999999999</v>
      </c>
      <c r="V2383">
        <v>-9.5342109999999994E-2</v>
      </c>
      <c r="W2383">
        <v>-8.6834939999999999E-3</v>
      </c>
      <c r="X2383">
        <v>0.99540669999999998</v>
      </c>
      <c r="Y2383">
        <v>-0.1151349</v>
      </c>
      <c r="Z2383">
        <v>2.264683E-2</v>
      </c>
      <c r="AA2383">
        <v>0.99309170000000002</v>
      </c>
      <c r="AB2383">
        <v>19</v>
      </c>
      <c r="AC2383">
        <v>-2.5218000000000398</v>
      </c>
      <c r="AD2383">
        <v>-1.111144416178</v>
      </c>
      <c r="AE2383">
        <v>-47.709699999999998</v>
      </c>
      <c r="AF2383">
        <v>-5.5084382273115304</v>
      </c>
      <c r="AG2383">
        <v>-1.111144416178</v>
      </c>
      <c r="AH2383">
        <v>47.431685356979898</v>
      </c>
      <c r="AI2383">
        <v>91.333021314251397</v>
      </c>
      <c r="AJ2383">
        <v>96.624321677839404</v>
      </c>
      <c r="AK2383">
        <v>47.763399265768903</v>
      </c>
      <c r="AL2383">
        <v>90.497533805527496</v>
      </c>
      <c r="AM2383">
        <v>95.471217502815406</v>
      </c>
      <c r="AN2383">
        <v>1.0000000097060899</v>
      </c>
    </row>
    <row r="2384" spans="1:40" x14ac:dyDescent="0.3">
      <c r="A2384" t="str">
        <f>"20200111160455328"</f>
        <v>20200111160455328</v>
      </c>
      <c r="B2384" t="str">
        <f>"1578729895322938"</f>
        <v>1578729895322938</v>
      </c>
      <c r="C2384" t="s">
        <v>40</v>
      </c>
      <c r="D2384">
        <v>5.6983899999999998</v>
      </c>
      <c r="E2384">
        <v>0.49261759999999899</v>
      </c>
      <c r="F2384" t="s">
        <v>56</v>
      </c>
      <c r="G2384">
        <v>-494.20190000000002</v>
      </c>
      <c r="H2384" s="1">
        <v>2.7571339999999999E-6</v>
      </c>
      <c r="I2384">
        <v>219.04419999999999</v>
      </c>
      <c r="J2384">
        <v>-491.85410000000002</v>
      </c>
      <c r="K2384">
        <v>1.111167</v>
      </c>
      <c r="L2384">
        <v>263.29820000000001</v>
      </c>
      <c r="M2384">
        <v>-0.16687829999999901</v>
      </c>
      <c r="N2384">
        <v>0</v>
      </c>
      <c r="O2384">
        <v>-0.9859</v>
      </c>
      <c r="P2384">
        <v>-7.2144949999999999E-2</v>
      </c>
      <c r="Q2384">
        <v>-2.0709970000000001E-2</v>
      </c>
      <c r="R2384">
        <v>-0.99717940000000005</v>
      </c>
      <c r="S2384">
        <v>-0.15978999999999999</v>
      </c>
      <c r="T2384">
        <v>-7.5008149999999996E-2</v>
      </c>
      <c r="U2384">
        <v>-2.9953919999999998</v>
      </c>
      <c r="V2384">
        <v>-9.5274360000000002E-2</v>
      </c>
      <c r="W2384">
        <v>-8.5341459999999994E-3</v>
      </c>
      <c r="X2384">
        <v>0.99541449999999998</v>
      </c>
      <c r="Y2384">
        <v>-0.1141476</v>
      </c>
      <c r="Z2384">
        <v>2.4408409999999998E-2</v>
      </c>
      <c r="AA2384">
        <v>0.99316389999999999</v>
      </c>
      <c r="AB2384">
        <v>19</v>
      </c>
      <c r="AC2384">
        <v>-2.3477999999999999</v>
      </c>
      <c r="AD2384">
        <v>-1.111164242866</v>
      </c>
      <c r="AE2384">
        <v>-44.253999999999998</v>
      </c>
      <c r="AF2384">
        <v>-5.0675378763788403</v>
      </c>
      <c r="AG2384">
        <v>-1.111164242866</v>
      </c>
      <c r="AH2384">
        <v>43.997519196939997</v>
      </c>
      <c r="AI2384">
        <v>91.437208841069506</v>
      </c>
      <c r="AJ2384">
        <v>96.570250946779396</v>
      </c>
      <c r="AK2384">
        <v>44.3023286248958</v>
      </c>
      <c r="AL2384">
        <v>90.488976467973899</v>
      </c>
      <c r="AM2384">
        <v>95.467310645501399</v>
      </c>
      <c r="AN2384">
        <v>1.0000000310657999</v>
      </c>
    </row>
    <row r="2385" spans="1:40" x14ac:dyDescent="0.3">
      <c r="A2385" t="str">
        <f>"20200111160455346"</f>
        <v>20200111160455346</v>
      </c>
      <c r="B2385" t="str">
        <f>"1578729895343434"</f>
        <v>1578729895343434</v>
      </c>
      <c r="C2385" t="s">
        <v>40</v>
      </c>
      <c r="D2385">
        <v>5.6921730000000004</v>
      </c>
      <c r="E2385">
        <v>0.49295339999999999</v>
      </c>
      <c r="F2385" t="s">
        <v>56</v>
      </c>
      <c r="G2385">
        <v>-493.98419999999999</v>
      </c>
      <c r="H2385" s="1">
        <v>3.7196719999999998E-6</v>
      </c>
      <c r="I2385">
        <v>222.518</v>
      </c>
      <c r="J2385">
        <v>-491.8777</v>
      </c>
      <c r="K2385">
        <v>1.111191</v>
      </c>
      <c r="L2385">
        <v>263.1524</v>
      </c>
      <c r="M2385">
        <v>-0.1659446</v>
      </c>
      <c r="N2385">
        <v>0</v>
      </c>
      <c r="O2385">
        <v>-0.9860582</v>
      </c>
      <c r="P2385">
        <v>-7.1341539999999995E-2</v>
      </c>
      <c r="Q2385">
        <v>-1.9820000000000001E-2</v>
      </c>
      <c r="R2385">
        <v>-0.99725509999999995</v>
      </c>
      <c r="S2385">
        <v>-0.15646360000000001</v>
      </c>
      <c r="T2385">
        <v>-8.1620570000000003E-2</v>
      </c>
      <c r="U2385">
        <v>-2.995514</v>
      </c>
      <c r="V2385">
        <v>-9.5137360000000004E-2</v>
      </c>
      <c r="W2385">
        <v>-7.7004650000000001E-3</v>
      </c>
      <c r="X2385">
        <v>0.99543429999999999</v>
      </c>
      <c r="Y2385">
        <v>-0.1143115</v>
      </c>
      <c r="Z2385">
        <v>2.656449E-2</v>
      </c>
      <c r="AA2385">
        <v>0.99308969999999996</v>
      </c>
      <c r="AB2385">
        <v>19</v>
      </c>
      <c r="AC2385">
        <v>-2.1064999999999801</v>
      </c>
      <c r="AD2385">
        <v>-1.1111872803280001</v>
      </c>
      <c r="AE2385">
        <v>-40.634399999999999</v>
      </c>
      <c r="AF2385">
        <v>-4.6628039005328796</v>
      </c>
      <c r="AG2385">
        <v>-1.1111872803280001</v>
      </c>
      <c r="AH2385">
        <v>40.390386862476198</v>
      </c>
      <c r="AI2385">
        <v>91.565485118457104</v>
      </c>
      <c r="AJ2385">
        <v>96.585268930047505</v>
      </c>
      <c r="AK2385">
        <v>40.673822395826903</v>
      </c>
      <c r="AL2385">
        <v>90.441208536138603</v>
      </c>
      <c r="AM2385">
        <v>95.459388509374605</v>
      </c>
      <c r="AN2385">
        <v>0.99999993002273502</v>
      </c>
    </row>
    <row r="2386" spans="1:40" x14ac:dyDescent="0.3">
      <c r="A2386" t="str">
        <f>"20200111160455358"</f>
        <v>20200111160455358</v>
      </c>
      <c r="B2386" t="str">
        <f>"1578729895353194"</f>
        <v>1578729895353194</v>
      </c>
      <c r="C2386" t="s">
        <v>40</v>
      </c>
      <c r="D2386">
        <v>5.695233</v>
      </c>
      <c r="E2386">
        <v>0.49301089999999997</v>
      </c>
      <c r="F2386" t="s">
        <v>41</v>
      </c>
      <c r="G2386">
        <v>-493.42039999999997</v>
      </c>
      <c r="H2386" s="1">
        <v>-2.5862229999999999E-6</v>
      </c>
      <c r="I2386">
        <v>233.49619999999999</v>
      </c>
      <c r="J2386">
        <v>-491.89569999999998</v>
      </c>
      <c r="K2386">
        <v>1.11121</v>
      </c>
      <c r="L2386">
        <v>263.04000000000002</v>
      </c>
      <c r="M2386">
        <v>-0.1652033</v>
      </c>
      <c r="N2386">
        <v>0</v>
      </c>
      <c r="O2386">
        <v>-0.98618320000000004</v>
      </c>
      <c r="P2386">
        <v>-7.0216420000000002E-2</v>
      </c>
      <c r="Q2386">
        <v>-1.9987499999999998E-2</v>
      </c>
      <c r="R2386">
        <v>-0.99733179999999999</v>
      </c>
      <c r="S2386">
        <v>-0.15579219999999999</v>
      </c>
      <c r="T2386">
        <v>-0.1122142</v>
      </c>
      <c r="U2386">
        <v>-2.9948429999999999</v>
      </c>
      <c r="V2386">
        <v>-9.551076E-2</v>
      </c>
      <c r="W2386">
        <v>-7.9086480000000008E-3</v>
      </c>
      <c r="X2386">
        <v>0.99539699999999998</v>
      </c>
      <c r="Y2386">
        <v>-0.1137914</v>
      </c>
      <c r="Z2386">
        <v>3.6526120000000002E-2</v>
      </c>
      <c r="AA2386">
        <v>0.99283299999999997</v>
      </c>
      <c r="AB2386">
        <v>19</v>
      </c>
      <c r="AC2386">
        <v>-1.52469999999999</v>
      </c>
      <c r="AD2386">
        <v>-1.111212586223</v>
      </c>
      <c r="AE2386">
        <v>-29.543800000000001</v>
      </c>
      <c r="AF2386">
        <v>-3.3725954891891798</v>
      </c>
      <c r="AG2386">
        <v>-1.111212586223</v>
      </c>
      <c r="AH2386">
        <v>29.348288846034901</v>
      </c>
      <c r="AI2386">
        <v>92.154187356903506</v>
      </c>
      <c r="AJ2386">
        <v>96.555460834356694</v>
      </c>
      <c r="AK2386">
        <v>29.562328256343001</v>
      </c>
      <c r="AL2386">
        <v>90.453136866870096</v>
      </c>
      <c r="AM2386">
        <v>95.480889706374001</v>
      </c>
      <c r="AN2386">
        <v>1.00000001979898</v>
      </c>
    </row>
    <row r="2387" spans="1:40" x14ac:dyDescent="0.3">
      <c r="A2387" t="str">
        <f>"20200111160455371"</f>
        <v>20200111160455371</v>
      </c>
      <c r="B2387" t="str">
        <f>"1578729895363933"</f>
        <v>1578729895363933</v>
      </c>
      <c r="C2387" t="s">
        <v>40</v>
      </c>
      <c r="D2387">
        <v>5.7413349999999896</v>
      </c>
      <c r="E2387">
        <v>0.49308429999999998</v>
      </c>
      <c r="F2387" t="s">
        <v>41</v>
      </c>
      <c r="G2387">
        <v>-493.2389</v>
      </c>
      <c r="H2387" s="1">
        <v>-3.8238270000000002E-6</v>
      </c>
      <c r="I2387">
        <v>236.535</v>
      </c>
      <c r="J2387">
        <v>-491.91320000000002</v>
      </c>
      <c r="K2387">
        <v>1.1112249999999999</v>
      </c>
      <c r="L2387">
        <v>262.93099999999998</v>
      </c>
      <c r="M2387">
        <v>-0.16447210000000001</v>
      </c>
      <c r="N2387">
        <v>0</v>
      </c>
      <c r="O2387">
        <v>-0.9863056</v>
      </c>
      <c r="P2387">
        <v>-6.9440440000000006E-2</v>
      </c>
      <c r="Q2387">
        <v>-1.9861719999999999E-2</v>
      </c>
      <c r="R2387">
        <v>-0.99738859999999996</v>
      </c>
      <c r="S2387">
        <v>-0.15176389999999901</v>
      </c>
      <c r="T2387">
        <v>-0.125558</v>
      </c>
      <c r="U2387">
        <v>-2.9948429999999999</v>
      </c>
      <c r="V2387">
        <v>-9.5547359999999998E-2</v>
      </c>
      <c r="W2387">
        <v>-7.8188549999999996E-3</v>
      </c>
      <c r="X2387">
        <v>0.99539420000000001</v>
      </c>
      <c r="Y2387">
        <v>-0.1143952</v>
      </c>
      <c r="Z2387">
        <v>4.0870009999999998E-2</v>
      </c>
      <c r="AA2387">
        <v>0.99259419999999998</v>
      </c>
      <c r="AB2387">
        <v>19</v>
      </c>
      <c r="AC2387">
        <v>-1.3256999999999799</v>
      </c>
      <c r="AD2387">
        <v>-1.1112288238269901</v>
      </c>
      <c r="AE2387">
        <v>-26.395999999999901</v>
      </c>
      <c r="AF2387">
        <v>-3.0287338343773098</v>
      </c>
      <c r="AG2387">
        <v>-1.1112288238269901</v>
      </c>
      <c r="AH2387">
        <v>26.208203721329099</v>
      </c>
      <c r="AI2387">
        <v>92.411856230315095</v>
      </c>
      <c r="AJ2387">
        <v>96.592106762212296</v>
      </c>
      <c r="AK2387">
        <v>26.406022048712501</v>
      </c>
      <c r="AL2387">
        <v>90.447991946551298</v>
      </c>
      <c r="AM2387">
        <v>95.4829925318639</v>
      </c>
      <c r="AN2387">
        <v>1.0000000229450601</v>
      </c>
    </row>
    <row r="2388" spans="1:40" x14ac:dyDescent="0.3">
      <c r="A2388" t="str">
        <f>"20200111160455384"</f>
        <v>20200111160455384</v>
      </c>
      <c r="B2388" t="str">
        <f>"1578729895373690"</f>
        <v>1578729895373690</v>
      </c>
      <c r="C2388" t="s">
        <v>40</v>
      </c>
      <c r="D2388">
        <v>5.6654710000000001</v>
      </c>
      <c r="E2388">
        <v>0.4931991</v>
      </c>
      <c r="F2388" t="s">
        <v>41</v>
      </c>
      <c r="G2388">
        <v>-493.12990000000002</v>
      </c>
      <c r="H2388" s="1">
        <v>-4.4969680000000003E-6</v>
      </c>
      <c r="I2388">
        <v>238.56989999999999</v>
      </c>
      <c r="J2388">
        <v>-491.93020000000001</v>
      </c>
      <c r="K2388">
        <v>1.1112390000000001</v>
      </c>
      <c r="L2388">
        <v>262.82369999999997</v>
      </c>
      <c r="M2388">
        <v>-0.1637441</v>
      </c>
      <c r="N2388">
        <v>0</v>
      </c>
      <c r="O2388">
        <v>-0.9864271</v>
      </c>
      <c r="P2388">
        <v>-6.8199319999999994E-2</v>
      </c>
      <c r="Q2388">
        <v>-1.9914999999999999E-2</v>
      </c>
      <c r="R2388">
        <v>-0.99747319999999995</v>
      </c>
      <c r="S2388">
        <v>-0.1495667</v>
      </c>
      <c r="T2388">
        <v>-0.13660549999999999</v>
      </c>
      <c r="U2388">
        <v>-2.9947509999999999</v>
      </c>
      <c r="V2388">
        <v>-9.6050399999999994E-2</v>
      </c>
      <c r="W2388">
        <v>-7.9071999999999996E-3</v>
      </c>
      <c r="X2388">
        <v>0.99534509999999998</v>
      </c>
      <c r="Y2388">
        <v>-0.1143946</v>
      </c>
      <c r="Z2388">
        <v>4.4469359999999999E-2</v>
      </c>
      <c r="AA2388">
        <v>0.99243959999999998</v>
      </c>
      <c r="AB2388">
        <v>19</v>
      </c>
      <c r="AC2388">
        <v>-1.1997</v>
      </c>
      <c r="AD2388">
        <v>-1.1112434969679901</v>
      </c>
      <c r="AE2388">
        <v>-24.253799999999899</v>
      </c>
      <c r="AF2388">
        <v>-2.7823818239889002</v>
      </c>
      <c r="AG2388">
        <v>-1.1112434969679901</v>
      </c>
      <c r="AH2388">
        <v>24.0724418759158</v>
      </c>
      <c r="AI2388">
        <v>92.625583176309505</v>
      </c>
      <c r="AJ2388">
        <v>96.593201060263397</v>
      </c>
      <c r="AK2388">
        <v>24.258173232817001</v>
      </c>
      <c r="AL2388">
        <v>90.453053892819497</v>
      </c>
      <c r="AM2388">
        <v>95.511952438217705</v>
      </c>
      <c r="AN2388">
        <v>1.0000000356230001</v>
      </c>
    </row>
    <row r="2389" spans="1:40" x14ac:dyDescent="0.3">
      <c r="A2389" t="str">
        <f>"20200111160455402"</f>
        <v>20200111160455402</v>
      </c>
      <c r="B2389" t="str">
        <f>"1578729895393209"</f>
        <v>1578729895393209</v>
      </c>
      <c r="C2389" t="s">
        <v>40</v>
      </c>
      <c r="D2389">
        <v>6.037039</v>
      </c>
      <c r="E2389">
        <v>0.49262319999999998</v>
      </c>
      <c r="F2389" t="s">
        <v>41</v>
      </c>
      <c r="G2389">
        <v>-493.0299</v>
      </c>
      <c r="H2389" s="1">
        <v>-1.0931500000000001E-6</v>
      </c>
      <c r="I2389">
        <v>240.25800000000001</v>
      </c>
      <c r="J2389">
        <v>-491.95650000000001</v>
      </c>
      <c r="K2389">
        <v>1.1112580000000001</v>
      </c>
      <c r="L2389">
        <v>262.65710000000001</v>
      </c>
      <c r="M2389">
        <v>-0.16258120000000001</v>
      </c>
      <c r="N2389">
        <v>0</v>
      </c>
      <c r="O2389">
        <v>-0.9866201</v>
      </c>
      <c r="P2389">
        <v>-6.614457E-2</v>
      </c>
      <c r="Q2389">
        <v>-1.980175E-2</v>
      </c>
      <c r="R2389">
        <v>-0.9976138</v>
      </c>
      <c r="S2389">
        <v>-0.14593510000000001</v>
      </c>
      <c r="T2389">
        <v>-0.14747249999999901</v>
      </c>
      <c r="U2389">
        <v>-2.9946899999999999</v>
      </c>
      <c r="V2389">
        <v>-9.6927029999999997E-2</v>
      </c>
      <c r="W2389">
        <v>-7.847662E-3</v>
      </c>
      <c r="X2389">
        <v>0.99526049999999999</v>
      </c>
      <c r="Y2389">
        <v>-0.1144309</v>
      </c>
      <c r="Z2389">
        <v>4.8015160000000001E-2</v>
      </c>
      <c r="AA2389">
        <v>0.99227019999999999</v>
      </c>
      <c r="AB2389">
        <v>19</v>
      </c>
      <c r="AC2389">
        <v>-1.0733999999999899</v>
      </c>
      <c r="AD2389">
        <v>-1.1112590931499999</v>
      </c>
      <c r="AE2389">
        <v>-22.399100000000001</v>
      </c>
      <c r="AF2389">
        <v>-2.57649876888394</v>
      </c>
      <c r="AG2389">
        <v>-1.1112590931499999</v>
      </c>
      <c r="AH2389">
        <v>22.220999005206099</v>
      </c>
      <c r="AI2389">
        <v>92.843921537879396</v>
      </c>
      <c r="AJ2389">
        <v>96.613844811794607</v>
      </c>
      <c r="AK2389">
        <v>22.397456093662498</v>
      </c>
      <c r="AL2389">
        <v>90.449642549967805</v>
      </c>
      <c r="AM2389">
        <v>95.562414551246505</v>
      </c>
      <c r="AN2389">
        <v>0.99999994890186705</v>
      </c>
    </row>
    <row r="2390" spans="1:40" x14ac:dyDescent="0.3">
      <c r="A2390" t="str">
        <f>"20200111160455416"</f>
        <v>20200111160455416</v>
      </c>
      <c r="B2390" t="str">
        <f>"1578729895413705"</f>
        <v>1578729895413705</v>
      </c>
      <c r="C2390" t="s">
        <v>40</v>
      </c>
      <c r="D2390">
        <v>5.7521180000000003</v>
      </c>
      <c r="E2390">
        <v>0.49213669999999998</v>
      </c>
      <c r="F2390" t="s">
        <v>41</v>
      </c>
      <c r="G2390">
        <v>-492.91379999999998</v>
      </c>
      <c r="H2390" s="1">
        <v>-1.57727999999999E-6</v>
      </c>
      <c r="I2390">
        <v>241.45859999999999</v>
      </c>
      <c r="J2390">
        <v>-491.97370000000001</v>
      </c>
      <c r="K2390">
        <v>1.11127</v>
      </c>
      <c r="L2390">
        <v>262.54730000000001</v>
      </c>
      <c r="M2390">
        <v>-0.16179350000000001</v>
      </c>
      <c r="N2390">
        <v>0</v>
      </c>
      <c r="O2390">
        <v>-0.98675000000000002</v>
      </c>
      <c r="P2390">
        <v>-6.4952689999999993E-2</v>
      </c>
      <c r="Q2390">
        <v>-1.9806810000000001E-2</v>
      </c>
      <c r="R2390">
        <v>-0.99769200000000002</v>
      </c>
      <c r="S2390">
        <v>-0.13525390000000001</v>
      </c>
      <c r="T2390">
        <v>-0.1570085</v>
      </c>
      <c r="U2390">
        <v>-2.995117</v>
      </c>
      <c r="V2390">
        <v>-9.7321350000000001E-2</v>
      </c>
      <c r="W2390">
        <v>-7.8871549999999999E-3</v>
      </c>
      <c r="X2390">
        <v>0.99522169999999999</v>
      </c>
      <c r="Y2390">
        <v>-0.11718199999999999</v>
      </c>
      <c r="Z2390">
        <v>5.1110429999999998E-2</v>
      </c>
      <c r="AA2390">
        <v>0.99179439999999996</v>
      </c>
      <c r="AB2390">
        <v>19</v>
      </c>
      <c r="AC2390">
        <v>-0.94009999999997196</v>
      </c>
      <c r="AD2390">
        <v>-1.1112715772799999</v>
      </c>
      <c r="AE2390">
        <v>-21.088699999999999</v>
      </c>
      <c r="AF2390">
        <v>-2.4776875660951698</v>
      </c>
      <c r="AG2390">
        <v>-1.1112715772799999</v>
      </c>
      <c r="AH2390">
        <v>20.904987445694701</v>
      </c>
      <c r="AI2390">
        <v>93.021766457689495</v>
      </c>
      <c r="AJ2390">
        <v>96.759241739465907</v>
      </c>
      <c r="AK2390">
        <v>21.080615747608199</v>
      </c>
      <c r="AL2390">
        <v>90.451905405334998</v>
      </c>
      <c r="AM2390">
        <v>95.585117228567498</v>
      </c>
      <c r="AN2390">
        <v>0.99999994226535105</v>
      </c>
    </row>
    <row r="2391" spans="1:40" x14ac:dyDescent="0.3">
      <c r="A2391" t="str">
        <f>"20200111160455436"</f>
        <v>20200111160455436</v>
      </c>
      <c r="B2391" t="str">
        <f>"1578729895433225"</f>
        <v>1578729895433225</v>
      </c>
      <c r="C2391" t="s">
        <v>40</v>
      </c>
      <c r="D2391">
        <v>5.6303939999999999</v>
      </c>
      <c r="E2391">
        <v>0.49192910000000001</v>
      </c>
      <c r="F2391" t="s">
        <v>41</v>
      </c>
      <c r="G2391">
        <v>-492.83800000000002</v>
      </c>
      <c r="H2391" s="1">
        <v>-1.867872E-6</v>
      </c>
      <c r="I2391">
        <v>242.18299999999999</v>
      </c>
      <c r="J2391">
        <v>-491.99869999999999</v>
      </c>
      <c r="K2391">
        <v>1.111281</v>
      </c>
      <c r="L2391">
        <v>262.38580000000002</v>
      </c>
      <c r="M2391">
        <v>-0.16061529999999999</v>
      </c>
      <c r="N2391">
        <v>0</v>
      </c>
      <c r="O2391">
        <v>-0.98694300000000001</v>
      </c>
      <c r="P2391">
        <v>-6.3219310000000001E-2</v>
      </c>
      <c r="Q2391">
        <v>-1.9406639999999999E-2</v>
      </c>
      <c r="R2391">
        <v>-0.99781140000000001</v>
      </c>
      <c r="S2391">
        <v>-0.1271362</v>
      </c>
      <c r="T2391">
        <v>-0.16345699999999999</v>
      </c>
      <c r="U2391">
        <v>-2.9953919999999998</v>
      </c>
      <c r="V2391">
        <v>-9.7863560000000002E-2</v>
      </c>
      <c r="W2391">
        <v>-7.5431919999999998E-3</v>
      </c>
      <c r="X2391">
        <v>0.99517120000000003</v>
      </c>
      <c r="Y2391">
        <v>-0.1186874</v>
      </c>
      <c r="Z2391">
        <v>5.3212540000000003E-2</v>
      </c>
      <c r="AA2391">
        <v>0.99150479999999996</v>
      </c>
      <c r="AB2391">
        <v>19</v>
      </c>
      <c r="AC2391">
        <v>-0.83930000000003602</v>
      </c>
      <c r="AD2391">
        <v>-1.1112828678719999</v>
      </c>
      <c r="AE2391">
        <v>-20.2028</v>
      </c>
      <c r="AF2391">
        <v>-2.40943656384664</v>
      </c>
      <c r="AG2391">
        <v>-1.1112828678719999</v>
      </c>
      <c r="AH2391">
        <v>20.014829854534799</v>
      </c>
      <c r="AI2391">
        <v>93.155235037602395</v>
      </c>
      <c r="AJ2391">
        <v>96.864380657877405</v>
      </c>
      <c r="AK2391">
        <v>20.189941760035001</v>
      </c>
      <c r="AL2391">
        <v>90.432197187404199</v>
      </c>
      <c r="AM2391">
        <v>95.616318585200105</v>
      </c>
      <c r="AN2391">
        <v>0.99999994671542902</v>
      </c>
    </row>
    <row r="2392" spans="1:40" x14ac:dyDescent="0.3">
      <c r="A2392" t="str">
        <f>"20200111160455458"</f>
        <v>20200111160455458</v>
      </c>
      <c r="B2392" t="str">
        <f>"1578729895453722"</f>
        <v>1578729895453722</v>
      </c>
      <c r="C2392" t="s">
        <v>40</v>
      </c>
      <c r="D2392">
        <v>5.6352129999999896</v>
      </c>
      <c r="E2392">
        <v>0.49172480000000002</v>
      </c>
      <c r="F2392" t="s">
        <v>41</v>
      </c>
      <c r="G2392">
        <v>-492.79559999999998</v>
      </c>
      <c r="H2392" s="1">
        <v>-2.0036850000000002E-6</v>
      </c>
      <c r="I2392">
        <v>242.5258</v>
      </c>
      <c r="J2392">
        <v>-492.0283</v>
      </c>
      <c r="K2392">
        <v>1.1112899999999999</v>
      </c>
      <c r="L2392">
        <v>262.19319999999999</v>
      </c>
      <c r="M2392">
        <v>-0.159170899999999</v>
      </c>
      <c r="N2392">
        <v>0</v>
      </c>
      <c r="O2392">
        <v>-0.987178</v>
      </c>
      <c r="P2392">
        <v>-6.0889060000000002E-2</v>
      </c>
      <c r="Q2392">
        <v>-1.929554E-2</v>
      </c>
      <c r="R2392">
        <v>-0.99795829999999996</v>
      </c>
      <c r="S2392">
        <v>-0.1202087</v>
      </c>
      <c r="T2392">
        <v>-0.1676252</v>
      </c>
      <c r="U2392">
        <v>-2.9956670000000001</v>
      </c>
      <c r="V2392">
        <v>-9.8730509999999994E-2</v>
      </c>
      <c r="W2392">
        <v>-7.5127730000000004E-3</v>
      </c>
      <c r="X2392">
        <v>0.99508580000000002</v>
      </c>
      <c r="Y2392">
        <v>-0.11953</v>
      </c>
      <c r="Z2392">
        <v>5.4579610000000001E-2</v>
      </c>
      <c r="AA2392">
        <v>0.99132929999999997</v>
      </c>
      <c r="AB2392">
        <v>19</v>
      </c>
      <c r="AC2392">
        <v>-0.767299999999977</v>
      </c>
      <c r="AD2392">
        <v>-1.11129200368499</v>
      </c>
      <c r="AE2392">
        <v>-19.667399999999901</v>
      </c>
      <c r="AF2392">
        <v>-2.3656458222873198</v>
      </c>
      <c r="AG2392">
        <v>-1.11129200368499</v>
      </c>
      <c r="AH2392">
        <v>19.476676124617899</v>
      </c>
      <c r="AI2392">
        <v>93.241843823018698</v>
      </c>
      <c r="AJ2392">
        <v>96.925248804726294</v>
      </c>
      <c r="AK2392">
        <v>19.651263647338901</v>
      </c>
      <c r="AL2392">
        <v>90.4304542551764</v>
      </c>
      <c r="AM2392">
        <v>95.666232994580497</v>
      </c>
      <c r="AN2392">
        <v>0.99999995236232297</v>
      </c>
    </row>
    <row r="2393" spans="1:40" x14ac:dyDescent="0.3">
      <c r="A2393" t="str">
        <f>"20200111160455470"</f>
        <v>20200111160455470</v>
      </c>
      <c r="B2393" t="str">
        <f>"1578729895463482"</f>
        <v>1578729895463482</v>
      </c>
      <c r="C2393" t="s">
        <v>40</v>
      </c>
      <c r="D2393">
        <v>5.6330619999999998</v>
      </c>
      <c r="E2393">
        <v>0.49168210000000001</v>
      </c>
      <c r="F2393" t="s">
        <v>41</v>
      </c>
      <c r="G2393">
        <v>-492.73820000000001</v>
      </c>
      <c r="H2393" s="1">
        <v>-2.219344E-6</v>
      </c>
      <c r="I2393">
        <v>243.0642</v>
      </c>
      <c r="J2393">
        <v>-492.04489999999998</v>
      </c>
      <c r="K2393">
        <v>1.1112949999999999</v>
      </c>
      <c r="L2393">
        <v>262.08409999999998</v>
      </c>
      <c r="M2393">
        <v>-0.15833549999999999</v>
      </c>
      <c r="N2393">
        <v>0</v>
      </c>
      <c r="O2393">
        <v>-0.987313</v>
      </c>
      <c r="P2393">
        <v>-5.9594920000000003E-2</v>
      </c>
      <c r="Q2393">
        <v>-1.9199219999999999E-2</v>
      </c>
      <c r="R2393">
        <v>-0.9980386</v>
      </c>
      <c r="S2393">
        <v>-0.1111755</v>
      </c>
      <c r="T2393">
        <v>-0.17404990000000001</v>
      </c>
      <c r="U2393">
        <v>-2.9959720000000001</v>
      </c>
      <c r="V2393">
        <v>-9.9178939999999993E-2</v>
      </c>
      <c r="W2393">
        <v>-7.4668240000000004E-3</v>
      </c>
      <c r="X2393">
        <v>0.99504159999999997</v>
      </c>
      <c r="Y2393">
        <v>-0.12168229999999999</v>
      </c>
      <c r="Z2393">
        <v>5.6666189999999998E-2</v>
      </c>
      <c r="AA2393">
        <v>0.9909502</v>
      </c>
      <c r="AB2393">
        <v>19</v>
      </c>
      <c r="AC2393">
        <v>-0.69330000000002101</v>
      </c>
      <c r="AD2393">
        <v>-1.1112972193440001</v>
      </c>
      <c r="AE2393">
        <v>-19.0198999999999</v>
      </c>
      <c r="AF2393">
        <v>-2.31928040685297</v>
      </c>
      <c r="AG2393">
        <v>-1.1112972193440001</v>
      </c>
      <c r="AH2393">
        <v>18.825536125928199</v>
      </c>
      <c r="AI2393">
        <v>93.353036229406598</v>
      </c>
      <c r="AJ2393">
        <v>97.0233713227029</v>
      </c>
      <c r="AK2393">
        <v>19.000390878715098</v>
      </c>
      <c r="AL2393">
        <v>90.427821476766397</v>
      </c>
      <c r="AM2393">
        <v>95.692051362558402</v>
      </c>
      <c r="AN2393">
        <v>1.00000000066536</v>
      </c>
    </row>
    <row r="2394" spans="1:40" x14ac:dyDescent="0.3">
      <c r="A2394" t="str">
        <f>"20200111160455483"</f>
        <v>20200111160455483</v>
      </c>
      <c r="B2394" t="str">
        <f>"1578729895473241"</f>
        <v>1578729895473241</v>
      </c>
      <c r="C2394" t="s">
        <v>40</v>
      </c>
      <c r="D2394">
        <v>5.6333929999999999</v>
      </c>
      <c r="E2394">
        <v>0.49164609999999898</v>
      </c>
      <c r="F2394" t="s">
        <v>41</v>
      </c>
      <c r="G2394">
        <v>-492.71910000000003</v>
      </c>
      <c r="H2394" s="1">
        <v>-2.2675930000000001E-6</v>
      </c>
      <c r="I2394">
        <v>243.1884</v>
      </c>
      <c r="J2394">
        <v>-492.06110000000001</v>
      </c>
      <c r="K2394">
        <v>1.111297</v>
      </c>
      <c r="L2394">
        <v>261.97739999999999</v>
      </c>
      <c r="M2394">
        <v>-0.15750980000000001</v>
      </c>
      <c r="N2394">
        <v>0</v>
      </c>
      <c r="O2394">
        <v>-0.98744520000000002</v>
      </c>
      <c r="P2394">
        <v>-5.8548280000000001E-2</v>
      </c>
      <c r="Q2394">
        <v>-1.922546E-2</v>
      </c>
      <c r="R2394">
        <v>-0.99809919999999996</v>
      </c>
      <c r="S2394">
        <v>-0.1069031</v>
      </c>
      <c r="T2394">
        <v>-0.1762108</v>
      </c>
      <c r="U2394">
        <v>-2.9961549999999999</v>
      </c>
      <c r="V2394">
        <v>-9.9390019999999996E-2</v>
      </c>
      <c r="W2394">
        <v>-7.5433109999999996E-3</v>
      </c>
      <c r="X2394">
        <v>0.99502000000000002</v>
      </c>
      <c r="Y2394">
        <v>-0.1222671</v>
      </c>
      <c r="Z2394">
        <v>5.737478E-2</v>
      </c>
      <c r="AA2394">
        <v>0.99083750000000004</v>
      </c>
      <c r="AB2394">
        <v>19</v>
      </c>
      <c r="AC2394">
        <v>-0.65800000000001502</v>
      </c>
      <c r="AD2394">
        <v>-1.111299267593</v>
      </c>
      <c r="AE2394">
        <v>-18.788999999999898</v>
      </c>
      <c r="AF2394">
        <v>-2.3018348348831101</v>
      </c>
      <c r="AG2394">
        <v>-1.111299267593</v>
      </c>
      <c r="AH2394">
        <v>18.593115777982799</v>
      </c>
      <c r="AI2394">
        <v>93.394611242623895</v>
      </c>
      <c r="AJ2394">
        <v>97.057330766973493</v>
      </c>
      <c r="AK2394">
        <v>18.767988277988302</v>
      </c>
      <c r="AL2394">
        <v>90.432203965906297</v>
      </c>
      <c r="AM2394">
        <v>95.704208815999394</v>
      </c>
      <c r="AN2394">
        <v>1.00000003900822</v>
      </c>
    </row>
    <row r="2395" spans="1:40" x14ac:dyDescent="0.3">
      <c r="A2395" t="str">
        <f>"20200111160455495"</f>
        <v>20200111160455495</v>
      </c>
      <c r="B2395" t="str">
        <f>"1578729895493737"</f>
        <v>1578729895493737</v>
      </c>
      <c r="C2395" t="s">
        <v>40</v>
      </c>
      <c r="D2395">
        <v>5.8121799999999997</v>
      </c>
      <c r="E2395">
        <v>0.49149520000000002</v>
      </c>
      <c r="F2395" t="s">
        <v>41</v>
      </c>
      <c r="G2395">
        <v>-492.70639999999997</v>
      </c>
      <c r="H2395" s="1">
        <v>-2.3045469999999999E-6</v>
      </c>
      <c r="I2395">
        <v>243.2825</v>
      </c>
      <c r="J2395">
        <v>-492.07709999999997</v>
      </c>
      <c r="K2395">
        <v>1.1112930000000001</v>
      </c>
      <c r="L2395">
        <v>261.87119999999999</v>
      </c>
      <c r="M2395">
        <v>-0.15667320000000001</v>
      </c>
      <c r="N2395">
        <v>0</v>
      </c>
      <c r="O2395">
        <v>-0.98757919999999999</v>
      </c>
      <c r="P2395">
        <v>-5.7330220000000001E-2</v>
      </c>
      <c r="Q2395">
        <v>-1.9318249999999999E-2</v>
      </c>
      <c r="R2395">
        <v>-0.99816839999999996</v>
      </c>
      <c r="S2395">
        <v>-0.1034241</v>
      </c>
      <c r="T2395">
        <v>-0.1781065</v>
      </c>
      <c r="U2395">
        <v>-2.996216</v>
      </c>
      <c r="V2395">
        <v>-9.9759979999999998E-2</v>
      </c>
      <c r="W2395">
        <v>-7.6924669999999997E-3</v>
      </c>
      <c r="X2395">
        <v>0.99498180000000003</v>
      </c>
      <c r="Y2395">
        <v>-0.12257709999999999</v>
      </c>
      <c r="Z2395">
        <v>5.8000540000000003E-2</v>
      </c>
      <c r="AA2395">
        <v>0.9907627</v>
      </c>
      <c r="AB2395">
        <v>19</v>
      </c>
      <c r="AC2395">
        <v>-0.62929999999999997</v>
      </c>
      <c r="AD2395">
        <v>-1.111295304547</v>
      </c>
      <c r="AE2395">
        <v>-18.5886999999999</v>
      </c>
      <c r="AF2395">
        <v>-2.2828790640439198</v>
      </c>
      <c r="AG2395">
        <v>-1.111295304547</v>
      </c>
      <c r="AH2395">
        <v>18.392048788413501</v>
      </c>
      <c r="AI2395">
        <v>93.431486760380807</v>
      </c>
      <c r="AJ2395">
        <v>97.075544240646195</v>
      </c>
      <c r="AK2395">
        <v>18.566474428666901</v>
      </c>
      <c r="AL2395">
        <v>90.440750237844398</v>
      </c>
      <c r="AM2395">
        <v>95.725519171972905</v>
      </c>
      <c r="AN2395">
        <v>1.00000000499469</v>
      </c>
    </row>
    <row r="2396" spans="1:40" x14ac:dyDescent="0.3">
      <c r="A2396" t="str">
        <f>"20200111160455513"</f>
        <v>20200111160455513</v>
      </c>
      <c r="B2396" t="str">
        <f>"1578729895503497"</f>
        <v>1578729895503497</v>
      </c>
      <c r="C2396" t="s">
        <v>40</v>
      </c>
      <c r="D2396">
        <v>6.5690379999999999</v>
      </c>
      <c r="E2396">
        <v>0.49142609999999998</v>
      </c>
      <c r="F2396" t="s">
        <v>41</v>
      </c>
      <c r="G2396">
        <v>-492.68299999999999</v>
      </c>
      <c r="H2396" s="1">
        <v>-2.3610910000000001E-6</v>
      </c>
      <c r="I2396">
        <v>243.4288</v>
      </c>
      <c r="J2396">
        <v>-492.09910000000002</v>
      </c>
      <c r="K2396">
        <v>1.111281</v>
      </c>
      <c r="L2396">
        <v>261.72320000000002</v>
      </c>
      <c r="M2396">
        <v>-0.155496</v>
      </c>
      <c r="N2396">
        <v>0</v>
      </c>
      <c r="O2396">
        <v>-0.98776620000000004</v>
      </c>
      <c r="P2396">
        <v>-5.5730099999999901E-2</v>
      </c>
      <c r="Q2396">
        <v>-1.9486509999999999E-2</v>
      </c>
      <c r="R2396">
        <v>-0.99825600000000003</v>
      </c>
      <c r="S2396">
        <v>-9.8449709999999996E-2</v>
      </c>
      <c r="T2396">
        <v>-0.18055389999999999</v>
      </c>
      <c r="U2396">
        <v>-2.9963679999999999</v>
      </c>
      <c r="V2396">
        <v>-0.1001678</v>
      </c>
      <c r="W2396">
        <v>-7.9460580000000006E-3</v>
      </c>
      <c r="X2396">
        <v>0.99493889999999996</v>
      </c>
      <c r="Y2396">
        <v>-0.12304030000000001</v>
      </c>
      <c r="Z2396">
        <v>5.8808319999999997E-2</v>
      </c>
      <c r="AA2396">
        <v>0.99065769999999997</v>
      </c>
      <c r="AB2396">
        <v>19</v>
      </c>
      <c r="AC2396">
        <v>-0.58390000000002795</v>
      </c>
      <c r="AD2396">
        <v>-1.111283361091</v>
      </c>
      <c r="AE2396">
        <v>-18.2944</v>
      </c>
      <c r="AF2396">
        <v>-2.2597770549763498</v>
      </c>
      <c r="AG2396">
        <v>-1.111283361091</v>
      </c>
      <c r="AH2396">
        <v>18.095941715842699</v>
      </c>
      <c r="AI2396">
        <v>93.487140171047201</v>
      </c>
      <c r="AJ2396">
        <v>97.118108900911196</v>
      </c>
      <c r="AK2396">
        <v>18.270321552452501</v>
      </c>
      <c r="AL2396">
        <v>90.455280345815396</v>
      </c>
      <c r="AM2396">
        <v>95.749014924402502</v>
      </c>
      <c r="AN2396">
        <v>1.0000000713638899</v>
      </c>
    </row>
    <row r="2397" spans="1:40" x14ac:dyDescent="0.3">
      <c r="A2397" t="str">
        <f>"20200111160455525"</f>
        <v>20200111160455525</v>
      </c>
      <c r="B2397" t="str">
        <f>"1578729895513258"</f>
        <v>1578729895513258</v>
      </c>
      <c r="C2397" t="s">
        <v>40</v>
      </c>
      <c r="D2397">
        <v>5.6773759999999998</v>
      </c>
      <c r="E2397">
        <v>0.4913399</v>
      </c>
      <c r="F2397" t="s">
        <v>41</v>
      </c>
      <c r="G2397">
        <v>-492.67750000000001</v>
      </c>
      <c r="H2397" s="1">
        <v>-2.2665109999999999E-6</v>
      </c>
      <c r="I2397">
        <v>243.21170000000001</v>
      </c>
      <c r="J2397">
        <v>-492.1148</v>
      </c>
      <c r="K2397">
        <v>1.1112789999999999</v>
      </c>
      <c r="L2397">
        <v>261.61770000000001</v>
      </c>
      <c r="M2397">
        <v>-0.154648799999999</v>
      </c>
      <c r="N2397">
        <v>0</v>
      </c>
      <c r="O2397">
        <v>-0.9879</v>
      </c>
      <c r="P2397">
        <v>-5.4992239999999998E-2</v>
      </c>
      <c r="Q2397">
        <v>-2.0025999999999999E-2</v>
      </c>
      <c r="R2397">
        <v>-0.99828629999999996</v>
      </c>
      <c r="S2397">
        <v>-9.3627929999999998E-2</v>
      </c>
      <c r="T2397">
        <v>-0.1798854</v>
      </c>
      <c r="U2397">
        <v>-2.9964900000000001</v>
      </c>
      <c r="V2397">
        <v>-0.10004680000000001</v>
      </c>
      <c r="W2397">
        <v>-8.550106E-3</v>
      </c>
      <c r="X2397">
        <v>0.994946</v>
      </c>
      <c r="Y2397">
        <v>-0.1237824</v>
      </c>
      <c r="Z2397">
        <v>5.859959E-2</v>
      </c>
      <c r="AA2397">
        <v>0.99057759999999995</v>
      </c>
      <c r="AB2397">
        <v>19</v>
      </c>
      <c r="AC2397">
        <v>-0.56270000000000597</v>
      </c>
      <c r="AD2397">
        <v>-1.1112812665109999</v>
      </c>
      <c r="AE2397">
        <v>-18.405999999999999</v>
      </c>
      <c r="AF2397">
        <v>-2.2824195350996699</v>
      </c>
      <c r="AG2397">
        <v>-1.1112812665109999</v>
      </c>
      <c r="AH2397">
        <v>18.205261973862001</v>
      </c>
      <c r="AI2397">
        <v>93.466034663508296</v>
      </c>
      <c r="AJ2397">
        <v>97.145968760597</v>
      </c>
      <c r="AK2397">
        <v>18.3814022458693</v>
      </c>
      <c r="AL2397">
        <v>90.489890954862901</v>
      </c>
      <c r="AM2397">
        <v>95.742076002174002</v>
      </c>
      <c r="AN2397">
        <v>1.00000000470942</v>
      </c>
    </row>
    <row r="2398" spans="1:40" x14ac:dyDescent="0.3">
      <c r="A2398" t="str">
        <f>"20200111160455537"</f>
        <v>20200111160455537</v>
      </c>
      <c r="B2398" t="str">
        <f>"1578729895533755"</f>
        <v>1578729895533755</v>
      </c>
      <c r="C2398" t="s">
        <v>40</v>
      </c>
      <c r="D2398">
        <v>5.7409379999999999</v>
      </c>
      <c r="E2398">
        <v>0.49133569999999999</v>
      </c>
      <c r="F2398" t="s">
        <v>41</v>
      </c>
      <c r="G2398">
        <v>-492.6696</v>
      </c>
      <c r="H2398" s="1">
        <v>-2.2789919999999999E-6</v>
      </c>
      <c r="I2398">
        <v>243.2457</v>
      </c>
      <c r="J2398">
        <v>-492.13060000000002</v>
      </c>
      <c r="K2398">
        <v>1.1112770000000001</v>
      </c>
      <c r="L2398">
        <v>261.51029999999997</v>
      </c>
      <c r="M2398">
        <v>-0.153775</v>
      </c>
      <c r="N2398">
        <v>0</v>
      </c>
      <c r="O2398">
        <v>-0.98803719999999995</v>
      </c>
      <c r="P2398">
        <v>-5.409655E-2</v>
      </c>
      <c r="Q2398">
        <v>-2.045454E-2</v>
      </c>
      <c r="R2398">
        <v>-0.99832639999999995</v>
      </c>
      <c r="S2398">
        <v>-9.0484620000000002E-2</v>
      </c>
      <c r="T2398">
        <v>-0.18125269999999999</v>
      </c>
      <c r="U2398">
        <v>-2.996521</v>
      </c>
      <c r="V2398">
        <v>-0.1000568</v>
      </c>
      <c r="W2398">
        <v>-9.0501139999999997E-3</v>
      </c>
      <c r="X2398">
        <v>0.99494059999999995</v>
      </c>
      <c r="Y2398">
        <v>-0.12394380000000001</v>
      </c>
      <c r="Z2398">
        <v>5.9055450000000002E-2</v>
      </c>
      <c r="AA2398">
        <v>0.99053040000000003</v>
      </c>
      <c r="AB2398">
        <v>19</v>
      </c>
      <c r="AC2398">
        <v>-0.53899999999998705</v>
      </c>
      <c r="AD2398">
        <v>-1.1112792789920001</v>
      </c>
      <c r="AE2398">
        <v>-18.264599999999898</v>
      </c>
      <c r="AF2398">
        <v>-2.2678532205687598</v>
      </c>
      <c r="AG2398">
        <v>-1.1112792789920001</v>
      </c>
      <c r="AH2398">
        <v>18.0634085486133</v>
      </c>
      <c r="AI2398">
        <v>93.493103671635794</v>
      </c>
      <c r="AJ2398">
        <v>97.156017998227</v>
      </c>
      <c r="AK2398">
        <v>18.2391016297425</v>
      </c>
      <c r="AL2398">
        <v>90.518540398011993</v>
      </c>
      <c r="AM2398">
        <v>95.742677065003804</v>
      </c>
      <c r="AN2398">
        <v>1.0000000326589999</v>
      </c>
    </row>
    <row r="2399" spans="1:40" x14ac:dyDescent="0.3">
      <c r="A2399" t="str">
        <f>"20200111160455550"</f>
        <v>20200111160455550</v>
      </c>
      <c r="B2399" t="str">
        <f>"1578729895543514"</f>
        <v>1578729895543514</v>
      </c>
      <c r="C2399" t="s">
        <v>40</v>
      </c>
      <c r="D2399">
        <v>5.6747389999999998</v>
      </c>
      <c r="E2399">
        <v>0.49139169999999999</v>
      </c>
      <c r="F2399" t="s">
        <v>41</v>
      </c>
      <c r="G2399">
        <v>-492.66899999999998</v>
      </c>
      <c r="H2399" s="1">
        <v>-2.211939E-6</v>
      </c>
      <c r="I2399">
        <v>243.0898</v>
      </c>
      <c r="J2399">
        <v>-492.1465</v>
      </c>
      <c r="K2399">
        <v>1.11127</v>
      </c>
      <c r="L2399">
        <v>261.40159999999997</v>
      </c>
      <c r="M2399">
        <v>-0.15288579999999999</v>
      </c>
      <c r="N2399">
        <v>0</v>
      </c>
      <c r="O2399">
        <v>-0.98817600000000005</v>
      </c>
      <c r="P2399">
        <v>-5.352896E-2</v>
      </c>
      <c r="Q2399">
        <v>-2.05772E-2</v>
      </c>
      <c r="R2399">
        <v>-0.99835450000000003</v>
      </c>
      <c r="S2399">
        <v>-8.7585449999999995E-2</v>
      </c>
      <c r="T2399">
        <v>-0.18078060000000001</v>
      </c>
      <c r="U2399">
        <v>-2.996613</v>
      </c>
      <c r="V2399">
        <v>-9.9725930000000004E-2</v>
      </c>
      <c r="W2399">
        <v>-9.2443100000000004E-3</v>
      </c>
      <c r="X2399">
        <v>0.99497199999999997</v>
      </c>
      <c r="Y2399">
        <v>-0.12400890000000001</v>
      </c>
      <c r="Z2399">
        <v>5.8913409999999999E-2</v>
      </c>
      <c r="AA2399">
        <v>0.99053069999999999</v>
      </c>
      <c r="AB2399">
        <v>19</v>
      </c>
      <c r="AC2399">
        <v>-0.52250000000003605</v>
      </c>
      <c r="AD2399">
        <v>-1.1112722119389999</v>
      </c>
      <c r="AE2399">
        <v>-18.311799999999899</v>
      </c>
      <c r="AF2399">
        <v>-2.2750735330126401</v>
      </c>
      <c r="AG2399">
        <v>-1.1112722119389999</v>
      </c>
      <c r="AH2399">
        <v>18.109742691364801</v>
      </c>
      <c r="AI2399">
        <v>93.484133144388295</v>
      </c>
      <c r="AJ2399">
        <v>97.160388150435793</v>
      </c>
      <c r="AK2399">
        <v>18.285887067820401</v>
      </c>
      <c r="AL2399">
        <v>90.529667491903595</v>
      </c>
      <c r="AM2399">
        <v>95.723633919561607</v>
      </c>
      <c r="AN2399">
        <v>0.99999999958287</v>
      </c>
    </row>
    <row r="2400" spans="1:40" x14ac:dyDescent="0.3">
      <c r="A2400" t="str">
        <f>"20200111160455563"</f>
        <v>20200111160455563</v>
      </c>
      <c r="B2400" t="str">
        <f>"1578729895553274"</f>
        <v>1578729895553274</v>
      </c>
      <c r="C2400" t="s">
        <v>40</v>
      </c>
      <c r="D2400">
        <v>5.6201829999999999</v>
      </c>
      <c r="E2400">
        <v>0.4914463</v>
      </c>
      <c r="F2400" t="s">
        <v>41</v>
      </c>
      <c r="G2400">
        <v>-492.67160000000001</v>
      </c>
      <c r="H2400" s="1">
        <v>-2.2526959999999999E-6</v>
      </c>
      <c r="I2400">
        <v>243.1832</v>
      </c>
      <c r="J2400">
        <v>-492.16289999999998</v>
      </c>
      <c r="K2400">
        <v>1.111264</v>
      </c>
      <c r="L2400">
        <v>261.28890000000001</v>
      </c>
      <c r="M2400">
        <v>-0.15195819999999999</v>
      </c>
      <c r="N2400">
        <v>0</v>
      </c>
      <c r="O2400">
        <v>-0.98831959999999996</v>
      </c>
      <c r="P2400">
        <v>-5.2829300000000003E-2</v>
      </c>
      <c r="Q2400">
        <v>-2.0552379999999999E-2</v>
      </c>
      <c r="R2400">
        <v>-0.99839169999999999</v>
      </c>
      <c r="S2400">
        <v>-8.6364750000000004E-2</v>
      </c>
      <c r="T2400">
        <v>-0.1827811</v>
      </c>
      <c r="U2400">
        <v>-2.9965519999999999</v>
      </c>
      <c r="V2400">
        <v>-9.9489620000000001E-2</v>
      </c>
      <c r="W2400">
        <v>-9.2943969999999994E-3</v>
      </c>
      <c r="X2400">
        <v>0.99499519999999997</v>
      </c>
      <c r="Y2400">
        <v>-0.1234812</v>
      </c>
      <c r="Z2400">
        <v>5.9579519999999997E-2</v>
      </c>
      <c r="AA2400">
        <v>0.99055680000000002</v>
      </c>
      <c r="AB2400">
        <v>19</v>
      </c>
      <c r="AC2400">
        <v>-0.50870000000003202</v>
      </c>
      <c r="AD2400">
        <v>-1.111266252696</v>
      </c>
      <c r="AE2400">
        <v>-18.105699999999999</v>
      </c>
      <c r="AF2400">
        <v>-2.2402683991362702</v>
      </c>
      <c r="AG2400">
        <v>-1.111266252696</v>
      </c>
      <c r="AH2400">
        <v>17.905317526151698</v>
      </c>
      <c r="AI2400">
        <v>93.524014085387606</v>
      </c>
      <c r="AJ2400">
        <v>97.131644409571706</v>
      </c>
      <c r="AK2400">
        <v>18.079107027087002</v>
      </c>
      <c r="AL2400">
        <v>90.532537383806201</v>
      </c>
      <c r="AM2400">
        <v>95.710028699953099</v>
      </c>
      <c r="AN2400">
        <v>1.00000000916318</v>
      </c>
    </row>
    <row r="2401" spans="1:40" x14ac:dyDescent="0.3">
      <c r="A2401" t="str">
        <f>"20200111160455581"</f>
        <v>20200111160455581</v>
      </c>
      <c r="B2401" t="str">
        <f>"1578729895573769"</f>
        <v>1578729895573769</v>
      </c>
      <c r="C2401" t="s">
        <v>40</v>
      </c>
      <c r="D2401">
        <v>5.6993210000000003</v>
      </c>
      <c r="E2401">
        <v>0.49115140000000002</v>
      </c>
      <c r="F2401" t="s">
        <v>41</v>
      </c>
      <c r="G2401">
        <v>-492.67489999999998</v>
      </c>
      <c r="H2401" s="1">
        <v>-2.2660540000000002E-6</v>
      </c>
      <c r="I2401">
        <v>243.2123</v>
      </c>
      <c r="J2401">
        <v>-492.18459999999999</v>
      </c>
      <c r="K2401">
        <v>1.1112599999999999</v>
      </c>
      <c r="L2401">
        <v>261.1386</v>
      </c>
      <c r="M2401">
        <v>-0.1507077</v>
      </c>
      <c r="N2401">
        <v>0</v>
      </c>
      <c r="O2401">
        <v>-0.98851250000000002</v>
      </c>
      <c r="P2401">
        <v>-5.2046540000000002E-2</v>
      </c>
      <c r="Q2401">
        <v>-2.0962720000000001E-2</v>
      </c>
      <c r="R2401">
        <v>-0.9984248</v>
      </c>
      <c r="S2401">
        <v>-8.4869379999999994E-2</v>
      </c>
      <c r="T2401">
        <v>-0.18421609999999999</v>
      </c>
      <c r="U2401">
        <v>-2.9965820000000001</v>
      </c>
      <c r="V2401">
        <v>-9.900805E-2</v>
      </c>
      <c r="W2401">
        <v>-9.7992519999999996E-3</v>
      </c>
      <c r="X2401">
        <v>0.99503839999999999</v>
      </c>
      <c r="Y2401">
        <v>-0.12272039999999999</v>
      </c>
      <c r="Z2401">
        <v>6.0065809999999997E-2</v>
      </c>
      <c r="AA2401">
        <v>0.99062190000000006</v>
      </c>
      <c r="AB2401">
        <v>19</v>
      </c>
      <c r="AC2401">
        <v>-0.49029999999999002</v>
      </c>
      <c r="AD2401">
        <v>-1.1112622660539999</v>
      </c>
      <c r="AE2401">
        <v>-17.926299999999902</v>
      </c>
      <c r="AF2401">
        <v>-2.20862708502007</v>
      </c>
      <c r="AG2401">
        <v>-1.1112622660539999</v>
      </c>
      <c r="AH2401">
        <v>17.727349999327402</v>
      </c>
      <c r="AI2401">
        <v>93.559519761919901</v>
      </c>
      <c r="AJ2401">
        <v>97.101810679826997</v>
      </c>
      <c r="AK2401">
        <v>17.8989350360097</v>
      </c>
      <c r="AL2401">
        <v>90.561464757711704</v>
      </c>
      <c r="AM2401">
        <v>95.682326082061095</v>
      </c>
      <c r="AN2401">
        <v>1.0000000183895601</v>
      </c>
    </row>
    <row r="2402" spans="1:40" x14ac:dyDescent="0.3">
      <c r="A2402" t="str">
        <f>"20200111160455593"</f>
        <v>20200111160455593</v>
      </c>
      <c r="B2402" t="str">
        <f>"1578729895583529"</f>
        <v>1578729895583529</v>
      </c>
      <c r="C2402" t="s">
        <v>40</v>
      </c>
      <c r="D2402">
        <v>5.7472570000000003</v>
      </c>
      <c r="E2402">
        <v>0.49122189999999999</v>
      </c>
      <c r="F2402" t="s">
        <v>41</v>
      </c>
      <c r="G2402">
        <v>-492.68770000000001</v>
      </c>
      <c r="H2402" s="1">
        <v>-1.9130079999999999E-6</v>
      </c>
      <c r="I2402">
        <v>242.38140000000001</v>
      </c>
      <c r="J2402">
        <v>-492.19990000000001</v>
      </c>
      <c r="K2402">
        <v>1.111254</v>
      </c>
      <c r="L2402">
        <v>261.03120000000001</v>
      </c>
      <c r="M2402">
        <v>-0.1498062</v>
      </c>
      <c r="N2402">
        <v>0</v>
      </c>
      <c r="O2402">
        <v>-0.98865009999999998</v>
      </c>
      <c r="P2402">
        <v>-5.1422830000000003E-2</v>
      </c>
      <c r="Q2402">
        <v>-2.1076009999999999E-2</v>
      </c>
      <c r="R2402">
        <v>-0.99845450000000002</v>
      </c>
      <c r="S2402">
        <v>-8.0383300000000005E-2</v>
      </c>
      <c r="T2402">
        <v>-0.1775476</v>
      </c>
      <c r="U2402">
        <v>-2.9968569999999999</v>
      </c>
      <c r="V2402">
        <v>-9.8720799999999997E-2</v>
      </c>
      <c r="W2402">
        <v>-9.9782380000000004E-3</v>
      </c>
      <c r="X2402">
        <v>0.99506519999999998</v>
      </c>
      <c r="Y2402">
        <v>-0.12329619999999999</v>
      </c>
      <c r="Z2402">
        <v>5.7905060000000001E-2</v>
      </c>
      <c r="AA2402">
        <v>0.99067910000000003</v>
      </c>
      <c r="AB2402">
        <v>19</v>
      </c>
      <c r="AC2402">
        <v>-0.48779999999999202</v>
      </c>
      <c r="AD2402">
        <v>-1.111255913008</v>
      </c>
      <c r="AE2402">
        <v>-18.649799999999999</v>
      </c>
      <c r="AF2402">
        <v>-2.3035683119924002</v>
      </c>
      <c r="AG2402">
        <v>-1.111255913008</v>
      </c>
      <c r="AH2402">
        <v>18.446947301363501</v>
      </c>
      <c r="AI2402">
        <v>93.420863173631901</v>
      </c>
      <c r="AJ2402">
        <v>97.117982091580402</v>
      </c>
      <c r="AK2402">
        <v>18.623404130595802</v>
      </c>
      <c r="AL2402">
        <v>90.571720379348093</v>
      </c>
      <c r="AM2402">
        <v>95.665795883380696</v>
      </c>
      <c r="AN2402">
        <v>1.00000005691863</v>
      </c>
    </row>
    <row r="2403" spans="1:40" x14ac:dyDescent="0.3">
      <c r="A2403" t="str">
        <f>"20200111160455605"</f>
        <v>20200111160455605</v>
      </c>
      <c r="B2403" t="str">
        <f>"1578729895603050"</f>
        <v>1578729895603050</v>
      </c>
      <c r="C2403" t="s">
        <v>40</v>
      </c>
      <c r="D2403">
        <v>5.6373920000000002</v>
      </c>
      <c r="E2403">
        <v>0.49132629999999999</v>
      </c>
      <c r="F2403" t="s">
        <v>41</v>
      </c>
      <c r="G2403">
        <v>-492.69869999999997</v>
      </c>
      <c r="H2403" s="1">
        <v>-1.7876879999999999E-6</v>
      </c>
      <c r="I2403">
        <v>242.08250000000001</v>
      </c>
      <c r="J2403">
        <v>-492.21480000000003</v>
      </c>
      <c r="K2403">
        <v>1.1112519999999999</v>
      </c>
      <c r="L2403">
        <v>260.92649999999998</v>
      </c>
      <c r="M2403">
        <v>-0.14892359999999999</v>
      </c>
      <c r="N2403">
        <v>0</v>
      </c>
      <c r="O2403">
        <v>-0.98878440000000001</v>
      </c>
      <c r="P2403">
        <v>-5.0617290000000002E-2</v>
      </c>
      <c r="Q2403">
        <v>-2.1211819999999999E-2</v>
      </c>
      <c r="R2403">
        <v>-0.99849339999999998</v>
      </c>
      <c r="S2403">
        <v>-7.8887940000000004E-2</v>
      </c>
      <c r="T2403">
        <v>-0.17575170000000001</v>
      </c>
      <c r="U2403">
        <v>-2.9968569999999999</v>
      </c>
      <c r="V2403">
        <v>-9.8634250000000007E-2</v>
      </c>
      <c r="W2403">
        <v>-1.017789E-2</v>
      </c>
      <c r="X2403">
        <v>0.9950717</v>
      </c>
      <c r="Y2403">
        <v>-0.12290329999999999</v>
      </c>
      <c r="Z2403">
        <v>5.733485E-2</v>
      </c>
      <c r="AA2403">
        <v>0.990761</v>
      </c>
      <c r="AB2403">
        <v>19</v>
      </c>
      <c r="AC2403">
        <v>-0.48389999999994798</v>
      </c>
      <c r="AD2403">
        <v>-1.111253787688</v>
      </c>
      <c r="AE2403">
        <v>-18.843999999999902</v>
      </c>
      <c r="AF2403">
        <v>-2.3199290975921198</v>
      </c>
      <c r="AG2403">
        <v>-1.111253787688</v>
      </c>
      <c r="AH2403">
        <v>18.6411230795959</v>
      </c>
      <c r="AI2403">
        <v>93.385481925743207</v>
      </c>
      <c r="AJ2403">
        <v>97.094111479514098</v>
      </c>
      <c r="AK2403">
        <v>18.8177688812236</v>
      </c>
      <c r="AL2403">
        <v>90.583160211933304</v>
      </c>
      <c r="AM2403">
        <v>95.660824134477195</v>
      </c>
      <c r="AN2403">
        <v>0.99999999642940196</v>
      </c>
    </row>
    <row r="2404" spans="1:40" x14ac:dyDescent="0.3">
      <c r="A2404" t="str">
        <f>"20200111160455624"</f>
        <v>20200111160455624</v>
      </c>
      <c r="B2404" t="str">
        <f>"1578729895613785"</f>
        <v>1578729895613785</v>
      </c>
      <c r="C2404" t="s">
        <v>40</v>
      </c>
      <c r="D2404">
        <v>5.6561859999999999</v>
      </c>
      <c r="E2404">
        <v>0.49141439999999997</v>
      </c>
      <c r="F2404" t="s">
        <v>41</v>
      </c>
      <c r="G2404">
        <v>-492.70030000000003</v>
      </c>
      <c r="H2404" s="1">
        <v>-1.832193E-6</v>
      </c>
      <c r="I2404">
        <v>242.18520000000001</v>
      </c>
      <c r="J2404">
        <v>-492.23750000000001</v>
      </c>
      <c r="K2404">
        <v>1.111251</v>
      </c>
      <c r="L2404">
        <v>260.76530000000002</v>
      </c>
      <c r="M2404">
        <v>-0.1475513</v>
      </c>
      <c r="N2404">
        <v>0</v>
      </c>
      <c r="O2404">
        <v>-0.98899110000000001</v>
      </c>
      <c r="P2404">
        <v>-4.9687090000000003E-2</v>
      </c>
      <c r="Q2404">
        <v>-2.1967560000000001E-2</v>
      </c>
      <c r="R2404">
        <v>-0.99852350000000001</v>
      </c>
      <c r="S2404">
        <v>-7.7636720000000006E-2</v>
      </c>
      <c r="T2404">
        <v>-0.17769660000000001</v>
      </c>
      <c r="U2404">
        <v>-2.9968569999999999</v>
      </c>
      <c r="V2404">
        <v>-9.8175940000000003E-2</v>
      </c>
      <c r="W2404">
        <v>-1.10283E-2</v>
      </c>
      <c r="X2404">
        <v>0.99510790000000005</v>
      </c>
      <c r="Y2404">
        <v>-0.1219403</v>
      </c>
      <c r="Z2404">
        <v>5.7989190000000003E-2</v>
      </c>
      <c r="AA2404">
        <v>0.990842</v>
      </c>
      <c r="AB2404">
        <v>20</v>
      </c>
      <c r="AC2404">
        <v>-0.46280000000001498</v>
      </c>
      <c r="AD2404">
        <v>-1.111252832193</v>
      </c>
      <c r="AE2404">
        <v>-18.580100000000002</v>
      </c>
      <c r="AF2404">
        <v>-2.2758200668896098</v>
      </c>
      <c r="AG2404">
        <v>-1.111252832193</v>
      </c>
      <c r="AH2404">
        <v>18.379291551981499</v>
      </c>
      <c r="AI2404">
        <v>93.433856571464602</v>
      </c>
      <c r="AJ2404">
        <v>97.058733154639597</v>
      </c>
      <c r="AK2404">
        <v>18.552967357990301</v>
      </c>
      <c r="AL2404">
        <v>90.631887895053694</v>
      </c>
      <c r="AM2404">
        <v>95.634486772641196</v>
      </c>
      <c r="AN2404">
        <v>0.99999993561908895</v>
      </c>
    </row>
    <row r="2405" spans="1:40" x14ac:dyDescent="0.3">
      <c r="A2405" t="str">
        <f>"20200111160455637"</f>
        <v>20200111160455637</v>
      </c>
      <c r="B2405" t="str">
        <f>"1578729895633306"</f>
        <v>1578729895633306</v>
      </c>
      <c r="C2405" t="s">
        <v>40</v>
      </c>
      <c r="D2405">
        <v>6.4963089999999903</v>
      </c>
      <c r="E2405">
        <v>0.49161149999999998</v>
      </c>
      <c r="F2405" t="s">
        <v>41</v>
      </c>
      <c r="G2405">
        <v>-492.7004</v>
      </c>
      <c r="H2405" s="1">
        <v>-1.9334049999999999E-6</v>
      </c>
      <c r="I2405">
        <v>242.4211</v>
      </c>
      <c r="J2405">
        <v>-492.2527</v>
      </c>
      <c r="K2405">
        <v>1.111248</v>
      </c>
      <c r="L2405">
        <v>260.65539999999999</v>
      </c>
      <c r="M2405">
        <v>-0.14660799999999999</v>
      </c>
      <c r="N2405">
        <v>0</v>
      </c>
      <c r="O2405">
        <v>-0.98913200000000001</v>
      </c>
      <c r="P2405">
        <v>-4.8583330000000001E-2</v>
      </c>
      <c r="Q2405">
        <v>-2.2147960000000001E-2</v>
      </c>
      <c r="R2405">
        <v>-0.99857379999999996</v>
      </c>
      <c r="S2405">
        <v>-7.5622560000000005E-2</v>
      </c>
      <c r="T2405">
        <v>-0.181532</v>
      </c>
      <c r="U2405">
        <v>-2.9966740000000001</v>
      </c>
      <c r="V2405">
        <v>-9.8325129999999997E-2</v>
      </c>
      <c r="W2405">
        <v>-1.1270759999999999E-2</v>
      </c>
      <c r="X2405">
        <v>0.99509049999999999</v>
      </c>
      <c r="Y2405">
        <v>-0.1216594</v>
      </c>
      <c r="Z2405">
        <v>5.9254149999999998E-2</v>
      </c>
      <c r="AA2405">
        <v>0.99080170000000001</v>
      </c>
      <c r="AB2405">
        <v>20</v>
      </c>
      <c r="AC2405">
        <v>-0.44769999999999699</v>
      </c>
      <c r="AD2405">
        <v>-1.1112499334049999</v>
      </c>
      <c r="AE2405">
        <v>-18.234299999999902</v>
      </c>
      <c r="AF2405">
        <v>-2.2223492409842298</v>
      </c>
      <c r="AG2405">
        <v>-1.1112499334049999</v>
      </c>
      <c r="AH2405">
        <v>18.0359426111971</v>
      </c>
      <c r="AI2405">
        <v>93.499314602110502</v>
      </c>
      <c r="AJ2405">
        <v>97.024453041405494</v>
      </c>
      <c r="AK2405">
        <v>18.206288431137999</v>
      </c>
      <c r="AL2405">
        <v>90.645780664144894</v>
      </c>
      <c r="AM2405">
        <v>95.643091859272303</v>
      </c>
      <c r="AN2405">
        <v>0.99999998220537201</v>
      </c>
    </row>
    <row r="2406" spans="1:40" x14ac:dyDescent="0.3">
      <c r="A2406" t="str">
        <f>"20200111160455649"</f>
        <v>20200111160455649</v>
      </c>
      <c r="B2406" t="str">
        <f>"1578729895643066"</f>
        <v>1578729895643066</v>
      </c>
      <c r="C2406" t="s">
        <v>40</v>
      </c>
      <c r="D2406">
        <v>5.6768919999999996</v>
      </c>
      <c r="E2406">
        <v>0.49171350000000003</v>
      </c>
      <c r="F2406" t="s">
        <v>41</v>
      </c>
      <c r="G2406">
        <v>-492.70679999999999</v>
      </c>
      <c r="H2406" s="1">
        <v>-1.8512149999999999E-6</v>
      </c>
      <c r="I2406">
        <v>242.22550000000001</v>
      </c>
      <c r="J2406">
        <v>-492.2672</v>
      </c>
      <c r="K2406">
        <v>1.111248</v>
      </c>
      <c r="L2406">
        <v>260.55079999999998</v>
      </c>
      <c r="M2406">
        <v>-0.1457068</v>
      </c>
      <c r="N2406">
        <v>0</v>
      </c>
      <c r="O2406">
        <v>-0.98926599999999998</v>
      </c>
      <c r="P2406">
        <v>-4.7792019999999998E-2</v>
      </c>
      <c r="Q2406">
        <v>-2.2627399999999999E-2</v>
      </c>
      <c r="R2406">
        <v>-0.99860130000000003</v>
      </c>
      <c r="S2406">
        <v>-7.3822020000000002E-2</v>
      </c>
      <c r="T2406">
        <v>-0.18069189999999999</v>
      </c>
      <c r="U2406">
        <v>-2.9967350000000001</v>
      </c>
      <c r="V2406">
        <v>-9.8204490000000005E-2</v>
      </c>
      <c r="W2406">
        <v>-1.180602E-2</v>
      </c>
      <c r="X2406">
        <v>0.99509619999999999</v>
      </c>
      <c r="Y2406">
        <v>-0.12135</v>
      </c>
      <c r="Z2406">
        <v>5.8993280000000002E-2</v>
      </c>
      <c r="AA2406">
        <v>0.99085520000000005</v>
      </c>
      <c r="AB2406">
        <v>20</v>
      </c>
      <c r="AC2406">
        <v>-0.439599999999984</v>
      </c>
      <c r="AD2406">
        <v>-1.111249851215</v>
      </c>
      <c r="AE2406">
        <v>-18.325299999999899</v>
      </c>
      <c r="AF2406">
        <v>-2.2271910048399999</v>
      </c>
      <c r="AG2406">
        <v>-1.111249851215</v>
      </c>
      <c r="AH2406">
        <v>18.127142205960698</v>
      </c>
      <c r="AI2406">
        <v>93.481900868706703</v>
      </c>
      <c r="AJ2406">
        <v>97.004539322194702</v>
      </c>
      <c r="AK2406">
        <v>18.297227674131001</v>
      </c>
      <c r="AL2406">
        <v>90.676450850158005</v>
      </c>
      <c r="AM2406">
        <v>95.636180599159701</v>
      </c>
      <c r="AN2406">
        <v>0.999999975609419</v>
      </c>
    </row>
    <row r="2407" spans="1:40" x14ac:dyDescent="0.3">
      <c r="A2407" t="str">
        <f>"20200111160455661"</f>
        <v>20200111160455661</v>
      </c>
      <c r="B2407" t="str">
        <f>"1578729895653802"</f>
        <v>1578729895653802</v>
      </c>
      <c r="C2407" t="s">
        <v>40</v>
      </c>
      <c r="D2407">
        <v>5.7361180000000003</v>
      </c>
      <c r="E2407">
        <v>0.4916605</v>
      </c>
      <c r="F2407" t="s">
        <v>41</v>
      </c>
      <c r="G2407">
        <v>-492.70769999999999</v>
      </c>
      <c r="H2407" s="1">
        <v>-1.893248E-6</v>
      </c>
      <c r="I2407">
        <v>242.3229</v>
      </c>
      <c r="J2407">
        <v>-492.2824</v>
      </c>
      <c r="K2407">
        <v>1.111248</v>
      </c>
      <c r="L2407">
        <v>260.44029999999998</v>
      </c>
      <c r="M2407">
        <v>-0.14475080000000001</v>
      </c>
      <c r="N2407">
        <v>0</v>
      </c>
      <c r="O2407">
        <v>-0.98940680000000003</v>
      </c>
      <c r="P2407">
        <v>-4.6631520000000003E-2</v>
      </c>
      <c r="Q2407">
        <v>-2.284303E-2</v>
      </c>
      <c r="R2407">
        <v>-0.99865139999999997</v>
      </c>
      <c r="S2407">
        <v>-7.2418209999999997E-2</v>
      </c>
      <c r="T2407">
        <v>-0.1826884</v>
      </c>
      <c r="U2407">
        <v>-2.9966430000000002</v>
      </c>
      <c r="V2407">
        <v>-9.8397289999999998E-2</v>
      </c>
      <c r="W2407">
        <v>-1.207838E-2</v>
      </c>
      <c r="X2407">
        <v>0.99507389999999996</v>
      </c>
      <c r="Y2407">
        <v>-0.120855</v>
      </c>
      <c r="Z2407">
        <v>5.9659480000000001E-2</v>
      </c>
      <c r="AA2407">
        <v>0.99087579999999997</v>
      </c>
      <c r="AB2407">
        <v>20</v>
      </c>
      <c r="AC2407">
        <v>-0.42529999999999202</v>
      </c>
      <c r="AD2407">
        <v>-1.1112498932479999</v>
      </c>
      <c r="AE2407">
        <v>-18.1173999999999</v>
      </c>
      <c r="AF2407">
        <v>-2.1935990569136101</v>
      </c>
      <c r="AG2407">
        <v>-1.1112498932479999</v>
      </c>
      <c r="AH2407">
        <v>17.920750358804099</v>
      </c>
      <c r="AI2407">
        <v>93.5220964244198</v>
      </c>
      <c r="AJ2407">
        <v>96.978605041387198</v>
      </c>
      <c r="AK2407">
        <v>18.088671774630502</v>
      </c>
      <c r="AL2407">
        <v>90.692057031882797</v>
      </c>
      <c r="AM2407">
        <v>95.647300116955407</v>
      </c>
      <c r="AN2407">
        <v>0.99999999020198904</v>
      </c>
    </row>
    <row r="2408" spans="1:40" x14ac:dyDescent="0.3">
      <c r="A2408" t="str">
        <f>"20200111160455674"</f>
        <v>20200111160455674</v>
      </c>
      <c r="B2408" t="str">
        <f>"1578729895663563"</f>
        <v>1578729895663563</v>
      </c>
      <c r="C2408" t="s">
        <v>40</v>
      </c>
      <c r="D2408">
        <v>5.7141690000000001</v>
      </c>
      <c r="E2408">
        <v>0.49177310000000002</v>
      </c>
      <c r="F2408" t="s">
        <v>41</v>
      </c>
      <c r="G2408">
        <v>-492.69029999999998</v>
      </c>
      <c r="H2408" s="1">
        <v>-1.9837909999999999E-6</v>
      </c>
      <c r="I2408">
        <v>242.54480000000001</v>
      </c>
      <c r="J2408">
        <v>-492.29669999999999</v>
      </c>
      <c r="K2408">
        <v>1.1112390000000001</v>
      </c>
      <c r="L2408">
        <v>260.33569999999997</v>
      </c>
      <c r="M2408">
        <v>-0.14383650000000001</v>
      </c>
      <c r="N2408">
        <v>0</v>
      </c>
      <c r="O2408">
        <v>-0.98954059999999999</v>
      </c>
      <c r="P2408">
        <v>-4.5730229999999997E-2</v>
      </c>
      <c r="Q2408">
        <v>-2.3259390000000001E-2</v>
      </c>
      <c r="R2408">
        <v>-0.99868330000000005</v>
      </c>
      <c r="S2408">
        <v>-6.8298339999999999E-2</v>
      </c>
      <c r="T2408">
        <v>-0.18607509999999999</v>
      </c>
      <c r="U2408">
        <v>-2.9965519999999999</v>
      </c>
      <c r="V2408">
        <v>-9.8373470000000005E-2</v>
      </c>
      <c r="W2408">
        <v>-1.2542920000000001E-2</v>
      </c>
      <c r="X2408">
        <v>0.99507049999999997</v>
      </c>
      <c r="Y2408">
        <v>-0.12130000000000001</v>
      </c>
      <c r="Z2408">
        <v>6.0774769999999999E-2</v>
      </c>
      <c r="AA2408">
        <v>0.99075369999999996</v>
      </c>
      <c r="AB2408">
        <v>20</v>
      </c>
      <c r="AC2408">
        <v>-0.39359999999999201</v>
      </c>
      <c r="AD2408">
        <v>-1.11124098379099</v>
      </c>
      <c r="AE2408">
        <v>-17.790899999999901</v>
      </c>
      <c r="AF2408">
        <v>-2.1612007036916099</v>
      </c>
      <c r="AG2408">
        <v>-1.11124098379099</v>
      </c>
      <c r="AH2408">
        <v>17.593888525243401</v>
      </c>
      <c r="AI2408">
        <v>93.587145451123305</v>
      </c>
      <c r="AJ2408">
        <v>97.0030247619558</v>
      </c>
      <c r="AK2408">
        <v>17.7609278598947</v>
      </c>
      <c r="AL2408">
        <v>90.718675236643307</v>
      </c>
      <c r="AM2408">
        <v>95.645961019852805</v>
      </c>
      <c r="AN2408">
        <v>0.99999998220610797</v>
      </c>
    </row>
    <row r="2409" spans="1:40" x14ac:dyDescent="0.3">
      <c r="A2409" t="str">
        <f>"20200111160455692"</f>
        <v>20200111160455692</v>
      </c>
      <c r="B2409" t="str">
        <f>"1578729895683092"</f>
        <v>1578729895683092</v>
      </c>
      <c r="C2409" t="s">
        <v>40</v>
      </c>
      <c r="D2409">
        <v>5.6934420000000001</v>
      </c>
      <c r="E2409">
        <v>0.49172460000000001</v>
      </c>
      <c r="F2409" t="s">
        <v>41</v>
      </c>
      <c r="G2409">
        <v>-492.6893</v>
      </c>
      <c r="H2409" s="1">
        <v>-1.9941819999999998E-6</v>
      </c>
      <c r="I2409">
        <v>242.56960000000001</v>
      </c>
      <c r="J2409">
        <v>-492.31810000000002</v>
      </c>
      <c r="K2409">
        <v>1.11124</v>
      </c>
      <c r="L2409">
        <v>260.17689999999999</v>
      </c>
      <c r="M2409">
        <v>-0.14244079999999901</v>
      </c>
      <c r="N2409">
        <v>0</v>
      </c>
      <c r="O2409">
        <v>-0.98974340000000005</v>
      </c>
      <c r="P2409">
        <v>-4.3957320000000001E-2</v>
      </c>
      <c r="Q2409">
        <v>-2.3238979999999999E-2</v>
      </c>
      <c r="R2409">
        <v>-0.99876339999999997</v>
      </c>
      <c r="S2409">
        <v>-6.622314E-2</v>
      </c>
      <c r="T2409">
        <v>-0.18742980000000001</v>
      </c>
      <c r="U2409">
        <v>-2.9965519999999999</v>
      </c>
      <c r="V2409">
        <v>-9.873593E-2</v>
      </c>
      <c r="W2409">
        <v>-1.2592020000000001E-2</v>
      </c>
      <c r="X2409">
        <v>0.99503399999999997</v>
      </c>
      <c r="Y2409">
        <v>-0.12058629999999999</v>
      </c>
      <c r="Z2409">
        <v>6.1237600000000003E-2</v>
      </c>
      <c r="AA2409">
        <v>0.99081220000000003</v>
      </c>
      <c r="AB2409">
        <v>20</v>
      </c>
      <c r="AC2409">
        <v>-0.37119999999998698</v>
      </c>
      <c r="AD2409">
        <v>-1.111241994182</v>
      </c>
      <c r="AE2409">
        <v>-17.607299999999899</v>
      </c>
      <c r="AF2409">
        <v>-2.1322427497516401</v>
      </c>
      <c r="AG2409">
        <v>-1.111241994182</v>
      </c>
      <c r="AH2409">
        <v>17.411297988284399</v>
      </c>
      <c r="AI2409">
        <v>93.624830802256199</v>
      </c>
      <c r="AJ2409">
        <v>96.981858459275799</v>
      </c>
      <c r="AK2409">
        <v>17.576535937161701</v>
      </c>
      <c r="AL2409">
        <v>90.721488667375496</v>
      </c>
      <c r="AM2409">
        <v>95.666835100780702</v>
      </c>
      <c r="AN2409">
        <v>1.00000000199832</v>
      </c>
    </row>
    <row r="2410" spans="1:40" x14ac:dyDescent="0.3">
      <c r="A2410" t="str">
        <f>"20200111160455797"</f>
        <v>20200111160455797</v>
      </c>
      <c r="B2410" t="str">
        <f>"1578729895793370"</f>
        <v>1578729895793370</v>
      </c>
      <c r="C2410" t="s">
        <v>40</v>
      </c>
      <c r="D2410">
        <v>5.5988280000000001</v>
      </c>
      <c r="E2410">
        <v>0.49177290000000001</v>
      </c>
      <c r="F2410" t="s">
        <v>41</v>
      </c>
      <c r="G2410">
        <v>-492.66449999999998</v>
      </c>
      <c r="H2410" s="1">
        <v>-2.1451270000000001E-6</v>
      </c>
      <c r="I2410">
        <v>242.93690000000001</v>
      </c>
      <c r="J2410">
        <v>-492.43650000000002</v>
      </c>
      <c r="K2410">
        <v>1.111275</v>
      </c>
      <c r="L2410">
        <v>259.26499999999999</v>
      </c>
      <c r="M2410">
        <v>-0.13416359999999999</v>
      </c>
      <c r="N2410">
        <v>0</v>
      </c>
      <c r="O2410">
        <v>-0.99090210000000001</v>
      </c>
      <c r="P2410">
        <v>-3.417481E-2</v>
      </c>
      <c r="Q2410">
        <v>-2.4513E-2</v>
      </c>
      <c r="R2410">
        <v>-0.99911559999999999</v>
      </c>
      <c r="S2410">
        <v>-6.0211180000000003E-2</v>
      </c>
      <c r="T2410">
        <v>-0.19315060000000001</v>
      </c>
      <c r="U2410">
        <v>-2.9965820000000001</v>
      </c>
      <c r="V2410">
        <v>-0.1001533</v>
      </c>
      <c r="W2410">
        <v>-1.4156759999999999E-2</v>
      </c>
      <c r="X2410">
        <v>0.99487130000000001</v>
      </c>
      <c r="Y2410">
        <v>-0.11427619999999999</v>
      </c>
      <c r="Z2410">
        <v>6.3235100000000002E-2</v>
      </c>
      <c r="AA2410">
        <v>0.9914345</v>
      </c>
      <c r="AB2410">
        <v>20</v>
      </c>
      <c r="AC2410">
        <v>-0.22799999999995099</v>
      </c>
      <c r="AD2410">
        <v>-1.111277145127</v>
      </c>
      <c r="AE2410">
        <v>-16.3280999999999</v>
      </c>
      <c r="AF2410">
        <v>-1.9557647292298099</v>
      </c>
      <c r="AG2410">
        <v>-1.111277145127</v>
      </c>
      <c r="AH2410">
        <v>16.1363253668083</v>
      </c>
      <c r="AI2410">
        <v>93.911095153840904</v>
      </c>
      <c r="AJ2410">
        <v>96.910689983200299</v>
      </c>
      <c r="AK2410">
        <v>16.2923586049682</v>
      </c>
      <c r="AL2410">
        <v>90.8111496950185</v>
      </c>
      <c r="AM2410">
        <v>95.748576251919999</v>
      </c>
      <c r="AN2410">
        <v>1.0000000004591301</v>
      </c>
    </row>
    <row r="2411" spans="1:40" x14ac:dyDescent="0.3">
      <c r="A2411" t="str">
        <f>"20200111160455815"</f>
        <v>20200111160455815</v>
      </c>
      <c r="B2411" t="str">
        <f>"1578729895813866"</f>
        <v>1578729895813866</v>
      </c>
      <c r="C2411" t="s">
        <v>40</v>
      </c>
      <c r="D2411">
        <v>5.363804</v>
      </c>
      <c r="E2411">
        <v>0.49130550000000001</v>
      </c>
      <c r="F2411" t="s">
        <v>41</v>
      </c>
      <c r="G2411">
        <v>-492.61219999999997</v>
      </c>
      <c r="H2411" s="1">
        <v>-1.899269E-6</v>
      </c>
      <c r="I2411">
        <v>242.39619999999999</v>
      </c>
      <c r="J2411">
        <v>-492.45670000000001</v>
      </c>
      <c r="K2411">
        <v>1.1112789999999999</v>
      </c>
      <c r="L2411">
        <v>259.10250000000002</v>
      </c>
      <c r="M2411">
        <v>-0.13264289999999901</v>
      </c>
      <c r="N2411">
        <v>0</v>
      </c>
      <c r="O2411">
        <v>-0.99110719999999997</v>
      </c>
      <c r="P2411">
        <v>-3.2376200000000001E-2</v>
      </c>
      <c r="Q2411">
        <v>-2.5126289999999999E-2</v>
      </c>
      <c r="R2411">
        <v>-0.99916020000000005</v>
      </c>
      <c r="S2411">
        <v>-3.1219480000000001E-2</v>
      </c>
      <c r="T2411">
        <v>-0.1974176</v>
      </c>
      <c r="U2411">
        <v>-2.9967350000000001</v>
      </c>
      <c r="V2411">
        <v>-0.1004133</v>
      </c>
      <c r="W2411">
        <v>-1.480596E-2</v>
      </c>
      <c r="X2411">
        <v>0.99483560000000004</v>
      </c>
      <c r="Y2411">
        <v>-0.1223388</v>
      </c>
      <c r="Z2411">
        <v>6.4615969999999995E-2</v>
      </c>
      <c r="AA2411">
        <v>0.99038269999999995</v>
      </c>
      <c r="AB2411">
        <v>20</v>
      </c>
      <c r="AC2411">
        <v>-0.15549999999996</v>
      </c>
      <c r="AD2411">
        <v>-1.111280899269</v>
      </c>
      <c r="AE2411">
        <v>-16.706299999999999</v>
      </c>
      <c r="AF2411">
        <v>-2.0528880788511898</v>
      </c>
      <c r="AG2411">
        <v>-1.111280899269</v>
      </c>
      <c r="AH2411">
        <v>16.506262306457401</v>
      </c>
      <c r="AI2411">
        <v>93.822255402195495</v>
      </c>
      <c r="AJ2411">
        <v>97.089487063825402</v>
      </c>
      <c r="AK2411">
        <v>16.6705125905278</v>
      </c>
      <c r="AL2411">
        <v>90.848350051604299</v>
      </c>
      <c r="AM2411">
        <v>95.763604766340507</v>
      </c>
      <c r="AN2411">
        <v>0.99999995914788398</v>
      </c>
    </row>
    <row r="2412" spans="1:40" x14ac:dyDescent="0.3">
      <c r="A2412" t="str">
        <f>"20200111160455830"</f>
        <v>20200111160455830</v>
      </c>
      <c r="B2412" t="str">
        <f>"1578729895823626"</f>
        <v>1578729895823626</v>
      </c>
      <c r="C2412" t="s">
        <v>40</v>
      </c>
      <c r="D2412">
        <v>5.3692719999999996</v>
      </c>
      <c r="E2412">
        <v>0.41490349999999998</v>
      </c>
      <c r="F2412" t="s">
        <v>41</v>
      </c>
      <c r="G2412">
        <v>-492.57749999999999</v>
      </c>
      <c r="H2412" s="1">
        <v>-1.968237E-6</v>
      </c>
      <c r="I2412">
        <v>242.57849999999999</v>
      </c>
      <c r="J2412">
        <v>-492.47250000000003</v>
      </c>
      <c r="K2412">
        <v>1.111281</v>
      </c>
      <c r="L2412">
        <v>258.97410000000002</v>
      </c>
      <c r="M2412">
        <v>-0.13143289999999999</v>
      </c>
      <c r="N2412">
        <v>0</v>
      </c>
      <c r="O2412">
        <v>-0.9912687</v>
      </c>
      <c r="P2412">
        <v>-3.1325369999999998E-2</v>
      </c>
      <c r="Q2412">
        <v>-2.5211589999999999E-2</v>
      </c>
      <c r="R2412">
        <v>-0.99919179999999996</v>
      </c>
      <c r="S2412">
        <v>-2.191162E-2</v>
      </c>
      <c r="T2412">
        <v>-0.20153570000000001</v>
      </c>
      <c r="U2412">
        <v>-2.9967039999999998</v>
      </c>
      <c r="V2412">
        <v>-0.10024470000000001</v>
      </c>
      <c r="W2412">
        <v>-1.4915640000000001E-2</v>
      </c>
      <c r="X2412">
        <v>0.99485100000000004</v>
      </c>
      <c r="Y2412">
        <v>-0.12420340000000001</v>
      </c>
      <c r="Z2412">
        <v>6.5967810000000002E-2</v>
      </c>
      <c r="AA2412">
        <v>0.99006150000000004</v>
      </c>
      <c r="AB2412">
        <v>20</v>
      </c>
      <c r="AC2412">
        <v>-0.104999999999961</v>
      </c>
      <c r="AD2412">
        <v>-1.111282968237</v>
      </c>
      <c r="AE2412">
        <v>-16.395600000000002</v>
      </c>
      <c r="AF2412">
        <v>-2.04157396332515</v>
      </c>
      <c r="AG2412">
        <v>-1.111282968237</v>
      </c>
      <c r="AH2412">
        <v>16.1927674075569</v>
      </c>
      <c r="AI2412">
        <v>93.895218089813099</v>
      </c>
      <c r="AJ2412">
        <v>97.185900321522197</v>
      </c>
      <c r="AK2412">
        <v>16.358749658774599</v>
      </c>
      <c r="AL2412">
        <v>90.854634917031206</v>
      </c>
      <c r="AM2412">
        <v>95.753903843281506</v>
      </c>
      <c r="AN2412">
        <v>0.99999999419784902</v>
      </c>
    </row>
    <row r="2413" spans="1:40" x14ac:dyDescent="0.3">
      <c r="A2413" t="str">
        <f>"20200111160455848"</f>
        <v>20200111160455848</v>
      </c>
      <c r="B2413" t="str">
        <f>"1578729895843145"</f>
        <v>1578729895843145</v>
      </c>
      <c r="C2413" t="s">
        <v>40</v>
      </c>
      <c r="D2413">
        <v>5.3465199999999999</v>
      </c>
      <c r="E2413">
        <v>0.4124159</v>
      </c>
      <c r="F2413" t="s">
        <v>41</v>
      </c>
      <c r="G2413">
        <v>-489.03680000000003</v>
      </c>
      <c r="H2413" s="1">
        <v>-9.3736469999999997E-7</v>
      </c>
      <c r="I2413">
        <v>241.4195</v>
      </c>
      <c r="J2413">
        <v>-492.49119999999999</v>
      </c>
      <c r="K2413">
        <v>1.1112869999999999</v>
      </c>
      <c r="L2413">
        <v>258.81939999999997</v>
      </c>
      <c r="M2413">
        <v>-0.129965</v>
      </c>
      <c r="N2413">
        <v>0</v>
      </c>
      <c r="O2413">
        <v>-0.99146219999999996</v>
      </c>
      <c r="P2413">
        <v>-2.945824E-2</v>
      </c>
      <c r="Q2413">
        <v>-2.582696E-2</v>
      </c>
      <c r="R2413">
        <v>-0.99923220000000001</v>
      </c>
      <c r="S2413">
        <v>0.59030150000000003</v>
      </c>
      <c r="T2413">
        <v>-0.19093499999999999</v>
      </c>
      <c r="U2413">
        <v>-3.0161440000000002</v>
      </c>
      <c r="V2413">
        <v>-0.1006266</v>
      </c>
      <c r="W2413">
        <v>-1.5557730000000001E-2</v>
      </c>
      <c r="X2413">
        <v>0.99480259999999998</v>
      </c>
      <c r="Y2413">
        <v>-0.31763590000000003</v>
      </c>
      <c r="Z2413">
        <v>6.0165969999999999E-2</v>
      </c>
      <c r="AA2413">
        <v>0.94630199999999998</v>
      </c>
      <c r="AB2413">
        <v>20</v>
      </c>
      <c r="AC2413">
        <v>3.4543999999999602</v>
      </c>
      <c r="AD2413">
        <v>-1.1112879373647</v>
      </c>
      <c r="AE2413">
        <v>-17.399899999999899</v>
      </c>
      <c r="AF2413">
        <v>-5.6643737738107296</v>
      </c>
      <c r="AG2413">
        <v>-1.1112879373647</v>
      </c>
      <c r="AH2413">
        <v>16.737646519855801</v>
      </c>
      <c r="AI2413">
        <v>93.598633148844698</v>
      </c>
      <c r="AJ2413">
        <v>108.696907121135</v>
      </c>
      <c r="AK2413">
        <v>17.705053011861001</v>
      </c>
      <c r="AL2413">
        <v>90.891428244941196</v>
      </c>
      <c r="AM2413">
        <v>95.775955547774203</v>
      </c>
      <c r="AN2413">
        <v>0.99999998427853598</v>
      </c>
    </row>
    <row r="2414" spans="1:40" x14ac:dyDescent="0.3">
      <c r="A2414" t="str">
        <f>"20200111160455860"</f>
        <v>20200111160455860</v>
      </c>
      <c r="B2414" t="str">
        <f>"1578729895853882"</f>
        <v>1578729895853882</v>
      </c>
      <c r="C2414" t="s">
        <v>40</v>
      </c>
      <c r="D2414">
        <v>5.9697500000000003</v>
      </c>
      <c r="E2414">
        <v>0.4124159</v>
      </c>
      <c r="F2414" t="s">
        <v>41</v>
      </c>
      <c r="G2414">
        <v>-488.62459999999999</v>
      </c>
      <c r="H2414" s="1">
        <v>-4.3530009999999998E-7</v>
      </c>
      <c r="I2414">
        <v>239.8518</v>
      </c>
      <c r="J2414">
        <v>-492.50470000000001</v>
      </c>
      <c r="K2414">
        <v>1.111291</v>
      </c>
      <c r="L2414">
        <v>258.70729999999998</v>
      </c>
      <c r="M2414">
        <v>-0.12889600000000001</v>
      </c>
      <c r="N2414">
        <v>0</v>
      </c>
      <c r="O2414">
        <v>-0.99160190000000004</v>
      </c>
      <c r="P2414">
        <v>-2.8395380000000001E-2</v>
      </c>
      <c r="Q2414">
        <v>-2.592481E-2</v>
      </c>
      <c r="R2414">
        <v>-0.99926040000000005</v>
      </c>
      <c r="S2414">
        <v>0.61480709999999905</v>
      </c>
      <c r="T2414">
        <v>-0.1766983</v>
      </c>
      <c r="U2414">
        <v>-3.0158999999999998</v>
      </c>
      <c r="V2414">
        <v>-0.1006112</v>
      </c>
      <c r="W2414">
        <v>-1.5667279999999999E-2</v>
      </c>
      <c r="X2414">
        <v>0.99480250000000003</v>
      </c>
      <c r="Y2414">
        <v>-0.32406879999999999</v>
      </c>
      <c r="Z2414">
        <v>5.5605130000000003E-2</v>
      </c>
      <c r="AA2414">
        <v>0.94439790000000001</v>
      </c>
      <c r="AB2414">
        <v>20</v>
      </c>
      <c r="AC2414">
        <v>3.8801000000000201</v>
      </c>
      <c r="AD2414">
        <v>-1.1112914353001</v>
      </c>
      <c r="AE2414">
        <v>-18.8554999999999</v>
      </c>
      <c r="AF2414">
        <v>-6.2574103435678401</v>
      </c>
      <c r="AG2414">
        <v>-1.1112914353001</v>
      </c>
      <c r="AH2414">
        <v>18.137591533900999</v>
      </c>
      <c r="AI2414">
        <v>93.314870592790399</v>
      </c>
      <c r="AJ2414">
        <v>109.034268546913</v>
      </c>
      <c r="AK2414">
        <v>19.218802759604898</v>
      </c>
      <c r="AL2414">
        <v>90.8977057077403</v>
      </c>
      <c r="AM2414">
        <v>95.775078141425098</v>
      </c>
      <c r="AN2414">
        <v>1.0000000456171401</v>
      </c>
    </row>
    <row r="2415" spans="1:40" x14ac:dyDescent="0.3">
      <c r="A2415" t="str">
        <f>"20200111160455873"</f>
        <v>20200111160455873</v>
      </c>
      <c r="B2415" t="str">
        <f>"1578729895863641"</f>
        <v>1578729895863641</v>
      </c>
      <c r="C2415" t="s">
        <v>40</v>
      </c>
      <c r="D2415">
        <v>5.3150620000000002</v>
      </c>
      <c r="E2415">
        <v>0.41190929999999998</v>
      </c>
      <c r="F2415" t="s">
        <v>41</v>
      </c>
      <c r="G2415">
        <v>-488.62259999999998</v>
      </c>
      <c r="H2415" s="1">
        <v>-4.0878840000000002E-7</v>
      </c>
      <c r="I2415">
        <v>239.7723</v>
      </c>
      <c r="J2415">
        <v>-492.51780000000002</v>
      </c>
      <c r="K2415">
        <v>1.1112930000000001</v>
      </c>
      <c r="L2415">
        <v>258.59699999999998</v>
      </c>
      <c r="M2415">
        <v>-0.12784019999999999</v>
      </c>
      <c r="N2415">
        <v>0</v>
      </c>
      <c r="O2415">
        <v>-0.99173869999999997</v>
      </c>
      <c r="P2415">
        <v>-2.721554E-2</v>
      </c>
      <c r="Q2415">
        <v>-2.638358E-2</v>
      </c>
      <c r="R2415">
        <v>-0.99928139999999999</v>
      </c>
      <c r="S2415">
        <v>0.61819460000000004</v>
      </c>
      <c r="T2415">
        <v>-0.17696339999999999</v>
      </c>
      <c r="U2415">
        <v>-3.015228</v>
      </c>
      <c r="V2415">
        <v>-0.1007234</v>
      </c>
      <c r="W2415">
        <v>-1.6132239999999999E-2</v>
      </c>
      <c r="X2415">
        <v>0.99478370000000005</v>
      </c>
      <c r="Y2415">
        <v>-0.32412020000000002</v>
      </c>
      <c r="Z2415">
        <v>5.5705669999999999E-2</v>
      </c>
      <c r="AA2415">
        <v>0.94437439999999995</v>
      </c>
      <c r="AB2415">
        <v>20</v>
      </c>
      <c r="AC2415">
        <v>3.89520000000004</v>
      </c>
      <c r="AD2415">
        <v>-1.1112934087883899</v>
      </c>
      <c r="AE2415">
        <v>-18.824699999999901</v>
      </c>
      <c r="AF2415">
        <v>-6.2490390426042204</v>
      </c>
      <c r="AG2415">
        <v>-1.1112934087883899</v>
      </c>
      <c r="AH2415">
        <v>18.1117035264744</v>
      </c>
      <c r="AI2415">
        <v>93.319572431496795</v>
      </c>
      <c r="AJ2415">
        <v>109.035851583865</v>
      </c>
      <c r="AK2415">
        <v>19.191645750881101</v>
      </c>
      <c r="AL2415">
        <v>90.9243493337964</v>
      </c>
      <c r="AM2415">
        <v>95.781583334128996</v>
      </c>
      <c r="AN2415">
        <v>1.0000000311303301</v>
      </c>
    </row>
    <row r="2416" spans="1:40" x14ac:dyDescent="0.3">
      <c r="A2416" t="str">
        <f>"20200111160455886"</f>
        <v>20200111160455886</v>
      </c>
      <c r="B2416" t="str">
        <f>"1578729895883162"</f>
        <v>1578729895883162</v>
      </c>
      <c r="C2416" t="s">
        <v>40</v>
      </c>
      <c r="D2416">
        <v>5.3122689999999997</v>
      </c>
      <c r="E2416">
        <v>0.41187600000000002</v>
      </c>
      <c r="F2416" t="s">
        <v>41</v>
      </c>
      <c r="G2416">
        <v>-488.6078</v>
      </c>
      <c r="H2416" s="1">
        <v>-4.0845020000000002E-7</v>
      </c>
      <c r="I2416">
        <v>239.75980000000001</v>
      </c>
      <c r="J2416">
        <v>-492.53089999999997</v>
      </c>
      <c r="K2416">
        <v>1.111297</v>
      </c>
      <c r="L2416">
        <v>258.48570000000001</v>
      </c>
      <c r="M2416">
        <v>-0.1267723</v>
      </c>
      <c r="N2416">
        <v>0</v>
      </c>
      <c r="O2416">
        <v>-0.99187570000000003</v>
      </c>
      <c r="P2416">
        <v>-2.579729E-2</v>
      </c>
      <c r="Q2416">
        <v>-2.638304E-2</v>
      </c>
      <c r="R2416">
        <v>-0.99931899999999996</v>
      </c>
      <c r="S2416">
        <v>0.62570190000000003</v>
      </c>
      <c r="T2416">
        <v>-0.17783740000000001</v>
      </c>
      <c r="U2416">
        <v>-3.014465</v>
      </c>
      <c r="V2416">
        <v>-0.101064399999999</v>
      </c>
      <c r="W2416">
        <v>-1.613618E-2</v>
      </c>
      <c r="X2416">
        <v>0.99474899999999999</v>
      </c>
      <c r="Y2416">
        <v>-0.3254012</v>
      </c>
      <c r="Z2416">
        <v>5.5978970000000003E-2</v>
      </c>
      <c r="AA2416">
        <v>0.94391760000000002</v>
      </c>
      <c r="AB2416">
        <v>20</v>
      </c>
      <c r="AC2416">
        <v>3.9230999999999701</v>
      </c>
      <c r="AD2416">
        <v>-1.1112974084501901</v>
      </c>
      <c r="AE2416">
        <v>-18.725899999999999</v>
      </c>
      <c r="AF2416">
        <v>-6.2444343939982696</v>
      </c>
      <c r="AG2416">
        <v>-1.1112974084501901</v>
      </c>
      <c r="AH2416">
        <v>18.016646842167599</v>
      </c>
      <c r="AI2416">
        <v>93.335450300833998</v>
      </c>
      <c r="AJ2416">
        <v>109.11593191942301</v>
      </c>
      <c r="AK2416">
        <v>19.100458273726499</v>
      </c>
      <c r="AL2416">
        <v>90.924575154784804</v>
      </c>
      <c r="AM2416">
        <v>95.801224647219797</v>
      </c>
      <c r="AN2416">
        <v>0.99999998112667599</v>
      </c>
    </row>
    <row r="2417" spans="1:40" x14ac:dyDescent="0.3">
      <c r="A2417" t="str">
        <f>"20200111160455905"</f>
        <v>20200111160455905</v>
      </c>
      <c r="B2417" t="str">
        <f>"1578729895903659"</f>
        <v>1578729895903659</v>
      </c>
      <c r="C2417" t="s">
        <v>40</v>
      </c>
      <c r="D2417">
        <v>5.363448</v>
      </c>
      <c r="E2417">
        <v>0.41207899999999997</v>
      </c>
      <c r="F2417" t="s">
        <v>41</v>
      </c>
      <c r="G2417">
        <v>-488.63470000000001</v>
      </c>
      <c r="H2417" s="1">
        <v>-4.358334E-7</v>
      </c>
      <c r="I2417">
        <v>239.8613</v>
      </c>
      <c r="J2417">
        <v>-492.55079999999998</v>
      </c>
      <c r="K2417">
        <v>1.1113040000000001</v>
      </c>
      <c r="L2417">
        <v>258.31529999999998</v>
      </c>
      <c r="M2417">
        <v>-0.1251322</v>
      </c>
      <c r="N2417">
        <v>0</v>
      </c>
      <c r="O2417">
        <v>-0.99208399999999997</v>
      </c>
      <c r="P2417">
        <v>-2.341793E-2</v>
      </c>
      <c r="Q2417">
        <v>-2.6617910000000002E-2</v>
      </c>
      <c r="R2417">
        <v>-0.99937149999999997</v>
      </c>
      <c r="S2417">
        <v>0.63043209999999905</v>
      </c>
      <c r="T2417">
        <v>-0.17981549999999999</v>
      </c>
      <c r="U2417">
        <v>-3.01355</v>
      </c>
      <c r="V2417">
        <v>-0.1017859</v>
      </c>
      <c r="W2417">
        <v>-1.637454E-2</v>
      </c>
      <c r="X2417">
        <v>0.99467150000000004</v>
      </c>
      <c r="Y2417">
        <v>-0.32530750000000003</v>
      </c>
      <c r="Z2417">
        <v>5.6626790000000003E-2</v>
      </c>
      <c r="AA2417">
        <v>0.94391130000000001</v>
      </c>
      <c r="AB2417">
        <v>20</v>
      </c>
      <c r="AC2417">
        <v>3.9160999999999699</v>
      </c>
      <c r="AD2417">
        <v>-1.1113044358333899</v>
      </c>
      <c r="AE2417">
        <v>-18.453999999999901</v>
      </c>
      <c r="AF2417">
        <v>-6.1732121004380103</v>
      </c>
      <c r="AG2417">
        <v>-1.1113044358333899</v>
      </c>
      <c r="AH2417">
        <v>17.757257962033801</v>
      </c>
      <c r="AI2417">
        <v>93.382981679961006</v>
      </c>
      <c r="AJ2417">
        <v>109.16972343630501</v>
      </c>
      <c r="AK2417">
        <v>18.832518565404602</v>
      </c>
      <c r="AL2417">
        <v>90.938234016658996</v>
      </c>
      <c r="AM2417">
        <v>95.842806244966795</v>
      </c>
      <c r="AN2417">
        <v>0.99999994395563396</v>
      </c>
    </row>
    <row r="2418" spans="1:40" x14ac:dyDescent="0.3">
      <c r="A2418" t="str">
        <f>"20200111160455921"</f>
        <v>20200111160455921</v>
      </c>
      <c r="B2418" t="str">
        <f>"1578729895913418"</f>
        <v>1578729895913418</v>
      </c>
      <c r="C2418" t="s">
        <v>40</v>
      </c>
      <c r="D2418">
        <v>5.4496060000000002</v>
      </c>
      <c r="E2418">
        <v>0.41196850000000002</v>
      </c>
      <c r="F2418" t="s">
        <v>41</v>
      </c>
      <c r="G2418">
        <v>-488.69200000000001</v>
      </c>
      <c r="H2418" s="1">
        <v>-4.8125790000000001E-7</v>
      </c>
      <c r="I2418">
        <v>240.03960000000001</v>
      </c>
      <c r="J2418">
        <v>-492.56700000000001</v>
      </c>
      <c r="K2418">
        <v>1.111308</v>
      </c>
      <c r="L2418">
        <v>258.17500000000001</v>
      </c>
      <c r="M2418">
        <v>-0.12378069999999999</v>
      </c>
      <c r="N2418">
        <v>0</v>
      </c>
      <c r="O2418">
        <v>-0.99225359999999996</v>
      </c>
      <c r="P2418">
        <v>-2.1453079999999999E-2</v>
      </c>
      <c r="Q2418">
        <v>-2.6171960000000001E-2</v>
      </c>
      <c r="R2418">
        <v>-0.99942759999999997</v>
      </c>
      <c r="S2418">
        <v>0.63595579999999996</v>
      </c>
      <c r="T2418">
        <v>-0.18315010000000001</v>
      </c>
      <c r="U2418">
        <v>-3.0119479999999998</v>
      </c>
      <c r="V2418">
        <v>-0.10238899999999999</v>
      </c>
      <c r="W2418">
        <v>-1.5931919999999999E-2</v>
      </c>
      <c r="X2418">
        <v>0.99461690000000003</v>
      </c>
      <c r="Y2418">
        <v>-0.32576500000000003</v>
      </c>
      <c r="Z2418">
        <v>5.7702910000000003E-2</v>
      </c>
      <c r="AA2418">
        <v>0.94368830000000004</v>
      </c>
      <c r="AB2418">
        <v>20</v>
      </c>
      <c r="AC2418">
        <v>3.875</v>
      </c>
      <c r="AD2418">
        <v>-1.1113084812578999</v>
      </c>
      <c r="AE2418">
        <v>-18.135400000000001</v>
      </c>
      <c r="AF2418">
        <v>-6.0683416464057496</v>
      </c>
      <c r="AG2418">
        <v>-1.1113084812578999</v>
      </c>
      <c r="AH2418">
        <v>17.453561710610799</v>
      </c>
      <c r="AI2418">
        <v>93.441675404229201</v>
      </c>
      <c r="AJ2418">
        <v>109.17179658748999</v>
      </c>
      <c r="AK2418">
        <v>18.511796057220302</v>
      </c>
      <c r="AL2418">
        <v>90.9128703459604</v>
      </c>
      <c r="AM2418">
        <v>95.877504682288802</v>
      </c>
      <c r="AN2418">
        <v>1.00000005558074</v>
      </c>
    </row>
    <row r="2419" spans="1:40" x14ac:dyDescent="0.3">
      <c r="A2419" t="str">
        <f>"20200111160455939"</f>
        <v>20200111160455939</v>
      </c>
      <c r="B2419" t="str">
        <f>"1578729895932938"</f>
        <v>1578729895932938</v>
      </c>
      <c r="C2419" t="s">
        <v>40</v>
      </c>
      <c r="D2419">
        <v>5.3418449999999904</v>
      </c>
      <c r="E2419">
        <v>0.41210829999999998</v>
      </c>
      <c r="F2419" t="s">
        <v>41</v>
      </c>
      <c r="G2419">
        <v>-488.62450000000001</v>
      </c>
      <c r="H2419" s="1">
        <v>-3.88183E-7</v>
      </c>
      <c r="I2419">
        <v>239.7133</v>
      </c>
      <c r="J2419">
        <v>-492.5847</v>
      </c>
      <c r="K2419">
        <v>1.111307</v>
      </c>
      <c r="L2419">
        <v>258.01799999999997</v>
      </c>
      <c r="M2419">
        <v>-0.12226770000000001</v>
      </c>
      <c r="N2419">
        <v>0</v>
      </c>
      <c r="O2419">
        <v>-0.99244109999999996</v>
      </c>
      <c r="P2419">
        <v>-1.9073139999999999E-2</v>
      </c>
      <c r="Q2419">
        <v>-2.5758710000000001E-2</v>
      </c>
      <c r="R2419">
        <v>-0.9994864</v>
      </c>
      <c r="S2419">
        <v>0.64294430000000002</v>
      </c>
      <c r="T2419">
        <v>-0.18123449999999999</v>
      </c>
      <c r="U2419">
        <v>-3.0107729999999999</v>
      </c>
      <c r="V2419">
        <v>-0.1032433</v>
      </c>
      <c r="W2419">
        <v>-1.5522889999999999E-2</v>
      </c>
      <c r="X2419">
        <v>0.99453499999999995</v>
      </c>
      <c r="Y2419">
        <v>-0.32650129999999999</v>
      </c>
      <c r="Z2419">
        <v>5.711894E-2</v>
      </c>
      <c r="AA2419">
        <v>0.94346929999999996</v>
      </c>
      <c r="AB2419">
        <v>20</v>
      </c>
      <c r="AC2419">
        <v>3.96019999999998</v>
      </c>
      <c r="AD2419">
        <v>-1.111307388183</v>
      </c>
      <c r="AE2419">
        <v>-18.304699999999901</v>
      </c>
      <c r="AF2419">
        <v>-6.1470377757470498</v>
      </c>
      <c r="AG2419">
        <v>-1.111307388183</v>
      </c>
      <c r="AH2419">
        <v>17.6210706025619</v>
      </c>
      <c r="AI2419">
        <v>93.407806396274097</v>
      </c>
      <c r="AJ2419">
        <v>109.23111496881</v>
      </c>
      <c r="AK2419">
        <v>18.6955397543896</v>
      </c>
      <c r="AL2419">
        <v>90.8894318025107</v>
      </c>
      <c r="AM2419">
        <v>95.926681607988101</v>
      </c>
      <c r="AN2419">
        <v>1.00000000266692</v>
      </c>
    </row>
    <row r="2420" spans="1:40" x14ac:dyDescent="0.3">
      <c r="A2420" t="str">
        <f>"20200111160455953"</f>
        <v>20200111160455953</v>
      </c>
      <c r="B2420" t="str">
        <f>"1578729895943674"</f>
        <v>1578729895943674</v>
      </c>
      <c r="C2420" t="s">
        <v>40</v>
      </c>
      <c r="D2420">
        <v>5.3276589999999997</v>
      </c>
      <c r="E2420">
        <v>0.41211920000000002</v>
      </c>
      <c r="F2420" t="s">
        <v>41</v>
      </c>
      <c r="G2420">
        <v>-488.51240000000001</v>
      </c>
      <c r="H2420" s="1">
        <v>-4.3370059999999999E-6</v>
      </c>
      <c r="I2420">
        <v>239.12729999999999</v>
      </c>
      <c r="J2420">
        <v>-492.59890000000001</v>
      </c>
      <c r="K2420">
        <v>1.111305</v>
      </c>
      <c r="L2420">
        <v>257.89190000000002</v>
      </c>
      <c r="M2420">
        <v>-0.1210527</v>
      </c>
      <c r="N2420">
        <v>0</v>
      </c>
      <c r="O2420">
        <v>-0.99259010000000003</v>
      </c>
      <c r="P2420">
        <v>-1.7267230000000001E-2</v>
      </c>
      <c r="Q2420">
        <v>-2.5681550000000001E-2</v>
      </c>
      <c r="R2420">
        <v>-0.99952099999999999</v>
      </c>
      <c r="S2420">
        <v>0.64874270000000001</v>
      </c>
      <c r="T2420">
        <v>-0.17703579999999999</v>
      </c>
      <c r="U2420">
        <v>-3.0093540000000001</v>
      </c>
      <c r="V2420">
        <v>-0.1038234</v>
      </c>
      <c r="W2420">
        <v>-1.5445560000000001E-2</v>
      </c>
      <c r="X2420">
        <v>0.99447580000000002</v>
      </c>
      <c r="Y2420">
        <v>-0.3271888</v>
      </c>
      <c r="Z2420">
        <v>5.582082E-2</v>
      </c>
      <c r="AA2420">
        <v>0.94330879999999995</v>
      </c>
      <c r="AB2420">
        <v>20</v>
      </c>
      <c r="AC2420">
        <v>4.0865</v>
      </c>
      <c r="AD2420">
        <v>-1.1113093370059901</v>
      </c>
      <c r="AE2420">
        <v>-18.764600000000002</v>
      </c>
      <c r="AF2420">
        <v>-6.3069569040435303</v>
      </c>
      <c r="AG2420">
        <v>-1.1113093370059901</v>
      </c>
      <c r="AH2420">
        <v>18.071367539383399</v>
      </c>
      <c r="AI2420">
        <v>93.322928445284603</v>
      </c>
      <c r="AJ2420">
        <v>109.239127577885</v>
      </c>
      <c r="AK2420">
        <v>19.172559520717599</v>
      </c>
      <c r="AL2420">
        <v>90.885000599634395</v>
      </c>
      <c r="AM2420">
        <v>95.960095453460795</v>
      </c>
      <c r="AN2420">
        <v>0.99999999024845598</v>
      </c>
    </row>
    <row r="2421" spans="1:40" x14ac:dyDescent="0.3">
      <c r="A2421" t="str">
        <f>"20200111160456049"</f>
        <v>20200111160456049</v>
      </c>
      <c r="B2421" t="str">
        <f>"1578729896043226"</f>
        <v>1578729896043226</v>
      </c>
      <c r="C2421" t="s">
        <v>40</v>
      </c>
      <c r="D2421">
        <v>5.3848279999999997</v>
      </c>
      <c r="E2421">
        <v>0.41283900000000001</v>
      </c>
      <c r="F2421" t="s">
        <v>41</v>
      </c>
      <c r="G2421">
        <v>-488.4683</v>
      </c>
      <c r="H2421" s="1">
        <v>-4.2427829999999996E-6</v>
      </c>
      <c r="I2421">
        <v>238.8895</v>
      </c>
      <c r="J2421">
        <v>-492.6902</v>
      </c>
      <c r="K2421">
        <v>1.111307</v>
      </c>
      <c r="L2421">
        <v>257.0401</v>
      </c>
      <c r="M2421">
        <v>-0.1128793</v>
      </c>
      <c r="N2421">
        <v>0</v>
      </c>
      <c r="O2421">
        <v>-0.99355170000000004</v>
      </c>
      <c r="P2421">
        <v>-3.3026729999999999E-3</v>
      </c>
      <c r="Q2421">
        <v>-2.712815E-2</v>
      </c>
      <c r="R2421">
        <v>-0.99962660000000003</v>
      </c>
      <c r="S2421">
        <v>0.65390009999999998</v>
      </c>
      <c r="T2421">
        <v>-0.17592729999999901</v>
      </c>
      <c r="U2421">
        <v>-3.0082089999999999</v>
      </c>
      <c r="V2421">
        <v>-0.1095206</v>
      </c>
      <c r="W2421">
        <v>-1.681972E-2</v>
      </c>
      <c r="X2421">
        <v>0.99384220000000001</v>
      </c>
      <c r="Y2421">
        <v>-0.32102760000000002</v>
      </c>
      <c r="Z2421">
        <v>5.5627870000000003E-2</v>
      </c>
      <c r="AA2421">
        <v>0.94543469999999996</v>
      </c>
      <c r="AB2421">
        <v>20</v>
      </c>
      <c r="AC2421">
        <v>4.2218999999999998</v>
      </c>
      <c r="AD2421">
        <v>-1.1113112427830001</v>
      </c>
      <c r="AE2421">
        <v>-18.150600000000001</v>
      </c>
      <c r="AF2421">
        <v>-6.2217299033818199</v>
      </c>
      <c r="AG2421">
        <v>-1.1113112427830001</v>
      </c>
      <c r="AH2421">
        <v>17.495767655894799</v>
      </c>
      <c r="AI2421">
        <v>93.424913234532298</v>
      </c>
      <c r="AJ2421">
        <v>109.57606945715899</v>
      </c>
      <c r="AK2421">
        <v>18.602333765902198</v>
      </c>
      <c r="AL2421">
        <v>90.963744421307595</v>
      </c>
      <c r="AM2421">
        <v>96.288574239227898</v>
      </c>
      <c r="AN2421">
        <v>0.99999999165303899</v>
      </c>
    </row>
    <row r="2422" spans="1:40" x14ac:dyDescent="0.3">
      <c r="A2422" t="str">
        <f>"20200111160456062"</f>
        <v>20200111160456062</v>
      </c>
      <c r="B2422" t="str">
        <f>"1578729896052986"</f>
        <v>1578729896052986</v>
      </c>
      <c r="C2422" t="s">
        <v>40</v>
      </c>
      <c r="D2422">
        <v>5.4031599999999997</v>
      </c>
      <c r="E2422">
        <v>0.41322409999999998</v>
      </c>
      <c r="F2422" t="s">
        <v>41</v>
      </c>
      <c r="G2422">
        <v>-488.49619999999999</v>
      </c>
      <c r="H2422" s="1">
        <v>-4.2064330000000004E-6</v>
      </c>
      <c r="I2422">
        <v>238.81630000000001</v>
      </c>
      <c r="J2422">
        <v>-492.70240000000001</v>
      </c>
      <c r="K2422">
        <v>1.1113090000000001</v>
      </c>
      <c r="L2422">
        <v>256.92250000000001</v>
      </c>
      <c r="M2422">
        <v>-0.1117557</v>
      </c>
      <c r="N2422">
        <v>0</v>
      </c>
      <c r="O2422">
        <v>-0.99367859999999997</v>
      </c>
      <c r="P2422">
        <v>-1.291469E-3</v>
      </c>
      <c r="Q2422">
        <v>-2.7307689999999999E-2</v>
      </c>
      <c r="R2422">
        <v>-0.99962660000000003</v>
      </c>
      <c r="S2422">
        <v>0.69006350000000005</v>
      </c>
      <c r="T2422">
        <v>-0.18284900000000001</v>
      </c>
      <c r="U2422">
        <v>-2.9984440000000001</v>
      </c>
      <c r="V2422">
        <v>-0.1103946</v>
      </c>
      <c r="W2422">
        <v>-1.6985710000000001E-2</v>
      </c>
      <c r="X2422">
        <v>0.99374269999999998</v>
      </c>
      <c r="Y2422">
        <v>-0.33140459999999999</v>
      </c>
      <c r="Z2422">
        <v>5.7820580000000003E-2</v>
      </c>
      <c r="AA2422">
        <v>0.94171539999999998</v>
      </c>
      <c r="AB2422">
        <v>20</v>
      </c>
      <c r="AC2422">
        <v>4.2062000000000204</v>
      </c>
      <c r="AD2422">
        <v>-1.111313206433</v>
      </c>
      <c r="AE2422">
        <v>-18.106200000000001</v>
      </c>
      <c r="AF2422">
        <v>-6.1813400606109097</v>
      </c>
      <c r="AG2422">
        <v>-1.111313206433</v>
      </c>
      <c r="AH2422">
        <v>17.4602628272368</v>
      </c>
      <c r="AI2422">
        <v>93.433583168515099</v>
      </c>
      <c r="AJ2422">
        <v>109.49514995941099</v>
      </c>
      <c r="AK2422">
        <v>18.555450950701601</v>
      </c>
      <c r="AL2422">
        <v>90.973256281142596</v>
      </c>
      <c r="AM2422">
        <v>96.338981166375504</v>
      </c>
      <c r="AN2422">
        <v>1.0000000179283199</v>
      </c>
    </row>
    <row r="2423" spans="1:40" x14ac:dyDescent="0.3">
      <c r="A2423" t="str">
        <f>"20200111160456075"</f>
        <v>20200111160456075</v>
      </c>
      <c r="B2423" t="str">
        <f>"1578729896063722"</f>
        <v>1578729896063722</v>
      </c>
      <c r="C2423" t="s">
        <v>40</v>
      </c>
      <c r="D2423">
        <v>5.4293139999999998</v>
      </c>
      <c r="E2423">
        <v>0.4136611</v>
      </c>
      <c r="F2423" t="s">
        <v>41</v>
      </c>
      <c r="G2423">
        <v>-488.5566</v>
      </c>
      <c r="H2423" s="1">
        <v>-4.277174E-6</v>
      </c>
      <c r="I2423">
        <v>239.00620000000001</v>
      </c>
      <c r="J2423">
        <v>-492.71319999999997</v>
      </c>
      <c r="K2423">
        <v>1.1113010000000001</v>
      </c>
      <c r="L2423">
        <v>256.81529999999998</v>
      </c>
      <c r="M2423">
        <v>-0.1107329</v>
      </c>
      <c r="N2423">
        <v>0</v>
      </c>
      <c r="O2423">
        <v>-0.99379280000000003</v>
      </c>
      <c r="P2423">
        <v>7.9880130000000002E-4</v>
      </c>
      <c r="Q2423">
        <v>-2.7278750000000001E-2</v>
      </c>
      <c r="R2423">
        <v>-0.99962759999999995</v>
      </c>
      <c r="S2423">
        <v>0.69348140000000003</v>
      </c>
      <c r="T2423">
        <v>-0.1858968</v>
      </c>
      <c r="U2423">
        <v>-2.9969790000000001</v>
      </c>
      <c r="V2423">
        <v>-0.1114503</v>
      </c>
      <c r="W2423">
        <v>-1.694234E-2</v>
      </c>
      <c r="X2423">
        <v>0.9936256</v>
      </c>
      <c r="Y2423">
        <v>-0.33154070000000002</v>
      </c>
      <c r="Z2423">
        <v>5.8810340000000003E-2</v>
      </c>
      <c r="AA2423">
        <v>0.9416061</v>
      </c>
      <c r="AB2423">
        <v>20</v>
      </c>
      <c r="AC2423">
        <v>4.1565999999999601</v>
      </c>
      <c r="AD2423">
        <v>-1.111305277174</v>
      </c>
      <c r="AE2423">
        <v>-17.809099999999901</v>
      </c>
      <c r="AF2423">
        <v>-6.0807461130182903</v>
      </c>
      <c r="AG2423">
        <v>-1.111305277174</v>
      </c>
      <c r="AH2423">
        <v>17.175840844654999</v>
      </c>
      <c r="AI2423">
        <v>93.490270803845206</v>
      </c>
      <c r="AJ2423">
        <v>109.495440652445</v>
      </c>
      <c r="AK2423">
        <v>18.254314049861801</v>
      </c>
      <c r="AL2423">
        <v>90.970771001049599</v>
      </c>
      <c r="AM2423">
        <v>96.399848034136099</v>
      </c>
      <c r="AN2423">
        <v>1.00000002261506</v>
      </c>
    </row>
    <row r="2424" spans="1:40" x14ac:dyDescent="0.3">
      <c r="A2424" t="str">
        <f>"20200111160456088"</f>
        <v>20200111160456088</v>
      </c>
      <c r="B2424" t="str">
        <f>"1578729896083243"</f>
        <v>1578729896083243</v>
      </c>
      <c r="C2424" t="s">
        <v>40</v>
      </c>
      <c r="D2424">
        <v>5.346425</v>
      </c>
      <c r="E2424">
        <v>0.4142807</v>
      </c>
      <c r="F2424" t="s">
        <v>41</v>
      </c>
      <c r="G2424">
        <v>-488.58159999999998</v>
      </c>
      <c r="H2424" s="1">
        <v>-4.2871290000000002E-6</v>
      </c>
      <c r="I2424">
        <v>239.03970000000001</v>
      </c>
      <c r="J2424">
        <v>-492.72469999999998</v>
      </c>
      <c r="K2424">
        <v>1.1113040000000001</v>
      </c>
      <c r="L2424">
        <v>256.7004</v>
      </c>
      <c r="M2424">
        <v>-0.1096347</v>
      </c>
      <c r="N2424">
        <v>0</v>
      </c>
      <c r="O2424">
        <v>-0.99391439999999998</v>
      </c>
      <c r="P2424">
        <v>2.9554550000000001E-3</v>
      </c>
      <c r="Q2424">
        <v>-2.726073E-2</v>
      </c>
      <c r="R2424">
        <v>-0.99962419999999996</v>
      </c>
      <c r="S2424">
        <v>0.69622799999999996</v>
      </c>
      <c r="T2424">
        <v>-0.1872711</v>
      </c>
      <c r="U2424">
        <v>-2.9954529999999999</v>
      </c>
      <c r="V2424">
        <v>-0.1124955</v>
      </c>
      <c r="W2424">
        <v>-1.6907760000000001E-2</v>
      </c>
      <c r="X2424">
        <v>0.99350839999999996</v>
      </c>
      <c r="Y2424">
        <v>-0.33141670000000001</v>
      </c>
      <c r="Z2424">
        <v>5.9279369999999998E-2</v>
      </c>
      <c r="AA2424">
        <v>0.94162029999999997</v>
      </c>
      <c r="AB2424">
        <v>20</v>
      </c>
      <c r="AC2424">
        <v>4.1430999999999996</v>
      </c>
      <c r="AD2424">
        <v>-1.1113082871289901</v>
      </c>
      <c r="AE2424">
        <v>-17.660699999999899</v>
      </c>
      <c r="AF2424">
        <v>-6.03182077269941</v>
      </c>
      <c r="AG2424">
        <v>-1.1113082871289901</v>
      </c>
      <c r="AH2424">
        <v>17.0360372147315</v>
      </c>
      <c r="AI2424">
        <v>93.518814110565501</v>
      </c>
      <c r="AJ2424">
        <v>109.497141766288</v>
      </c>
      <c r="AK2424">
        <v>18.106474861902999</v>
      </c>
      <c r="AL2424">
        <v>90.968789426531799</v>
      </c>
      <c r="AM2424">
        <v>96.460117517361994</v>
      </c>
      <c r="AN2424">
        <v>1.00000002536951</v>
      </c>
    </row>
    <row r="2425" spans="1:40" x14ac:dyDescent="0.3">
      <c r="A2425" t="str">
        <f>"20200111160456104"</f>
        <v>20200111160456104</v>
      </c>
      <c r="B2425" t="str">
        <f>"1578729896093002"</f>
        <v>1578729896093002</v>
      </c>
      <c r="C2425" t="s">
        <v>40</v>
      </c>
      <c r="D2425">
        <v>5.3623329999999996</v>
      </c>
      <c r="E2425">
        <v>0.41434369999999998</v>
      </c>
      <c r="F2425" t="s">
        <v>41</v>
      </c>
      <c r="G2425">
        <v>-488.64490000000001</v>
      </c>
      <c r="H2425" s="1">
        <v>-4.339565E-6</v>
      </c>
      <c r="I2425">
        <v>239.18809999999999</v>
      </c>
      <c r="J2425">
        <v>-492.73989999999998</v>
      </c>
      <c r="K2425">
        <v>1.11131</v>
      </c>
      <c r="L2425">
        <v>256.54820000000001</v>
      </c>
      <c r="M2425">
        <v>-0.10818079999999999</v>
      </c>
      <c r="N2425">
        <v>0</v>
      </c>
      <c r="O2425">
        <v>-0.99407350000000005</v>
      </c>
      <c r="P2425">
        <v>6.4222849999999998E-3</v>
      </c>
      <c r="Q2425">
        <v>-2.6865E-2</v>
      </c>
      <c r="R2425">
        <v>-0.99961849999999997</v>
      </c>
      <c r="S2425">
        <v>0.69747919999999997</v>
      </c>
      <c r="T2425">
        <v>-0.18998809999999999</v>
      </c>
      <c r="U2425">
        <v>-2.993881</v>
      </c>
      <c r="V2425">
        <v>-0.1144896</v>
      </c>
      <c r="W2425">
        <v>-1.6490979999999999E-2</v>
      </c>
      <c r="X2425">
        <v>0.99328760000000005</v>
      </c>
      <c r="Y2425">
        <v>-0.33050669999999999</v>
      </c>
      <c r="Z2425">
        <v>6.0188890000000002E-2</v>
      </c>
      <c r="AA2425">
        <v>0.94188249999999996</v>
      </c>
      <c r="AB2425">
        <v>20</v>
      </c>
      <c r="AC2425">
        <v>4.0949999999999704</v>
      </c>
      <c r="AD2425">
        <v>-1.111314339565</v>
      </c>
      <c r="AE2425">
        <v>-17.360099999999999</v>
      </c>
      <c r="AF2425">
        <v>-5.9260969919837603</v>
      </c>
      <c r="AG2425">
        <v>-1.111314339565</v>
      </c>
      <c r="AH2425">
        <v>16.750156452608</v>
      </c>
      <c r="AI2425">
        <v>93.579037509888806</v>
      </c>
      <c r="AJ2425">
        <v>109.483449949128</v>
      </c>
      <c r="AK2425">
        <v>17.802285985416798</v>
      </c>
      <c r="AL2425">
        <v>90.944906349101203</v>
      </c>
      <c r="AM2425">
        <v>96.575084648941299</v>
      </c>
      <c r="AN2425">
        <v>1.0000000386216299</v>
      </c>
    </row>
    <row r="2426" spans="1:40" x14ac:dyDescent="0.3">
      <c r="A2426" t="str">
        <f>"20200111160456374"</f>
        <v>20200111160456374</v>
      </c>
      <c r="B2426" t="str">
        <f>"1578729896363353"</f>
        <v>1578729896363353</v>
      </c>
      <c r="C2426" t="s">
        <v>40</v>
      </c>
      <c r="D2426">
        <v>5.4119809999999999</v>
      </c>
      <c r="E2426">
        <v>0.41369909999999999</v>
      </c>
      <c r="F2426" t="s">
        <v>41</v>
      </c>
      <c r="G2426">
        <v>-488.56849999999997</v>
      </c>
      <c r="H2426" s="1">
        <v>-4.2357809999999999E-6</v>
      </c>
      <c r="I2426">
        <v>238.91460000000001</v>
      </c>
      <c r="J2426">
        <v>-492.94749999999999</v>
      </c>
      <c r="K2426">
        <v>1.111556</v>
      </c>
      <c r="L2426">
        <v>254.1551</v>
      </c>
      <c r="M2426">
        <v>-8.5383559999999997E-2</v>
      </c>
      <c r="N2426">
        <v>0</v>
      </c>
      <c r="O2426">
        <v>-0.99627330000000003</v>
      </c>
      <c r="P2426">
        <v>3.2407829999999999E-2</v>
      </c>
      <c r="Q2426">
        <v>-2.423641E-2</v>
      </c>
      <c r="R2426">
        <v>-0.99918110000000004</v>
      </c>
      <c r="S2426">
        <v>0.70767209999999903</v>
      </c>
      <c r="T2426">
        <v>-0.18853590000000001</v>
      </c>
      <c r="U2426">
        <v>-2.9915620000000001</v>
      </c>
      <c r="V2426">
        <v>-0.1175794</v>
      </c>
      <c r="W2426">
        <v>-1.238974E-2</v>
      </c>
      <c r="X2426">
        <v>0.99298620000000004</v>
      </c>
      <c r="Y2426">
        <v>-0.31203619999999999</v>
      </c>
      <c r="Z2426">
        <v>6.0154560000000003E-2</v>
      </c>
      <c r="AA2426">
        <v>0.94816389999999995</v>
      </c>
      <c r="AB2426">
        <v>20</v>
      </c>
      <c r="AC2426">
        <v>4.3790000000000102</v>
      </c>
      <c r="AD2426">
        <v>-1.1115602357809999</v>
      </c>
      <c r="AE2426">
        <v>-15.2404999999999</v>
      </c>
      <c r="AF2426">
        <v>-5.6366938361869598</v>
      </c>
      <c r="AG2426">
        <v>-1.1115602357809999</v>
      </c>
      <c r="AH2426">
        <v>14.738491336696001</v>
      </c>
      <c r="AI2426">
        <v>94.029425415881505</v>
      </c>
      <c r="AJ2426">
        <v>110.929210315502</v>
      </c>
      <c r="AK2426">
        <v>15.8186918056627</v>
      </c>
      <c r="AL2426">
        <v>90.709897969185704</v>
      </c>
      <c r="AM2426">
        <v>96.752944064091196</v>
      </c>
      <c r="AN2426">
        <v>1.00000000717603</v>
      </c>
    </row>
    <row r="2427" spans="1:40" x14ac:dyDescent="0.3">
      <c r="A2427" t="str">
        <f>"20200111160456386"</f>
        <v>20200111160456386</v>
      </c>
      <c r="B2427" t="str">
        <f>"1578729896383850"</f>
        <v>1578729896383850</v>
      </c>
      <c r="C2427" t="s">
        <v>40</v>
      </c>
      <c r="D2427">
        <v>5.2328359999999998</v>
      </c>
      <c r="E2427">
        <v>0.49903359999999902</v>
      </c>
      <c r="F2427" t="s">
        <v>41</v>
      </c>
      <c r="G2427">
        <v>-487.90859999999998</v>
      </c>
      <c r="H2427" s="1">
        <v>-2.7536499999999999E-6</v>
      </c>
      <c r="I2427">
        <v>235.18680000000001</v>
      </c>
      <c r="J2427">
        <v>-492.95620000000002</v>
      </c>
      <c r="K2427">
        <v>1.111564</v>
      </c>
      <c r="L2427">
        <v>254.03989999999999</v>
      </c>
      <c r="M2427">
        <v>-8.4296670000000004E-2</v>
      </c>
      <c r="N2427">
        <v>0</v>
      </c>
      <c r="O2427">
        <v>-0.99636449999999999</v>
      </c>
      <c r="P2427">
        <v>3.3419869999999997E-2</v>
      </c>
      <c r="Q2427">
        <v>-2.4160379999999999E-2</v>
      </c>
      <c r="R2427">
        <v>-0.99914930000000002</v>
      </c>
      <c r="S2427">
        <v>0.78967290000000001</v>
      </c>
      <c r="T2427">
        <v>-0.17419799999999999</v>
      </c>
      <c r="U2427">
        <v>-2.97261</v>
      </c>
      <c r="V2427">
        <v>-0.11750289999999999</v>
      </c>
      <c r="W2427">
        <v>-1.2217489999999999E-2</v>
      </c>
      <c r="X2427">
        <v>0.99299740000000003</v>
      </c>
      <c r="Y2427">
        <v>-0.33690679999999901</v>
      </c>
      <c r="Z2427">
        <v>5.5517200000000003E-2</v>
      </c>
      <c r="AA2427">
        <v>0.93989979999999995</v>
      </c>
      <c r="AB2427">
        <v>20</v>
      </c>
      <c r="AC2427">
        <v>5.0476000000000401</v>
      </c>
      <c r="AD2427">
        <v>-1.11156675365</v>
      </c>
      <c r="AE2427">
        <v>-18.853099999999898</v>
      </c>
      <c r="AF2427">
        <v>-6.5976049635778198</v>
      </c>
      <c r="AG2427">
        <v>-1.11156675365</v>
      </c>
      <c r="AH2427">
        <v>18.301094627595401</v>
      </c>
      <c r="AI2427">
        <v>93.270221110911507</v>
      </c>
      <c r="AJ2427">
        <v>109.824400614216</v>
      </c>
      <c r="AK2427">
        <v>19.485739310363599</v>
      </c>
      <c r="AL2427">
        <v>90.700028016924605</v>
      </c>
      <c r="AM2427">
        <v>96.748515556826902</v>
      </c>
      <c r="AN2427">
        <v>1.00000001748853</v>
      </c>
    </row>
    <row r="2428" spans="1:40" x14ac:dyDescent="0.3">
      <c r="A2428" t="str">
        <f>"20200111160456399"</f>
        <v>20200111160456399</v>
      </c>
      <c r="B2428" t="str">
        <f>"1578729896393609"</f>
        <v>1578729896393609</v>
      </c>
      <c r="C2428" t="s">
        <v>40</v>
      </c>
      <c r="D2428">
        <v>5.205406</v>
      </c>
      <c r="E2428">
        <v>0.50547429999999904</v>
      </c>
      <c r="F2428" t="s">
        <v>41</v>
      </c>
      <c r="G2428">
        <v>-492.55169999999998</v>
      </c>
      <c r="H2428" s="1">
        <v>-2.4711739999999999E-6</v>
      </c>
      <c r="I2428">
        <v>243.76689999999999</v>
      </c>
      <c r="J2428">
        <v>-492.96480000000003</v>
      </c>
      <c r="K2428">
        <v>1.1115729999999999</v>
      </c>
      <c r="L2428">
        <v>253.92169999999999</v>
      </c>
      <c r="M2428">
        <v>-8.3181279999999996E-2</v>
      </c>
      <c r="N2428">
        <v>0</v>
      </c>
      <c r="O2428">
        <v>-0.99645709999999998</v>
      </c>
      <c r="P2428">
        <v>3.4241630000000002E-2</v>
      </c>
      <c r="Q2428">
        <v>-2.4300080000000002E-2</v>
      </c>
      <c r="R2428">
        <v>-0.99911810000000001</v>
      </c>
      <c r="S2428">
        <v>0.11776730000000001</v>
      </c>
      <c r="T2428">
        <v>-0.32361390000000001</v>
      </c>
      <c r="U2428">
        <v>-2.9908139999999999</v>
      </c>
      <c r="V2428">
        <v>-0.1172074</v>
      </c>
      <c r="W2428">
        <v>-1.226206E-2</v>
      </c>
      <c r="X2428">
        <v>0.99303169999999996</v>
      </c>
      <c r="Y2428">
        <v>-0.1221061</v>
      </c>
      <c r="Z2428">
        <v>0.1065724</v>
      </c>
      <c r="AA2428">
        <v>0.98677879999999996</v>
      </c>
      <c r="AB2428">
        <v>20</v>
      </c>
      <c r="AC2428">
        <v>0.41310000000004199</v>
      </c>
      <c r="AD2428">
        <v>-1.111575471174</v>
      </c>
      <c r="AE2428">
        <v>-10.1547999999999</v>
      </c>
      <c r="AF2428">
        <v>-1.24157039718586</v>
      </c>
      <c r="AG2428">
        <v>-1.111575471174</v>
      </c>
      <c r="AH2428">
        <v>9.9660204101384604</v>
      </c>
      <c r="AI2428">
        <v>96.315844849445199</v>
      </c>
      <c r="AJ2428">
        <v>97.101341352962706</v>
      </c>
      <c r="AK2428">
        <v>10.104388150431401</v>
      </c>
      <c r="AL2428">
        <v>90.702581932034605</v>
      </c>
      <c r="AM2428">
        <v>96.731469737736802</v>
      </c>
      <c r="AN2428">
        <v>0.99999994496754496</v>
      </c>
    </row>
    <row r="2429" spans="1:40" x14ac:dyDescent="0.3">
      <c r="A2429" t="str">
        <f>"20200111160456418"</f>
        <v>20200111160456418</v>
      </c>
      <c r="B2429" t="str">
        <f>"1578729896413130"</f>
        <v>1578729896413130</v>
      </c>
      <c r="C2429" t="s">
        <v>40</v>
      </c>
      <c r="D2429">
        <v>5.187856</v>
      </c>
      <c r="E2429">
        <v>0.51045299999999905</v>
      </c>
      <c r="F2429" t="s">
        <v>41</v>
      </c>
      <c r="G2429">
        <v>-492.72840000000002</v>
      </c>
      <c r="H2429" s="1">
        <v>-2.4511180000000002E-6</v>
      </c>
      <c r="I2429">
        <v>243.6105</v>
      </c>
      <c r="J2429">
        <v>-492.97609999999997</v>
      </c>
      <c r="K2429">
        <v>1.111575</v>
      </c>
      <c r="L2429">
        <v>253.7646</v>
      </c>
      <c r="M2429">
        <v>-8.1692260000000003E-2</v>
      </c>
      <c r="N2429">
        <v>0</v>
      </c>
      <c r="O2429">
        <v>-0.99657910000000005</v>
      </c>
      <c r="P2429">
        <v>3.512038E-2</v>
      </c>
      <c r="Q2429">
        <v>-2.438603E-2</v>
      </c>
      <c r="R2429">
        <v>-0.99908580000000002</v>
      </c>
      <c r="S2429">
        <v>6.8603520000000001E-2</v>
      </c>
      <c r="T2429">
        <v>-0.32259589999999999</v>
      </c>
      <c r="U2429">
        <v>-2.9924620000000002</v>
      </c>
      <c r="V2429">
        <v>-0.1165971</v>
      </c>
      <c r="W2429">
        <v>-1.223056E-2</v>
      </c>
      <c r="X2429">
        <v>0.99310399999999999</v>
      </c>
      <c r="Y2429">
        <v>-0.1043883</v>
      </c>
      <c r="Z2429">
        <v>0.1063384</v>
      </c>
      <c r="AA2429">
        <v>0.98883529999999997</v>
      </c>
      <c r="AB2429">
        <v>20</v>
      </c>
      <c r="AC2429">
        <v>0.24769999999995199</v>
      </c>
      <c r="AD2429">
        <v>-1.1115774511180001</v>
      </c>
      <c r="AE2429">
        <v>-10.1541</v>
      </c>
      <c r="AF2429">
        <v>-1.0637084922769899</v>
      </c>
      <c r="AG2429">
        <v>-1.1115774511180001</v>
      </c>
      <c r="AH2429">
        <v>9.9803864902597397</v>
      </c>
      <c r="AI2429">
        <v>96.319693982605202</v>
      </c>
      <c r="AJ2429">
        <v>96.083612094228201</v>
      </c>
      <c r="AK2429">
        <v>10.098276817424599</v>
      </c>
      <c r="AL2429">
        <v>90.700776932151797</v>
      </c>
      <c r="AM2429">
        <v>96.696254973493197</v>
      </c>
      <c r="AN2429">
        <v>1.0000000125711599</v>
      </c>
    </row>
    <row r="2430" spans="1:40" x14ac:dyDescent="0.3">
      <c r="A2430" t="str">
        <f>"20200111160456432"</f>
        <v>20200111160456432</v>
      </c>
      <c r="B2430" t="str">
        <f>"1578729896423866"</f>
        <v>1578729896423866</v>
      </c>
      <c r="C2430" t="s">
        <v>40</v>
      </c>
      <c r="D2430">
        <v>5.1568290000000001</v>
      </c>
      <c r="E2430">
        <v>0.51162149999999995</v>
      </c>
      <c r="F2430" t="s">
        <v>41</v>
      </c>
      <c r="G2430">
        <v>-492.86590000000001</v>
      </c>
      <c r="H2430" s="1">
        <v>-2.4413429999999999E-6</v>
      </c>
      <c r="I2430">
        <v>243.50239999999999</v>
      </c>
      <c r="J2430">
        <v>-492.98520000000002</v>
      </c>
      <c r="K2430">
        <v>1.111577</v>
      </c>
      <c r="L2430">
        <v>253.6369</v>
      </c>
      <c r="M2430">
        <v>-8.0475959999999999E-2</v>
      </c>
      <c r="N2430">
        <v>0</v>
      </c>
      <c r="O2430">
        <v>-0.99667700000000004</v>
      </c>
      <c r="P2430">
        <v>3.6098739999999997E-2</v>
      </c>
      <c r="Q2430">
        <v>-2.4267230000000001E-2</v>
      </c>
      <c r="R2430">
        <v>-0.99905370000000004</v>
      </c>
      <c r="S2430">
        <v>3.2165529999999998E-2</v>
      </c>
      <c r="T2430">
        <v>-0.32427020000000001</v>
      </c>
      <c r="U2430">
        <v>-2.9936980000000002</v>
      </c>
      <c r="V2430">
        <v>-0.11635909999999999</v>
      </c>
      <c r="W2430">
        <v>-1.202573E-2</v>
      </c>
      <c r="X2430">
        <v>0.99313439999999997</v>
      </c>
      <c r="Y2430">
        <v>-9.1123860000000001E-2</v>
      </c>
      <c r="Z2430">
        <v>0.1069375</v>
      </c>
      <c r="AA2430">
        <v>0.99008119999999999</v>
      </c>
      <c r="AB2430">
        <v>20</v>
      </c>
      <c r="AC2430">
        <v>0.119300000000009</v>
      </c>
      <c r="AD2430">
        <v>-1.111579441343</v>
      </c>
      <c r="AE2430">
        <v>-10.134499999999999</v>
      </c>
      <c r="AF2430">
        <v>-0.92345340615216298</v>
      </c>
      <c r="AG2430">
        <v>-1.111579441343</v>
      </c>
      <c r="AH2430">
        <v>9.9720721203212292</v>
      </c>
      <c r="AI2430">
        <v>96.333583573574401</v>
      </c>
      <c r="AJ2430">
        <v>95.290727191529101</v>
      </c>
      <c r="AK2430">
        <v>10.076239249870801</v>
      </c>
      <c r="AL2430">
        <v>90.689040184993004</v>
      </c>
      <c r="AM2430">
        <v>96.682507504411504</v>
      </c>
      <c r="AN2430">
        <v>0.99999999739910095</v>
      </c>
    </row>
    <row r="2431" spans="1:40" x14ac:dyDescent="0.3">
      <c r="A2431" t="str">
        <f>"20200111160456444"</f>
        <v>20200111160456444</v>
      </c>
      <c r="B2431" t="str">
        <f>"1578729896433626"</f>
        <v>1578729896433626</v>
      </c>
      <c r="C2431" t="s">
        <v>40</v>
      </c>
      <c r="D2431">
        <v>5.1472429999999996</v>
      </c>
      <c r="E2431">
        <v>0.51242989999999999</v>
      </c>
      <c r="F2431" t="s">
        <v>41</v>
      </c>
      <c r="G2431">
        <v>-492.89780000000002</v>
      </c>
      <c r="H2431" s="1">
        <v>-2.40872E-6</v>
      </c>
      <c r="I2431">
        <v>243.4066</v>
      </c>
      <c r="J2431">
        <v>-492.99299999999999</v>
      </c>
      <c r="K2431">
        <v>1.111575</v>
      </c>
      <c r="L2431">
        <v>253.52510000000001</v>
      </c>
      <c r="M2431">
        <v>-7.9409480000000005E-2</v>
      </c>
      <c r="N2431">
        <v>0</v>
      </c>
      <c r="O2431">
        <v>-0.99676149999999997</v>
      </c>
      <c r="P2431">
        <v>3.6875159999999997E-2</v>
      </c>
      <c r="Q2431">
        <v>-2.4362809999999999E-2</v>
      </c>
      <c r="R2431">
        <v>-0.99902299999999999</v>
      </c>
      <c r="S2431">
        <v>2.5573729999999999E-2</v>
      </c>
      <c r="T2431">
        <v>-0.32531569999999999</v>
      </c>
      <c r="U2431">
        <v>-2.9940030000000002</v>
      </c>
      <c r="V2431">
        <v>-0.1160679</v>
      </c>
      <c r="W2431">
        <v>-1.2050430000000001E-2</v>
      </c>
      <c r="X2431">
        <v>0.99316819999999895</v>
      </c>
      <c r="Y2431">
        <v>-8.7876949999999995E-2</v>
      </c>
      <c r="Z2431">
        <v>0.1072982</v>
      </c>
      <c r="AA2431">
        <v>0.99033559999999998</v>
      </c>
      <c r="AB2431">
        <v>20</v>
      </c>
      <c r="AC2431">
        <v>9.5200000000033896E-2</v>
      </c>
      <c r="AD2431">
        <v>-1.1115774087200001</v>
      </c>
      <c r="AE2431">
        <v>-10.118499999999999</v>
      </c>
      <c r="AF2431">
        <v>-0.88775590673769</v>
      </c>
      <c r="AG2431">
        <v>-1.1115774087200001</v>
      </c>
      <c r="AH2431">
        <v>9.9588055579752304</v>
      </c>
      <c r="AI2431">
        <v>96.343903161917495</v>
      </c>
      <c r="AJ2431">
        <v>95.094042065426194</v>
      </c>
      <c r="AK2431">
        <v>10.059896770200099</v>
      </c>
      <c r="AL2431">
        <v>90.690455476398895</v>
      </c>
      <c r="AM2431">
        <v>96.665709747836502</v>
      </c>
      <c r="AN2431">
        <v>1.0000000218824101</v>
      </c>
    </row>
    <row r="2432" spans="1:40" x14ac:dyDescent="0.3">
      <c r="A2432" t="str">
        <f>"20200111160456463"</f>
        <v>20200111160456463</v>
      </c>
      <c r="B2432" t="str">
        <f>"1578729896453654"</f>
        <v>1578729896453654</v>
      </c>
      <c r="C2432" t="s">
        <v>40</v>
      </c>
      <c r="D2432">
        <v>5.1373030000000002</v>
      </c>
      <c r="E2432">
        <v>0.51370479999999996</v>
      </c>
      <c r="F2432" t="s">
        <v>41</v>
      </c>
      <c r="G2432">
        <v>-492.92180000000002</v>
      </c>
      <c r="H2432" s="1">
        <v>-2.4134180000000001E-6</v>
      </c>
      <c r="I2432">
        <v>243.40270000000001</v>
      </c>
      <c r="J2432">
        <v>-493.00420000000003</v>
      </c>
      <c r="K2432">
        <v>1.1115710000000001</v>
      </c>
      <c r="L2432">
        <v>253.36150000000001</v>
      </c>
      <c r="M2432">
        <v>-7.7845919999999999E-2</v>
      </c>
      <c r="N2432">
        <v>0</v>
      </c>
      <c r="O2432">
        <v>-0.99688359999999998</v>
      </c>
      <c r="P2432">
        <v>3.8694060000000002E-2</v>
      </c>
      <c r="Q2432">
        <v>-2.452644E-2</v>
      </c>
      <c r="R2432">
        <v>-0.99895009999999995</v>
      </c>
      <c r="S2432">
        <v>2.105713E-2</v>
      </c>
      <c r="T2432">
        <v>-0.32879509999999901</v>
      </c>
      <c r="U2432">
        <v>-2.9941249999999999</v>
      </c>
      <c r="V2432">
        <v>-0.1163183</v>
      </c>
      <c r="W2432">
        <v>-1.2123399999999999E-2</v>
      </c>
      <c r="X2432">
        <v>0.99313799999999997</v>
      </c>
      <c r="Y2432">
        <v>-8.4819179999999994E-2</v>
      </c>
      <c r="Z2432">
        <v>0.10846310000000001</v>
      </c>
      <c r="AA2432">
        <v>0.99047540000000001</v>
      </c>
      <c r="AB2432">
        <v>20</v>
      </c>
      <c r="AC2432">
        <v>8.2400000000006898E-2</v>
      </c>
      <c r="AD2432">
        <v>-1.11157341341799</v>
      </c>
      <c r="AE2432">
        <v>-9.9587999999999894</v>
      </c>
      <c r="AF2432">
        <v>-0.84691460731603596</v>
      </c>
      <c r="AG2432">
        <v>-1.11157341341799</v>
      </c>
      <c r="AH2432">
        <v>9.8000741918197303</v>
      </c>
      <c r="AI2432">
        <v>96.447290703288004</v>
      </c>
      <c r="AJ2432">
        <v>94.939184294799801</v>
      </c>
      <c r="AK2432">
        <v>9.8992077445962394</v>
      </c>
      <c r="AL2432">
        <v>90.6946366662267</v>
      </c>
      <c r="AM2432">
        <v>96.680161543282793</v>
      </c>
      <c r="AN2432">
        <v>1.0000000053932201</v>
      </c>
    </row>
    <row r="2433" spans="1:40" x14ac:dyDescent="0.3">
      <c r="A2433" t="str">
        <f>"20200111160456478"</f>
        <v>20200111160456478</v>
      </c>
      <c r="B2433" t="str">
        <f>"1578729896473174"</f>
        <v>1578729896473174</v>
      </c>
      <c r="C2433" t="s">
        <v>40</v>
      </c>
      <c r="D2433">
        <v>5.1026800000000003</v>
      </c>
      <c r="E2433">
        <v>0.51445589999999997</v>
      </c>
      <c r="F2433" t="s">
        <v>41</v>
      </c>
      <c r="G2433">
        <v>-492.94749999999999</v>
      </c>
      <c r="H2433" s="1">
        <v>-2.3956649999999999E-6</v>
      </c>
      <c r="I2433">
        <v>243.34530000000001</v>
      </c>
      <c r="J2433">
        <v>-493.01260000000002</v>
      </c>
      <c r="K2433">
        <v>1.1115699999999999</v>
      </c>
      <c r="L2433">
        <v>253.2353</v>
      </c>
      <c r="M2433">
        <v>-7.6641699999999993E-2</v>
      </c>
      <c r="N2433">
        <v>0</v>
      </c>
      <c r="O2433">
        <v>-0.99697630000000004</v>
      </c>
      <c r="P2433">
        <v>3.9812809999999997E-2</v>
      </c>
      <c r="Q2433">
        <v>-2.4708399999999998E-2</v>
      </c>
      <c r="R2433">
        <v>-0.99890210000000002</v>
      </c>
      <c r="S2433">
        <v>1.6937259999999999E-2</v>
      </c>
      <c r="T2433">
        <v>-0.33230150000000003</v>
      </c>
      <c r="U2433">
        <v>-2.9943080000000002</v>
      </c>
      <c r="V2433">
        <v>-0.11623</v>
      </c>
      <c r="W2433">
        <v>-1.2241770000000001E-2</v>
      </c>
      <c r="X2433">
        <v>0.99314690000000005</v>
      </c>
      <c r="Y2433">
        <v>-8.2251530000000003E-2</v>
      </c>
      <c r="Z2433">
        <v>0.109627</v>
      </c>
      <c r="AA2433">
        <v>0.99056379999999999</v>
      </c>
      <c r="AB2433">
        <v>20</v>
      </c>
      <c r="AC2433">
        <v>6.5100000000029398E-2</v>
      </c>
      <c r="AD2433">
        <v>-1.1115723956649901</v>
      </c>
      <c r="AE2433">
        <v>-9.8899999999999793</v>
      </c>
      <c r="AF2433">
        <v>-0.81269145266944298</v>
      </c>
      <c r="AG2433">
        <v>-1.1115723956649901</v>
      </c>
      <c r="AH2433">
        <v>9.7329713376952594</v>
      </c>
      <c r="AI2433">
        <v>96.492942396903402</v>
      </c>
      <c r="AJ2433">
        <v>94.773056869610699</v>
      </c>
      <c r="AK2433">
        <v>9.8298927587458405</v>
      </c>
      <c r="AL2433">
        <v>90.701419261125693</v>
      </c>
      <c r="AM2433">
        <v>96.675076973300094</v>
      </c>
      <c r="AN2433">
        <v>1.00000001940617</v>
      </c>
    </row>
    <row r="2434" spans="1:40" x14ac:dyDescent="0.3">
      <c r="A2434" t="str">
        <f>"20200111160456496"</f>
        <v>20200111160456496</v>
      </c>
      <c r="B2434" t="str">
        <f>"1578729896493670"</f>
        <v>1578729896493670</v>
      </c>
      <c r="C2434" t="s">
        <v>40</v>
      </c>
      <c r="D2434">
        <v>5.0627779999999998</v>
      </c>
      <c r="E2434">
        <v>0.51515319999999998</v>
      </c>
      <c r="F2434" t="s">
        <v>41</v>
      </c>
      <c r="G2434">
        <v>-492.96600000000001</v>
      </c>
      <c r="H2434" s="1">
        <v>-2.351559E-6</v>
      </c>
      <c r="I2434">
        <v>243.2311</v>
      </c>
      <c r="J2434">
        <v>-493.02300000000002</v>
      </c>
      <c r="K2434">
        <v>1.1115699999999999</v>
      </c>
      <c r="L2434">
        <v>253.07640000000001</v>
      </c>
      <c r="M2434">
        <v>-7.5127040000000006E-2</v>
      </c>
      <c r="N2434">
        <v>0</v>
      </c>
      <c r="O2434">
        <v>-0.99709060000000005</v>
      </c>
      <c r="P2434">
        <v>4.1782600000000003E-2</v>
      </c>
      <c r="Q2434">
        <v>-2.476505E-2</v>
      </c>
      <c r="R2434">
        <v>-0.99882000000000004</v>
      </c>
      <c r="S2434">
        <v>1.394653E-2</v>
      </c>
      <c r="T2434">
        <v>-0.33272210000000002</v>
      </c>
      <c r="U2434">
        <v>-2.9945219999999999</v>
      </c>
      <c r="V2434">
        <v>-0.1166804</v>
      </c>
      <c r="W2434">
        <v>-1.22265E-2</v>
      </c>
      <c r="X2434">
        <v>0.99309429999999999</v>
      </c>
      <c r="Y2434">
        <v>-7.9747620000000005E-2</v>
      </c>
      <c r="Z2434">
        <v>0.10978690000000001</v>
      </c>
      <c r="AA2434">
        <v>0.99075080000000004</v>
      </c>
      <c r="AB2434">
        <v>20</v>
      </c>
      <c r="AC2434">
        <v>5.7000000000016302E-2</v>
      </c>
      <c r="AD2434">
        <v>-1.1115723515589999</v>
      </c>
      <c r="AE2434">
        <v>-9.8452999999999999</v>
      </c>
      <c r="AF2434">
        <v>-0.78652293928958195</v>
      </c>
      <c r="AG2434">
        <v>-1.1115723515589999</v>
      </c>
      <c r="AH2434">
        <v>9.6896767695733992</v>
      </c>
      <c r="AI2434">
        <v>96.522934781309601</v>
      </c>
      <c r="AJ2434">
        <v>94.640594558471804</v>
      </c>
      <c r="AK2434">
        <v>9.7848887232093507</v>
      </c>
      <c r="AL2434">
        <v>90.700544270567093</v>
      </c>
      <c r="AM2434">
        <v>96.701060318484593</v>
      </c>
      <c r="AN2434">
        <v>1.00000004586944</v>
      </c>
    </row>
    <row r="2435" spans="1:40" x14ac:dyDescent="0.3">
      <c r="A2435" t="str">
        <f>"20200111160456520"</f>
        <v>20200111160456520</v>
      </c>
      <c r="B2435" t="str">
        <f>"1578729896513190"</f>
        <v>1578729896513190</v>
      </c>
      <c r="C2435" t="s">
        <v>40</v>
      </c>
      <c r="D2435">
        <v>5.0419850000000004</v>
      </c>
      <c r="E2435">
        <v>0.51555269999999997</v>
      </c>
      <c r="F2435" t="s">
        <v>41</v>
      </c>
      <c r="G2435">
        <v>-492.97559999999999</v>
      </c>
      <c r="H2435" s="1">
        <v>-2.2732550000000001E-6</v>
      </c>
      <c r="I2435">
        <v>243.04259999999999</v>
      </c>
      <c r="J2435">
        <v>-493.036</v>
      </c>
      <c r="K2435">
        <v>1.1115740000000001</v>
      </c>
      <c r="L2435">
        <v>252.87260000000001</v>
      </c>
      <c r="M2435">
        <v>-7.3187879999999997E-2</v>
      </c>
      <c r="N2435">
        <v>0</v>
      </c>
      <c r="O2435">
        <v>-0.99723349999999999</v>
      </c>
      <c r="P2435">
        <v>4.4155739999999999E-2</v>
      </c>
      <c r="Q2435">
        <v>-2.438019E-2</v>
      </c>
      <c r="R2435">
        <v>-0.99872709999999998</v>
      </c>
      <c r="S2435">
        <v>1.416016E-2</v>
      </c>
      <c r="T2435">
        <v>-0.33176450000000002</v>
      </c>
      <c r="U2435">
        <v>-2.99472</v>
      </c>
      <c r="V2435">
        <v>-0.1171106</v>
      </c>
      <c r="W2435">
        <v>-1.175967E-2</v>
      </c>
      <c r="X2435">
        <v>0.99304930000000002</v>
      </c>
      <c r="Y2435">
        <v>-7.7879710000000005E-2</v>
      </c>
      <c r="Z2435">
        <v>0.1094995</v>
      </c>
      <c r="AA2435">
        <v>0.99093120000000001</v>
      </c>
      <c r="AB2435">
        <v>20</v>
      </c>
      <c r="AC2435">
        <v>6.0400000000015497E-2</v>
      </c>
      <c r="AD2435">
        <v>-1.1115762732549901</v>
      </c>
      <c r="AE2435">
        <v>-9.8300000000000107</v>
      </c>
      <c r="AF2435">
        <v>-0.76989131487511198</v>
      </c>
      <c r="AG2435">
        <v>-1.1115762732549901</v>
      </c>
      <c r="AH2435">
        <v>9.6754955424831497</v>
      </c>
      <c r="AI2435">
        <v>96.533263082478896</v>
      </c>
      <c r="AJ2435">
        <v>94.549511320278199</v>
      </c>
      <c r="AK2435">
        <v>9.7695214028423596</v>
      </c>
      <c r="AL2435">
        <v>90.673794958002404</v>
      </c>
      <c r="AM2435">
        <v>96.725843149368004</v>
      </c>
      <c r="AN2435">
        <v>1.0000000473506701</v>
      </c>
    </row>
    <row r="2436" spans="1:40" x14ac:dyDescent="0.3">
      <c r="A2436" t="str">
        <f>"20200111160456531"</f>
        <v>20200111160456531</v>
      </c>
      <c r="B2436" t="str">
        <f>"1578729896523926"</f>
        <v>1578729896523926</v>
      </c>
      <c r="C2436" t="s">
        <v>40</v>
      </c>
      <c r="D2436">
        <v>5.0811489999999999</v>
      </c>
      <c r="E2436">
        <v>0.5157619</v>
      </c>
      <c r="F2436" t="s">
        <v>41</v>
      </c>
      <c r="G2436">
        <v>-492.97480000000002</v>
      </c>
      <c r="H2436" s="1">
        <v>-2.1538949999999999E-6</v>
      </c>
      <c r="I2436">
        <v>242.76490000000001</v>
      </c>
      <c r="J2436">
        <v>-493.04309999999998</v>
      </c>
      <c r="K2436">
        <v>1.111575</v>
      </c>
      <c r="L2436">
        <v>252.7594</v>
      </c>
      <c r="M2436">
        <v>-7.2112259999999997E-2</v>
      </c>
      <c r="N2436">
        <v>0</v>
      </c>
      <c r="O2436">
        <v>-0.99731139999999996</v>
      </c>
      <c r="P2436">
        <v>4.5494470000000002E-2</v>
      </c>
      <c r="Q2436">
        <v>-2.419162E-2</v>
      </c>
      <c r="R2436">
        <v>-0.99867139999999999</v>
      </c>
      <c r="S2436">
        <v>1.8157960000000001E-2</v>
      </c>
      <c r="T2436">
        <v>-0.32936759999999998</v>
      </c>
      <c r="U2436">
        <v>-2.99498</v>
      </c>
      <c r="V2436">
        <v>-0.1173713</v>
      </c>
      <c r="W2436">
        <v>-1.1531319999999999E-2</v>
      </c>
      <c r="X2436">
        <v>0.99302109999999999</v>
      </c>
      <c r="Y2436">
        <v>-7.8127260000000004E-2</v>
      </c>
      <c r="Z2436">
        <v>0.108719899999999</v>
      </c>
      <c r="AA2436">
        <v>0.99099760000000003</v>
      </c>
      <c r="AB2436">
        <v>20</v>
      </c>
      <c r="AC2436">
        <v>6.8299999999965097E-2</v>
      </c>
      <c r="AD2436">
        <v>-1.1115771538949999</v>
      </c>
      <c r="AE2436">
        <v>-9.9944999999999808</v>
      </c>
      <c r="AF2436">
        <v>-0.77927048418044997</v>
      </c>
      <c r="AG2436">
        <v>-1.1115771538949999</v>
      </c>
      <c r="AH2436">
        <v>9.8418153944448594</v>
      </c>
      <c r="AI2436">
        <v>96.423988057703298</v>
      </c>
      <c r="AJ2436">
        <v>94.527208668291706</v>
      </c>
      <c r="AK2436">
        <v>9.9349985664270601</v>
      </c>
      <c r="AL2436">
        <v>90.660710644911603</v>
      </c>
      <c r="AM2436">
        <v>96.740867594807597</v>
      </c>
      <c r="AN2436">
        <v>0.99999994922491997</v>
      </c>
    </row>
    <row r="2437" spans="1:40" x14ac:dyDescent="0.3">
      <c r="A2437" t="str">
        <f>"20200111160456544"</f>
        <v>20200111160456544</v>
      </c>
      <c r="B2437" t="str">
        <f>"1578729896533686"</f>
        <v>1578729896533686</v>
      </c>
      <c r="C2437" t="s">
        <v>40</v>
      </c>
      <c r="D2437">
        <v>5.0149049999999997</v>
      </c>
      <c r="E2437">
        <v>0.51599359999999905</v>
      </c>
      <c r="F2437" t="s">
        <v>41</v>
      </c>
      <c r="G2437">
        <v>-492.9753</v>
      </c>
      <c r="H2437" s="1">
        <v>-2.0835169999999999E-6</v>
      </c>
      <c r="I2437">
        <v>242.60050000000001</v>
      </c>
      <c r="J2437">
        <v>-493.04969999999997</v>
      </c>
      <c r="K2437">
        <v>1.1115790000000001</v>
      </c>
      <c r="L2437">
        <v>252.65190000000001</v>
      </c>
      <c r="M2437">
        <v>-7.1090219999999996E-2</v>
      </c>
      <c r="N2437">
        <v>0</v>
      </c>
      <c r="O2437">
        <v>-0.99738450000000001</v>
      </c>
      <c r="P2437">
        <v>4.666319E-2</v>
      </c>
      <c r="Q2437">
        <v>-2.4348580000000002E-2</v>
      </c>
      <c r="R2437">
        <v>-0.99861409999999995</v>
      </c>
      <c r="S2437">
        <v>1.9989010000000001E-2</v>
      </c>
      <c r="T2437">
        <v>-0.32772519999999999</v>
      </c>
      <c r="U2437">
        <v>-2.9951479999999999</v>
      </c>
      <c r="V2437">
        <v>-0.1175151</v>
      </c>
      <c r="W2437">
        <v>-1.165221E-2</v>
      </c>
      <c r="X2437">
        <v>0.99300270000000002</v>
      </c>
      <c r="Y2437">
        <v>-7.7711559999999999E-2</v>
      </c>
      <c r="Z2437">
        <v>0.1081917</v>
      </c>
      <c r="AA2437">
        <v>0.99108799999999997</v>
      </c>
      <c r="AB2437">
        <v>20</v>
      </c>
      <c r="AC2437">
        <v>7.43999999999687E-2</v>
      </c>
      <c r="AD2437">
        <v>-1.1115810835169999</v>
      </c>
      <c r="AE2437">
        <v>-10.051399999999999</v>
      </c>
      <c r="AF2437">
        <v>-0.77929847345098802</v>
      </c>
      <c r="AG2437">
        <v>-1.1115810835169999</v>
      </c>
      <c r="AH2437">
        <v>9.8996086071015004</v>
      </c>
      <c r="AI2437">
        <v>96.387046777740693</v>
      </c>
      <c r="AJ2437">
        <v>94.501049053233501</v>
      </c>
      <c r="AK2437">
        <v>9.9922554605931602</v>
      </c>
      <c r="AL2437">
        <v>90.667637585272999</v>
      </c>
      <c r="AM2437">
        <v>96.749174082495998</v>
      </c>
      <c r="AN2437">
        <v>0.99999996746659103</v>
      </c>
    </row>
    <row r="2438" spans="1:40" x14ac:dyDescent="0.3">
      <c r="A2438" t="str">
        <f>"20200111160456562"</f>
        <v>20200111160456562</v>
      </c>
      <c r="B2438" t="str">
        <f>"1578729896553711"</f>
        <v>1578729896553711</v>
      </c>
      <c r="C2438" t="s">
        <v>40</v>
      </c>
      <c r="D2438">
        <v>5.9623179999999998</v>
      </c>
      <c r="E2438">
        <v>0.51607380000000003</v>
      </c>
      <c r="F2438" t="s">
        <v>41</v>
      </c>
      <c r="G2438">
        <v>-492.9751</v>
      </c>
      <c r="H2438" s="1">
        <v>-2.0328409999999999E-6</v>
      </c>
      <c r="I2438">
        <v>242.48249999999999</v>
      </c>
      <c r="J2438">
        <v>-493.05939999999998</v>
      </c>
      <c r="K2438">
        <v>1.1115809999999999</v>
      </c>
      <c r="L2438">
        <v>252.49010000000001</v>
      </c>
      <c r="M2438">
        <v>-6.955095E-2</v>
      </c>
      <c r="N2438">
        <v>0</v>
      </c>
      <c r="O2438">
        <v>-0.99749219999999905</v>
      </c>
      <c r="P2438">
        <v>4.7935249999999999E-2</v>
      </c>
      <c r="Q2438">
        <v>-2.481034E-2</v>
      </c>
      <c r="R2438">
        <v>-0.99854219999999905</v>
      </c>
      <c r="S2438">
        <v>2.1972660000000001E-2</v>
      </c>
      <c r="T2438">
        <v>-0.32738970000000001</v>
      </c>
      <c r="U2438">
        <v>-2.9951780000000001</v>
      </c>
      <c r="V2438">
        <v>-0.1172465</v>
      </c>
      <c r="W2438">
        <v>-1.206398E-2</v>
      </c>
      <c r="X2438">
        <v>0.99302959999999996</v>
      </c>
      <c r="Y2438">
        <v>-7.6829389999999997E-2</v>
      </c>
      <c r="Z2438">
        <v>0.1081023</v>
      </c>
      <c r="AA2438">
        <v>0.99116649999999995</v>
      </c>
      <c r="AB2438">
        <v>20</v>
      </c>
      <c r="AC2438">
        <v>8.4299999999984707E-2</v>
      </c>
      <c r="AD2438">
        <v>-1.1115830328409999</v>
      </c>
      <c r="AE2438">
        <v>-10.0076</v>
      </c>
      <c r="AF2438">
        <v>-0.77068617452636401</v>
      </c>
      <c r="AG2438">
        <v>-1.1115830328409999</v>
      </c>
      <c r="AH2438">
        <v>9.8559100194848703</v>
      </c>
      <c r="AI2438">
        <v>96.415401243168404</v>
      </c>
      <c r="AJ2438">
        <v>94.471164426242595</v>
      </c>
      <c r="AK2438">
        <v>9.9482931365480098</v>
      </c>
      <c r="AL2438">
        <v>90.691231882307207</v>
      </c>
      <c r="AM2438">
        <v>96.733708825723298</v>
      </c>
      <c r="AN2438">
        <v>1.0000000339259201</v>
      </c>
    </row>
    <row r="2439" spans="1:40" x14ac:dyDescent="0.3">
      <c r="A2439" t="str">
        <f>"20200111160456575"</f>
        <v>20200111160456575</v>
      </c>
      <c r="B2439" t="str">
        <f>"1578729896573232"</f>
        <v>1578729896573232</v>
      </c>
      <c r="C2439" t="s">
        <v>40</v>
      </c>
      <c r="D2439">
        <v>4.9937930000000001</v>
      </c>
      <c r="E2439">
        <v>0.51653570000000004</v>
      </c>
      <c r="F2439" t="s">
        <v>41</v>
      </c>
      <c r="G2439">
        <v>-492.97289999999998</v>
      </c>
      <c r="H2439" s="1">
        <v>-1.9740029999999999E-6</v>
      </c>
      <c r="I2439">
        <v>242.3467</v>
      </c>
      <c r="J2439">
        <v>-493.06580000000002</v>
      </c>
      <c r="K2439">
        <v>1.1115839999999999</v>
      </c>
      <c r="L2439">
        <v>252.3811</v>
      </c>
      <c r="M2439">
        <v>-6.8513420000000005E-2</v>
      </c>
      <c r="N2439">
        <v>0</v>
      </c>
      <c r="O2439">
        <v>-0.9975638</v>
      </c>
      <c r="P2439">
        <v>4.8920020000000002E-2</v>
      </c>
      <c r="Q2439">
        <v>-2.520975E-2</v>
      </c>
      <c r="R2439">
        <v>-0.9984847</v>
      </c>
      <c r="S2439">
        <v>2.554321E-2</v>
      </c>
      <c r="T2439">
        <v>-0.32821270000000002</v>
      </c>
      <c r="U2439">
        <v>-2.9950100000000002</v>
      </c>
      <c r="V2439">
        <v>-0.1171915</v>
      </c>
      <c r="W2439">
        <v>-1.243382E-2</v>
      </c>
      <c r="X2439">
        <v>0.99303149999999996</v>
      </c>
      <c r="Y2439">
        <v>-7.6974109999999998E-2</v>
      </c>
      <c r="Z2439">
        <v>0.10838739999999999</v>
      </c>
      <c r="AA2439">
        <v>0.99112420000000001</v>
      </c>
      <c r="AB2439">
        <v>20</v>
      </c>
      <c r="AC2439">
        <v>9.2900000000042796E-2</v>
      </c>
      <c r="AD2439">
        <v>-1.1115859740030001</v>
      </c>
      <c r="AE2439">
        <v>-10.0344</v>
      </c>
      <c r="AF2439">
        <v>-0.770774121348487</v>
      </c>
      <c r="AG2439">
        <v>-1.1115859740030001</v>
      </c>
      <c r="AH2439">
        <v>9.8831789868670405</v>
      </c>
      <c r="AI2439">
        <v>96.397965953442494</v>
      </c>
      <c r="AJ2439">
        <v>94.459384495493197</v>
      </c>
      <c r="AK2439">
        <v>9.9753166872130397</v>
      </c>
      <c r="AL2439">
        <v>90.712423764113396</v>
      </c>
      <c r="AM2439">
        <v>96.730566288278396</v>
      </c>
      <c r="AN2439">
        <v>1.0000000037721399</v>
      </c>
    </row>
    <row r="2440" spans="1:40" x14ac:dyDescent="0.3">
      <c r="A2440" t="str">
        <f>"20200111160456587"</f>
        <v>20200111160456587</v>
      </c>
      <c r="B2440" t="str">
        <f>"1578729896582992"</f>
        <v>1578729896582992</v>
      </c>
      <c r="C2440" t="s">
        <v>40</v>
      </c>
      <c r="D2440">
        <v>5.0551629999999896</v>
      </c>
      <c r="E2440">
        <v>0.51673369999999996</v>
      </c>
      <c r="F2440" t="s">
        <v>41</v>
      </c>
      <c r="G2440">
        <v>-492.98270000000002</v>
      </c>
      <c r="H2440" s="1">
        <v>-1.9253539999999998E-6</v>
      </c>
      <c r="I2440">
        <v>242.22720000000001</v>
      </c>
      <c r="J2440">
        <v>-493.072</v>
      </c>
      <c r="K2440">
        <v>1.1115809999999999</v>
      </c>
      <c r="L2440">
        <v>252.27289999999999</v>
      </c>
      <c r="M2440">
        <v>-6.7482810000000004E-2</v>
      </c>
      <c r="N2440">
        <v>0</v>
      </c>
      <c r="O2440">
        <v>-0.99763360000000001</v>
      </c>
      <c r="P2440">
        <v>4.9960320000000003E-2</v>
      </c>
      <c r="Q2440">
        <v>-2.516183E-2</v>
      </c>
      <c r="R2440">
        <v>-0.99843440000000006</v>
      </c>
      <c r="S2440">
        <v>2.4505619999999999E-2</v>
      </c>
      <c r="T2440">
        <v>-0.3278837</v>
      </c>
      <c r="U2440">
        <v>-2.9951020000000002</v>
      </c>
      <c r="V2440">
        <v>-0.1172006</v>
      </c>
      <c r="W2440">
        <v>-1.2358070000000001E-2</v>
      </c>
      <c r="X2440">
        <v>0.99303140000000001</v>
      </c>
      <c r="Y2440">
        <v>-7.5600559999999997E-2</v>
      </c>
      <c r="Z2440">
        <v>0.1082941</v>
      </c>
      <c r="AA2440">
        <v>0.99124009999999996</v>
      </c>
      <c r="AB2440">
        <v>20</v>
      </c>
      <c r="AC2440">
        <v>8.9299999999923302E-2</v>
      </c>
      <c r="AD2440">
        <v>-1.1115829253539999</v>
      </c>
      <c r="AE2440">
        <v>-10.045699999999901</v>
      </c>
      <c r="AF2440">
        <v>-0.75778956049311896</v>
      </c>
      <c r="AG2440">
        <v>-1.1115829253539999</v>
      </c>
      <c r="AH2440">
        <v>9.8956171198800291</v>
      </c>
      <c r="AI2440">
        <v>96.3906598905766</v>
      </c>
      <c r="AJ2440">
        <v>94.379066915126998</v>
      </c>
      <c r="AK2440">
        <v>9.98664607369229</v>
      </c>
      <c r="AL2440">
        <v>90.708083255378696</v>
      </c>
      <c r="AM2440">
        <v>96.731084797668601</v>
      </c>
      <c r="AN2440">
        <v>1.00000003196022</v>
      </c>
    </row>
    <row r="2441" spans="1:40" x14ac:dyDescent="0.3">
      <c r="A2441" t="str">
        <f>"20200111160456600"</f>
        <v>20200111160456600</v>
      </c>
      <c r="B2441" t="str">
        <f>"1578729896593728"</f>
        <v>1578729896593728</v>
      </c>
      <c r="C2441" t="s">
        <v>40</v>
      </c>
      <c r="D2441">
        <v>5.0395159999999999</v>
      </c>
      <c r="E2441">
        <v>0.51694470000000003</v>
      </c>
      <c r="F2441" t="s">
        <v>41</v>
      </c>
      <c r="G2441">
        <v>-492.98390000000001</v>
      </c>
      <c r="H2441" s="1">
        <v>-1.869896E-6</v>
      </c>
      <c r="I2441">
        <v>242.09719999999999</v>
      </c>
      <c r="J2441">
        <v>-493.07859999999999</v>
      </c>
      <c r="K2441">
        <v>1.1115820000000001</v>
      </c>
      <c r="L2441">
        <v>252.15639999999999</v>
      </c>
      <c r="M2441">
        <v>-6.6373500000000002E-2</v>
      </c>
      <c r="N2441">
        <v>0</v>
      </c>
      <c r="O2441">
        <v>-0.99770769999999998</v>
      </c>
      <c r="P2441">
        <v>5.0945829999999998E-2</v>
      </c>
      <c r="Q2441">
        <v>-2.5309370000000001E-2</v>
      </c>
      <c r="R2441">
        <v>-0.99838090000000002</v>
      </c>
      <c r="S2441">
        <v>2.5939940000000002E-2</v>
      </c>
      <c r="T2441">
        <v>-0.32719120000000002</v>
      </c>
      <c r="U2441">
        <v>-2.995193</v>
      </c>
      <c r="V2441">
        <v>-0.1170759</v>
      </c>
      <c r="W2441">
        <v>-1.24777E-2</v>
      </c>
      <c r="X2441">
        <v>0.99304460000000006</v>
      </c>
      <c r="Y2441">
        <v>-7.4966480000000002E-2</v>
      </c>
      <c r="Z2441">
        <v>0.1080793</v>
      </c>
      <c r="AA2441">
        <v>0.99131170000000002</v>
      </c>
      <c r="AB2441">
        <v>20</v>
      </c>
      <c r="AC2441">
        <v>9.4699999999988904E-2</v>
      </c>
      <c r="AD2441">
        <v>-1.1115838698960001</v>
      </c>
      <c r="AE2441">
        <v>-10.059200000000001</v>
      </c>
      <c r="AF2441">
        <v>-0.75301907363408405</v>
      </c>
      <c r="AG2441">
        <v>-1.1115838698960001</v>
      </c>
      <c r="AH2441">
        <v>9.9097292043585892</v>
      </c>
      <c r="AI2441">
        <v>96.381923116991103</v>
      </c>
      <c r="AJ2441">
        <v>94.345432537546799</v>
      </c>
      <c r="AK2441">
        <v>10.0002694628088</v>
      </c>
      <c r="AL2441">
        <v>90.714938087449895</v>
      </c>
      <c r="AM2441">
        <v>96.723900056189393</v>
      </c>
      <c r="AN2441">
        <v>1.00000001847363</v>
      </c>
    </row>
    <row r="2442" spans="1:40" x14ac:dyDescent="0.3">
      <c r="A2442" t="str">
        <f>"20200111160456620"</f>
        <v>20200111160456620</v>
      </c>
      <c r="B2442" t="str">
        <f>"1578729896613249"</f>
        <v>1578729896613249</v>
      </c>
      <c r="C2442" t="s">
        <v>40</v>
      </c>
      <c r="D2442">
        <v>5.0106000000000002</v>
      </c>
      <c r="E2442">
        <v>0.51730469999999995</v>
      </c>
      <c r="F2442" t="s">
        <v>41</v>
      </c>
      <c r="G2442">
        <v>-492.98829999999998</v>
      </c>
      <c r="H2442" s="1">
        <v>-1.821604E-6</v>
      </c>
      <c r="I2442">
        <v>241.9819</v>
      </c>
      <c r="J2442">
        <v>-493.08749999999998</v>
      </c>
      <c r="K2442">
        <v>1.1115759999999999</v>
      </c>
      <c r="L2442">
        <v>251.99549999999999</v>
      </c>
      <c r="M2442">
        <v>-6.4840259999999997E-2</v>
      </c>
      <c r="N2442">
        <v>0</v>
      </c>
      <c r="O2442">
        <v>-0.99780800000000003</v>
      </c>
      <c r="P2442">
        <v>5.2241820000000001E-2</v>
      </c>
      <c r="Q2442">
        <v>-2.585146E-2</v>
      </c>
      <c r="R2442">
        <v>-0.99829999999999997</v>
      </c>
      <c r="S2442">
        <v>2.658081E-2</v>
      </c>
      <c r="T2442">
        <v>-0.32722859999999998</v>
      </c>
      <c r="U2442">
        <v>-2.995193</v>
      </c>
      <c r="V2442">
        <v>-0.1168375</v>
      </c>
      <c r="W2442">
        <v>-1.298505E-2</v>
      </c>
      <c r="X2442">
        <v>0.99306609999999995</v>
      </c>
      <c r="Y2442">
        <v>-7.3646199999999995E-2</v>
      </c>
      <c r="Z2442">
        <v>0.1081131</v>
      </c>
      <c r="AA2442">
        <v>0.99140700000000004</v>
      </c>
      <c r="AB2442">
        <v>20</v>
      </c>
      <c r="AC2442">
        <v>9.9199999999996097E-2</v>
      </c>
      <c r="AD2442">
        <v>-1.111577821604</v>
      </c>
      <c r="AE2442">
        <v>-10.013599999999901</v>
      </c>
      <c r="AF2442">
        <v>-0.73922423308651597</v>
      </c>
      <c r="AG2442">
        <v>-1.111577821604</v>
      </c>
      <c r="AH2442">
        <v>9.8645474546054999</v>
      </c>
      <c r="AI2442">
        <v>96.411377383400804</v>
      </c>
      <c r="AJ2442">
        <v>94.285590671039003</v>
      </c>
      <c r="AK2442">
        <v>9.9544640340114796</v>
      </c>
      <c r="AL2442">
        <v>90.744009511076698</v>
      </c>
      <c r="AM2442">
        <v>96.710189303465</v>
      </c>
      <c r="AN2442">
        <v>0.99999994594947905</v>
      </c>
    </row>
    <row r="2443" spans="1:40" x14ac:dyDescent="0.3">
      <c r="A2443" t="str">
        <f>"20200111160456633"</f>
        <v>20200111160456633</v>
      </c>
      <c r="B2443" t="str">
        <f>"1578729896623985"</f>
        <v>1578729896623985</v>
      </c>
      <c r="C2443" t="s">
        <v>40</v>
      </c>
      <c r="D2443">
        <v>4.9518110000000002</v>
      </c>
      <c r="E2443">
        <v>0.51751979999999997</v>
      </c>
      <c r="F2443" t="s">
        <v>41</v>
      </c>
      <c r="G2443">
        <v>-492.99400000000003</v>
      </c>
      <c r="H2443" s="1">
        <v>-1.7652780000000001E-6</v>
      </c>
      <c r="I2443">
        <v>241.84710000000001</v>
      </c>
      <c r="J2443">
        <v>-493.09379999999999</v>
      </c>
      <c r="K2443">
        <v>1.111575</v>
      </c>
      <c r="L2443">
        <v>251.87899999999999</v>
      </c>
      <c r="M2443">
        <v>-6.3730040000000002E-2</v>
      </c>
      <c r="N2443">
        <v>0</v>
      </c>
      <c r="O2443">
        <v>-0.99787919999999997</v>
      </c>
      <c r="P2443">
        <v>5.3202220000000001E-2</v>
      </c>
      <c r="Q2443">
        <v>-2.6199E-2</v>
      </c>
      <c r="R2443">
        <v>-0.99824020000000002</v>
      </c>
      <c r="S2443">
        <v>2.758789E-2</v>
      </c>
      <c r="T2443">
        <v>-0.32806800000000003</v>
      </c>
      <c r="U2443">
        <v>-2.9951780000000001</v>
      </c>
      <c r="V2443">
        <v>-0.1166864</v>
      </c>
      <c r="W2443">
        <v>-1.331011E-2</v>
      </c>
      <c r="X2443">
        <v>0.99307959999999995</v>
      </c>
      <c r="Y2443">
        <v>-7.2869699999999996E-2</v>
      </c>
      <c r="Z2443">
        <v>0.10840229999999999</v>
      </c>
      <c r="AA2443">
        <v>0.9914328</v>
      </c>
      <c r="AB2443">
        <v>20</v>
      </c>
      <c r="AC2443">
        <v>9.9799999999959199E-2</v>
      </c>
      <c r="AD2443">
        <v>-1.111576765278</v>
      </c>
      <c r="AE2443">
        <v>-10.0319</v>
      </c>
      <c r="AF2443">
        <v>-0.73002456934404703</v>
      </c>
      <c r="AG2443">
        <v>-1.111576765278</v>
      </c>
      <c r="AH2443">
        <v>9.8838053642380093</v>
      </c>
      <c r="AI2443">
        <v>96.399488553428895</v>
      </c>
      <c r="AJ2443">
        <v>94.2242346576611</v>
      </c>
      <c r="AK2443">
        <v>9.9728705624354692</v>
      </c>
      <c r="AL2443">
        <v>90.762635659569</v>
      </c>
      <c r="AM2443">
        <v>96.701500064793606</v>
      </c>
      <c r="AN2443">
        <v>0.99999998345466501</v>
      </c>
    </row>
    <row r="2444" spans="1:40" x14ac:dyDescent="0.3">
      <c r="A2444" t="str">
        <f>"20200111160456647"</f>
        <v>20200111160456647</v>
      </c>
      <c r="B2444" t="str">
        <f>"1578729896644012"</f>
        <v>1578729896644012</v>
      </c>
      <c r="C2444" t="s">
        <v>40</v>
      </c>
      <c r="D2444">
        <v>5.2376500000000004</v>
      </c>
      <c r="E2444">
        <v>0.51778359999999901</v>
      </c>
      <c r="F2444" t="s">
        <v>41</v>
      </c>
      <c r="G2444">
        <v>-492.995</v>
      </c>
      <c r="H2444" s="1">
        <v>-1.727217E-6</v>
      </c>
      <c r="I2444">
        <v>241.7577</v>
      </c>
      <c r="J2444">
        <v>-493.1</v>
      </c>
      <c r="K2444">
        <v>1.111575</v>
      </c>
      <c r="L2444">
        <v>251.7593</v>
      </c>
      <c r="M2444">
        <v>-6.2589519999999996E-2</v>
      </c>
      <c r="N2444">
        <v>0</v>
      </c>
      <c r="O2444">
        <v>-0.99795109999999998</v>
      </c>
      <c r="P2444">
        <v>5.4113550000000003E-2</v>
      </c>
      <c r="Q2444">
        <v>-2.6611699999999999E-2</v>
      </c>
      <c r="R2444">
        <v>-0.99818030000000002</v>
      </c>
      <c r="S2444">
        <v>2.9235839999999999E-2</v>
      </c>
      <c r="T2444">
        <v>-0.32894250000000003</v>
      </c>
      <c r="U2444">
        <v>-2.995117</v>
      </c>
      <c r="V2444">
        <v>-0.11645659999999999</v>
      </c>
      <c r="W2444">
        <v>-1.3701059999999999E-2</v>
      </c>
      <c r="X2444">
        <v>0.99310129999999996</v>
      </c>
      <c r="Y2444">
        <v>-7.227517E-2</v>
      </c>
      <c r="Z2444">
        <v>0.10870390000000001</v>
      </c>
      <c r="AA2444">
        <v>0.99144330000000003</v>
      </c>
      <c r="AB2444">
        <v>20</v>
      </c>
      <c r="AC2444">
        <v>0.105000000000018</v>
      </c>
      <c r="AD2444">
        <v>-1.1115767272170001</v>
      </c>
      <c r="AE2444">
        <v>-10.0015999999999</v>
      </c>
      <c r="AF2444">
        <v>-0.72192825278906503</v>
      </c>
      <c r="AG2444">
        <v>-1.1115767272170001</v>
      </c>
      <c r="AH2444">
        <v>9.8537140612609608</v>
      </c>
      <c r="AI2444">
        <v>96.419145874151397</v>
      </c>
      <c r="AJ2444">
        <v>94.1902647414245</v>
      </c>
      <c r="AK2444">
        <v>9.9424576450572602</v>
      </c>
      <c r="AL2444">
        <v>90.7850374553054</v>
      </c>
      <c r="AM2444">
        <v>96.688277121862001</v>
      </c>
      <c r="AN2444">
        <v>1.00000002539518</v>
      </c>
    </row>
    <row r="2445" spans="1:40" x14ac:dyDescent="0.3">
      <c r="A2445" t="str">
        <f>"20200111160456664"</f>
        <v>20200111160456664</v>
      </c>
      <c r="B2445" t="str">
        <f>"1578729896653771"</f>
        <v>1578729896653771</v>
      </c>
      <c r="C2445" t="s">
        <v>40</v>
      </c>
      <c r="D2445">
        <v>4.9383400000000002</v>
      </c>
      <c r="E2445">
        <v>0.51803489999999996</v>
      </c>
      <c r="F2445" t="s">
        <v>41</v>
      </c>
      <c r="G2445">
        <v>-493.00020000000001</v>
      </c>
      <c r="H2445" s="1">
        <v>-1.677139E-6</v>
      </c>
      <c r="I2445">
        <v>241.6378</v>
      </c>
      <c r="J2445">
        <v>-493.1078</v>
      </c>
      <c r="K2445">
        <v>1.1115729999999999</v>
      </c>
      <c r="L2445">
        <v>251.60890000000001</v>
      </c>
      <c r="M2445">
        <v>-6.1157309999999999E-2</v>
      </c>
      <c r="N2445">
        <v>0</v>
      </c>
      <c r="O2445">
        <v>-0.99803969999999997</v>
      </c>
      <c r="P2445">
        <v>5.5723929999999998E-2</v>
      </c>
      <c r="Q2445">
        <v>-2.6748419999999998E-2</v>
      </c>
      <c r="R2445">
        <v>-0.99808810000000003</v>
      </c>
      <c r="S2445">
        <v>2.9541020000000001E-2</v>
      </c>
      <c r="T2445">
        <v>-0.3289299</v>
      </c>
      <c r="U2445">
        <v>-2.9950869999999998</v>
      </c>
      <c r="V2445">
        <v>-0.1166335</v>
      </c>
      <c r="W2445">
        <v>-1.3815060000000001E-2</v>
      </c>
      <c r="X2445">
        <v>0.99307889999999999</v>
      </c>
      <c r="Y2445">
        <v>-7.094491E-2</v>
      </c>
      <c r="Z2445">
        <v>0.1087206</v>
      </c>
      <c r="AA2445">
        <v>0.99153749999999996</v>
      </c>
      <c r="AB2445">
        <v>20</v>
      </c>
      <c r="AC2445">
        <v>0.10759999999999</v>
      </c>
      <c r="AD2445">
        <v>-1.1115746771389901</v>
      </c>
      <c r="AE2445">
        <v>-9.9710999999999999</v>
      </c>
      <c r="AF2445">
        <v>-0.70845459702809899</v>
      </c>
      <c r="AG2445">
        <v>-1.1115746771389901</v>
      </c>
      <c r="AH2445">
        <v>9.8237782270187601</v>
      </c>
      <c r="AI2445">
        <v>96.439061164467503</v>
      </c>
      <c r="AJ2445">
        <v>94.124819126388303</v>
      </c>
      <c r="AK2445">
        <v>9.9118174333748996</v>
      </c>
      <c r="AL2445">
        <v>90.791569839752299</v>
      </c>
      <c r="AM2445">
        <v>96.698494220114895</v>
      </c>
      <c r="AN2445">
        <v>0.99999996541513103</v>
      </c>
    </row>
    <row r="2446" spans="1:40" x14ac:dyDescent="0.3">
      <c r="A2446" t="str">
        <f>"20200111160456679"</f>
        <v>20200111160456679</v>
      </c>
      <c r="B2446" t="str">
        <f>"1578729896673290"</f>
        <v>1578729896673290</v>
      </c>
      <c r="C2446" t="s">
        <v>40</v>
      </c>
      <c r="D2446">
        <v>4.9074</v>
      </c>
      <c r="E2446">
        <v>0.51831389999999999</v>
      </c>
      <c r="F2446" t="s">
        <v>41</v>
      </c>
      <c r="G2446">
        <v>-492.99869999999999</v>
      </c>
      <c r="H2446" s="1">
        <v>-1.6135099999999999E-6</v>
      </c>
      <c r="I2446">
        <v>241.49039999999999</v>
      </c>
      <c r="J2446">
        <v>-493.11430000000001</v>
      </c>
      <c r="K2446">
        <v>1.111569</v>
      </c>
      <c r="L2446">
        <v>251.4802</v>
      </c>
      <c r="M2446">
        <v>-5.9931690000000003E-2</v>
      </c>
      <c r="N2446">
        <v>0</v>
      </c>
      <c r="O2446">
        <v>-0.99811380000000005</v>
      </c>
      <c r="P2446">
        <v>5.6908050000000002E-2</v>
      </c>
      <c r="Q2446">
        <v>-2.6873089999999999E-2</v>
      </c>
      <c r="R2446">
        <v>-0.99801810000000002</v>
      </c>
      <c r="S2446">
        <v>3.2318119999999999E-2</v>
      </c>
      <c r="T2446">
        <v>-0.32902870000000001</v>
      </c>
      <c r="U2446">
        <v>-2.9951020000000002</v>
      </c>
      <c r="V2446">
        <v>-0.1165916</v>
      </c>
      <c r="W2446">
        <v>-1.3922E-2</v>
      </c>
      <c r="X2446">
        <v>0.99308229999999997</v>
      </c>
      <c r="Y2446">
        <v>-7.0639229999999997E-2</v>
      </c>
      <c r="Z2446">
        <v>0.1087651</v>
      </c>
      <c r="AA2446">
        <v>0.99155439999999995</v>
      </c>
      <c r="AB2446">
        <v>20</v>
      </c>
      <c r="AC2446">
        <v>0.115600000000029</v>
      </c>
      <c r="AD2446">
        <v>-1.1115706135100001</v>
      </c>
      <c r="AE2446">
        <v>-9.9898000000000007</v>
      </c>
      <c r="AF2446">
        <v>-0.70541806136304397</v>
      </c>
      <c r="AG2446">
        <v>-1.1115706135100001</v>
      </c>
      <c r="AH2446">
        <v>9.8430592947527593</v>
      </c>
      <c r="AI2446">
        <v>96.426735344097395</v>
      </c>
      <c r="AJ2446">
        <v>94.099182273876906</v>
      </c>
      <c r="AK2446">
        <v>9.9307109589462392</v>
      </c>
      <c r="AL2446">
        <v>90.797697661088705</v>
      </c>
      <c r="AM2446">
        <v>96.696086958284695</v>
      </c>
      <c r="AN2446">
        <v>0.99999993892392303</v>
      </c>
    </row>
    <row r="2447" spans="1:40" x14ac:dyDescent="0.3">
      <c r="A2447" t="str">
        <f>"20200111160456697"</f>
        <v>20200111160456697</v>
      </c>
      <c r="B2447" t="str">
        <f>"1578729896693786"</f>
        <v>1578729896693786</v>
      </c>
      <c r="C2447" t="s">
        <v>40</v>
      </c>
      <c r="D2447">
        <v>4.9334360000000004</v>
      </c>
      <c r="E2447">
        <v>0.51867680000000005</v>
      </c>
      <c r="F2447" t="s">
        <v>41</v>
      </c>
      <c r="G2447">
        <v>-492.99979999999999</v>
      </c>
      <c r="H2447" s="1">
        <v>-1.5422160000000001E-6</v>
      </c>
      <c r="I2447">
        <v>241.3235</v>
      </c>
      <c r="J2447">
        <v>-493.12209999999999</v>
      </c>
      <c r="K2447">
        <v>1.111569</v>
      </c>
      <c r="L2447">
        <v>251.321</v>
      </c>
      <c r="M2447">
        <v>-5.841491E-2</v>
      </c>
      <c r="N2447">
        <v>0</v>
      </c>
      <c r="O2447">
        <v>-0.99820330000000002</v>
      </c>
      <c r="P2447">
        <v>5.8397079999999997E-2</v>
      </c>
      <c r="Q2447">
        <v>-2.6926680000000001E-2</v>
      </c>
      <c r="R2447">
        <v>-0.9979304</v>
      </c>
      <c r="S2447">
        <v>3.3752440000000002E-2</v>
      </c>
      <c r="T2447">
        <v>-0.32780179999999998</v>
      </c>
      <c r="U2447">
        <v>-2.9952239999999999</v>
      </c>
      <c r="V2447">
        <v>-0.1165646</v>
      </c>
      <c r="W2447">
        <v>-1.395571E-2</v>
      </c>
      <c r="X2447">
        <v>0.99308510000000005</v>
      </c>
      <c r="Y2447">
        <v>-6.9598309999999997E-2</v>
      </c>
      <c r="Z2447">
        <v>0.1083783</v>
      </c>
      <c r="AA2447">
        <v>0.99167039999999995</v>
      </c>
      <c r="AB2447">
        <v>20</v>
      </c>
      <c r="AC2447">
        <v>0.122299999999995</v>
      </c>
      <c r="AD2447">
        <v>-1.111570542216</v>
      </c>
      <c r="AE2447">
        <v>-9.9975000000000005</v>
      </c>
      <c r="AF2447">
        <v>-0.69752457220430897</v>
      </c>
      <c r="AG2447">
        <v>-1.111570542216</v>
      </c>
      <c r="AH2447">
        <v>9.8515134756104903</v>
      </c>
      <c r="AI2447">
        <v>96.421655226819496</v>
      </c>
      <c r="AJ2447">
        <v>94.050000044672103</v>
      </c>
      <c r="AK2447">
        <v>9.9385334611946803</v>
      </c>
      <c r="AL2447">
        <v>90.799629207302203</v>
      </c>
      <c r="AM2447">
        <v>96.694531667033999</v>
      </c>
      <c r="AN2447">
        <v>1.0000000418283801</v>
      </c>
    </row>
    <row r="2448" spans="1:40" x14ac:dyDescent="0.3">
      <c r="A2448" t="str">
        <f>"20200111160456711"</f>
        <v>20200111160456711</v>
      </c>
      <c r="B2448" t="str">
        <f>"1578729896703547"</f>
        <v>1578729896703547</v>
      </c>
      <c r="C2448" t="s">
        <v>40</v>
      </c>
      <c r="D2448">
        <v>4.876309</v>
      </c>
      <c r="E2448">
        <v>0.51887329999999998</v>
      </c>
      <c r="F2448" t="s">
        <v>41</v>
      </c>
      <c r="G2448">
        <v>-493.0025</v>
      </c>
      <c r="H2448" s="1">
        <v>-1.4599040000000001E-6</v>
      </c>
      <c r="I2448">
        <v>241.13</v>
      </c>
      <c r="J2448">
        <v>-493.12759999999997</v>
      </c>
      <c r="K2448">
        <v>1.111564</v>
      </c>
      <c r="L2448">
        <v>251.20480000000001</v>
      </c>
      <c r="M2448">
        <v>-5.7307980000000001E-2</v>
      </c>
      <c r="N2448">
        <v>0</v>
      </c>
      <c r="O2448">
        <v>-0.99826740000000003</v>
      </c>
      <c r="P2448">
        <v>5.966043E-2</v>
      </c>
      <c r="Q2448">
        <v>-2.7152619999999999E-2</v>
      </c>
      <c r="R2448">
        <v>-0.9978496</v>
      </c>
      <c r="S2448">
        <v>3.515625E-2</v>
      </c>
      <c r="T2448">
        <v>-0.326710099999999</v>
      </c>
      <c r="U2448">
        <v>-2.9953310000000002</v>
      </c>
      <c r="V2448">
        <v>-0.11671960000000001</v>
      </c>
      <c r="W2448">
        <v>-1.4169370000000001E-2</v>
      </c>
      <c r="X2448">
        <v>0.99306380000000005</v>
      </c>
      <c r="Y2448">
        <v>-6.8956840000000005E-2</v>
      </c>
      <c r="Z2448">
        <v>0.1080303</v>
      </c>
      <c r="AA2448">
        <v>0.9917532</v>
      </c>
      <c r="AB2448">
        <v>20</v>
      </c>
      <c r="AC2448">
        <v>0.12509999999997401</v>
      </c>
      <c r="AD2448">
        <v>-1.1115654599039999</v>
      </c>
      <c r="AE2448">
        <v>-10.0748</v>
      </c>
      <c r="AF2448">
        <v>-0.69386706113959695</v>
      </c>
      <c r="AG2448">
        <v>-1.1115654599039999</v>
      </c>
      <c r="AH2448">
        <v>9.9302080501414007</v>
      </c>
      <c r="AI2448">
        <v>96.371567407832003</v>
      </c>
      <c r="AJ2448">
        <v>93.997010078177894</v>
      </c>
      <c r="AK2448">
        <v>10.0162897915984</v>
      </c>
      <c r="AL2448">
        <v>90.811872289185601</v>
      </c>
      <c r="AM2448">
        <v>96.703495130719503</v>
      </c>
      <c r="AN2448">
        <v>0.99999997347039804</v>
      </c>
    </row>
    <row r="2449" spans="1:40" x14ac:dyDescent="0.3">
      <c r="A2449" t="str">
        <f>"20200111160456724"</f>
        <v>20200111160456724</v>
      </c>
      <c r="B2449" t="str">
        <f>"1578729896713306"</f>
        <v>1578729896713306</v>
      </c>
      <c r="C2449" t="s">
        <v>40</v>
      </c>
      <c r="D2449">
        <v>4.8442259999999999</v>
      </c>
      <c r="E2449">
        <v>0.51886579999999904</v>
      </c>
      <c r="F2449" t="s">
        <v>41</v>
      </c>
      <c r="G2449">
        <v>-493.00110000000001</v>
      </c>
      <c r="H2449" s="1">
        <v>-1.411762E-6</v>
      </c>
      <c r="I2449">
        <v>241.01859999999999</v>
      </c>
      <c r="J2449">
        <v>-493.13299999999998</v>
      </c>
      <c r="K2449">
        <v>1.1115660000000001</v>
      </c>
      <c r="L2449">
        <v>251.0889</v>
      </c>
      <c r="M2449">
        <v>-5.6203749999999997E-2</v>
      </c>
      <c r="N2449">
        <v>0</v>
      </c>
      <c r="O2449">
        <v>-0.9983301</v>
      </c>
      <c r="P2449">
        <v>6.0851540000000003E-2</v>
      </c>
      <c r="Q2449">
        <v>-2.753678E-2</v>
      </c>
      <c r="R2449">
        <v>-0.99776699999999996</v>
      </c>
      <c r="S2449">
        <v>3.720093E-2</v>
      </c>
      <c r="T2449">
        <v>-0.32686389999999999</v>
      </c>
      <c r="U2449">
        <v>-2.9953310000000002</v>
      </c>
      <c r="V2449">
        <v>-0.1168051</v>
      </c>
      <c r="W2449">
        <v>-1.4541989999999999E-2</v>
      </c>
      <c r="X2449">
        <v>0.99304840000000005</v>
      </c>
      <c r="Y2449">
        <v>-6.8530209999999994E-2</v>
      </c>
      <c r="Z2449">
        <v>0.10809199999999999</v>
      </c>
      <c r="AA2449">
        <v>0.99177599999999999</v>
      </c>
      <c r="AB2449">
        <v>19</v>
      </c>
      <c r="AC2449">
        <v>0.13190000000002999</v>
      </c>
      <c r="AD2449">
        <v>-1.111567411762</v>
      </c>
      <c r="AE2449">
        <v>-10.0703</v>
      </c>
      <c r="AF2449">
        <v>-0.68933318189096404</v>
      </c>
      <c r="AG2449">
        <v>-1.111567411762</v>
      </c>
      <c r="AH2449">
        <v>9.9260479422911594</v>
      </c>
      <c r="AI2449">
        <v>96.374414269159104</v>
      </c>
      <c r="AJ2449">
        <v>93.972635516398299</v>
      </c>
      <c r="AK2449">
        <v>10.0118524808953</v>
      </c>
      <c r="AL2449">
        <v>90.833224010721906</v>
      </c>
      <c r="AM2449">
        <v>96.708463953259198</v>
      </c>
      <c r="AN2449">
        <v>1.0000000128008599</v>
      </c>
    </row>
    <row r="2450" spans="1:40" x14ac:dyDescent="0.3">
      <c r="A2450" t="str">
        <f>"20200111160456742"</f>
        <v>20200111160456742</v>
      </c>
      <c r="B2450" t="str">
        <f>"1578729896733802"</f>
        <v>1578729896733802</v>
      </c>
      <c r="C2450" t="s">
        <v>40</v>
      </c>
      <c r="D2450">
        <v>4.8299289999999999</v>
      </c>
      <c r="E2450">
        <v>0.4808134</v>
      </c>
      <c r="F2450" t="s">
        <v>41</v>
      </c>
      <c r="G2450">
        <v>-492.99520000000001</v>
      </c>
      <c r="H2450" s="1">
        <v>-1.365329E-6</v>
      </c>
      <c r="I2450">
        <v>240.91399999999999</v>
      </c>
      <c r="J2450">
        <v>-493.14019999999999</v>
      </c>
      <c r="K2450">
        <v>1.1115729999999999</v>
      </c>
      <c r="L2450">
        <v>250.92789999999999</v>
      </c>
      <c r="M2450">
        <v>-5.4669599999999999E-2</v>
      </c>
      <c r="N2450">
        <v>0</v>
      </c>
      <c r="O2450">
        <v>-0.99841489999999999</v>
      </c>
      <c r="P2450">
        <v>6.2278340000000001E-2</v>
      </c>
      <c r="Q2450">
        <v>-2.7540559999999999E-2</v>
      </c>
      <c r="R2450">
        <v>-0.99767879999999998</v>
      </c>
      <c r="S2450">
        <v>4.0557860000000001E-2</v>
      </c>
      <c r="T2450">
        <v>-0.32721230000000001</v>
      </c>
      <c r="U2450">
        <v>-2.995193</v>
      </c>
      <c r="V2450">
        <v>-0.1166996</v>
      </c>
      <c r="W2450">
        <v>-1.453083E-2</v>
      </c>
      <c r="X2450">
        <v>0.99306090000000002</v>
      </c>
      <c r="Y2450">
        <v>-6.8108950000000001E-2</v>
      </c>
      <c r="Z2450">
        <v>0.1082254</v>
      </c>
      <c r="AA2450">
        <v>0.99179050000000002</v>
      </c>
      <c r="AB2450">
        <v>19</v>
      </c>
      <c r="AC2450">
        <v>0.14499999999998101</v>
      </c>
      <c r="AD2450">
        <v>-1.111574365329</v>
      </c>
      <c r="AE2450">
        <v>-10.0138999999999</v>
      </c>
      <c r="AF2450">
        <v>-0.68386341180600596</v>
      </c>
      <c r="AG2450">
        <v>-1.111574365329</v>
      </c>
      <c r="AH2450">
        <v>9.8694113112594</v>
      </c>
      <c r="AI2450">
        <v>96.410798925336493</v>
      </c>
      <c r="AJ2450">
        <v>93.963758067693306</v>
      </c>
      <c r="AK2450">
        <v>9.9553275368758491</v>
      </c>
      <c r="AL2450">
        <v>90.832584577563793</v>
      </c>
      <c r="AM2450">
        <v>96.702376326779799</v>
      </c>
      <c r="AN2450">
        <v>0.999999946384728</v>
      </c>
    </row>
    <row r="2451" spans="1:40" x14ac:dyDescent="0.3">
      <c r="A2451" t="str">
        <f>"20200111160456755"</f>
        <v>20200111160456755</v>
      </c>
      <c r="B2451" t="str">
        <f>"1578729896753830"</f>
        <v>1578729896753830</v>
      </c>
      <c r="C2451" t="s">
        <v>40</v>
      </c>
      <c r="D2451">
        <v>5.0404600000000004</v>
      </c>
      <c r="E2451">
        <v>0.47148889999999999</v>
      </c>
      <c r="F2451" t="s">
        <v>41</v>
      </c>
      <c r="G2451">
        <v>-491.61759999999998</v>
      </c>
      <c r="H2451" s="1">
        <v>-3.9617849999999997E-6</v>
      </c>
      <c r="I2451">
        <v>237.82079999999999</v>
      </c>
      <c r="J2451">
        <v>-493.14490000000001</v>
      </c>
      <c r="K2451">
        <v>1.1115740000000001</v>
      </c>
      <c r="L2451">
        <v>250.82040000000001</v>
      </c>
      <c r="M2451">
        <v>-5.3644079999999997E-2</v>
      </c>
      <c r="N2451">
        <v>0</v>
      </c>
      <c r="O2451">
        <v>-0.99847050000000004</v>
      </c>
      <c r="P2451">
        <v>6.3251230000000006E-2</v>
      </c>
      <c r="Q2451">
        <v>-2.7539310000000001E-2</v>
      </c>
      <c r="R2451">
        <v>-0.99761789999999995</v>
      </c>
      <c r="S2451">
        <v>0.3459778</v>
      </c>
      <c r="T2451">
        <v>-0.25258930000000002</v>
      </c>
      <c r="U2451">
        <v>-2.9783940000000002</v>
      </c>
      <c r="V2451">
        <v>-0.1166475</v>
      </c>
      <c r="W2451">
        <v>-1.452091E-2</v>
      </c>
      <c r="X2451">
        <v>0.99306719999999904</v>
      </c>
      <c r="Y2451">
        <v>-0.1681067</v>
      </c>
      <c r="Z2451">
        <v>8.3441080000000001E-2</v>
      </c>
      <c r="AA2451">
        <v>0.98223099999999997</v>
      </c>
      <c r="AB2451">
        <v>19</v>
      </c>
      <c r="AC2451">
        <v>1.5273000000000201</v>
      </c>
      <c r="AD2451">
        <v>-1.1115779617849999</v>
      </c>
      <c r="AE2451">
        <v>-12.999599999999999</v>
      </c>
      <c r="AF2451">
        <v>-2.2066000910938799</v>
      </c>
      <c r="AG2451">
        <v>-1.1115779617849999</v>
      </c>
      <c r="AH2451">
        <v>12.806577598024599</v>
      </c>
      <c r="AI2451">
        <v>94.889008664652394</v>
      </c>
      <c r="AJ2451">
        <v>99.776191582686494</v>
      </c>
      <c r="AK2451">
        <v>13.0427420162084</v>
      </c>
      <c r="AL2451">
        <v>90.832016115540398</v>
      </c>
      <c r="AM2451">
        <v>96.699369171623502</v>
      </c>
      <c r="AN2451">
        <v>0.99999997989965805</v>
      </c>
    </row>
    <row r="2452" spans="1:40" x14ac:dyDescent="0.3">
      <c r="A2452" t="str">
        <f>"20200111160456767"</f>
        <v>20200111160456767</v>
      </c>
      <c r="B2452" t="str">
        <f>"1578729896763591"</f>
        <v>1578729896763591</v>
      </c>
      <c r="C2452" t="s">
        <v>40</v>
      </c>
      <c r="D2452">
        <v>4.7843390000000001</v>
      </c>
      <c r="E2452">
        <v>0.46960679999999999</v>
      </c>
      <c r="F2452" t="s">
        <v>41</v>
      </c>
      <c r="G2452">
        <v>-490.8836</v>
      </c>
      <c r="H2452" s="1">
        <v>-2.4931349999999998E-6</v>
      </c>
      <c r="I2452">
        <v>234.8526</v>
      </c>
      <c r="J2452">
        <v>-493.14940000000001</v>
      </c>
      <c r="K2452">
        <v>1.111575</v>
      </c>
      <c r="L2452">
        <v>250.71369999999999</v>
      </c>
      <c r="M2452">
        <v>-5.2627019999999997E-2</v>
      </c>
      <c r="N2452">
        <v>0</v>
      </c>
      <c r="O2452">
        <v>-0.99852439999999998</v>
      </c>
      <c r="P2452">
        <v>6.4218510000000006E-2</v>
      </c>
      <c r="Q2452">
        <v>-2.722277E-2</v>
      </c>
      <c r="R2452">
        <v>-0.99756460000000002</v>
      </c>
      <c r="S2452">
        <v>0.42126459999999999</v>
      </c>
      <c r="T2452">
        <v>-0.2070825</v>
      </c>
      <c r="U2452">
        <v>-2.9747309999999998</v>
      </c>
      <c r="V2452">
        <v>-0.1166007</v>
      </c>
      <c r="W2452">
        <v>-1.4196149999999999E-2</v>
      </c>
      <c r="X2452">
        <v>0.9930774</v>
      </c>
      <c r="Y2452">
        <v>-0.19180359999999999</v>
      </c>
      <c r="Z2452">
        <v>6.8317169999999997E-2</v>
      </c>
      <c r="AA2452">
        <v>0.9790527</v>
      </c>
      <c r="AB2452">
        <v>19</v>
      </c>
      <c r="AC2452">
        <v>2.2658000000000098</v>
      </c>
      <c r="AD2452">
        <v>-1.111577493135</v>
      </c>
      <c r="AE2452">
        <v>-15.861099999999899</v>
      </c>
      <c r="AF2452">
        <v>-3.08261944163318</v>
      </c>
      <c r="AG2452">
        <v>-1.111577493135</v>
      </c>
      <c r="AH2452">
        <v>15.644561969840201</v>
      </c>
      <c r="AI2452">
        <v>93.987729639343797</v>
      </c>
      <c r="AJ2452">
        <v>101.146820142675</v>
      </c>
      <c r="AK2452">
        <v>15.9840691431609</v>
      </c>
      <c r="AL2452">
        <v>90.813406812602196</v>
      </c>
      <c r="AM2452">
        <v>96.696637584946004</v>
      </c>
      <c r="AN2452">
        <v>0.99999998815303603</v>
      </c>
    </row>
    <row r="2453" spans="1:40" x14ac:dyDescent="0.3">
      <c r="A2453" t="str">
        <f>"20200111160456780"</f>
        <v>20200111160456780</v>
      </c>
      <c r="B2453" t="str">
        <f>"1578729896773350"</f>
        <v>1578729896773350</v>
      </c>
      <c r="C2453" t="s">
        <v>40</v>
      </c>
      <c r="D2453">
        <v>4.989541</v>
      </c>
      <c r="E2453">
        <v>0.46921760000000001</v>
      </c>
      <c r="F2453" t="s">
        <v>41</v>
      </c>
      <c r="G2453">
        <v>-490.94099999999997</v>
      </c>
      <c r="H2453" s="1">
        <v>-2.9049610000000001E-6</v>
      </c>
      <c r="I2453">
        <v>235.77699999999999</v>
      </c>
      <c r="J2453">
        <v>-493.15410000000003</v>
      </c>
      <c r="K2453">
        <v>1.111577</v>
      </c>
      <c r="L2453">
        <v>250.6027</v>
      </c>
      <c r="M2453">
        <v>-5.1568389999999999E-2</v>
      </c>
      <c r="N2453">
        <v>0</v>
      </c>
      <c r="O2453">
        <v>-0.99857969999999896</v>
      </c>
      <c r="P2453">
        <v>6.5283740000000007E-2</v>
      </c>
      <c r="Q2453">
        <v>-2.7155530000000001E-2</v>
      </c>
      <c r="R2453">
        <v>-0.99749730000000003</v>
      </c>
      <c r="S2453">
        <v>0.4395752</v>
      </c>
      <c r="T2453">
        <v>-0.22124840000000001</v>
      </c>
      <c r="U2453">
        <v>-2.9729920000000001</v>
      </c>
      <c r="V2453">
        <v>-0.1166084</v>
      </c>
      <c r="W2453">
        <v>-1.4121430000000001E-2</v>
      </c>
      <c r="X2453">
        <v>0.9930776</v>
      </c>
      <c r="Y2453">
        <v>-0.19669819999999999</v>
      </c>
      <c r="Z2453">
        <v>7.2946349999999993E-2</v>
      </c>
      <c r="AA2453">
        <v>0.97774669999999997</v>
      </c>
      <c r="AB2453">
        <v>19</v>
      </c>
      <c r="AC2453">
        <v>2.21310000000005</v>
      </c>
      <c r="AD2453">
        <v>-1.111579904961</v>
      </c>
      <c r="AE2453">
        <v>-14.8256999999999</v>
      </c>
      <c r="AF2453">
        <v>-2.9584922844078099</v>
      </c>
      <c r="AG2453">
        <v>-1.111579904961</v>
      </c>
      <c r="AH2453">
        <v>14.611486268580199</v>
      </c>
      <c r="AI2453">
        <v>94.264236513409202</v>
      </c>
      <c r="AJ2453">
        <v>101.446339326749</v>
      </c>
      <c r="AK2453">
        <v>14.9493751527922</v>
      </c>
      <c r="AL2453">
        <v>90.809125211543503</v>
      </c>
      <c r="AM2453">
        <v>96.6970744597823</v>
      </c>
      <c r="AN2453">
        <v>1.0000000266787801</v>
      </c>
    </row>
    <row r="2454" spans="1:40" x14ac:dyDescent="0.3">
      <c r="A2454" t="str">
        <f>"20200111160456798"</f>
        <v>20200111160456798</v>
      </c>
      <c r="B2454" t="str">
        <f>"1578729896793845"</f>
        <v>1578729896793845</v>
      </c>
      <c r="C2454" t="s">
        <v>40</v>
      </c>
      <c r="D2454">
        <v>4.717365</v>
      </c>
      <c r="E2454">
        <v>0.4685822</v>
      </c>
      <c r="F2454" t="s">
        <v>41</v>
      </c>
      <c r="G2454">
        <v>-490.98180000000002</v>
      </c>
      <c r="H2454" s="1">
        <v>-3.0722009999999998E-6</v>
      </c>
      <c r="I2454">
        <v>236.14150000000001</v>
      </c>
      <c r="J2454">
        <v>-493.16019999999997</v>
      </c>
      <c r="K2454">
        <v>1.1115820000000001</v>
      </c>
      <c r="L2454">
        <v>250.45089999999999</v>
      </c>
      <c r="M2454">
        <v>-5.012134E-2</v>
      </c>
      <c r="N2454">
        <v>0</v>
      </c>
      <c r="O2454">
        <v>-0.99865340000000002</v>
      </c>
      <c r="P2454">
        <v>6.6416870000000003E-2</v>
      </c>
      <c r="Q2454">
        <v>-2.6810440000000001E-2</v>
      </c>
      <c r="R2454">
        <v>-0.99743190000000004</v>
      </c>
      <c r="S2454">
        <v>0.4464417</v>
      </c>
      <c r="T2454">
        <v>-0.22845599999999999</v>
      </c>
      <c r="U2454">
        <v>-2.9721069999999998</v>
      </c>
      <c r="V2454">
        <v>-0.11629929999999999</v>
      </c>
      <c r="W2454">
        <v>-1.376578E-2</v>
      </c>
      <c r="X2454">
        <v>0.99311879999999997</v>
      </c>
      <c r="Y2454">
        <v>-0.19750309999999999</v>
      </c>
      <c r="Z2454">
        <v>7.532076E-2</v>
      </c>
      <c r="AA2454">
        <v>0.97740439999999995</v>
      </c>
      <c r="AB2454">
        <v>19</v>
      </c>
      <c r="AC2454">
        <v>2.1783999999999502</v>
      </c>
      <c r="AD2454">
        <v>-1.1115850722009999</v>
      </c>
      <c r="AE2454">
        <v>-14.309399999999901</v>
      </c>
      <c r="AF2454">
        <v>-2.87597015515869</v>
      </c>
      <c r="AG2454">
        <v>-1.1115850722009999</v>
      </c>
      <c r="AH2454">
        <v>14.0990637858688</v>
      </c>
      <c r="AI2454">
        <v>94.417341843583102</v>
      </c>
      <c r="AJ2454">
        <v>101.529198499304</v>
      </c>
      <c r="AK2454">
        <v>14.432270276851799</v>
      </c>
      <c r="AL2454">
        <v>90.788746017778905</v>
      </c>
      <c r="AM2454">
        <v>96.679208192500695</v>
      </c>
      <c r="AN2454">
        <v>0.999999987396469</v>
      </c>
    </row>
    <row r="2455" spans="1:40" x14ac:dyDescent="0.3">
      <c r="A2455" t="str">
        <f>"20200111160456811"</f>
        <v>20200111160456811</v>
      </c>
      <c r="B2455" t="str">
        <f>"1578729896803606"</f>
        <v>1578729896803606</v>
      </c>
      <c r="C2455" t="s">
        <v>40</v>
      </c>
      <c r="D2455">
        <v>4.7923030000000004</v>
      </c>
      <c r="E2455">
        <v>0.46826250000000003</v>
      </c>
      <c r="F2455" t="s">
        <v>41</v>
      </c>
      <c r="G2455">
        <v>-491.13130000000001</v>
      </c>
      <c r="H2455" s="1">
        <v>-3.5751700000000001E-6</v>
      </c>
      <c r="I2455">
        <v>237.22130000000001</v>
      </c>
      <c r="J2455">
        <v>-493.16489999999999</v>
      </c>
      <c r="K2455">
        <v>1.111583</v>
      </c>
      <c r="L2455">
        <v>250.33279999999999</v>
      </c>
      <c r="M2455">
        <v>-4.8995160000000003E-2</v>
      </c>
      <c r="N2455">
        <v>0</v>
      </c>
      <c r="O2455">
        <v>-0.99870910000000002</v>
      </c>
      <c r="P2455">
        <v>6.7266870000000006E-2</v>
      </c>
      <c r="Q2455">
        <v>-2.654509E-2</v>
      </c>
      <c r="R2455">
        <v>-0.99738190000000004</v>
      </c>
      <c r="S2455">
        <v>0.45559690000000003</v>
      </c>
      <c r="T2455">
        <v>-0.24960209999999999</v>
      </c>
      <c r="U2455">
        <v>-2.9706570000000001</v>
      </c>
      <c r="V2455">
        <v>-0.1160269</v>
      </c>
      <c r="W2455">
        <v>-1.3492820000000001E-2</v>
      </c>
      <c r="X2455">
        <v>0.99315439999999999</v>
      </c>
      <c r="Y2455">
        <v>-0.19932839999999999</v>
      </c>
      <c r="Z2455">
        <v>8.2258440000000002E-2</v>
      </c>
      <c r="AA2455">
        <v>0.97647419999999996</v>
      </c>
      <c r="AB2455">
        <v>19</v>
      </c>
      <c r="AC2455">
        <v>2.0335999999999701</v>
      </c>
      <c r="AD2455">
        <v>-1.11158657517</v>
      </c>
      <c r="AE2455">
        <v>-13.1114999999999</v>
      </c>
      <c r="AF2455">
        <v>-2.6549804081135999</v>
      </c>
      <c r="AG2455">
        <v>-1.11158657517</v>
      </c>
      <c r="AH2455">
        <v>12.9055246686369</v>
      </c>
      <c r="AI2455">
        <v>94.822386234886395</v>
      </c>
      <c r="AJ2455">
        <v>101.62494782065301</v>
      </c>
      <c r="AK2455">
        <v>13.2225985590715</v>
      </c>
      <c r="AL2455">
        <v>90.773105114515403</v>
      </c>
      <c r="AM2455">
        <v>96.663468075601401</v>
      </c>
      <c r="AN2455">
        <v>0.99999997997726098</v>
      </c>
    </row>
    <row r="2456" spans="1:40" x14ac:dyDescent="0.3">
      <c r="A2456" t="str">
        <f>"20200111160456824"</f>
        <v>20200111160456824</v>
      </c>
      <c r="B2456" t="str">
        <f>"1578729896813364"</f>
        <v>1578729896813364</v>
      </c>
      <c r="C2456" t="s">
        <v>40</v>
      </c>
      <c r="D2456">
        <v>4.8100809999999896</v>
      </c>
      <c r="E2456">
        <v>0.46797460000000002</v>
      </c>
      <c r="F2456" t="s">
        <v>41</v>
      </c>
      <c r="G2456">
        <v>-491.12549999999999</v>
      </c>
      <c r="H2456" s="1">
        <v>-3.5609850000000001E-6</v>
      </c>
      <c r="I2456">
        <v>237.1918</v>
      </c>
      <c r="J2456">
        <v>-493.16879999999998</v>
      </c>
      <c r="K2456">
        <v>1.1115820000000001</v>
      </c>
      <c r="L2456">
        <v>250.22880000000001</v>
      </c>
      <c r="M2456">
        <v>-4.8003549999999999E-2</v>
      </c>
      <c r="N2456">
        <v>0</v>
      </c>
      <c r="O2456">
        <v>-0.99875720000000001</v>
      </c>
      <c r="P2456">
        <v>6.8303970000000006E-2</v>
      </c>
      <c r="Q2456">
        <v>-2.6379900000000001E-2</v>
      </c>
      <c r="R2456">
        <v>-0.99731610000000004</v>
      </c>
      <c r="S2456">
        <v>0.4609375</v>
      </c>
      <c r="T2456">
        <v>-0.25123780000000001</v>
      </c>
      <c r="U2456">
        <v>-2.9700929999999999</v>
      </c>
      <c r="V2456">
        <v>-0.116074</v>
      </c>
      <c r="W2456">
        <v>-1.3322399999999899E-2</v>
      </c>
      <c r="X2456">
        <v>0.99315120000000001</v>
      </c>
      <c r="Y2456">
        <v>-0.20009150000000001</v>
      </c>
      <c r="Z2456">
        <v>8.2797499999999996E-2</v>
      </c>
      <c r="AA2456">
        <v>0.97627249999999999</v>
      </c>
      <c r="AB2456">
        <v>19</v>
      </c>
      <c r="AC2456">
        <v>2.0432999999999799</v>
      </c>
      <c r="AD2456">
        <v>-1.1115855609850001</v>
      </c>
      <c r="AE2456">
        <v>-13.037000000000001</v>
      </c>
      <c r="AF2456">
        <v>-2.64803304220673</v>
      </c>
      <c r="AG2456">
        <v>-1.1115855609850001</v>
      </c>
      <c r="AH2456">
        <v>12.832816366349901</v>
      </c>
      <c r="AI2456">
        <v>94.848979187258095</v>
      </c>
      <c r="AJ2456">
        <v>101.659256551631</v>
      </c>
      <c r="AK2456">
        <v>13.150242482344799</v>
      </c>
      <c r="AL2456">
        <v>90.763339887544603</v>
      </c>
      <c r="AM2456">
        <v>96.666169992020102</v>
      </c>
      <c r="AN2456">
        <v>0.99999998293959902</v>
      </c>
    </row>
    <row r="2457" spans="1:40" x14ac:dyDescent="0.3">
      <c r="A2457" t="str">
        <f>"20200111160456837"</f>
        <v>20200111160456837</v>
      </c>
      <c r="B2457" t="str">
        <f>"1578729896833861"</f>
        <v>1578729896833861</v>
      </c>
      <c r="C2457" t="s">
        <v>40</v>
      </c>
      <c r="D2457">
        <v>4.7458549999999997</v>
      </c>
      <c r="E2457">
        <v>0.46808470000000002</v>
      </c>
      <c r="F2457" t="s">
        <v>41</v>
      </c>
      <c r="G2457">
        <v>-491.11180000000002</v>
      </c>
      <c r="H2457" s="1">
        <v>-3.5295670000000002E-6</v>
      </c>
      <c r="I2457">
        <v>237.12700000000001</v>
      </c>
      <c r="J2457">
        <v>-493.17309999999998</v>
      </c>
      <c r="K2457">
        <v>1.1115820000000001</v>
      </c>
      <c r="L2457">
        <v>250.1113</v>
      </c>
      <c r="M2457">
        <v>-4.6882609999999998E-2</v>
      </c>
      <c r="N2457">
        <v>0</v>
      </c>
      <c r="O2457">
        <v>-0.99881019999999998</v>
      </c>
      <c r="P2457">
        <v>6.9104429999999994E-2</v>
      </c>
      <c r="Q2457">
        <v>-2.615172E-2</v>
      </c>
      <c r="R2457">
        <v>-0.99726669999999995</v>
      </c>
      <c r="S2457">
        <v>0.46621699999999999</v>
      </c>
      <c r="T2457">
        <v>-0.25193910000000003</v>
      </c>
      <c r="U2457">
        <v>-2.9694980000000002</v>
      </c>
      <c r="V2457">
        <v>-0.1157576</v>
      </c>
      <c r="W2457">
        <v>-1.3087730000000001E-2</v>
      </c>
      <c r="X2457">
        <v>0.99319120000000005</v>
      </c>
      <c r="Y2457">
        <v>-0.200713</v>
      </c>
      <c r="Z2457">
        <v>8.303344E-2</v>
      </c>
      <c r="AA2457">
        <v>0.97612489999999996</v>
      </c>
      <c r="AB2457">
        <v>19</v>
      </c>
      <c r="AC2457">
        <v>2.0612999999999602</v>
      </c>
      <c r="AD2457">
        <v>-1.1115855295670001</v>
      </c>
      <c r="AE2457">
        <v>-12.9842999999999</v>
      </c>
      <c r="AF2457">
        <v>-2.6488890941716101</v>
      </c>
      <c r="AG2457">
        <v>-1.1115855295670001</v>
      </c>
      <c r="AH2457">
        <v>12.7819949780825</v>
      </c>
      <c r="AI2457">
        <v>94.8673136509925</v>
      </c>
      <c r="AJ2457">
        <v>101.70801671896101</v>
      </c>
      <c r="AK2457">
        <v>13.10082560156</v>
      </c>
      <c r="AL2457">
        <v>90.749893150077497</v>
      </c>
      <c r="AM2457">
        <v>96.647896554585401</v>
      </c>
      <c r="AN2457">
        <v>0.99999993519587405</v>
      </c>
    </row>
    <row r="2458" spans="1:40" x14ac:dyDescent="0.3">
      <c r="A2458" t="str">
        <f>"20200111160456853"</f>
        <v>20200111160456853</v>
      </c>
      <c r="B2458" t="str">
        <f>"1578729896843152"</f>
        <v>1578729896843152</v>
      </c>
      <c r="C2458" t="s">
        <v>40</v>
      </c>
      <c r="D2458">
        <v>5.6097830000000002</v>
      </c>
      <c r="E2458">
        <v>0.46795140000000002</v>
      </c>
      <c r="F2458" t="s">
        <v>41</v>
      </c>
      <c r="G2458">
        <v>-491.20159999999998</v>
      </c>
      <c r="H2458" s="1">
        <v>-3.753779E-6</v>
      </c>
      <c r="I2458">
        <v>237.59399999999999</v>
      </c>
      <c r="J2458">
        <v>-493.17809999999997</v>
      </c>
      <c r="K2458">
        <v>1.111583</v>
      </c>
      <c r="L2458">
        <v>249.97139999999999</v>
      </c>
      <c r="M2458">
        <v>-4.5548020000000002E-2</v>
      </c>
      <c r="N2458">
        <v>0</v>
      </c>
      <c r="O2458">
        <v>-0.99887199999999998</v>
      </c>
      <c r="P2458">
        <v>7.0341719999999996E-2</v>
      </c>
      <c r="Q2458">
        <v>-2.6580630000000001E-2</v>
      </c>
      <c r="R2458">
        <v>-0.99716890000000002</v>
      </c>
      <c r="S2458">
        <v>0.4676208</v>
      </c>
      <c r="T2458">
        <v>-0.26364799999999999</v>
      </c>
      <c r="U2458">
        <v>-2.9688720000000002</v>
      </c>
      <c r="V2458">
        <v>-0.11566129999999999</v>
      </c>
      <c r="W2458">
        <v>-1.351077E-2</v>
      </c>
      <c r="X2458">
        <v>0.99319679999999999</v>
      </c>
      <c r="Y2458">
        <v>-0.19983480000000001</v>
      </c>
      <c r="Z2458">
        <v>8.6894089999999993E-2</v>
      </c>
      <c r="AA2458">
        <v>0.97596899999999998</v>
      </c>
      <c r="AB2458">
        <v>19</v>
      </c>
      <c r="AC2458">
        <v>1.9764999999999799</v>
      </c>
      <c r="AD2458">
        <v>-1.1115867537790001</v>
      </c>
      <c r="AE2458">
        <v>-12.3773999999999</v>
      </c>
      <c r="AF2458">
        <v>-2.5184577795267602</v>
      </c>
      <c r="AG2458">
        <v>-1.1115867537790001</v>
      </c>
      <c r="AH2458">
        <v>12.1787337025858</v>
      </c>
      <c r="AI2458">
        <v>95.107619822244104</v>
      </c>
      <c r="AJ2458">
        <v>101.683593360815</v>
      </c>
      <c r="AK2458">
        <v>12.4859845145241</v>
      </c>
      <c r="AL2458">
        <v>90.774133667225001</v>
      </c>
      <c r="AM2458">
        <v>96.642378420864503</v>
      </c>
      <c r="AN2458">
        <v>0.99999998037696103</v>
      </c>
    </row>
    <row r="2459" spans="1:40" x14ac:dyDescent="0.3">
      <c r="A2459" t="str">
        <f>"20200111160456867"</f>
        <v>20200111160456867</v>
      </c>
      <c r="B2459" t="str">
        <f>"1578729896863648"</f>
        <v>1578729896863648</v>
      </c>
      <c r="C2459" t="s">
        <v>40</v>
      </c>
      <c r="D2459">
        <v>4.8289039999999996</v>
      </c>
      <c r="E2459">
        <v>0.46766429999999998</v>
      </c>
      <c r="F2459" t="s">
        <v>41</v>
      </c>
      <c r="G2459">
        <v>-491.1508</v>
      </c>
      <c r="H2459" s="1">
        <v>-3.5904570000000001E-6</v>
      </c>
      <c r="I2459">
        <v>237.2448</v>
      </c>
      <c r="J2459">
        <v>-493.18200000000002</v>
      </c>
      <c r="K2459">
        <v>1.1115820000000001</v>
      </c>
      <c r="L2459">
        <v>249.858</v>
      </c>
      <c r="M2459">
        <v>-4.4466390000000001E-2</v>
      </c>
      <c r="N2459">
        <v>0</v>
      </c>
      <c r="O2459">
        <v>-0.99892060000000005</v>
      </c>
      <c r="P2459">
        <v>7.1386899999999906E-2</v>
      </c>
      <c r="Q2459">
        <v>-2.6587880000000001E-2</v>
      </c>
      <c r="R2459">
        <v>-0.99709429999999999</v>
      </c>
      <c r="S2459">
        <v>0.47283940000000002</v>
      </c>
      <c r="T2459">
        <v>-0.25925700000000002</v>
      </c>
      <c r="U2459">
        <v>-2.9682460000000002</v>
      </c>
      <c r="V2459">
        <v>-0.1156267</v>
      </c>
      <c r="W2459">
        <v>-1.351373E-2</v>
      </c>
      <c r="X2459">
        <v>0.99320079999999999</v>
      </c>
      <c r="Y2459">
        <v>-0.20049890000000001</v>
      </c>
      <c r="Z2459">
        <v>8.5464360000000003E-2</v>
      </c>
      <c r="AA2459">
        <v>0.97595900000000002</v>
      </c>
      <c r="AB2459">
        <v>19</v>
      </c>
      <c r="AC2459">
        <v>2.0311999999999499</v>
      </c>
      <c r="AD2459">
        <v>-1.111585590457</v>
      </c>
      <c r="AE2459">
        <v>-12.613200000000001</v>
      </c>
      <c r="AF2459">
        <v>-2.5706439137193202</v>
      </c>
      <c r="AG2459">
        <v>-1.111585590457</v>
      </c>
      <c r="AH2459">
        <v>12.4163969894863</v>
      </c>
      <c r="AI2459">
        <v>95.010109580059293</v>
      </c>
      <c r="AJ2459">
        <v>101.69704294096999</v>
      </c>
      <c r="AK2459">
        <v>12.7283442307544</v>
      </c>
      <c r="AL2459">
        <v>90.774303269308206</v>
      </c>
      <c r="AM2459">
        <v>96.640382601716595</v>
      </c>
      <c r="AN2459">
        <v>0.99999999188602096</v>
      </c>
    </row>
    <row r="2460" spans="1:40" x14ac:dyDescent="0.3">
      <c r="A2460" t="str">
        <f>"20200111160456880"</f>
        <v>20200111160456880</v>
      </c>
      <c r="B2460" t="str">
        <f>"1578729896873408"</f>
        <v>1578729896873408</v>
      </c>
      <c r="C2460" t="s">
        <v>40</v>
      </c>
      <c r="D2460">
        <v>4.9885010000000003</v>
      </c>
      <c r="E2460">
        <v>0.46742450000000002</v>
      </c>
      <c r="F2460" t="s">
        <v>41</v>
      </c>
      <c r="G2460">
        <v>-491.10509999999999</v>
      </c>
      <c r="H2460" s="1">
        <v>-3.4564789999999999E-6</v>
      </c>
      <c r="I2460">
        <v>236.96080000000001</v>
      </c>
      <c r="J2460">
        <v>-493.18599999999998</v>
      </c>
      <c r="K2460">
        <v>1.1115809999999999</v>
      </c>
      <c r="L2460">
        <v>249.73910000000001</v>
      </c>
      <c r="M2460">
        <v>-4.333501E-2</v>
      </c>
      <c r="N2460">
        <v>0</v>
      </c>
      <c r="O2460">
        <v>-0.99897040000000004</v>
      </c>
      <c r="P2460">
        <v>7.2493890000000005E-2</v>
      </c>
      <c r="Q2460">
        <v>-2.64315E-2</v>
      </c>
      <c r="R2460">
        <v>-0.99701890000000004</v>
      </c>
      <c r="S2460">
        <v>0.47790529999999998</v>
      </c>
      <c r="T2460">
        <v>-0.25578099999999998</v>
      </c>
      <c r="U2460">
        <v>-2.9676969999999998</v>
      </c>
      <c r="V2460">
        <v>-0.11560520000000001</v>
      </c>
      <c r="W2460">
        <v>-1.335308E-2</v>
      </c>
      <c r="X2460">
        <v>0.99320549999999996</v>
      </c>
      <c r="Y2460">
        <v>-0.20105719999999999</v>
      </c>
      <c r="Z2460">
        <v>8.4332439999999995E-2</v>
      </c>
      <c r="AA2460">
        <v>0.97594259999999999</v>
      </c>
      <c r="AB2460">
        <v>19</v>
      </c>
      <c r="AC2460">
        <v>2.0808999999999802</v>
      </c>
      <c r="AD2460">
        <v>-1.1115844564789901</v>
      </c>
      <c r="AE2460">
        <v>-12.7783</v>
      </c>
      <c r="AF2460">
        <v>-2.6134765574185401</v>
      </c>
      <c r="AG2460">
        <v>-1.1115844564789901</v>
      </c>
      <c r="AH2460">
        <v>12.5833483604763</v>
      </c>
      <c r="AI2460">
        <v>94.943321300522499</v>
      </c>
      <c r="AJ2460">
        <v>101.733136091031</v>
      </c>
      <c r="AK2460">
        <v>12.8998657233773</v>
      </c>
      <c r="AL2460">
        <v>90.765097853077506</v>
      </c>
      <c r="AM2460">
        <v>96.639127754538293</v>
      </c>
      <c r="AN2460">
        <v>1.00000001612138</v>
      </c>
    </row>
    <row r="2461" spans="1:40" x14ac:dyDescent="0.3">
      <c r="A2461" t="str">
        <f>"20200111160456899"</f>
        <v>20200111160456899</v>
      </c>
      <c r="B2461" t="str">
        <f>"1578729896893905"</f>
        <v>1578729896893905</v>
      </c>
      <c r="C2461" t="s">
        <v>40</v>
      </c>
      <c r="D2461">
        <v>4.8907669999999897</v>
      </c>
      <c r="E2461">
        <v>0.46736949999999999</v>
      </c>
      <c r="F2461" t="s">
        <v>41</v>
      </c>
      <c r="G2461">
        <v>-490.97329999999999</v>
      </c>
      <c r="H2461" s="1">
        <v>-3.0623139999999998E-6</v>
      </c>
      <c r="I2461">
        <v>236.12379999999999</v>
      </c>
      <c r="J2461">
        <v>-493.19110000000001</v>
      </c>
      <c r="K2461">
        <v>1.111578</v>
      </c>
      <c r="L2461">
        <v>249.5804</v>
      </c>
      <c r="M2461">
        <v>-4.1828700000000003E-2</v>
      </c>
      <c r="N2461">
        <v>0</v>
      </c>
      <c r="O2461">
        <v>-0.99903450000000005</v>
      </c>
      <c r="P2461">
        <v>7.4175140000000001E-2</v>
      </c>
      <c r="Q2461">
        <v>-2.653293E-2</v>
      </c>
      <c r="R2461">
        <v>-0.99689229999999995</v>
      </c>
      <c r="S2461">
        <v>0.48226930000000001</v>
      </c>
      <c r="T2461">
        <v>-0.24227119999999999</v>
      </c>
      <c r="U2461">
        <v>-2.9674839999999998</v>
      </c>
      <c r="V2461">
        <v>-0.1157821</v>
      </c>
      <c r="W2461">
        <v>-1.344995E-2</v>
      </c>
      <c r="X2461">
        <v>0.99318360000000006</v>
      </c>
      <c r="Y2461">
        <v>-0.2010488</v>
      </c>
      <c r="Z2461">
        <v>7.9912419999999998E-2</v>
      </c>
      <c r="AA2461">
        <v>0.97631619999999997</v>
      </c>
      <c r="AB2461">
        <v>19</v>
      </c>
      <c r="AC2461">
        <v>2.2178000000000102</v>
      </c>
      <c r="AD2461">
        <v>-1.1115810623139999</v>
      </c>
      <c r="AE2461">
        <v>-13.4566</v>
      </c>
      <c r="AF2461">
        <v>-2.7604435272754202</v>
      </c>
      <c r="AG2461">
        <v>-1.1115810623139999</v>
      </c>
      <c r="AH2461">
        <v>13.2639306269276</v>
      </c>
      <c r="AI2461">
        <v>94.6904298522673</v>
      </c>
      <c r="AJ2461">
        <v>101.756384507267</v>
      </c>
      <c r="AK2461">
        <v>13.5936572195021</v>
      </c>
      <c r="AL2461">
        <v>90.770648583265697</v>
      </c>
      <c r="AM2461">
        <v>96.649341404242094</v>
      </c>
      <c r="AN2461">
        <v>1.00000002957218</v>
      </c>
    </row>
    <row r="2462" spans="1:40" x14ac:dyDescent="0.3">
      <c r="A2462" t="str">
        <f>"20200111160456914"</f>
        <v>20200111160456914</v>
      </c>
      <c r="B2462" t="str">
        <f>"1578729896903664"</f>
        <v>1578729896903664</v>
      </c>
      <c r="C2462" t="s">
        <v>40</v>
      </c>
      <c r="D2462">
        <v>4.8393319999999997</v>
      </c>
      <c r="E2462">
        <v>0.46727960000000002</v>
      </c>
      <c r="F2462" t="s">
        <v>41</v>
      </c>
      <c r="G2462">
        <v>-490.97199999999998</v>
      </c>
      <c r="H2462" s="1">
        <v>-3.0499549999999998E-6</v>
      </c>
      <c r="I2462">
        <v>236.0958</v>
      </c>
      <c r="J2462">
        <v>-493.19490000000002</v>
      </c>
      <c r="K2462">
        <v>1.1115699999999999</v>
      </c>
      <c r="L2462">
        <v>249.4572</v>
      </c>
      <c r="M2462">
        <v>-4.0667219999999997E-2</v>
      </c>
      <c r="N2462">
        <v>0</v>
      </c>
      <c r="O2462">
        <v>-0.99908260000000004</v>
      </c>
      <c r="P2462">
        <v>7.5505619999999996E-2</v>
      </c>
      <c r="Q2462">
        <v>-2.6679209999999998E-2</v>
      </c>
      <c r="R2462">
        <v>-0.99678860000000002</v>
      </c>
      <c r="S2462">
        <v>0.4881897</v>
      </c>
      <c r="T2462">
        <v>-0.24454129999999999</v>
      </c>
      <c r="U2462">
        <v>-2.9665370000000002</v>
      </c>
      <c r="V2462">
        <v>-0.1159529</v>
      </c>
      <c r="W2462">
        <v>-1.359255E-2</v>
      </c>
      <c r="X2462">
        <v>0.99316170000000004</v>
      </c>
      <c r="Y2462">
        <v>-0.2018472</v>
      </c>
      <c r="Z2462">
        <v>8.0667820000000001E-2</v>
      </c>
      <c r="AA2462">
        <v>0.9760894</v>
      </c>
      <c r="AB2462">
        <v>19</v>
      </c>
      <c r="AC2462">
        <v>2.2229000000000299</v>
      </c>
      <c r="AD2462">
        <v>-1.1115730499550001</v>
      </c>
      <c r="AE2462">
        <v>-13.3614</v>
      </c>
      <c r="AF2462">
        <v>-2.7459874439566998</v>
      </c>
      <c r="AG2462">
        <v>-1.1115730499550001</v>
      </c>
      <c r="AH2462">
        <v>13.1712337931984</v>
      </c>
      <c r="AI2462">
        <v>94.722912937292193</v>
      </c>
      <c r="AJ2462">
        <v>101.776545220798</v>
      </c>
      <c r="AK2462">
        <v>13.5002756017367</v>
      </c>
      <c r="AL2462">
        <v>90.778819733228701</v>
      </c>
      <c r="AM2462">
        <v>96.659207901729999</v>
      </c>
      <c r="AN2462">
        <v>0.99999999739040102</v>
      </c>
    </row>
    <row r="2463" spans="1:40" x14ac:dyDescent="0.3">
      <c r="A2463" t="str">
        <f>"20200111160456933"</f>
        <v>20200111160456933</v>
      </c>
      <c r="B2463" t="str">
        <f>"1578729896923185"</f>
        <v>1578729896923185</v>
      </c>
      <c r="C2463" t="s">
        <v>40</v>
      </c>
      <c r="D2463">
        <v>5.0354260000000002</v>
      </c>
      <c r="E2463">
        <v>0.45524559999999997</v>
      </c>
      <c r="F2463" t="s">
        <v>41</v>
      </c>
      <c r="G2463">
        <v>-490.97219999999999</v>
      </c>
      <c r="H2463" s="1">
        <v>-3.0413380000000002E-6</v>
      </c>
      <c r="I2463">
        <v>236.07560000000001</v>
      </c>
      <c r="J2463">
        <v>-493.19990000000001</v>
      </c>
      <c r="K2463">
        <v>1.1115569999999999</v>
      </c>
      <c r="L2463">
        <v>249.28819999999999</v>
      </c>
      <c r="M2463">
        <v>-3.9088009999999999E-2</v>
      </c>
      <c r="N2463">
        <v>0</v>
      </c>
      <c r="O2463">
        <v>-0.99914559999999997</v>
      </c>
      <c r="P2463">
        <v>7.7413620000000002E-2</v>
      </c>
      <c r="Q2463">
        <v>-2.735133E-2</v>
      </c>
      <c r="R2463">
        <v>-0.99662410000000001</v>
      </c>
      <c r="S2463">
        <v>0.49261470000000002</v>
      </c>
      <c r="T2463">
        <v>-0.24635879999999999</v>
      </c>
      <c r="U2463">
        <v>-2.9657749999999998</v>
      </c>
      <c r="V2463">
        <v>-0.11628230000000001</v>
      </c>
      <c r="W2463">
        <v>-1.425944E-2</v>
      </c>
      <c r="X2463">
        <v>0.99311380000000005</v>
      </c>
      <c r="Y2463">
        <v>-0.20174900000000001</v>
      </c>
      <c r="Z2463">
        <v>8.1282649999999998E-2</v>
      </c>
      <c r="AA2463">
        <v>0.97605869999999995</v>
      </c>
      <c r="AB2463">
        <v>19</v>
      </c>
      <c r="AC2463">
        <v>2.22770000000002</v>
      </c>
      <c r="AD2463">
        <v>-1.111560041338</v>
      </c>
      <c r="AE2463">
        <v>-13.212599999999901</v>
      </c>
      <c r="AF2463">
        <v>-2.7237530897586701</v>
      </c>
      <c r="AG2463">
        <v>-1.111560041338</v>
      </c>
      <c r="AH2463">
        <v>13.025772958773899</v>
      </c>
      <c r="AI2463">
        <v>94.774765496671606</v>
      </c>
      <c r="AJ2463">
        <v>101.810651577588</v>
      </c>
      <c r="AK2463">
        <v>13.3538443076514</v>
      </c>
      <c r="AL2463">
        <v>90.817033450712501</v>
      </c>
      <c r="AM2463">
        <v>96.678274000491896</v>
      </c>
      <c r="AN2463">
        <v>0.99999996233642097</v>
      </c>
    </row>
    <row r="2464" spans="1:40" x14ac:dyDescent="0.3">
      <c r="A2464" t="str">
        <f>"20200111160456954"</f>
        <v>20200111160456954</v>
      </c>
      <c r="B2464" t="str">
        <f>"1578729896943212"</f>
        <v>1578729896943212</v>
      </c>
      <c r="C2464" t="s">
        <v>40</v>
      </c>
      <c r="D2464">
        <v>4.7914870000000001</v>
      </c>
      <c r="E2464">
        <v>0.45859060000000001</v>
      </c>
      <c r="F2464" t="s">
        <v>68</v>
      </c>
      <c r="G2464">
        <v>-467.52050000000003</v>
      </c>
      <c r="H2464">
        <v>0.76939969999999902</v>
      </c>
      <c r="I2464">
        <v>119.395</v>
      </c>
      <c r="J2464">
        <v>-493.20490000000001</v>
      </c>
      <c r="K2464">
        <v>1.111537</v>
      </c>
      <c r="L2464">
        <v>249.1086</v>
      </c>
      <c r="M2464">
        <v>-3.7433969999999997E-2</v>
      </c>
      <c r="N2464">
        <v>0</v>
      </c>
      <c r="O2464">
        <v>-0.9992086</v>
      </c>
      <c r="P2464">
        <v>7.9489379999999998E-2</v>
      </c>
      <c r="Q2464">
        <v>-2.7658039999999998E-2</v>
      </c>
      <c r="R2464">
        <v>-0.99645170000000005</v>
      </c>
      <c r="S2464">
        <v>0.58605959999999901</v>
      </c>
      <c r="T2464">
        <v>-7.8082079999999996E-3</v>
      </c>
      <c r="U2464">
        <v>-2.9644620000000002</v>
      </c>
      <c r="V2464">
        <v>-0.11670659999999999</v>
      </c>
      <c r="W2464">
        <v>-1.4559920000000001E-2</v>
      </c>
      <c r="X2464">
        <v>0.99305969999999999</v>
      </c>
      <c r="Y2464">
        <v>-0.2305314</v>
      </c>
      <c r="Z2464">
        <v>2.5708049999999998E-3</v>
      </c>
      <c r="AA2464">
        <v>0.97306150000000002</v>
      </c>
      <c r="AB2464">
        <v>19</v>
      </c>
      <c r="AC2464">
        <v>25.684399999999901</v>
      </c>
      <c r="AD2464">
        <v>-0.34213729999999998</v>
      </c>
      <c r="AE2464">
        <v>-129.71360000000001</v>
      </c>
      <c r="AF2464">
        <v>-30.522324494457798</v>
      </c>
      <c r="AG2464">
        <v>-0.34213729999999998</v>
      </c>
      <c r="AH2464">
        <v>128.66025035830501</v>
      </c>
      <c r="AI2464">
        <v>90.148247838741696</v>
      </c>
      <c r="AJ2464">
        <v>103.34568049254</v>
      </c>
      <c r="AK2464">
        <v>132.23157479489799</v>
      </c>
      <c r="AL2464">
        <v>90.834251447861902</v>
      </c>
      <c r="AM2464">
        <v>96.702782723846497</v>
      </c>
      <c r="AN2464">
        <v>0.99999999475902801</v>
      </c>
    </row>
    <row r="2465" spans="1:40" x14ac:dyDescent="0.3">
      <c r="A2465" t="str">
        <f>"20200111160457001"</f>
        <v>20200111160457001</v>
      </c>
      <c r="B2465" t="str">
        <f>"1578729896993964"</f>
        <v>1578729896993964</v>
      </c>
      <c r="C2465" t="s">
        <v>40</v>
      </c>
      <c r="D2465">
        <v>4.9544410000000001</v>
      </c>
      <c r="E2465">
        <v>0.46126230000000001</v>
      </c>
      <c r="F2465" t="s">
        <v>56</v>
      </c>
      <c r="G2465">
        <v>-487.20839999999998</v>
      </c>
      <c r="H2465" s="1">
        <v>2.9706980000000001E-6</v>
      </c>
      <c r="I2465">
        <v>217.86410000000001</v>
      </c>
      <c r="J2465">
        <v>-493.21519999999998</v>
      </c>
      <c r="K2465">
        <v>1.1114740000000001</v>
      </c>
      <c r="L2465">
        <v>248.7055</v>
      </c>
      <c r="M2465">
        <v>-3.3846050000000003E-2</v>
      </c>
      <c r="N2465">
        <v>0</v>
      </c>
      <c r="O2465">
        <v>-0.99933660000000002</v>
      </c>
      <c r="P2465">
        <v>8.3157170000000002E-2</v>
      </c>
      <c r="Q2465">
        <v>-2.7876229999999998E-2</v>
      </c>
      <c r="R2465">
        <v>-0.99614669999999905</v>
      </c>
      <c r="S2465">
        <v>0.56854249999999995</v>
      </c>
      <c r="T2465">
        <v>-0.1053876</v>
      </c>
      <c r="U2465">
        <v>-2.9623719999999998</v>
      </c>
      <c r="V2465">
        <v>-0.1167986</v>
      </c>
      <c r="W2465">
        <v>-1.4758449999999999E-2</v>
      </c>
      <c r="X2465">
        <v>0.99304599999999998</v>
      </c>
      <c r="Y2465">
        <v>-0.2215017</v>
      </c>
      <c r="Z2465">
        <v>3.47639E-2</v>
      </c>
      <c r="AA2465">
        <v>0.97454010000000002</v>
      </c>
      <c r="AB2465">
        <v>19</v>
      </c>
      <c r="AC2465">
        <v>6.0067999999999904</v>
      </c>
      <c r="AD2465">
        <v>-1.111471029302</v>
      </c>
      <c r="AE2465">
        <v>-30.8414</v>
      </c>
      <c r="AF2465">
        <v>-7.03850455153413</v>
      </c>
      <c r="AG2465">
        <v>-1.111471029302</v>
      </c>
      <c r="AH2465">
        <v>30.582134455821599</v>
      </c>
      <c r="AI2465">
        <v>92.028446740026197</v>
      </c>
      <c r="AJ2465">
        <v>102.96097361911799</v>
      </c>
      <c r="AK2465">
        <v>31.401319431592199</v>
      </c>
      <c r="AL2465">
        <v>90.845627561936794</v>
      </c>
      <c r="AM2465">
        <v>96.7081101055484</v>
      </c>
      <c r="AN2465">
        <v>1.0000000414621799</v>
      </c>
    </row>
    <row r="2466" spans="1:40" x14ac:dyDescent="0.3">
      <c r="A2466" t="str">
        <f>"20200111160457013"</f>
        <v>20200111160457013</v>
      </c>
      <c r="B2466" t="str">
        <f>"1578729897003724"</f>
        <v>1578729897003724</v>
      </c>
      <c r="C2466" t="s">
        <v>40</v>
      </c>
      <c r="D2466">
        <v>5.321421</v>
      </c>
      <c r="E2466">
        <v>0.57658679999999995</v>
      </c>
      <c r="F2466" t="s">
        <v>56</v>
      </c>
      <c r="G2466">
        <v>-489.2799</v>
      </c>
      <c r="H2466" s="1">
        <v>5.9187270000000003E-6</v>
      </c>
      <c r="I2466">
        <v>227.89330000000001</v>
      </c>
      <c r="J2466">
        <v>-493.2176</v>
      </c>
      <c r="K2466">
        <v>1.1114489999999999</v>
      </c>
      <c r="L2466">
        <v>248.6063</v>
      </c>
      <c r="M2466">
        <v>-3.3002780000000002E-2</v>
      </c>
      <c r="N2466">
        <v>0</v>
      </c>
      <c r="O2466">
        <v>-0.99936460000000005</v>
      </c>
      <c r="P2466">
        <v>8.3802479999999999E-2</v>
      </c>
      <c r="Q2466">
        <v>-2.8407430000000001E-2</v>
      </c>
      <c r="R2466">
        <v>-0.99607710000000005</v>
      </c>
      <c r="S2466">
        <v>0.5597839</v>
      </c>
      <c r="T2466">
        <v>-0.1581014</v>
      </c>
      <c r="U2466">
        <v>-2.9604339999999998</v>
      </c>
      <c r="V2466">
        <v>-0.1166035</v>
      </c>
      <c r="W2466">
        <v>-1.528382E-2</v>
      </c>
      <c r="X2466">
        <v>0.99306090000000002</v>
      </c>
      <c r="Y2466">
        <v>-0.21787219999999999</v>
      </c>
      <c r="Z2466">
        <v>5.2183479999999997E-2</v>
      </c>
      <c r="AA2466">
        <v>0.97458120000000004</v>
      </c>
      <c r="AB2466">
        <v>19</v>
      </c>
      <c r="AC2466">
        <v>3.9377</v>
      </c>
      <c r="AD2466">
        <v>-1.1114430812729901</v>
      </c>
      <c r="AE2466">
        <v>-20.712999999999901</v>
      </c>
      <c r="AF2466">
        <v>-4.60640248132417</v>
      </c>
      <c r="AG2466">
        <v>-1.1114430812729901</v>
      </c>
      <c r="AH2466">
        <v>20.514739951905</v>
      </c>
      <c r="AI2466">
        <v>93.025927962868906</v>
      </c>
      <c r="AJ2466">
        <v>102.655355494685</v>
      </c>
      <c r="AK2466">
        <v>21.054899782168199</v>
      </c>
      <c r="AL2466">
        <v>90.8757325115198</v>
      </c>
      <c r="AM2466">
        <v>96.696907193230899</v>
      </c>
      <c r="AN2466">
        <v>0.99999996123742496</v>
      </c>
    </row>
    <row r="2467" spans="1:40" x14ac:dyDescent="0.3">
      <c r="A2467" t="str">
        <f>"20200111160457027"</f>
        <v>20200111160457027</v>
      </c>
      <c r="B2467" t="str">
        <f>"1578729897023244"</f>
        <v>1578729897023244</v>
      </c>
      <c r="C2467" t="s">
        <v>40</v>
      </c>
      <c r="D2467">
        <v>5.6495059999999997</v>
      </c>
      <c r="E2467">
        <v>0.59137589999999995</v>
      </c>
      <c r="F2467" t="s">
        <v>42</v>
      </c>
      <c r="G2467">
        <v>-493.31220000000002</v>
      </c>
      <c r="H2467">
        <v>1.0423070000000001</v>
      </c>
      <c r="I2467">
        <v>247.79329999999999</v>
      </c>
      <c r="J2467">
        <v>-493.22030000000001</v>
      </c>
      <c r="K2467">
        <v>1.111426</v>
      </c>
      <c r="L2467">
        <v>248.49250000000001</v>
      </c>
      <c r="M2467">
        <v>-3.2047909999999999E-2</v>
      </c>
      <c r="N2467">
        <v>0</v>
      </c>
      <c r="O2467">
        <v>-0.9993957</v>
      </c>
      <c r="P2467">
        <v>8.4272120000000006E-2</v>
      </c>
      <c r="Q2467">
        <v>-2.8430939999999998E-2</v>
      </c>
      <c r="R2467">
        <v>-0.99603710000000001</v>
      </c>
      <c r="S2467">
        <v>-0.35192869999999998</v>
      </c>
      <c r="T2467">
        <v>-0.25831989999999999</v>
      </c>
      <c r="U2467">
        <v>-3.0340419999999999</v>
      </c>
      <c r="V2467">
        <v>-0.1161238</v>
      </c>
      <c r="W2467">
        <v>-1.5299429999999999E-2</v>
      </c>
      <c r="X2467">
        <v>0.99311689999999997</v>
      </c>
      <c r="Y2467">
        <v>8.2913710000000002E-2</v>
      </c>
      <c r="Z2467">
        <v>8.4341819999999998E-2</v>
      </c>
      <c r="AA2467">
        <v>0.99298129999999996</v>
      </c>
      <c r="AB2467">
        <v>19</v>
      </c>
      <c r="AC2467">
        <v>-9.1900000000009599E-2</v>
      </c>
      <c r="AD2467">
        <v>-6.9119000000000097E-2</v>
      </c>
      <c r="AE2467">
        <v>-0.69920000000001803</v>
      </c>
      <c r="AF2467">
        <v>6.8782119134161407E-2</v>
      </c>
      <c r="AG2467">
        <v>-6.9119000000000097E-2</v>
      </c>
      <c r="AH2467">
        <v>0.69510886548339601</v>
      </c>
      <c r="AI2467">
        <v>95.651189891221406</v>
      </c>
      <c r="AJ2467">
        <v>84.3488884162538</v>
      </c>
      <c r="AK2467">
        <v>0.70191505963841505</v>
      </c>
      <c r="AL2467">
        <v>90.876626975172698</v>
      </c>
      <c r="AM2467">
        <v>96.669232524111905</v>
      </c>
      <c r="AN2467">
        <v>0.99999999327518696</v>
      </c>
    </row>
    <row r="2468" spans="1:40" x14ac:dyDescent="0.3">
      <c r="A2468" t="str">
        <f>"20200111160457044"</f>
        <v>20200111160457044</v>
      </c>
      <c r="B2468" t="str">
        <f>"1578729897033004"</f>
        <v>1578729897033004</v>
      </c>
      <c r="C2468" t="s">
        <v>40</v>
      </c>
      <c r="D2468">
        <v>5.0730519999999997</v>
      </c>
      <c r="E2468">
        <v>0.66023679999999996</v>
      </c>
      <c r="F2468" t="s">
        <v>42</v>
      </c>
      <c r="G2468">
        <v>-493.35300000000001</v>
      </c>
      <c r="H2468">
        <v>1.032875</v>
      </c>
      <c r="I2468">
        <v>247.62909999999999</v>
      </c>
      <c r="J2468">
        <v>-493.22340000000003</v>
      </c>
      <c r="K2468">
        <v>1.1113980000000001</v>
      </c>
      <c r="L2468">
        <v>248.3501</v>
      </c>
      <c r="M2468">
        <v>-3.0887129999999999E-2</v>
      </c>
      <c r="N2468">
        <v>0</v>
      </c>
      <c r="O2468">
        <v>-0.99943249999999995</v>
      </c>
      <c r="P2468">
        <v>8.4442439999999994E-2</v>
      </c>
      <c r="Q2468">
        <v>-2.8935249999999999E-2</v>
      </c>
      <c r="R2468">
        <v>-0.99600840000000002</v>
      </c>
      <c r="S2468">
        <v>-0.4676208</v>
      </c>
      <c r="T2468">
        <v>-0.27707779999999999</v>
      </c>
      <c r="U2468">
        <v>-3.0435940000000001</v>
      </c>
      <c r="V2468">
        <v>-0.1151398</v>
      </c>
      <c r="W2468">
        <v>-1.579241E-2</v>
      </c>
      <c r="X2468">
        <v>0.99322379999999999</v>
      </c>
      <c r="Y2468">
        <v>0.12064229999999999</v>
      </c>
      <c r="Z2468">
        <v>8.974385E-2</v>
      </c>
      <c r="AA2468">
        <v>0.98863109999999998</v>
      </c>
      <c r="AB2468">
        <v>19</v>
      </c>
      <c r="AC2468">
        <v>-0.12959999999998201</v>
      </c>
      <c r="AD2468">
        <v>-7.8522999999999898E-2</v>
      </c>
      <c r="AE2468">
        <v>-0.72100000000000297</v>
      </c>
      <c r="AF2468">
        <v>0.106048048830894</v>
      </c>
      <c r="AG2468">
        <v>-7.8522999999999898E-2</v>
      </c>
      <c r="AH2468">
        <v>0.71642764621535004</v>
      </c>
      <c r="AI2468">
        <v>96.187960067272101</v>
      </c>
      <c r="AJ2468">
        <v>81.580025707806797</v>
      </c>
      <c r="AK2468">
        <v>0.72847829236807504</v>
      </c>
      <c r="AL2468">
        <v>90.904876015697695</v>
      </c>
      <c r="AM2468">
        <v>96.612516573459004</v>
      </c>
      <c r="AN2468">
        <v>1.0000000453220399</v>
      </c>
    </row>
    <row r="2469" spans="1:40" x14ac:dyDescent="0.3">
      <c r="A2469" t="str">
        <f>"20200111160457057"</f>
        <v>20200111160457057</v>
      </c>
      <c r="B2469" t="str">
        <f>"1578729897053030"</f>
        <v>1578729897053030</v>
      </c>
      <c r="C2469" t="s">
        <v>40</v>
      </c>
      <c r="D2469">
        <v>4.9589189999999999</v>
      </c>
      <c r="E2469">
        <v>0.65341939999999998</v>
      </c>
      <c r="F2469" t="s">
        <v>66</v>
      </c>
      <c r="G2469">
        <v>-511.92540000000002</v>
      </c>
      <c r="H2469">
        <v>0.80871319999999902</v>
      </c>
      <c r="I2469">
        <v>191.71709999999999</v>
      </c>
      <c r="J2469">
        <v>-493.22590000000002</v>
      </c>
      <c r="K2469">
        <v>1.111372</v>
      </c>
      <c r="L2469">
        <v>248.23419999999999</v>
      </c>
      <c r="M2469">
        <v>-2.9977230000000001E-2</v>
      </c>
      <c r="N2469">
        <v>0</v>
      </c>
      <c r="O2469">
        <v>-0.99946049999999997</v>
      </c>
      <c r="P2469">
        <v>8.4765409999999999E-2</v>
      </c>
      <c r="Q2469">
        <v>-2.9050989999999999E-2</v>
      </c>
      <c r="R2469">
        <v>-0.99597780000000002</v>
      </c>
      <c r="S2469">
        <v>-1.0231629999999901</v>
      </c>
      <c r="T2469">
        <v>-1.655626E-2</v>
      </c>
      <c r="U2469">
        <v>-3.0982820000000002</v>
      </c>
      <c r="V2469">
        <v>-0.11455890000000001</v>
      </c>
      <c r="W2469">
        <v>-1.5899940000000001E-2</v>
      </c>
      <c r="X2469">
        <v>0.99328919999999998</v>
      </c>
      <c r="Y2469">
        <v>0.28496630000000001</v>
      </c>
      <c r="Z2469">
        <v>5.0939549999999998E-3</v>
      </c>
      <c r="AA2469">
        <v>0.95852400000000004</v>
      </c>
      <c r="AB2469">
        <v>19</v>
      </c>
      <c r="AC2469">
        <v>-18.6995</v>
      </c>
      <c r="AD2469">
        <v>-0.30265880000000001</v>
      </c>
      <c r="AE2469">
        <v>-56.517099999999999</v>
      </c>
      <c r="AF2469">
        <v>16.996276597947698</v>
      </c>
      <c r="AG2469">
        <v>-0.30265880000000001</v>
      </c>
      <c r="AH2469">
        <v>57.050830641373203</v>
      </c>
      <c r="AI2469">
        <v>90.291303375852095</v>
      </c>
      <c r="AJ2469">
        <v>73.410436387474803</v>
      </c>
      <c r="AK2469">
        <v>59.529507787431001</v>
      </c>
      <c r="AL2469">
        <v>90.911037852613205</v>
      </c>
      <c r="AM2469">
        <v>96.579019130801498</v>
      </c>
      <c r="AN2469">
        <v>0.999999992248926</v>
      </c>
    </row>
    <row r="2470" spans="1:40" x14ac:dyDescent="0.3">
      <c r="A2470" t="str">
        <f>"20200111160457070"</f>
        <v>20200111160457070</v>
      </c>
      <c r="B2470" t="str">
        <f>"1578729897063766"</f>
        <v>1578729897063766</v>
      </c>
      <c r="C2470" t="s">
        <v>40</v>
      </c>
      <c r="D2470">
        <v>4.9986699999999997</v>
      </c>
      <c r="E2470">
        <v>0.65271069999999998</v>
      </c>
      <c r="F2470" t="s">
        <v>56</v>
      </c>
      <c r="G2470">
        <v>-501.22230000000002</v>
      </c>
      <c r="H2470">
        <v>8.0003019999999994E-2</v>
      </c>
      <c r="I2470">
        <v>222.60669999999999</v>
      </c>
      <c r="J2470">
        <v>-493.22820000000002</v>
      </c>
      <c r="K2470">
        <v>1.111345</v>
      </c>
      <c r="L2470">
        <v>248.1241</v>
      </c>
      <c r="M2470">
        <v>-2.9127879999999998E-2</v>
      </c>
      <c r="N2470">
        <v>0</v>
      </c>
      <c r="O2470">
        <v>-0.99948539999999997</v>
      </c>
      <c r="P2470">
        <v>8.516079E-2</v>
      </c>
      <c r="Q2470">
        <v>-2.9057079999999999E-2</v>
      </c>
      <c r="R2470">
        <v>-0.99594360000000004</v>
      </c>
      <c r="S2470">
        <v>-0.96432499999999999</v>
      </c>
      <c r="T2470">
        <v>-0.1243775</v>
      </c>
      <c r="U2470">
        <v>-3.0905459999999998</v>
      </c>
      <c r="V2470">
        <v>-0.1141094</v>
      </c>
      <c r="W2470">
        <v>-1.5898820000000001E-2</v>
      </c>
      <c r="X2470">
        <v>0.99334100000000003</v>
      </c>
      <c r="Y2470">
        <v>0.26970559999999899</v>
      </c>
      <c r="Z2470">
        <v>3.8526900000000003E-2</v>
      </c>
      <c r="AA2470">
        <v>0.96217180000000002</v>
      </c>
      <c r="AB2470">
        <v>19</v>
      </c>
      <c r="AC2470">
        <v>-7.9941000000000004</v>
      </c>
      <c r="AD2470">
        <v>-1.0313419800000001</v>
      </c>
      <c r="AE2470">
        <v>-25.517399999999999</v>
      </c>
      <c r="AF2470">
        <v>7.23660773053318</v>
      </c>
      <c r="AG2470">
        <v>-1.0313419800000001</v>
      </c>
      <c r="AH2470">
        <v>25.701211079516401</v>
      </c>
      <c r="AI2470">
        <v>92.212019012918702</v>
      </c>
      <c r="AJ2470">
        <v>74.274542865688503</v>
      </c>
      <c r="AK2470">
        <v>26.7204866849236</v>
      </c>
      <c r="AL2470">
        <v>90.9109736343121</v>
      </c>
      <c r="AM2470">
        <v>96.553090954514104</v>
      </c>
      <c r="AN2470">
        <v>1.00000003496337</v>
      </c>
    </row>
    <row r="2471" spans="1:40" x14ac:dyDescent="0.3">
      <c r="A2471" t="str">
        <f>"20200111160457088"</f>
        <v>20200111160457088</v>
      </c>
      <c r="B2471" t="str">
        <f>"1578729897083286"</f>
        <v>1578729897083286</v>
      </c>
      <c r="C2471" t="s">
        <v>40</v>
      </c>
      <c r="D2471">
        <v>4.8712619999999998</v>
      </c>
      <c r="E2471">
        <v>0.65187200000000001</v>
      </c>
      <c r="F2471" t="s">
        <v>56</v>
      </c>
      <c r="G2471">
        <v>-500.49529999999999</v>
      </c>
      <c r="H2471">
        <v>8.0000710000000003E-2</v>
      </c>
      <c r="I2471">
        <v>224.6626</v>
      </c>
      <c r="J2471">
        <v>-493.2312</v>
      </c>
      <c r="K2471">
        <v>1.1113120000000001</v>
      </c>
      <c r="L2471">
        <v>247.97380000000001</v>
      </c>
      <c r="M2471">
        <v>-2.7999980000000001E-2</v>
      </c>
      <c r="N2471">
        <v>0</v>
      </c>
      <c r="O2471">
        <v>-0.99951769999999995</v>
      </c>
      <c r="P2471">
        <v>8.5463540000000005E-2</v>
      </c>
      <c r="Q2471">
        <v>-2.901229E-2</v>
      </c>
      <c r="R2471">
        <v>-0.99591929999999995</v>
      </c>
      <c r="S2471">
        <v>-0.95715329999999998</v>
      </c>
      <c r="T2471">
        <v>-0.135839299999999</v>
      </c>
      <c r="U2471">
        <v>-3.0901339999999999</v>
      </c>
      <c r="V2471">
        <v>-0.1132924</v>
      </c>
      <c r="W2471">
        <v>-1.5843940000000001E-2</v>
      </c>
      <c r="X2471">
        <v>0.99343530000000002</v>
      </c>
      <c r="Y2471">
        <v>0.26874979999999998</v>
      </c>
      <c r="Z2471">
        <v>4.209831E-2</v>
      </c>
      <c r="AA2471">
        <v>0.96228959999999997</v>
      </c>
      <c r="AB2471">
        <v>19</v>
      </c>
      <c r="AC2471">
        <v>-7.2640999999999796</v>
      </c>
      <c r="AD2471">
        <v>-1.0313112900000001</v>
      </c>
      <c r="AE2471">
        <v>-23.311199999999999</v>
      </c>
      <c r="AF2471">
        <v>6.5967106531541102</v>
      </c>
      <c r="AG2471">
        <v>-1.0313112900000001</v>
      </c>
      <c r="AH2471">
        <v>23.463611739255001</v>
      </c>
      <c r="AI2471">
        <v>92.422920224858501</v>
      </c>
      <c r="AJ2471">
        <v>74.296861503559199</v>
      </c>
      <c r="AK2471">
        <v>24.395107506810199</v>
      </c>
      <c r="AL2471">
        <v>90.907828925965404</v>
      </c>
      <c r="AM2471">
        <v>96.505963604986803</v>
      </c>
      <c r="AN2471">
        <v>0.99999994680928495</v>
      </c>
    </row>
    <row r="2472" spans="1:40" x14ac:dyDescent="0.3">
      <c r="A2472" t="str">
        <f>"20200111160457100"</f>
        <v>20200111160457100</v>
      </c>
      <c r="B2472" t="str">
        <f>"1578729897094023"</f>
        <v>1578729897094023</v>
      </c>
      <c r="C2472" t="s">
        <v>40</v>
      </c>
      <c r="D2472">
        <v>4.9160430000000002</v>
      </c>
      <c r="E2472">
        <v>0.65132519999999905</v>
      </c>
      <c r="F2472" t="s">
        <v>56</v>
      </c>
      <c r="G2472">
        <v>-499.95780000000002</v>
      </c>
      <c r="H2472">
        <v>8.2849499999999993E-3</v>
      </c>
      <c r="I2472">
        <v>226.0753</v>
      </c>
      <c r="J2472">
        <v>-493.23329999999999</v>
      </c>
      <c r="K2472">
        <v>1.1112930000000001</v>
      </c>
      <c r="L2472">
        <v>247.8665</v>
      </c>
      <c r="M2472">
        <v>-2.7220500000000002E-2</v>
      </c>
      <c r="N2472">
        <v>0</v>
      </c>
      <c r="O2472">
        <v>-0.99953930000000002</v>
      </c>
      <c r="P2472">
        <v>8.5649550000000005E-2</v>
      </c>
      <c r="Q2472">
        <v>-2.8917189999999999E-2</v>
      </c>
      <c r="R2472">
        <v>-0.99590590000000001</v>
      </c>
      <c r="S2472">
        <v>-0.94891360000000002</v>
      </c>
      <c r="T2472">
        <v>-0.1556041</v>
      </c>
      <c r="U2472">
        <v>-3.0892179999999998</v>
      </c>
      <c r="V2472">
        <v>-0.1127047</v>
      </c>
      <c r="W2472">
        <v>-1.574186E-2</v>
      </c>
      <c r="X2472">
        <v>0.99350380000000005</v>
      </c>
      <c r="Y2472">
        <v>0.2671559</v>
      </c>
      <c r="Z2472">
        <v>4.8254419999999999E-2</v>
      </c>
      <c r="AA2472">
        <v>0.96244439999999998</v>
      </c>
      <c r="AB2472">
        <v>19</v>
      </c>
      <c r="AC2472">
        <v>-6.7245000000000301</v>
      </c>
      <c r="AD2472">
        <v>-1.1030080499999999</v>
      </c>
      <c r="AE2472">
        <v>-21.7912</v>
      </c>
      <c r="AF2472">
        <v>6.1144832079312801</v>
      </c>
      <c r="AG2472">
        <v>-1.1030080499999999</v>
      </c>
      <c r="AH2472">
        <v>21.914918457219901</v>
      </c>
      <c r="AI2472">
        <v>92.775511808424</v>
      </c>
      <c r="AJ2472">
        <v>74.410361719262099</v>
      </c>
      <c r="AK2472">
        <v>22.778656295862501</v>
      </c>
      <c r="AL2472">
        <v>90.901979414743394</v>
      </c>
      <c r="AM2472">
        <v>96.472058820155397</v>
      </c>
      <c r="AN2472">
        <v>0.99999997808639396</v>
      </c>
    </row>
    <row r="2473" spans="1:40" x14ac:dyDescent="0.3">
      <c r="A2473" t="str">
        <f>"20200111160457113"</f>
        <v>20200111160457113</v>
      </c>
      <c r="B2473" t="str">
        <f>"1578729897103783"</f>
        <v>1578729897103783</v>
      </c>
      <c r="C2473" t="s">
        <v>40</v>
      </c>
      <c r="D2473">
        <v>4.9314549999999997</v>
      </c>
      <c r="E2473">
        <v>0.65117689999999995</v>
      </c>
      <c r="F2473" t="s">
        <v>56</v>
      </c>
      <c r="G2473">
        <v>-499.57600000000002</v>
      </c>
      <c r="H2473" s="1">
        <v>3.5201649999999999E-6</v>
      </c>
      <c r="I2473">
        <v>227.11279999999999</v>
      </c>
      <c r="J2473">
        <v>-493.2353</v>
      </c>
      <c r="K2473">
        <v>1.111273</v>
      </c>
      <c r="L2473">
        <v>247.7603</v>
      </c>
      <c r="M2473">
        <v>-2.6471970000000001E-2</v>
      </c>
      <c r="N2473">
        <v>0</v>
      </c>
      <c r="O2473">
        <v>-0.99955919999999998</v>
      </c>
      <c r="P2473">
        <v>8.5876469999999996E-2</v>
      </c>
      <c r="Q2473">
        <v>-2.8433110000000001E-2</v>
      </c>
      <c r="R2473">
        <v>-0.99590000000000001</v>
      </c>
      <c r="S2473">
        <v>-0.94396970000000002</v>
      </c>
      <c r="T2473">
        <v>-0.1653906</v>
      </c>
      <c r="U2473">
        <v>-3.08873</v>
      </c>
      <c r="V2473">
        <v>-0.1121887</v>
      </c>
      <c r="W2473">
        <v>-1.525117E-2</v>
      </c>
      <c r="X2473">
        <v>0.99356990000000001</v>
      </c>
      <c r="Y2473">
        <v>0.26646740000000002</v>
      </c>
      <c r="Z2473">
        <v>5.1307279999999997E-2</v>
      </c>
      <c r="AA2473">
        <v>0.96247740000000004</v>
      </c>
      <c r="AB2473">
        <v>19</v>
      </c>
      <c r="AC2473">
        <v>-6.3406999999999698</v>
      </c>
      <c r="AD2473">
        <v>-1.111269479835</v>
      </c>
      <c r="AE2473">
        <v>-20.647500000000001</v>
      </c>
      <c r="AF2473">
        <v>5.7765572262008096</v>
      </c>
      <c r="AG2473">
        <v>-1.111269479835</v>
      </c>
      <c r="AH2473">
        <v>20.753193775653202</v>
      </c>
      <c r="AI2473">
        <v>92.953033992920695</v>
      </c>
      <c r="AJ2473">
        <v>74.445697665462205</v>
      </c>
      <c r="AK2473">
        <v>21.5707808188345</v>
      </c>
      <c r="AL2473">
        <v>90.873861530989501</v>
      </c>
      <c r="AM2473">
        <v>96.442252253761694</v>
      </c>
      <c r="AN2473">
        <v>1.00000002439003</v>
      </c>
    </row>
    <row r="2474" spans="1:40" x14ac:dyDescent="0.3">
      <c r="A2474" t="str">
        <f>"20200111160457129"</f>
        <v>20200111160457129</v>
      </c>
      <c r="B2474" t="str">
        <f>"1578729897123302"</f>
        <v>1578729897123302</v>
      </c>
      <c r="C2474" t="s">
        <v>40</v>
      </c>
      <c r="D2474">
        <v>5.1649669999999999</v>
      </c>
      <c r="E2474">
        <v>0.64640819999999999</v>
      </c>
      <c r="F2474" t="s">
        <v>56</v>
      </c>
      <c r="G2474">
        <v>-499.43270000000001</v>
      </c>
      <c r="H2474" s="1">
        <v>3.6288279999999998E-6</v>
      </c>
      <c r="I2474">
        <v>227.43190000000001</v>
      </c>
      <c r="J2474">
        <v>-493.23759999999999</v>
      </c>
      <c r="K2474">
        <v>1.1112519999999999</v>
      </c>
      <c r="L2474">
        <v>247.63460000000001</v>
      </c>
      <c r="M2474">
        <v>-2.5607230000000002E-2</v>
      </c>
      <c r="N2474">
        <v>0</v>
      </c>
      <c r="O2474">
        <v>-0.99958179999999996</v>
      </c>
      <c r="P2474">
        <v>8.6162779999999994E-2</v>
      </c>
      <c r="Q2474">
        <v>-2.796386E-2</v>
      </c>
      <c r="R2474">
        <v>-0.99588869999999896</v>
      </c>
      <c r="S2474">
        <v>-0.9416504</v>
      </c>
      <c r="T2474">
        <v>-0.1688482</v>
      </c>
      <c r="U2474">
        <v>-3.08873</v>
      </c>
      <c r="V2474">
        <v>-0.1116172</v>
      </c>
      <c r="W2474">
        <v>-1.4774900000000001E-2</v>
      </c>
      <c r="X2474">
        <v>0.99364140000000001</v>
      </c>
      <c r="Y2474">
        <v>0.26662370000000002</v>
      </c>
      <c r="Z2474">
        <v>5.2383119999999998E-2</v>
      </c>
      <c r="AA2474">
        <v>0.96237609999999996</v>
      </c>
      <c r="AB2474">
        <v>19</v>
      </c>
      <c r="AC2474">
        <v>-6.1951000000000196</v>
      </c>
      <c r="AD2474">
        <v>-1.111248371172</v>
      </c>
      <c r="AE2474">
        <v>-20.2027</v>
      </c>
      <c r="AF2474">
        <v>5.6600334557857499</v>
      </c>
      <c r="AG2474">
        <v>-1.111248371172</v>
      </c>
      <c r="AH2474">
        <v>20.298591925571301</v>
      </c>
      <c r="AI2474">
        <v>93.018606849620298</v>
      </c>
      <c r="AJ2474">
        <v>74.419471180299595</v>
      </c>
      <c r="AK2474">
        <v>21.102219926441801</v>
      </c>
      <c r="AL2474">
        <v>90.846570245490796</v>
      </c>
      <c r="AM2474">
        <v>96.409251226575606</v>
      </c>
      <c r="AN2474">
        <v>0.99999996439990402</v>
      </c>
    </row>
    <row r="2475" spans="1:40" x14ac:dyDescent="0.3">
      <c r="A2475" t="str">
        <f>"20200111160457144"</f>
        <v>20200111160457144</v>
      </c>
      <c r="B2475" t="str">
        <f>"1578729897133063"</f>
        <v>1578729897133063</v>
      </c>
      <c r="C2475" t="s">
        <v>40</v>
      </c>
      <c r="D2475">
        <v>5.1424190000000003</v>
      </c>
      <c r="E2475">
        <v>0.64495630000000004</v>
      </c>
      <c r="F2475" t="s">
        <v>41</v>
      </c>
      <c r="G2475">
        <v>-498.19209999999998</v>
      </c>
      <c r="H2475" s="1">
        <v>-2.6498590000000002E-6</v>
      </c>
      <c r="I2475">
        <v>230.685</v>
      </c>
      <c r="J2475">
        <v>-493.23989999999998</v>
      </c>
      <c r="K2475">
        <v>1.111235</v>
      </c>
      <c r="L2475">
        <v>247.50040000000001</v>
      </c>
      <c r="M2475">
        <v>-2.4713189999999999E-2</v>
      </c>
      <c r="N2475">
        <v>0</v>
      </c>
      <c r="O2475">
        <v>-0.9996043</v>
      </c>
      <c r="P2475">
        <v>8.6353890000000003E-2</v>
      </c>
      <c r="Q2475">
        <v>-2.6875630000000001E-2</v>
      </c>
      <c r="R2475">
        <v>-0.99590190000000001</v>
      </c>
      <c r="S2475">
        <v>-0.90170289999999997</v>
      </c>
      <c r="T2475">
        <v>-0.2022419</v>
      </c>
      <c r="U2475">
        <v>-3.0847319999999998</v>
      </c>
      <c r="V2475">
        <v>-0.1109224</v>
      </c>
      <c r="W2475">
        <v>-1.368023E-2</v>
      </c>
      <c r="X2475">
        <v>0.99373489999999998</v>
      </c>
      <c r="Y2475">
        <v>0.25620549999999997</v>
      </c>
      <c r="Z2475">
        <v>6.2987870000000001E-2</v>
      </c>
      <c r="AA2475">
        <v>0.96456790000000003</v>
      </c>
      <c r="AB2475">
        <v>19</v>
      </c>
      <c r="AC2475">
        <v>-4.9522000000000004</v>
      </c>
      <c r="AD2475">
        <v>-1.111237649859</v>
      </c>
      <c r="AE2475">
        <v>-16.8154</v>
      </c>
      <c r="AF2475">
        <v>4.5169357098002596</v>
      </c>
      <c r="AG2475">
        <v>-1.111237649859</v>
      </c>
      <c r="AH2475">
        <v>16.864885512796398</v>
      </c>
      <c r="AI2475">
        <v>93.641810971123405</v>
      </c>
      <c r="AJ2475">
        <v>75.006329391921</v>
      </c>
      <c r="AK2475">
        <v>17.494625479862801</v>
      </c>
      <c r="AL2475">
        <v>90.783843900525198</v>
      </c>
      <c r="AM2475">
        <v>96.369089151549204</v>
      </c>
      <c r="AN2475">
        <v>0.99999998949631097</v>
      </c>
    </row>
    <row r="2476" spans="1:40" x14ac:dyDescent="0.3">
      <c r="A2476" t="str">
        <f>"20200111160457157"</f>
        <v>20200111160457157</v>
      </c>
      <c r="B2476" t="str">
        <f>"1578729897153559"</f>
        <v>1578729897153559</v>
      </c>
      <c r="C2476" t="s">
        <v>40</v>
      </c>
      <c r="D2476">
        <v>7.753603</v>
      </c>
      <c r="E2476">
        <v>0.64394499999999999</v>
      </c>
      <c r="F2476" t="s">
        <v>41</v>
      </c>
      <c r="G2476">
        <v>-497.94920000000002</v>
      </c>
      <c r="H2476" s="1">
        <v>-2.794841E-6</v>
      </c>
      <c r="I2476">
        <v>231.17359999999999</v>
      </c>
      <c r="J2476">
        <v>-493.24189999999999</v>
      </c>
      <c r="K2476">
        <v>1.1112150000000001</v>
      </c>
      <c r="L2476">
        <v>247.38740000000001</v>
      </c>
      <c r="M2476">
        <v>-2.398987E-2</v>
      </c>
      <c r="N2476">
        <v>0</v>
      </c>
      <c r="O2476">
        <v>-0.99962209999999996</v>
      </c>
      <c r="P2476">
        <v>8.669462E-2</v>
      </c>
      <c r="Q2476">
        <v>-2.6628990000000002E-2</v>
      </c>
      <c r="R2476">
        <v>-0.99587910000000002</v>
      </c>
      <c r="S2476">
        <v>-0.88949579999999995</v>
      </c>
      <c r="T2476">
        <v>-0.2098912</v>
      </c>
      <c r="U2476">
        <v>-3.0838169999999998</v>
      </c>
      <c r="V2476">
        <v>-0.11054460000000001</v>
      </c>
      <c r="W2476">
        <v>-1.3433550000000001E-2</v>
      </c>
      <c r="X2476">
        <v>0.99378040000000001</v>
      </c>
      <c r="Y2476">
        <v>0.25341609999999998</v>
      </c>
      <c r="Z2476">
        <v>6.5439869999999997E-2</v>
      </c>
      <c r="AA2476">
        <v>0.96514140000000004</v>
      </c>
      <c r="AB2476">
        <v>19</v>
      </c>
      <c r="AC2476">
        <v>-4.7073000000000302</v>
      </c>
      <c r="AD2476">
        <v>-1.111217794841</v>
      </c>
      <c r="AE2476">
        <v>-16.213799999999999</v>
      </c>
      <c r="AF2476">
        <v>4.2983228884643703</v>
      </c>
      <c r="AG2476">
        <v>-1.111217794841</v>
      </c>
      <c r="AH2476">
        <v>16.2516691220683</v>
      </c>
      <c r="AI2476">
        <v>93.781902002627007</v>
      </c>
      <c r="AJ2476">
        <v>75.185347003754998</v>
      </c>
      <c r="AK2476">
        <v>16.847169907561799</v>
      </c>
      <c r="AL2476">
        <v>90.769708850251902</v>
      </c>
      <c r="AM2476">
        <v>96.347285244692699</v>
      </c>
      <c r="AN2476">
        <v>1.0000000261394599</v>
      </c>
    </row>
    <row r="2477" spans="1:40" x14ac:dyDescent="0.3">
      <c r="A2477" t="str">
        <f>"20200111160457170"</f>
        <v>20200111160457170</v>
      </c>
      <c r="B2477" t="str">
        <f>"1578729897163318"</f>
        <v>1578729897163318</v>
      </c>
      <c r="C2477" t="s">
        <v>40</v>
      </c>
      <c r="D2477">
        <v>5.1714949999999904</v>
      </c>
      <c r="E2477">
        <v>0.64344919999999906</v>
      </c>
      <c r="F2477" t="s">
        <v>41</v>
      </c>
      <c r="G2477">
        <v>-497.72809999999998</v>
      </c>
      <c r="H2477" s="1">
        <v>-2.9441159999999999E-6</v>
      </c>
      <c r="I2477">
        <v>231.65870000000001</v>
      </c>
      <c r="J2477">
        <v>-493.24349999999998</v>
      </c>
      <c r="K2477">
        <v>1.1111949999999999</v>
      </c>
      <c r="L2477">
        <v>247.2816</v>
      </c>
      <c r="M2477">
        <v>-2.332453E-2</v>
      </c>
      <c r="N2477">
        <v>0</v>
      </c>
      <c r="O2477">
        <v>-0.99963820000000003</v>
      </c>
      <c r="P2477">
        <v>8.7275530000000004E-2</v>
      </c>
      <c r="Q2477">
        <v>-2.6376900000000002E-2</v>
      </c>
      <c r="R2477">
        <v>-0.99583520000000003</v>
      </c>
      <c r="S2477">
        <v>-0.87939449999999997</v>
      </c>
      <c r="T2477">
        <v>-0.21782009999999999</v>
      </c>
      <c r="U2477">
        <v>-3.0831300000000001</v>
      </c>
      <c r="V2477">
        <v>-0.1104639</v>
      </c>
      <c r="W2477">
        <v>-1.3188790000000001E-2</v>
      </c>
      <c r="X2477">
        <v>0.99379269999999997</v>
      </c>
      <c r="Y2477">
        <v>0.25114839999999999</v>
      </c>
      <c r="Z2477">
        <v>6.7966830000000006E-2</v>
      </c>
      <c r="AA2477">
        <v>0.96555939999999996</v>
      </c>
      <c r="AB2477">
        <v>19</v>
      </c>
      <c r="AC2477">
        <v>-4.4846000000000004</v>
      </c>
      <c r="AD2477">
        <v>-1.111197944116</v>
      </c>
      <c r="AE2477">
        <v>-15.6228999999999</v>
      </c>
      <c r="AF2477">
        <v>4.0997885565927996</v>
      </c>
      <c r="AG2477">
        <v>-1.111197944116</v>
      </c>
      <c r="AH2477">
        <v>15.650113721812099</v>
      </c>
      <c r="AI2477">
        <v>93.929182201458403</v>
      </c>
      <c r="AJ2477">
        <v>75.320354748081996</v>
      </c>
      <c r="AK2477">
        <v>16.216321610816301</v>
      </c>
      <c r="AL2477">
        <v>90.755683856859406</v>
      </c>
      <c r="AM2477">
        <v>96.342611500557098</v>
      </c>
      <c r="AN2477">
        <v>1.00000007397907</v>
      </c>
    </row>
    <row r="2478" spans="1:40" x14ac:dyDescent="0.3">
      <c r="A2478" t="str">
        <f>"20200111160457190"</f>
        <v>20200111160457190</v>
      </c>
      <c r="B2478" t="str">
        <f>"1578729897183815"</f>
        <v>1578729897183815</v>
      </c>
      <c r="C2478" t="s">
        <v>40</v>
      </c>
      <c r="D2478">
        <v>5.1550729999999998</v>
      </c>
      <c r="E2478">
        <v>0.64180740000000003</v>
      </c>
      <c r="F2478" t="s">
        <v>41</v>
      </c>
      <c r="G2478">
        <v>-497.69150000000002</v>
      </c>
      <c r="H2478" s="1">
        <v>-2.9049590000000001E-6</v>
      </c>
      <c r="I2478">
        <v>231.59010000000001</v>
      </c>
      <c r="J2478">
        <v>-493.24619999999999</v>
      </c>
      <c r="K2478">
        <v>1.111167</v>
      </c>
      <c r="L2478">
        <v>247.11250000000001</v>
      </c>
      <c r="M2478">
        <v>-2.2290589999999999E-2</v>
      </c>
      <c r="N2478">
        <v>0</v>
      </c>
      <c r="O2478">
        <v>-0.99966219999999995</v>
      </c>
      <c r="P2478">
        <v>8.8096359999999999E-2</v>
      </c>
      <c r="Q2478">
        <v>-2.6950390000000001E-2</v>
      </c>
      <c r="R2478">
        <v>-0.99574750000000001</v>
      </c>
      <c r="S2478">
        <v>-0.87402340000000001</v>
      </c>
      <c r="T2478">
        <v>-0.2183495</v>
      </c>
      <c r="U2478">
        <v>-3.0833590000000002</v>
      </c>
      <c r="V2478">
        <v>-0.11025500000000001</v>
      </c>
      <c r="W2478">
        <v>-1.3793629999999999E-2</v>
      </c>
      <c r="X2478">
        <v>0.99380760000000001</v>
      </c>
      <c r="Y2478">
        <v>0.25057089999999999</v>
      </c>
      <c r="Z2478">
        <v>6.8149829999999995E-2</v>
      </c>
      <c r="AA2478">
        <v>0.96569660000000002</v>
      </c>
      <c r="AB2478">
        <v>19</v>
      </c>
      <c r="AC2478">
        <v>-4.4453000000000298</v>
      </c>
      <c r="AD2478">
        <v>-1.111169904959</v>
      </c>
      <c r="AE2478">
        <v>-15.522399999999999</v>
      </c>
      <c r="AF2478">
        <v>4.0788435831330903</v>
      </c>
      <c r="AG2478">
        <v>-1.111169904959</v>
      </c>
      <c r="AH2478">
        <v>15.5440234234421</v>
      </c>
      <c r="AI2478">
        <v>93.955389005294606</v>
      </c>
      <c r="AJ2478">
        <v>75.296739750288694</v>
      </c>
      <c r="AK2478">
        <v>16.108641399009102</v>
      </c>
      <c r="AL2478">
        <v>90.790341856664895</v>
      </c>
      <c r="AM2478">
        <v>96.330620221108802</v>
      </c>
      <c r="AN2478">
        <v>0.99999998753566799</v>
      </c>
    </row>
    <row r="2479" spans="1:40" x14ac:dyDescent="0.3">
      <c r="A2479" t="str">
        <f>"20200111160457203"</f>
        <v>20200111160457203</v>
      </c>
      <c r="B2479" t="str">
        <f>"1578729897193576"</f>
        <v>1578729897193576</v>
      </c>
      <c r="C2479" t="s">
        <v>40</v>
      </c>
      <c r="D2479">
        <v>5.1097299999999999</v>
      </c>
      <c r="E2479">
        <v>0.64111799999999997</v>
      </c>
      <c r="F2479" t="s">
        <v>41</v>
      </c>
      <c r="G2479">
        <v>-497.30220000000003</v>
      </c>
      <c r="H2479" s="1">
        <v>-3.183641E-6</v>
      </c>
      <c r="I2479">
        <v>232.53579999999999</v>
      </c>
      <c r="J2479">
        <v>-493.24790000000002</v>
      </c>
      <c r="K2479">
        <v>1.1111489999999999</v>
      </c>
      <c r="L2479">
        <v>247.0035</v>
      </c>
      <c r="M2479">
        <v>-2.1639539999999999E-2</v>
      </c>
      <c r="N2479">
        <v>0</v>
      </c>
      <c r="O2479">
        <v>-0.99967689999999998</v>
      </c>
      <c r="P2479">
        <v>8.8881050000000003E-2</v>
      </c>
      <c r="Q2479">
        <v>-2.6770479999999999E-2</v>
      </c>
      <c r="R2479">
        <v>-0.99568270000000003</v>
      </c>
      <c r="S2479">
        <v>-0.85766600000000004</v>
      </c>
      <c r="T2479">
        <v>-0.23496549999999999</v>
      </c>
      <c r="U2479">
        <v>-3.0823520000000002</v>
      </c>
      <c r="V2479">
        <v>-0.11039119999999999</v>
      </c>
      <c r="W2479">
        <v>-1.3647390000000001E-2</v>
      </c>
      <c r="X2479">
        <v>0.99379450000000003</v>
      </c>
      <c r="Y2479">
        <v>0.2464316</v>
      </c>
      <c r="Z2479">
        <v>7.3423630000000004E-2</v>
      </c>
      <c r="AA2479">
        <v>0.96637490000000004</v>
      </c>
      <c r="AB2479">
        <v>19</v>
      </c>
      <c r="AC2479">
        <v>-4.0543000000000102</v>
      </c>
      <c r="AD2479">
        <v>-1.1111521836410001</v>
      </c>
      <c r="AE2479">
        <v>-14.467700000000001</v>
      </c>
      <c r="AF2479">
        <v>3.7199037188541002</v>
      </c>
      <c r="AG2479">
        <v>-1.1111521836410001</v>
      </c>
      <c r="AH2479">
        <v>14.4728988274165</v>
      </c>
      <c r="AI2479">
        <v>94.252564339415002</v>
      </c>
      <c r="AJ2479">
        <v>75.5855353413492</v>
      </c>
      <c r="AK2479">
        <v>14.9845635011964</v>
      </c>
      <c r="AL2479">
        <v>90.781962132401304</v>
      </c>
      <c r="AM2479">
        <v>96.338459813431399</v>
      </c>
      <c r="AN2479">
        <v>0.99999998826075098</v>
      </c>
    </row>
    <row r="2480" spans="1:40" x14ac:dyDescent="0.3">
      <c r="A2480" t="str">
        <f>"20200111160457215"</f>
        <v>20200111160457215</v>
      </c>
      <c r="B2480" t="str">
        <f>"1578729897203335"</f>
        <v>1578729897203335</v>
      </c>
      <c r="C2480" t="s">
        <v>40</v>
      </c>
      <c r="D2480">
        <v>5.1129369999999996</v>
      </c>
      <c r="E2480">
        <v>0.64056899999999894</v>
      </c>
      <c r="F2480" t="s">
        <v>41</v>
      </c>
      <c r="G2480">
        <v>-497.14859999999999</v>
      </c>
      <c r="H2480" s="1">
        <v>-3.2630310000000002E-6</v>
      </c>
      <c r="I2480">
        <v>232.8492</v>
      </c>
      <c r="J2480">
        <v>-493.24930000000001</v>
      </c>
      <c r="K2480">
        <v>1.111132</v>
      </c>
      <c r="L2480">
        <v>246.90719999999999</v>
      </c>
      <c r="M2480">
        <v>-2.1079339999999998E-2</v>
      </c>
      <c r="N2480">
        <v>0</v>
      </c>
      <c r="O2480">
        <v>-0.99968950000000001</v>
      </c>
      <c r="P2480">
        <v>8.933692E-2</v>
      </c>
      <c r="Q2480">
        <v>-2.681658E-2</v>
      </c>
      <c r="R2480">
        <v>-0.99564050000000004</v>
      </c>
      <c r="S2480">
        <v>-0.84942629999999997</v>
      </c>
      <c r="T2480">
        <v>-0.24196989999999999</v>
      </c>
      <c r="U2480">
        <v>-3.0823209999999999</v>
      </c>
      <c r="V2480">
        <v>-0.1102897</v>
      </c>
      <c r="W2480">
        <v>-1.3736190000000001E-2</v>
      </c>
      <c r="X2480">
        <v>0.99380460000000004</v>
      </c>
      <c r="Y2480">
        <v>0.24453320000000001</v>
      </c>
      <c r="Z2480">
        <v>7.564659E-2</v>
      </c>
      <c r="AA2480">
        <v>0.96668560000000003</v>
      </c>
      <c r="AB2480">
        <v>19</v>
      </c>
      <c r="AC2480">
        <v>-3.8992999999999798</v>
      </c>
      <c r="AD2480">
        <v>-1.1111352630310001</v>
      </c>
      <c r="AE2480">
        <v>-14.0579999999999</v>
      </c>
      <c r="AF2480">
        <v>3.58129907819893</v>
      </c>
      <c r="AG2480">
        <v>-1.1111352630310001</v>
      </c>
      <c r="AH2480">
        <v>14.055542647140101</v>
      </c>
      <c r="AI2480">
        <v>94.380622597968397</v>
      </c>
      <c r="AJ2480">
        <v>75.705411784609396</v>
      </c>
      <c r="AK2480">
        <v>14.54711668221</v>
      </c>
      <c r="AL2480">
        <v>90.7870504324206</v>
      </c>
      <c r="AM2480">
        <v>96.332615402568194</v>
      </c>
      <c r="AN2480">
        <v>1.0000000419114801</v>
      </c>
    </row>
    <row r="2481" spans="1:40" x14ac:dyDescent="0.3">
      <c r="A2481" t="str">
        <f>"20200111160457232"</f>
        <v>20200111160457232</v>
      </c>
      <c r="B2481" t="str">
        <f>"1578729897223830"</f>
        <v>1578729897223830</v>
      </c>
      <c r="C2481" t="s">
        <v>40</v>
      </c>
      <c r="D2481">
        <v>5.1295060000000001</v>
      </c>
      <c r="E2481">
        <v>0.63959809999999995</v>
      </c>
      <c r="F2481" t="s">
        <v>41</v>
      </c>
      <c r="G2481">
        <v>-497.01620000000003</v>
      </c>
      <c r="H2481" s="1">
        <v>-3.3423390000000002E-6</v>
      </c>
      <c r="I2481">
        <v>233.15119999999999</v>
      </c>
      <c r="J2481">
        <v>-493.25150000000002</v>
      </c>
      <c r="K2481">
        <v>1.1110990000000001</v>
      </c>
      <c r="L2481">
        <v>246.75370000000001</v>
      </c>
      <c r="M2481">
        <v>-2.020274E-2</v>
      </c>
      <c r="N2481">
        <v>0</v>
      </c>
      <c r="O2481">
        <v>-0.99970879999999995</v>
      </c>
      <c r="P2481">
        <v>9.0369459999999999E-2</v>
      </c>
      <c r="Q2481">
        <v>-2.6420240000000001E-2</v>
      </c>
      <c r="R2481">
        <v>-0.99555800000000005</v>
      </c>
      <c r="S2481">
        <v>-0.84402469999999996</v>
      </c>
      <c r="T2481">
        <v>-0.24896380000000001</v>
      </c>
      <c r="U2481">
        <v>-3.0821990000000001</v>
      </c>
      <c r="V2481">
        <v>-0.1104498</v>
      </c>
      <c r="W2481">
        <v>-1.342599E-2</v>
      </c>
      <c r="X2481">
        <v>0.99379099999999998</v>
      </c>
      <c r="Y2481">
        <v>0.24377299999999999</v>
      </c>
      <c r="Z2481">
        <v>7.7849860000000007E-2</v>
      </c>
      <c r="AA2481">
        <v>0.96670270000000003</v>
      </c>
      <c r="AB2481">
        <v>19</v>
      </c>
      <c r="AC2481">
        <v>-3.7646999999999999</v>
      </c>
      <c r="AD2481">
        <v>-1.1111023423389901</v>
      </c>
      <c r="AE2481">
        <v>-13.602499999999999</v>
      </c>
      <c r="AF2481">
        <v>3.4676092850829301</v>
      </c>
      <c r="AG2481">
        <v>-1.1111023423389901</v>
      </c>
      <c r="AH2481">
        <v>13.591553498096699</v>
      </c>
      <c r="AI2481">
        <v>94.529062650532893</v>
      </c>
      <c r="AJ2481">
        <v>75.687469561604402</v>
      </c>
      <c r="AK2481">
        <v>14.070863124228399</v>
      </c>
      <c r="AL2481">
        <v>90.769275687826394</v>
      </c>
      <c r="AM2481">
        <v>96.3418192639963</v>
      </c>
      <c r="AN2481">
        <v>0.99999998360425901</v>
      </c>
    </row>
    <row r="2482" spans="1:40" x14ac:dyDescent="0.3">
      <c r="A2482" t="str">
        <f>"20200111160457246"</f>
        <v>20200111160457246</v>
      </c>
      <c r="B2482" t="str">
        <f>"1578729897243350"</f>
        <v>1578729897243350</v>
      </c>
      <c r="C2482" t="s">
        <v>40</v>
      </c>
      <c r="D2482">
        <v>5.0861179999999999</v>
      </c>
      <c r="E2482">
        <v>0.63881109999999997</v>
      </c>
      <c r="F2482" t="s">
        <v>41</v>
      </c>
      <c r="G2482">
        <v>-496.8193</v>
      </c>
      <c r="H2482" s="1">
        <v>-3.4415669999999999E-6</v>
      </c>
      <c r="I2482">
        <v>233.5454</v>
      </c>
      <c r="J2482">
        <v>-493.25310000000002</v>
      </c>
      <c r="K2482">
        <v>1.1110709999999999</v>
      </c>
      <c r="L2482">
        <v>246.6397</v>
      </c>
      <c r="M2482">
        <v>-1.956602E-2</v>
      </c>
      <c r="N2482">
        <v>0</v>
      </c>
      <c r="O2482">
        <v>-0.99972260000000002</v>
      </c>
      <c r="P2482">
        <v>9.0924439999999995E-2</v>
      </c>
      <c r="Q2482">
        <v>-2.6151020000000001E-2</v>
      </c>
      <c r="R2482">
        <v>-0.99551449999999997</v>
      </c>
      <c r="S2482">
        <v>-0.83251949999999997</v>
      </c>
      <c r="T2482">
        <v>-0.25927020000000001</v>
      </c>
      <c r="U2482">
        <v>-3.082077</v>
      </c>
      <c r="V2482">
        <v>-0.1103719</v>
      </c>
      <c r="W2482">
        <v>-1.323649E-2</v>
      </c>
      <c r="X2482">
        <v>0.99380219999999997</v>
      </c>
      <c r="Y2482">
        <v>0.2409713</v>
      </c>
      <c r="Z2482">
        <v>8.1123459999999994E-2</v>
      </c>
      <c r="AA2482">
        <v>0.96713590000000005</v>
      </c>
      <c r="AB2482">
        <v>19</v>
      </c>
      <c r="AC2482">
        <v>-3.5661999999999798</v>
      </c>
      <c r="AD2482">
        <v>-1.111074441567</v>
      </c>
      <c r="AE2482">
        <v>-13.0943</v>
      </c>
      <c r="AF2482">
        <v>3.2872584476944402</v>
      </c>
      <c r="AG2482">
        <v>-1.111074441567</v>
      </c>
      <c r="AH2482">
        <v>13.073944968691199</v>
      </c>
      <c r="AI2482">
        <v>94.711585679864697</v>
      </c>
      <c r="AJ2482">
        <v>75.886353962750505</v>
      </c>
      <c r="AK2482">
        <v>13.5265883193438</v>
      </c>
      <c r="AL2482">
        <v>90.758417170010603</v>
      </c>
      <c r="AM2482">
        <v>96.337311957389502</v>
      </c>
      <c r="AN2482">
        <v>0.99999998685098501</v>
      </c>
    </row>
    <row r="2483" spans="1:40" x14ac:dyDescent="0.3">
      <c r="A2483" t="str">
        <f>"20200111160457258"</f>
        <v>20200111160457258</v>
      </c>
      <c r="B2483" t="str">
        <f>"1578729897253111"</f>
        <v>1578729897253111</v>
      </c>
      <c r="C2483" t="s">
        <v>40</v>
      </c>
      <c r="D2483">
        <v>5.1172079999999998</v>
      </c>
      <c r="E2483">
        <v>0.63850280000000004</v>
      </c>
      <c r="F2483" t="s">
        <v>41</v>
      </c>
      <c r="G2483">
        <v>-496.6739</v>
      </c>
      <c r="H2483" s="1">
        <v>-3.518182E-6</v>
      </c>
      <c r="I2483">
        <v>233.84639999999999</v>
      </c>
      <c r="J2483">
        <v>-493.25450000000001</v>
      </c>
      <c r="K2483">
        <v>1.11104</v>
      </c>
      <c r="L2483">
        <v>246.52719999999999</v>
      </c>
      <c r="M2483">
        <v>-1.8949649999999998E-2</v>
      </c>
      <c r="N2483">
        <v>0</v>
      </c>
      <c r="O2483">
        <v>-0.99973590000000001</v>
      </c>
      <c r="P2483">
        <v>9.1645099999999993E-2</v>
      </c>
      <c r="Q2483">
        <v>-2.6029940000000001E-2</v>
      </c>
      <c r="R2483">
        <v>-0.995452</v>
      </c>
      <c r="S2483">
        <v>-0.82403559999999998</v>
      </c>
      <c r="T2483">
        <v>-0.26764320000000003</v>
      </c>
      <c r="U2483">
        <v>-3.0817570000000001</v>
      </c>
      <c r="V2483">
        <v>-0.11047899999999999</v>
      </c>
      <c r="W2483">
        <v>-1.321159E-2</v>
      </c>
      <c r="X2483">
        <v>0.99379059999999997</v>
      </c>
      <c r="Y2483">
        <v>0.2390545</v>
      </c>
      <c r="Z2483">
        <v>8.3783860000000002E-2</v>
      </c>
      <c r="AA2483">
        <v>0.96738480000000004</v>
      </c>
      <c r="AB2483">
        <v>19</v>
      </c>
      <c r="AC2483">
        <v>-3.4193999999999898</v>
      </c>
      <c r="AD2483">
        <v>-1.111043518182</v>
      </c>
      <c r="AE2483">
        <v>-12.6808</v>
      </c>
      <c r="AF2483">
        <v>3.1558845645142402</v>
      </c>
      <c r="AG2483">
        <v>-1.111043518182</v>
      </c>
      <c r="AH2483">
        <v>12.6527780746659</v>
      </c>
      <c r="AI2483">
        <v>94.869840710446994</v>
      </c>
      <c r="AJ2483">
        <v>75.9949153844926</v>
      </c>
      <c r="AK2483">
        <v>13.087658999629401</v>
      </c>
      <c r="AL2483">
        <v>90.756990403601094</v>
      </c>
      <c r="AM2483">
        <v>96.343484739754601</v>
      </c>
      <c r="AN2483">
        <v>0.99999995609984305</v>
      </c>
    </row>
    <row r="2484" spans="1:40" x14ac:dyDescent="0.3">
      <c r="A2484" t="str">
        <f>"20200111160457272"</f>
        <v>20200111160457272</v>
      </c>
      <c r="B2484" t="str">
        <f>"1578729897263846"</f>
        <v>1578729897263846</v>
      </c>
      <c r="C2484" t="s">
        <v>40</v>
      </c>
      <c r="D2484">
        <v>5.1059190000000001</v>
      </c>
      <c r="E2484">
        <v>0.63821949999999905</v>
      </c>
      <c r="F2484" t="s">
        <v>41</v>
      </c>
      <c r="G2484">
        <v>-496.61</v>
      </c>
      <c r="H2484" s="1">
        <v>-3.5256639999999998E-6</v>
      </c>
      <c r="I2484">
        <v>233.9016</v>
      </c>
      <c r="J2484">
        <v>-493.2559</v>
      </c>
      <c r="K2484">
        <v>1.1110100000000001</v>
      </c>
      <c r="L2484">
        <v>246.4212</v>
      </c>
      <c r="M2484">
        <v>-1.837716E-2</v>
      </c>
      <c r="N2484">
        <v>0</v>
      </c>
      <c r="O2484">
        <v>-0.99974779999999996</v>
      </c>
      <c r="P2484">
        <v>9.2369989999999999E-2</v>
      </c>
      <c r="Q2484">
        <v>-2.5876940000000001E-2</v>
      </c>
      <c r="R2484">
        <v>-0.99538879999999996</v>
      </c>
      <c r="S2484">
        <v>-0.81912229999999997</v>
      </c>
      <c r="T2484">
        <v>-0.27121719999999999</v>
      </c>
      <c r="U2484">
        <v>-3.0820310000000002</v>
      </c>
      <c r="V2484">
        <v>-0.1106341</v>
      </c>
      <c r="W2484">
        <v>-1.3157810000000001E-2</v>
      </c>
      <c r="X2484">
        <v>0.99377409999999999</v>
      </c>
      <c r="Y2484">
        <v>0.23812430000000001</v>
      </c>
      <c r="Z2484">
        <v>8.4915379999999999E-2</v>
      </c>
      <c r="AA2484">
        <v>0.96751549999999997</v>
      </c>
      <c r="AB2484">
        <v>19</v>
      </c>
      <c r="AC2484">
        <v>-3.3541000000000101</v>
      </c>
      <c r="AD2484">
        <v>-1.1110135256639999</v>
      </c>
      <c r="AE2484">
        <v>-12.519599999999899</v>
      </c>
      <c r="AF2484">
        <v>3.1006567753549699</v>
      </c>
      <c r="AG2484">
        <v>-1.1110135256639999</v>
      </c>
      <c r="AH2484">
        <v>12.487375280138099</v>
      </c>
      <c r="AI2484">
        <v>94.935183341442496</v>
      </c>
      <c r="AJ2484">
        <v>76.055287057597099</v>
      </c>
      <c r="AK2484">
        <v>12.914447912309999</v>
      </c>
      <c r="AL2484">
        <v>90.753908737790894</v>
      </c>
      <c r="AM2484">
        <v>96.352422133638797</v>
      </c>
      <c r="AN2484">
        <v>0.99999999693880703</v>
      </c>
    </row>
    <row r="2485" spans="1:40" x14ac:dyDescent="0.3">
      <c r="A2485" t="str">
        <f>"20200111160457291"</f>
        <v>20200111160457291</v>
      </c>
      <c r="B2485" t="str">
        <f>"1578729897283366"</f>
        <v>1578729897283366</v>
      </c>
      <c r="C2485" t="s">
        <v>40</v>
      </c>
      <c r="D2485">
        <v>5.0901019999999999</v>
      </c>
      <c r="E2485">
        <v>0.63784739999999995</v>
      </c>
      <c r="F2485" t="s">
        <v>41</v>
      </c>
      <c r="G2485">
        <v>-496.55200000000002</v>
      </c>
      <c r="H2485" s="1">
        <v>-3.5304269999999998E-6</v>
      </c>
      <c r="I2485">
        <v>233.94589999999999</v>
      </c>
      <c r="J2485">
        <v>-493.2577</v>
      </c>
      <c r="K2485">
        <v>1.110965</v>
      </c>
      <c r="L2485">
        <v>246.26589999999999</v>
      </c>
      <c r="M2485">
        <v>-1.754932E-2</v>
      </c>
      <c r="N2485">
        <v>0</v>
      </c>
      <c r="O2485">
        <v>-0.99976469999999995</v>
      </c>
      <c r="P2485">
        <v>9.300419E-2</v>
      </c>
      <c r="Q2485">
        <v>-2.5655020000000001E-2</v>
      </c>
      <c r="R2485">
        <v>-0.99533550000000004</v>
      </c>
      <c r="S2485">
        <v>-0.81439209999999995</v>
      </c>
      <c r="T2485">
        <v>-0.27450259999999999</v>
      </c>
      <c r="U2485">
        <v>-3.0823360000000002</v>
      </c>
      <c r="V2485">
        <v>-0.1104446</v>
      </c>
      <c r="W2485">
        <v>-1.309396E-2</v>
      </c>
      <c r="X2485">
        <v>0.99379609999999996</v>
      </c>
      <c r="Y2485">
        <v>0.2374945</v>
      </c>
      <c r="Z2485">
        <v>8.5953230000000005E-2</v>
      </c>
      <c r="AA2485">
        <v>0.96757859999999996</v>
      </c>
      <c r="AB2485">
        <v>19</v>
      </c>
      <c r="AC2485">
        <v>-3.2942999999999598</v>
      </c>
      <c r="AD2485">
        <v>-1.1109685304269901</v>
      </c>
      <c r="AE2485">
        <v>-12.319999999999901</v>
      </c>
      <c r="AF2485">
        <v>3.05438735644965</v>
      </c>
      <c r="AG2485">
        <v>-1.1109685304269901</v>
      </c>
      <c r="AH2485">
        <v>12.2827052025083</v>
      </c>
      <c r="AI2485">
        <v>95.016368422855507</v>
      </c>
      <c r="AJ2485">
        <v>76.035293069105606</v>
      </c>
      <c r="AK2485">
        <v>12.705446874886499</v>
      </c>
      <c r="AL2485">
        <v>90.750250028565205</v>
      </c>
      <c r="AM2485">
        <v>96.341490843737603</v>
      </c>
      <c r="AN2485">
        <v>1.00000007491642</v>
      </c>
    </row>
    <row r="2486" spans="1:40" x14ac:dyDescent="0.3">
      <c r="A2486" t="str">
        <f>"20200111160457302"</f>
        <v>20200111160457302</v>
      </c>
      <c r="B2486" t="str">
        <f>"1578729897293126"</f>
        <v>1578729897293126</v>
      </c>
      <c r="C2486" t="s">
        <v>40</v>
      </c>
      <c r="D2486">
        <v>5.1036390000000003</v>
      </c>
      <c r="E2486">
        <v>0.6376889</v>
      </c>
      <c r="F2486" t="s">
        <v>41</v>
      </c>
      <c r="G2486">
        <v>-496.47089999999997</v>
      </c>
      <c r="H2486" s="1">
        <v>-3.5448660000000001E-6</v>
      </c>
      <c r="I2486">
        <v>234.03059999999999</v>
      </c>
      <c r="J2486">
        <v>-493.25900000000001</v>
      </c>
      <c r="K2486">
        <v>1.1109290000000001</v>
      </c>
      <c r="L2486">
        <v>246.15710000000001</v>
      </c>
      <c r="M2486">
        <v>-1.697618E-2</v>
      </c>
      <c r="N2486">
        <v>0</v>
      </c>
      <c r="O2486">
        <v>-0.99977629999999995</v>
      </c>
      <c r="P2486">
        <v>9.3803410000000004E-2</v>
      </c>
      <c r="Q2486">
        <v>-2.567734E-2</v>
      </c>
      <c r="R2486">
        <v>-0.99525989999999998</v>
      </c>
      <c r="S2486">
        <v>-0.80950929999999999</v>
      </c>
      <c r="T2486">
        <v>-0.27989019999999998</v>
      </c>
      <c r="U2486">
        <v>-3.0824889999999998</v>
      </c>
      <c r="V2486">
        <v>-0.1106733</v>
      </c>
      <c r="W2486">
        <v>-1.3236960000000001E-2</v>
      </c>
      <c r="X2486">
        <v>0.99376869999999995</v>
      </c>
      <c r="Y2486">
        <v>0.23656849999999999</v>
      </c>
      <c r="Z2486">
        <v>8.7651450000000006E-2</v>
      </c>
      <c r="AA2486">
        <v>0.96765319999999999</v>
      </c>
      <c r="AB2486">
        <v>19</v>
      </c>
      <c r="AC2486">
        <v>-3.2118999999999498</v>
      </c>
      <c r="AD2486">
        <v>-1.1109325448659999</v>
      </c>
      <c r="AE2486">
        <v>-12.1265</v>
      </c>
      <c r="AF2486">
        <v>2.9821711713779901</v>
      </c>
      <c r="AG2486">
        <v>-1.1109325448659999</v>
      </c>
      <c r="AH2486">
        <v>12.084508812567201</v>
      </c>
      <c r="AI2486">
        <v>95.1002931953591</v>
      </c>
      <c r="AJ2486">
        <v>76.1377238251291</v>
      </c>
      <c r="AK2486">
        <v>12.4965142842176</v>
      </c>
      <c r="AL2486">
        <v>90.758444081726495</v>
      </c>
      <c r="AM2486">
        <v>96.354688769504307</v>
      </c>
      <c r="AN2486">
        <v>1.00000001277131</v>
      </c>
    </row>
    <row r="2487" spans="1:40" x14ac:dyDescent="0.3">
      <c r="A2487" t="str">
        <f>"20200111160457315"</f>
        <v>20200111160457315</v>
      </c>
      <c r="B2487" t="str">
        <f>"1578729897303863"</f>
        <v>1578729897303863</v>
      </c>
      <c r="C2487" t="s">
        <v>40</v>
      </c>
      <c r="D2487">
        <v>5.3135519999999996</v>
      </c>
      <c r="E2487">
        <v>0.63739419999999902</v>
      </c>
      <c r="F2487" t="s">
        <v>41</v>
      </c>
      <c r="G2487">
        <v>-496.42419999999998</v>
      </c>
      <c r="H2487" s="1">
        <v>-3.5431660000000001E-6</v>
      </c>
      <c r="I2487">
        <v>234.04990000000001</v>
      </c>
      <c r="J2487">
        <v>-493.26010000000002</v>
      </c>
      <c r="K2487">
        <v>1.1109039999999999</v>
      </c>
      <c r="L2487">
        <v>246.0615</v>
      </c>
      <c r="M2487">
        <v>-1.6482799999999999E-2</v>
      </c>
      <c r="N2487">
        <v>0</v>
      </c>
      <c r="O2487">
        <v>-0.99978579999999995</v>
      </c>
      <c r="P2487">
        <v>9.4200480000000003E-2</v>
      </c>
      <c r="Q2487">
        <v>-2.5793179999999999E-2</v>
      </c>
      <c r="R2487">
        <v>-0.99521910000000002</v>
      </c>
      <c r="S2487">
        <v>-0.80596919999999905</v>
      </c>
      <c r="T2487">
        <v>-0.28288459999999899</v>
      </c>
      <c r="U2487">
        <v>-3.082932</v>
      </c>
      <c r="V2487">
        <v>-0.1105791</v>
      </c>
      <c r="W2487">
        <v>-1.347222E-2</v>
      </c>
      <c r="X2487">
        <v>0.99377599999999999</v>
      </c>
      <c r="Y2487">
        <v>0.23595289999999999</v>
      </c>
      <c r="Z2487">
        <v>8.8589840000000003E-2</v>
      </c>
      <c r="AA2487">
        <v>0.96771790000000002</v>
      </c>
      <c r="AB2487">
        <v>19</v>
      </c>
      <c r="AC2487">
        <v>-3.1640999999999599</v>
      </c>
      <c r="AD2487">
        <v>-1.110907543166</v>
      </c>
      <c r="AE2487">
        <v>-12.0115999999999</v>
      </c>
      <c r="AF2487">
        <v>2.94213659144551</v>
      </c>
      <c r="AG2487">
        <v>-1.110907543166</v>
      </c>
      <c r="AH2487">
        <v>11.9664098903298</v>
      </c>
      <c r="AI2487">
        <v>95.151327103459707</v>
      </c>
      <c r="AJ2487">
        <v>76.186885517911705</v>
      </c>
      <c r="AK2487">
        <v>12.3727623817629</v>
      </c>
      <c r="AL2487">
        <v>90.771924707855604</v>
      </c>
      <c r="AM2487">
        <v>96.349277883827796</v>
      </c>
      <c r="AN2487">
        <v>0.99999998812226898</v>
      </c>
    </row>
    <row r="2488" spans="1:40" x14ac:dyDescent="0.3">
      <c r="A2488" t="str">
        <f>"20200111160457334"</f>
        <v>20200111160457334</v>
      </c>
      <c r="B2488" t="str">
        <f>"1578729897323382"</f>
        <v>1578729897323382</v>
      </c>
      <c r="C2488" t="s">
        <v>40</v>
      </c>
      <c r="D2488">
        <v>5.0749040000000001</v>
      </c>
      <c r="E2488">
        <v>0.63728419999999997</v>
      </c>
      <c r="F2488" t="s">
        <v>41</v>
      </c>
      <c r="G2488">
        <v>-496.38850000000002</v>
      </c>
      <c r="H2488" s="1">
        <v>-3.5329769999999999E-6</v>
      </c>
      <c r="I2488">
        <v>234.0386</v>
      </c>
      <c r="J2488">
        <v>-493.26170000000002</v>
      </c>
      <c r="K2488">
        <v>1.1108579999999999</v>
      </c>
      <c r="L2488">
        <v>245.90350000000001</v>
      </c>
      <c r="M2488">
        <v>-1.567818E-2</v>
      </c>
      <c r="N2488">
        <v>0</v>
      </c>
      <c r="O2488">
        <v>-0.99980150000000001</v>
      </c>
      <c r="P2488">
        <v>9.5434640000000001E-2</v>
      </c>
      <c r="Q2488">
        <v>-2.55143E-2</v>
      </c>
      <c r="R2488">
        <v>-0.99510880000000002</v>
      </c>
      <c r="S2488">
        <v>-0.80221560000000003</v>
      </c>
      <c r="T2488">
        <v>-0.28486220000000001</v>
      </c>
      <c r="U2488">
        <v>-3.0829469999999999</v>
      </c>
      <c r="V2488">
        <v>-0.11101229999999999</v>
      </c>
      <c r="W2488">
        <v>-1.34038E-2</v>
      </c>
      <c r="X2488">
        <v>0.99372859999999996</v>
      </c>
      <c r="Y2488">
        <v>0.2356162</v>
      </c>
      <c r="Z2488">
        <v>8.9222499999999996E-2</v>
      </c>
      <c r="AA2488">
        <v>0.96774190000000004</v>
      </c>
      <c r="AB2488">
        <v>19</v>
      </c>
      <c r="AC2488">
        <v>-3.1267999999999998</v>
      </c>
      <c r="AD2488">
        <v>-1.110861532977</v>
      </c>
      <c r="AE2488">
        <v>-11.8649</v>
      </c>
      <c r="AF2488">
        <v>2.9164764754850498</v>
      </c>
      <c r="AG2488">
        <v>-1.110861532977</v>
      </c>
      <c r="AH2488">
        <v>11.815620349166901</v>
      </c>
      <c r="AI2488">
        <v>95.2153286265183</v>
      </c>
      <c r="AJ2488">
        <v>76.134704293216998</v>
      </c>
      <c r="AK2488">
        <v>12.2208319116643</v>
      </c>
      <c r="AL2488">
        <v>90.768004196995804</v>
      </c>
      <c r="AM2488">
        <v>96.374248756769205</v>
      </c>
      <c r="AN2488">
        <v>0.99999996153184401</v>
      </c>
    </row>
    <row r="2489" spans="1:40" x14ac:dyDescent="0.3">
      <c r="A2489" t="str">
        <f>"20200111160457345"</f>
        <v>20200111160457345</v>
      </c>
      <c r="B2489" t="str">
        <f>"1578729897343879"</f>
        <v>1578729897343879</v>
      </c>
      <c r="C2489" t="s">
        <v>40</v>
      </c>
      <c r="D2489">
        <v>5.1179379999999997</v>
      </c>
      <c r="E2489">
        <v>0.63745600000000002</v>
      </c>
      <c r="F2489" t="s">
        <v>41</v>
      </c>
      <c r="G2489">
        <v>-496.32929999999999</v>
      </c>
      <c r="H2489" s="1">
        <v>-3.5215640000000002E-6</v>
      </c>
      <c r="I2489">
        <v>234.0359</v>
      </c>
      <c r="J2489">
        <v>-493.26280000000003</v>
      </c>
      <c r="K2489">
        <v>1.110833</v>
      </c>
      <c r="L2489">
        <v>245.8005</v>
      </c>
      <c r="M2489">
        <v>-1.5160369999999999E-2</v>
      </c>
      <c r="N2489">
        <v>0</v>
      </c>
      <c r="O2489">
        <v>-0.99981109999999895</v>
      </c>
      <c r="P2489">
        <v>9.6096680000000004E-2</v>
      </c>
      <c r="Q2489">
        <v>-2.5148029999999998E-2</v>
      </c>
      <c r="R2489">
        <v>-0.99505399999999999</v>
      </c>
      <c r="S2489">
        <v>-0.79711909999999997</v>
      </c>
      <c r="T2489">
        <v>-0.28866029999999998</v>
      </c>
      <c r="U2489">
        <v>-3.0838320000000001</v>
      </c>
      <c r="V2489">
        <v>-0.1111591</v>
      </c>
      <c r="W2489">
        <v>-1.318222E-2</v>
      </c>
      <c r="X2489">
        <v>0.99371520000000002</v>
      </c>
      <c r="Y2489">
        <v>0.23452629999999999</v>
      </c>
      <c r="Z2489">
        <v>9.0408719999999998E-2</v>
      </c>
      <c r="AA2489">
        <v>0.96789650000000005</v>
      </c>
      <c r="AB2489">
        <v>19</v>
      </c>
      <c r="AC2489">
        <v>-3.06649999999996</v>
      </c>
      <c r="AD2489">
        <v>-1.1108365215639999</v>
      </c>
      <c r="AE2489">
        <v>-11.7646</v>
      </c>
      <c r="AF2489">
        <v>2.8638701632559198</v>
      </c>
      <c r="AG2489">
        <v>-1.1108365215639999</v>
      </c>
      <c r="AH2489">
        <v>11.7119653130936</v>
      </c>
      <c r="AI2489">
        <v>95.263907689618804</v>
      </c>
      <c r="AJ2489">
        <v>76.259368004826598</v>
      </c>
      <c r="AK2489">
        <v>12.1080899230529</v>
      </c>
      <c r="AL2489">
        <v>90.755307441047805</v>
      </c>
      <c r="AM2489">
        <v>96.382693752174703</v>
      </c>
      <c r="AN2489">
        <v>1.0000000075739801</v>
      </c>
    </row>
    <row r="2490" spans="1:40" x14ac:dyDescent="0.3">
      <c r="A2490" t="str">
        <f>"20200111160457359"</f>
        <v>20200111160457359</v>
      </c>
      <c r="B2490" t="str">
        <f>"1578729897353639"</f>
        <v>1578729897353639</v>
      </c>
      <c r="C2490" t="s">
        <v>40</v>
      </c>
      <c r="D2490">
        <v>5.0889089999999904</v>
      </c>
      <c r="E2490">
        <v>0.63761619999999997</v>
      </c>
      <c r="F2490" t="s">
        <v>41</v>
      </c>
      <c r="G2490">
        <v>-496.37090000000001</v>
      </c>
      <c r="H2490" s="1">
        <v>-3.4385589999999999E-6</v>
      </c>
      <c r="I2490">
        <v>233.77029999999999</v>
      </c>
      <c r="J2490">
        <v>-493.26389999999998</v>
      </c>
      <c r="K2490">
        <v>1.110806</v>
      </c>
      <c r="L2490">
        <v>245.68539999999999</v>
      </c>
      <c r="M2490">
        <v>-1.4591990000000001E-2</v>
      </c>
      <c r="N2490">
        <v>0</v>
      </c>
      <c r="O2490">
        <v>-0.99982179999999998</v>
      </c>
      <c r="P2490">
        <v>9.6670530000000005E-2</v>
      </c>
      <c r="Q2490">
        <v>-2.4985779999999999E-2</v>
      </c>
      <c r="R2490">
        <v>-0.99500270000000002</v>
      </c>
      <c r="S2490">
        <v>-0.79696659999999997</v>
      </c>
      <c r="T2490">
        <v>-0.28482929999999901</v>
      </c>
      <c r="U2490">
        <v>-3.0846559999999998</v>
      </c>
      <c r="V2490">
        <v>-0.1111671</v>
      </c>
      <c r="W2490">
        <v>-1.3185850000000001E-2</v>
      </c>
      <c r="X2490">
        <v>0.99371430000000005</v>
      </c>
      <c r="Y2490">
        <v>0.2349986</v>
      </c>
      <c r="Z2490">
        <v>8.9192370000000007E-2</v>
      </c>
      <c r="AA2490">
        <v>0.96789480000000006</v>
      </c>
      <c r="AB2490">
        <v>19</v>
      </c>
      <c r="AC2490">
        <v>-3.1070000000000202</v>
      </c>
      <c r="AD2490">
        <v>-1.1108094385589999</v>
      </c>
      <c r="AE2490">
        <v>-11.915099999999899</v>
      </c>
      <c r="AF2490">
        <v>2.9091174727325</v>
      </c>
      <c r="AG2490">
        <v>-1.1108094385589999</v>
      </c>
      <c r="AH2490">
        <v>11.862634524552201</v>
      </c>
      <c r="AI2490">
        <v>95.196446437827603</v>
      </c>
      <c r="AJ2490">
        <v>76.221069488594097</v>
      </c>
      <c r="AK2490">
        <v>12.264540755448101</v>
      </c>
      <c r="AL2490">
        <v>90.755515410451295</v>
      </c>
      <c r="AM2490">
        <v>96.383155049878695</v>
      </c>
      <c r="AN2490">
        <v>1.00000005039356</v>
      </c>
    </row>
    <row r="2491" spans="1:40" x14ac:dyDescent="0.3">
      <c r="A2491" t="str">
        <f>"20200111160457372"</f>
        <v>20200111160457372</v>
      </c>
      <c r="B2491" t="str">
        <f>"1578729897363399"</f>
        <v>1578729897363399</v>
      </c>
      <c r="C2491" t="s">
        <v>40</v>
      </c>
      <c r="D2491">
        <v>5.0328850000000003</v>
      </c>
      <c r="E2491">
        <v>0.63774010000000003</v>
      </c>
      <c r="F2491" t="s">
        <v>41</v>
      </c>
      <c r="G2491">
        <v>-496.38889999999998</v>
      </c>
      <c r="H2491" s="1">
        <v>-3.3742939999999999E-6</v>
      </c>
      <c r="I2491">
        <v>233.57210000000001</v>
      </c>
      <c r="J2491">
        <v>-493.26479999999998</v>
      </c>
      <c r="K2491">
        <v>1.1107819999999999</v>
      </c>
      <c r="L2491">
        <v>245.57859999999999</v>
      </c>
      <c r="M2491">
        <v>-1.406925E-2</v>
      </c>
      <c r="N2491">
        <v>0</v>
      </c>
      <c r="O2491">
        <v>-0.99983109999999997</v>
      </c>
      <c r="P2491">
        <v>9.7470570000000006E-2</v>
      </c>
      <c r="Q2491">
        <v>-2.483548E-2</v>
      </c>
      <c r="R2491">
        <v>-0.99492860000000005</v>
      </c>
      <c r="S2491">
        <v>-0.79595950000000004</v>
      </c>
      <c r="T2491">
        <v>-0.28292580000000001</v>
      </c>
      <c r="U2491">
        <v>-3.0852970000000002</v>
      </c>
      <c r="V2491">
        <v>-0.111446699999999</v>
      </c>
      <c r="W2491">
        <v>-1.318708E-2</v>
      </c>
      <c r="X2491">
        <v>0.99368290000000004</v>
      </c>
      <c r="Y2491">
        <v>0.2351753</v>
      </c>
      <c r="Z2491">
        <v>8.858605E-2</v>
      </c>
      <c r="AA2491">
        <v>0.96790759999999998</v>
      </c>
      <c r="AB2491">
        <v>19</v>
      </c>
      <c r="AC2491">
        <v>-3.1240999999999901</v>
      </c>
      <c r="AD2491">
        <v>-1.1107853742939999</v>
      </c>
      <c r="AE2491">
        <v>-12.0064999999999</v>
      </c>
      <c r="AF2491">
        <v>2.9313577064059899</v>
      </c>
      <c r="AG2491">
        <v>-1.1107853742939999</v>
      </c>
      <c r="AH2491">
        <v>11.953445340796099</v>
      </c>
      <c r="AI2491">
        <v>95.157074328940197</v>
      </c>
      <c r="AJ2491">
        <v>76.2212034857167</v>
      </c>
      <c r="AK2491">
        <v>12.357651786081799</v>
      </c>
      <c r="AL2491">
        <v>90.755585939128196</v>
      </c>
      <c r="AM2491">
        <v>96.399277055851201</v>
      </c>
      <c r="AN2491">
        <v>0.99999998588611305</v>
      </c>
    </row>
    <row r="2492" spans="1:40" x14ac:dyDescent="0.3">
      <c r="A2492" t="str">
        <f>"20200111160457390"</f>
        <v>20200111160457390</v>
      </c>
      <c r="B2492" t="str">
        <f>"1578729897383895"</f>
        <v>1578729897383895</v>
      </c>
      <c r="C2492" t="s">
        <v>40</v>
      </c>
      <c r="D2492">
        <v>5.0260420000000003</v>
      </c>
      <c r="E2492">
        <v>0.6377507</v>
      </c>
      <c r="F2492" t="s">
        <v>41</v>
      </c>
      <c r="G2492">
        <v>-496.39429999999999</v>
      </c>
      <c r="H2492" s="1">
        <v>-3.321943E-6</v>
      </c>
      <c r="I2492">
        <v>233.41550000000001</v>
      </c>
      <c r="J2492">
        <v>-493.26620000000003</v>
      </c>
      <c r="K2492">
        <v>1.1107590000000001</v>
      </c>
      <c r="L2492">
        <v>245.41640000000001</v>
      </c>
      <c r="M2492">
        <v>-1.328156E-2</v>
      </c>
      <c r="N2492">
        <v>0</v>
      </c>
      <c r="O2492">
        <v>-0.99984439999999997</v>
      </c>
      <c r="P2492">
        <v>9.8259230000000003E-2</v>
      </c>
      <c r="Q2492">
        <v>-2.4796470000000001E-2</v>
      </c>
      <c r="R2492">
        <v>-0.99485210000000002</v>
      </c>
      <c r="S2492">
        <v>-0.79400630000000005</v>
      </c>
      <c r="T2492">
        <v>-0.28182819999999997</v>
      </c>
      <c r="U2492">
        <v>-3.0860439999999998</v>
      </c>
      <c r="V2492">
        <v>-0.1114512</v>
      </c>
      <c r="W2492">
        <v>-1.3370480000000001E-2</v>
      </c>
      <c r="X2492">
        <v>0.99367989999999995</v>
      </c>
      <c r="Y2492">
        <v>0.23531750000000001</v>
      </c>
      <c r="Z2492">
        <v>8.8231270000000001E-2</v>
      </c>
      <c r="AA2492">
        <v>0.96790540000000003</v>
      </c>
      <c r="AB2492">
        <v>19</v>
      </c>
      <c r="AC2492">
        <v>-3.1280999999999599</v>
      </c>
      <c r="AD2492">
        <v>-1.1107623219430001</v>
      </c>
      <c r="AE2492">
        <v>-12.0009</v>
      </c>
      <c r="AF2492">
        <v>2.9448002856298401</v>
      </c>
      <c r="AG2492">
        <v>-1.1107623219430001</v>
      </c>
      <c r="AH2492">
        <v>11.945566241130599</v>
      </c>
      <c r="AI2492">
        <v>95.158819574355405</v>
      </c>
      <c r="AJ2492">
        <v>76.151663791973405</v>
      </c>
      <c r="AK2492">
        <v>12.3532260757801</v>
      </c>
      <c r="AL2492">
        <v>90.7660949456574</v>
      </c>
      <c r="AM2492">
        <v>96.399552462975095</v>
      </c>
      <c r="AN2492">
        <v>0.99999994169043804</v>
      </c>
    </row>
    <row r="2493" spans="1:40" x14ac:dyDescent="0.3">
      <c r="A2493" t="str">
        <f>"20200111160457403"</f>
        <v>20200111160457403</v>
      </c>
      <c r="B2493" t="str">
        <f>"1578729897393655"</f>
        <v>1578729897393655</v>
      </c>
      <c r="C2493" t="s">
        <v>40</v>
      </c>
      <c r="D2493">
        <v>5.0120319999999996</v>
      </c>
      <c r="E2493">
        <v>0.63773930000000001</v>
      </c>
      <c r="F2493" t="s">
        <v>41</v>
      </c>
      <c r="G2493">
        <v>-496.35</v>
      </c>
      <c r="H2493" s="1">
        <v>-3.3070779999999999E-6</v>
      </c>
      <c r="I2493">
        <v>233.3948</v>
      </c>
      <c r="J2493">
        <v>-493.267</v>
      </c>
      <c r="K2493">
        <v>1.110751</v>
      </c>
      <c r="L2493">
        <v>245.30860000000001</v>
      </c>
      <c r="M2493">
        <v>-1.2761120000000001E-2</v>
      </c>
      <c r="N2493">
        <v>0</v>
      </c>
      <c r="O2493">
        <v>-0.99985279999999999</v>
      </c>
      <c r="P2493">
        <v>9.8667480000000002E-2</v>
      </c>
      <c r="Q2493">
        <v>-2.455504E-2</v>
      </c>
      <c r="R2493">
        <v>-0.99481759999999997</v>
      </c>
      <c r="S2493">
        <v>-0.79180909999999904</v>
      </c>
      <c r="T2493">
        <v>-0.2851979</v>
      </c>
      <c r="U2493">
        <v>-3.0866389999999999</v>
      </c>
      <c r="V2493">
        <v>-0.11134139999999999</v>
      </c>
      <c r="W2493">
        <v>-1.327179E-2</v>
      </c>
      <c r="X2493">
        <v>0.99369359999999995</v>
      </c>
      <c r="Y2493">
        <v>0.23510890000000001</v>
      </c>
      <c r="Z2493">
        <v>8.9272009999999999E-2</v>
      </c>
      <c r="AA2493">
        <v>0.96786070000000002</v>
      </c>
      <c r="AB2493">
        <v>19</v>
      </c>
      <c r="AC2493">
        <v>-3.0830000000000202</v>
      </c>
      <c r="AD2493">
        <v>-1.1107543070779999</v>
      </c>
      <c r="AE2493">
        <v>-11.9138</v>
      </c>
      <c r="AF2493">
        <v>2.90702266076531</v>
      </c>
      <c r="AG2493">
        <v>-1.1107543070779999</v>
      </c>
      <c r="AH2493">
        <v>11.855590159372699</v>
      </c>
      <c r="AI2493">
        <v>95.199297555730197</v>
      </c>
      <c r="AJ2493">
        <v>76.222743876959896</v>
      </c>
      <c r="AK2493">
        <v>12.257225375586099</v>
      </c>
      <c r="AL2493">
        <v>90.760439871716599</v>
      </c>
      <c r="AM2493">
        <v>96.393212537379299</v>
      </c>
      <c r="AN2493">
        <v>1.00000000922236</v>
      </c>
    </row>
    <row r="2494" spans="1:40" x14ac:dyDescent="0.3">
      <c r="A2494" t="str">
        <f>"20200111160457415"</f>
        <v>20200111160457415</v>
      </c>
      <c r="B2494" t="str">
        <f>"1578729897403415"</f>
        <v>1578729897403415</v>
      </c>
      <c r="C2494" t="s">
        <v>40</v>
      </c>
      <c r="D2494">
        <v>5.0076419999999997</v>
      </c>
      <c r="E2494">
        <v>0.63775190000000004</v>
      </c>
      <c r="F2494" t="s">
        <v>41</v>
      </c>
      <c r="G2494">
        <v>-496.34089999999998</v>
      </c>
      <c r="H2494" s="1">
        <v>-3.274524E-6</v>
      </c>
      <c r="I2494">
        <v>233.3039</v>
      </c>
      <c r="J2494">
        <v>-493.26780000000002</v>
      </c>
      <c r="K2494">
        <v>1.110741</v>
      </c>
      <c r="L2494">
        <v>245.20930000000001</v>
      </c>
      <c r="M2494">
        <v>-1.228214E-2</v>
      </c>
      <c r="N2494">
        <v>0</v>
      </c>
      <c r="O2494">
        <v>-0.99986039999999998</v>
      </c>
      <c r="P2494">
        <v>9.9114250000000001E-2</v>
      </c>
      <c r="Q2494">
        <v>-2.4590339999999999E-2</v>
      </c>
      <c r="R2494">
        <v>-0.9947724</v>
      </c>
      <c r="S2494">
        <v>-0.79043580000000002</v>
      </c>
      <c r="T2494">
        <v>-0.28562880000000002</v>
      </c>
      <c r="U2494">
        <v>-3.0869900000000001</v>
      </c>
      <c r="V2494">
        <v>-0.1113118</v>
      </c>
      <c r="W2494">
        <v>-1.343368E-2</v>
      </c>
      <c r="X2494">
        <v>0.99369470000000004</v>
      </c>
      <c r="Y2494">
        <v>0.23514099999999999</v>
      </c>
      <c r="Z2494">
        <v>8.9401289999999994E-2</v>
      </c>
      <c r="AA2494">
        <v>0.96784099999999995</v>
      </c>
      <c r="AB2494">
        <v>19</v>
      </c>
      <c r="AC2494">
        <v>-3.07309999999995</v>
      </c>
      <c r="AD2494">
        <v>-1.1107442745239999</v>
      </c>
      <c r="AE2494">
        <v>-11.9054</v>
      </c>
      <c r="AF2494">
        <v>2.9029449763255202</v>
      </c>
      <c r="AG2494">
        <v>-1.1107442745239999</v>
      </c>
      <c r="AH2494">
        <v>11.845580484729901</v>
      </c>
      <c r="AI2494">
        <v>95.203784171076293</v>
      </c>
      <c r="AJ2494">
        <v>76.230150463004094</v>
      </c>
      <c r="AK2494">
        <v>12.2465758234363</v>
      </c>
      <c r="AL2494">
        <v>90.769716343595505</v>
      </c>
      <c r="AM2494">
        <v>96.391519958517307</v>
      </c>
      <c r="AN2494">
        <v>0.99999996869283503</v>
      </c>
    </row>
    <row r="2495" spans="1:40" x14ac:dyDescent="0.3">
      <c r="A2495" t="str">
        <f>"20200111160457428"</f>
        <v>20200111160457428</v>
      </c>
      <c r="B2495" t="str">
        <f>"1578729897423910"</f>
        <v>1578729897423910</v>
      </c>
      <c r="C2495" t="s">
        <v>40</v>
      </c>
      <c r="D2495">
        <v>5.0533419999999998</v>
      </c>
      <c r="E2495">
        <v>0.63785539999999996</v>
      </c>
      <c r="F2495" t="s">
        <v>41</v>
      </c>
      <c r="G2495">
        <v>-496.32659999999998</v>
      </c>
      <c r="H2495" s="1">
        <v>-3.2507749999999998E-6</v>
      </c>
      <c r="I2495">
        <v>233.24279999999999</v>
      </c>
      <c r="J2495">
        <v>-493.26850000000002</v>
      </c>
      <c r="K2495">
        <v>1.1107309999999999</v>
      </c>
      <c r="L2495">
        <v>245.0942</v>
      </c>
      <c r="M2495">
        <v>-1.1727390000000001E-2</v>
      </c>
      <c r="N2495">
        <v>0</v>
      </c>
      <c r="O2495">
        <v>-0.99986850000000005</v>
      </c>
      <c r="P2495">
        <v>9.93251E-2</v>
      </c>
      <c r="Q2495">
        <v>-2.45218E-2</v>
      </c>
      <c r="R2495">
        <v>-0.99475279999999999</v>
      </c>
      <c r="S2495">
        <v>-0.78915409999999997</v>
      </c>
      <c r="T2495">
        <v>-0.28656700000000002</v>
      </c>
      <c r="U2495">
        <v>-3.0872799999999998</v>
      </c>
      <c r="V2495">
        <v>-0.1109705</v>
      </c>
      <c r="W2495">
        <v>-1.351048E-2</v>
      </c>
      <c r="X2495">
        <v>0.9937319</v>
      </c>
      <c r="Y2495">
        <v>0.2352747</v>
      </c>
      <c r="Z2495">
        <v>8.968835E-2</v>
      </c>
      <c r="AA2495">
        <v>0.96778189999999997</v>
      </c>
      <c r="AB2495">
        <v>19</v>
      </c>
      <c r="AC2495">
        <v>-3.0580999999999601</v>
      </c>
      <c r="AD2495">
        <v>-1.110734250775</v>
      </c>
      <c r="AE2495">
        <v>-11.8514</v>
      </c>
      <c r="AF2495">
        <v>2.8950529570616701</v>
      </c>
      <c r="AG2495">
        <v>-1.110734250775</v>
      </c>
      <c r="AH2495">
        <v>11.7893602208016</v>
      </c>
      <c r="AI2495">
        <v>95.227814882234696</v>
      </c>
      <c r="AJ2495">
        <v>76.203170186051295</v>
      </c>
      <c r="AK2495">
        <v>12.190327174274501</v>
      </c>
      <c r="AL2495">
        <v>90.774117006089497</v>
      </c>
      <c r="AM2495">
        <v>96.371847388304502</v>
      </c>
      <c r="AN2495">
        <v>1.00000003700884</v>
      </c>
    </row>
    <row r="2496" spans="1:40" x14ac:dyDescent="0.3">
      <c r="A2496" t="str">
        <f>"20200111160457446"</f>
        <v>20200111160457446</v>
      </c>
      <c r="B2496" t="str">
        <f>"1578729897443430"</f>
        <v>1578729897443430</v>
      </c>
      <c r="C2496" t="s">
        <v>40</v>
      </c>
      <c r="D2496">
        <v>5.0479120000000002</v>
      </c>
      <c r="E2496">
        <v>0.63770450000000001</v>
      </c>
      <c r="F2496" t="s">
        <v>41</v>
      </c>
      <c r="G2496">
        <v>-496.3125</v>
      </c>
      <c r="H2496" s="1">
        <v>-3.2256180000000002E-6</v>
      </c>
      <c r="I2496">
        <v>233.19290000000001</v>
      </c>
      <c r="J2496">
        <v>-493.26949999999999</v>
      </c>
      <c r="K2496">
        <v>1.110719</v>
      </c>
      <c r="L2496">
        <v>244.9452</v>
      </c>
      <c r="M2496">
        <v>-1.100924E-2</v>
      </c>
      <c r="N2496">
        <v>0</v>
      </c>
      <c r="O2496">
        <v>-0.99987910000000002</v>
      </c>
      <c r="P2496">
        <v>9.9862850000000003E-2</v>
      </c>
      <c r="Q2496">
        <v>-2.44335E-2</v>
      </c>
      <c r="R2496">
        <v>-0.99470170000000002</v>
      </c>
      <c r="S2496">
        <v>-0.78970340000000006</v>
      </c>
      <c r="T2496">
        <v>-0.28815869999999999</v>
      </c>
      <c r="U2496">
        <v>-3.087555</v>
      </c>
      <c r="V2496">
        <v>-0.11079360000000001</v>
      </c>
      <c r="W2496">
        <v>-1.3609400000000001E-2</v>
      </c>
      <c r="X2496">
        <v>0.99375029999999998</v>
      </c>
      <c r="Y2496">
        <v>0.2361028</v>
      </c>
      <c r="Z2496">
        <v>9.0164620000000001E-2</v>
      </c>
      <c r="AA2496">
        <v>0.9675359</v>
      </c>
      <c r="AB2496">
        <v>19</v>
      </c>
      <c r="AC2496">
        <v>-3.0430000000000001</v>
      </c>
      <c r="AD2496">
        <v>-1.110722225618</v>
      </c>
      <c r="AE2496">
        <v>-11.7522999999999</v>
      </c>
      <c r="AF2496">
        <v>2.8892377461130399</v>
      </c>
      <c r="AG2496">
        <v>-1.110722225618</v>
      </c>
      <c r="AH2496">
        <v>11.687255537165299</v>
      </c>
      <c r="AI2496">
        <v>95.271167487950805</v>
      </c>
      <c r="AJ2496">
        <v>76.114162363953497</v>
      </c>
      <c r="AK2496">
        <v>12.090216731185899</v>
      </c>
      <c r="AL2496">
        <v>90.779785216832906</v>
      </c>
      <c r="AM2496">
        <v>96.361656433167994</v>
      </c>
      <c r="AN2496">
        <v>1.0000000481597</v>
      </c>
    </row>
    <row r="2497" spans="1:40" x14ac:dyDescent="0.3">
      <c r="A2497" t="str">
        <f>"20200111160457460"</f>
        <v>20200111160457460</v>
      </c>
      <c r="B2497" t="str">
        <f>"1578729897453190"</f>
        <v>1578729897453190</v>
      </c>
      <c r="C2497" t="s">
        <v>40</v>
      </c>
      <c r="D2497">
        <v>4.5070420000000002</v>
      </c>
      <c r="E2497">
        <v>0.63770450000000001</v>
      </c>
      <c r="F2497" t="s">
        <v>41</v>
      </c>
      <c r="G2497">
        <v>-496.28230000000002</v>
      </c>
      <c r="H2497" s="1">
        <v>-3.1852660000000001E-6</v>
      </c>
      <c r="I2497">
        <v>233.11760000000001</v>
      </c>
      <c r="J2497">
        <v>-493.27019999999999</v>
      </c>
      <c r="K2497">
        <v>1.110706</v>
      </c>
      <c r="L2497">
        <v>244.81729999999999</v>
      </c>
      <c r="M2497">
        <v>-1.0391539999999999E-2</v>
      </c>
      <c r="N2497">
        <v>0</v>
      </c>
      <c r="O2497">
        <v>-0.99988739999999998</v>
      </c>
      <c r="P2497">
        <v>0.1004776</v>
      </c>
      <c r="Q2497">
        <v>-2.440517E-2</v>
      </c>
      <c r="R2497">
        <v>-0.99464019999999997</v>
      </c>
      <c r="S2497">
        <v>-0.78652949999999999</v>
      </c>
      <c r="T2497">
        <v>-0.28997209999999901</v>
      </c>
      <c r="U2497">
        <v>-3.087799</v>
      </c>
      <c r="V2497">
        <v>-0.1107943</v>
      </c>
      <c r="W2497">
        <v>-1.3739950000000001E-2</v>
      </c>
      <c r="X2497">
        <v>0.99374839999999998</v>
      </c>
      <c r="Y2497">
        <v>0.23573810000000001</v>
      </c>
      <c r="Z2497">
        <v>9.0736579999999997E-2</v>
      </c>
      <c r="AA2497">
        <v>0.96757139999999997</v>
      </c>
      <c r="AB2497">
        <v>19</v>
      </c>
      <c r="AC2497">
        <v>-3.01210000000003</v>
      </c>
      <c r="AD2497">
        <v>-1.110709185266</v>
      </c>
      <c r="AE2497">
        <v>-11.699699999999901</v>
      </c>
      <c r="AF2497">
        <v>2.8661266972663499</v>
      </c>
      <c r="AG2497">
        <v>-1.110709185266</v>
      </c>
      <c r="AH2497">
        <v>11.6320517585342</v>
      </c>
      <c r="AI2497">
        <v>95.296976620403399</v>
      </c>
      <c r="AJ2497">
        <v>76.158102362614898</v>
      </c>
      <c r="AK2497">
        <v>12.031333477725401</v>
      </c>
      <c r="AL2497">
        <v>90.787265899905805</v>
      </c>
      <c r="AM2497">
        <v>96.361708360474196</v>
      </c>
      <c r="AN2497">
        <v>1.0000000228205199</v>
      </c>
    </row>
    <row r="2498" spans="1:40" x14ac:dyDescent="0.3">
      <c r="A2498" t="str">
        <f>"20200111160457472"</f>
        <v>20200111160457472</v>
      </c>
      <c r="B2498" t="str">
        <f>"1578729897463926"</f>
        <v>1578729897463926</v>
      </c>
      <c r="C2498" t="s">
        <v>40</v>
      </c>
      <c r="D2498">
        <v>4.3615259999999996</v>
      </c>
      <c r="E2498">
        <v>0.58530349999999998</v>
      </c>
      <c r="F2498" t="s">
        <v>41</v>
      </c>
      <c r="G2498">
        <v>-496.2765</v>
      </c>
      <c r="H2498" s="1">
        <v>-3.125693E-6</v>
      </c>
      <c r="I2498">
        <v>232.98230000000001</v>
      </c>
      <c r="J2498">
        <v>-493.27069999999998</v>
      </c>
      <c r="K2498">
        <v>1.1106929999999999</v>
      </c>
      <c r="L2498">
        <v>244.7123</v>
      </c>
      <c r="M2498">
        <v>-9.8831909999999995E-3</v>
      </c>
      <c r="N2498">
        <v>0</v>
      </c>
      <c r="O2498">
        <v>-0.99989360000000005</v>
      </c>
      <c r="P2498">
        <v>0.10085860000000001</v>
      </c>
      <c r="Q2498">
        <v>-2.430278E-2</v>
      </c>
      <c r="R2498">
        <v>-0.99460400000000004</v>
      </c>
      <c r="S2498">
        <v>-0.78448490000000004</v>
      </c>
      <c r="T2498">
        <v>-0.28983680000000001</v>
      </c>
      <c r="U2498">
        <v>-3.0883180000000001</v>
      </c>
      <c r="V2498">
        <v>-0.1106692</v>
      </c>
      <c r="W2498">
        <v>-1.376341E-2</v>
      </c>
      <c r="X2498">
        <v>0.99376200000000003</v>
      </c>
      <c r="Y2498">
        <v>0.23559260000000001</v>
      </c>
      <c r="Z2498">
        <v>9.0689500000000006E-2</v>
      </c>
      <c r="AA2498">
        <v>0.96761129999999995</v>
      </c>
      <c r="AB2498">
        <v>19</v>
      </c>
      <c r="AC2498">
        <v>-3.0058000000000198</v>
      </c>
      <c r="AD2498">
        <v>-1.1106961256929999</v>
      </c>
      <c r="AE2498">
        <v>-11.729999999999899</v>
      </c>
      <c r="AF2498">
        <v>2.8656070200467001</v>
      </c>
      <c r="AG2498">
        <v>-1.1106961256929999</v>
      </c>
      <c r="AH2498">
        <v>11.661026125052301</v>
      </c>
      <c r="AI2498">
        <v>95.284628649397106</v>
      </c>
      <c r="AJ2498">
        <v>76.193585557758297</v>
      </c>
      <c r="AK2498">
        <v>12.059223845924899</v>
      </c>
      <c r="AL2498">
        <v>90.7886101976936</v>
      </c>
      <c r="AM2498">
        <v>96.354497771257201</v>
      </c>
      <c r="AN2498">
        <v>1.0000000079637299</v>
      </c>
    </row>
    <row r="2499" spans="1:40" x14ac:dyDescent="0.3">
      <c r="A2499" t="str">
        <f>"20200111160457492"</f>
        <v>20200111160457492</v>
      </c>
      <c r="B2499" t="str">
        <f>"1578729897483446"</f>
        <v>1578729897483446</v>
      </c>
      <c r="C2499" t="s">
        <v>40</v>
      </c>
      <c r="D2499">
        <v>5.2126839999999897</v>
      </c>
      <c r="E2499">
        <v>0.50351299999999999</v>
      </c>
      <c r="F2499" t="s">
        <v>56</v>
      </c>
      <c r="G2499">
        <v>-496.0292</v>
      </c>
      <c r="H2499" s="1">
        <v>3.1840649999999998E-6</v>
      </c>
      <c r="I2499">
        <v>222.1123</v>
      </c>
      <c r="J2499">
        <v>-493.27140000000003</v>
      </c>
      <c r="K2499">
        <v>1.1106750000000001</v>
      </c>
      <c r="L2499">
        <v>244.55160000000001</v>
      </c>
      <c r="M2499">
        <v>-9.1035920000000006E-3</v>
      </c>
      <c r="N2499">
        <v>0</v>
      </c>
      <c r="O2499">
        <v>-0.99990310000000004</v>
      </c>
      <c r="P2499">
        <v>0.1017541</v>
      </c>
      <c r="Q2499">
        <v>-2.4262949999999998E-2</v>
      </c>
      <c r="R2499">
        <v>-0.99451400000000001</v>
      </c>
      <c r="S2499">
        <v>-0.37231449999999999</v>
      </c>
      <c r="T2499">
        <v>-0.14991170000000001</v>
      </c>
      <c r="U2499">
        <v>-3.0503689999999999</v>
      </c>
      <c r="V2499">
        <v>-0.1107884</v>
      </c>
      <c r="W2499">
        <v>-1.3915169999999999E-2</v>
      </c>
      <c r="X2499">
        <v>0.99374660000000004</v>
      </c>
      <c r="Y2499">
        <v>0.11197029999999999</v>
      </c>
      <c r="Z2499">
        <v>4.8748359999999998E-2</v>
      </c>
      <c r="AA2499">
        <v>0.99251509999999998</v>
      </c>
      <c r="AB2499">
        <v>19</v>
      </c>
      <c r="AC2499">
        <v>-2.7577999999999698</v>
      </c>
      <c r="AD2499">
        <v>-1.110671815935</v>
      </c>
      <c r="AE2499">
        <v>-22.439299999999999</v>
      </c>
      <c r="AF2499">
        <v>2.5472484354990002</v>
      </c>
      <c r="AG2499">
        <v>-1.110671815935</v>
      </c>
      <c r="AH2499">
        <v>22.409392897457799</v>
      </c>
      <c r="AI2499">
        <v>92.819290882474803</v>
      </c>
      <c r="AJ2499">
        <v>83.515092458386405</v>
      </c>
      <c r="AK2499">
        <v>22.581030900016401</v>
      </c>
      <c r="AL2499">
        <v>90.797306241671805</v>
      </c>
      <c r="AM2499">
        <v>96.361383793128496</v>
      </c>
      <c r="AN2499">
        <v>1.00000000327112</v>
      </c>
    </row>
    <row r="2500" spans="1:40" x14ac:dyDescent="0.3">
      <c r="A2500" t="str">
        <f>"20200111160457512"</f>
        <v>20200111160457512</v>
      </c>
      <c r="B2500" t="str">
        <f>"1578729897503942"</f>
        <v>1578729897503942</v>
      </c>
      <c r="C2500" t="s">
        <v>40</v>
      </c>
      <c r="D2500">
        <v>4.8774699999999998</v>
      </c>
      <c r="E2500">
        <v>0.43304599999999999</v>
      </c>
      <c r="F2500" t="s">
        <v>56</v>
      </c>
      <c r="G2500">
        <v>-491.68150000000003</v>
      </c>
      <c r="H2500" s="1">
        <v>5.6610630000000004E-6</v>
      </c>
      <c r="I2500">
        <v>227.7131</v>
      </c>
      <c r="J2500">
        <v>-493.27199999999999</v>
      </c>
      <c r="K2500">
        <v>1.110654</v>
      </c>
      <c r="L2500">
        <v>244.37270000000001</v>
      </c>
      <c r="M2500">
        <v>-8.2320380000000005E-3</v>
      </c>
      <c r="N2500">
        <v>0</v>
      </c>
      <c r="O2500">
        <v>-0.99991289999999999</v>
      </c>
      <c r="P2500">
        <v>0.1027941</v>
      </c>
      <c r="Q2500">
        <v>-2.413001E-2</v>
      </c>
      <c r="R2500">
        <v>-0.99441029999999997</v>
      </c>
      <c r="S2500">
        <v>0.28164670000000003</v>
      </c>
      <c r="T2500">
        <v>-0.19675290000000001</v>
      </c>
      <c r="U2500">
        <v>-2.98291</v>
      </c>
      <c r="V2500">
        <v>-0.1109617</v>
      </c>
      <c r="W2500">
        <v>-1.399559E-2</v>
      </c>
      <c r="X2500">
        <v>0.99372609999999995</v>
      </c>
      <c r="Y2500">
        <v>-0.101993</v>
      </c>
      <c r="Z2500">
        <v>6.5497020000000003E-2</v>
      </c>
      <c r="AA2500">
        <v>0.99262660000000003</v>
      </c>
      <c r="AB2500">
        <v>19</v>
      </c>
      <c r="AC2500">
        <v>1.5904999999999601</v>
      </c>
      <c r="AD2500">
        <v>-1.1106483389370001</v>
      </c>
      <c r="AE2500">
        <v>-16.659600000000001</v>
      </c>
      <c r="AF2500">
        <v>-1.7200202600685599</v>
      </c>
      <c r="AG2500">
        <v>-1.1106483389370001</v>
      </c>
      <c r="AH2500">
        <v>16.5729483479534</v>
      </c>
      <c r="AI2500">
        <v>93.813563548833997</v>
      </c>
      <c r="AJ2500">
        <v>95.925218158555097</v>
      </c>
      <c r="AK2500">
        <v>16.698940875748999</v>
      </c>
      <c r="AL2500">
        <v>90.801914444789503</v>
      </c>
      <c r="AM2500">
        <v>96.371383135222004</v>
      </c>
      <c r="AN2500">
        <v>0.99999996861377305</v>
      </c>
    </row>
    <row r="2501" spans="1:40" x14ac:dyDescent="0.3">
      <c r="A2501" t="str">
        <f>"20200111160457525"</f>
        <v>20200111160457525</v>
      </c>
      <c r="B2501" t="str">
        <f>"1578729897523463"</f>
        <v>1578729897523463</v>
      </c>
      <c r="C2501" t="s">
        <v>40</v>
      </c>
      <c r="D2501">
        <v>4.9694750000000001</v>
      </c>
      <c r="E2501">
        <v>0.41107270000000001</v>
      </c>
      <c r="F2501" t="s">
        <v>56</v>
      </c>
      <c r="G2501">
        <v>-487.02289999999999</v>
      </c>
      <c r="H2501" s="1">
        <v>3.8270300000000004E-6</v>
      </c>
      <c r="I2501">
        <v>222.65969999999999</v>
      </c>
      <c r="J2501">
        <v>-493.2724</v>
      </c>
      <c r="K2501">
        <v>1.110644</v>
      </c>
      <c r="L2501">
        <v>244.26009999999999</v>
      </c>
      <c r="M2501">
        <v>-7.6832979999999999E-3</v>
      </c>
      <c r="N2501">
        <v>0</v>
      </c>
      <c r="O2501">
        <v>-0.99991859999999999</v>
      </c>
      <c r="P2501">
        <v>0.1034262</v>
      </c>
      <c r="Q2501">
        <v>-2.4186369999999999E-2</v>
      </c>
      <c r="R2501">
        <v>-0.99434350000000005</v>
      </c>
      <c r="S2501">
        <v>0.84216309999999905</v>
      </c>
      <c r="T2501">
        <v>-0.14967910000000001</v>
      </c>
      <c r="U2501">
        <v>-2.926193</v>
      </c>
      <c r="V2501">
        <v>-0.1110476</v>
      </c>
      <c r="W2501">
        <v>-1.418464E-2</v>
      </c>
      <c r="X2501">
        <v>0.99371390000000004</v>
      </c>
      <c r="Y2501">
        <v>-0.28361789999999998</v>
      </c>
      <c r="Z2501">
        <v>4.9040779999999999E-2</v>
      </c>
      <c r="AA2501">
        <v>0.95768249999999999</v>
      </c>
      <c r="AB2501">
        <v>19</v>
      </c>
      <c r="AC2501">
        <v>6.24950000000001</v>
      </c>
      <c r="AD2501">
        <v>-1.11064017297</v>
      </c>
      <c r="AE2501">
        <v>-21.6004</v>
      </c>
      <c r="AF2501">
        <v>-6.3996740686670597</v>
      </c>
      <c r="AG2501">
        <v>-1.11064017297</v>
      </c>
      <c r="AH2501">
        <v>21.499294348853802</v>
      </c>
      <c r="AI2501">
        <v>92.834534600531697</v>
      </c>
      <c r="AJ2501">
        <v>106.576638412546</v>
      </c>
      <c r="AK2501">
        <v>22.4590517893708</v>
      </c>
      <c r="AL2501">
        <v>90.812747226155594</v>
      </c>
      <c r="AM2501">
        <v>96.376352514118395</v>
      </c>
      <c r="AN2501">
        <v>1.00000004426544</v>
      </c>
    </row>
    <row r="2502" spans="1:40" x14ac:dyDescent="0.3">
      <c r="A2502" t="str">
        <f>"20200111160457538"</f>
        <v>20200111160457538</v>
      </c>
      <c r="B2502" t="str">
        <f>"1578729897533223"</f>
        <v>1578729897533223</v>
      </c>
      <c r="C2502" t="s">
        <v>40</v>
      </c>
      <c r="D2502">
        <v>4.935187</v>
      </c>
      <c r="E2502">
        <v>0.40589120000000001</v>
      </c>
      <c r="F2502" t="s">
        <v>56</v>
      </c>
      <c r="G2502">
        <v>-487.36900000000003</v>
      </c>
      <c r="H2502" s="1">
        <v>5.2699909999999999E-6</v>
      </c>
      <c r="I2502">
        <v>227.44049999999999</v>
      </c>
      <c r="J2502">
        <v>-493.27260000000001</v>
      </c>
      <c r="K2502">
        <v>1.110636</v>
      </c>
      <c r="L2502">
        <v>244.15020000000001</v>
      </c>
      <c r="M2502">
        <v>-7.1463419999999904E-3</v>
      </c>
      <c r="N2502">
        <v>0</v>
      </c>
      <c r="O2502">
        <v>-0.99992389999999998</v>
      </c>
      <c r="P2502">
        <v>0.1041425</v>
      </c>
      <c r="Q2502">
        <v>-2.4205129999999998E-2</v>
      </c>
      <c r="R2502">
        <v>-0.99426800000000004</v>
      </c>
      <c r="S2502">
        <v>1.0200499999999999</v>
      </c>
      <c r="T2502">
        <v>-0.1919092</v>
      </c>
      <c r="U2502">
        <v>-2.9062960000000002</v>
      </c>
      <c r="V2502">
        <v>-0.11122940000000001</v>
      </c>
      <c r="W2502">
        <v>-1.4327869999999999E-2</v>
      </c>
      <c r="X2502">
        <v>0.9936914</v>
      </c>
      <c r="Y2502">
        <v>-0.33726879999999998</v>
      </c>
      <c r="Z2502">
        <v>6.2106559999999998E-2</v>
      </c>
      <c r="AA2502">
        <v>0.93935749999999996</v>
      </c>
      <c r="AB2502">
        <v>19</v>
      </c>
      <c r="AC2502">
        <v>5.9035999999999804</v>
      </c>
      <c r="AD2502">
        <v>-1.1106307300089999</v>
      </c>
      <c r="AE2502">
        <v>-16.709700000000002</v>
      </c>
      <c r="AF2502">
        <v>-5.9993061482741696</v>
      </c>
      <c r="AG2502">
        <v>-1.1106307300089999</v>
      </c>
      <c r="AH2502">
        <v>16.601877893352</v>
      </c>
      <c r="AI2502">
        <v>93.600076761016098</v>
      </c>
      <c r="AJ2502">
        <v>109.867985973678</v>
      </c>
      <c r="AK2502">
        <v>17.6874962746266</v>
      </c>
      <c r="AL2502">
        <v>90.820954625837501</v>
      </c>
      <c r="AM2502">
        <v>96.386848699652404</v>
      </c>
      <c r="AN2502">
        <v>0.99999993285852595</v>
      </c>
    </row>
    <row r="2503" spans="1:40" x14ac:dyDescent="0.3">
      <c r="A2503" t="str">
        <f>"20200111160457558"</f>
        <v>20200111160457558</v>
      </c>
      <c r="B2503" t="str">
        <f>"1578729897553337"</f>
        <v>1578729897553337</v>
      </c>
      <c r="C2503" t="s">
        <v>40</v>
      </c>
      <c r="D2503">
        <v>4.9080180000000002</v>
      </c>
      <c r="E2503">
        <v>0.39978979999999997</v>
      </c>
      <c r="F2503" t="s">
        <v>56</v>
      </c>
      <c r="G2503">
        <v>-487.43079999999998</v>
      </c>
      <c r="H2503" s="1">
        <v>5.5265130000000001E-6</v>
      </c>
      <c r="I2503">
        <v>228.21539999999999</v>
      </c>
      <c r="J2503">
        <v>-493.27289999999999</v>
      </c>
      <c r="K2503">
        <v>1.1106229999999999</v>
      </c>
      <c r="L2503">
        <v>243.98240000000001</v>
      </c>
      <c r="M2503">
        <v>-6.3256830000000003E-3</v>
      </c>
      <c r="N2503">
        <v>0</v>
      </c>
      <c r="O2503">
        <v>-0.99993129999999997</v>
      </c>
      <c r="P2503">
        <v>0.10485750000000001</v>
      </c>
      <c r="Q2503">
        <v>-2.4314789999999999E-2</v>
      </c>
      <c r="R2503">
        <v>-0.99419009999999997</v>
      </c>
      <c r="S2503">
        <v>1.063507</v>
      </c>
      <c r="T2503">
        <v>-0.20219429999999999</v>
      </c>
      <c r="U2503">
        <v>-2.9009860000000001</v>
      </c>
      <c r="V2503">
        <v>-0.111128</v>
      </c>
      <c r="W2503">
        <v>-1.4621260000000001E-2</v>
      </c>
      <c r="X2503">
        <v>0.99369850000000004</v>
      </c>
      <c r="Y2503">
        <v>-0.3494003</v>
      </c>
      <c r="Z2503">
        <v>6.5224030000000002E-2</v>
      </c>
      <c r="AA2503">
        <v>0.93470059999999999</v>
      </c>
      <c r="AB2503">
        <v>19</v>
      </c>
      <c r="AC2503">
        <v>5.8421000000000101</v>
      </c>
      <c r="AD2503">
        <v>-1.110617473487</v>
      </c>
      <c r="AE2503">
        <v>-15.766999999999999</v>
      </c>
      <c r="AF2503">
        <v>-5.9159153914061999</v>
      </c>
      <c r="AG2503">
        <v>-1.110617473487</v>
      </c>
      <c r="AH2503">
        <v>15.6614007897384</v>
      </c>
      <c r="AI2503">
        <v>93.7953961372625</v>
      </c>
      <c r="AJ2503">
        <v>110.69348564037401</v>
      </c>
      <c r="AK2503">
        <v>16.778289566803501</v>
      </c>
      <c r="AL2503">
        <v>90.837766373213199</v>
      </c>
      <c r="AM2503">
        <v>96.381029091104807</v>
      </c>
      <c r="AN2503">
        <v>0.99999996126511803</v>
      </c>
    </row>
    <row r="2504" spans="1:40" x14ac:dyDescent="0.3">
      <c r="A2504" t="str">
        <f>"20200111160457570"</f>
        <v>20200111160457570</v>
      </c>
      <c r="B2504" t="str">
        <f>"1578729897563096"</f>
        <v>1578729897563096</v>
      </c>
      <c r="C2504" t="s">
        <v>40</v>
      </c>
      <c r="D2504">
        <v>4.8948299999999998</v>
      </c>
      <c r="E2504">
        <v>0.3980554</v>
      </c>
      <c r="F2504" t="s">
        <v>56</v>
      </c>
      <c r="G2504">
        <v>-487.34390000000002</v>
      </c>
      <c r="H2504" s="1">
        <v>5.6157399999999997E-6</v>
      </c>
      <c r="I2504">
        <v>228.57810000000001</v>
      </c>
      <c r="J2504">
        <v>-493.27289999999999</v>
      </c>
      <c r="K2504">
        <v>1.1106130000000001</v>
      </c>
      <c r="L2504">
        <v>243.86429999999999</v>
      </c>
      <c r="M2504">
        <v>-5.7485919999999899E-3</v>
      </c>
      <c r="N2504">
        <v>0</v>
      </c>
      <c r="O2504">
        <v>-0.99993609999999999</v>
      </c>
      <c r="P2504">
        <v>0.1053573</v>
      </c>
      <c r="Q2504">
        <v>-2.466349E-2</v>
      </c>
      <c r="R2504">
        <v>-0.99412869999999998</v>
      </c>
      <c r="S2504">
        <v>1.1142270000000001</v>
      </c>
      <c r="T2504">
        <v>-0.20871790000000001</v>
      </c>
      <c r="U2504">
        <v>-2.8949129999999998</v>
      </c>
      <c r="V2504">
        <v>-0.11105329999999999</v>
      </c>
      <c r="W2504">
        <v>-1.5097289999999999E-2</v>
      </c>
      <c r="X2504">
        <v>0.99369980000000002</v>
      </c>
      <c r="Y2504">
        <v>-0.36375370000000001</v>
      </c>
      <c r="Z2504">
        <v>6.7060599999999998E-2</v>
      </c>
      <c r="AA2504">
        <v>0.92907810000000002</v>
      </c>
      <c r="AB2504">
        <v>19</v>
      </c>
      <c r="AC2504">
        <v>5.9289999999999701</v>
      </c>
      <c r="AD2504">
        <v>-1.1106073842599999</v>
      </c>
      <c r="AE2504">
        <v>-15.2861999999999</v>
      </c>
      <c r="AF2504">
        <v>-5.9892992209378804</v>
      </c>
      <c r="AG2504">
        <v>-1.1106073842599999</v>
      </c>
      <c r="AH2504">
        <v>15.1822008951253</v>
      </c>
      <c r="AI2504">
        <v>93.892877827128004</v>
      </c>
      <c r="AJ2504">
        <v>111.52897622037899</v>
      </c>
      <c r="AK2504">
        <v>16.358617849312498</v>
      </c>
      <c r="AL2504">
        <v>90.865043838239799</v>
      </c>
      <c r="AM2504">
        <v>96.376766848060996</v>
      </c>
      <c r="AN2504">
        <v>1.00000002806313</v>
      </c>
    </row>
    <row r="2505" spans="1:40" x14ac:dyDescent="0.3">
      <c r="A2505" t="str">
        <f>"20200111160457583"</f>
        <v>20200111160457583</v>
      </c>
      <c r="B2505" t="str">
        <f>"1578729897573833"</f>
        <v>1578729897573833</v>
      </c>
      <c r="C2505" t="s">
        <v>40</v>
      </c>
      <c r="D2505">
        <v>4.9107120000000002</v>
      </c>
      <c r="E2505">
        <v>0.39672400000000002</v>
      </c>
      <c r="F2505" t="s">
        <v>56</v>
      </c>
      <c r="G2505">
        <v>-487.3997</v>
      </c>
      <c r="H2505" s="1">
        <v>5.7058329999999999E-6</v>
      </c>
      <c r="I2505">
        <v>228.821</v>
      </c>
      <c r="J2505">
        <v>-493.27289999999999</v>
      </c>
      <c r="K2505">
        <v>1.1105989999999999</v>
      </c>
      <c r="L2505">
        <v>243.75239999999999</v>
      </c>
      <c r="M2505">
        <v>-5.2021510000000003E-3</v>
      </c>
      <c r="N2505">
        <v>0</v>
      </c>
      <c r="O2505">
        <v>-0.99994019999999995</v>
      </c>
      <c r="P2505">
        <v>0.1060041</v>
      </c>
      <c r="Q2505">
        <v>-2.477567E-2</v>
      </c>
      <c r="R2505">
        <v>-0.99405690000000002</v>
      </c>
      <c r="S2505">
        <v>1.129364</v>
      </c>
      <c r="T2505">
        <v>-0.21356020000000001</v>
      </c>
      <c r="U2505">
        <v>-2.8927</v>
      </c>
      <c r="V2505">
        <v>-0.1111562</v>
      </c>
      <c r="W2505">
        <v>-1.5330160000000001E-2</v>
      </c>
      <c r="X2505">
        <v>0.99368469999999998</v>
      </c>
      <c r="Y2505">
        <v>-0.36766929999999998</v>
      </c>
      <c r="Z2505">
        <v>6.8540729999999994E-2</v>
      </c>
      <c r="AA2505">
        <v>0.92742740000000001</v>
      </c>
      <c r="AB2505">
        <v>20</v>
      </c>
      <c r="AC2505">
        <v>5.87319999999999</v>
      </c>
      <c r="AD2505">
        <v>-1.11059329416699</v>
      </c>
      <c r="AE2505">
        <v>-14.931399999999901</v>
      </c>
      <c r="AF2505">
        <v>-5.9224247897014104</v>
      </c>
      <c r="AG2505">
        <v>-1.11059329416699</v>
      </c>
      <c r="AH2505">
        <v>14.8295937050083</v>
      </c>
      <c r="AI2505">
        <v>93.978466040770996</v>
      </c>
      <c r="AJ2505">
        <v>111.77005178109199</v>
      </c>
      <c r="AK2505">
        <v>16.007041647672999</v>
      </c>
      <c r="AL2505">
        <v>90.878387876143904</v>
      </c>
      <c r="AM2505">
        <v>96.382722897531494</v>
      </c>
      <c r="AN2505">
        <v>0.99999999880907697</v>
      </c>
    </row>
    <row r="2506" spans="1:40" x14ac:dyDescent="0.3">
      <c r="A2506" t="str">
        <f>"20200111160457602"</f>
        <v>20200111160457602</v>
      </c>
      <c r="B2506" t="str">
        <f>"1578729897593352"</f>
        <v>1578729897593352</v>
      </c>
      <c r="C2506" t="s">
        <v>40</v>
      </c>
      <c r="D2506">
        <v>4.879505</v>
      </c>
      <c r="E2506">
        <v>0.394679</v>
      </c>
      <c r="F2506" t="s">
        <v>56</v>
      </c>
      <c r="G2506">
        <v>-487.43209999999999</v>
      </c>
      <c r="H2506" s="1">
        <v>5.7606219999999997E-6</v>
      </c>
      <c r="I2506">
        <v>228.9701</v>
      </c>
      <c r="J2506">
        <v>-493.27289999999999</v>
      </c>
      <c r="K2506">
        <v>1.1105769999999999</v>
      </c>
      <c r="L2506">
        <v>243.58709999999999</v>
      </c>
      <c r="M2506">
        <v>-4.3983360000000001E-3</v>
      </c>
      <c r="N2506">
        <v>0</v>
      </c>
      <c r="O2506">
        <v>-0.99994590000000005</v>
      </c>
      <c r="P2506">
        <v>0.10685269999999999</v>
      </c>
      <c r="Q2506">
        <v>-2.5707710000000002E-2</v>
      </c>
      <c r="R2506">
        <v>-0.99394280000000002</v>
      </c>
      <c r="S2506">
        <v>1.142212</v>
      </c>
      <c r="T2506">
        <v>-0.2171816</v>
      </c>
      <c r="U2506">
        <v>-2.8907470000000002</v>
      </c>
      <c r="V2506">
        <v>-0.111204399999999</v>
      </c>
      <c r="W2506">
        <v>-1.6439249999999999E-2</v>
      </c>
      <c r="X2506">
        <v>0.99366160000000003</v>
      </c>
      <c r="Y2506">
        <v>-0.37067489999999997</v>
      </c>
      <c r="Z2506">
        <v>6.9643549999999999E-2</v>
      </c>
      <c r="AA2506">
        <v>0.92614790000000002</v>
      </c>
      <c r="AB2506">
        <v>20</v>
      </c>
      <c r="AC2506">
        <v>5.8407999999999998</v>
      </c>
      <c r="AD2506">
        <v>-1.1105712393780001</v>
      </c>
      <c r="AE2506">
        <v>-14.6169999999999</v>
      </c>
      <c r="AF2506">
        <v>-5.8757880772286697</v>
      </c>
      <c r="AG2506">
        <v>-1.1105712393780001</v>
      </c>
      <c r="AH2506">
        <v>14.518894868848299</v>
      </c>
      <c r="AI2506">
        <v>94.055771897840103</v>
      </c>
      <c r="AJ2506">
        <v>112.033149865789</v>
      </c>
      <c r="AK2506">
        <v>15.7021196727991</v>
      </c>
      <c r="AL2506">
        <v>90.941942052908402</v>
      </c>
      <c r="AM2506">
        <v>96.385614962827901</v>
      </c>
      <c r="AN2506">
        <v>1.00000002141724</v>
      </c>
    </row>
    <row r="2507" spans="1:40" x14ac:dyDescent="0.3">
      <c r="A2507" t="str">
        <f>"20200111160457616"</f>
        <v>20200111160457616</v>
      </c>
      <c r="B2507" t="str">
        <f>"1578729897613849"</f>
        <v>1578729897613849</v>
      </c>
      <c r="C2507" t="s">
        <v>40</v>
      </c>
      <c r="D2507">
        <v>4.8759610000000002</v>
      </c>
      <c r="E2507">
        <v>0.39329910000000001</v>
      </c>
      <c r="F2507" t="s">
        <v>56</v>
      </c>
      <c r="G2507">
        <v>-487.48309999999998</v>
      </c>
      <c r="H2507" s="1">
        <v>5.8404239999999998E-6</v>
      </c>
      <c r="I2507">
        <v>229.18389999999999</v>
      </c>
      <c r="J2507">
        <v>-493.27280000000002</v>
      </c>
      <c r="K2507">
        <v>1.1105609999999999</v>
      </c>
      <c r="L2507">
        <v>243.47210000000001</v>
      </c>
      <c r="M2507">
        <v>-3.8452959999999998E-3</v>
      </c>
      <c r="N2507">
        <v>0</v>
      </c>
      <c r="O2507">
        <v>-0.99994919999999998</v>
      </c>
      <c r="P2507">
        <v>0.10756060000000001</v>
      </c>
      <c r="Q2507">
        <v>-2.581454E-2</v>
      </c>
      <c r="R2507">
        <v>-0.99386359999999996</v>
      </c>
      <c r="S2507">
        <v>1.160828</v>
      </c>
      <c r="T2507">
        <v>-0.222663</v>
      </c>
      <c r="U2507">
        <v>-2.887756</v>
      </c>
      <c r="V2507">
        <v>-0.1113623</v>
      </c>
      <c r="W2507">
        <v>-1.6667669999999999E-2</v>
      </c>
      <c r="X2507">
        <v>0.99364010000000003</v>
      </c>
      <c r="Y2507">
        <v>-0.37559130000000002</v>
      </c>
      <c r="Z2507">
        <v>7.1305530000000006E-2</v>
      </c>
      <c r="AA2507">
        <v>0.92403820000000003</v>
      </c>
      <c r="AB2507">
        <v>20</v>
      </c>
      <c r="AC2507">
        <v>5.78970000000003</v>
      </c>
      <c r="AD2507">
        <v>-1.1105551595759999</v>
      </c>
      <c r="AE2507">
        <v>-14.2882</v>
      </c>
      <c r="AF2507">
        <v>-5.8144297319695104</v>
      </c>
      <c r="AG2507">
        <v>-1.1105551595759999</v>
      </c>
      <c r="AH2507">
        <v>14.1921842828559</v>
      </c>
      <c r="AI2507">
        <v>94.141551657450194</v>
      </c>
      <c r="AJ2507">
        <v>112.278538560792</v>
      </c>
      <c r="AK2507">
        <v>15.3772240859335</v>
      </c>
      <c r="AL2507">
        <v>90.955031358311004</v>
      </c>
      <c r="AM2507">
        <v>96.394744112462405</v>
      </c>
      <c r="AN2507">
        <v>1.0000000107062601</v>
      </c>
    </row>
    <row r="2508" spans="1:40" x14ac:dyDescent="0.3">
      <c r="A2508" t="str">
        <f>"20200111160457629"</f>
        <v>20200111160457629</v>
      </c>
      <c r="B2508" t="str">
        <f>"1578729897623609"</f>
        <v>1578729897623609</v>
      </c>
      <c r="C2508" t="s">
        <v>40</v>
      </c>
      <c r="D2508">
        <v>4.8705939999999996</v>
      </c>
      <c r="E2508">
        <v>0.39271850000000003</v>
      </c>
      <c r="F2508" t="s">
        <v>56</v>
      </c>
      <c r="G2508">
        <v>-487.47449999999998</v>
      </c>
      <c r="H2508" s="1">
        <v>5.849622E-6</v>
      </c>
      <c r="I2508">
        <v>229.2209</v>
      </c>
      <c r="J2508">
        <v>-493.27260000000001</v>
      </c>
      <c r="K2508">
        <v>1.110541</v>
      </c>
      <c r="L2508">
        <v>243.34979999999999</v>
      </c>
      <c r="M2508">
        <v>-3.2615529999999999E-3</v>
      </c>
      <c r="N2508">
        <v>0</v>
      </c>
      <c r="O2508">
        <v>-0.99995230000000002</v>
      </c>
      <c r="P2508">
        <v>0.1085354</v>
      </c>
      <c r="Q2508">
        <v>-2.5960480000000001E-2</v>
      </c>
      <c r="R2508">
        <v>-0.99375340000000001</v>
      </c>
      <c r="S2508">
        <v>1.174042</v>
      </c>
      <c r="T2508">
        <v>-0.22486900000000001</v>
      </c>
      <c r="U2508">
        <v>-2.8856350000000002</v>
      </c>
      <c r="V2508">
        <v>-0.11175690000000001</v>
      </c>
      <c r="W2508">
        <v>-1.6942829999999999E-2</v>
      </c>
      <c r="X2508">
        <v>0.99359109999999995</v>
      </c>
      <c r="Y2508">
        <v>-0.37890200000000002</v>
      </c>
      <c r="Z2508">
        <v>7.1947520000000001E-2</v>
      </c>
      <c r="AA2508">
        <v>0.92263580000000001</v>
      </c>
      <c r="AB2508">
        <v>20</v>
      </c>
      <c r="AC2508">
        <v>5.79810000000003</v>
      </c>
      <c r="AD2508">
        <v>-1.1105351503780001</v>
      </c>
      <c r="AE2508">
        <v>-14.1288999999999</v>
      </c>
      <c r="AF2508">
        <v>-5.8134145427757904</v>
      </c>
      <c r="AG2508">
        <v>-1.1105351503780001</v>
      </c>
      <c r="AH2508">
        <v>14.035698762119599</v>
      </c>
      <c r="AI2508">
        <v>94.180886998456401</v>
      </c>
      <c r="AJ2508">
        <v>112.498737818226</v>
      </c>
      <c r="AK2508">
        <v>15.2325282441015</v>
      </c>
      <c r="AL2508">
        <v>90.970799131975795</v>
      </c>
      <c r="AM2508">
        <v>96.417528321649002</v>
      </c>
      <c r="AN2508">
        <v>0.99999996909261302</v>
      </c>
    </row>
    <row r="2509" spans="1:40" x14ac:dyDescent="0.3">
      <c r="A2509" t="str">
        <f>"20200111160457647"</f>
        <v>20200111160457647</v>
      </c>
      <c r="B2509" t="str">
        <f>"1578729897643715"</f>
        <v>1578729897643715</v>
      </c>
      <c r="C2509" t="s">
        <v>40</v>
      </c>
      <c r="D2509">
        <v>4.8656540000000001</v>
      </c>
      <c r="E2509">
        <v>0.39179890000000001</v>
      </c>
      <c r="F2509" t="s">
        <v>56</v>
      </c>
      <c r="G2509">
        <v>-487.50380000000001</v>
      </c>
      <c r="H2509" s="1">
        <v>5.8724419999999998E-6</v>
      </c>
      <c r="I2509">
        <v>229.26949999999999</v>
      </c>
      <c r="J2509">
        <v>-493.27229999999997</v>
      </c>
      <c r="K2509">
        <v>1.1105069999999999</v>
      </c>
      <c r="L2509">
        <v>243.1942</v>
      </c>
      <c r="M2509">
        <v>-2.5293540000000002E-3</v>
      </c>
      <c r="N2509">
        <v>0</v>
      </c>
      <c r="O2509">
        <v>-0.99995579999999995</v>
      </c>
      <c r="P2509">
        <v>0.1098756</v>
      </c>
      <c r="Q2509">
        <v>-2.6593640000000002E-2</v>
      </c>
      <c r="R2509">
        <v>-0.99358950000000001</v>
      </c>
      <c r="S2509">
        <v>1.181549</v>
      </c>
      <c r="T2509">
        <v>-0.2274554</v>
      </c>
      <c r="U2509">
        <v>-2.8838810000000001</v>
      </c>
      <c r="V2509">
        <v>-0.11236839999999999</v>
      </c>
      <c r="W2509">
        <v>-1.7739189999999998E-2</v>
      </c>
      <c r="X2509">
        <v>0.99350830000000001</v>
      </c>
      <c r="Y2509">
        <v>-0.38045649999999998</v>
      </c>
      <c r="Z2509">
        <v>7.2752999999999998E-2</v>
      </c>
      <c r="AA2509">
        <v>0.92193270000000005</v>
      </c>
      <c r="AB2509">
        <v>20</v>
      </c>
      <c r="AC2509">
        <v>5.7684999999999498</v>
      </c>
      <c r="AD2509">
        <v>-1.1105011275579999</v>
      </c>
      <c r="AE2509">
        <v>-13.9247</v>
      </c>
      <c r="AF2509">
        <v>-5.7723680620708899</v>
      </c>
      <c r="AG2509">
        <v>-1.1105011275579999</v>
      </c>
      <c r="AH2509">
        <v>13.834960895051299</v>
      </c>
      <c r="AI2509">
        <v>94.236645056782905</v>
      </c>
      <c r="AJ2509">
        <v>112.6473872685</v>
      </c>
      <c r="AK2509">
        <v>15.031952260632099</v>
      </c>
      <c r="AL2509">
        <v>91.016433992295802</v>
      </c>
      <c r="AM2509">
        <v>96.452880969562898</v>
      </c>
      <c r="AN2509">
        <v>1.00000003917465</v>
      </c>
    </row>
    <row r="2510" spans="1:40" x14ac:dyDescent="0.3">
      <c r="A2510" t="str">
        <f>"20200111160457661"</f>
        <v>20200111160457661</v>
      </c>
      <c r="B2510" t="str">
        <f>"1578729897653475"</f>
        <v>1578729897653475</v>
      </c>
      <c r="C2510" t="s">
        <v>40</v>
      </c>
      <c r="D2510">
        <v>4.9965000000000002</v>
      </c>
      <c r="E2510">
        <v>0.39120179999999999</v>
      </c>
      <c r="F2510" t="s">
        <v>56</v>
      </c>
      <c r="G2510">
        <v>-487.5607</v>
      </c>
      <c r="H2510" s="1">
        <v>5.9253839999999996E-6</v>
      </c>
      <c r="I2510">
        <v>229.3914</v>
      </c>
      <c r="J2510">
        <v>-493.27190000000002</v>
      </c>
      <c r="K2510">
        <v>1.1104810000000001</v>
      </c>
      <c r="L2510">
        <v>243.0659</v>
      </c>
      <c r="M2510">
        <v>-1.9365470000000001E-3</v>
      </c>
      <c r="N2510">
        <v>0</v>
      </c>
      <c r="O2510">
        <v>-0.99995869999999998</v>
      </c>
      <c r="P2510">
        <v>0.1107678</v>
      </c>
      <c r="Q2510">
        <v>-2.6892340000000001E-2</v>
      </c>
      <c r="R2510">
        <v>-0.99348270000000005</v>
      </c>
      <c r="S2510">
        <v>1.192291</v>
      </c>
      <c r="T2510">
        <v>-0.23181779999999999</v>
      </c>
      <c r="U2510">
        <v>-2.881332</v>
      </c>
      <c r="V2510">
        <v>-0.1126712</v>
      </c>
      <c r="W2510">
        <v>-1.8169569999999999E-2</v>
      </c>
      <c r="X2510">
        <v>0.99346619999999997</v>
      </c>
      <c r="Y2510">
        <v>-0.38309330000000003</v>
      </c>
      <c r="Z2510">
        <v>7.410833E-2</v>
      </c>
      <c r="AA2510">
        <v>0.92073210000000005</v>
      </c>
      <c r="AB2510">
        <v>20</v>
      </c>
      <c r="AC2510">
        <v>5.7112000000000096</v>
      </c>
      <c r="AD2510">
        <v>-1.1104750746159999</v>
      </c>
      <c r="AE2510">
        <v>-13.674499999999901</v>
      </c>
      <c r="AF2510">
        <v>-5.7056333169170896</v>
      </c>
      <c r="AG2510">
        <v>-1.1104750746159999</v>
      </c>
      <c r="AH2510">
        <v>13.5871193851796</v>
      </c>
      <c r="AI2510">
        <v>94.309406303590606</v>
      </c>
      <c r="AJ2510">
        <v>112.778975813617</v>
      </c>
      <c r="AK2510">
        <v>14.7782684921334</v>
      </c>
      <c r="AL2510">
        <v>91.041096953345402</v>
      </c>
      <c r="AM2510">
        <v>96.470394201497598</v>
      </c>
      <c r="AN2510">
        <v>1.0000000115629299</v>
      </c>
    </row>
    <row r="2511" spans="1:40" x14ac:dyDescent="0.3">
      <c r="A2511" t="str">
        <f>"20200111160457672"</f>
        <v>20200111160457672</v>
      </c>
      <c r="B2511" t="str">
        <f>"1578729897663237"</f>
        <v>1578729897663237</v>
      </c>
      <c r="C2511" t="s">
        <v>40</v>
      </c>
      <c r="D2511">
        <v>4.8846920000000003</v>
      </c>
      <c r="E2511">
        <v>0.39086199999999999</v>
      </c>
      <c r="F2511" t="s">
        <v>56</v>
      </c>
      <c r="G2511">
        <v>-487.63279999999997</v>
      </c>
      <c r="H2511" s="1">
        <v>5.9888869999999998E-6</v>
      </c>
      <c r="I2511">
        <v>229.53450000000001</v>
      </c>
      <c r="J2511">
        <v>-493.27159999999998</v>
      </c>
      <c r="K2511">
        <v>1.1104540000000001</v>
      </c>
      <c r="L2511">
        <v>242.95910000000001</v>
      </c>
      <c r="M2511">
        <v>-1.4528410000000001E-3</v>
      </c>
      <c r="N2511">
        <v>0</v>
      </c>
      <c r="O2511">
        <v>-0.99996010000000002</v>
      </c>
      <c r="P2511">
        <v>0.1115709</v>
      </c>
      <c r="Q2511">
        <v>-2.7377809999999999E-2</v>
      </c>
      <c r="R2511">
        <v>-0.99337909999999996</v>
      </c>
      <c r="S2511">
        <v>1.2000120000000001</v>
      </c>
      <c r="T2511">
        <v>-0.2363112</v>
      </c>
      <c r="U2511">
        <v>-2.8795169999999999</v>
      </c>
      <c r="V2511">
        <v>-0.1129935</v>
      </c>
      <c r="W2511">
        <v>-1.8761369999999999E-2</v>
      </c>
      <c r="X2511">
        <v>0.99341860000000004</v>
      </c>
      <c r="Y2511">
        <v>-0.38491609999999998</v>
      </c>
      <c r="Z2511">
        <v>7.5513010000000005E-2</v>
      </c>
      <c r="AA2511">
        <v>0.91985729999999999</v>
      </c>
      <c r="AB2511">
        <v>20</v>
      </c>
      <c r="AC2511">
        <v>5.6387999999999998</v>
      </c>
      <c r="AD2511">
        <v>-1.110448011113</v>
      </c>
      <c r="AE2511">
        <v>-13.4245999999999</v>
      </c>
      <c r="AF2511">
        <v>-5.6255799765059704</v>
      </c>
      <c r="AG2511">
        <v>-1.110448011113</v>
      </c>
      <c r="AH2511">
        <v>13.338814060090099</v>
      </c>
      <c r="AI2511">
        <v>94.386372783914894</v>
      </c>
      <c r="AJ2511">
        <v>112.86734852988</v>
      </c>
      <c r="AK2511">
        <v>14.5190979536301</v>
      </c>
      <c r="AL2511">
        <v>91.075010371733796</v>
      </c>
      <c r="AM2511">
        <v>96.489053624879404</v>
      </c>
      <c r="AN2511">
        <v>1.00000001743624</v>
      </c>
    </row>
    <row r="2512" spans="1:40" x14ac:dyDescent="0.3">
      <c r="A2512" t="str">
        <f>"20200111160457692"</f>
        <v>20200111160457692</v>
      </c>
      <c r="B2512" t="str">
        <f>"1578729897683730"</f>
        <v>1578729897683730</v>
      </c>
      <c r="C2512" t="s">
        <v>40</v>
      </c>
      <c r="D2512">
        <v>4.9038000000000004</v>
      </c>
      <c r="E2512">
        <v>0.39025409999999999</v>
      </c>
      <c r="F2512" t="s">
        <v>41</v>
      </c>
      <c r="G2512">
        <v>-487.6943</v>
      </c>
      <c r="H2512" s="1">
        <v>-6.0760109999999998E-7</v>
      </c>
      <c r="I2512">
        <v>229.63079999999999</v>
      </c>
      <c r="J2512">
        <v>-493.27089999999998</v>
      </c>
      <c r="K2512">
        <v>1.1104149999999999</v>
      </c>
      <c r="L2512">
        <v>242.78909999999999</v>
      </c>
      <c r="M2512">
        <v>-7.0052690000000002E-4</v>
      </c>
      <c r="N2512">
        <v>0</v>
      </c>
      <c r="O2512">
        <v>-0.99996269999999998</v>
      </c>
      <c r="P2512">
        <v>0.1126812</v>
      </c>
      <c r="Q2512">
        <v>-2.7848330000000001E-2</v>
      </c>
      <c r="R2512">
        <v>-0.99324109999999999</v>
      </c>
      <c r="S2512">
        <v>1.2043459999999999</v>
      </c>
      <c r="T2512">
        <v>-0.239789</v>
      </c>
      <c r="U2512">
        <v>-2.878098</v>
      </c>
      <c r="V2512">
        <v>-0.1133559</v>
      </c>
      <c r="W2512">
        <v>-1.9395510000000001E-2</v>
      </c>
      <c r="X2512">
        <v>0.9933651</v>
      </c>
      <c r="Y2512">
        <v>-0.38552959999999997</v>
      </c>
      <c r="Z2512">
        <v>7.6620649999999998E-2</v>
      </c>
      <c r="AA2512">
        <v>0.91950869999999996</v>
      </c>
      <c r="AB2512">
        <v>20</v>
      </c>
      <c r="AC2512">
        <v>5.5765999999999796</v>
      </c>
      <c r="AD2512">
        <v>-1.1104156076011</v>
      </c>
      <c r="AE2512">
        <v>-13.158299999999899</v>
      </c>
      <c r="AF2512">
        <v>-5.5522966853948299</v>
      </c>
      <c r="AG2512">
        <v>-1.1104156076011</v>
      </c>
      <c r="AH2512">
        <v>13.0754516453585</v>
      </c>
      <c r="AI2512">
        <v>94.469616940819407</v>
      </c>
      <c r="AJ2512">
        <v>113.007784666015</v>
      </c>
      <c r="AK2512">
        <v>14.248805459909899</v>
      </c>
      <c r="AL2512">
        <v>91.111350568893997</v>
      </c>
      <c r="AM2512">
        <v>96.510034960440905</v>
      </c>
      <c r="AN2512">
        <v>0.99999998388548905</v>
      </c>
    </row>
    <row r="2513" spans="1:40" x14ac:dyDescent="0.3">
      <c r="A2513" t="str">
        <f>"20200111160457705"</f>
        <v>20200111160457705</v>
      </c>
      <c r="B2513" t="str">
        <f>"1578729897693491"</f>
        <v>1578729897693491</v>
      </c>
      <c r="C2513" t="s">
        <v>40</v>
      </c>
      <c r="D2513">
        <v>4.8928229999999999</v>
      </c>
      <c r="E2513">
        <v>0.39009319999999997</v>
      </c>
      <c r="F2513" t="s">
        <v>56</v>
      </c>
      <c r="G2513">
        <v>-487.71640000000002</v>
      </c>
      <c r="H2513" s="1">
        <v>6.0357030000000004E-6</v>
      </c>
      <c r="I2513">
        <v>229.6139</v>
      </c>
      <c r="J2513">
        <v>-493.27050000000003</v>
      </c>
      <c r="K2513">
        <v>1.110395</v>
      </c>
      <c r="L2513">
        <v>242.6763</v>
      </c>
      <c r="M2513">
        <v>-2.1384010000000001E-4</v>
      </c>
      <c r="N2513">
        <v>0</v>
      </c>
      <c r="O2513">
        <v>-0.99996359999999995</v>
      </c>
      <c r="P2513">
        <v>0.1134035</v>
      </c>
      <c r="Q2513">
        <v>-2.794862E-2</v>
      </c>
      <c r="R2513">
        <v>-0.99315560000000003</v>
      </c>
      <c r="S2513">
        <v>1.2125239999999999</v>
      </c>
      <c r="T2513">
        <v>-0.24239530000000001</v>
      </c>
      <c r="U2513">
        <v>-2.8760829999999999</v>
      </c>
      <c r="V2513">
        <v>-0.1135951</v>
      </c>
      <c r="W2513">
        <v>-1.9600659999999999E-2</v>
      </c>
      <c r="X2513">
        <v>0.99333380000000004</v>
      </c>
      <c r="Y2513">
        <v>-0.3875075</v>
      </c>
      <c r="Z2513">
        <v>7.742375E-2</v>
      </c>
      <c r="AA2513">
        <v>0.91860960000000003</v>
      </c>
      <c r="AB2513">
        <v>20</v>
      </c>
      <c r="AC2513">
        <v>5.5541</v>
      </c>
      <c r="AD2513">
        <v>-1.110388964297</v>
      </c>
      <c r="AE2513">
        <v>-13.062399999999901</v>
      </c>
      <c r="AF2513">
        <v>-5.52309352973234</v>
      </c>
      <c r="AG2513">
        <v>-1.110388964297</v>
      </c>
      <c r="AH2513">
        <v>12.981767366365</v>
      </c>
      <c r="AI2513">
        <v>94.500317747058205</v>
      </c>
      <c r="AJ2513">
        <v>113.047329244948</v>
      </c>
      <c r="AK2513">
        <v>14.1514596330068</v>
      </c>
      <c r="AL2513">
        <v>91.123106975356905</v>
      </c>
      <c r="AM2513">
        <v>96.523857721381603</v>
      </c>
      <c r="AN2513">
        <v>1.00000003541944</v>
      </c>
    </row>
    <row r="2514" spans="1:40" x14ac:dyDescent="0.3">
      <c r="A2514" t="str">
        <f>"20200111160457719"</f>
        <v>20200111160457719</v>
      </c>
      <c r="B2514" t="str">
        <f>"1578729897713989"</f>
        <v>1578729897713989</v>
      </c>
      <c r="C2514" t="s">
        <v>40</v>
      </c>
      <c r="D2514">
        <v>4.8697150000000002</v>
      </c>
      <c r="E2514">
        <v>0.38980559999999997</v>
      </c>
      <c r="F2514" t="s">
        <v>56</v>
      </c>
      <c r="G2514">
        <v>-487.68619999999999</v>
      </c>
      <c r="H2514" s="1">
        <v>5.9847679999999998E-6</v>
      </c>
      <c r="I2514">
        <v>229.4753</v>
      </c>
      <c r="J2514">
        <v>-493.26990000000001</v>
      </c>
      <c r="K2514">
        <v>1.110366</v>
      </c>
      <c r="L2514">
        <v>242.54900000000001</v>
      </c>
      <c r="M2514">
        <v>3.1296889999999998E-4</v>
      </c>
      <c r="N2514">
        <v>0</v>
      </c>
      <c r="O2514">
        <v>-0.99996479999999999</v>
      </c>
      <c r="P2514">
        <v>0.1135993</v>
      </c>
      <c r="Q2514">
        <v>-2.798666E-2</v>
      </c>
      <c r="R2514">
        <v>-0.99313249999999997</v>
      </c>
      <c r="S2514">
        <v>1.2161869999999999</v>
      </c>
      <c r="T2514">
        <v>-0.2418303</v>
      </c>
      <c r="U2514">
        <v>-2.8750149999999999</v>
      </c>
      <c r="V2514">
        <v>-0.11326840000000001</v>
      </c>
      <c r="W2514">
        <v>-1.9748080000000001E-2</v>
      </c>
      <c r="X2514">
        <v>0.99336809999999998</v>
      </c>
      <c r="Y2514">
        <v>-0.38814270000000001</v>
      </c>
      <c r="Z2514">
        <v>7.7241729999999995E-2</v>
      </c>
      <c r="AA2514">
        <v>0.91835670000000003</v>
      </c>
      <c r="AB2514">
        <v>20</v>
      </c>
      <c r="AC2514">
        <v>5.5837000000000199</v>
      </c>
      <c r="AD2514">
        <v>-1.1103600152319999</v>
      </c>
      <c r="AE2514">
        <v>-13.073700000000001</v>
      </c>
      <c r="AF2514">
        <v>-5.5457761237036101</v>
      </c>
      <c r="AG2514">
        <v>-1.1103600152319999</v>
      </c>
      <c r="AH2514">
        <v>12.996164336585</v>
      </c>
      <c r="AI2514">
        <v>94.493179751818005</v>
      </c>
      <c r="AJ2514">
        <v>113.10910918031399</v>
      </c>
      <c r="AK2514">
        <v>14.1735253074594</v>
      </c>
      <c r="AL2514">
        <v>91.131555251225507</v>
      </c>
      <c r="AM2514">
        <v>96.505033442217297</v>
      </c>
      <c r="AN2514">
        <v>0.999999949599926</v>
      </c>
    </row>
    <row r="2515" spans="1:40" x14ac:dyDescent="0.3">
      <c r="A2515" t="str">
        <f>"20200111160457737"</f>
        <v>20200111160457737</v>
      </c>
      <c r="B2515" t="str">
        <f>"1578729897733507"</f>
        <v>1578729897733507</v>
      </c>
      <c r="C2515" t="s">
        <v>40</v>
      </c>
      <c r="D2515">
        <v>4.8592170000000001</v>
      </c>
      <c r="E2515">
        <v>0.38955519999999999</v>
      </c>
      <c r="F2515" t="s">
        <v>56</v>
      </c>
      <c r="G2515">
        <v>-487.65629999999999</v>
      </c>
      <c r="H2515" s="1">
        <v>5.924798E-6</v>
      </c>
      <c r="I2515">
        <v>229.3074</v>
      </c>
      <c r="J2515">
        <v>-493.26909999999998</v>
      </c>
      <c r="K2515">
        <v>1.110336</v>
      </c>
      <c r="L2515">
        <v>242.3929</v>
      </c>
      <c r="M2515">
        <v>9.3624639999999998E-4</v>
      </c>
      <c r="N2515">
        <v>0</v>
      </c>
      <c r="O2515">
        <v>-0.9999652</v>
      </c>
      <c r="P2515">
        <v>0.1140181</v>
      </c>
      <c r="Q2515">
        <v>-2.7853559999999999E-2</v>
      </c>
      <c r="R2515">
        <v>-0.99308790000000002</v>
      </c>
      <c r="S2515">
        <v>1.218628</v>
      </c>
      <c r="T2515">
        <v>-0.24104239999999999</v>
      </c>
      <c r="U2515">
        <v>-2.8745419999999999</v>
      </c>
      <c r="V2515">
        <v>-0.113069</v>
      </c>
      <c r="W2515">
        <v>-1.9740359999999998E-2</v>
      </c>
      <c r="X2515">
        <v>0.99339100000000002</v>
      </c>
      <c r="Y2515">
        <v>-0.38829190000000002</v>
      </c>
      <c r="Z2515">
        <v>7.6988600000000004E-2</v>
      </c>
      <c r="AA2515">
        <v>0.91831490000000005</v>
      </c>
      <c r="AB2515">
        <v>20</v>
      </c>
      <c r="AC2515">
        <v>5.6127999999999902</v>
      </c>
      <c r="AD2515">
        <v>-1.110330075202</v>
      </c>
      <c r="AE2515">
        <v>-13.0854999999999</v>
      </c>
      <c r="AF2515">
        <v>-5.56669456545775</v>
      </c>
      <c r="AG2515">
        <v>-1.110330075202</v>
      </c>
      <c r="AH2515">
        <v>13.011625175093499</v>
      </c>
      <c r="AI2515">
        <v>94.485965116678301</v>
      </c>
      <c r="AJ2515">
        <v>113.162435039147</v>
      </c>
      <c r="AK2515">
        <v>14.195890636311701</v>
      </c>
      <c r="AL2515">
        <v>91.131112807461705</v>
      </c>
      <c r="AM2515">
        <v>96.493531330514301</v>
      </c>
      <c r="AN2515">
        <v>0.99999997972746402</v>
      </c>
    </row>
    <row r="2516" spans="1:40" x14ac:dyDescent="0.3">
      <c r="A2516" t="str">
        <f>"20200111160457751"</f>
        <v>20200111160457751</v>
      </c>
      <c r="B2516" t="str">
        <f>"1578729897743266"</f>
        <v>1578729897743266</v>
      </c>
      <c r="C2516" t="s">
        <v>40</v>
      </c>
      <c r="D2516">
        <v>4.8445939999999998</v>
      </c>
      <c r="E2516">
        <v>0.38944380000000001</v>
      </c>
      <c r="F2516" t="s">
        <v>56</v>
      </c>
      <c r="G2516">
        <v>-487.62790000000001</v>
      </c>
      <c r="H2516" s="1">
        <v>5.861434E-6</v>
      </c>
      <c r="I2516">
        <v>229.12729999999999</v>
      </c>
      <c r="J2516">
        <v>-493.26850000000002</v>
      </c>
      <c r="K2516">
        <v>1.110311</v>
      </c>
      <c r="L2516">
        <v>242.26439999999999</v>
      </c>
      <c r="M2516">
        <v>1.4278800000000001E-3</v>
      </c>
      <c r="N2516">
        <v>0</v>
      </c>
      <c r="O2516">
        <v>-0.99996560000000001</v>
      </c>
      <c r="P2516">
        <v>0.1144835</v>
      </c>
      <c r="Q2516">
        <v>-2.759841E-2</v>
      </c>
      <c r="R2516">
        <v>-0.99304190000000003</v>
      </c>
      <c r="S2516">
        <v>1.2221070000000001</v>
      </c>
      <c r="T2516">
        <v>-0.24053949999999999</v>
      </c>
      <c r="U2516">
        <v>-2.8738250000000001</v>
      </c>
      <c r="V2516">
        <v>-0.1130471</v>
      </c>
      <c r="W2516">
        <v>-1.958056E-2</v>
      </c>
      <c r="X2516">
        <v>0.99339670000000002</v>
      </c>
      <c r="Y2516">
        <v>-0.3888683</v>
      </c>
      <c r="Z2516">
        <v>7.6819429999999994E-2</v>
      </c>
      <c r="AA2516">
        <v>0.91808509999999999</v>
      </c>
      <c r="AB2516">
        <v>20</v>
      </c>
      <c r="AC2516">
        <v>5.6406000000000001</v>
      </c>
      <c r="AD2516">
        <v>-1.1103051385660001</v>
      </c>
      <c r="AE2516">
        <v>-13.1371</v>
      </c>
      <c r="AF2516">
        <v>-5.5881322329963297</v>
      </c>
      <c r="AG2516">
        <v>-1.1103051385660001</v>
      </c>
      <c r="AH2516">
        <v>13.066335190054801</v>
      </c>
      <c r="AI2516">
        <v>94.467400596810194</v>
      </c>
      <c r="AJ2516">
        <v>113.155137794296</v>
      </c>
      <c r="AK2516">
        <v>14.254441927099201</v>
      </c>
      <c r="AL2516">
        <v>91.121955121580001</v>
      </c>
      <c r="AM2516">
        <v>96.492247422745294</v>
      </c>
      <c r="AN2516">
        <v>1.0000000243595999</v>
      </c>
    </row>
    <row r="2517" spans="1:40" x14ac:dyDescent="0.3">
      <c r="A2517" t="str">
        <f>"20200111160457762"</f>
        <v>20200111160457762</v>
      </c>
      <c r="B2517" t="str">
        <f>"1578729897753027"</f>
        <v>1578729897753027</v>
      </c>
      <c r="C2517" t="s">
        <v>40</v>
      </c>
      <c r="D2517">
        <v>4.8217679999999996</v>
      </c>
      <c r="E2517">
        <v>0.38930369999999997</v>
      </c>
      <c r="F2517" t="s">
        <v>56</v>
      </c>
      <c r="G2517">
        <v>-487.5874</v>
      </c>
      <c r="H2517" s="1">
        <v>5.7884509999999999E-6</v>
      </c>
      <c r="I2517">
        <v>228.9265</v>
      </c>
      <c r="J2517">
        <v>-493.26780000000002</v>
      </c>
      <c r="K2517">
        <v>1.110285</v>
      </c>
      <c r="L2517">
        <v>242.15039999999999</v>
      </c>
      <c r="M2517">
        <v>1.850857E-3</v>
      </c>
      <c r="N2517">
        <v>0</v>
      </c>
      <c r="O2517">
        <v>-0.99996580000000002</v>
      </c>
      <c r="P2517">
        <v>0.1148213</v>
      </c>
      <c r="Q2517">
        <v>-2.709191E-2</v>
      </c>
      <c r="R2517">
        <v>-0.99301700000000004</v>
      </c>
      <c r="S2517">
        <v>1.223816</v>
      </c>
      <c r="T2517">
        <v>-0.23918300000000001</v>
      </c>
      <c r="U2517">
        <v>-2.8732760000000002</v>
      </c>
      <c r="V2517">
        <v>-0.1129661</v>
      </c>
      <c r="W2517">
        <v>-1.915356E-2</v>
      </c>
      <c r="X2517">
        <v>0.99341420000000002</v>
      </c>
      <c r="Y2517">
        <v>-0.38901730000000001</v>
      </c>
      <c r="Z2517">
        <v>7.6391280000000006E-2</v>
      </c>
      <c r="AA2517">
        <v>0.91805769999999998</v>
      </c>
      <c r="AB2517">
        <v>20</v>
      </c>
      <c r="AC2517">
        <v>5.6804000000000103</v>
      </c>
      <c r="AD2517">
        <v>-1.1102792115489999</v>
      </c>
      <c r="AE2517">
        <v>-13.223899999999899</v>
      </c>
      <c r="AF2517">
        <v>-5.6224536502336502</v>
      </c>
      <c r="AG2517">
        <v>-1.1102792115489999</v>
      </c>
      <c r="AH2517">
        <v>13.1560968969972</v>
      </c>
      <c r="AI2517">
        <v>94.437433116422895</v>
      </c>
      <c r="AJ2517">
        <v>113.14016151193999</v>
      </c>
      <c r="AK2517">
        <v>14.3501773696287</v>
      </c>
      <c r="AL2517">
        <v>91.097485277037194</v>
      </c>
      <c r="AM2517">
        <v>96.487521988009803</v>
      </c>
      <c r="AN2517">
        <v>0.99999998568576098</v>
      </c>
    </row>
    <row r="2518" spans="1:40" x14ac:dyDescent="0.3">
      <c r="A2518" t="str">
        <f>"20200111160457782"</f>
        <v>20200111160457782</v>
      </c>
      <c r="B2518" t="str">
        <f>"1578729897773522"</f>
        <v>1578729897773522</v>
      </c>
      <c r="C2518" t="s">
        <v>40</v>
      </c>
      <c r="D2518">
        <v>4.7909459999999999</v>
      </c>
      <c r="E2518">
        <v>0.38905830000000002</v>
      </c>
      <c r="F2518" t="s">
        <v>56</v>
      </c>
      <c r="G2518">
        <v>-487.53699999999998</v>
      </c>
      <c r="H2518" s="1">
        <v>5.7114580000000004E-6</v>
      </c>
      <c r="I2518">
        <v>228.72120000000001</v>
      </c>
      <c r="J2518">
        <v>-493.26679999999999</v>
      </c>
      <c r="K2518">
        <v>1.1102479999999999</v>
      </c>
      <c r="L2518">
        <v>241.97919999999999</v>
      </c>
      <c r="M2518">
        <v>2.4473199999999998E-3</v>
      </c>
      <c r="N2518">
        <v>0</v>
      </c>
      <c r="O2518">
        <v>-0.99996529999999995</v>
      </c>
      <c r="P2518">
        <v>0.1147759</v>
      </c>
      <c r="Q2518">
        <v>-2.7348540000000001E-2</v>
      </c>
      <c r="R2518">
        <v>-0.99301490000000003</v>
      </c>
      <c r="S2518">
        <v>1.225983</v>
      </c>
      <c r="T2518">
        <v>-0.23752129999999999</v>
      </c>
      <c r="U2518">
        <v>-2.8728940000000001</v>
      </c>
      <c r="V2518">
        <v>-0.1123287</v>
      </c>
      <c r="W2518">
        <v>-1.9515910000000001E-2</v>
      </c>
      <c r="X2518">
        <v>0.99347940000000001</v>
      </c>
      <c r="Y2518">
        <v>-0.38911390000000001</v>
      </c>
      <c r="Z2518">
        <v>7.5860659999999996E-2</v>
      </c>
      <c r="AA2518">
        <v>0.91806080000000001</v>
      </c>
      <c r="AB2518">
        <v>20</v>
      </c>
      <c r="AC2518">
        <v>5.7298000000000098</v>
      </c>
      <c r="AD2518">
        <v>-1.11024228854199</v>
      </c>
      <c r="AE2518">
        <v>-13.2579999999999</v>
      </c>
      <c r="AF2518">
        <v>-5.6638677203649399</v>
      </c>
      <c r="AG2518">
        <v>-1.11024228854199</v>
      </c>
      <c r="AH2518">
        <v>13.194020559011999</v>
      </c>
      <c r="AI2518">
        <v>94.421536575348</v>
      </c>
      <c r="AJ2518">
        <v>113.23265491545099</v>
      </c>
      <c r="AK2518">
        <v>14.4011879372742</v>
      </c>
      <c r="AL2518">
        <v>91.118250310306706</v>
      </c>
      <c r="AM2518">
        <v>96.450806436938706</v>
      </c>
      <c r="AN2518">
        <v>0.99999996290558801</v>
      </c>
    </row>
    <row r="2519" spans="1:40" x14ac:dyDescent="0.3">
      <c r="A2519" t="str">
        <f>"20200111160457794"</f>
        <v>20200111160457794</v>
      </c>
      <c r="B2519" t="str">
        <f>"1578729897783285"</f>
        <v>1578729897783285</v>
      </c>
      <c r="C2519" t="s">
        <v>40</v>
      </c>
      <c r="D2519">
        <v>4.8146240000000002</v>
      </c>
      <c r="E2519">
        <v>0.38894610000000002</v>
      </c>
      <c r="F2519" t="s">
        <v>56</v>
      </c>
      <c r="G2519">
        <v>-487.51159999999999</v>
      </c>
      <c r="H2519" s="1">
        <v>5.6420229999999999E-6</v>
      </c>
      <c r="I2519">
        <v>228.5189</v>
      </c>
      <c r="J2519">
        <v>-493.26609999999999</v>
      </c>
      <c r="K2519">
        <v>1.110225</v>
      </c>
      <c r="L2519">
        <v>241.86490000000001</v>
      </c>
      <c r="M2519">
        <v>2.8216000000000001E-3</v>
      </c>
      <c r="N2519">
        <v>0</v>
      </c>
      <c r="O2519">
        <v>-0.99996479999999999</v>
      </c>
      <c r="P2519">
        <v>0.1150022</v>
      </c>
      <c r="Q2519">
        <v>-2.767822E-2</v>
      </c>
      <c r="R2519">
        <v>-0.99297959999999996</v>
      </c>
      <c r="S2519">
        <v>1.2282409999999999</v>
      </c>
      <c r="T2519">
        <v>-0.2369424</v>
      </c>
      <c r="U2519">
        <v>-2.8726349999999998</v>
      </c>
      <c r="V2519">
        <v>-0.1121838</v>
      </c>
      <c r="W2519">
        <v>-1.9909860000000001E-2</v>
      </c>
      <c r="X2519">
        <v>0.99348800000000004</v>
      </c>
      <c r="Y2519">
        <v>-0.38941530000000002</v>
      </c>
      <c r="Z2519">
        <v>7.5666910000000004E-2</v>
      </c>
      <c r="AA2519">
        <v>0.91794889999999996</v>
      </c>
      <c r="AB2519">
        <v>20</v>
      </c>
      <c r="AC2519">
        <v>5.7545000000000002</v>
      </c>
      <c r="AD2519">
        <v>-1.1102193579770001</v>
      </c>
      <c r="AE2519">
        <v>-13.346</v>
      </c>
      <c r="AF2519">
        <v>-5.6836531104785299</v>
      </c>
      <c r="AG2519">
        <v>-1.1102193579770001</v>
      </c>
      <c r="AH2519">
        <v>13.2846644800011</v>
      </c>
      <c r="AI2519">
        <v>94.393676285376401</v>
      </c>
      <c r="AJ2519">
        <v>113.16296579907601</v>
      </c>
      <c r="AK2519">
        <v>14.492025740015899</v>
      </c>
      <c r="AL2519">
        <v>91.140826320447999</v>
      </c>
      <c r="AM2519">
        <v>96.442499835751704</v>
      </c>
      <c r="AN2519">
        <v>1.0000000068258199</v>
      </c>
    </row>
    <row r="2520" spans="1:40" x14ac:dyDescent="0.3">
      <c r="A2520" t="str">
        <f>"20200111160457807"</f>
        <v>20200111160457807</v>
      </c>
      <c r="B2520" t="str">
        <f>"1578729897803779"</f>
        <v>1578729897803779</v>
      </c>
      <c r="C2520" t="s">
        <v>40</v>
      </c>
      <c r="D2520">
        <v>4.7483919999999999</v>
      </c>
      <c r="E2520">
        <v>0.38877230000000002</v>
      </c>
      <c r="F2520" t="s">
        <v>56</v>
      </c>
      <c r="G2520">
        <v>-487.50990000000002</v>
      </c>
      <c r="H2520" s="1">
        <v>5.6121330000000003E-6</v>
      </c>
      <c r="I2520">
        <v>228.4239</v>
      </c>
      <c r="J2520">
        <v>-493.26530000000002</v>
      </c>
      <c r="K2520">
        <v>1.110201</v>
      </c>
      <c r="L2520">
        <v>241.744</v>
      </c>
      <c r="M2520">
        <v>3.2054119999999999E-3</v>
      </c>
      <c r="N2520">
        <v>0</v>
      </c>
      <c r="O2520">
        <v>-0.99996430000000003</v>
      </c>
      <c r="P2520">
        <v>0.1151171</v>
      </c>
      <c r="Q2520">
        <v>-2.7866180000000001E-2</v>
      </c>
      <c r="R2520">
        <v>-0.99296119999999999</v>
      </c>
      <c r="S2520">
        <v>1.230011</v>
      </c>
      <c r="T2520">
        <v>-0.2372358</v>
      </c>
      <c r="U2520">
        <v>-2.8721160000000001</v>
      </c>
      <c r="V2520">
        <v>-0.1119184</v>
      </c>
      <c r="W2520">
        <v>-2.016223E-2</v>
      </c>
      <c r="X2520">
        <v>0.99351279999999997</v>
      </c>
      <c r="Y2520">
        <v>-0.38959729999999998</v>
      </c>
      <c r="Z2520">
        <v>7.5760610000000006E-2</v>
      </c>
      <c r="AA2520">
        <v>0.91786400000000001</v>
      </c>
      <c r="AB2520">
        <v>20</v>
      </c>
      <c r="AC2520">
        <v>5.7553999999999998</v>
      </c>
      <c r="AD2520">
        <v>-1.1101953878669999</v>
      </c>
      <c r="AE2520">
        <v>-13.3201</v>
      </c>
      <c r="AF2520">
        <v>-5.6794260077343903</v>
      </c>
      <c r="AG2520">
        <v>-1.1101953878669999</v>
      </c>
      <c r="AH2520">
        <v>13.260853042369201</v>
      </c>
      <c r="AI2520">
        <v>94.400727202171694</v>
      </c>
      <c r="AJ2520">
        <v>113.184730189725</v>
      </c>
      <c r="AK2520">
        <v>14.468539559606</v>
      </c>
      <c r="AL2520">
        <v>91.155289009266298</v>
      </c>
      <c r="AM2520">
        <v>96.427227021329401</v>
      </c>
      <c r="AN2520">
        <v>0.99999996377048495</v>
      </c>
    </row>
    <row r="2521" spans="1:40" x14ac:dyDescent="0.3">
      <c r="A2521" t="str">
        <f>"20200111160457825"</f>
        <v>20200111160457825</v>
      </c>
      <c r="B2521" t="str">
        <f>"1578729897813538"</f>
        <v>1578729897813538</v>
      </c>
      <c r="C2521" t="s">
        <v>40</v>
      </c>
      <c r="D2521">
        <v>4.7710299999999997</v>
      </c>
      <c r="E2521">
        <v>0.38863439999999999</v>
      </c>
      <c r="F2521" t="s">
        <v>56</v>
      </c>
      <c r="G2521">
        <v>-487.49560000000002</v>
      </c>
      <c r="H2521" s="1">
        <v>5.5664949999999996E-6</v>
      </c>
      <c r="I2521">
        <v>228.28880000000001</v>
      </c>
      <c r="J2521">
        <v>-493.26420000000002</v>
      </c>
      <c r="K2521">
        <v>1.1101700000000001</v>
      </c>
      <c r="L2521">
        <v>241.5847</v>
      </c>
      <c r="M2521">
        <v>3.6847339999999998E-3</v>
      </c>
      <c r="N2521">
        <v>0</v>
      </c>
      <c r="O2521">
        <v>-0.99996350000000001</v>
      </c>
      <c r="P2521">
        <v>0.11573700000000001</v>
      </c>
      <c r="Q2521">
        <v>-2.8624839999999999E-2</v>
      </c>
      <c r="R2521">
        <v>-0.99286779999999997</v>
      </c>
      <c r="S2521">
        <v>1.231476</v>
      </c>
      <c r="T2521">
        <v>-0.2369609</v>
      </c>
      <c r="U2521">
        <v>-2.8718720000000002</v>
      </c>
      <c r="V2521">
        <v>-0.1120628</v>
      </c>
      <c r="W2521">
        <v>-2.0999319999999998E-2</v>
      </c>
      <c r="X2521">
        <v>0.99347920000000001</v>
      </c>
      <c r="Y2521">
        <v>-0.3895825</v>
      </c>
      <c r="Z2521">
        <v>7.5672080000000003E-2</v>
      </c>
      <c r="AA2521">
        <v>0.91787759999999996</v>
      </c>
      <c r="AB2521">
        <v>20</v>
      </c>
      <c r="AC2521">
        <v>5.7685999999999904</v>
      </c>
      <c r="AD2521">
        <v>-1.110164433505</v>
      </c>
      <c r="AE2521">
        <v>-13.2958999999999</v>
      </c>
      <c r="AF2521">
        <v>-5.6862050311023404</v>
      </c>
      <c r="AG2521">
        <v>-1.110164433505</v>
      </c>
      <c r="AH2521">
        <v>13.2393870747241</v>
      </c>
      <c r="AI2521">
        <v>94.405793571204896</v>
      </c>
      <c r="AJ2521">
        <v>113.243114767712</v>
      </c>
      <c r="AK2521">
        <v>14.451531504983301</v>
      </c>
      <c r="AL2521">
        <v>91.203260875654294</v>
      </c>
      <c r="AM2521">
        <v>96.435665894769002</v>
      </c>
      <c r="AN2521">
        <v>0.99999998170847004</v>
      </c>
    </row>
    <row r="2522" spans="1:40" x14ac:dyDescent="0.3">
      <c r="A2522" t="str">
        <f>"20200111160457837"</f>
        <v>20200111160457837</v>
      </c>
      <c r="B2522" t="str">
        <f>"1578729897833058"</f>
        <v>1578729897833058</v>
      </c>
      <c r="C2522" t="s">
        <v>40</v>
      </c>
      <c r="D2522">
        <v>4.7327949999999896</v>
      </c>
      <c r="E2522">
        <v>0.38839259999999998</v>
      </c>
      <c r="F2522" t="s">
        <v>56</v>
      </c>
      <c r="G2522">
        <v>-487.55259999999998</v>
      </c>
      <c r="H2522" s="1">
        <v>5.5836040000000003E-6</v>
      </c>
      <c r="I2522">
        <v>228.29509999999999</v>
      </c>
      <c r="J2522">
        <v>-493.26339999999999</v>
      </c>
      <c r="K2522">
        <v>1.110152</v>
      </c>
      <c r="L2522">
        <v>241.46969999999999</v>
      </c>
      <c r="M2522">
        <v>4.0115519999999998E-3</v>
      </c>
      <c r="N2522">
        <v>0</v>
      </c>
      <c r="O2522">
        <v>-0.99996260000000003</v>
      </c>
      <c r="P2522">
        <v>0.11648650000000001</v>
      </c>
      <c r="Q2522">
        <v>-2.8788950000000001E-2</v>
      </c>
      <c r="R2522">
        <v>-0.99277530000000003</v>
      </c>
      <c r="S2522">
        <v>1.2338260000000001</v>
      </c>
      <c r="T2522">
        <v>-0.23981769999999999</v>
      </c>
      <c r="U2522">
        <v>-2.8708040000000001</v>
      </c>
      <c r="V2522">
        <v>-0.1124882</v>
      </c>
      <c r="W2522">
        <v>-2.1214739999999999E-2</v>
      </c>
      <c r="X2522">
        <v>0.99342660000000005</v>
      </c>
      <c r="Y2522">
        <v>-0.39001219999999998</v>
      </c>
      <c r="Z2522">
        <v>7.6585459999999994E-2</v>
      </c>
      <c r="AA2522">
        <v>0.91761930000000003</v>
      </c>
      <c r="AB2522">
        <v>21</v>
      </c>
      <c r="AC2522">
        <v>5.7107999999999999</v>
      </c>
      <c r="AD2522">
        <v>-1.110146416396</v>
      </c>
      <c r="AE2522">
        <v>-13.1745999999999</v>
      </c>
      <c r="AF2522">
        <v>-5.6242837210611096</v>
      </c>
      <c r="AG2522">
        <v>-1.110146416396</v>
      </c>
      <c r="AH2522">
        <v>13.1189873576841</v>
      </c>
      <c r="AI2522">
        <v>94.447243662960901</v>
      </c>
      <c r="AJ2522">
        <v>113.205455087727</v>
      </c>
      <c r="AK2522">
        <v>14.3168719255256</v>
      </c>
      <c r="AL2522">
        <v>91.215606218271404</v>
      </c>
      <c r="AM2522">
        <v>96.460229257773904</v>
      </c>
      <c r="AN2522">
        <v>1.00000003496003</v>
      </c>
    </row>
    <row r="2523" spans="1:40" x14ac:dyDescent="0.3">
      <c r="A2523" t="str">
        <f>"20200111160457850"</f>
        <v>20200111160457850</v>
      </c>
      <c r="B2523" t="str">
        <f>"1578729897843328"</f>
        <v>1578729897843328</v>
      </c>
      <c r="C2523" t="s">
        <v>40</v>
      </c>
      <c r="D2523">
        <v>4.811661</v>
      </c>
      <c r="E2523">
        <v>0.38814110000000002</v>
      </c>
      <c r="F2523" t="s">
        <v>56</v>
      </c>
      <c r="G2523">
        <v>-487.53140000000002</v>
      </c>
      <c r="H2523" s="1">
        <v>5.5431429999999996E-6</v>
      </c>
      <c r="I2523">
        <v>228.18270000000001</v>
      </c>
      <c r="J2523">
        <v>-493.26260000000002</v>
      </c>
      <c r="K2523">
        <v>1.1101350000000001</v>
      </c>
      <c r="L2523">
        <v>241.35489999999999</v>
      </c>
      <c r="M2523">
        <v>4.3297910000000004E-3</v>
      </c>
      <c r="N2523">
        <v>0</v>
      </c>
      <c r="O2523">
        <v>-0.99996160000000001</v>
      </c>
      <c r="P2523">
        <v>0.1172475</v>
      </c>
      <c r="Q2523">
        <v>-2.874173E-2</v>
      </c>
      <c r="R2523">
        <v>-0.99268699999999999</v>
      </c>
      <c r="S2523">
        <v>1.237946</v>
      </c>
      <c r="T2523">
        <v>-0.23975920000000001</v>
      </c>
      <c r="U2523">
        <v>-2.8695979999999999</v>
      </c>
      <c r="V2523">
        <v>-0.1129344</v>
      </c>
      <c r="W2523">
        <v>-2.121609E-2</v>
      </c>
      <c r="X2523">
        <v>0.99337589999999998</v>
      </c>
      <c r="Y2523">
        <v>-0.39097110000000002</v>
      </c>
      <c r="Z2523">
        <v>7.6559199999999994E-2</v>
      </c>
      <c r="AA2523">
        <v>0.91721330000000001</v>
      </c>
      <c r="AB2523">
        <v>21</v>
      </c>
      <c r="AC2523">
        <v>5.7312000000000003</v>
      </c>
      <c r="AD2523">
        <v>-1.1101294568569999</v>
      </c>
      <c r="AE2523">
        <v>-13.172199999999901</v>
      </c>
      <c r="AF2523">
        <v>-5.6404259128065499</v>
      </c>
      <c r="AG2523">
        <v>-1.1101294568569999</v>
      </c>
      <c r="AH2523">
        <v>13.1185453730779</v>
      </c>
      <c r="AI2523">
        <v>94.4453266271627</v>
      </c>
      <c r="AJ2523">
        <v>113.265682648924</v>
      </c>
      <c r="AK2523">
        <v>14.3228148279011</v>
      </c>
      <c r="AL2523">
        <v>91.215683639722997</v>
      </c>
      <c r="AM2523">
        <v>96.485964933362396</v>
      </c>
      <c r="AN2523">
        <v>0.99999998993952899</v>
      </c>
    </row>
    <row r="2524" spans="1:40" x14ac:dyDescent="0.3">
      <c r="A2524" t="str">
        <f>"20200111160457862"</f>
        <v>20200111160457862</v>
      </c>
      <c r="B2524" t="str">
        <f>"1578729897853086"</f>
        <v>1578729897853086</v>
      </c>
      <c r="C2524" t="s">
        <v>40</v>
      </c>
      <c r="D2524">
        <v>4.7026500000000002</v>
      </c>
      <c r="E2524">
        <v>0.38797209999999899</v>
      </c>
      <c r="F2524" t="s">
        <v>56</v>
      </c>
      <c r="G2524">
        <v>-487.52199999999999</v>
      </c>
      <c r="H2524" s="1">
        <v>5.5159589999999997E-6</v>
      </c>
      <c r="I2524">
        <v>228.10300000000001</v>
      </c>
      <c r="J2524">
        <v>-493.26170000000002</v>
      </c>
      <c r="K2524">
        <v>1.1101179999999999</v>
      </c>
      <c r="L2524">
        <v>241.2328</v>
      </c>
      <c r="M2524">
        <v>4.6599149999999997E-3</v>
      </c>
      <c r="N2524">
        <v>0</v>
      </c>
      <c r="O2524">
        <v>-0.99996059999999998</v>
      </c>
      <c r="P2524">
        <v>0.118108</v>
      </c>
      <c r="Q2524">
        <v>-2.8567809999999999E-2</v>
      </c>
      <c r="R2524">
        <v>-0.99259010000000003</v>
      </c>
      <c r="S2524">
        <v>1.2425539999999999</v>
      </c>
      <c r="T2524">
        <v>-0.24028969999999999</v>
      </c>
      <c r="U2524">
        <v>-2.8683930000000002</v>
      </c>
      <c r="V2524">
        <v>-0.1134681</v>
      </c>
      <c r="W2524">
        <v>-2.1091160000000001E-2</v>
      </c>
      <c r="X2524">
        <v>0.99331780000000003</v>
      </c>
      <c r="Y2524">
        <v>-0.392044</v>
      </c>
      <c r="Z2524">
        <v>7.6715240000000004E-2</v>
      </c>
      <c r="AA2524">
        <v>0.91674219999999895</v>
      </c>
      <c r="AB2524">
        <v>21</v>
      </c>
      <c r="AC2524">
        <v>5.7397000000000196</v>
      </c>
      <c r="AD2524">
        <v>-1.1101124840409999</v>
      </c>
      <c r="AE2524">
        <v>-13.129799999999999</v>
      </c>
      <c r="AF2524">
        <v>-5.6445755201091599</v>
      </c>
      <c r="AG2524">
        <v>-1.1101124840409999</v>
      </c>
      <c r="AH2524">
        <v>13.077915887707601</v>
      </c>
      <c r="AI2524">
        <v>94.456346819116703</v>
      </c>
      <c r="AJ2524">
        <v>113.34557076155301</v>
      </c>
      <c r="AK2524">
        <v>14.2872483878245</v>
      </c>
      <c r="AL2524">
        <v>91.208524004150803</v>
      </c>
      <c r="AM2524">
        <v>96.516730847142199</v>
      </c>
      <c r="AN2524">
        <v>1.00000004927229</v>
      </c>
    </row>
    <row r="2525" spans="1:40" x14ac:dyDescent="0.3">
      <c r="A2525" t="str">
        <f>"20200111160457882"</f>
        <v>20200111160457882</v>
      </c>
      <c r="B2525" t="str">
        <f>"1578729897873581"</f>
        <v>1578729897873581</v>
      </c>
      <c r="C2525" t="s">
        <v>40</v>
      </c>
      <c r="D2525">
        <v>4.8833729999999997</v>
      </c>
      <c r="E2525">
        <v>0.38748139999999998</v>
      </c>
      <c r="F2525" t="s">
        <v>56</v>
      </c>
      <c r="G2525">
        <v>-487.4667</v>
      </c>
      <c r="H2525" s="1">
        <v>5.4382989999999999E-6</v>
      </c>
      <c r="I2525">
        <v>227.8999</v>
      </c>
      <c r="J2525">
        <v>-493.26029999999997</v>
      </c>
      <c r="K2525">
        <v>1.1101080000000001</v>
      </c>
      <c r="L2525">
        <v>241.0583</v>
      </c>
      <c r="M2525">
        <v>5.1164599999999998E-3</v>
      </c>
      <c r="N2525">
        <v>0</v>
      </c>
      <c r="O2525">
        <v>-0.99995869999999998</v>
      </c>
      <c r="P2525">
        <v>0.11955349999999999</v>
      </c>
      <c r="Q2525">
        <v>-2.8224550000000001E-2</v>
      </c>
      <c r="R2525">
        <v>-0.99242669999999999</v>
      </c>
      <c r="S2525">
        <v>1.246216</v>
      </c>
      <c r="T2525">
        <v>-0.2387311</v>
      </c>
      <c r="U2525">
        <v>-2.867264</v>
      </c>
      <c r="V2525">
        <v>-0.11446099999999999</v>
      </c>
      <c r="W2525">
        <v>-2.0811719999999999E-2</v>
      </c>
      <c r="X2525">
        <v>0.99320969999999997</v>
      </c>
      <c r="Y2525">
        <v>-0.3927563</v>
      </c>
      <c r="Z2525">
        <v>7.6217409999999999E-2</v>
      </c>
      <c r="AA2525">
        <v>0.91647880000000004</v>
      </c>
      <c r="AB2525">
        <v>21</v>
      </c>
      <c r="AC2525">
        <v>5.7935999999999597</v>
      </c>
      <c r="AD2525">
        <v>-1.1101025617010001</v>
      </c>
      <c r="AE2525">
        <v>-13.1584</v>
      </c>
      <c r="AF2525">
        <v>-5.6922625792075401</v>
      </c>
      <c r="AG2525">
        <v>-1.1101025617010001</v>
      </c>
      <c r="AH2525">
        <v>13.109715826924701</v>
      </c>
      <c r="AI2525">
        <v>94.441361035768196</v>
      </c>
      <c r="AJ2525">
        <v>113.47057380746701</v>
      </c>
      <c r="AK2525">
        <v>14.335230379413501</v>
      </c>
      <c r="AL2525">
        <v>91.192509841821206</v>
      </c>
      <c r="AM2525">
        <v>96.573967601346297</v>
      </c>
      <c r="AN2525">
        <v>0.99999997819222397</v>
      </c>
    </row>
    <row r="2526" spans="1:40" x14ac:dyDescent="0.3">
      <c r="A2526" t="str">
        <f>"20200111160457897"</f>
        <v>20200111160457897</v>
      </c>
      <c r="B2526" t="str">
        <f>"1578729897893103"</f>
        <v>1578729897893103</v>
      </c>
      <c r="C2526" t="s">
        <v>40</v>
      </c>
      <c r="D2526">
        <v>4.761482</v>
      </c>
      <c r="E2526">
        <v>0.3872274</v>
      </c>
      <c r="F2526" t="s">
        <v>56</v>
      </c>
      <c r="G2526">
        <v>-487.35079999999999</v>
      </c>
      <c r="H2526" s="1">
        <v>5.3028780000000003E-6</v>
      </c>
      <c r="I2526">
        <v>227.56219999999999</v>
      </c>
      <c r="J2526">
        <v>-493.25920000000002</v>
      </c>
      <c r="K2526">
        <v>1.110098</v>
      </c>
      <c r="L2526">
        <v>240.9248</v>
      </c>
      <c r="M2526">
        <v>5.4598470000000003E-3</v>
      </c>
      <c r="N2526">
        <v>0</v>
      </c>
      <c r="O2526">
        <v>-0.99995699999999998</v>
      </c>
      <c r="P2526">
        <v>0.12072330000000001</v>
      </c>
      <c r="Q2526">
        <v>-2.777458E-2</v>
      </c>
      <c r="R2526">
        <v>-0.99229750000000005</v>
      </c>
      <c r="S2526">
        <v>1.2545170000000001</v>
      </c>
      <c r="T2526">
        <v>-0.23566219999999999</v>
      </c>
      <c r="U2526">
        <v>-2.8650509999999998</v>
      </c>
      <c r="V2526">
        <v>-0.1152912</v>
      </c>
      <c r="W2526">
        <v>-2.04066E-2</v>
      </c>
      <c r="X2526">
        <v>0.99312210000000001</v>
      </c>
      <c r="Y2526">
        <v>-0.39495910000000001</v>
      </c>
      <c r="Z2526">
        <v>7.521796E-2</v>
      </c>
      <c r="AA2526">
        <v>0.91561429999999999</v>
      </c>
      <c r="AB2526">
        <v>21</v>
      </c>
      <c r="AC2526">
        <v>5.9084000000000199</v>
      </c>
      <c r="AD2526">
        <v>-1.110092697122</v>
      </c>
      <c r="AE2526">
        <v>-13.3626</v>
      </c>
      <c r="AF2526">
        <v>-5.8018592595434102</v>
      </c>
      <c r="AG2526">
        <v>-1.110092697122</v>
      </c>
      <c r="AH2526">
        <v>13.3177800428297</v>
      </c>
      <c r="AI2526">
        <v>94.369903549464894</v>
      </c>
      <c r="AJ2526">
        <v>113.540234864426</v>
      </c>
      <c r="AK2526">
        <v>14.569047392775801</v>
      </c>
      <c r="AL2526">
        <v>91.169293221008601</v>
      </c>
      <c r="AM2526">
        <v>96.621806383569904</v>
      </c>
      <c r="AN2526">
        <v>0.99999999781470505</v>
      </c>
    </row>
    <row r="2527" spans="1:40" x14ac:dyDescent="0.3">
      <c r="A2527" t="str">
        <f>"20200111160457915"</f>
        <v>20200111160457915</v>
      </c>
      <c r="B2527" t="str">
        <f>"1578729897913598"</f>
        <v>1578729897913598</v>
      </c>
      <c r="C2527" t="s">
        <v>40</v>
      </c>
      <c r="D2527">
        <v>4.8309139999999999</v>
      </c>
      <c r="E2527">
        <v>0.3868781</v>
      </c>
      <c r="F2527" t="s">
        <v>56</v>
      </c>
      <c r="G2527">
        <v>-487.26639999999998</v>
      </c>
      <c r="H2527" s="1">
        <v>5.2004180000000003E-6</v>
      </c>
      <c r="I2527">
        <v>227.304</v>
      </c>
      <c r="J2527">
        <v>-493.2577</v>
      </c>
      <c r="K2527">
        <v>1.110088</v>
      </c>
      <c r="L2527">
        <v>240.74529999999999</v>
      </c>
      <c r="M2527">
        <v>5.9221899999999999E-3</v>
      </c>
      <c r="N2527">
        <v>0</v>
      </c>
      <c r="O2527">
        <v>-0.99995489999999998</v>
      </c>
      <c r="P2527">
        <v>0.1225229</v>
      </c>
      <c r="Q2527">
        <v>-2.7930110000000001E-2</v>
      </c>
      <c r="R2527">
        <v>-0.99207259999999997</v>
      </c>
      <c r="S2527">
        <v>1.259857</v>
      </c>
      <c r="T2527">
        <v>-0.2333732</v>
      </c>
      <c r="U2527">
        <v>-2.86348</v>
      </c>
      <c r="V2527">
        <v>-0.1166326</v>
      </c>
      <c r="W2527">
        <v>-2.0619220000000001E-2</v>
      </c>
      <c r="X2527">
        <v>0.99296099999999998</v>
      </c>
      <c r="Y2527">
        <v>-0.396173</v>
      </c>
      <c r="Z2527">
        <v>7.448188E-2</v>
      </c>
      <c r="AA2527">
        <v>0.91514989999999996</v>
      </c>
      <c r="AB2527">
        <v>21</v>
      </c>
      <c r="AC2527">
        <v>5.9913000000000203</v>
      </c>
      <c r="AD2527">
        <v>-1.110082799582</v>
      </c>
      <c r="AE2527">
        <v>-13.441299999999901</v>
      </c>
      <c r="AF2527">
        <v>-5.87814326047606</v>
      </c>
      <c r="AG2527">
        <v>-1.110082799582</v>
      </c>
      <c r="AH2527">
        <v>13.4002971136134</v>
      </c>
      <c r="AI2527">
        <v>94.338282063669794</v>
      </c>
      <c r="AJ2527">
        <v>113.685027971812</v>
      </c>
      <c r="AK2527">
        <v>14.674904249967801</v>
      </c>
      <c r="AL2527">
        <v>91.181478091802802</v>
      </c>
      <c r="AM2527">
        <v>96.699231117257199</v>
      </c>
      <c r="AN2527">
        <v>0.99999993156858102</v>
      </c>
    </row>
    <row r="2528" spans="1:40" x14ac:dyDescent="0.3">
      <c r="A2528" t="str">
        <f>"20200111160457932"</f>
        <v>20200111160457932</v>
      </c>
      <c r="B2528" t="str">
        <f>"1578729897923358"</f>
        <v>1578729897923358</v>
      </c>
      <c r="C2528" t="s">
        <v>40</v>
      </c>
      <c r="D2528">
        <v>4.6999740000000001</v>
      </c>
      <c r="E2528">
        <v>0.38679770000000002</v>
      </c>
      <c r="F2528" t="s">
        <v>56</v>
      </c>
      <c r="G2528">
        <v>-487.2534</v>
      </c>
      <c r="H2528" s="1">
        <v>5.1627450000000003E-6</v>
      </c>
      <c r="I2528">
        <v>227.1935</v>
      </c>
      <c r="J2528">
        <v>-493.25639999999999</v>
      </c>
      <c r="K2528">
        <v>1.1100859999999999</v>
      </c>
      <c r="L2528">
        <v>240.59350000000001</v>
      </c>
      <c r="M2528">
        <v>6.3204510000000004E-3</v>
      </c>
      <c r="N2528">
        <v>0</v>
      </c>
      <c r="O2528">
        <v>-0.99995270000000003</v>
      </c>
      <c r="P2528">
        <v>0.1234055</v>
      </c>
      <c r="Q2528">
        <v>-2.819692E-2</v>
      </c>
      <c r="R2528">
        <v>-0.99195560000000005</v>
      </c>
      <c r="S2528">
        <v>1.267517</v>
      </c>
      <c r="T2528">
        <v>-0.23434140000000001</v>
      </c>
      <c r="U2528">
        <v>-2.8608090000000002</v>
      </c>
      <c r="V2528">
        <v>-0.11712</v>
      </c>
      <c r="W2528">
        <v>-2.0930000000000001E-2</v>
      </c>
      <c r="X2528">
        <v>0.99289720000000004</v>
      </c>
      <c r="Y2528">
        <v>-0.39816259999999998</v>
      </c>
      <c r="Z2528">
        <v>7.4780200000000005E-2</v>
      </c>
      <c r="AA2528">
        <v>0.91426169999999995</v>
      </c>
      <c r="AB2528">
        <v>21</v>
      </c>
      <c r="AC2528">
        <v>6.0029999999999797</v>
      </c>
      <c r="AD2528">
        <v>-1.110080837255</v>
      </c>
      <c r="AE2528">
        <v>-13.4</v>
      </c>
      <c r="AF2528">
        <v>-5.8845494829494598</v>
      </c>
      <c r="AG2528">
        <v>-1.110080837255</v>
      </c>
      <c r="AH2528">
        <v>13.3613059817896</v>
      </c>
      <c r="AI2528">
        <v>94.348077507629</v>
      </c>
      <c r="AJ2528">
        <v>113.769519900424</v>
      </c>
      <c r="AK2528">
        <v>14.6418816967468</v>
      </c>
      <c r="AL2528">
        <v>91.199288231654506</v>
      </c>
      <c r="AM2528">
        <v>96.727399016835903</v>
      </c>
      <c r="AN2528">
        <v>1.0000000045339199</v>
      </c>
    </row>
    <row r="2529" spans="1:40" x14ac:dyDescent="0.3">
      <c r="A2529" t="str">
        <f>"20200111160457950"</f>
        <v>20200111160457950</v>
      </c>
      <c r="B2529" t="str">
        <f>"1578729897943386"</f>
        <v>1578729897943386</v>
      </c>
      <c r="C2529" t="s">
        <v>40</v>
      </c>
      <c r="D2529">
        <v>4.5478139999999998</v>
      </c>
      <c r="E2529">
        <v>0.38672519999999999</v>
      </c>
      <c r="F2529" t="s">
        <v>56</v>
      </c>
      <c r="G2529">
        <v>-487.21089999999998</v>
      </c>
      <c r="H2529" s="1">
        <v>5.0875489999999999E-6</v>
      </c>
      <c r="I2529">
        <v>226.98740000000001</v>
      </c>
      <c r="J2529">
        <v>-493.25479999999999</v>
      </c>
      <c r="K2529">
        <v>1.110085</v>
      </c>
      <c r="L2529">
        <v>240.42609999999999</v>
      </c>
      <c r="M2529">
        <v>6.7763429999999998E-3</v>
      </c>
      <c r="N2529">
        <v>0</v>
      </c>
      <c r="O2529">
        <v>-0.99995020000000001</v>
      </c>
      <c r="P2529">
        <v>0.1248826</v>
      </c>
      <c r="Q2529">
        <v>-2.9561170000000001E-2</v>
      </c>
      <c r="R2529">
        <v>-0.99173129999999998</v>
      </c>
      <c r="S2529">
        <v>1.270599</v>
      </c>
      <c r="T2529">
        <v>-0.2333083</v>
      </c>
      <c r="U2529">
        <v>-2.8596339999999998</v>
      </c>
      <c r="V2529">
        <v>-0.1181437</v>
      </c>
      <c r="W2529">
        <v>-2.233953E-2</v>
      </c>
      <c r="X2529">
        <v>0.99274519999999999</v>
      </c>
      <c r="Y2529">
        <v>-0.39871689999999999</v>
      </c>
      <c r="Z2529">
        <v>7.4455190000000004E-2</v>
      </c>
      <c r="AA2529">
        <v>0.91404660000000004</v>
      </c>
      <c r="AB2529">
        <v>21</v>
      </c>
      <c r="AC2529">
        <v>6.0438999999999998</v>
      </c>
      <c r="AD2529">
        <v>-1.1100799124509999</v>
      </c>
      <c r="AE2529">
        <v>-13.4386999999999</v>
      </c>
      <c r="AF2529">
        <v>-5.9191004791227</v>
      </c>
      <c r="AG2529">
        <v>-1.1100799124509999</v>
      </c>
      <c r="AH2529">
        <v>13.4032795547846</v>
      </c>
      <c r="AI2529">
        <v>94.332599066295202</v>
      </c>
      <c r="AJ2529">
        <v>113.827012338324</v>
      </c>
      <c r="AK2529">
        <v>14.6940780832853</v>
      </c>
      <c r="AL2529">
        <v>91.280067257771506</v>
      </c>
      <c r="AM2529">
        <v>96.786683882340199</v>
      </c>
      <c r="AN2529">
        <v>1.00000001028667</v>
      </c>
    </row>
    <row r="2530" spans="1:40" x14ac:dyDescent="0.3">
      <c r="A2530" t="str">
        <f>"20200111160458164"</f>
        <v>20200111160458164</v>
      </c>
      <c r="B2530" t="str">
        <f>"1578729898163991"</f>
        <v>1578729898163991</v>
      </c>
      <c r="C2530" t="s">
        <v>40</v>
      </c>
      <c r="D2530">
        <v>4.3693109999999997</v>
      </c>
      <c r="E2530">
        <v>0.38672519999999999</v>
      </c>
      <c r="F2530" t="s">
        <v>56</v>
      </c>
      <c r="G2530">
        <v>-487.25479999999999</v>
      </c>
      <c r="H2530" s="1">
        <v>5.097058E-6</v>
      </c>
      <c r="I2530">
        <v>226.9804</v>
      </c>
      <c r="J2530">
        <v>-493.21899999999999</v>
      </c>
      <c r="K2530">
        <v>1.1112</v>
      </c>
      <c r="L2530">
        <v>238.35589999999999</v>
      </c>
      <c r="M2530">
        <v>1.9246349999999999E-2</v>
      </c>
      <c r="N2530">
        <v>0</v>
      </c>
      <c r="O2530">
        <v>-0.99978610000000001</v>
      </c>
      <c r="P2530">
        <v>0.13682329999999901</v>
      </c>
      <c r="Q2530">
        <v>-3.6842390000000003E-2</v>
      </c>
      <c r="R2530">
        <v>-0.98991019999999996</v>
      </c>
      <c r="S2530">
        <v>1.275085</v>
      </c>
      <c r="T2530">
        <v>-0.23590700000000001</v>
      </c>
      <c r="U2530">
        <v>-2.8573909999999998</v>
      </c>
      <c r="V2530">
        <v>-0.117642899999999</v>
      </c>
      <c r="W2530">
        <v>-2.9748449999999999E-2</v>
      </c>
      <c r="X2530">
        <v>0.99261029999999995</v>
      </c>
      <c r="Y2530">
        <v>-0.38869629999999999</v>
      </c>
      <c r="Z2530">
        <v>7.5460109999999997E-2</v>
      </c>
      <c r="AA2530">
        <v>0.91827060000000005</v>
      </c>
      <c r="AB2530">
        <v>22</v>
      </c>
      <c r="AC2530">
        <v>5.9641999999999999</v>
      </c>
      <c r="AD2530">
        <v>-1.1111949029420001</v>
      </c>
      <c r="AE2530">
        <v>-11.375499999999899</v>
      </c>
      <c r="AF2530">
        <v>-5.7014790513237203</v>
      </c>
      <c r="AG2530">
        <v>-1.1111949029420001</v>
      </c>
      <c r="AH2530">
        <v>11.402840037730501</v>
      </c>
      <c r="AI2530">
        <v>94.981358053444296</v>
      </c>
      <c r="AJ2530">
        <v>116.565288472608</v>
      </c>
      <c r="AK2530">
        <v>12.797123833544701</v>
      </c>
      <c r="AL2530">
        <v>91.704712106262704</v>
      </c>
      <c r="AM2530">
        <v>96.759092385026506</v>
      </c>
      <c r="AN2530">
        <v>1.0000000149319499</v>
      </c>
    </row>
    <row r="2531" spans="1:40" x14ac:dyDescent="0.3">
      <c r="A2531" t="str">
        <f>"20200111160458182"</f>
        <v>20200111160458182</v>
      </c>
      <c r="B2531" t="str">
        <f>"1578729898173749"</f>
        <v>1578729898173749</v>
      </c>
      <c r="C2531" t="s">
        <v>40</v>
      </c>
      <c r="D2531">
        <v>4.4645320000000002</v>
      </c>
      <c r="E2531">
        <v>0.44150499999999998</v>
      </c>
      <c r="F2531" t="s">
        <v>56</v>
      </c>
      <c r="G2531">
        <v>-487.74220000000003</v>
      </c>
      <c r="H2531" s="1">
        <v>5.0673310000000004E-6</v>
      </c>
      <c r="I2531">
        <v>226.4658</v>
      </c>
      <c r="J2531">
        <v>-493.21359999999999</v>
      </c>
      <c r="K2531">
        <v>1.111356</v>
      </c>
      <c r="L2531">
        <v>238.18369999999999</v>
      </c>
      <c r="M2531">
        <v>2.1246689999999999E-2</v>
      </c>
      <c r="N2531">
        <v>0</v>
      </c>
      <c r="O2531">
        <v>-0.99974540000000001</v>
      </c>
      <c r="P2531">
        <v>0.13907410000000001</v>
      </c>
      <c r="Q2531">
        <v>-3.7768919999999997E-2</v>
      </c>
      <c r="R2531">
        <v>-0.98956189999999999</v>
      </c>
      <c r="S2531">
        <v>1.3081050000000001</v>
      </c>
      <c r="T2531">
        <v>-0.26540330000000001</v>
      </c>
      <c r="U2531">
        <v>-2.83989</v>
      </c>
      <c r="V2531">
        <v>-0.1179014</v>
      </c>
      <c r="W2531">
        <v>-3.06454E-2</v>
      </c>
      <c r="X2531">
        <v>0.99255230000000005</v>
      </c>
      <c r="Y2531">
        <v>-0.39746730000000002</v>
      </c>
      <c r="Z2531">
        <v>8.493357E-2</v>
      </c>
      <c r="AA2531">
        <v>0.91367719999999997</v>
      </c>
      <c r="AB2531">
        <v>22</v>
      </c>
      <c r="AC2531">
        <v>5.4713999999999503</v>
      </c>
      <c r="AD2531">
        <v>-1.1113509326690001</v>
      </c>
      <c r="AE2531">
        <v>-11.717899999999901</v>
      </c>
      <c r="AF2531">
        <v>-5.1829154281901904</v>
      </c>
      <c r="AG2531">
        <v>-1.1113509326690001</v>
      </c>
      <c r="AH2531">
        <v>11.744772487776901</v>
      </c>
      <c r="AI2531">
        <v>94.947784793978101</v>
      </c>
      <c r="AJ2531">
        <v>113.81165275646499</v>
      </c>
      <c r="AK2531">
        <v>12.8855498144611</v>
      </c>
      <c r="AL2531">
        <v>91.756127074566294</v>
      </c>
      <c r="AM2531">
        <v>96.774198619166597</v>
      </c>
      <c r="AN2531">
        <v>0.99999997444920397</v>
      </c>
    </row>
    <row r="2532" spans="1:40" x14ac:dyDescent="0.3">
      <c r="A2532" t="str">
        <f>"20200111160458195"</f>
        <v>20200111160458195</v>
      </c>
      <c r="B2532" t="str">
        <f>"1578729898193270"</f>
        <v>1578729898193270</v>
      </c>
      <c r="C2532" t="s">
        <v>40</v>
      </c>
      <c r="D2532">
        <v>4.7278760000000002</v>
      </c>
      <c r="E2532">
        <v>0.44291580000000003</v>
      </c>
      <c r="F2532" t="s">
        <v>56</v>
      </c>
      <c r="G2532">
        <v>-487.53809999999999</v>
      </c>
      <c r="H2532" s="1">
        <v>3.099135E-6</v>
      </c>
      <c r="I2532">
        <v>219.46469999999999</v>
      </c>
      <c r="J2532">
        <v>-493.20940000000002</v>
      </c>
      <c r="K2532">
        <v>1.1114539999999999</v>
      </c>
      <c r="L2532">
        <v>238.0634</v>
      </c>
      <c r="M2532">
        <v>2.2763849999999999E-2</v>
      </c>
      <c r="N2532">
        <v>0</v>
      </c>
      <c r="O2532">
        <v>-0.99971120000000002</v>
      </c>
      <c r="P2532">
        <v>0.14068269999999999</v>
      </c>
      <c r="Q2532">
        <v>-3.8532329999999997E-2</v>
      </c>
      <c r="R2532">
        <v>-0.98930439999999997</v>
      </c>
      <c r="S2532">
        <v>0.87969969999999997</v>
      </c>
      <c r="T2532">
        <v>-0.172257299999999</v>
      </c>
      <c r="U2532">
        <v>-2.9014129999999998</v>
      </c>
      <c r="V2532">
        <v>-0.11799900000000001</v>
      </c>
      <c r="W2532">
        <v>-3.1382140000000003E-2</v>
      </c>
      <c r="X2532">
        <v>0.99251769999999995</v>
      </c>
      <c r="Y2532">
        <v>-0.2678238</v>
      </c>
      <c r="Z2532">
        <v>5.6886180000000001E-2</v>
      </c>
      <c r="AA2532">
        <v>0.96178699999999995</v>
      </c>
      <c r="AB2532">
        <v>22</v>
      </c>
      <c r="AC2532">
        <v>5.6713000000000298</v>
      </c>
      <c r="AD2532">
        <v>-1.111450900865</v>
      </c>
      <c r="AE2532">
        <v>-18.598700000000001</v>
      </c>
      <c r="AF2532">
        <v>-5.2293533450744896</v>
      </c>
      <c r="AG2532">
        <v>-1.111450900865</v>
      </c>
      <c r="AH2532">
        <v>18.662008442487799</v>
      </c>
      <c r="AI2532">
        <v>93.282200046585999</v>
      </c>
      <c r="AJ2532">
        <v>105.653608068617</v>
      </c>
      <c r="AK2532">
        <v>19.412676750519498</v>
      </c>
      <c r="AL2532">
        <v>91.79835945005</v>
      </c>
      <c r="AM2532">
        <v>96.779988340789799</v>
      </c>
      <c r="AN2532">
        <v>0.99999999376263404</v>
      </c>
    </row>
    <row r="2533" spans="1:40" x14ac:dyDescent="0.3">
      <c r="A2533" t="str">
        <f>"20200111160458209"</f>
        <v>20200111160458209</v>
      </c>
      <c r="B2533" t="str">
        <f>"1578729898204006"</f>
        <v>1578729898204006</v>
      </c>
      <c r="C2533" t="s">
        <v>40</v>
      </c>
      <c r="D2533">
        <v>4.3720860000000004</v>
      </c>
      <c r="E2533">
        <v>0.44315060000000001</v>
      </c>
      <c r="F2533" t="s">
        <v>56</v>
      </c>
      <c r="G2533">
        <v>-488.16820000000001</v>
      </c>
      <c r="H2533" s="1">
        <v>3.6687909999999999E-6</v>
      </c>
      <c r="I2533">
        <v>221.32919999999999</v>
      </c>
      <c r="J2533">
        <v>-493.2045</v>
      </c>
      <c r="K2533">
        <v>1.111572</v>
      </c>
      <c r="L2533">
        <v>237.92769999999999</v>
      </c>
      <c r="M2533">
        <v>2.453961E-2</v>
      </c>
      <c r="N2533">
        <v>0</v>
      </c>
      <c r="O2533">
        <v>-0.99966869999999997</v>
      </c>
      <c r="P2533">
        <v>0.14200979999999999</v>
      </c>
      <c r="Q2533">
        <v>-4.0348809999999999E-2</v>
      </c>
      <c r="R2533">
        <v>-0.98904270000000005</v>
      </c>
      <c r="S2533">
        <v>0.87384030000000001</v>
      </c>
      <c r="T2533">
        <v>-0.19265650000000001</v>
      </c>
      <c r="U2533">
        <v>-2.900665</v>
      </c>
      <c r="V2533">
        <v>-0.11755359999999999</v>
      </c>
      <c r="W2533">
        <v>-3.3156909999999998E-2</v>
      </c>
      <c r="X2533">
        <v>0.99251290000000003</v>
      </c>
      <c r="Y2533">
        <v>-0.26428180000000001</v>
      </c>
      <c r="Z2533">
        <v>6.3657409999999998E-2</v>
      </c>
      <c r="AA2533">
        <v>0.96234240000000004</v>
      </c>
      <c r="AB2533">
        <v>22</v>
      </c>
      <c r="AC2533">
        <v>5.0362999999999802</v>
      </c>
      <c r="AD2533">
        <v>-1.1115683312089999</v>
      </c>
      <c r="AE2533">
        <v>-16.598500000000001</v>
      </c>
      <c r="AF2533">
        <v>-4.6085247074114601</v>
      </c>
      <c r="AG2533">
        <v>-1.1115683312089999</v>
      </c>
      <c r="AH2533">
        <v>16.648723405562901</v>
      </c>
      <c r="AI2533">
        <v>93.6816933666355</v>
      </c>
      <c r="AJ2533">
        <v>105.47259370121</v>
      </c>
      <c r="AK2533">
        <v>17.3105192056364</v>
      </c>
      <c r="AL2533">
        <v>91.900099186664903</v>
      </c>
      <c r="AM2533">
        <v>96.754665808717206</v>
      </c>
      <c r="AN2533">
        <v>1.00000004311005</v>
      </c>
    </row>
    <row r="2534" spans="1:40" x14ac:dyDescent="0.3">
      <c r="A2534" t="str">
        <f>"20200111160458222"</f>
        <v>20200111160458222</v>
      </c>
      <c r="B2534" t="str">
        <f>"1578729898213766"</f>
        <v>1578729898213766</v>
      </c>
      <c r="C2534" t="s">
        <v>40</v>
      </c>
      <c r="D2534">
        <v>4.4175969999999998</v>
      </c>
      <c r="E2534">
        <v>0.44284220000000002</v>
      </c>
      <c r="F2534" t="s">
        <v>56</v>
      </c>
      <c r="G2534">
        <v>-488.43529999999998</v>
      </c>
      <c r="H2534" s="1">
        <v>3.9789330000000004E-6</v>
      </c>
      <c r="I2534">
        <v>222.13910000000001</v>
      </c>
      <c r="J2534">
        <v>-493.19920000000002</v>
      </c>
      <c r="K2534">
        <v>1.1116870000000001</v>
      </c>
      <c r="L2534">
        <v>237.78980000000001</v>
      </c>
      <c r="M2534">
        <v>2.643262E-2</v>
      </c>
      <c r="N2534">
        <v>0</v>
      </c>
      <c r="O2534">
        <v>-0.99961990000000001</v>
      </c>
      <c r="P2534">
        <v>0.142959</v>
      </c>
      <c r="Q2534">
        <v>-4.1973950000000003E-2</v>
      </c>
      <c r="R2534">
        <v>-0.98883829999999995</v>
      </c>
      <c r="S2534">
        <v>0.87573239999999997</v>
      </c>
      <c r="T2534">
        <v>-0.20410980000000001</v>
      </c>
      <c r="U2534">
        <v>-2.8991549999999999</v>
      </c>
      <c r="V2534">
        <v>-0.11661349999999999</v>
      </c>
      <c r="W2534">
        <v>-3.4723370000000003E-2</v>
      </c>
      <c r="X2534">
        <v>0.99257019999999996</v>
      </c>
      <c r="Y2534">
        <v>-0.26309759999999999</v>
      </c>
      <c r="Z2534">
        <v>6.7457959999999997E-2</v>
      </c>
      <c r="AA2534">
        <v>0.96240789999999998</v>
      </c>
      <c r="AB2534">
        <v>22</v>
      </c>
      <c r="AC2534">
        <v>4.7639000000000298</v>
      </c>
      <c r="AD2534">
        <v>-1.1116830210669999</v>
      </c>
      <c r="AE2534">
        <v>-15.650700000000001</v>
      </c>
      <c r="AF2534">
        <v>-4.3285463661416603</v>
      </c>
      <c r="AG2534">
        <v>-1.1116830210669999</v>
      </c>
      <c r="AH2534">
        <v>15.698667989844299</v>
      </c>
      <c r="AI2534">
        <v>93.905316677781002</v>
      </c>
      <c r="AJ2534">
        <v>105.414968577097</v>
      </c>
      <c r="AK2534">
        <v>16.3223873694545</v>
      </c>
      <c r="AL2534">
        <v>91.989902540572402</v>
      </c>
      <c r="AM2534">
        <v>96.700757258442906</v>
      </c>
      <c r="AN2534">
        <v>1.0000000113672201</v>
      </c>
    </row>
    <row r="2535" spans="1:40" x14ac:dyDescent="0.3">
      <c r="A2535" t="str">
        <f>"20200111160458239"</f>
        <v>20200111160458239</v>
      </c>
      <c r="B2535" t="str">
        <f>"1578729898233286"</f>
        <v>1578729898233286</v>
      </c>
      <c r="C2535" t="s">
        <v>40</v>
      </c>
      <c r="D2535">
        <v>4.5247650000000004</v>
      </c>
      <c r="E2535">
        <v>0.44196160000000001</v>
      </c>
      <c r="F2535" t="s">
        <v>56</v>
      </c>
      <c r="G2535">
        <v>-488.6087</v>
      </c>
      <c r="H2535" s="1">
        <v>4.1877130000000003E-6</v>
      </c>
      <c r="I2535">
        <v>222.68899999999999</v>
      </c>
      <c r="J2535">
        <v>-493.19279999999998</v>
      </c>
      <c r="K2535">
        <v>1.1118209999999999</v>
      </c>
      <c r="L2535">
        <v>237.63820000000001</v>
      </c>
      <c r="M2535">
        <v>2.8660330000000001E-2</v>
      </c>
      <c r="N2535">
        <v>0</v>
      </c>
      <c r="O2535">
        <v>-0.99955749999999999</v>
      </c>
      <c r="P2535">
        <v>0.14318339999999999</v>
      </c>
      <c r="Q2535">
        <v>-4.4234450000000002E-2</v>
      </c>
      <c r="R2535">
        <v>-0.98870729999999996</v>
      </c>
      <c r="S2535">
        <v>0.88079830000000003</v>
      </c>
      <c r="T2535">
        <v>-0.21330160000000001</v>
      </c>
      <c r="U2535">
        <v>-2.8974299999999999</v>
      </c>
      <c r="V2535">
        <v>-0.1146095</v>
      </c>
      <c r="W2535">
        <v>-3.6878309999999997E-2</v>
      </c>
      <c r="X2535">
        <v>0.99272579999999999</v>
      </c>
      <c r="Y2535">
        <v>-0.2625864</v>
      </c>
      <c r="Z2535">
        <v>7.0501510000000003E-2</v>
      </c>
      <c r="AA2535">
        <v>0.9623294</v>
      </c>
      <c r="AB2535">
        <v>22</v>
      </c>
      <c r="AC2535">
        <v>4.5840999999999701</v>
      </c>
      <c r="AD2535">
        <v>-1.111816812287</v>
      </c>
      <c r="AE2535">
        <v>-14.9491999999999</v>
      </c>
      <c r="AF2535">
        <v>-4.1328587509655899</v>
      </c>
      <c r="AG2535">
        <v>-1.111816812287</v>
      </c>
      <c r="AH2535">
        <v>14.9986126890902</v>
      </c>
      <c r="AI2535">
        <v>94.087667586925207</v>
      </c>
      <c r="AJ2535">
        <v>105.40551234629299</v>
      </c>
      <c r="AK2535">
        <v>15.5972767070683</v>
      </c>
      <c r="AL2535">
        <v>92.113450902286402</v>
      </c>
      <c r="AM2535">
        <v>96.585602163614496</v>
      </c>
      <c r="AN2535">
        <v>0.99999993061216996</v>
      </c>
    </row>
    <row r="2536" spans="1:40" x14ac:dyDescent="0.3">
      <c r="A2536" t="str">
        <f>"20200111160458251"</f>
        <v>20200111160458251</v>
      </c>
      <c r="B2536" t="str">
        <f>"1578729898243554"</f>
        <v>1578729898243554</v>
      </c>
      <c r="C2536" t="s">
        <v>40</v>
      </c>
      <c r="D2536">
        <v>4.4995279999999998</v>
      </c>
      <c r="E2536">
        <v>0.44180849999999999</v>
      </c>
      <c r="F2536" t="s">
        <v>56</v>
      </c>
      <c r="G2536">
        <v>-488.75670000000002</v>
      </c>
      <c r="H2536" s="1">
        <v>4.3734759999999999E-6</v>
      </c>
      <c r="I2536">
        <v>223.18270000000001</v>
      </c>
      <c r="J2536">
        <v>-493.18759999999997</v>
      </c>
      <c r="K2536">
        <v>1.1119289999999999</v>
      </c>
      <c r="L2536">
        <v>237.52250000000001</v>
      </c>
      <c r="M2536">
        <v>3.042864E-2</v>
      </c>
      <c r="N2536">
        <v>0</v>
      </c>
      <c r="O2536">
        <v>-0.99950430000000001</v>
      </c>
      <c r="P2536">
        <v>0.14390700000000001</v>
      </c>
      <c r="Q2536">
        <v>-4.4446640000000003E-2</v>
      </c>
      <c r="R2536">
        <v>-0.98859260000000004</v>
      </c>
      <c r="S2536">
        <v>0.88861080000000003</v>
      </c>
      <c r="T2536">
        <v>-0.22271050000000001</v>
      </c>
      <c r="U2536">
        <v>-2.8956149999999998</v>
      </c>
      <c r="V2536">
        <v>-0.1135728</v>
      </c>
      <c r="W2536">
        <v>-3.698307E-2</v>
      </c>
      <c r="X2536">
        <v>0.99284110000000003</v>
      </c>
      <c r="Y2536">
        <v>-0.2633568</v>
      </c>
      <c r="Z2536">
        <v>7.3596309999999998E-2</v>
      </c>
      <c r="AA2536">
        <v>0.96188709999999999</v>
      </c>
      <c r="AB2536">
        <v>22</v>
      </c>
      <c r="AC2536">
        <v>4.4308999999999497</v>
      </c>
      <c r="AD2536">
        <v>-1.1119246265239999</v>
      </c>
      <c r="AE2536">
        <v>-14.339799999999901</v>
      </c>
      <c r="AF2536">
        <v>-3.97069968245088</v>
      </c>
      <c r="AG2536">
        <v>-1.1119246265239999</v>
      </c>
      <c r="AH2536">
        <v>14.389014562503201</v>
      </c>
      <c r="AI2536">
        <v>94.260191036798901</v>
      </c>
      <c r="AJ2536">
        <v>105.427032135516</v>
      </c>
      <c r="AK2536">
        <v>14.968185341690999</v>
      </c>
      <c r="AL2536">
        <v>92.119457181924403</v>
      </c>
      <c r="AM2536">
        <v>96.525796989503704</v>
      </c>
      <c r="AN2536">
        <v>0.99999998910783705</v>
      </c>
    </row>
    <row r="2537" spans="1:40" x14ac:dyDescent="0.3">
      <c r="A2537" t="str">
        <f>"20200111160458278"</f>
        <v>20200111160458278</v>
      </c>
      <c r="B2537" t="str">
        <f>"1578729898273811"</f>
        <v>1578729898273811</v>
      </c>
      <c r="C2537" t="s">
        <v>40</v>
      </c>
      <c r="D2537">
        <v>4.5482769999999997</v>
      </c>
      <c r="E2537">
        <v>0.4411465</v>
      </c>
      <c r="F2537" t="s">
        <v>56</v>
      </c>
      <c r="G2537">
        <v>-488.76569999999998</v>
      </c>
      <c r="H2537" s="1">
        <v>4.3729059999999998E-6</v>
      </c>
      <c r="I2537">
        <v>223.17439999999999</v>
      </c>
      <c r="J2537">
        <v>-493.17439999999999</v>
      </c>
      <c r="K2537">
        <v>1.112198</v>
      </c>
      <c r="L2537">
        <v>237.2518</v>
      </c>
      <c r="M2537">
        <v>3.4798570000000001E-2</v>
      </c>
      <c r="N2537">
        <v>0</v>
      </c>
      <c r="O2537">
        <v>-0.99935810000000003</v>
      </c>
      <c r="P2537">
        <v>0.14609710000000001</v>
      </c>
      <c r="Q2537">
        <v>-4.3069080000000003E-2</v>
      </c>
      <c r="R2537">
        <v>-0.9883324</v>
      </c>
      <c r="S2537">
        <v>0.89208980000000004</v>
      </c>
      <c r="T2537">
        <v>-0.22432199999999999</v>
      </c>
      <c r="U2537">
        <v>-2.8946230000000002</v>
      </c>
      <c r="V2537">
        <v>-0.1114231</v>
      </c>
      <c r="W2537">
        <v>-3.5244159999999997E-2</v>
      </c>
      <c r="X2537">
        <v>0.99314789999999997</v>
      </c>
      <c r="Y2537">
        <v>-0.26027470000000003</v>
      </c>
      <c r="Z2537">
        <v>7.4152789999999996E-2</v>
      </c>
      <c r="AA2537">
        <v>0.96268299999999996</v>
      </c>
      <c r="AB2537">
        <v>22</v>
      </c>
      <c r="AC2537">
        <v>4.4086999999999996</v>
      </c>
      <c r="AD2537">
        <v>-1.112193627094</v>
      </c>
      <c r="AE2537">
        <v>-14.077400000000001</v>
      </c>
      <c r="AF2537">
        <v>-3.89400357072752</v>
      </c>
      <c r="AG2537">
        <v>-1.112193627094</v>
      </c>
      <c r="AH2537">
        <v>14.1419075385043</v>
      </c>
      <c r="AI2537">
        <v>94.336059881045202</v>
      </c>
      <c r="AJ2537">
        <v>105.395003636195</v>
      </c>
      <c r="AK2537">
        <v>14.710329272337599</v>
      </c>
      <c r="AL2537">
        <v>92.019759899410701</v>
      </c>
      <c r="AM2537">
        <v>96.401351088766205</v>
      </c>
      <c r="AN2537">
        <v>1.00000000465106</v>
      </c>
    </row>
    <row r="2538" spans="1:40" x14ac:dyDescent="0.3">
      <c r="A2538" t="str">
        <f>"20200111160458294"</f>
        <v>20200111160458294</v>
      </c>
      <c r="B2538" t="str">
        <f>"1578729898283569"</f>
        <v>1578729898283569</v>
      </c>
      <c r="C2538" t="s">
        <v>40</v>
      </c>
      <c r="D2538">
        <v>4.641451</v>
      </c>
      <c r="E2538">
        <v>0.4405192</v>
      </c>
      <c r="F2538" t="s">
        <v>56</v>
      </c>
      <c r="G2538">
        <v>-488.61959999999999</v>
      </c>
      <c r="H2538" s="1">
        <v>4.1870449999999997E-6</v>
      </c>
      <c r="I2538">
        <v>222.679</v>
      </c>
      <c r="J2538">
        <v>-493.16629999999998</v>
      </c>
      <c r="K2538">
        <v>1.1123590000000001</v>
      </c>
      <c r="L2538">
        <v>237.09909999999999</v>
      </c>
      <c r="M2538">
        <v>3.7406750000000002E-2</v>
      </c>
      <c r="N2538">
        <v>0</v>
      </c>
      <c r="O2538">
        <v>-0.99926159999999997</v>
      </c>
      <c r="P2538">
        <v>0.1463892</v>
      </c>
      <c r="Q2538">
        <v>-4.02741E-2</v>
      </c>
      <c r="R2538">
        <v>-0.98840680000000003</v>
      </c>
      <c r="S2538">
        <v>0.90396120000000002</v>
      </c>
      <c r="T2538">
        <v>-0.22072890000000001</v>
      </c>
      <c r="U2538">
        <v>-2.892166</v>
      </c>
      <c r="V2538">
        <v>-0.1091307</v>
      </c>
      <c r="W2538">
        <v>-3.2166569999999998E-2</v>
      </c>
      <c r="X2538">
        <v>0.99350680000000002</v>
      </c>
      <c r="Y2538">
        <v>-0.2616153</v>
      </c>
      <c r="Z2538">
        <v>7.2963459999999994E-2</v>
      </c>
      <c r="AA2538">
        <v>0.9624104</v>
      </c>
      <c r="AB2538">
        <v>22</v>
      </c>
      <c r="AC2538">
        <v>4.54669999999998</v>
      </c>
      <c r="AD2538">
        <v>-1.112354812955</v>
      </c>
      <c r="AE2538">
        <v>-14.4200999999999</v>
      </c>
      <c r="AF2538">
        <v>-3.9825328090430698</v>
      </c>
      <c r="AG2538">
        <v>-1.112354812955</v>
      </c>
      <c r="AH2538">
        <v>14.501602587274499</v>
      </c>
      <c r="AI2538">
        <v>94.230295985643195</v>
      </c>
      <c r="AJ2538">
        <v>105.356384994716</v>
      </c>
      <c r="AK2538">
        <v>15.0796014007087</v>
      </c>
      <c r="AL2538">
        <v>91.843326711009098</v>
      </c>
      <c r="AM2538">
        <v>96.268463584372498</v>
      </c>
      <c r="AN2538">
        <v>0.99999997977714705</v>
      </c>
    </row>
    <row r="2539" spans="1:40" x14ac:dyDescent="0.3">
      <c r="A2539" t="str">
        <f>"20200111160458317"</f>
        <v>20200111160458317</v>
      </c>
      <c r="B2539" t="str">
        <f>"1578729898313826"</f>
        <v>1578729898313826</v>
      </c>
      <c r="C2539" t="s">
        <v>40</v>
      </c>
      <c r="D2539">
        <v>4.6262160000000003</v>
      </c>
      <c r="E2539">
        <v>0.43911099999999997</v>
      </c>
      <c r="F2539" t="s">
        <v>56</v>
      </c>
      <c r="G2539">
        <v>-488.37729999999999</v>
      </c>
      <c r="H2539" s="1">
        <v>3.8833809999999996E-6</v>
      </c>
      <c r="I2539">
        <v>221.87219999999999</v>
      </c>
      <c r="J2539">
        <v>-493.15379999999999</v>
      </c>
      <c r="K2539">
        <v>1.1125700000000001</v>
      </c>
      <c r="L2539">
        <v>236.88200000000001</v>
      </c>
      <c r="M2539">
        <v>4.1275630000000001E-2</v>
      </c>
      <c r="N2539">
        <v>0</v>
      </c>
      <c r="O2539">
        <v>-0.99910489999999996</v>
      </c>
      <c r="P2539">
        <v>0.14819299999999999</v>
      </c>
      <c r="Q2539">
        <v>-3.6846650000000002E-2</v>
      </c>
      <c r="R2539">
        <v>-0.98827200000000004</v>
      </c>
      <c r="S2539">
        <v>0.90951539999999997</v>
      </c>
      <c r="T2539">
        <v>-0.21125659999999999</v>
      </c>
      <c r="U2539">
        <v>-2.8918759999999999</v>
      </c>
      <c r="V2539">
        <v>-0.1071064</v>
      </c>
      <c r="W2539">
        <v>-2.8290559999999999E-2</v>
      </c>
      <c r="X2539">
        <v>0.99384499999999998</v>
      </c>
      <c r="Y2539">
        <v>-0.25965569999999999</v>
      </c>
      <c r="Z2539">
        <v>6.9838339999999999E-2</v>
      </c>
      <c r="AA2539">
        <v>0.96317260000000005</v>
      </c>
      <c r="AB2539">
        <v>22</v>
      </c>
      <c r="AC2539">
        <v>4.7764999999999898</v>
      </c>
      <c r="AD2539">
        <v>-1.112566116619</v>
      </c>
      <c r="AE2539">
        <v>-15.0098</v>
      </c>
      <c r="AF2539">
        <v>-4.1322480273859599</v>
      </c>
      <c r="AG2539">
        <v>-1.112566116619</v>
      </c>
      <c r="AH2539">
        <v>15.1187423863832</v>
      </c>
      <c r="AI2539">
        <v>94.060323023474297</v>
      </c>
      <c r="AJ2539">
        <v>105.286700164922</v>
      </c>
      <c r="AK2539">
        <v>15.7127225034207</v>
      </c>
      <c r="AL2539">
        <v>91.621145969239507</v>
      </c>
      <c r="AM2539">
        <v>96.151010321323795</v>
      </c>
      <c r="AN2539">
        <v>1.00000001036553</v>
      </c>
    </row>
    <row r="2540" spans="1:40" x14ac:dyDescent="0.3">
      <c r="A2540" t="str">
        <f>"20200111160458330"</f>
        <v>20200111160458330</v>
      </c>
      <c r="B2540" t="str">
        <f>"1578729898323585"</f>
        <v>1578729898323585</v>
      </c>
      <c r="C2540" t="s">
        <v>40</v>
      </c>
      <c r="D2540">
        <v>4.5982620000000001</v>
      </c>
      <c r="E2540">
        <v>0.43883309999999998</v>
      </c>
      <c r="F2540" t="s">
        <v>56</v>
      </c>
      <c r="G2540">
        <v>-487.96890000000002</v>
      </c>
      <c r="H2540" s="1">
        <v>3.4314100000000002E-6</v>
      </c>
      <c r="I2540">
        <v>220.7055</v>
      </c>
      <c r="J2540">
        <v>-493.14580000000001</v>
      </c>
      <c r="K2540">
        <v>1.1126879999999999</v>
      </c>
      <c r="L2540">
        <v>236.75049999999999</v>
      </c>
      <c r="M2540">
        <v>4.3712939999999999E-2</v>
      </c>
      <c r="N2540">
        <v>0</v>
      </c>
      <c r="O2540">
        <v>-0.99899859999999896</v>
      </c>
      <c r="P2540">
        <v>0.14989549999999999</v>
      </c>
      <c r="Q2540">
        <v>-3.523279E-2</v>
      </c>
      <c r="R2540">
        <v>-0.98807400000000001</v>
      </c>
      <c r="S2540">
        <v>0.92608639999999998</v>
      </c>
      <c r="T2540">
        <v>-0.19871910000000001</v>
      </c>
      <c r="U2540">
        <v>-2.8893279999999999</v>
      </c>
      <c r="V2540">
        <v>-0.1063992</v>
      </c>
      <c r="W2540">
        <v>-2.6396349999999999E-2</v>
      </c>
      <c r="X2540">
        <v>0.99397310000000005</v>
      </c>
      <c r="Y2540">
        <v>-0.26264599999999999</v>
      </c>
      <c r="Z2540">
        <v>6.5674880000000005E-2</v>
      </c>
      <c r="AA2540">
        <v>0.96265460000000003</v>
      </c>
      <c r="AB2540">
        <v>22</v>
      </c>
      <c r="AC2540">
        <v>5.1768999999999803</v>
      </c>
      <c r="AD2540">
        <v>-1.11268456859</v>
      </c>
      <c r="AE2540">
        <v>-16.044999999999899</v>
      </c>
      <c r="AF2540">
        <v>-4.4511572997344704</v>
      </c>
      <c r="AG2540">
        <v>-1.11268456859</v>
      </c>
      <c r="AH2540">
        <v>16.185470886218599</v>
      </c>
      <c r="AI2540">
        <v>93.792302923374393</v>
      </c>
      <c r="AJ2540">
        <v>105.376754142108</v>
      </c>
      <c r="AK2540">
        <v>16.82320825719</v>
      </c>
      <c r="AL2540">
        <v>91.512575075432594</v>
      </c>
      <c r="AM2540">
        <v>96.109923269364899</v>
      </c>
      <c r="AN2540">
        <v>1.0000000402887801</v>
      </c>
    </row>
    <row r="2541" spans="1:40" x14ac:dyDescent="0.3">
      <c r="A2541" t="str">
        <f>"20200111160458342"</f>
        <v>20200111160458342</v>
      </c>
      <c r="B2541" t="str">
        <f>"1578729898333346"</f>
        <v>1578729898333346</v>
      </c>
      <c r="C2541" t="s">
        <v>40</v>
      </c>
      <c r="D2541">
        <v>4.8425929999999999</v>
      </c>
      <c r="E2541">
        <v>0.43877189999999999</v>
      </c>
      <c r="F2541" t="s">
        <v>56</v>
      </c>
      <c r="G2541">
        <v>-487.77690000000001</v>
      </c>
      <c r="H2541" s="1">
        <v>3.261797E-6</v>
      </c>
      <c r="I2541">
        <v>220.13040000000001</v>
      </c>
      <c r="J2541">
        <v>-493.13810000000001</v>
      </c>
      <c r="K2541">
        <v>1.1127910000000001</v>
      </c>
      <c r="L2541">
        <v>236.62960000000001</v>
      </c>
      <c r="M2541">
        <v>4.6008439999999998E-2</v>
      </c>
      <c r="N2541">
        <v>0</v>
      </c>
      <c r="O2541">
        <v>-0.99889300000000003</v>
      </c>
      <c r="P2541">
        <v>0.15157079999999901</v>
      </c>
      <c r="Q2541">
        <v>-3.3979160000000001E-2</v>
      </c>
      <c r="R2541">
        <v>-0.98786249999999998</v>
      </c>
      <c r="S2541">
        <v>0.9328613</v>
      </c>
      <c r="T2541">
        <v>-0.19333310000000001</v>
      </c>
      <c r="U2541">
        <v>-2.8878020000000002</v>
      </c>
      <c r="V2541">
        <v>-0.1058046</v>
      </c>
      <c r="W2541">
        <v>-2.4884940000000001E-2</v>
      </c>
      <c r="X2541">
        <v>0.9940755</v>
      </c>
      <c r="Y2541">
        <v>-0.26265870000000002</v>
      </c>
      <c r="Z2541">
        <v>6.3902099999999906E-2</v>
      </c>
      <c r="AA2541">
        <v>0.96277049999999997</v>
      </c>
      <c r="AB2541">
        <v>22</v>
      </c>
      <c r="AC2541">
        <v>5.3611999999999904</v>
      </c>
      <c r="AD2541">
        <v>-1.112787738203</v>
      </c>
      <c r="AE2541">
        <v>-16.499199999999998</v>
      </c>
      <c r="AF2541">
        <v>-4.5775494291876404</v>
      </c>
      <c r="AG2541">
        <v>-1.112787738203</v>
      </c>
      <c r="AH2541">
        <v>16.659853401109899</v>
      </c>
      <c r="AI2541">
        <v>93.685190476621699</v>
      </c>
      <c r="AJ2541">
        <v>105.363748030111</v>
      </c>
      <c r="AK2541">
        <v>17.3130866882086</v>
      </c>
      <c r="AL2541">
        <v>91.425949252570007</v>
      </c>
      <c r="AM2541">
        <v>96.075413561225901</v>
      </c>
      <c r="AN2541">
        <v>0.99999998666010603</v>
      </c>
    </row>
    <row r="2542" spans="1:40" x14ac:dyDescent="0.3">
      <c r="A2542" t="str">
        <f>"20200111160458354"</f>
        <v>20200111160458354</v>
      </c>
      <c r="B2542" t="str">
        <f>"1578729898343612"</f>
        <v>1578729898343612</v>
      </c>
      <c r="C2542" t="s">
        <v>40</v>
      </c>
      <c r="D2542">
        <v>4.7991190000000001</v>
      </c>
      <c r="E2542">
        <v>0.4388147</v>
      </c>
      <c r="F2542" t="s">
        <v>56</v>
      </c>
      <c r="G2542">
        <v>-487.50400000000002</v>
      </c>
      <c r="H2542" s="1">
        <v>3.0853489999999998E-6</v>
      </c>
      <c r="I2542">
        <v>219.2876</v>
      </c>
      <c r="J2542">
        <v>-493.13040000000001</v>
      </c>
      <c r="K2542">
        <v>1.1128830000000001</v>
      </c>
      <c r="L2542">
        <v>236.5171</v>
      </c>
      <c r="M2542">
        <v>4.8219779999999997E-2</v>
      </c>
      <c r="N2542">
        <v>0</v>
      </c>
      <c r="O2542">
        <v>-0.99878630000000002</v>
      </c>
      <c r="P2542">
        <v>0.153395899999999</v>
      </c>
      <c r="Q2542">
        <v>-3.2273250000000003E-2</v>
      </c>
      <c r="R2542">
        <v>-0.98763780000000001</v>
      </c>
      <c r="S2542">
        <v>0.93780520000000001</v>
      </c>
      <c r="T2542">
        <v>-0.1852261</v>
      </c>
      <c r="U2542">
        <v>-2.886612</v>
      </c>
      <c r="V2542">
        <v>-0.1054469</v>
      </c>
      <c r="W2542">
        <v>-2.2954579999999999E-2</v>
      </c>
      <c r="X2542">
        <v>0.99416000000000004</v>
      </c>
      <c r="Y2542">
        <v>-0.26218269999999999</v>
      </c>
      <c r="Z2542">
        <v>6.1235680000000001E-2</v>
      </c>
      <c r="AA2542">
        <v>0.96307339999999997</v>
      </c>
      <c r="AB2542">
        <v>22</v>
      </c>
      <c r="AC2542">
        <v>5.6263999999999896</v>
      </c>
      <c r="AD2542">
        <v>-1.112879914651</v>
      </c>
      <c r="AE2542">
        <v>-17.229500000000002</v>
      </c>
      <c r="AF2542">
        <v>-4.7710229420900898</v>
      </c>
      <c r="AG2542">
        <v>-1.112879914651</v>
      </c>
      <c r="AH2542">
        <v>17.415117610494299</v>
      </c>
      <c r="AI2542">
        <v>93.526797503167302</v>
      </c>
      <c r="AJ2542">
        <v>105.32076900167201</v>
      </c>
      <c r="AK2542">
        <v>18.0910884969847</v>
      </c>
      <c r="AL2542">
        <v>91.315316037100104</v>
      </c>
      <c r="AM2542">
        <v>96.054516053333998</v>
      </c>
      <c r="AN2542">
        <v>1.00000003353129</v>
      </c>
    </row>
    <row r="2543" spans="1:40" x14ac:dyDescent="0.3">
      <c r="A2543" t="str">
        <f>"20200111160458373"</f>
        <v>20200111160458373</v>
      </c>
      <c r="B2543" t="str">
        <f>"1578729898363132"</f>
        <v>1578729898363132</v>
      </c>
      <c r="C2543" t="s">
        <v>40</v>
      </c>
      <c r="D2543">
        <v>4.6935919999999998</v>
      </c>
      <c r="E2543">
        <v>0.43810900000000003</v>
      </c>
      <c r="F2543" t="s">
        <v>56</v>
      </c>
      <c r="G2543">
        <v>-487.18200000000002</v>
      </c>
      <c r="H2543" s="1">
        <v>2.9858260000000002E-6</v>
      </c>
      <c r="I2543">
        <v>218.31720000000001</v>
      </c>
      <c r="J2543">
        <v>-493.11709999999999</v>
      </c>
      <c r="K2543">
        <v>1.1130370000000001</v>
      </c>
      <c r="L2543">
        <v>236.3289</v>
      </c>
      <c r="M2543">
        <v>5.2008230000000003E-2</v>
      </c>
      <c r="N2543">
        <v>0</v>
      </c>
      <c r="O2543">
        <v>-0.99859229999999999</v>
      </c>
      <c r="P2543">
        <v>0.1565677</v>
      </c>
      <c r="Q2543">
        <v>-2.943952E-2</v>
      </c>
      <c r="R2543">
        <v>-0.98722880000000002</v>
      </c>
      <c r="S2543">
        <v>0.94302370000000002</v>
      </c>
      <c r="T2543">
        <v>-0.1764308</v>
      </c>
      <c r="U2543">
        <v>-2.8853300000000002</v>
      </c>
      <c r="V2543">
        <v>-0.104880399999999</v>
      </c>
      <c r="W2543">
        <v>-1.9763090000000001E-2</v>
      </c>
      <c r="X2543">
        <v>0.99428839999999996</v>
      </c>
      <c r="Y2543">
        <v>-0.2602758</v>
      </c>
      <c r="Z2543">
        <v>5.8345620000000001E-2</v>
      </c>
      <c r="AA2543">
        <v>0.96376989999999996</v>
      </c>
      <c r="AB2543">
        <v>22</v>
      </c>
      <c r="AC2543">
        <v>5.9351000000000296</v>
      </c>
      <c r="AD2543">
        <v>-1.1130340141740001</v>
      </c>
      <c r="AE2543">
        <v>-18.011699999999902</v>
      </c>
      <c r="AF2543">
        <v>-4.9731288918569003</v>
      </c>
      <c r="AG2543">
        <v>-1.1130340141740001</v>
      </c>
      <c r="AH2543">
        <v>18.2332057515098</v>
      </c>
      <c r="AI2543">
        <v>93.370428038041993</v>
      </c>
      <c r="AJ2543">
        <v>105.256395135472</v>
      </c>
      <c r="AK2543">
        <v>18.932000625095601</v>
      </c>
      <c r="AL2543">
        <v>91.132415428109695</v>
      </c>
      <c r="AM2543">
        <v>96.021456631528196</v>
      </c>
      <c r="AN2543">
        <v>0.99999995020253196</v>
      </c>
    </row>
    <row r="2544" spans="1:40" x14ac:dyDescent="0.3">
      <c r="A2544" t="str">
        <f>"20200111160458387"</f>
        <v>20200111160458387</v>
      </c>
      <c r="B2544" t="str">
        <f>"1578729898383629"</f>
        <v>1578729898383629</v>
      </c>
      <c r="C2544" t="s">
        <v>40</v>
      </c>
      <c r="D2544">
        <v>4.7231399999999999</v>
      </c>
      <c r="E2544">
        <v>0.43754900000000002</v>
      </c>
      <c r="F2544" t="s">
        <v>56</v>
      </c>
      <c r="G2544">
        <v>-486.78820000000002</v>
      </c>
      <c r="H2544" s="1">
        <v>2.87112E-6</v>
      </c>
      <c r="I2544">
        <v>217.2912</v>
      </c>
      <c r="J2544">
        <v>-493.10730000000001</v>
      </c>
      <c r="K2544">
        <v>1.1131329999999999</v>
      </c>
      <c r="L2544">
        <v>236.1978</v>
      </c>
      <c r="M2544">
        <v>5.4719589999999999E-2</v>
      </c>
      <c r="N2544">
        <v>0</v>
      </c>
      <c r="O2544">
        <v>-0.99844469999999996</v>
      </c>
      <c r="P2544">
        <v>0.15903149999999999</v>
      </c>
      <c r="Q2544">
        <v>-2.8403390000000001E-2</v>
      </c>
      <c r="R2544">
        <v>-0.98686479999999999</v>
      </c>
      <c r="S2544">
        <v>0.95803830000000001</v>
      </c>
      <c r="T2544">
        <v>-0.16848740000000001</v>
      </c>
      <c r="U2544">
        <v>-2.881866</v>
      </c>
      <c r="V2544">
        <v>-0.1046663</v>
      </c>
      <c r="W2544">
        <v>-1.849348E-2</v>
      </c>
      <c r="X2544">
        <v>0.99433539999999998</v>
      </c>
      <c r="Y2544">
        <v>-0.26257150000000001</v>
      </c>
      <c r="Z2544">
        <v>5.5716729999999999E-2</v>
      </c>
      <c r="AA2544">
        <v>0.96330260000000001</v>
      </c>
      <c r="AB2544">
        <v>22</v>
      </c>
      <c r="AC2544">
        <v>6.3190999999999899</v>
      </c>
      <c r="AD2544">
        <v>-1.11313012888</v>
      </c>
      <c r="AE2544">
        <v>-18.906600000000001</v>
      </c>
      <c r="AF2544">
        <v>-5.2586147551969198</v>
      </c>
      <c r="AG2544">
        <v>-1.11313012888</v>
      </c>
      <c r="AH2544">
        <v>19.164314336022102</v>
      </c>
      <c r="AI2544">
        <v>93.205961065360597</v>
      </c>
      <c r="AJ2544">
        <v>105.344082649719</v>
      </c>
      <c r="AK2544">
        <v>19.903844648641499</v>
      </c>
      <c r="AL2544">
        <v>91.059658797108796</v>
      </c>
      <c r="AM2544">
        <v>96.008972662919703</v>
      </c>
      <c r="AN2544">
        <v>0.99999996542567904</v>
      </c>
    </row>
    <row r="2545" spans="1:40" x14ac:dyDescent="0.3">
      <c r="A2545" t="str">
        <f>"20200111160458406"</f>
        <v>20200111160458406</v>
      </c>
      <c r="B2545" t="str">
        <f>"1578729898404125"</f>
        <v>1578729898404125</v>
      </c>
      <c r="C2545" t="s">
        <v>40</v>
      </c>
      <c r="D2545">
        <v>4.8689530000000003</v>
      </c>
      <c r="E2545">
        <v>0.43695319999999999</v>
      </c>
      <c r="F2545" t="s">
        <v>56</v>
      </c>
      <c r="G2545">
        <v>-486.67910000000001</v>
      </c>
      <c r="H2545" s="1">
        <v>2.844259E-6</v>
      </c>
      <c r="I2545">
        <v>217.11940000000001</v>
      </c>
      <c r="J2545">
        <v>-493.09300000000002</v>
      </c>
      <c r="K2545">
        <v>1.113264</v>
      </c>
      <c r="L2545">
        <v>236.01599999999999</v>
      </c>
      <c r="M2545">
        <v>5.8589090000000003E-2</v>
      </c>
      <c r="N2545">
        <v>0</v>
      </c>
      <c r="O2545">
        <v>-0.99822160000000004</v>
      </c>
      <c r="P2545">
        <v>0.1630375</v>
      </c>
      <c r="Q2545">
        <v>-2.7424899999999999E-2</v>
      </c>
      <c r="R2545">
        <v>-0.98623890000000003</v>
      </c>
      <c r="S2545">
        <v>0.96997069999999996</v>
      </c>
      <c r="T2545">
        <v>-0.16796510000000001</v>
      </c>
      <c r="U2545">
        <v>-2.8788149999999999</v>
      </c>
      <c r="V2545">
        <v>-0.1048531</v>
      </c>
      <c r="W2545">
        <v>-1.721373E-2</v>
      </c>
      <c r="X2545">
        <v>0.99433879999999997</v>
      </c>
      <c r="Y2545">
        <v>-0.26273069999999998</v>
      </c>
      <c r="Z2545">
        <v>5.5544990000000002E-2</v>
      </c>
      <c r="AA2545">
        <v>0.96326909999999999</v>
      </c>
      <c r="AB2545">
        <v>22</v>
      </c>
      <c r="AC2545">
        <v>6.4139000000000097</v>
      </c>
      <c r="AD2545">
        <v>-1.1132611557409999</v>
      </c>
      <c r="AE2545">
        <v>-18.8965999999999</v>
      </c>
      <c r="AF2545">
        <v>-5.2792489743729201</v>
      </c>
      <c r="AG2545">
        <v>-1.1132611557409999</v>
      </c>
      <c r="AH2545">
        <v>19.180249159711</v>
      </c>
      <c r="AI2545">
        <v>93.2029868711261</v>
      </c>
      <c r="AJ2545">
        <v>105.38924900885701</v>
      </c>
      <c r="AK2545">
        <v>19.924652517996201</v>
      </c>
      <c r="AL2545">
        <v>90.986322726508803</v>
      </c>
      <c r="AM2545">
        <v>96.019597888444494</v>
      </c>
      <c r="AN2545">
        <v>1.00000006713277</v>
      </c>
    </row>
    <row r="2546" spans="1:40" x14ac:dyDescent="0.3">
      <c r="A2546" t="str">
        <f>"20200111160458431"</f>
        <v>20200111160458431</v>
      </c>
      <c r="B2546" t="str">
        <f>"1578729898423644"</f>
        <v>1578729898423644</v>
      </c>
      <c r="C2546" t="s">
        <v>40</v>
      </c>
      <c r="D2546">
        <v>4.8389129999999998</v>
      </c>
      <c r="E2546">
        <v>0.4368725</v>
      </c>
      <c r="F2546" t="s">
        <v>56</v>
      </c>
      <c r="G2546">
        <v>-486.53190000000001</v>
      </c>
      <c r="H2546" s="1">
        <v>2.808288E-6</v>
      </c>
      <c r="I2546">
        <v>216.89400000000001</v>
      </c>
      <c r="J2546">
        <v>-493.07190000000003</v>
      </c>
      <c r="K2546">
        <v>1.1134059999999999</v>
      </c>
      <c r="L2546">
        <v>235.76849999999999</v>
      </c>
      <c r="M2546">
        <v>6.4069870000000001E-2</v>
      </c>
      <c r="N2546">
        <v>0</v>
      </c>
      <c r="O2546">
        <v>-0.99787999999999999</v>
      </c>
      <c r="P2546">
        <v>0.168324799999999</v>
      </c>
      <c r="Q2546">
        <v>-2.7651459999999999E-2</v>
      </c>
      <c r="R2546">
        <v>-0.98534390000000005</v>
      </c>
      <c r="S2546">
        <v>0.98617549999999998</v>
      </c>
      <c r="T2546">
        <v>-0.16733129999999999</v>
      </c>
      <c r="U2546">
        <v>-2.8741759999999998</v>
      </c>
      <c r="V2546">
        <v>-0.104723</v>
      </c>
      <c r="W2546">
        <v>-1.706071E-2</v>
      </c>
      <c r="X2546">
        <v>0.99435510000000005</v>
      </c>
      <c r="Y2546">
        <v>-0.26277399999999901</v>
      </c>
      <c r="Z2546">
        <v>5.5342990000000002E-2</v>
      </c>
      <c r="AA2546">
        <v>0.96326889999999998</v>
      </c>
      <c r="AB2546">
        <v>22</v>
      </c>
      <c r="AC2546">
        <v>6.5400000000000196</v>
      </c>
      <c r="AD2546">
        <v>-1.113403191712</v>
      </c>
      <c r="AE2546">
        <v>-18.874499999999902</v>
      </c>
      <c r="AF2546">
        <v>-5.3007272970203303</v>
      </c>
      <c r="AG2546">
        <v>-1.113403191712</v>
      </c>
      <c r="AH2546">
        <v>19.195124733055401</v>
      </c>
      <c r="AI2546">
        <v>93.200176188973202</v>
      </c>
      <c r="AJ2546">
        <v>105.437473020433</v>
      </c>
      <c r="AK2546">
        <v>19.944678239125501</v>
      </c>
      <c r="AL2546">
        <v>90.977554085548206</v>
      </c>
      <c r="AM2546">
        <v>96.012085777002895</v>
      </c>
      <c r="AN2546">
        <v>1.00000001972535</v>
      </c>
    </row>
    <row r="2547" spans="1:40" x14ac:dyDescent="0.3">
      <c r="A2547" t="str">
        <f>"20200111160458443"</f>
        <v>20200111160458443</v>
      </c>
      <c r="B2547" t="str">
        <f>"1578729898433405"</f>
        <v>1578729898433405</v>
      </c>
      <c r="C2547" t="s">
        <v>40</v>
      </c>
      <c r="D2547">
        <v>4.8379139999999996</v>
      </c>
      <c r="E2547">
        <v>0.43689129999999998</v>
      </c>
      <c r="F2547" t="s">
        <v>56</v>
      </c>
      <c r="G2547">
        <v>-486.58600000000001</v>
      </c>
      <c r="H2547" s="1">
        <v>2.8311350000000002E-6</v>
      </c>
      <c r="I2547">
        <v>217.19720000000001</v>
      </c>
      <c r="J2547">
        <v>-493.06180000000001</v>
      </c>
      <c r="K2547">
        <v>1.1134630000000001</v>
      </c>
      <c r="L2547">
        <v>235.65469999999999</v>
      </c>
      <c r="M2547">
        <v>6.6646579999999997E-2</v>
      </c>
      <c r="N2547">
        <v>0</v>
      </c>
      <c r="O2547">
        <v>-0.99770959999999997</v>
      </c>
      <c r="P2547">
        <v>0.17103479999999999</v>
      </c>
      <c r="Q2547">
        <v>-2.8385879999999999E-2</v>
      </c>
      <c r="R2547">
        <v>-0.98485630000000002</v>
      </c>
      <c r="S2547">
        <v>1.001862</v>
      </c>
      <c r="T2547">
        <v>-0.171984</v>
      </c>
      <c r="U2547">
        <v>-2.868652</v>
      </c>
      <c r="V2547">
        <v>-0.10488550000000001</v>
      </c>
      <c r="W2547">
        <v>-1.7632559999999999E-2</v>
      </c>
      <c r="X2547">
        <v>0.99432799999999999</v>
      </c>
      <c r="Y2547">
        <v>-0.2655247</v>
      </c>
      <c r="Z2547">
        <v>5.6894069999999998E-2</v>
      </c>
      <c r="AA2547">
        <v>0.9624239</v>
      </c>
      <c r="AB2547">
        <v>22</v>
      </c>
      <c r="AC2547">
        <v>6.4757999999999898</v>
      </c>
      <c r="AD2547">
        <v>-1.1134601688650001</v>
      </c>
      <c r="AE2547">
        <v>-18.4574999999999</v>
      </c>
      <c r="AF2547">
        <v>-5.2142925793539501</v>
      </c>
      <c r="AG2547">
        <v>-1.1134601688650001</v>
      </c>
      <c r="AH2547">
        <v>18.7871993067617</v>
      </c>
      <c r="AI2547">
        <v>93.268508881992801</v>
      </c>
      <c r="AJ2547">
        <v>105.51172660821</v>
      </c>
      <c r="AK2547">
        <v>19.529144846683401</v>
      </c>
      <c r="AL2547">
        <v>91.010323603756405</v>
      </c>
      <c r="AM2547">
        <v>96.021509224984797</v>
      </c>
      <c r="AN2547">
        <v>1.0000000234332</v>
      </c>
    </row>
    <row r="2548" spans="1:40" x14ac:dyDescent="0.3">
      <c r="A2548" t="str">
        <f>"20200111160458463"</f>
        <v>20200111160458463</v>
      </c>
      <c r="B2548" t="str">
        <f>"1578729898453900"</f>
        <v>1578729898453900</v>
      </c>
      <c r="C2548" t="s">
        <v>40</v>
      </c>
      <c r="D2548">
        <v>4.8827819999999997</v>
      </c>
      <c r="E2548">
        <v>0.4370735</v>
      </c>
      <c r="F2548" t="s">
        <v>56</v>
      </c>
      <c r="G2548">
        <v>-486.75069999999999</v>
      </c>
      <c r="H2548" s="1">
        <v>2.8839609999999998E-6</v>
      </c>
      <c r="I2548">
        <v>217.7373</v>
      </c>
      <c r="J2548">
        <v>-493.04450000000003</v>
      </c>
      <c r="K2548">
        <v>1.113551</v>
      </c>
      <c r="L2548">
        <v>235.46979999999999</v>
      </c>
      <c r="M2548">
        <v>7.0985740000000006E-2</v>
      </c>
      <c r="N2548">
        <v>0</v>
      </c>
      <c r="O2548">
        <v>-0.99740689999999999</v>
      </c>
      <c r="P2548">
        <v>0.17592379999999999</v>
      </c>
      <c r="Q2548">
        <v>-3.076922E-2</v>
      </c>
      <c r="R2548">
        <v>-0.98392279999999999</v>
      </c>
      <c r="S2548">
        <v>1.0093989999999999</v>
      </c>
      <c r="T2548">
        <v>-0.17808579999999999</v>
      </c>
      <c r="U2548">
        <v>-2.8656920000000001</v>
      </c>
      <c r="V2548">
        <v>-0.10548440000000001</v>
      </c>
      <c r="W2548">
        <v>-1.9782339999999999E-2</v>
      </c>
      <c r="X2548">
        <v>0.9942242</v>
      </c>
      <c r="Y2548">
        <v>-0.26385520000000001</v>
      </c>
      <c r="Z2548">
        <v>5.8924850000000001E-2</v>
      </c>
      <c r="AA2548">
        <v>0.96276070000000002</v>
      </c>
      <c r="AB2548">
        <v>22</v>
      </c>
      <c r="AC2548">
        <v>6.2938000000000303</v>
      </c>
      <c r="AD2548">
        <v>-1.1135481160389999</v>
      </c>
      <c r="AE2548">
        <v>-17.732499999999899</v>
      </c>
      <c r="AF2548">
        <v>-5.00156072113157</v>
      </c>
      <c r="AG2548">
        <v>-1.1135481160389999</v>
      </c>
      <c r="AH2548">
        <v>18.0712715096147</v>
      </c>
      <c r="AI2548">
        <v>93.398644683971796</v>
      </c>
      <c r="AJ2548">
        <v>105.47041796612901</v>
      </c>
      <c r="AK2548">
        <v>18.783675173621099</v>
      </c>
      <c r="AL2548">
        <v>91.133518497415395</v>
      </c>
      <c r="AM2548">
        <v>96.056265025461897</v>
      </c>
      <c r="AN2548">
        <v>1.0000000297424301</v>
      </c>
    </row>
    <row r="2549" spans="1:40" x14ac:dyDescent="0.3">
      <c r="A2549" t="str">
        <f>"20200111160458477"</f>
        <v>20200111160458477</v>
      </c>
      <c r="B2549" t="str">
        <f>"1578729898473420"</f>
        <v>1578729898473420</v>
      </c>
      <c r="C2549" t="s">
        <v>40</v>
      </c>
      <c r="D2549">
        <v>5.0094620000000001</v>
      </c>
      <c r="E2549">
        <v>0.43739499999999998</v>
      </c>
      <c r="F2549" t="s">
        <v>56</v>
      </c>
      <c r="G2549">
        <v>-487.16730000000001</v>
      </c>
      <c r="H2549" s="1">
        <v>3.0141890000000002E-6</v>
      </c>
      <c r="I2549">
        <v>219.0258</v>
      </c>
      <c r="J2549">
        <v>-493.0317</v>
      </c>
      <c r="K2549">
        <v>1.113613</v>
      </c>
      <c r="L2549">
        <v>235.34030000000001</v>
      </c>
      <c r="M2549">
        <v>7.4132610000000002E-2</v>
      </c>
      <c r="N2549">
        <v>0</v>
      </c>
      <c r="O2549">
        <v>-0.99717610000000001</v>
      </c>
      <c r="P2549">
        <v>0.17975749999999999</v>
      </c>
      <c r="Q2549">
        <v>-3.2497230000000002E-2</v>
      </c>
      <c r="R2549">
        <v>-0.98317429999999995</v>
      </c>
      <c r="S2549">
        <v>1.0222469999999999</v>
      </c>
      <c r="T2549">
        <v>-0.19368540000000001</v>
      </c>
      <c r="U2549">
        <v>-2.8601990000000002</v>
      </c>
      <c r="V2549">
        <v>-0.1062114</v>
      </c>
      <c r="W2549">
        <v>-2.136774E-2</v>
      </c>
      <c r="X2549">
        <v>0.99411389999999999</v>
      </c>
      <c r="Y2549">
        <v>-0.26512409999999997</v>
      </c>
      <c r="Z2549">
        <v>6.4100589999999999E-2</v>
      </c>
      <c r="AA2549">
        <v>0.96208130000000003</v>
      </c>
      <c r="AB2549">
        <v>22</v>
      </c>
      <c r="AC2549">
        <v>5.8643999999999803</v>
      </c>
      <c r="AD2549">
        <v>-1.113609985811</v>
      </c>
      <c r="AE2549">
        <v>-16.314499999999999</v>
      </c>
      <c r="AF2549">
        <v>-4.6196760640954402</v>
      </c>
      <c r="AG2549">
        <v>-1.113609985811</v>
      </c>
      <c r="AH2549">
        <v>16.635735723271001</v>
      </c>
      <c r="AI2549">
        <v>93.690468629545293</v>
      </c>
      <c r="AJ2549">
        <v>105.519757174912</v>
      </c>
      <c r="AK2549">
        <v>17.3011339857302</v>
      </c>
      <c r="AL2549">
        <v>91.224374571261095</v>
      </c>
      <c r="AM2549">
        <v>96.098362956937294</v>
      </c>
      <c r="AN2549">
        <v>0.99999994398793701</v>
      </c>
    </row>
    <row r="2550" spans="1:40" x14ac:dyDescent="0.3">
      <c r="A2550" t="str">
        <f>"20200111160458495"</f>
        <v>20200111160458495</v>
      </c>
      <c r="B2550" t="str">
        <f>"1578729898483180"</f>
        <v>1578729898483180</v>
      </c>
      <c r="C2550" t="s">
        <v>40</v>
      </c>
      <c r="D2550">
        <v>5.1092060000000004</v>
      </c>
      <c r="E2550">
        <v>0.43752590000000002</v>
      </c>
      <c r="F2550" t="s">
        <v>56</v>
      </c>
      <c r="G2550">
        <v>-487.48039999999997</v>
      </c>
      <c r="H2550" s="1">
        <v>3.1715340000000001E-6</v>
      </c>
      <c r="I2550">
        <v>219.96010000000001</v>
      </c>
      <c r="J2550">
        <v>-493.01339999999999</v>
      </c>
      <c r="K2550">
        <v>1.113699</v>
      </c>
      <c r="L2550">
        <v>235.16290000000001</v>
      </c>
      <c r="M2550">
        <v>7.8540120000000005E-2</v>
      </c>
      <c r="N2550">
        <v>0</v>
      </c>
      <c r="O2550">
        <v>-0.9968361</v>
      </c>
      <c r="P2550">
        <v>0.186497</v>
      </c>
      <c r="Q2550">
        <v>-3.510696E-2</v>
      </c>
      <c r="R2550">
        <v>-0.98182820000000004</v>
      </c>
      <c r="S2550">
        <v>1.030853</v>
      </c>
      <c r="T2550">
        <v>-0.2067928</v>
      </c>
      <c r="U2550">
        <v>-2.8560490000000001</v>
      </c>
      <c r="V2550">
        <v>-0.1086184</v>
      </c>
      <c r="W2550">
        <v>-2.381175E-2</v>
      </c>
      <c r="X2550">
        <v>0.99379830000000002</v>
      </c>
      <c r="Y2550">
        <v>-0.26377410000000001</v>
      </c>
      <c r="Z2550">
        <v>6.8455440000000006E-2</v>
      </c>
      <c r="AA2550">
        <v>0.96215229999999996</v>
      </c>
      <c r="AB2550">
        <v>22</v>
      </c>
      <c r="AC2550">
        <v>5.5330000000000101</v>
      </c>
      <c r="AD2550">
        <v>-1.1136958284659999</v>
      </c>
      <c r="AE2550">
        <v>-15.2027999999999</v>
      </c>
      <c r="AF2550">
        <v>-4.3014036031873903</v>
      </c>
      <c r="AG2550">
        <v>-1.1136958284659999</v>
      </c>
      <c r="AH2550">
        <v>15.516894954627499</v>
      </c>
      <c r="AI2550">
        <v>93.956552110401006</v>
      </c>
      <c r="AJ2550">
        <v>105.493786136556</v>
      </c>
      <c r="AK2550">
        <v>16.1405210693088</v>
      </c>
      <c r="AL2550">
        <v>91.364441726325595</v>
      </c>
      <c r="AM2550">
        <v>96.237454042125606</v>
      </c>
      <c r="AN2550">
        <v>1.00000000866975</v>
      </c>
    </row>
    <row r="2551" spans="1:40" x14ac:dyDescent="0.3">
      <c r="A2551" t="str">
        <f>"20200111160458510"</f>
        <v>20200111160458510</v>
      </c>
      <c r="B2551" t="str">
        <f>"1578729898503677"</f>
        <v>1578729898503677</v>
      </c>
      <c r="C2551" t="s">
        <v>40</v>
      </c>
      <c r="D2551">
        <v>5.0459940000000003</v>
      </c>
      <c r="E2551">
        <v>0.44457229999999998</v>
      </c>
      <c r="F2551" t="s">
        <v>56</v>
      </c>
      <c r="G2551">
        <v>-487.67939999999999</v>
      </c>
      <c r="H2551" s="1">
        <v>3.366035E-6</v>
      </c>
      <c r="I2551">
        <v>220.68010000000001</v>
      </c>
      <c r="J2551">
        <v>-492.9975</v>
      </c>
      <c r="K2551">
        <v>1.113774</v>
      </c>
      <c r="L2551">
        <v>235.01410000000001</v>
      </c>
      <c r="M2551">
        <v>8.2332470000000005E-2</v>
      </c>
      <c r="N2551">
        <v>0</v>
      </c>
      <c r="O2551">
        <v>-0.99652799999999997</v>
      </c>
      <c r="P2551">
        <v>0.1918618</v>
      </c>
      <c r="Q2551">
        <v>-3.6572800000000003E-2</v>
      </c>
      <c r="R2551">
        <v>-0.98074070000000002</v>
      </c>
      <c r="S2551">
        <v>1.049072</v>
      </c>
      <c r="T2551">
        <v>-0.21903819999999999</v>
      </c>
      <c r="U2551">
        <v>-2.8484340000000001</v>
      </c>
      <c r="V2551">
        <v>-0.1102595</v>
      </c>
      <c r="W2551">
        <v>-2.5151110000000001E-2</v>
      </c>
      <c r="X2551">
        <v>0.99358460000000004</v>
      </c>
      <c r="Y2551">
        <v>-0.26625529999999997</v>
      </c>
      <c r="Z2551">
        <v>7.2533070000000005E-2</v>
      </c>
      <c r="AA2551">
        <v>0.96116970000000002</v>
      </c>
      <c r="AB2551">
        <v>22</v>
      </c>
      <c r="AC2551">
        <v>5.31810000000001</v>
      </c>
      <c r="AD2551">
        <v>-1.113770633965</v>
      </c>
      <c r="AE2551">
        <v>-14.334</v>
      </c>
      <c r="AF2551">
        <v>-4.09804946145566</v>
      </c>
      <c r="AG2551">
        <v>-1.113770633965</v>
      </c>
      <c r="AH2551">
        <v>14.645489921753301</v>
      </c>
      <c r="AI2551">
        <v>94.188616484320306</v>
      </c>
      <c r="AJ2551">
        <v>105.632495595021</v>
      </c>
      <c r="AK2551">
        <v>15.2487661619489</v>
      </c>
      <c r="AL2551">
        <v>91.441204359040995</v>
      </c>
      <c r="AM2551">
        <v>96.332285864385099</v>
      </c>
      <c r="AN2551">
        <v>1.0000000465158201</v>
      </c>
    </row>
    <row r="2552" spans="1:40" x14ac:dyDescent="0.3">
      <c r="A2552" t="str">
        <f>"20200111160458577"</f>
        <v>20200111160458577</v>
      </c>
      <c r="B2552" t="str">
        <f>"1578729898573480"</f>
        <v>1578729898573480</v>
      </c>
      <c r="C2552" t="s">
        <v>40</v>
      </c>
      <c r="D2552">
        <v>4.9688939999999997</v>
      </c>
      <c r="E2552">
        <v>0.35853390000000002</v>
      </c>
      <c r="F2552" t="s">
        <v>56</v>
      </c>
      <c r="G2552">
        <v>-489.63159999999999</v>
      </c>
      <c r="H2552" s="1">
        <v>5.2751819999999998E-6</v>
      </c>
      <c r="I2552">
        <v>225.51390000000001</v>
      </c>
      <c r="J2552">
        <v>-492.92189999999999</v>
      </c>
      <c r="K2552">
        <v>1.1141099999999999</v>
      </c>
      <c r="L2552">
        <v>234.38329999999999</v>
      </c>
      <c r="M2552">
        <v>9.9416900000000002E-2</v>
      </c>
      <c r="N2552">
        <v>0</v>
      </c>
      <c r="O2552">
        <v>-0.99496169999999995</v>
      </c>
      <c r="P2552">
        <v>0.222636</v>
      </c>
      <c r="Q2552">
        <v>-3.4197499999999999E-2</v>
      </c>
      <c r="R2552">
        <v>-0.9743018</v>
      </c>
      <c r="S2552">
        <v>1.0093989999999999</v>
      </c>
      <c r="T2552">
        <v>-0.33400570000000002</v>
      </c>
      <c r="U2552">
        <v>-2.8489990000000001</v>
      </c>
      <c r="V2552">
        <v>-0.1244714</v>
      </c>
      <c r="W2552">
        <v>-2.2453279999999999E-2</v>
      </c>
      <c r="X2552">
        <v>0.99196910000000005</v>
      </c>
      <c r="Y2552">
        <v>-0.23653589999999999</v>
      </c>
      <c r="Z2552">
        <v>0.11061029999999999</v>
      </c>
      <c r="AA2552">
        <v>0.9653062</v>
      </c>
      <c r="AB2552">
        <v>22</v>
      </c>
      <c r="AC2552">
        <v>3.2902999999999998</v>
      </c>
      <c r="AD2552">
        <v>-1.1141047248179901</v>
      </c>
      <c r="AE2552">
        <v>-8.8693999999999793</v>
      </c>
      <c r="AF2552">
        <v>-2.35943005191585</v>
      </c>
      <c r="AG2552">
        <v>-1.1141047248179901</v>
      </c>
      <c r="AH2552">
        <v>9.0273844016717302</v>
      </c>
      <c r="AI2552">
        <v>96.809051040394294</v>
      </c>
      <c r="AJ2552">
        <v>104.647375497187</v>
      </c>
      <c r="AK2552">
        <v>9.3969042052844003</v>
      </c>
      <c r="AL2552">
        <v>91.286586317409899</v>
      </c>
      <c r="AM2552">
        <v>97.152043421812394</v>
      </c>
      <c r="AN2552">
        <v>0.99999998727776396</v>
      </c>
    </row>
    <row r="2553" spans="1:40" x14ac:dyDescent="0.3">
      <c r="A2553" t="str">
        <f>"20200111160458596"</f>
        <v>20200111160458596</v>
      </c>
      <c r="B2553" t="str">
        <f>"1578729898593976"</f>
        <v>1578729898593976</v>
      </c>
      <c r="C2553" t="s">
        <v>40</v>
      </c>
      <c r="D2553">
        <v>4.9149599999999998</v>
      </c>
      <c r="E2553">
        <v>0.35101880000000002</v>
      </c>
      <c r="F2553" t="s">
        <v>42</v>
      </c>
      <c r="G2553">
        <v>-492.4151</v>
      </c>
      <c r="H2553">
        <v>1.0635730000000001</v>
      </c>
      <c r="I2553">
        <v>233.61760000000001</v>
      </c>
      <c r="J2553">
        <v>-492.89830000000001</v>
      </c>
      <c r="K2553">
        <v>1.114215</v>
      </c>
      <c r="L2553">
        <v>234.20519999999999</v>
      </c>
      <c r="M2553">
        <v>0.1045751</v>
      </c>
      <c r="N2553">
        <v>0</v>
      </c>
      <c r="O2553">
        <v>-0.99443159999999997</v>
      </c>
      <c r="P2553">
        <v>0.2314948</v>
      </c>
      <c r="Q2553">
        <v>-3.3046119999999998E-2</v>
      </c>
      <c r="R2553">
        <v>-0.972275</v>
      </c>
      <c r="S2553">
        <v>1.7677</v>
      </c>
      <c r="T2553">
        <v>-0.1761585</v>
      </c>
      <c r="U2553">
        <v>-2.6690369999999999</v>
      </c>
      <c r="V2553">
        <v>-0.12835630000000001</v>
      </c>
      <c r="W2553">
        <v>-2.124883E-2</v>
      </c>
      <c r="X2553">
        <v>0.99150039999999995</v>
      </c>
      <c r="Y2553">
        <v>-0.46108959999999999</v>
      </c>
      <c r="Z2553">
        <v>5.6047890000000003E-2</v>
      </c>
      <c r="AA2553">
        <v>0.88558169999999903</v>
      </c>
      <c r="AB2553">
        <v>22</v>
      </c>
      <c r="AC2553">
        <v>0.48320000000001001</v>
      </c>
      <c r="AD2553">
        <v>-5.0642E-2</v>
      </c>
      <c r="AE2553">
        <v>-0.58759999999998003</v>
      </c>
      <c r="AF2553">
        <v>-0.41724768330865503</v>
      </c>
      <c r="AG2553">
        <v>-5.0642E-2</v>
      </c>
      <c r="AH2553">
        <v>0.63211157197836398</v>
      </c>
      <c r="AI2553">
        <v>93.825251617123797</v>
      </c>
      <c r="AJ2553">
        <v>123.428223428685</v>
      </c>
      <c r="AK2553">
        <v>0.75909504070267697</v>
      </c>
      <c r="AL2553">
        <v>91.217559977780596</v>
      </c>
      <c r="AM2553">
        <v>97.376294572952901</v>
      </c>
      <c r="AN2553">
        <v>0.99999994786310797</v>
      </c>
    </row>
    <row r="2554" spans="1:40" x14ac:dyDescent="0.3">
      <c r="A2554" t="str">
        <f>"20200111160458610"</f>
        <v>20200111160458610</v>
      </c>
      <c r="B2554" t="str">
        <f>"1578729898603736"</f>
        <v>1578729898603736</v>
      </c>
      <c r="C2554" t="s">
        <v>40</v>
      </c>
      <c r="D2554">
        <v>4.9567290000000002</v>
      </c>
      <c r="E2554">
        <v>0.34950829999999999</v>
      </c>
      <c r="F2554" t="s">
        <v>42</v>
      </c>
      <c r="G2554">
        <v>-492.37369999999999</v>
      </c>
      <c r="H2554">
        <v>1.0717840000000001</v>
      </c>
      <c r="I2554">
        <v>233.45689999999999</v>
      </c>
      <c r="J2554">
        <v>-492.88040000000001</v>
      </c>
      <c r="K2554">
        <v>1.1142970000000001</v>
      </c>
      <c r="L2554">
        <v>234.0763</v>
      </c>
      <c r="M2554">
        <v>0.10840900000000001</v>
      </c>
      <c r="N2554">
        <v>0</v>
      </c>
      <c r="O2554">
        <v>-0.9940196</v>
      </c>
      <c r="P2554">
        <v>0.2368275</v>
      </c>
      <c r="Q2554">
        <v>-3.2158899999999997E-2</v>
      </c>
      <c r="R2554">
        <v>-0.97101959999999998</v>
      </c>
      <c r="S2554">
        <v>1.8505549999999999</v>
      </c>
      <c r="T2554">
        <v>-0.14967949999999999</v>
      </c>
      <c r="U2554">
        <v>-2.6398929999999998</v>
      </c>
      <c r="V2554">
        <v>-0.1299756</v>
      </c>
      <c r="W2554">
        <v>-2.0319440000000001E-2</v>
      </c>
      <c r="X2554">
        <v>0.991309</v>
      </c>
      <c r="Y2554">
        <v>-0.48120610000000003</v>
      </c>
      <c r="Z2554">
        <v>4.739521E-2</v>
      </c>
      <c r="AA2554">
        <v>0.87532529999999997</v>
      </c>
      <c r="AB2554">
        <v>22</v>
      </c>
      <c r="AC2554">
        <v>0.50670000000002302</v>
      </c>
      <c r="AD2554">
        <v>-4.2512999999999801E-2</v>
      </c>
      <c r="AE2554">
        <v>-0.61940000000001205</v>
      </c>
      <c r="AF2554">
        <v>-0.43533025759561</v>
      </c>
      <c r="AG2554">
        <v>-4.2512999999999801E-2</v>
      </c>
      <c r="AH2554">
        <v>0.66879694331131501</v>
      </c>
      <c r="AI2554">
        <v>93.049522806966195</v>
      </c>
      <c r="AJ2554">
        <v>123.060724492863</v>
      </c>
      <c r="AK2554">
        <v>0.79913023952908901</v>
      </c>
      <c r="AL2554">
        <v>91.164298242028096</v>
      </c>
      <c r="AM2554">
        <v>97.469733078749499</v>
      </c>
      <c r="AN2554">
        <v>1.00000003485913</v>
      </c>
    </row>
    <row r="2555" spans="1:40" x14ac:dyDescent="0.3">
      <c r="A2555" t="str">
        <f>"20200111160458624"</f>
        <v>20200111160458624</v>
      </c>
      <c r="B2555" t="str">
        <f>"1578729898613496"</f>
        <v>1578729898613496</v>
      </c>
      <c r="C2555" t="s">
        <v>40</v>
      </c>
      <c r="D2555">
        <v>4.8932699999999896</v>
      </c>
      <c r="E2555">
        <v>0.348191799999999</v>
      </c>
      <c r="F2555" t="s">
        <v>42</v>
      </c>
      <c r="G2555">
        <v>-492.31330000000003</v>
      </c>
      <c r="H2555">
        <v>1.0715399999999999</v>
      </c>
      <c r="I2555">
        <v>233.28210000000001</v>
      </c>
      <c r="J2555">
        <v>-492.86180000000002</v>
      </c>
      <c r="K2555">
        <v>1.114374</v>
      </c>
      <c r="L2555">
        <v>233.9453</v>
      </c>
      <c r="M2555">
        <v>0.112376</v>
      </c>
      <c r="N2555">
        <v>0</v>
      </c>
      <c r="O2555">
        <v>-0.99357799999999996</v>
      </c>
      <c r="P2555">
        <v>0.24207670000000001</v>
      </c>
      <c r="Q2555">
        <v>-3.1561789999999999E-2</v>
      </c>
      <c r="R2555">
        <v>-0.96974380000000004</v>
      </c>
      <c r="S2555">
        <v>1.876892</v>
      </c>
      <c r="T2555">
        <v>-0.1414039</v>
      </c>
      <c r="U2555">
        <v>-2.6270899999999999</v>
      </c>
      <c r="V2555">
        <v>-0.13138050000000001</v>
      </c>
      <c r="W2555">
        <v>-1.9682999999999999E-2</v>
      </c>
      <c r="X2555">
        <v>0.99113660000000003</v>
      </c>
      <c r="Y2555">
        <v>-0.48561199999999999</v>
      </c>
      <c r="Z2555">
        <v>4.475237E-2</v>
      </c>
      <c r="AA2555">
        <v>0.87302819999999903</v>
      </c>
      <c r="AB2555">
        <v>21</v>
      </c>
      <c r="AC2555">
        <v>0.54849999999999</v>
      </c>
      <c r="AD2555">
        <v>-4.2833999999999997E-2</v>
      </c>
      <c r="AE2555">
        <v>-0.66319999999998902</v>
      </c>
      <c r="AF2555">
        <v>-0.469328225551992</v>
      </c>
      <c r="AG2555">
        <v>-4.2833999999999997E-2</v>
      </c>
      <c r="AH2555">
        <v>0.71886131712755696</v>
      </c>
      <c r="AI2555">
        <v>92.856330945531298</v>
      </c>
      <c r="AJ2555">
        <v>123.13960720070401</v>
      </c>
      <c r="AK2555">
        <v>0.85957275906007402</v>
      </c>
      <c r="AL2555">
        <v>91.127825650849701</v>
      </c>
      <c r="AM2555">
        <v>97.550844691143595</v>
      </c>
      <c r="AN2555">
        <v>1.0000000080644</v>
      </c>
    </row>
    <row r="2556" spans="1:40" x14ac:dyDescent="0.3">
      <c r="A2556" t="str">
        <f>"20200111160458643"</f>
        <v>20200111160458643</v>
      </c>
      <c r="B2556" t="str">
        <f>"1578729898633991"</f>
        <v>1578729898633991</v>
      </c>
      <c r="C2556" t="s">
        <v>40</v>
      </c>
      <c r="D2556">
        <v>4.8332350000000002</v>
      </c>
      <c r="E2556">
        <v>0.34649570000000002</v>
      </c>
      <c r="F2556" t="s">
        <v>42</v>
      </c>
      <c r="G2556">
        <v>-492.25299999999999</v>
      </c>
      <c r="H2556">
        <v>1.0722529999999999</v>
      </c>
      <c r="I2556">
        <v>233.1078</v>
      </c>
      <c r="J2556">
        <v>-492.83510000000001</v>
      </c>
      <c r="K2556">
        <v>1.1144889999999901</v>
      </c>
      <c r="L2556">
        <v>233.76560000000001</v>
      </c>
      <c r="M2556">
        <v>0.1179867</v>
      </c>
      <c r="N2556">
        <v>0</v>
      </c>
      <c r="O2556">
        <v>-0.99292599999999998</v>
      </c>
      <c r="P2556">
        <v>0.24977920000000001</v>
      </c>
      <c r="Q2556">
        <v>-3.1171150000000002E-2</v>
      </c>
      <c r="R2556">
        <v>-0.96780129999999998</v>
      </c>
      <c r="S2556">
        <v>1.9011229999999999</v>
      </c>
      <c r="T2556">
        <v>-0.1315006</v>
      </c>
      <c r="U2556">
        <v>-2.6147770000000001</v>
      </c>
      <c r="V2556">
        <v>-0.13365879999999999</v>
      </c>
      <c r="W2556">
        <v>-1.925466E-2</v>
      </c>
      <c r="X2556">
        <v>0.99084030000000001</v>
      </c>
      <c r="Y2556">
        <v>-0.48801080000000002</v>
      </c>
      <c r="Z2556">
        <v>4.1609390000000003E-2</v>
      </c>
      <c r="AA2556">
        <v>0.87184519999999999</v>
      </c>
      <c r="AB2556">
        <v>21</v>
      </c>
      <c r="AC2556">
        <v>0.58209999999996798</v>
      </c>
      <c r="AD2556">
        <v>-4.2235999999999697E-2</v>
      </c>
      <c r="AE2556">
        <v>-0.65780000000000804</v>
      </c>
      <c r="AF2556">
        <v>-0.49926054655254098</v>
      </c>
      <c r="AG2556">
        <v>-4.2235999999999697E-2</v>
      </c>
      <c r="AH2556">
        <v>0.72022547354831501</v>
      </c>
      <c r="AI2556">
        <v>92.759261676450805</v>
      </c>
      <c r="AJ2556">
        <v>124.72971325588701</v>
      </c>
      <c r="AK2556">
        <v>0.87736520662027495</v>
      </c>
      <c r="AL2556">
        <v>91.103278978954904</v>
      </c>
      <c r="AM2556">
        <v>97.682505106940297</v>
      </c>
      <c r="AN2556">
        <v>0.99999995842662104</v>
      </c>
    </row>
    <row r="2557" spans="1:40" x14ac:dyDescent="0.3">
      <c r="A2557" t="str">
        <f>"20200111160459145"</f>
        <v>20200111160459145</v>
      </c>
      <c r="B2557" t="str">
        <f>"1578729899143971"</f>
        <v>1578729899143971</v>
      </c>
      <c r="C2557" t="s">
        <v>40</v>
      </c>
      <c r="D2557">
        <v>4.9341439999999999</v>
      </c>
      <c r="E2557">
        <v>0.30996509999999999</v>
      </c>
      <c r="F2557" t="s">
        <v>56</v>
      </c>
      <c r="G2557">
        <v>-474.81700000000001</v>
      </c>
      <c r="H2557">
        <v>7.9642820000000003E-2</v>
      </c>
      <c r="I2557">
        <v>209.58670000000001</v>
      </c>
      <c r="J2557">
        <v>-491.69209999999998</v>
      </c>
      <c r="K2557">
        <v>1.1153439999999999</v>
      </c>
      <c r="L2557">
        <v>229.26599999999999</v>
      </c>
      <c r="M2557">
        <v>0.29749599999999998</v>
      </c>
      <c r="N2557">
        <v>0</v>
      </c>
      <c r="O2557">
        <v>-0.95461810000000002</v>
      </c>
      <c r="P2557">
        <v>0.4444766</v>
      </c>
      <c r="Q2557">
        <v>-3.6970250000000003E-2</v>
      </c>
      <c r="R2557">
        <v>-0.89502729999999997</v>
      </c>
      <c r="S2557">
        <v>1.93512</v>
      </c>
      <c r="T2557">
        <v>-0.1111412</v>
      </c>
      <c r="U2557">
        <v>-2.5967859999999998</v>
      </c>
      <c r="V2557">
        <v>-0.15777969999999999</v>
      </c>
      <c r="W2557">
        <v>-2.4805529999999999E-2</v>
      </c>
      <c r="X2557">
        <v>0.98716269999999995</v>
      </c>
      <c r="Y2557">
        <v>-0.3315361</v>
      </c>
      <c r="Z2557">
        <v>3.4487469999999999E-2</v>
      </c>
      <c r="AA2557">
        <v>0.94281199999999998</v>
      </c>
      <c r="AB2557">
        <v>21</v>
      </c>
      <c r="AC2557">
        <v>16.8751</v>
      </c>
      <c r="AD2557">
        <v>-1.03570118</v>
      </c>
      <c r="AE2557">
        <v>-19.679299999999898</v>
      </c>
      <c r="AF2557">
        <v>-10.239447011441801</v>
      </c>
      <c r="AG2557">
        <v>-1.03570118</v>
      </c>
      <c r="AH2557">
        <v>23.770934879673401</v>
      </c>
      <c r="AI2557">
        <v>92.291497028713593</v>
      </c>
      <c r="AJ2557">
        <v>113.304198638942</v>
      </c>
      <c r="AK2557">
        <v>25.903210169553301</v>
      </c>
      <c r="AL2557">
        <v>91.421398010338606</v>
      </c>
      <c r="AM2557">
        <v>99.080863594702095</v>
      </c>
      <c r="AN2557">
        <v>0.99999997216098002</v>
      </c>
    </row>
    <row r="2558" spans="1:40" x14ac:dyDescent="0.3">
      <c r="A2558" t="str">
        <f>"20200111160459170"</f>
        <v>20200111160459170</v>
      </c>
      <c r="B2558" t="str">
        <f>"1578729899163491"</f>
        <v>1578729899163491</v>
      </c>
      <c r="C2558" t="s">
        <v>40</v>
      </c>
      <c r="D2558">
        <v>4.9910300000000003</v>
      </c>
      <c r="E2558">
        <v>0.30848779999999998</v>
      </c>
      <c r="F2558" t="s">
        <v>56</v>
      </c>
      <c r="G2558">
        <v>-480.67180000000002</v>
      </c>
      <c r="H2558" s="1">
        <v>2.2060409999999998E-6</v>
      </c>
      <c r="I2558">
        <v>221.0557</v>
      </c>
      <c r="J2558">
        <v>-491.61630000000002</v>
      </c>
      <c r="K2558">
        <v>1.115313</v>
      </c>
      <c r="L2558">
        <v>229.05940000000001</v>
      </c>
      <c r="M2558">
        <v>0.30618410000000001</v>
      </c>
      <c r="N2558">
        <v>0</v>
      </c>
      <c r="O2558">
        <v>-0.95186709999999997</v>
      </c>
      <c r="P2558">
        <v>0.45327659999999997</v>
      </c>
      <c r="Q2558">
        <v>-3.8031250000000003E-2</v>
      </c>
      <c r="R2558">
        <v>-0.89055869999999904</v>
      </c>
      <c r="S2558">
        <v>2.6905209999999999</v>
      </c>
      <c r="T2558">
        <v>-0.27230189999999999</v>
      </c>
      <c r="U2558">
        <v>-2.0044710000000001</v>
      </c>
      <c r="V2558">
        <v>-0.15851489999999999</v>
      </c>
      <c r="W2558">
        <v>-2.587043E-2</v>
      </c>
      <c r="X2558">
        <v>0.98701760000000005</v>
      </c>
      <c r="Y2558">
        <v>-0.57749450000000002</v>
      </c>
      <c r="Z2558">
        <v>8.491891E-2</v>
      </c>
      <c r="AA2558">
        <v>0.81196610000000002</v>
      </c>
      <c r="AB2558">
        <v>21</v>
      </c>
      <c r="AC2558">
        <v>10.9445</v>
      </c>
      <c r="AD2558">
        <v>-1.1153107939589999</v>
      </c>
      <c r="AE2558">
        <v>-8.0037000000000091</v>
      </c>
      <c r="AF2558">
        <v>-7.9143513368224196</v>
      </c>
      <c r="AG2558">
        <v>-1.1153107939589999</v>
      </c>
      <c r="AH2558">
        <v>10.896858476703599</v>
      </c>
      <c r="AI2558">
        <v>94.734082020005502</v>
      </c>
      <c r="AJ2558">
        <v>125.990776736415</v>
      </c>
      <c r="AK2558">
        <v>13.513785550729001</v>
      </c>
      <c r="AL2558">
        <v>91.482431848101996</v>
      </c>
      <c r="AM2558">
        <v>99.123785989537197</v>
      </c>
      <c r="AN2558">
        <v>0.99999999769007697</v>
      </c>
    </row>
    <row r="2559" spans="1:40" x14ac:dyDescent="0.3">
      <c r="A2559" t="str">
        <f>"20200111160459214"</f>
        <v>20200111160459214</v>
      </c>
      <c r="B2559" t="str">
        <f>"1578729899203509"</f>
        <v>1578729899203509</v>
      </c>
      <c r="C2559" t="s">
        <v>40</v>
      </c>
      <c r="D2559">
        <v>5.0468599999999997</v>
      </c>
      <c r="E2559">
        <v>0.30731160000000002</v>
      </c>
      <c r="F2559" t="s">
        <v>42</v>
      </c>
      <c r="G2559">
        <v>-490.79430000000002</v>
      </c>
      <c r="H2559">
        <v>1.0293699999999999</v>
      </c>
      <c r="I2559">
        <v>228.46369999999999</v>
      </c>
      <c r="J2559">
        <v>-491.47410000000002</v>
      </c>
      <c r="K2559">
        <v>1.115275</v>
      </c>
      <c r="L2559">
        <v>228.68639999999999</v>
      </c>
      <c r="M2559">
        <v>0.3218992</v>
      </c>
      <c r="N2559">
        <v>0</v>
      </c>
      <c r="O2559">
        <v>-0.94666830000000002</v>
      </c>
      <c r="P2559">
        <v>0.4685667</v>
      </c>
      <c r="Q2559">
        <v>-4.0150959999999999E-2</v>
      </c>
      <c r="R2559">
        <v>-0.88251569999999901</v>
      </c>
      <c r="S2559">
        <v>2.7209780000000001</v>
      </c>
      <c r="T2559">
        <v>-0.28441379999999999</v>
      </c>
      <c r="U2559">
        <v>-1.971649</v>
      </c>
      <c r="V2559">
        <v>-0.15920419999999999</v>
      </c>
      <c r="W2559">
        <v>-2.7991450000000001E-2</v>
      </c>
      <c r="X2559">
        <v>0.98684879999999997</v>
      </c>
      <c r="Y2559">
        <v>-0.57450029999999996</v>
      </c>
      <c r="Z2559">
        <v>8.8469909999999999E-2</v>
      </c>
      <c r="AA2559">
        <v>0.81370909999999996</v>
      </c>
      <c r="AB2559">
        <v>21</v>
      </c>
      <c r="AC2559">
        <v>0.67979999999999996</v>
      </c>
      <c r="AD2559">
        <v>-8.5904999999999898E-2</v>
      </c>
      <c r="AE2559">
        <v>-0.22270000000000301</v>
      </c>
      <c r="AF2559">
        <v>-0.56378490300920003</v>
      </c>
      <c r="AG2559">
        <v>-8.5904999999999898E-2</v>
      </c>
      <c r="AH2559">
        <v>0.42358448517345398</v>
      </c>
      <c r="AI2559">
        <v>96.9455580530296</v>
      </c>
      <c r="AJ2559">
        <v>143.081624836624</v>
      </c>
      <c r="AK2559">
        <v>0.71039207622675105</v>
      </c>
      <c r="AL2559">
        <v>91.604001413291797</v>
      </c>
      <c r="AM2559">
        <v>99.164329778417198</v>
      </c>
      <c r="AN2559">
        <v>1.00000002631609</v>
      </c>
    </row>
    <row r="2560" spans="1:40" x14ac:dyDescent="0.3">
      <c r="A2560" t="str">
        <f>"20200111160459235"</f>
        <v>20200111160459235</v>
      </c>
      <c r="B2560" t="str">
        <f>"1578729899224002"</f>
        <v>1578729899224002</v>
      </c>
      <c r="C2560" t="s">
        <v>40</v>
      </c>
      <c r="D2560">
        <v>5.1816760000000004</v>
      </c>
      <c r="E2560">
        <v>0.30616399999999999</v>
      </c>
      <c r="F2560" t="s">
        <v>42</v>
      </c>
      <c r="G2560">
        <v>-490.67200000000003</v>
      </c>
      <c r="H2560">
        <v>1.034327</v>
      </c>
      <c r="I2560">
        <v>228.1285</v>
      </c>
      <c r="J2560">
        <v>-491.4033</v>
      </c>
      <c r="K2560">
        <v>1.1152599999999999</v>
      </c>
      <c r="L2560">
        <v>228.50700000000001</v>
      </c>
      <c r="M2560">
        <v>0.32946569999999997</v>
      </c>
      <c r="N2560">
        <v>0</v>
      </c>
      <c r="O2560">
        <v>-0.94406159999999995</v>
      </c>
      <c r="P2560">
        <v>0.47516419999999998</v>
      </c>
      <c r="Q2560">
        <v>-3.9956609999999997E-2</v>
      </c>
      <c r="R2560">
        <v>-0.87898960000000004</v>
      </c>
      <c r="S2560">
        <v>2.761841</v>
      </c>
      <c r="T2560">
        <v>-0.27862730000000002</v>
      </c>
      <c r="U2560">
        <v>-1.9203030000000001</v>
      </c>
      <c r="V2560">
        <v>-0.1586987</v>
      </c>
      <c r="W2560">
        <v>-2.7786470000000001E-2</v>
      </c>
      <c r="X2560">
        <v>0.98693600000000004</v>
      </c>
      <c r="Y2560">
        <v>-0.58391369999999998</v>
      </c>
      <c r="Z2560">
        <v>8.6746000000000004E-2</v>
      </c>
      <c r="AA2560">
        <v>0.80716779999999999</v>
      </c>
      <c r="AB2560">
        <v>21</v>
      </c>
      <c r="AC2560">
        <v>0.73130000000003204</v>
      </c>
      <c r="AD2560">
        <v>-8.0933000000000102E-2</v>
      </c>
      <c r="AE2560">
        <v>-0.378500000000002</v>
      </c>
      <c r="AF2560">
        <v>-0.56033319335577902</v>
      </c>
      <c r="AG2560">
        <v>-8.0933000000000102E-2</v>
      </c>
      <c r="AH2560">
        <v>0.59260084467041596</v>
      </c>
      <c r="AI2560">
        <v>95.667209126198003</v>
      </c>
      <c r="AJ2560">
        <v>133.396857338091</v>
      </c>
      <c r="AK2560">
        <v>0.81957257102063596</v>
      </c>
      <c r="AL2560">
        <v>91.592252369953897</v>
      </c>
      <c r="AM2560">
        <v>99.134929377758496</v>
      </c>
      <c r="AN2560">
        <v>1.0000000166963701</v>
      </c>
    </row>
    <row r="2561" spans="1:40" x14ac:dyDescent="0.3">
      <c r="A2561" t="str">
        <f>"20200111160459258"</f>
        <v>20200111160459258</v>
      </c>
      <c r="B2561" t="str">
        <f>"1578729899253283"</f>
        <v>1578729899253283</v>
      </c>
      <c r="C2561" t="s">
        <v>40</v>
      </c>
      <c r="D2561">
        <v>5.0455839999999998</v>
      </c>
      <c r="E2561">
        <v>0.3052359</v>
      </c>
      <c r="F2561" t="s">
        <v>42</v>
      </c>
      <c r="G2561">
        <v>-490.60570000000001</v>
      </c>
      <c r="H2561">
        <v>1.042146</v>
      </c>
      <c r="I2561">
        <v>227.9639</v>
      </c>
      <c r="J2561">
        <v>-491.32729999999998</v>
      </c>
      <c r="K2561">
        <v>1.115248</v>
      </c>
      <c r="L2561">
        <v>228.3192</v>
      </c>
      <c r="M2561">
        <v>0.3373932</v>
      </c>
      <c r="N2561">
        <v>0</v>
      </c>
      <c r="O2561">
        <v>-0.94125740000000002</v>
      </c>
      <c r="P2561">
        <v>0.48223779999999999</v>
      </c>
      <c r="Q2561">
        <v>-4.0424439999999999E-2</v>
      </c>
      <c r="R2561">
        <v>-0.87510719999999997</v>
      </c>
      <c r="S2561">
        <v>2.7843930000000001</v>
      </c>
      <c r="T2561">
        <v>-0.2552528</v>
      </c>
      <c r="U2561">
        <v>-1.89621</v>
      </c>
      <c r="V2561">
        <v>-0.15836159999999999</v>
      </c>
      <c r="W2561">
        <v>-2.8246770000000001E-2</v>
      </c>
      <c r="X2561">
        <v>0.98697699999999999</v>
      </c>
      <c r="Y2561">
        <v>-0.58544510000000005</v>
      </c>
      <c r="Z2561">
        <v>7.9399559999999994E-2</v>
      </c>
      <c r="AA2561">
        <v>0.80681459999999905</v>
      </c>
      <c r="AB2561">
        <v>21</v>
      </c>
      <c r="AC2561">
        <v>0.72159999999996605</v>
      </c>
      <c r="AD2561">
        <v>-7.3102E-2</v>
      </c>
      <c r="AE2561">
        <v>-0.35529999999999901</v>
      </c>
      <c r="AF2561">
        <v>-0.554808731853207</v>
      </c>
      <c r="AG2561">
        <v>-7.3102E-2</v>
      </c>
      <c r="AH2561">
        <v>0.57321470501100602</v>
      </c>
      <c r="AI2561">
        <v>95.235760050695802</v>
      </c>
      <c r="AJ2561">
        <v>134.065186974254</v>
      </c>
      <c r="AK2561">
        <v>0.80108159970468595</v>
      </c>
      <c r="AL2561">
        <v>91.618636102049507</v>
      </c>
      <c r="AM2561">
        <v>99.115479221178703</v>
      </c>
      <c r="AN2561">
        <v>0.999999937449494</v>
      </c>
    </row>
    <row r="2562" spans="1:40" x14ac:dyDescent="0.3">
      <c r="A2562" t="str">
        <f>"20200111160459281"</f>
        <v>20200111160459281</v>
      </c>
      <c r="B2562" t="str">
        <f>"1578729899273778"</f>
        <v>1578729899273778</v>
      </c>
      <c r="C2562" t="s">
        <v>40</v>
      </c>
      <c r="D2562">
        <v>5.1820969999999997</v>
      </c>
      <c r="E2562">
        <v>0.30530800000000002</v>
      </c>
      <c r="F2562" t="s">
        <v>42</v>
      </c>
      <c r="G2562">
        <v>-490.54360000000003</v>
      </c>
      <c r="H2562">
        <v>1.051059</v>
      </c>
      <c r="I2562">
        <v>227.79660000000001</v>
      </c>
      <c r="J2562">
        <v>-491.24680000000001</v>
      </c>
      <c r="K2562">
        <v>1.1152390000000001</v>
      </c>
      <c r="L2562">
        <v>228.125</v>
      </c>
      <c r="M2562">
        <v>0.34559990000000002</v>
      </c>
      <c r="N2562">
        <v>0</v>
      </c>
      <c r="O2562">
        <v>-0.93827530000000003</v>
      </c>
      <c r="P2562">
        <v>0.49042829999999898</v>
      </c>
      <c r="Q2562">
        <v>-4.0945460000000003E-2</v>
      </c>
      <c r="R2562">
        <v>-0.87051919999999905</v>
      </c>
      <c r="S2562">
        <v>2.8063959999999999</v>
      </c>
      <c r="T2562">
        <v>-0.2297891</v>
      </c>
      <c r="U2562">
        <v>-1.871048</v>
      </c>
      <c r="V2562">
        <v>-0.15900719999999999</v>
      </c>
      <c r="W2562">
        <v>-2.877381E-2</v>
      </c>
      <c r="X2562">
        <v>0.98685800000000001</v>
      </c>
      <c r="Y2562">
        <v>-0.58683180000000001</v>
      </c>
      <c r="Z2562">
        <v>7.1424130000000002E-2</v>
      </c>
      <c r="AA2562">
        <v>0.80655250000000001</v>
      </c>
      <c r="AB2562">
        <v>21</v>
      </c>
      <c r="AC2562">
        <v>0.70319999999998095</v>
      </c>
      <c r="AD2562">
        <v>-6.4179999999999904E-2</v>
      </c>
      <c r="AE2562">
        <v>-0.32839999999998698</v>
      </c>
      <c r="AF2562">
        <v>-0.54264400461603901</v>
      </c>
      <c r="AG2562">
        <v>-6.4179999999999904E-2</v>
      </c>
      <c r="AH2562">
        <v>0.54746678451260999</v>
      </c>
      <c r="AI2562">
        <v>94.759506215374898</v>
      </c>
      <c r="AJ2562">
        <v>134.74651830478999</v>
      </c>
      <c r="AK2562">
        <v>0.77349949469298895</v>
      </c>
      <c r="AL2562">
        <v>91.648845503392096</v>
      </c>
      <c r="AM2562">
        <v>99.153097981165999</v>
      </c>
      <c r="AN2562">
        <v>0.99999996697887705</v>
      </c>
    </row>
    <row r="2563" spans="1:40" x14ac:dyDescent="0.3">
      <c r="A2563" t="str">
        <f>"20200111160459303"</f>
        <v>20200111160459303</v>
      </c>
      <c r="B2563" t="str">
        <f>"1578729899293299"</f>
        <v>1578729899293299</v>
      </c>
      <c r="C2563" t="s">
        <v>40</v>
      </c>
      <c r="D2563">
        <v>5.136056</v>
      </c>
      <c r="E2563">
        <v>0.30575659999999999</v>
      </c>
      <c r="F2563" t="s">
        <v>42</v>
      </c>
      <c r="G2563">
        <v>-490.48489999999998</v>
      </c>
      <c r="H2563">
        <v>1.0559190000000001</v>
      </c>
      <c r="I2563">
        <v>227.62700000000001</v>
      </c>
      <c r="J2563">
        <v>-491.17099999999999</v>
      </c>
      <c r="K2563">
        <v>1.1152219999999999</v>
      </c>
      <c r="L2563">
        <v>227.94640000000001</v>
      </c>
      <c r="M2563">
        <v>0.3531475</v>
      </c>
      <c r="N2563">
        <v>0</v>
      </c>
      <c r="O2563">
        <v>-0.93546070000000003</v>
      </c>
      <c r="P2563">
        <v>0.4985134</v>
      </c>
      <c r="Q2563">
        <v>-4.1263050000000003E-2</v>
      </c>
      <c r="R2563">
        <v>-0.86589959999999899</v>
      </c>
      <c r="S2563">
        <v>2.823242</v>
      </c>
      <c r="T2563">
        <v>-0.21983649999999999</v>
      </c>
      <c r="U2563">
        <v>-1.8453980000000001</v>
      </c>
      <c r="V2563">
        <v>-0.160248799999999</v>
      </c>
      <c r="W2563">
        <v>-2.9105610000000001E-2</v>
      </c>
      <c r="X2563">
        <v>0.98664739999999995</v>
      </c>
      <c r="Y2563">
        <v>-0.58784230000000004</v>
      </c>
      <c r="Z2563">
        <v>6.8336140000000004E-2</v>
      </c>
      <c r="AA2563">
        <v>0.80608409999999997</v>
      </c>
      <c r="AB2563">
        <v>20</v>
      </c>
      <c r="AC2563">
        <v>0.68610000000001004</v>
      </c>
      <c r="AD2563">
        <v>-5.93029999999998E-2</v>
      </c>
      <c r="AE2563">
        <v>-0.31940000000000102</v>
      </c>
      <c r="AF2563">
        <v>-0.52584835842869004</v>
      </c>
      <c r="AG2563">
        <v>-5.93029999999998E-2</v>
      </c>
      <c r="AH2563">
        <v>0.53783235239954297</v>
      </c>
      <c r="AI2563">
        <v>94.507938850010504</v>
      </c>
      <c r="AJ2563">
        <v>134.35450251286801</v>
      </c>
      <c r="AK2563">
        <v>0.75451771427765402</v>
      </c>
      <c r="AL2563">
        <v>91.667864232586297</v>
      </c>
      <c r="AM2563">
        <v>99.225280658922998</v>
      </c>
      <c r="AN2563">
        <v>0.99999995318083401</v>
      </c>
    </row>
    <row r="2564" spans="1:40" x14ac:dyDescent="0.3">
      <c r="A2564" t="str">
        <f>"20200111160459325"</f>
        <v>20200111160459325</v>
      </c>
      <c r="B2564" t="str">
        <f>"1578729899313794"</f>
        <v>1578729899313794</v>
      </c>
      <c r="C2564" t="s">
        <v>40</v>
      </c>
      <c r="D2564">
        <v>5.0616479999999999</v>
      </c>
      <c r="E2564">
        <v>0.30632589999999998</v>
      </c>
      <c r="F2564" t="s">
        <v>42</v>
      </c>
      <c r="G2564">
        <v>-490.4178</v>
      </c>
      <c r="H2564">
        <v>1.0589959999999901</v>
      </c>
      <c r="I2564">
        <v>227.46270000000001</v>
      </c>
      <c r="J2564">
        <v>-491.09089999999998</v>
      </c>
      <c r="K2564">
        <v>1.115205</v>
      </c>
      <c r="L2564">
        <v>227.7619</v>
      </c>
      <c r="M2564">
        <v>0.36095290000000002</v>
      </c>
      <c r="N2564">
        <v>0</v>
      </c>
      <c r="O2564">
        <v>-0.93247690000000005</v>
      </c>
      <c r="P2564">
        <v>0.50682640000000001</v>
      </c>
      <c r="Q2564">
        <v>-4.1464069999999999E-2</v>
      </c>
      <c r="R2564">
        <v>-0.86105049999999905</v>
      </c>
      <c r="S2564">
        <v>2.837189</v>
      </c>
      <c r="T2564">
        <v>-0.21168999999999999</v>
      </c>
      <c r="U2564">
        <v>-1.821091</v>
      </c>
      <c r="V2564">
        <v>-0.16150339999999999</v>
      </c>
      <c r="W2564">
        <v>-2.9321090000000001E-2</v>
      </c>
      <c r="X2564">
        <v>0.98643650000000005</v>
      </c>
      <c r="Y2564">
        <v>-0.58792670000000002</v>
      </c>
      <c r="Z2564">
        <v>6.5815620000000005E-2</v>
      </c>
      <c r="AA2564">
        <v>0.80623230000000001</v>
      </c>
      <c r="AB2564">
        <v>20</v>
      </c>
      <c r="AC2564">
        <v>0.67309999999997605</v>
      </c>
      <c r="AD2564">
        <v>-5.6209000000000099E-2</v>
      </c>
      <c r="AE2564">
        <v>-0.29919999999998398</v>
      </c>
      <c r="AF2564">
        <v>-0.51669631688839601</v>
      </c>
      <c r="AG2564">
        <v>-5.6209000000000099E-2</v>
      </c>
      <c r="AH2564">
        <v>0.51898461394752904</v>
      </c>
      <c r="AI2564">
        <v>94.389002330400402</v>
      </c>
      <c r="AJ2564">
        <v>134.87340739168701</v>
      </c>
      <c r="AK2564">
        <v>0.73449272636378005</v>
      </c>
      <c r="AL2564">
        <v>91.680215484457406</v>
      </c>
      <c r="AM2564">
        <v>99.298202765886003</v>
      </c>
      <c r="AN2564">
        <v>1.0000000215312901</v>
      </c>
    </row>
    <row r="2565" spans="1:40" x14ac:dyDescent="0.3">
      <c r="A2565" t="str">
        <f>"20200111160459436"</f>
        <v>20200111160459436</v>
      </c>
      <c r="B2565" t="str">
        <f>"1578729899433843"</f>
        <v>1578729899433843</v>
      </c>
      <c r="C2565" t="s">
        <v>40</v>
      </c>
      <c r="D2565">
        <v>5.2079639999999996</v>
      </c>
      <c r="E2565">
        <v>0.30829859999999998</v>
      </c>
      <c r="F2565" t="s">
        <v>56</v>
      </c>
      <c r="G2565">
        <v>-475.65809999999999</v>
      </c>
      <c r="H2565" s="1">
        <v>3.598932E-6</v>
      </c>
      <c r="I2565">
        <v>218.0394</v>
      </c>
      <c r="J2565">
        <v>-490.67270000000002</v>
      </c>
      <c r="K2565">
        <v>1.115124</v>
      </c>
      <c r="L2565">
        <v>226.8612</v>
      </c>
      <c r="M2565">
        <v>0.39911000000000002</v>
      </c>
      <c r="N2565">
        <v>0</v>
      </c>
      <c r="O2565">
        <v>-0.9167942</v>
      </c>
      <c r="P2565">
        <v>0.54212360000000004</v>
      </c>
      <c r="Q2565">
        <v>-4.576856E-2</v>
      </c>
      <c r="R2565">
        <v>-0.8390514</v>
      </c>
      <c r="S2565">
        <v>2.8509829999999998</v>
      </c>
      <c r="T2565">
        <v>-0.20601739999999999</v>
      </c>
      <c r="U2565">
        <v>-1.7960970000000001</v>
      </c>
      <c r="V2565">
        <v>-0.1617971</v>
      </c>
      <c r="W2565">
        <v>-3.3619879999999998E-2</v>
      </c>
      <c r="X2565">
        <v>0.98625119999999999</v>
      </c>
      <c r="Y2565">
        <v>-0.56121589999999999</v>
      </c>
      <c r="Z2565">
        <v>6.3455280000000003E-2</v>
      </c>
      <c r="AA2565">
        <v>0.82523349999999995</v>
      </c>
      <c r="AB2565">
        <v>20</v>
      </c>
      <c r="AC2565">
        <v>15.0146</v>
      </c>
      <c r="AD2565">
        <v>-1.115120401068</v>
      </c>
      <c r="AE2565">
        <v>-8.8217999999999908</v>
      </c>
      <c r="AF2565">
        <v>-10.203613380219601</v>
      </c>
      <c r="AG2565">
        <v>-1.115120401068</v>
      </c>
      <c r="AH2565">
        <v>14.024153043469401</v>
      </c>
      <c r="AI2565">
        <v>93.678873605344094</v>
      </c>
      <c r="AJ2565">
        <v>126.03867318658099</v>
      </c>
      <c r="AK2565">
        <v>17.379127944420201</v>
      </c>
      <c r="AL2565">
        <v>91.926640267374097</v>
      </c>
      <c r="AM2565">
        <v>99.316535200409504</v>
      </c>
      <c r="AN2565">
        <v>1.00000001370053</v>
      </c>
    </row>
    <row r="2566" spans="1:40" x14ac:dyDescent="0.3">
      <c r="A2566" t="str">
        <f>"20200111160459482"</f>
        <v>20200111160459482</v>
      </c>
      <c r="B2566" t="str">
        <f>"1578729899473859"</f>
        <v>1578729899473859</v>
      </c>
      <c r="C2566" t="s">
        <v>40</v>
      </c>
      <c r="D2566">
        <v>5.1408529999999999</v>
      </c>
      <c r="E2566">
        <v>0.30893670000000001</v>
      </c>
      <c r="F2566" t="s">
        <v>42</v>
      </c>
      <c r="G2566">
        <v>-489.8458</v>
      </c>
      <c r="H2566">
        <v>1.055166</v>
      </c>
      <c r="I2566">
        <v>226.3827</v>
      </c>
      <c r="J2566">
        <v>-490.4889</v>
      </c>
      <c r="K2566">
        <v>1.115083</v>
      </c>
      <c r="L2566">
        <v>226.49359999999999</v>
      </c>
      <c r="M2566">
        <v>0.41471150000000001</v>
      </c>
      <c r="N2566">
        <v>0</v>
      </c>
      <c r="O2566">
        <v>-0.90984330000000002</v>
      </c>
      <c r="P2566">
        <v>0.55482319999999996</v>
      </c>
      <c r="Q2566">
        <v>-4.6283409999999997E-2</v>
      </c>
      <c r="R2566">
        <v>-0.83068030000000004</v>
      </c>
      <c r="S2566">
        <v>2.9100039999999998</v>
      </c>
      <c r="T2566">
        <v>-0.2109934</v>
      </c>
      <c r="U2566">
        <v>-1.6837009999999999</v>
      </c>
      <c r="V2566">
        <v>-0.1599614</v>
      </c>
      <c r="W2566">
        <v>-3.4106310000000001E-2</v>
      </c>
      <c r="X2566">
        <v>0.98653389999999996</v>
      </c>
      <c r="Y2566">
        <v>-0.57793709999999998</v>
      </c>
      <c r="Z2566">
        <v>6.5286410000000003E-2</v>
      </c>
      <c r="AA2566">
        <v>0.81346569999999996</v>
      </c>
      <c r="AB2566">
        <v>20</v>
      </c>
      <c r="AC2566">
        <v>0.643100000000004</v>
      </c>
      <c r="AD2566">
        <v>-5.9916999999999998E-2</v>
      </c>
      <c r="AE2566">
        <v>-0.110899999999986</v>
      </c>
      <c r="AF2566">
        <v>-0.53467531984845995</v>
      </c>
      <c r="AG2566">
        <v>-5.9916999999999998E-2</v>
      </c>
      <c r="AH2566">
        <v>0.36456605537916398</v>
      </c>
      <c r="AI2566">
        <v>95.289810918444104</v>
      </c>
      <c r="AJ2566">
        <v>145.71204762019499</v>
      </c>
      <c r="AK2566">
        <v>0.64990472630900098</v>
      </c>
      <c r="AL2566">
        <v>91.954526648308999</v>
      </c>
      <c r="AM2566">
        <v>99.210060535920704</v>
      </c>
      <c r="AN2566">
        <v>1.00000001286049</v>
      </c>
    </row>
    <row r="2567" spans="1:40" x14ac:dyDescent="0.3">
      <c r="A2567" t="str">
        <f>"20200111160459661"</f>
        <v>20200111160459661</v>
      </c>
      <c r="B2567" t="str">
        <f>"1578729899653443"</f>
        <v>1578729899653443</v>
      </c>
      <c r="C2567" t="s">
        <v>40</v>
      </c>
      <c r="D2567">
        <v>5.2383980000000001</v>
      </c>
      <c r="E2567">
        <v>0.31213920000000001</v>
      </c>
      <c r="F2567" t="s">
        <v>42</v>
      </c>
      <c r="G2567">
        <v>-488.99770000000001</v>
      </c>
      <c r="H2567">
        <v>1.0551699999999999</v>
      </c>
      <c r="I2567">
        <v>224.87020000000001</v>
      </c>
      <c r="J2567">
        <v>-489.72770000000003</v>
      </c>
      <c r="K2567">
        <v>1.114833</v>
      </c>
      <c r="L2567">
        <v>225.11670000000001</v>
      </c>
      <c r="M2567">
        <v>0.47303109999999998</v>
      </c>
      <c r="N2567">
        <v>0</v>
      </c>
      <c r="O2567">
        <v>-0.88093310000000002</v>
      </c>
      <c r="P2567">
        <v>0.60369090000000003</v>
      </c>
      <c r="Q2567">
        <v>-5.4034859999999997E-2</v>
      </c>
      <c r="R2567">
        <v>-0.79538520000000001</v>
      </c>
      <c r="S2567">
        <v>3.00238</v>
      </c>
      <c r="T2567">
        <v>-0.21688959999999999</v>
      </c>
      <c r="U2567">
        <v>-1.4927060000000001</v>
      </c>
      <c r="V2567">
        <v>-0.15515580000000001</v>
      </c>
      <c r="W2567">
        <v>-4.176216E-2</v>
      </c>
      <c r="X2567">
        <v>0.98700690000000002</v>
      </c>
      <c r="Y2567">
        <v>-0.57612619999999903</v>
      </c>
      <c r="Z2567">
        <v>6.6584690000000002E-2</v>
      </c>
      <c r="AA2567">
        <v>0.81464409999999998</v>
      </c>
      <c r="AB2567">
        <v>20</v>
      </c>
      <c r="AC2567">
        <v>0.73000000000001797</v>
      </c>
      <c r="AD2567">
        <v>-5.96629999999998E-2</v>
      </c>
      <c r="AE2567">
        <v>-0.246499999999997</v>
      </c>
      <c r="AF2567">
        <v>-0.52339291517438902</v>
      </c>
      <c r="AG2567">
        <v>-5.96629999999998E-2</v>
      </c>
      <c r="AH2567">
        <v>0.55916570338123195</v>
      </c>
      <c r="AI2567">
        <v>94.454286456719402</v>
      </c>
      <c r="AJ2567">
        <v>133.10736877626101</v>
      </c>
      <c r="AK2567">
        <v>0.76822268975966401</v>
      </c>
      <c r="AL2567">
        <v>92.393491569742594</v>
      </c>
      <c r="AM2567">
        <v>98.933689779146604</v>
      </c>
      <c r="AN2567">
        <v>1.0000000104645499</v>
      </c>
    </row>
    <row r="2568" spans="1:40" x14ac:dyDescent="0.3">
      <c r="A2568" t="str">
        <f>"20200111160459683"</f>
        <v>20200111160459683</v>
      </c>
      <c r="B2568" t="str">
        <f>"1578729899673939"</f>
        <v>1578729899673939</v>
      </c>
      <c r="C2568" t="s">
        <v>40</v>
      </c>
      <c r="D2568">
        <v>5.3221109999999996</v>
      </c>
      <c r="E2568">
        <v>0.31311050000000001</v>
      </c>
      <c r="F2568" t="s">
        <v>42</v>
      </c>
      <c r="G2568">
        <v>-488.91500000000002</v>
      </c>
      <c r="H2568">
        <v>1.053714</v>
      </c>
      <c r="I2568">
        <v>224.71700000000001</v>
      </c>
      <c r="J2568">
        <v>-489.62459999999999</v>
      </c>
      <c r="K2568">
        <v>1.1147670000000001</v>
      </c>
      <c r="L2568">
        <v>224.94489999999999</v>
      </c>
      <c r="M2568">
        <v>0.48016429999999999</v>
      </c>
      <c r="N2568">
        <v>0</v>
      </c>
      <c r="O2568">
        <v>-0.87706550000000005</v>
      </c>
      <c r="P2568">
        <v>0.60993339999999996</v>
      </c>
      <c r="Q2568">
        <v>-5.6440190000000001E-2</v>
      </c>
      <c r="R2568">
        <v>-0.79043989999999997</v>
      </c>
      <c r="S2568">
        <v>3.0042420000000001</v>
      </c>
      <c r="T2568">
        <v>-0.22581010000000001</v>
      </c>
      <c r="U2568">
        <v>-1.4762879999999901</v>
      </c>
      <c r="V2568">
        <v>-0.15497830000000001</v>
      </c>
      <c r="W2568">
        <v>-4.415413E-2</v>
      </c>
      <c r="X2568">
        <v>0.98693070000000005</v>
      </c>
      <c r="Y2568">
        <v>-0.57309509999999997</v>
      </c>
      <c r="Z2568">
        <v>6.925634E-2</v>
      </c>
      <c r="AA2568">
        <v>0.81655710000000004</v>
      </c>
      <c r="AB2568">
        <v>20</v>
      </c>
      <c r="AC2568">
        <v>0.70959999999996604</v>
      </c>
      <c r="AD2568">
        <v>-6.1053000000000003E-2</v>
      </c>
      <c r="AE2568">
        <v>-0.22789999999997601</v>
      </c>
      <c r="AF2568">
        <v>-0.50956767501141298</v>
      </c>
      <c r="AG2568">
        <v>-6.1053000000000003E-2</v>
      </c>
      <c r="AH2568">
        <v>0.53705752984336896</v>
      </c>
      <c r="AI2568">
        <v>94.714352668543498</v>
      </c>
      <c r="AJ2568">
        <v>133.495458915059</v>
      </c>
      <c r="AK2568">
        <v>0.74284417921055101</v>
      </c>
      <c r="AL2568">
        <v>92.530667959577599</v>
      </c>
      <c r="AM2568">
        <v>98.924311999920107</v>
      </c>
      <c r="AN2568">
        <v>1.0000000336347099</v>
      </c>
    </row>
    <row r="2569" spans="1:40" x14ac:dyDescent="0.3">
      <c r="A2569" t="str">
        <f>"20200111160459705"</f>
        <v>20200111160459705</v>
      </c>
      <c r="B2569" t="str">
        <f>"1578729899693458"</f>
        <v>1578729899693458</v>
      </c>
      <c r="C2569" t="s">
        <v>40</v>
      </c>
      <c r="D2569">
        <v>5.2926089999999997</v>
      </c>
      <c r="E2569">
        <v>0.31437710000000002</v>
      </c>
      <c r="F2569" t="s">
        <v>42</v>
      </c>
      <c r="G2569">
        <v>-488.834</v>
      </c>
      <c r="H2569">
        <v>1.054797</v>
      </c>
      <c r="I2569">
        <v>224.56209999999999</v>
      </c>
      <c r="J2569">
        <v>-489.5258</v>
      </c>
      <c r="K2569">
        <v>1.1146959999999999</v>
      </c>
      <c r="L2569">
        <v>224.78309999999999</v>
      </c>
      <c r="M2569">
        <v>0.48681649999999999</v>
      </c>
      <c r="N2569">
        <v>0</v>
      </c>
      <c r="O2569">
        <v>-0.87339109999999998</v>
      </c>
      <c r="P2569">
        <v>0.61606249999999996</v>
      </c>
      <c r="Q2569">
        <v>-5.890227E-2</v>
      </c>
      <c r="R2569">
        <v>-0.78549219999999997</v>
      </c>
      <c r="S2569">
        <v>3.0096129999999999</v>
      </c>
      <c r="T2569">
        <v>-0.2282525</v>
      </c>
      <c r="U2569">
        <v>-1.45668</v>
      </c>
      <c r="V2569">
        <v>-0.15522169999999999</v>
      </c>
      <c r="W2569">
        <v>-4.6608660000000003E-2</v>
      </c>
      <c r="X2569">
        <v>0.98677950000000003</v>
      </c>
      <c r="Y2569">
        <v>-0.57169930000000002</v>
      </c>
      <c r="Z2569">
        <v>6.9943469999999994E-2</v>
      </c>
      <c r="AA2569">
        <v>0.8174766</v>
      </c>
      <c r="AB2569">
        <v>20</v>
      </c>
      <c r="AC2569">
        <v>0.69179999999999997</v>
      </c>
      <c r="AD2569">
        <v>-5.9898999999999897E-2</v>
      </c>
      <c r="AE2569">
        <v>-0.221000000000003</v>
      </c>
      <c r="AF2569">
        <v>-0.49331875409526199</v>
      </c>
      <c r="AG2569">
        <v>-5.9898999999999897E-2</v>
      </c>
      <c r="AH2569">
        <v>0.52627144043419305</v>
      </c>
      <c r="AI2569">
        <v>94.746894680192995</v>
      </c>
      <c r="AJ2569">
        <v>133.14887110185401</v>
      </c>
      <c r="AK2569">
        <v>0.72381828683709104</v>
      </c>
      <c r="AL2569">
        <v>92.671447430486495</v>
      </c>
      <c r="AM2569">
        <v>98.939449324813594</v>
      </c>
      <c r="AN2569">
        <v>0.99999996247906697</v>
      </c>
    </row>
    <row r="2570" spans="1:40" x14ac:dyDescent="0.3">
      <c r="A2570" t="str">
        <f>"20200111160459727"</f>
        <v>20200111160459727</v>
      </c>
      <c r="B2570" t="str">
        <f>"1578729899723714"</f>
        <v>1578729899723714</v>
      </c>
      <c r="C2570" t="s">
        <v>40</v>
      </c>
      <c r="D2570">
        <v>5.3422700000000001</v>
      </c>
      <c r="E2570">
        <v>0.31620039999999999</v>
      </c>
      <c r="F2570" t="s">
        <v>42</v>
      </c>
      <c r="G2570">
        <v>-488.5813</v>
      </c>
      <c r="H2570">
        <v>1.0401590000000001</v>
      </c>
      <c r="I2570">
        <v>224.3322</v>
      </c>
      <c r="J2570">
        <v>-489.42590000000001</v>
      </c>
      <c r="K2570">
        <v>1.1146339999999999</v>
      </c>
      <c r="L2570">
        <v>224.62209999999999</v>
      </c>
      <c r="M2570">
        <v>0.49337350000000002</v>
      </c>
      <c r="N2570">
        <v>0</v>
      </c>
      <c r="O2570">
        <v>-0.86970439999999904</v>
      </c>
      <c r="P2570">
        <v>0.62216499999999997</v>
      </c>
      <c r="Q2570">
        <v>-5.9613319999999997E-2</v>
      </c>
      <c r="R2570">
        <v>-0.78061380000000002</v>
      </c>
      <c r="S2570">
        <v>3.0125730000000002</v>
      </c>
      <c r="T2570">
        <v>-0.23777309999999999</v>
      </c>
      <c r="U2570">
        <v>-1.438644</v>
      </c>
      <c r="V2570">
        <v>-0.1555135</v>
      </c>
      <c r="W2570">
        <v>-4.731258E-2</v>
      </c>
      <c r="X2570">
        <v>0.98670009999999997</v>
      </c>
      <c r="Y2570">
        <v>-0.56961729999999999</v>
      </c>
      <c r="Z2570">
        <v>7.2798119999999994E-2</v>
      </c>
      <c r="AA2570">
        <v>0.81867979999999996</v>
      </c>
      <c r="AB2570">
        <v>20</v>
      </c>
      <c r="AC2570">
        <v>0.84460000000001401</v>
      </c>
      <c r="AD2570">
        <v>-7.4475E-2</v>
      </c>
      <c r="AE2570">
        <v>-0.289899999999988</v>
      </c>
      <c r="AF2570">
        <v>-0.58749506488428804</v>
      </c>
      <c r="AG2570">
        <v>-7.4475E-2</v>
      </c>
      <c r="AH2570">
        <v>0.66427580532177499</v>
      </c>
      <c r="AI2570">
        <v>94.800538390925198</v>
      </c>
      <c r="AJ2570">
        <v>131.49000641475499</v>
      </c>
      <c r="AK2570">
        <v>0.88992096414472999</v>
      </c>
      <c r="AL2570">
        <v>92.7118234994619</v>
      </c>
      <c r="AM2570">
        <v>98.956691375484397</v>
      </c>
      <c r="AN2570">
        <v>1.0000000081242499</v>
      </c>
    </row>
    <row r="2571" spans="1:40" x14ac:dyDescent="0.3">
      <c r="A2571" t="str">
        <f>"20200111160459750"</f>
        <v>20200111160459750</v>
      </c>
      <c r="B2571" t="str">
        <f>"1578729899743234"</f>
        <v>1578729899743234</v>
      </c>
      <c r="C2571" t="s">
        <v>40</v>
      </c>
      <c r="D2571">
        <v>5.2619249999999997</v>
      </c>
      <c r="E2571">
        <v>0.3171313</v>
      </c>
      <c r="F2571" t="s">
        <v>42</v>
      </c>
      <c r="G2571">
        <v>-488.49529999999999</v>
      </c>
      <c r="H2571">
        <v>1.0398149999999999</v>
      </c>
      <c r="I2571">
        <v>224.18209999999999</v>
      </c>
      <c r="J2571">
        <v>-489.32100000000003</v>
      </c>
      <c r="K2571">
        <v>1.114582</v>
      </c>
      <c r="L2571">
        <v>224.45580000000001</v>
      </c>
      <c r="M2571">
        <v>0.50009809999999999</v>
      </c>
      <c r="N2571">
        <v>0</v>
      </c>
      <c r="O2571">
        <v>-0.86585489999999998</v>
      </c>
      <c r="P2571">
        <v>0.6274014</v>
      </c>
      <c r="Q2571">
        <v>-6.045946E-2</v>
      </c>
      <c r="R2571">
        <v>-0.77634550000000002</v>
      </c>
      <c r="S2571">
        <v>3.012054</v>
      </c>
      <c r="T2571">
        <v>-0.24213760000000001</v>
      </c>
      <c r="U2571">
        <v>-1.4239040000000001</v>
      </c>
      <c r="V2571">
        <v>-0.15453520000000001</v>
      </c>
      <c r="W2571">
        <v>-4.8139080000000001E-2</v>
      </c>
      <c r="X2571">
        <v>0.98681379999999996</v>
      </c>
      <c r="Y2571">
        <v>-0.56636699999999995</v>
      </c>
      <c r="Z2571">
        <v>7.4075169999999996E-2</v>
      </c>
      <c r="AA2571">
        <v>0.82081749999999998</v>
      </c>
      <c r="AB2571">
        <v>20</v>
      </c>
      <c r="AC2571">
        <v>0.825699999999983</v>
      </c>
      <c r="AD2571">
        <v>-7.4767E-2</v>
      </c>
      <c r="AE2571">
        <v>-0.27370000000001898</v>
      </c>
      <c r="AF2571">
        <v>-0.57387699376757795</v>
      </c>
      <c r="AG2571">
        <v>-7.4767E-2</v>
      </c>
      <c r="AH2571">
        <v>0.64521302673307801</v>
      </c>
      <c r="AI2571">
        <v>94.948661381145897</v>
      </c>
      <c r="AJ2571">
        <v>131.651110209976</v>
      </c>
      <c r="AK2571">
        <v>0.86673222977501696</v>
      </c>
      <c r="AL2571">
        <v>92.7592325430534</v>
      </c>
      <c r="AM2571">
        <v>98.900242713875699</v>
      </c>
      <c r="AN2571">
        <v>0.99999998746636298</v>
      </c>
    </row>
    <row r="2572" spans="1:40" x14ac:dyDescent="0.3">
      <c r="A2572" t="str">
        <f>"20200111160459772"</f>
        <v>20200111160459772</v>
      </c>
      <c r="B2572" t="str">
        <f>"1578729899763731"</f>
        <v>1578729899763731</v>
      </c>
      <c r="C2572" t="s">
        <v>40</v>
      </c>
      <c r="D2572">
        <v>5.2626390000000001</v>
      </c>
      <c r="E2572">
        <v>0.31796449999999998</v>
      </c>
      <c r="F2572" t="s">
        <v>42</v>
      </c>
      <c r="G2572">
        <v>-488.41050000000001</v>
      </c>
      <c r="H2572">
        <v>1.0424949999999999</v>
      </c>
      <c r="I2572">
        <v>224.0307</v>
      </c>
      <c r="J2572">
        <v>-489.2133</v>
      </c>
      <c r="K2572">
        <v>1.1145389999999999</v>
      </c>
      <c r="L2572">
        <v>224.28800000000001</v>
      </c>
      <c r="M2572">
        <v>0.50683670000000003</v>
      </c>
      <c r="N2572">
        <v>0</v>
      </c>
      <c r="O2572">
        <v>-0.86192780000000002</v>
      </c>
      <c r="P2572">
        <v>0.63204930000000004</v>
      </c>
      <c r="Q2572">
        <v>-6.1304940000000002E-2</v>
      </c>
      <c r="R2572">
        <v>-0.77249969999999901</v>
      </c>
      <c r="S2572">
        <v>3.01593</v>
      </c>
      <c r="T2572">
        <v>-0.23881350000000001</v>
      </c>
      <c r="U2572">
        <v>-1.40831</v>
      </c>
      <c r="V2572">
        <v>-0.1527916</v>
      </c>
      <c r="W2572">
        <v>-4.895965E-2</v>
      </c>
      <c r="X2572">
        <v>0.9870449</v>
      </c>
      <c r="Y2572">
        <v>-0.56390909999999905</v>
      </c>
      <c r="Z2572">
        <v>7.2940569999999996E-2</v>
      </c>
      <c r="AA2572">
        <v>0.82260940000000005</v>
      </c>
      <c r="AB2572">
        <v>20</v>
      </c>
      <c r="AC2572">
        <v>0.80279999999998997</v>
      </c>
      <c r="AD2572">
        <v>-7.2043999999999705E-2</v>
      </c>
      <c r="AE2572">
        <v>-0.25729999999998598</v>
      </c>
      <c r="AF2572">
        <v>-0.55753011462937996</v>
      </c>
      <c r="AG2572">
        <v>-7.2043999999999705E-2</v>
      </c>
      <c r="AH2572">
        <v>0.62416604098016404</v>
      </c>
      <c r="AI2572">
        <v>94.9200657558264</v>
      </c>
      <c r="AJ2572">
        <v>131.77250518386501</v>
      </c>
      <c r="AK2572">
        <v>0.84000798410937805</v>
      </c>
      <c r="AL2572">
        <v>92.806303277312793</v>
      </c>
      <c r="AM2572">
        <v>98.799375075497693</v>
      </c>
      <c r="AN2572">
        <v>0.99999997748734604</v>
      </c>
    </row>
    <row r="2573" spans="1:40" x14ac:dyDescent="0.3">
      <c r="A2573" t="str">
        <f>"20200111160459794"</f>
        <v>20200111160459794</v>
      </c>
      <c r="B2573" t="str">
        <f>"1578729899783250"</f>
        <v>1578729899783250</v>
      </c>
      <c r="C2573" t="s">
        <v>40</v>
      </c>
      <c r="D2573">
        <v>5.3063609999999999</v>
      </c>
      <c r="E2573">
        <v>0.31882169999999999</v>
      </c>
      <c r="F2573" t="s">
        <v>42</v>
      </c>
      <c r="G2573">
        <v>-488.32650000000001</v>
      </c>
      <c r="H2573">
        <v>1.0457449999999999</v>
      </c>
      <c r="I2573">
        <v>223.8783</v>
      </c>
      <c r="J2573">
        <v>-489.10430000000002</v>
      </c>
      <c r="K2573">
        <v>1.114503</v>
      </c>
      <c r="L2573">
        <v>224.1207</v>
      </c>
      <c r="M2573">
        <v>0.51352690000000001</v>
      </c>
      <c r="N2573">
        <v>0</v>
      </c>
      <c r="O2573">
        <v>-0.85795900000000003</v>
      </c>
      <c r="P2573">
        <v>0.63633759999999995</v>
      </c>
      <c r="Q2573">
        <v>-6.1690330000000002E-2</v>
      </c>
      <c r="R2573">
        <v>-0.76894019999999996</v>
      </c>
      <c r="S2573">
        <v>3.0196839999999998</v>
      </c>
      <c r="T2573">
        <v>-0.2341444</v>
      </c>
      <c r="U2573">
        <v>-1.394226</v>
      </c>
      <c r="V2573">
        <v>-0.15062130000000001</v>
      </c>
      <c r="W2573">
        <v>-4.931874E-2</v>
      </c>
      <c r="X2573">
        <v>0.98736060000000003</v>
      </c>
      <c r="Y2573">
        <v>-0.56114790000000003</v>
      </c>
      <c r="Z2573">
        <v>7.1374859999999998E-2</v>
      </c>
      <c r="AA2573">
        <v>0.82463249999999999</v>
      </c>
      <c r="AB2573">
        <v>20</v>
      </c>
      <c r="AC2573">
        <v>0.77780000000001304</v>
      </c>
      <c r="AD2573">
        <v>-6.8757999999999805E-2</v>
      </c>
      <c r="AE2573">
        <v>-0.242400000000003</v>
      </c>
      <c r="AF2573">
        <v>-0.53905530806424196</v>
      </c>
      <c r="AG2573">
        <v>-6.8757999999999805E-2</v>
      </c>
      <c r="AH2573">
        <v>0.60315397888258204</v>
      </c>
      <c r="AI2573">
        <v>94.858360994715696</v>
      </c>
      <c r="AJ2573">
        <v>131.788035843854</v>
      </c>
      <c r="AK2573">
        <v>0.81185159355520498</v>
      </c>
      <c r="AL2573">
        <v>92.826902343775899</v>
      </c>
      <c r="AM2573">
        <v>98.673569380989207</v>
      </c>
      <c r="AN2573">
        <v>1.0000000342806099</v>
      </c>
    </row>
    <row r="2574" spans="1:40" x14ac:dyDescent="0.3">
      <c r="A2574" t="str">
        <f>"20200111160459839"</f>
        <v>20200111160459839</v>
      </c>
      <c r="B2574" t="str">
        <f>"1578729899834003"</f>
        <v>1578729899834003</v>
      </c>
      <c r="C2574" t="s">
        <v>40</v>
      </c>
      <c r="D2574">
        <v>5.3478649999999996</v>
      </c>
      <c r="E2574">
        <v>0.31932389999999999</v>
      </c>
      <c r="F2574" t="s">
        <v>42</v>
      </c>
      <c r="G2574">
        <v>-488.24180000000001</v>
      </c>
      <c r="H2574">
        <v>1.049706</v>
      </c>
      <c r="I2574">
        <v>223.72630000000001</v>
      </c>
      <c r="J2574">
        <v>-488.89159999999998</v>
      </c>
      <c r="K2574">
        <v>1.114474</v>
      </c>
      <c r="L2574">
        <v>223.8022</v>
      </c>
      <c r="M2574">
        <v>0.52624959999999998</v>
      </c>
      <c r="N2574">
        <v>0</v>
      </c>
      <c r="O2574">
        <v>-0.85021469999999899</v>
      </c>
      <c r="P2574">
        <v>0.64459230000000001</v>
      </c>
      <c r="Q2574">
        <v>-6.1725559999999999E-2</v>
      </c>
      <c r="R2574">
        <v>-0.76203109999999996</v>
      </c>
      <c r="S2574">
        <v>3.0225219999999999</v>
      </c>
      <c r="T2574">
        <v>-0.2270858</v>
      </c>
      <c r="U2574">
        <v>-1.3820650000000001</v>
      </c>
      <c r="V2574">
        <v>-0.1465659</v>
      </c>
      <c r="W2574">
        <v>-4.9313679999999999E-2</v>
      </c>
      <c r="X2574">
        <v>0.98797089999999999</v>
      </c>
      <c r="Y2574">
        <v>-0.5520062</v>
      </c>
      <c r="Z2574">
        <v>6.8805759999999994E-2</v>
      </c>
      <c r="AA2574">
        <v>0.83099630000000002</v>
      </c>
      <c r="AB2574">
        <v>20</v>
      </c>
      <c r="AC2574">
        <v>0.64979999999996996</v>
      </c>
      <c r="AD2574">
        <v>-6.4767999999999895E-2</v>
      </c>
      <c r="AE2574">
        <v>-7.5899999999990003E-2</v>
      </c>
      <c r="AF2574">
        <v>-0.507602405747</v>
      </c>
      <c r="AG2574">
        <v>-6.4767999999999895E-2</v>
      </c>
      <c r="AH2574">
        <v>0.40258242860332399</v>
      </c>
      <c r="AI2574">
        <v>95.708947857669202</v>
      </c>
      <c r="AJ2574">
        <v>141.581860796157</v>
      </c>
      <c r="AK2574">
        <v>0.65109731067198595</v>
      </c>
      <c r="AL2574">
        <v>92.8266123104939</v>
      </c>
      <c r="AM2574">
        <v>98.438309229616706</v>
      </c>
      <c r="AN2574">
        <v>0.99999995066238001</v>
      </c>
    </row>
    <row r="2575" spans="1:40" x14ac:dyDescent="0.3">
      <c r="A2575" t="str">
        <f>"20200111160459862"</f>
        <v>20200111160459862</v>
      </c>
      <c r="B2575" t="str">
        <f>"1578729899854031"</f>
        <v>1578729899854031</v>
      </c>
      <c r="C2575" t="s">
        <v>40</v>
      </c>
      <c r="D2575">
        <v>5.3905640000000004</v>
      </c>
      <c r="E2575">
        <v>0.32028709999999999</v>
      </c>
      <c r="F2575" t="s">
        <v>42</v>
      </c>
      <c r="G2575">
        <v>-488.06119999999999</v>
      </c>
      <c r="H2575">
        <v>1.054492</v>
      </c>
      <c r="I2575">
        <v>223.4324</v>
      </c>
      <c r="J2575">
        <v>-488.77879999999999</v>
      </c>
      <c r="K2575">
        <v>1.1144769999999999</v>
      </c>
      <c r="L2575">
        <v>223.63749999999999</v>
      </c>
      <c r="M2575">
        <v>0.53285280000000002</v>
      </c>
      <c r="N2575">
        <v>0</v>
      </c>
      <c r="O2575">
        <v>-0.84609230000000002</v>
      </c>
      <c r="P2575">
        <v>0.64893149999999999</v>
      </c>
      <c r="Q2575">
        <v>-6.1575730000000002E-2</v>
      </c>
      <c r="R2575">
        <v>-0.75835140000000001</v>
      </c>
      <c r="S2575">
        <v>3.034637</v>
      </c>
      <c r="T2575">
        <v>-0.21928810000000001</v>
      </c>
      <c r="U2575">
        <v>-1.3520810000000001</v>
      </c>
      <c r="V2575">
        <v>-0.14450940000000001</v>
      </c>
      <c r="W2575">
        <v>-4.914607E-2</v>
      </c>
      <c r="X2575">
        <v>0.9882822</v>
      </c>
      <c r="Y2575">
        <v>-0.55376829999999999</v>
      </c>
      <c r="Z2575">
        <v>6.6377179999999994E-2</v>
      </c>
      <c r="AA2575">
        <v>0.83002089999999995</v>
      </c>
      <c r="AB2575">
        <v>20</v>
      </c>
      <c r="AC2575">
        <v>0.71760000000000401</v>
      </c>
      <c r="AD2575">
        <v>-5.99849999999999E-2</v>
      </c>
      <c r="AE2575">
        <v>-0.20509999999998699</v>
      </c>
      <c r="AF2575">
        <v>-0.49472066459930603</v>
      </c>
      <c r="AG2575">
        <v>-5.99849999999999E-2</v>
      </c>
      <c r="AH2575">
        <v>0.55239475789476999</v>
      </c>
      <c r="AI2575">
        <v>94.624698028424206</v>
      </c>
      <c r="AJ2575">
        <v>131.84738995295399</v>
      </c>
      <c r="AK2575">
        <v>0.743966870738342</v>
      </c>
      <c r="AL2575">
        <v>92.816997153166099</v>
      </c>
      <c r="AM2575">
        <v>98.318994396611103</v>
      </c>
      <c r="AN2575">
        <v>1.00000000486082</v>
      </c>
    </row>
    <row r="2576" spans="1:40" x14ac:dyDescent="0.3">
      <c r="A2576" t="str">
        <f>"20200111160459930"</f>
        <v>20200111160459930</v>
      </c>
      <c r="B2576" t="str">
        <f>"1578729899923326"</f>
        <v>1578729899923326</v>
      </c>
      <c r="C2576" t="s">
        <v>40</v>
      </c>
      <c r="D2576">
        <v>5.3013789999999998</v>
      </c>
      <c r="E2576">
        <v>0.32116460000000002</v>
      </c>
      <c r="F2576" t="s">
        <v>42</v>
      </c>
      <c r="G2576">
        <v>-487.97410000000002</v>
      </c>
      <c r="H2576">
        <v>1.0567979999999999</v>
      </c>
      <c r="I2576">
        <v>223.28219999999999</v>
      </c>
      <c r="J2576">
        <v>-488.4418</v>
      </c>
      <c r="K2576">
        <v>1.1145449999999999</v>
      </c>
      <c r="L2576">
        <v>223.1617</v>
      </c>
      <c r="M2576">
        <v>0.55214940000000001</v>
      </c>
      <c r="N2576">
        <v>0</v>
      </c>
      <c r="O2576">
        <v>-0.83362789999999998</v>
      </c>
      <c r="P2576">
        <v>0.66442639999999997</v>
      </c>
      <c r="Q2576">
        <v>-5.8775569999999999E-2</v>
      </c>
      <c r="R2576">
        <v>-0.74503929999999996</v>
      </c>
      <c r="S2576">
        <v>3.0364070000000001</v>
      </c>
      <c r="T2576">
        <v>-0.21755679999999999</v>
      </c>
      <c r="U2576">
        <v>-1.3400270000000001</v>
      </c>
      <c r="V2576">
        <v>-0.14207809999999901</v>
      </c>
      <c r="W2576">
        <v>-4.6335790000000002E-2</v>
      </c>
      <c r="X2576">
        <v>0.98877040000000005</v>
      </c>
      <c r="Y2576">
        <v>-0.537556699999999</v>
      </c>
      <c r="Z2576">
        <v>6.5105769999999993E-2</v>
      </c>
      <c r="AA2576">
        <v>0.84071039999999997</v>
      </c>
      <c r="AB2576">
        <v>20</v>
      </c>
      <c r="AC2576">
        <v>0.46769999999997902</v>
      </c>
      <c r="AD2576">
        <v>-5.7747000000000201E-2</v>
      </c>
      <c r="AE2576">
        <v>0.120499999999992</v>
      </c>
      <c r="AF2576">
        <v>-0.450032777159243</v>
      </c>
      <c r="AG2576">
        <v>-5.7747000000000201E-2</v>
      </c>
      <c r="AH2576">
        <v>0.155579393598058</v>
      </c>
      <c r="AI2576">
        <v>96.9147679933603</v>
      </c>
      <c r="AJ2576">
        <v>160.929384037939</v>
      </c>
      <c r="AK2576">
        <v>0.47965525561490602</v>
      </c>
      <c r="AL2576">
        <v>92.655795993562407</v>
      </c>
      <c r="AM2576">
        <v>98.176957157143207</v>
      </c>
      <c r="AN2576">
        <v>1.0000000479253399</v>
      </c>
    </row>
    <row r="2577" spans="1:40" x14ac:dyDescent="0.3">
      <c r="A2577" t="str">
        <f>"20200111160500154"</f>
        <v>20200111160500154</v>
      </c>
      <c r="B2577" t="str">
        <f>"1578729900143942"</f>
        <v>1578729900143942</v>
      </c>
      <c r="C2577" t="s">
        <v>40</v>
      </c>
      <c r="D2577">
        <v>5.0871979999999999</v>
      </c>
      <c r="E2577">
        <v>0.38496960000000002</v>
      </c>
      <c r="F2577" t="s">
        <v>42</v>
      </c>
      <c r="G2577">
        <v>-486.63850000000002</v>
      </c>
      <c r="H2577">
        <v>1.0372479999999999</v>
      </c>
      <c r="I2577">
        <v>221.53389999999999</v>
      </c>
      <c r="J2577">
        <v>-487.25580000000002</v>
      </c>
      <c r="K2577">
        <v>1.114563</v>
      </c>
      <c r="L2577">
        <v>221.65690000000001</v>
      </c>
      <c r="M2577">
        <v>0.61494090000000001</v>
      </c>
      <c r="N2577">
        <v>0</v>
      </c>
      <c r="O2577">
        <v>-0.78844919999999996</v>
      </c>
      <c r="P2577">
        <v>0.7208968</v>
      </c>
      <c r="Q2577">
        <v>-5.829351E-2</v>
      </c>
      <c r="R2577">
        <v>-0.69058649999999999</v>
      </c>
      <c r="S2577">
        <v>2.8492130000000002</v>
      </c>
      <c r="T2577">
        <v>-0.25452669999999999</v>
      </c>
      <c r="U2577">
        <v>-1.376846</v>
      </c>
      <c r="V2577">
        <v>-0.1432899</v>
      </c>
      <c r="W2577">
        <v>-4.5882939999999997E-2</v>
      </c>
      <c r="X2577">
        <v>0.98861659999999996</v>
      </c>
      <c r="Y2577">
        <v>-0.43931940000000003</v>
      </c>
      <c r="Z2577">
        <v>7.4699790000000002E-2</v>
      </c>
      <c r="AA2577">
        <v>0.89521980000000001</v>
      </c>
      <c r="AB2577">
        <v>19</v>
      </c>
      <c r="AC2577">
        <v>0.61729999999999996</v>
      </c>
      <c r="AD2577">
        <v>-7.7314999999999995E-2</v>
      </c>
      <c r="AE2577">
        <v>-0.123000000000018</v>
      </c>
      <c r="AF2577">
        <v>-0.405001576297847</v>
      </c>
      <c r="AG2577">
        <v>-7.7314999999999995E-2</v>
      </c>
      <c r="AH2577">
        <v>0.46954448080933497</v>
      </c>
      <c r="AI2577">
        <v>97.107283068507599</v>
      </c>
      <c r="AJ2577">
        <v>130.77913152820801</v>
      </c>
      <c r="AK2577">
        <v>0.62488071300629</v>
      </c>
      <c r="AL2577">
        <v>92.629822072741504</v>
      </c>
      <c r="AM2577">
        <v>98.247009458501907</v>
      </c>
      <c r="AN2577">
        <v>1.0000000107103</v>
      </c>
    </row>
    <row r="2578" spans="1:40" x14ac:dyDescent="0.3">
      <c r="A2578" t="str">
        <f>"20200111160500342"</f>
        <v>20200111160500342</v>
      </c>
      <c r="B2578" t="str">
        <f>"1578729900333976"</f>
        <v>1578729900333976</v>
      </c>
      <c r="C2578" t="s">
        <v>40</v>
      </c>
      <c r="D2578">
        <v>5.0652100000000004</v>
      </c>
      <c r="E2578">
        <v>0.39029459999999999</v>
      </c>
      <c r="F2578" t="s">
        <v>56</v>
      </c>
      <c r="G2578">
        <v>-476.71409999999997</v>
      </c>
      <c r="H2578" s="1">
        <v>3.0577770000000002E-6</v>
      </c>
      <c r="I2578">
        <v>216.37260000000001</v>
      </c>
      <c r="J2578">
        <v>-486.18439999999998</v>
      </c>
      <c r="K2578">
        <v>1.114676</v>
      </c>
      <c r="L2578">
        <v>220.48480000000001</v>
      </c>
      <c r="M2578">
        <v>0.66578559999999998</v>
      </c>
      <c r="N2578">
        <v>0</v>
      </c>
      <c r="O2578">
        <v>-0.74601169999999895</v>
      </c>
      <c r="P2578">
        <v>0.76740129999999995</v>
      </c>
      <c r="Q2578">
        <v>-6.2128900000000001E-2</v>
      </c>
      <c r="R2578">
        <v>-0.63814969999999904</v>
      </c>
      <c r="S2578">
        <v>2.7952880000000002</v>
      </c>
      <c r="T2578">
        <v>-0.2955429</v>
      </c>
      <c r="U2578">
        <v>-1.4011990000000001</v>
      </c>
      <c r="V2578">
        <v>-0.14713180000000001</v>
      </c>
      <c r="W2578">
        <v>-4.9812179999999998E-2</v>
      </c>
      <c r="X2578">
        <v>0.98786180000000001</v>
      </c>
      <c r="Y2578">
        <v>-0.36467579999999999</v>
      </c>
      <c r="Z2578">
        <v>8.214726E-2</v>
      </c>
      <c r="AA2578">
        <v>0.92750390000000005</v>
      </c>
      <c r="AB2578">
        <v>19</v>
      </c>
      <c r="AC2578">
        <v>9.4702999999999999</v>
      </c>
      <c r="AD2578">
        <v>-1.114672942223</v>
      </c>
      <c r="AE2578">
        <v>-4.1121999999999996</v>
      </c>
      <c r="AF2578">
        <v>-4.2776746187714396</v>
      </c>
      <c r="AG2578">
        <v>-1.114672942223</v>
      </c>
      <c r="AH2578">
        <v>9.2658545984500105</v>
      </c>
      <c r="AI2578">
        <v>96.233225759860602</v>
      </c>
      <c r="AJ2578">
        <v>114.780882003184</v>
      </c>
      <c r="AK2578">
        <v>10.266306899358799</v>
      </c>
      <c r="AL2578">
        <v>92.855209326283699</v>
      </c>
      <c r="AM2578">
        <v>98.471340208832501</v>
      </c>
      <c r="AN2578">
        <v>0.99999997787341499</v>
      </c>
    </row>
    <row r="2579" spans="1:40" x14ac:dyDescent="0.3">
      <c r="A2579" t="str">
        <f>"20200111160500366"</f>
        <v>20200111160500366</v>
      </c>
      <c r="B2579" t="str">
        <f>"1578729900363256"</f>
        <v>1578729900363256</v>
      </c>
      <c r="C2579" t="s">
        <v>40</v>
      </c>
      <c r="D2579">
        <v>5.060492</v>
      </c>
      <c r="E2579">
        <v>0.34567059999999999</v>
      </c>
      <c r="F2579" t="s">
        <v>56</v>
      </c>
      <c r="G2579">
        <v>-476.28280000000001</v>
      </c>
      <c r="H2579" s="1">
        <v>3.242191E-6</v>
      </c>
      <c r="I2579">
        <v>216.21559999999999</v>
      </c>
      <c r="J2579">
        <v>-486.0523</v>
      </c>
      <c r="K2579">
        <v>1.1147359999999999</v>
      </c>
      <c r="L2579">
        <v>220.35149999999999</v>
      </c>
      <c r="M2579">
        <v>0.6719252</v>
      </c>
      <c r="N2579">
        <v>0</v>
      </c>
      <c r="O2579">
        <v>-0.74048649999999905</v>
      </c>
      <c r="P2579">
        <v>0.77130650000000001</v>
      </c>
      <c r="Q2579">
        <v>-6.3265680000000005E-2</v>
      </c>
      <c r="R2579">
        <v>-0.63331179999999998</v>
      </c>
      <c r="S2579">
        <v>2.8583980000000002</v>
      </c>
      <c r="T2579">
        <v>-0.32178430000000002</v>
      </c>
      <c r="U2579">
        <v>-1.232437</v>
      </c>
      <c r="V2579">
        <v>-0.1450967</v>
      </c>
      <c r="W2579">
        <v>-5.0938730000000002E-2</v>
      </c>
      <c r="X2579">
        <v>0.98810540000000002</v>
      </c>
      <c r="Y2579">
        <v>-0.40902460000000002</v>
      </c>
      <c r="Z2579">
        <v>9.1082800000000005E-2</v>
      </c>
      <c r="AA2579">
        <v>0.9079663</v>
      </c>
      <c r="AB2579">
        <v>19</v>
      </c>
      <c r="AC2579">
        <v>9.7694999999999901</v>
      </c>
      <c r="AD2579">
        <v>-1.1147327578090001</v>
      </c>
      <c r="AE2579">
        <v>-4.1358999999999897</v>
      </c>
      <c r="AF2579">
        <v>-4.40694844713917</v>
      </c>
      <c r="AG2579">
        <v>-1.1147327578090001</v>
      </c>
      <c r="AH2579">
        <v>9.5227573434238693</v>
      </c>
      <c r="AI2579">
        <v>96.064091888884505</v>
      </c>
      <c r="AJ2579">
        <v>114.83378950372899</v>
      </c>
      <c r="AK2579">
        <v>10.552096055230299</v>
      </c>
      <c r="AL2579">
        <v>92.919837753898904</v>
      </c>
      <c r="AM2579">
        <v>98.353800963635507</v>
      </c>
      <c r="AN2579">
        <v>1.00000004403703</v>
      </c>
    </row>
    <row r="2580" spans="1:40" x14ac:dyDescent="0.3">
      <c r="A2580" t="str">
        <f>"20200111160500388"</f>
        <v>20200111160500388</v>
      </c>
      <c r="B2580" t="str">
        <f>"1578729900383752"</f>
        <v>1578729900383752</v>
      </c>
      <c r="C2580" t="s">
        <v>40</v>
      </c>
      <c r="D2580">
        <v>5.0352959999999998</v>
      </c>
      <c r="E2580">
        <v>0.34487990000000002</v>
      </c>
      <c r="F2580" t="s">
        <v>42</v>
      </c>
      <c r="G2580">
        <v>-485.09059999999999</v>
      </c>
      <c r="H2580">
        <v>1.015252</v>
      </c>
      <c r="I2580">
        <v>220.0592</v>
      </c>
      <c r="J2580">
        <v>-485.92169999999999</v>
      </c>
      <c r="K2580">
        <v>1.1148049999999901</v>
      </c>
      <c r="L2580">
        <v>220.22200000000001</v>
      </c>
      <c r="M2580">
        <v>0.67800859999999996</v>
      </c>
      <c r="N2580">
        <v>0</v>
      </c>
      <c r="O2580">
        <v>-0.73492060000000003</v>
      </c>
      <c r="P2580">
        <v>0.77559800000000001</v>
      </c>
      <c r="Q2580">
        <v>-6.4254400000000003E-2</v>
      </c>
      <c r="R2580">
        <v>-0.62794879999999997</v>
      </c>
      <c r="S2580">
        <v>3.0921940000000001</v>
      </c>
      <c r="T2580">
        <v>-0.31977889999999998</v>
      </c>
      <c r="U2580">
        <v>-0.93916319999999998</v>
      </c>
      <c r="V2580">
        <v>-0.14372199999999999</v>
      </c>
      <c r="W2580">
        <v>-5.19248E-2</v>
      </c>
      <c r="X2580">
        <v>0.98825490000000005</v>
      </c>
      <c r="Y2580">
        <v>-0.50115329999999902</v>
      </c>
      <c r="Z2580">
        <v>9.0476420000000002E-2</v>
      </c>
      <c r="AA2580">
        <v>0.86061569999999898</v>
      </c>
      <c r="AB2580">
        <v>19</v>
      </c>
      <c r="AC2580">
        <v>0.83109999999999196</v>
      </c>
      <c r="AD2580">
        <v>-9.9552999999999697E-2</v>
      </c>
      <c r="AE2580">
        <v>-0.162800000000004</v>
      </c>
      <c r="AF2580">
        <v>-0.493640575656425</v>
      </c>
      <c r="AG2580">
        <v>-9.9552999999999697E-2</v>
      </c>
      <c r="AH2580">
        <v>0.67389304643658599</v>
      </c>
      <c r="AI2580">
        <v>96.796166343559406</v>
      </c>
      <c r="AJ2580">
        <v>126.223546561741</v>
      </c>
      <c r="AK2580">
        <v>0.84126313111831397</v>
      </c>
      <c r="AL2580">
        <v>92.976410488486195</v>
      </c>
      <c r="AM2580">
        <v>98.274520712800296</v>
      </c>
      <c r="AN2580">
        <v>0.99999997275652397</v>
      </c>
    </row>
    <row r="2581" spans="1:40" x14ac:dyDescent="0.3">
      <c r="A2581" t="str">
        <f>"20200111160500411"</f>
        <v>20200111160500411</v>
      </c>
      <c r="B2581" t="str">
        <f>"1578729900403272"</f>
        <v>1578729900403272</v>
      </c>
      <c r="C2581" t="s">
        <v>40</v>
      </c>
      <c r="D2581">
        <v>4.8790360000000002</v>
      </c>
      <c r="E2581">
        <v>0.34507149999999998</v>
      </c>
      <c r="F2581" t="s">
        <v>42</v>
      </c>
      <c r="G2581">
        <v>-484.97449999999998</v>
      </c>
      <c r="H2581">
        <v>1.0148779999999999</v>
      </c>
      <c r="I2581">
        <v>219.9435</v>
      </c>
      <c r="J2581">
        <v>-485.78519999999997</v>
      </c>
      <c r="K2581">
        <v>1.114884</v>
      </c>
      <c r="L2581">
        <v>220.08920000000001</v>
      </c>
      <c r="M2581">
        <v>0.68435679999999999</v>
      </c>
      <c r="N2581">
        <v>0</v>
      </c>
      <c r="O2581">
        <v>-0.729012199999999</v>
      </c>
      <c r="P2581">
        <v>0.78084030000000004</v>
      </c>
      <c r="Q2581">
        <v>-6.3779989999999995E-2</v>
      </c>
      <c r="R2581">
        <v>-0.62146659999999998</v>
      </c>
      <c r="S2581">
        <v>3.1021730000000001</v>
      </c>
      <c r="T2581">
        <v>-0.32727420000000002</v>
      </c>
      <c r="U2581">
        <v>-0.91235350000000004</v>
      </c>
      <c r="V2581">
        <v>-0.1434069</v>
      </c>
      <c r="W2581">
        <v>-5.145723E-2</v>
      </c>
      <c r="X2581">
        <v>0.98832520000000001</v>
      </c>
      <c r="Y2581">
        <v>-0.50105230000000001</v>
      </c>
      <c r="Z2581">
        <v>9.2104309999999995E-2</v>
      </c>
      <c r="AA2581">
        <v>0.86050179999999998</v>
      </c>
      <c r="AB2581">
        <v>19</v>
      </c>
      <c r="AC2581">
        <v>0.81069999999999698</v>
      </c>
      <c r="AD2581">
        <v>-0.100005999999999</v>
      </c>
      <c r="AE2581">
        <v>-0.14570000000000499</v>
      </c>
      <c r="AF2581">
        <v>-0.48421007613906503</v>
      </c>
      <c r="AG2581">
        <v>-0.100005999999999</v>
      </c>
      <c r="AH2581">
        <v>0.65148670643470596</v>
      </c>
      <c r="AI2581">
        <v>97.023567724007407</v>
      </c>
      <c r="AJ2581">
        <v>126.621156605574</v>
      </c>
      <c r="AK2581">
        <v>0.81786033436751304</v>
      </c>
      <c r="AL2581">
        <v>92.949584629337096</v>
      </c>
      <c r="AM2581">
        <v>98.2560506082187</v>
      </c>
      <c r="AN2581">
        <v>1.0000000432209599</v>
      </c>
    </row>
    <row r="2582" spans="1:40" x14ac:dyDescent="0.3">
      <c r="A2582" t="str">
        <f>"20200111160500633"</f>
        <v>20200111160500633</v>
      </c>
      <c r="B2582" t="str">
        <f>"1578729900623848"</f>
        <v>1578729900623848</v>
      </c>
      <c r="C2582" t="s">
        <v>40</v>
      </c>
      <c r="D2582">
        <v>5.0461720000000003</v>
      </c>
      <c r="E2582">
        <v>0.32350759999999901</v>
      </c>
      <c r="F2582" t="s">
        <v>42</v>
      </c>
      <c r="G2582">
        <v>-483.73669999999998</v>
      </c>
      <c r="H2582">
        <v>1.0272030000000001</v>
      </c>
      <c r="I2582">
        <v>218.90960000000001</v>
      </c>
      <c r="J2582">
        <v>-484.40800000000002</v>
      </c>
      <c r="K2582">
        <v>1.115054</v>
      </c>
      <c r="L2582">
        <v>218.87909999999999</v>
      </c>
      <c r="M2582">
        <v>0.74574259999999903</v>
      </c>
      <c r="N2582">
        <v>0</v>
      </c>
      <c r="O2582">
        <v>-0.66608509999999999</v>
      </c>
      <c r="P2582">
        <v>0.83346799999999999</v>
      </c>
      <c r="Q2582">
        <v>-5.0925190000000002E-2</v>
      </c>
      <c r="R2582">
        <v>-0.55021640000000005</v>
      </c>
      <c r="S2582">
        <v>3.1614689999999999</v>
      </c>
      <c r="T2582">
        <v>-0.28933370000000003</v>
      </c>
      <c r="U2582">
        <v>-0.67666630000000005</v>
      </c>
      <c r="V2582">
        <v>-0.144441299999999</v>
      </c>
      <c r="W2582">
        <v>-3.856801E-2</v>
      </c>
      <c r="X2582">
        <v>0.98876140000000001</v>
      </c>
      <c r="Y2582">
        <v>-0.49121419999999999</v>
      </c>
      <c r="Z2582">
        <v>7.6960349999999997E-2</v>
      </c>
      <c r="AA2582">
        <v>0.86763230000000002</v>
      </c>
      <c r="AB2582">
        <v>19</v>
      </c>
      <c r="AC2582">
        <v>0.67130000000002998</v>
      </c>
      <c r="AD2582">
        <v>-8.7850999999999901E-2</v>
      </c>
      <c r="AE2582">
        <v>3.05000000000177E-2</v>
      </c>
      <c r="AF2582">
        <v>-0.46203810700749798</v>
      </c>
      <c r="AG2582">
        <v>-8.7850999999999901E-2</v>
      </c>
      <c r="AH2582">
        <v>0.47227747629785199</v>
      </c>
      <c r="AI2582">
        <v>97.573988033268293</v>
      </c>
      <c r="AJ2582">
        <v>134.37210812914901</v>
      </c>
      <c r="AK2582">
        <v>0.666515585073853</v>
      </c>
      <c r="AL2582">
        <v>92.210332528723796</v>
      </c>
      <c r="AM2582">
        <v>98.311155306490605</v>
      </c>
      <c r="AN2582">
        <v>0.99999994333550302</v>
      </c>
    </row>
    <row r="2583" spans="1:40" x14ac:dyDescent="0.3">
      <c r="A2583" t="str">
        <f>"20200111160500701"</f>
        <v>20200111160500701</v>
      </c>
      <c r="B2583" t="str">
        <f>"1578729900693405"</f>
        <v>1578729900693405</v>
      </c>
      <c r="C2583" t="s">
        <v>40</v>
      </c>
      <c r="D2583">
        <v>5.031053</v>
      </c>
      <c r="E2583">
        <v>0.32671800000000001</v>
      </c>
      <c r="F2583" t="s">
        <v>42</v>
      </c>
      <c r="G2583">
        <v>-483.46550000000002</v>
      </c>
      <c r="H2583">
        <v>1.0726260000000001</v>
      </c>
      <c r="I2583">
        <v>218.7423</v>
      </c>
      <c r="J2583">
        <v>-483.9742</v>
      </c>
      <c r="K2583">
        <v>1.1149690000000001</v>
      </c>
      <c r="L2583">
        <v>218.54060000000001</v>
      </c>
      <c r="M2583">
        <v>0.76322469999999998</v>
      </c>
      <c r="N2583">
        <v>0</v>
      </c>
      <c r="O2583">
        <v>-0.64597959999999999</v>
      </c>
      <c r="P2583">
        <v>0.85152709999999998</v>
      </c>
      <c r="Q2583">
        <v>-4.903975E-2</v>
      </c>
      <c r="R2583">
        <v>-0.52201249999999999</v>
      </c>
      <c r="S2583">
        <v>3.2762760000000002</v>
      </c>
      <c r="T2583">
        <v>-0.1474992</v>
      </c>
      <c r="U2583">
        <v>-0.47586060000000002</v>
      </c>
      <c r="V2583">
        <v>-0.15128559999999999</v>
      </c>
      <c r="W2583">
        <v>-3.6744840000000001E-2</v>
      </c>
      <c r="X2583">
        <v>0.98780690000000004</v>
      </c>
      <c r="Y2583">
        <v>-0.52856769999999997</v>
      </c>
      <c r="Z2583">
        <v>3.848468E-2</v>
      </c>
      <c r="AA2583">
        <v>0.8480183</v>
      </c>
      <c r="AB2583">
        <v>19</v>
      </c>
      <c r="AC2583">
        <v>0.50869999999997595</v>
      </c>
      <c r="AD2583">
        <v>-4.2342999999999999E-2</v>
      </c>
      <c r="AE2583">
        <v>0.201699999999988</v>
      </c>
      <c r="AF2583">
        <v>-0.47972787935799199</v>
      </c>
      <c r="AG2583">
        <v>-4.2342999999999999E-2</v>
      </c>
      <c r="AH2583">
        <v>0.25644849654720397</v>
      </c>
      <c r="AI2583">
        <v>94.450957945136906</v>
      </c>
      <c r="AJ2583">
        <v>151.87234303916901</v>
      </c>
      <c r="AK2583">
        <v>0.54561671461167405</v>
      </c>
      <c r="AL2583">
        <v>92.105798314160793</v>
      </c>
      <c r="AM2583">
        <v>98.707362255512606</v>
      </c>
      <c r="AN2583">
        <v>0.99999999386079697</v>
      </c>
    </row>
    <row r="2584" spans="1:40" x14ac:dyDescent="0.3">
      <c r="A2584" t="str">
        <f>"20200111160500724"</f>
        <v>20200111160500724</v>
      </c>
      <c r="B2584" t="str">
        <f>"1578729900713900"</f>
        <v>1578729900713900</v>
      </c>
      <c r="C2584" t="s">
        <v>40</v>
      </c>
      <c r="D2584">
        <v>5.1058849999999998</v>
      </c>
      <c r="E2584">
        <v>0.3302368</v>
      </c>
      <c r="F2584" t="s">
        <v>42</v>
      </c>
      <c r="G2584">
        <v>-483.00319999999999</v>
      </c>
      <c r="H2584">
        <v>1.0732109999999999</v>
      </c>
      <c r="I2584">
        <v>218.42570000000001</v>
      </c>
      <c r="J2584">
        <v>-483.82639999999998</v>
      </c>
      <c r="K2584">
        <v>1.114951</v>
      </c>
      <c r="L2584">
        <v>218.42939999999999</v>
      </c>
      <c r="M2584">
        <v>0.76896799999999998</v>
      </c>
      <c r="N2584">
        <v>0</v>
      </c>
      <c r="O2584">
        <v>-0.63913199999999903</v>
      </c>
      <c r="P2584">
        <v>0.85676549999999996</v>
      </c>
      <c r="Q2584">
        <v>-4.94292E-2</v>
      </c>
      <c r="R2584">
        <v>-0.51333209999999996</v>
      </c>
      <c r="S2584">
        <v>3.277161</v>
      </c>
      <c r="T2584">
        <v>-0.14094570000000001</v>
      </c>
      <c r="U2584">
        <v>-0.38789370000000001</v>
      </c>
      <c r="V2584">
        <v>-0.15247769999999999</v>
      </c>
      <c r="W2584">
        <v>-3.7144419999999997E-2</v>
      </c>
      <c r="X2584">
        <v>0.98760859999999995</v>
      </c>
      <c r="Y2584">
        <v>-0.54338649999999999</v>
      </c>
      <c r="Z2584">
        <v>3.6985440000000001E-2</v>
      </c>
      <c r="AA2584">
        <v>0.83866749999999901</v>
      </c>
      <c r="AB2584">
        <v>19</v>
      </c>
      <c r="AC2584">
        <v>0.82319999999998505</v>
      </c>
      <c r="AD2584">
        <v>-4.1739999999999798E-2</v>
      </c>
      <c r="AE2584">
        <v>-3.69999999998071E-3</v>
      </c>
      <c r="AF2584">
        <v>-0.52199821943571401</v>
      </c>
      <c r="AG2584">
        <v>-4.1739999999999798E-2</v>
      </c>
      <c r="AH2584">
        <v>0.63381284704358498</v>
      </c>
      <c r="AI2584">
        <v>92.910092208273696</v>
      </c>
      <c r="AJ2584">
        <v>129.47432887175799</v>
      </c>
      <c r="AK2584">
        <v>0.82215758451257404</v>
      </c>
      <c r="AL2584">
        <v>92.128708291729197</v>
      </c>
      <c r="AM2584">
        <v>98.776645195215494</v>
      </c>
      <c r="AN2584">
        <v>0.99999995186419199</v>
      </c>
    </row>
    <row r="2585" spans="1:40" x14ac:dyDescent="0.3">
      <c r="A2585" t="str">
        <f>"20200111160500746"</f>
        <v>20200111160500746</v>
      </c>
      <c r="B2585" t="str">
        <f>"1578729900743181"</f>
        <v>1578729900743181</v>
      </c>
      <c r="C2585" t="s">
        <v>40</v>
      </c>
      <c r="D2585">
        <v>5.0960559999999999</v>
      </c>
      <c r="E2585">
        <v>0.33271099999999998</v>
      </c>
      <c r="F2585" t="s">
        <v>42</v>
      </c>
      <c r="G2585">
        <v>-482.80470000000003</v>
      </c>
      <c r="H2585">
        <v>1.0654950000000001</v>
      </c>
      <c r="I2585">
        <v>218.31100000000001</v>
      </c>
      <c r="J2585">
        <v>-483.68119999999999</v>
      </c>
      <c r="K2585">
        <v>1.1149169999999999</v>
      </c>
      <c r="L2585">
        <v>218.32230000000001</v>
      </c>
      <c r="M2585">
        <v>0.77450649999999999</v>
      </c>
      <c r="N2585">
        <v>0</v>
      </c>
      <c r="O2585">
        <v>-0.6324092</v>
      </c>
      <c r="P2585">
        <v>0.86152320000000004</v>
      </c>
      <c r="Q2585">
        <v>-5.0405829999999999E-2</v>
      </c>
      <c r="R2585">
        <v>-0.50521059999999995</v>
      </c>
      <c r="S2585">
        <v>3.2660830000000001</v>
      </c>
      <c r="T2585">
        <v>-0.15804399999999999</v>
      </c>
      <c r="U2585">
        <v>-0.37768550000000001</v>
      </c>
      <c r="V2585">
        <v>-0.15316529999999901</v>
      </c>
      <c r="W2585">
        <v>-3.8126510000000002E-2</v>
      </c>
      <c r="X2585">
        <v>0.98746480000000003</v>
      </c>
      <c r="Y2585">
        <v>-0.53807079999999996</v>
      </c>
      <c r="Z2585">
        <v>4.124862E-2</v>
      </c>
      <c r="AA2585">
        <v>0.84188969999999896</v>
      </c>
      <c r="AB2585">
        <v>18</v>
      </c>
      <c r="AC2585">
        <v>0.87649999999996397</v>
      </c>
      <c r="AD2585">
        <v>-4.9421999999999799E-2</v>
      </c>
      <c r="AE2585">
        <v>-1.1300000000034E-2</v>
      </c>
      <c r="AF2585">
        <v>-0.54387994493132297</v>
      </c>
      <c r="AG2585">
        <v>-4.9421999999999799E-2</v>
      </c>
      <c r="AH2585">
        <v>0.68389522008586101</v>
      </c>
      <c r="AI2585">
        <v>93.237209605247003</v>
      </c>
      <c r="AJ2585">
        <v>128.49410494285399</v>
      </c>
      <c r="AK2585">
        <v>0.87519175078309996</v>
      </c>
      <c r="AL2585">
        <v>92.185017728469006</v>
      </c>
      <c r="AM2585">
        <v>98.816866865166503</v>
      </c>
      <c r="AN2585">
        <v>0.99999998556395497</v>
      </c>
    </row>
    <row r="2586" spans="1:40" x14ac:dyDescent="0.3">
      <c r="A2586" t="str">
        <f>"20200111160500768"</f>
        <v>20200111160500768</v>
      </c>
      <c r="B2586" t="str">
        <f>"1578729900763208"</f>
        <v>1578729900763208</v>
      </c>
      <c r="C2586" t="s">
        <v>40</v>
      </c>
      <c r="D2586">
        <v>5.1486510000000001</v>
      </c>
      <c r="E2586">
        <v>0.33435110000000001</v>
      </c>
      <c r="F2586" t="s">
        <v>42</v>
      </c>
      <c r="G2586">
        <v>-482.68</v>
      </c>
      <c r="H2586">
        <v>1.0635950000000001</v>
      </c>
      <c r="I2586">
        <v>218.2105</v>
      </c>
      <c r="J2586">
        <v>-483.541</v>
      </c>
      <c r="K2586">
        <v>1.1148940000000001</v>
      </c>
      <c r="L2586">
        <v>218.22069999999999</v>
      </c>
      <c r="M2586">
        <v>0.77976979999999996</v>
      </c>
      <c r="N2586">
        <v>0</v>
      </c>
      <c r="O2586">
        <v>-0.62590800000000002</v>
      </c>
      <c r="P2586">
        <v>0.86568289999999903</v>
      </c>
      <c r="Q2586">
        <v>-5.1248790000000002E-2</v>
      </c>
      <c r="R2586">
        <v>-0.49796289999999999</v>
      </c>
      <c r="S2586">
        <v>3.259064</v>
      </c>
      <c r="T2586">
        <v>-0.1670468</v>
      </c>
      <c r="U2586">
        <v>-0.36386109999999999</v>
      </c>
      <c r="V2586">
        <v>-0.15315319999999999</v>
      </c>
      <c r="W2586">
        <v>-3.8966840000000003E-2</v>
      </c>
      <c r="X2586">
        <v>0.98743389999999998</v>
      </c>
      <c r="Y2586">
        <v>-0.53419689999999997</v>
      </c>
      <c r="Z2586">
        <v>4.3357130000000001E-2</v>
      </c>
      <c r="AA2586">
        <v>0.84424750000000004</v>
      </c>
      <c r="AB2586">
        <v>18</v>
      </c>
      <c r="AC2586">
        <v>0.86099999999999</v>
      </c>
      <c r="AD2586">
        <v>-5.12989999999999E-2</v>
      </c>
      <c r="AE2586">
        <v>-1.0199999999997499E-2</v>
      </c>
      <c r="AF2586">
        <v>-0.52912770362984296</v>
      </c>
      <c r="AG2586">
        <v>-5.12989999999999E-2</v>
      </c>
      <c r="AH2586">
        <v>0.67543587986558196</v>
      </c>
      <c r="AI2586">
        <v>93.421526987463395</v>
      </c>
      <c r="AJ2586">
        <v>128.07468825115899</v>
      </c>
      <c r="AK2586">
        <v>0.85954717262020297</v>
      </c>
      <c r="AL2586">
        <v>92.233200843442702</v>
      </c>
      <c r="AM2586">
        <v>98.816452831269899</v>
      </c>
      <c r="AN2586">
        <v>1.0000000120795101</v>
      </c>
    </row>
    <row r="2587" spans="1:40" x14ac:dyDescent="0.3">
      <c r="A2587" t="str">
        <f>"20200111160500789"</f>
        <v>20200111160500789</v>
      </c>
      <c r="B2587" t="str">
        <f>"1578729900783704"</f>
        <v>1578729900783704</v>
      </c>
      <c r="C2587" t="s">
        <v>40</v>
      </c>
      <c r="D2587">
        <v>5.094576</v>
      </c>
      <c r="E2587">
        <v>0.33537729999999999</v>
      </c>
      <c r="F2587" t="s">
        <v>42</v>
      </c>
      <c r="G2587">
        <v>-482.55259999999998</v>
      </c>
      <c r="H2587">
        <v>1.0612619999999999</v>
      </c>
      <c r="I2587">
        <v>218.11519999999999</v>
      </c>
      <c r="J2587">
        <v>-483.39699999999999</v>
      </c>
      <c r="K2587">
        <v>1.1148800000000001</v>
      </c>
      <c r="L2587">
        <v>218.1182</v>
      </c>
      <c r="M2587">
        <v>0.78508919999999904</v>
      </c>
      <c r="N2587">
        <v>0</v>
      </c>
      <c r="O2587">
        <v>-0.61922259999999996</v>
      </c>
      <c r="P2587">
        <v>0.86975089999999999</v>
      </c>
      <c r="Q2587">
        <v>-5.2278119999999997E-2</v>
      </c>
      <c r="R2587">
        <v>-0.49071429999999999</v>
      </c>
      <c r="S2587">
        <v>3.255188</v>
      </c>
      <c r="T2587">
        <v>-0.17659910000000001</v>
      </c>
      <c r="U2587">
        <v>-0.34735110000000002</v>
      </c>
      <c r="V2587">
        <v>-0.15291679999999999</v>
      </c>
      <c r="W2587">
        <v>-3.9991600000000002E-2</v>
      </c>
      <c r="X2587">
        <v>0.98742960000000002</v>
      </c>
      <c r="Y2587">
        <v>-0.53094079999999999</v>
      </c>
      <c r="Z2587">
        <v>4.5546320000000001E-2</v>
      </c>
      <c r="AA2587">
        <v>0.84618409999999999</v>
      </c>
      <c r="AB2587">
        <v>18</v>
      </c>
      <c r="AC2587">
        <v>0.84440000000000703</v>
      </c>
      <c r="AD2587">
        <v>-5.3617999999999701E-2</v>
      </c>
      <c r="AE2587">
        <v>-3.0000000000143202E-3</v>
      </c>
      <c r="AF2587">
        <v>-0.51847742280457298</v>
      </c>
      <c r="AG2587">
        <v>-5.3617999999999701E-2</v>
      </c>
      <c r="AH2587">
        <v>0.66218300397532603</v>
      </c>
      <c r="AI2587">
        <v>93.6478960499187</v>
      </c>
      <c r="AJ2587">
        <v>128.06030735390999</v>
      </c>
      <c r="AK2587">
        <v>0.84272181568763205</v>
      </c>
      <c r="AL2587">
        <v>92.291961001946603</v>
      </c>
      <c r="AM2587">
        <v>98.803095223809393</v>
      </c>
      <c r="AN2587">
        <v>1.00000004537447</v>
      </c>
    </row>
    <row r="2588" spans="1:40" x14ac:dyDescent="0.3">
      <c r="A2588" t="str">
        <f>"20200111160500812"</f>
        <v>20200111160500812</v>
      </c>
      <c r="B2588" t="str">
        <f>"1578729900804201"</f>
        <v>1578729900804201</v>
      </c>
      <c r="C2588" t="s">
        <v>40</v>
      </c>
      <c r="D2588">
        <v>5.0946230000000003</v>
      </c>
      <c r="E2588">
        <v>0.33692179999999999</v>
      </c>
      <c r="F2588" t="s">
        <v>42</v>
      </c>
      <c r="G2588">
        <v>-482.4248</v>
      </c>
      <c r="H2588">
        <v>1.061488</v>
      </c>
      <c r="I2588">
        <v>218.0205</v>
      </c>
      <c r="J2588">
        <v>-483.24450000000002</v>
      </c>
      <c r="K2588">
        <v>1.1148640000000001</v>
      </c>
      <c r="L2588">
        <v>218.01159999999999</v>
      </c>
      <c r="M2588">
        <v>0.79062519999999903</v>
      </c>
      <c r="N2588">
        <v>0</v>
      </c>
      <c r="O2588">
        <v>-0.61213850000000003</v>
      </c>
      <c r="P2588">
        <v>0.87408779999999997</v>
      </c>
      <c r="Q2588">
        <v>-5.229586E-2</v>
      </c>
      <c r="R2588">
        <v>-0.48294500000000001</v>
      </c>
      <c r="S2588">
        <v>3.253876</v>
      </c>
      <c r="T2588">
        <v>-0.1787184</v>
      </c>
      <c r="U2588">
        <v>-0.32728580000000002</v>
      </c>
      <c r="V2588">
        <v>-0.15283759999999999</v>
      </c>
      <c r="W2588">
        <v>-4.0006670000000001E-2</v>
      </c>
      <c r="X2588">
        <v>0.98744120000000002</v>
      </c>
      <c r="Y2588">
        <v>-0.52842309999999904</v>
      </c>
      <c r="Z2588">
        <v>4.5770459999999999E-2</v>
      </c>
      <c r="AA2588">
        <v>0.84774640000000001</v>
      </c>
      <c r="AB2588">
        <v>18</v>
      </c>
      <c r="AC2588">
        <v>0.81970000000001098</v>
      </c>
      <c r="AD2588">
        <v>-5.3375999999999799E-2</v>
      </c>
      <c r="AE2588">
        <v>8.9000000000112305E-3</v>
      </c>
      <c r="AF2588">
        <v>-0.50670866343382703</v>
      </c>
      <c r="AG2588">
        <v>-5.3375999999999799E-2</v>
      </c>
      <c r="AH2588">
        <v>0.63997786541908896</v>
      </c>
      <c r="AI2588">
        <v>93.741171936699104</v>
      </c>
      <c r="AJ2588">
        <v>128.37076093061299</v>
      </c>
      <c r="AK2588">
        <v>0.81803076665934105</v>
      </c>
      <c r="AL2588">
        <v>92.292825257484395</v>
      </c>
      <c r="AM2588">
        <v>98.798505463984299</v>
      </c>
      <c r="AN2588">
        <v>0.99999999453784405</v>
      </c>
    </row>
    <row r="2589" spans="1:40" x14ac:dyDescent="0.3">
      <c r="A2589" t="str">
        <f>"20200111160500835"</f>
        <v>20200111160500835</v>
      </c>
      <c r="B2589" t="str">
        <f>"1578729900824696"</f>
        <v>1578729900824696</v>
      </c>
      <c r="C2589" t="s">
        <v>40</v>
      </c>
      <c r="D2589">
        <v>5.2242129999999998</v>
      </c>
      <c r="E2589">
        <v>0.33735379999999998</v>
      </c>
      <c r="F2589" t="s">
        <v>42</v>
      </c>
      <c r="G2589">
        <v>-482.2989</v>
      </c>
      <c r="H2589">
        <v>1.063245</v>
      </c>
      <c r="I2589">
        <v>217.92140000000001</v>
      </c>
      <c r="J2589">
        <v>-483.09570000000002</v>
      </c>
      <c r="K2589">
        <v>1.114852</v>
      </c>
      <c r="L2589">
        <v>217.90960000000001</v>
      </c>
      <c r="M2589">
        <v>0.7959406</v>
      </c>
      <c r="N2589">
        <v>0</v>
      </c>
      <c r="O2589">
        <v>-0.60521130000000001</v>
      </c>
      <c r="P2589">
        <v>0.87780979999999997</v>
      </c>
      <c r="Q2589">
        <v>-5.245785E-2</v>
      </c>
      <c r="R2589">
        <v>-0.47612870000000002</v>
      </c>
      <c r="S2589">
        <v>3.2507630000000001</v>
      </c>
      <c r="T2589">
        <v>-0.17738709999999999</v>
      </c>
      <c r="U2589">
        <v>-0.30905149999999998</v>
      </c>
      <c r="V2589">
        <v>-0.151893</v>
      </c>
      <c r="W2589">
        <v>-4.0155839999999998E-2</v>
      </c>
      <c r="X2589">
        <v>0.98758089999999998</v>
      </c>
      <c r="Y2589">
        <v>-0.5256729</v>
      </c>
      <c r="Z2589">
        <v>4.5128700000000001E-2</v>
      </c>
      <c r="AA2589">
        <v>0.84948889999999999</v>
      </c>
      <c r="AB2589">
        <v>18</v>
      </c>
      <c r="AC2589">
        <v>0.79680000000001805</v>
      </c>
      <c r="AD2589">
        <v>-5.1606999999999903E-2</v>
      </c>
      <c r="AE2589">
        <v>1.17999999999938E-2</v>
      </c>
      <c r="AF2589">
        <v>-0.48961966170705401</v>
      </c>
      <c r="AG2589">
        <v>-5.1606999999999903E-2</v>
      </c>
      <c r="AH2589">
        <v>0.624506865131494</v>
      </c>
      <c r="AI2589">
        <v>93.720838177888297</v>
      </c>
      <c r="AJ2589">
        <v>128.096802879969</v>
      </c>
      <c r="AK2589">
        <v>0.79523551239585399</v>
      </c>
      <c r="AL2589">
        <v>92.301378919592295</v>
      </c>
      <c r="AM2589">
        <v>98.743752256997595</v>
      </c>
      <c r="AN2589">
        <v>1.00000000448995</v>
      </c>
    </row>
    <row r="2590" spans="1:40" x14ac:dyDescent="0.3">
      <c r="A2590" t="str">
        <f>"20200111160500857"</f>
        <v>20200111160500857</v>
      </c>
      <c r="B2590" t="str">
        <f>"1578729900853508"</f>
        <v>1578729900853508</v>
      </c>
      <c r="C2590" t="s">
        <v>40</v>
      </c>
      <c r="D2590">
        <v>5.2157260000000001</v>
      </c>
      <c r="E2590">
        <v>0.33799659999999998</v>
      </c>
      <c r="F2590" t="s">
        <v>42</v>
      </c>
      <c r="G2590">
        <v>-482.17020000000002</v>
      </c>
      <c r="H2590">
        <v>1.064225</v>
      </c>
      <c r="I2590">
        <v>217.828</v>
      </c>
      <c r="J2590">
        <v>-482.94810000000001</v>
      </c>
      <c r="K2590">
        <v>1.114843</v>
      </c>
      <c r="L2590">
        <v>217.81020000000001</v>
      </c>
      <c r="M2590">
        <v>0.80112930000000004</v>
      </c>
      <c r="N2590">
        <v>0</v>
      </c>
      <c r="O2590">
        <v>-0.59832600000000002</v>
      </c>
      <c r="P2590">
        <v>0.88150779999999995</v>
      </c>
      <c r="Q2590">
        <v>-5.2445220000000001E-2</v>
      </c>
      <c r="R2590">
        <v>-0.469248</v>
      </c>
      <c r="S2590">
        <v>3.2513730000000001</v>
      </c>
      <c r="T2590">
        <v>-0.177876799999999</v>
      </c>
      <c r="U2590">
        <v>-0.28686519999999999</v>
      </c>
      <c r="V2590">
        <v>-0.1511043</v>
      </c>
      <c r="W2590">
        <v>-4.0132679999999997E-2</v>
      </c>
      <c r="X2590">
        <v>0.98770279999999999</v>
      </c>
      <c r="Y2590">
        <v>-0.52410709999999905</v>
      </c>
      <c r="Z2590">
        <v>4.4934910000000002E-2</v>
      </c>
      <c r="AA2590">
        <v>0.8504661</v>
      </c>
      <c r="AB2590">
        <v>18</v>
      </c>
      <c r="AC2590">
        <v>0.77789999999998805</v>
      </c>
      <c r="AD2590">
        <v>-5.0618000000000003E-2</v>
      </c>
      <c r="AE2590">
        <v>1.7799999999994001E-2</v>
      </c>
      <c r="AF2590">
        <v>-0.47772367888200801</v>
      </c>
      <c r="AG2590">
        <v>-5.0618000000000003E-2</v>
      </c>
      <c r="AH2590">
        <v>0.61002730994545795</v>
      </c>
      <c r="AI2590">
        <v>93.737726338870502</v>
      </c>
      <c r="AJ2590">
        <v>128.065153224618</v>
      </c>
      <c r="AK2590">
        <v>0.77647628049274697</v>
      </c>
      <c r="AL2590">
        <v>92.300050932158399</v>
      </c>
      <c r="AM2590">
        <v>98.697989655177494</v>
      </c>
      <c r="AN2590">
        <v>0.99999998130515599</v>
      </c>
    </row>
    <row r="2591" spans="1:40" x14ac:dyDescent="0.3">
      <c r="A2591" t="str">
        <f>"20200111160500879"</f>
        <v>20200111160500879</v>
      </c>
      <c r="B2591" t="str">
        <f>"1578729900874004"</f>
        <v>1578729900874004</v>
      </c>
      <c r="C2591" t="s">
        <v>40</v>
      </c>
      <c r="D2591">
        <v>4.9552550000000002</v>
      </c>
      <c r="E2591">
        <v>0.33636240000000001</v>
      </c>
      <c r="F2591" t="s">
        <v>42</v>
      </c>
      <c r="G2591">
        <v>-482.04090000000002</v>
      </c>
      <c r="H2591">
        <v>1.0698840000000001</v>
      </c>
      <c r="I2591">
        <v>217.73560000000001</v>
      </c>
      <c r="J2591">
        <v>-482.80149999999998</v>
      </c>
      <c r="K2591">
        <v>1.1148340000000001</v>
      </c>
      <c r="L2591">
        <v>217.7133</v>
      </c>
      <c r="M2591">
        <v>0.80619869999999905</v>
      </c>
      <c r="N2591">
        <v>0</v>
      </c>
      <c r="O2591">
        <v>-0.5914779</v>
      </c>
      <c r="P2591">
        <v>0.88510140000000004</v>
      </c>
      <c r="Q2591">
        <v>-5.2847970000000001E-2</v>
      </c>
      <c r="R2591">
        <v>-0.46238829999999997</v>
      </c>
      <c r="S2591">
        <v>3.251709</v>
      </c>
      <c r="T2591">
        <v>-0.16113369999999999</v>
      </c>
      <c r="U2591">
        <v>-0.2667389</v>
      </c>
      <c r="V2591">
        <v>-0.15034129999999901</v>
      </c>
      <c r="W2591">
        <v>-4.0526189999999997E-2</v>
      </c>
      <c r="X2591">
        <v>0.98780319999999999</v>
      </c>
      <c r="Y2591">
        <v>-0.52237370000000005</v>
      </c>
      <c r="Z2591">
        <v>4.0417130000000002E-2</v>
      </c>
      <c r="AA2591">
        <v>0.85175820000000002</v>
      </c>
      <c r="AB2591">
        <v>18</v>
      </c>
      <c r="AC2591">
        <v>0.76059999999995398</v>
      </c>
      <c r="AD2591">
        <v>-4.4949999999999997E-2</v>
      </c>
      <c r="AE2591">
        <v>2.2300000000001301E-2</v>
      </c>
      <c r="AF2591">
        <v>-0.46627543404563399</v>
      </c>
      <c r="AG2591">
        <v>-4.4949999999999997E-2</v>
      </c>
      <c r="AH2591">
        <v>0.59797735638828997</v>
      </c>
      <c r="AI2591">
        <v>93.392457131556498</v>
      </c>
      <c r="AJ2591">
        <v>127.94547843789201</v>
      </c>
      <c r="AK2591">
        <v>0.75961187566254695</v>
      </c>
      <c r="AL2591">
        <v>92.3226156623235</v>
      </c>
      <c r="AM2591">
        <v>98.653869575552605</v>
      </c>
      <c r="AN2591">
        <v>1.0000000202459201</v>
      </c>
    </row>
    <row r="2592" spans="1:40" x14ac:dyDescent="0.3">
      <c r="A2592" t="str">
        <f>"20200111160500904"</f>
        <v>20200111160500904</v>
      </c>
      <c r="B2592" t="str">
        <f>"1578729900893525"</f>
        <v>1578729900893525</v>
      </c>
      <c r="C2592" t="s">
        <v>40</v>
      </c>
      <c r="D2592">
        <v>5.0068929999999998</v>
      </c>
      <c r="E2592">
        <v>0.33571060000000003</v>
      </c>
      <c r="F2592" t="s">
        <v>57</v>
      </c>
      <c r="G2592">
        <v>-451.21570000000003</v>
      </c>
      <c r="H2592" s="1">
        <v>-9.2699750000000001E-7</v>
      </c>
      <c r="I2592">
        <v>215.46549999999999</v>
      </c>
      <c r="J2592">
        <v>-482.63659999999999</v>
      </c>
      <c r="K2592">
        <v>1.1148260000000001</v>
      </c>
      <c r="L2592">
        <v>217.6063</v>
      </c>
      <c r="M2592">
        <v>0.81180640000000004</v>
      </c>
      <c r="N2592">
        <v>0</v>
      </c>
      <c r="O2592">
        <v>-0.58375719999999998</v>
      </c>
      <c r="P2592">
        <v>0.88912000000000002</v>
      </c>
      <c r="Q2592">
        <v>-5.3142429999999997E-2</v>
      </c>
      <c r="R2592">
        <v>-0.45457829999999999</v>
      </c>
      <c r="S2592">
        <v>3.2613829999999999</v>
      </c>
      <c r="T2592">
        <v>-0.11511200000000001</v>
      </c>
      <c r="U2592">
        <v>-0.23208619999999999</v>
      </c>
      <c r="V2592">
        <v>-0.1495986</v>
      </c>
      <c r="W2592">
        <v>-4.0811970000000003E-2</v>
      </c>
      <c r="X2592">
        <v>0.98790420000000001</v>
      </c>
      <c r="Y2592">
        <v>-0.52407079999999995</v>
      </c>
      <c r="Z2592">
        <v>2.863512E-2</v>
      </c>
      <c r="AA2592">
        <v>0.85119319999999898</v>
      </c>
      <c r="AB2592">
        <v>18</v>
      </c>
      <c r="AC2592">
        <v>31.4208999999999</v>
      </c>
      <c r="AD2592">
        <v>-1.1148269269975</v>
      </c>
      <c r="AE2592">
        <v>-2.1408000000000098</v>
      </c>
      <c r="AF2592">
        <v>-16.585122816175399</v>
      </c>
      <c r="AG2592">
        <v>-1.1148269269975</v>
      </c>
      <c r="AH2592">
        <v>26.726553625007</v>
      </c>
      <c r="AI2592">
        <v>92.029868343737604</v>
      </c>
      <c r="AJ2592">
        <v>121.821607949431</v>
      </c>
      <c r="AK2592">
        <v>31.4740815048693</v>
      </c>
      <c r="AL2592">
        <v>92.339003177502306</v>
      </c>
      <c r="AM2592">
        <v>98.610893928224698</v>
      </c>
      <c r="AN2592">
        <v>1.0000000331974399</v>
      </c>
    </row>
    <row r="2593" spans="1:40" x14ac:dyDescent="0.3">
      <c r="A2593" t="str">
        <f>"20200111160500926"</f>
        <v>20200111160500926</v>
      </c>
      <c r="B2593" t="str">
        <f>"1578729900923781"</f>
        <v>1578729900923781</v>
      </c>
      <c r="C2593" t="s">
        <v>40</v>
      </c>
      <c r="D2593">
        <v>5.1295489999999999</v>
      </c>
      <c r="E2593">
        <v>0.33547199999999999</v>
      </c>
      <c r="F2593" t="s">
        <v>57</v>
      </c>
      <c r="G2593">
        <v>-440.18650000000002</v>
      </c>
      <c r="H2593" s="1">
        <v>-1.4544809999999999E-6</v>
      </c>
      <c r="I2593">
        <v>215.00409999999999</v>
      </c>
      <c r="J2593">
        <v>-482.4871</v>
      </c>
      <c r="K2593">
        <v>1.1148199999999999</v>
      </c>
      <c r="L2593">
        <v>217.51150000000001</v>
      </c>
      <c r="M2593">
        <v>0.81679849999999998</v>
      </c>
      <c r="N2593">
        <v>0</v>
      </c>
      <c r="O2593">
        <v>-0.57675180000000004</v>
      </c>
      <c r="P2593">
        <v>0.89261849999999998</v>
      </c>
      <c r="Q2593">
        <v>-5.3240870000000003E-2</v>
      </c>
      <c r="R2593">
        <v>-0.4476579</v>
      </c>
      <c r="S2593">
        <v>3.2665709999999999</v>
      </c>
      <c r="T2593">
        <v>-8.5787059999999998E-2</v>
      </c>
      <c r="U2593">
        <v>-0.20024110000000001</v>
      </c>
      <c r="V2593">
        <v>-0.14877029999999999</v>
      </c>
      <c r="W2593">
        <v>-4.0900730000000003E-2</v>
      </c>
      <c r="X2593">
        <v>0.9880255</v>
      </c>
      <c r="Y2593">
        <v>-0.52539179999999996</v>
      </c>
      <c r="Z2593">
        <v>2.1194569999999999E-2</v>
      </c>
      <c r="AA2593">
        <v>0.85059640000000003</v>
      </c>
      <c r="AB2593">
        <v>18</v>
      </c>
      <c r="AC2593">
        <v>42.300599999999903</v>
      </c>
      <c r="AD2593">
        <v>-1.114821454481</v>
      </c>
      <c r="AE2593">
        <v>-2.5074000000000098</v>
      </c>
      <c r="AF2593">
        <v>-22.335655300546499</v>
      </c>
      <c r="AG2593">
        <v>-1.114821454481</v>
      </c>
      <c r="AH2593">
        <v>35.975870273249399</v>
      </c>
      <c r="AI2593">
        <v>91.508064688247501</v>
      </c>
      <c r="AJ2593">
        <v>121.83411980858</v>
      </c>
      <c r="AK2593">
        <v>42.360212068613102</v>
      </c>
      <c r="AL2593">
        <v>92.344093241991899</v>
      </c>
      <c r="AM2593">
        <v>98.562890033140903</v>
      </c>
      <c r="AN2593">
        <v>0.99999993026343403</v>
      </c>
    </row>
    <row r="2594" spans="1:40" x14ac:dyDescent="0.3">
      <c r="A2594" t="str">
        <f>"20200111160501129"</f>
        <v>20200111160501129</v>
      </c>
      <c r="B2594" t="str">
        <f>"1578729901123899"</f>
        <v>1578729901123899</v>
      </c>
      <c r="C2594" t="s">
        <v>40</v>
      </c>
      <c r="D2594">
        <v>5.047688</v>
      </c>
      <c r="E2594">
        <v>0.3852583</v>
      </c>
      <c r="F2594" t="s">
        <v>61</v>
      </c>
      <c r="G2594">
        <v>-411.39490000000001</v>
      </c>
      <c r="H2594" s="1">
        <v>2.5325630000000002E-6</v>
      </c>
      <c r="I2594">
        <v>213.70830000000001</v>
      </c>
      <c r="J2594">
        <v>-481.08960000000002</v>
      </c>
      <c r="K2594">
        <v>1.114716</v>
      </c>
      <c r="L2594">
        <v>216.70859999999999</v>
      </c>
      <c r="M2594">
        <v>0.85965290000000005</v>
      </c>
      <c r="N2594">
        <v>0</v>
      </c>
      <c r="O2594">
        <v>-0.51068579999999997</v>
      </c>
      <c r="P2594">
        <v>0.92403469999999999</v>
      </c>
      <c r="Q2594">
        <v>-5.5653660000000001E-2</v>
      </c>
      <c r="R2594">
        <v>-0.37823610000000002</v>
      </c>
      <c r="S2594">
        <v>3.270111</v>
      </c>
      <c r="T2594">
        <v>-5.1279539999999998E-2</v>
      </c>
      <c r="U2594">
        <v>-0.17494199999999999</v>
      </c>
      <c r="V2594">
        <v>-0.146321799999999</v>
      </c>
      <c r="W2594">
        <v>-4.3277320000000001E-2</v>
      </c>
      <c r="X2594">
        <v>0.98829</v>
      </c>
      <c r="Y2594">
        <v>-0.46396490000000001</v>
      </c>
      <c r="Z2594">
        <v>1.130898E-2</v>
      </c>
      <c r="AA2594">
        <v>0.88578140000000005</v>
      </c>
      <c r="AB2594">
        <v>18</v>
      </c>
      <c r="AC2594">
        <v>69.694699999999997</v>
      </c>
      <c r="AD2594">
        <v>-1.1147134674370001</v>
      </c>
      <c r="AE2594">
        <v>-3.0002999999999802</v>
      </c>
      <c r="AF2594">
        <v>-33.007699448798</v>
      </c>
      <c r="AG2594">
        <v>-1.1147134674370001</v>
      </c>
      <c r="AH2594">
        <v>61.435824765193303</v>
      </c>
      <c r="AI2594">
        <v>90.915710040007099</v>
      </c>
      <c r="AJ2594">
        <v>118.24785790415901</v>
      </c>
      <c r="AK2594">
        <v>69.750350347479994</v>
      </c>
      <c r="AL2594">
        <v>92.480382309693098</v>
      </c>
      <c r="AM2594">
        <v>98.421776305190505</v>
      </c>
      <c r="AN2594">
        <v>1.0000000598408001</v>
      </c>
    </row>
    <row r="2595" spans="1:40" x14ac:dyDescent="0.3">
      <c r="A2595" t="str">
        <f>"20200111160501674"</f>
        <v>20200111160501674</v>
      </c>
      <c r="B2595" t="str">
        <f>"1578729901663667"</f>
        <v>1578729901663667</v>
      </c>
      <c r="C2595" t="s">
        <v>40</v>
      </c>
      <c r="D2595">
        <v>5.5134309999999997</v>
      </c>
      <c r="E2595">
        <v>0.3868723</v>
      </c>
      <c r="F2595" t="s">
        <v>57</v>
      </c>
      <c r="G2595">
        <v>-448.4939</v>
      </c>
      <c r="H2595" s="1">
        <v>3.0242530000000002E-6</v>
      </c>
      <c r="I2595">
        <v>213.67760000000001</v>
      </c>
      <c r="J2595">
        <v>-477.1952</v>
      </c>
      <c r="K2595">
        <v>1.1144350000000001</v>
      </c>
      <c r="L2595">
        <v>215.1585</v>
      </c>
      <c r="M2595">
        <v>0.9459495</v>
      </c>
      <c r="N2595">
        <v>0</v>
      </c>
      <c r="O2595">
        <v>-0.32401390000000002</v>
      </c>
      <c r="P2595">
        <v>0.98049989999999998</v>
      </c>
      <c r="Q2595">
        <v>-5.8728530000000001E-2</v>
      </c>
      <c r="R2595">
        <v>-0.1875386</v>
      </c>
      <c r="S2595">
        <v>3.1213989999999998</v>
      </c>
      <c r="T2595">
        <v>-0.10674599999999999</v>
      </c>
      <c r="U2595">
        <v>-0.29025269999999997</v>
      </c>
      <c r="V2595">
        <v>-0.13987539999999901</v>
      </c>
      <c r="W2595">
        <v>-4.626425E-2</v>
      </c>
      <c r="X2595">
        <v>0.98908770000000001</v>
      </c>
      <c r="Y2595">
        <v>-0.2347446</v>
      </c>
      <c r="Z2595">
        <v>1.48643E-2</v>
      </c>
      <c r="AA2595">
        <v>0.97194340000000001</v>
      </c>
      <c r="AB2595">
        <v>17</v>
      </c>
      <c r="AC2595">
        <v>28.7013</v>
      </c>
      <c r="AD2595">
        <v>-1.114431975747</v>
      </c>
      <c r="AE2595">
        <v>-1.4808999999999899</v>
      </c>
      <c r="AF2595">
        <v>-7.8876715752032798</v>
      </c>
      <c r="AG2595">
        <v>-1.114431975747</v>
      </c>
      <c r="AH2595">
        <v>27.591012986113601</v>
      </c>
      <c r="AI2595">
        <v>92.223983947353105</v>
      </c>
      <c r="AJ2595">
        <v>105.95408301864001</v>
      </c>
      <c r="AK2595">
        <v>28.717961611276099</v>
      </c>
      <c r="AL2595">
        <v>92.651692798077804</v>
      </c>
      <c r="AM2595">
        <v>98.049312275494998</v>
      </c>
      <c r="AN2595">
        <v>0.99999999332225598</v>
      </c>
    </row>
    <row r="2596" spans="1:40" x14ac:dyDescent="0.3">
      <c r="A2596" t="str">
        <f>"20200111160501696"</f>
        <v>20200111160501696</v>
      </c>
      <c r="B2596" t="str">
        <f>"1578729901693924"</f>
        <v>1578729901693924</v>
      </c>
      <c r="C2596" t="s">
        <v>40</v>
      </c>
      <c r="D2596">
        <v>5.1375120000000001</v>
      </c>
      <c r="E2596">
        <v>0.39487159999999999</v>
      </c>
      <c r="F2596" t="s">
        <v>61</v>
      </c>
      <c r="G2596">
        <v>-409.53539999999998</v>
      </c>
      <c r="H2596">
        <v>8.0000150000000006E-2</v>
      </c>
      <c r="I2596">
        <v>222.08410000000001</v>
      </c>
      <c r="J2596">
        <v>-477.02910000000003</v>
      </c>
      <c r="K2596">
        <v>1.114425</v>
      </c>
      <c r="L2596">
        <v>215.11240000000001</v>
      </c>
      <c r="M2596">
        <v>0.94867559999999995</v>
      </c>
      <c r="N2596">
        <v>0</v>
      </c>
      <c r="O2596">
        <v>-0.31594339999999999</v>
      </c>
      <c r="P2596">
        <v>0.98188660000000005</v>
      </c>
      <c r="Q2596">
        <v>-5.8944980000000001E-2</v>
      </c>
      <c r="R2596">
        <v>-0.18006649999999999</v>
      </c>
      <c r="S2596">
        <v>3.1178279999999998</v>
      </c>
      <c r="T2596">
        <v>-4.766774E-2</v>
      </c>
      <c r="U2596">
        <v>0.31913760000000002</v>
      </c>
      <c r="V2596">
        <v>-0.1389775</v>
      </c>
      <c r="W2596">
        <v>-4.6470009999999999E-2</v>
      </c>
      <c r="X2596">
        <v>0.98920459999999999</v>
      </c>
      <c r="Y2596">
        <v>-0.4108579</v>
      </c>
      <c r="Z2596">
        <v>7.906616E-3</v>
      </c>
      <c r="AA2596">
        <v>0.91166510000000001</v>
      </c>
      <c r="AB2596">
        <v>17</v>
      </c>
      <c r="AC2596">
        <v>67.493700000000004</v>
      </c>
      <c r="AD2596">
        <v>-1.03442485</v>
      </c>
      <c r="AE2596">
        <v>6.9716999999999896</v>
      </c>
      <c r="AF2596">
        <v>-27.934294030218901</v>
      </c>
      <c r="AG2596">
        <v>-1.03442485</v>
      </c>
      <c r="AH2596">
        <v>61.818605887827701</v>
      </c>
      <c r="AI2596">
        <v>90.873616828873907</v>
      </c>
      <c r="AJ2596">
        <v>114.317029984803</v>
      </c>
      <c r="AK2596">
        <v>67.844932394774901</v>
      </c>
      <c r="AL2596">
        <v>92.663494722589206</v>
      </c>
      <c r="AM2596">
        <v>97.997379259084198</v>
      </c>
      <c r="AN2596">
        <v>0.99999997399840401</v>
      </c>
    </row>
    <row r="2597" spans="1:40" x14ac:dyDescent="0.3">
      <c r="A2597" t="str">
        <f>"20200111160501830"</f>
        <v>20200111160501830</v>
      </c>
      <c r="B2597" t="str">
        <f>"1578729901823731"</f>
        <v>1578729901823731</v>
      </c>
      <c r="C2597" t="s">
        <v>40</v>
      </c>
      <c r="D2597">
        <v>5.1605160000000003</v>
      </c>
      <c r="E2597">
        <v>0.39724870000000001</v>
      </c>
      <c r="F2597" t="s">
        <v>57</v>
      </c>
      <c r="G2597">
        <v>-453.92689999999999</v>
      </c>
      <c r="H2597" s="1">
        <v>4.3873810000000001E-7</v>
      </c>
      <c r="I2597">
        <v>217.22800000000001</v>
      </c>
      <c r="J2597">
        <v>-476.05160000000001</v>
      </c>
      <c r="K2597">
        <v>1.1144000000000001</v>
      </c>
      <c r="L2597">
        <v>214.87139999999999</v>
      </c>
      <c r="M2597">
        <v>0.96323479999999995</v>
      </c>
      <c r="N2597">
        <v>0</v>
      </c>
      <c r="O2597">
        <v>-0.2683007</v>
      </c>
      <c r="P2597">
        <v>0.98546909999999999</v>
      </c>
      <c r="Q2597">
        <v>-5.9521949999999997E-2</v>
      </c>
      <c r="R2597">
        <v>-0.1590847</v>
      </c>
      <c r="S2597">
        <v>3.0983890000000001</v>
      </c>
      <c r="T2597">
        <v>-0.1494624</v>
      </c>
      <c r="U2597">
        <v>0.28373720000000002</v>
      </c>
      <c r="V2597">
        <v>-0.1107495</v>
      </c>
      <c r="W2597">
        <v>-4.673103E-2</v>
      </c>
      <c r="X2597">
        <v>0.99274910000000005</v>
      </c>
      <c r="Y2597">
        <v>-0.35434169999999998</v>
      </c>
      <c r="Z2597">
        <v>2.135215E-2</v>
      </c>
      <c r="AA2597">
        <v>0.93487220000000004</v>
      </c>
      <c r="AB2597">
        <v>17</v>
      </c>
      <c r="AC2597">
        <v>22.124700000000001</v>
      </c>
      <c r="AD2597">
        <v>-1.1143995612619</v>
      </c>
      <c r="AE2597">
        <v>2.3565999999999798</v>
      </c>
      <c r="AF2597">
        <v>-8.1862895428277103</v>
      </c>
      <c r="AG2597">
        <v>-1.1143995612619</v>
      </c>
      <c r="AH2597">
        <v>20.6292539697995</v>
      </c>
      <c r="AI2597">
        <v>92.874484398640305</v>
      </c>
      <c r="AJ2597">
        <v>111.644621465399</v>
      </c>
      <c r="AK2597">
        <v>22.222136310706901</v>
      </c>
      <c r="AL2597">
        <v>92.678466240699805</v>
      </c>
      <c r="AM2597">
        <v>96.365505665101395</v>
      </c>
      <c r="AN2597">
        <v>1.0000000082329601</v>
      </c>
    </row>
    <row r="2598" spans="1:40" x14ac:dyDescent="0.3">
      <c r="A2598" t="str">
        <f>"20200111160501852"</f>
        <v>20200111160501852</v>
      </c>
      <c r="B2598" t="str">
        <f>"1578729901844227"</f>
        <v>1578729901844227</v>
      </c>
      <c r="C2598" t="s">
        <v>40</v>
      </c>
      <c r="D2598">
        <v>5.1821390000000003</v>
      </c>
      <c r="E2598">
        <v>0.40010459999999998</v>
      </c>
      <c r="F2598" t="s">
        <v>57</v>
      </c>
      <c r="G2598">
        <v>-454.95209999999997</v>
      </c>
      <c r="H2598" s="1">
        <v>9.8836920000000001E-7</v>
      </c>
      <c r="I2598">
        <v>217.13570000000001</v>
      </c>
      <c r="J2598">
        <v>-475.89870000000002</v>
      </c>
      <c r="K2598">
        <v>1.114404</v>
      </c>
      <c r="L2598">
        <v>214.8383</v>
      </c>
      <c r="M2598">
        <v>0.96528270000000005</v>
      </c>
      <c r="N2598">
        <v>0</v>
      </c>
      <c r="O2598">
        <v>-0.26083620000000002</v>
      </c>
      <c r="P2598">
        <v>0.985877</v>
      </c>
      <c r="Q2598">
        <v>-5.7056160000000002E-2</v>
      </c>
      <c r="R2598">
        <v>-0.15745209999999901</v>
      </c>
      <c r="S2598">
        <v>3.0878909999999999</v>
      </c>
      <c r="T2598">
        <v>-0.1630915</v>
      </c>
      <c r="U2598">
        <v>0.33139039999999997</v>
      </c>
      <c r="V2598">
        <v>-0.1047742</v>
      </c>
      <c r="W2598">
        <v>-4.4199210000000003E-2</v>
      </c>
      <c r="X2598">
        <v>0.99351330000000004</v>
      </c>
      <c r="Y2598">
        <v>-0.36152669999999998</v>
      </c>
      <c r="Z2598">
        <v>2.316942E-2</v>
      </c>
      <c r="AA2598">
        <v>0.93207379999999995</v>
      </c>
      <c r="AB2598">
        <v>17</v>
      </c>
      <c r="AC2598">
        <v>20.9466</v>
      </c>
      <c r="AD2598">
        <v>-1.1144030116307999</v>
      </c>
      <c r="AE2598">
        <v>2.2974000000000099</v>
      </c>
      <c r="AF2598">
        <v>-7.6605911062774501</v>
      </c>
      <c r="AG2598">
        <v>-1.1144030116307999</v>
      </c>
      <c r="AH2598">
        <v>19.567320598733598</v>
      </c>
      <c r="AI2598">
        <v>93.035715628407303</v>
      </c>
      <c r="AJ2598">
        <v>111.38030526940599</v>
      </c>
      <c r="AK2598">
        <v>21.0429699801034</v>
      </c>
      <c r="AL2598">
        <v>92.533253614099493</v>
      </c>
      <c r="AM2598">
        <v>96.020062673585102</v>
      </c>
      <c r="AN2598">
        <v>0.99999994021357497</v>
      </c>
    </row>
    <row r="2599" spans="1:40" x14ac:dyDescent="0.3">
      <c r="A2599" t="str">
        <f>"20200111160501875"</f>
        <v>20200111160501875</v>
      </c>
      <c r="B2599" t="str">
        <f>"1578729901863746"</f>
        <v>1578729901863746</v>
      </c>
      <c r="C2599" t="s">
        <v>40</v>
      </c>
      <c r="D2599">
        <v>5.2721280000000004</v>
      </c>
      <c r="E2599">
        <v>0.40206500000000001</v>
      </c>
      <c r="F2599" t="s">
        <v>57</v>
      </c>
      <c r="G2599">
        <v>-456.32490000000001</v>
      </c>
      <c r="H2599" s="1">
        <v>1.7319220000000001E-6</v>
      </c>
      <c r="I2599">
        <v>216.83750000000001</v>
      </c>
      <c r="J2599">
        <v>-475.7319</v>
      </c>
      <c r="K2599">
        <v>1.114406</v>
      </c>
      <c r="L2599">
        <v>214.80359999999999</v>
      </c>
      <c r="M2599">
        <v>0.96744640000000004</v>
      </c>
      <c r="N2599">
        <v>0</v>
      </c>
      <c r="O2599">
        <v>-0.2526929</v>
      </c>
      <c r="P2599">
        <v>0.98642189999999996</v>
      </c>
      <c r="Q2599">
        <v>-5.2577359999999997E-2</v>
      </c>
      <c r="R2599">
        <v>-0.15558820000000001</v>
      </c>
      <c r="S2599">
        <v>3.0831300000000001</v>
      </c>
      <c r="T2599">
        <v>-0.17553260000000001</v>
      </c>
      <c r="U2599">
        <v>0.314895599999999</v>
      </c>
      <c r="V2599">
        <v>-9.8388719999999999E-2</v>
      </c>
      <c r="W2599">
        <v>-3.9649360000000002E-2</v>
      </c>
      <c r="X2599">
        <v>0.99435790000000002</v>
      </c>
      <c r="Y2599">
        <v>-0.34875430000000002</v>
      </c>
      <c r="Z2599">
        <v>2.416134E-2</v>
      </c>
      <c r="AA2599">
        <v>0.93690269999999998</v>
      </c>
      <c r="AB2599">
        <v>17</v>
      </c>
      <c r="AC2599">
        <v>19.406999999999901</v>
      </c>
      <c r="AD2599">
        <v>-1.114404268078</v>
      </c>
      <c r="AE2599">
        <v>2.0339000000000098</v>
      </c>
      <c r="AF2599">
        <v>-6.8500244473348699</v>
      </c>
      <c r="AG2599">
        <v>-1.114404268078</v>
      </c>
      <c r="AH2599">
        <v>18.203677333140799</v>
      </c>
      <c r="AI2599">
        <v>93.279250188413698</v>
      </c>
      <c r="AJ2599">
        <v>110.621265481824</v>
      </c>
      <c r="AK2599">
        <v>19.481750441141099</v>
      </c>
      <c r="AL2599">
        <v>92.2723365817195</v>
      </c>
      <c r="AM2599">
        <v>95.650851190715898</v>
      </c>
      <c r="AN2599">
        <v>1.00000002263202</v>
      </c>
    </row>
    <row r="2600" spans="1:40" x14ac:dyDescent="0.3">
      <c r="A2600" t="str">
        <f>"20200111160501899"</f>
        <v>20200111160501899</v>
      </c>
      <c r="B2600" t="str">
        <f>"1578729901894004"</f>
        <v>1578729901894004</v>
      </c>
      <c r="C2600" t="s">
        <v>40</v>
      </c>
      <c r="D2600">
        <v>5.1572950000000004</v>
      </c>
      <c r="E2600">
        <v>0.40399410000000002</v>
      </c>
      <c r="F2600" t="s">
        <v>57</v>
      </c>
      <c r="G2600">
        <v>-456.15010000000001</v>
      </c>
      <c r="H2600" s="1">
        <v>1.6427899999999999E-6</v>
      </c>
      <c r="I2600">
        <v>216.74860000000001</v>
      </c>
      <c r="J2600">
        <v>-475.55369999999999</v>
      </c>
      <c r="K2600">
        <v>1.114406</v>
      </c>
      <c r="L2600">
        <v>214.76820000000001</v>
      </c>
      <c r="M2600">
        <v>0.96967420000000004</v>
      </c>
      <c r="N2600">
        <v>0</v>
      </c>
      <c r="O2600">
        <v>-0.2440051</v>
      </c>
      <c r="P2600">
        <v>0.98694859999999895</v>
      </c>
      <c r="Q2600">
        <v>-4.8427869999999998E-2</v>
      </c>
      <c r="R2600">
        <v>-0.15358139999999901</v>
      </c>
      <c r="S2600">
        <v>3.0802</v>
      </c>
      <c r="T2600">
        <v>-0.17529510000000001</v>
      </c>
      <c r="U2600">
        <v>0.30593870000000001</v>
      </c>
      <c r="V2600">
        <v>-9.1586089999999995E-2</v>
      </c>
      <c r="W2600">
        <v>-3.542584E-2</v>
      </c>
      <c r="X2600">
        <v>0.99516680000000002</v>
      </c>
      <c r="Y2600">
        <v>-0.33775179999999999</v>
      </c>
      <c r="Z2600">
        <v>2.3357780000000002E-2</v>
      </c>
      <c r="AA2600">
        <v>0.94094540000000004</v>
      </c>
      <c r="AB2600">
        <v>17</v>
      </c>
      <c r="AC2600">
        <v>19.403599999999901</v>
      </c>
      <c r="AD2600">
        <v>-1.11440435721</v>
      </c>
      <c r="AE2600">
        <v>1.9803999999999999</v>
      </c>
      <c r="AF2600">
        <v>-6.6339073841223302</v>
      </c>
      <c r="AG2600">
        <v>-1.11440435721</v>
      </c>
      <c r="AH2600">
        <v>18.274059912698998</v>
      </c>
      <c r="AI2600">
        <v>93.280750923193494</v>
      </c>
      <c r="AJ2600">
        <v>109.952070802625</v>
      </c>
      <c r="AK2600">
        <v>19.4728500724828</v>
      </c>
      <c r="AL2600">
        <v>92.030175949337604</v>
      </c>
      <c r="AM2600">
        <v>95.258170159799704</v>
      </c>
      <c r="AN2600">
        <v>0.99999998092171605</v>
      </c>
    </row>
    <row r="2601" spans="1:40" x14ac:dyDescent="0.3">
      <c r="A2601" t="str">
        <f>"20200111160501920"</f>
        <v>20200111160501920</v>
      </c>
      <c r="B2601" t="str">
        <f>"1578729901913523"</f>
        <v>1578729901913523</v>
      </c>
      <c r="C2601" t="s">
        <v>40</v>
      </c>
      <c r="D2601">
        <v>5.155157</v>
      </c>
      <c r="E2601">
        <v>0.40475699999999998</v>
      </c>
      <c r="F2601" t="s">
        <v>57</v>
      </c>
      <c r="G2601">
        <v>-455.44529999999997</v>
      </c>
      <c r="H2601" s="1">
        <v>1.269291E-6</v>
      </c>
      <c r="I2601">
        <v>216.7133</v>
      </c>
      <c r="J2601">
        <v>-475.40140000000002</v>
      </c>
      <c r="K2601">
        <v>1.1143909999999999</v>
      </c>
      <c r="L2601">
        <v>214.73920000000001</v>
      </c>
      <c r="M2601">
        <v>0.97150740000000002</v>
      </c>
      <c r="N2601">
        <v>0</v>
      </c>
      <c r="O2601">
        <v>-0.23660110000000001</v>
      </c>
      <c r="P2601">
        <v>0.98713470000000003</v>
      </c>
      <c r="Q2601">
        <v>-4.6124949999999998E-2</v>
      </c>
      <c r="R2601">
        <v>-0.15309410000000001</v>
      </c>
      <c r="S2601">
        <v>3.0776370000000002</v>
      </c>
      <c r="T2601">
        <v>-0.1705624</v>
      </c>
      <c r="U2601">
        <v>0.29769899999999999</v>
      </c>
      <c r="V2601">
        <v>-8.4537280000000006E-2</v>
      </c>
      <c r="W2601">
        <v>-3.304845E-2</v>
      </c>
      <c r="X2601">
        <v>0.99587210000000004</v>
      </c>
      <c r="Y2601">
        <v>-0.32821230000000001</v>
      </c>
      <c r="Z2601">
        <v>2.2083129999999999E-2</v>
      </c>
      <c r="AA2601">
        <v>0.94434580000000001</v>
      </c>
      <c r="AB2601">
        <v>17</v>
      </c>
      <c r="AC2601">
        <v>19.956099999999999</v>
      </c>
      <c r="AD2601">
        <v>-1.1143897307089901</v>
      </c>
      <c r="AE2601">
        <v>1.97409999999999</v>
      </c>
      <c r="AF2601">
        <v>-6.6196873739316997</v>
      </c>
      <c r="AG2601">
        <v>-1.1143897307089901</v>
      </c>
      <c r="AH2601">
        <v>18.863999205489399</v>
      </c>
      <c r="AI2601">
        <v>93.190504430317702</v>
      </c>
      <c r="AJ2601">
        <v>109.336810509448</v>
      </c>
      <c r="AK2601">
        <v>20.022801787592201</v>
      </c>
      <c r="AL2601">
        <v>91.893881569009096</v>
      </c>
      <c r="AM2601">
        <v>94.852074007879096</v>
      </c>
      <c r="AN2601">
        <v>0.99999999565780495</v>
      </c>
    </row>
    <row r="2602" spans="1:40" x14ac:dyDescent="0.3">
      <c r="A2602" t="str">
        <f>"20200111160501943"</f>
        <v>20200111160501943</v>
      </c>
      <c r="B2602" t="str">
        <f>"1578729901934019"</f>
        <v>1578729901934019</v>
      </c>
      <c r="C2602" t="s">
        <v>40</v>
      </c>
      <c r="D2602">
        <v>5.1875349999999996</v>
      </c>
      <c r="E2602">
        <v>0.40576180000000001</v>
      </c>
      <c r="F2602" t="s">
        <v>57</v>
      </c>
      <c r="G2602">
        <v>-454.81349999999998</v>
      </c>
      <c r="H2602" s="1">
        <v>9.3350969999999997E-7</v>
      </c>
      <c r="I2602">
        <v>216.70339999999999</v>
      </c>
      <c r="J2602">
        <v>-475.23070000000001</v>
      </c>
      <c r="K2602">
        <v>1.114336</v>
      </c>
      <c r="L2602">
        <v>214.7081</v>
      </c>
      <c r="M2602">
        <v>0.97347969999999895</v>
      </c>
      <c r="N2602">
        <v>0</v>
      </c>
      <c r="O2602">
        <v>-0.22835069999999999</v>
      </c>
      <c r="P2602">
        <v>0.98749690000000001</v>
      </c>
      <c r="Q2602">
        <v>-4.6100090000000003E-2</v>
      </c>
      <c r="R2602">
        <v>-0.15074760000000001</v>
      </c>
      <c r="S2602">
        <v>3.0767820000000001</v>
      </c>
      <c r="T2602">
        <v>-0.166541299999999</v>
      </c>
      <c r="U2602">
        <v>0.2935333</v>
      </c>
      <c r="V2602">
        <v>-7.8461939999999994E-2</v>
      </c>
      <c r="W2602">
        <v>-3.2960959999999997E-2</v>
      </c>
      <c r="X2602">
        <v>0.99637200000000004</v>
      </c>
      <c r="Y2602">
        <v>-0.31900820000000002</v>
      </c>
      <c r="Z2602">
        <v>2.0883450000000001E-2</v>
      </c>
      <c r="AA2602">
        <v>0.94752190000000003</v>
      </c>
      <c r="AB2602">
        <v>17</v>
      </c>
      <c r="AC2602">
        <v>20.417200000000001</v>
      </c>
      <c r="AD2602">
        <v>-1.1143350664903</v>
      </c>
      <c r="AE2602">
        <v>1.9952999999999801</v>
      </c>
      <c r="AF2602">
        <v>-6.5858718526325699</v>
      </c>
      <c r="AG2602">
        <v>-1.1143350664903</v>
      </c>
      <c r="AH2602">
        <v>19.364840128059701</v>
      </c>
      <c r="AI2602">
        <v>93.118377302846</v>
      </c>
      <c r="AJ2602">
        <v>108.78287648740501</v>
      </c>
      <c r="AK2602">
        <v>20.484444924991699</v>
      </c>
      <c r="AL2602">
        <v>91.888866149700405</v>
      </c>
      <c r="AM2602">
        <v>94.502615363345598</v>
      </c>
      <c r="AN2602">
        <v>0.99999993164834</v>
      </c>
    </row>
    <row r="2603" spans="1:40" x14ac:dyDescent="0.3">
      <c r="A2603" t="str">
        <f>"20200111160501966"</f>
        <v>20200111160501966</v>
      </c>
      <c r="B2603" t="str">
        <f>"1578729901963299"</f>
        <v>1578729901963299</v>
      </c>
      <c r="C2603" t="s">
        <v>40</v>
      </c>
      <c r="D2603">
        <v>5.1807679999999996</v>
      </c>
      <c r="E2603">
        <v>0.40611219999999998</v>
      </c>
      <c r="F2603" t="s">
        <v>57</v>
      </c>
      <c r="G2603">
        <v>-455.3381</v>
      </c>
      <c r="H2603" s="1">
        <v>1.2168660000000001E-6</v>
      </c>
      <c r="I2603">
        <v>216.6069</v>
      </c>
      <c r="J2603">
        <v>-475.06529999999998</v>
      </c>
      <c r="K2603">
        <v>1.114236</v>
      </c>
      <c r="L2603">
        <v>214.67930000000001</v>
      </c>
      <c r="M2603">
        <v>0.97529730000000003</v>
      </c>
      <c r="N2603">
        <v>0</v>
      </c>
      <c r="O2603">
        <v>-0.2204594</v>
      </c>
      <c r="P2603">
        <v>0.98773460000000002</v>
      </c>
      <c r="Q2603">
        <v>-4.7883599999999998E-2</v>
      </c>
      <c r="R2603">
        <v>-0.14861820000000001</v>
      </c>
      <c r="S2603">
        <v>3.074738</v>
      </c>
      <c r="T2603">
        <v>-0.17223939999999999</v>
      </c>
      <c r="U2603">
        <v>0.29350279999999901</v>
      </c>
      <c r="V2603">
        <v>-7.2514179999999998E-2</v>
      </c>
      <c r="W2603">
        <v>-3.4685390000000003E-2</v>
      </c>
      <c r="X2603">
        <v>0.99676410000000004</v>
      </c>
      <c r="Y2603">
        <v>-0.31134250000000002</v>
      </c>
      <c r="Z2603">
        <v>2.0962700000000001E-2</v>
      </c>
      <c r="AA2603">
        <v>0.95006650000000004</v>
      </c>
      <c r="AB2603">
        <v>17</v>
      </c>
      <c r="AC2603">
        <v>19.7271999999999</v>
      </c>
      <c r="AD2603">
        <v>-1.114234783134</v>
      </c>
      <c r="AE2603">
        <v>1.92759999999998</v>
      </c>
      <c r="AF2603">
        <v>-6.2100064014488003</v>
      </c>
      <c r="AG2603">
        <v>-1.114234783134</v>
      </c>
      <c r="AH2603">
        <v>18.7574668926169</v>
      </c>
      <c r="AI2603">
        <v>93.227609314874599</v>
      </c>
      <c r="AJ2603">
        <v>108.318080653769</v>
      </c>
      <c r="AK2603">
        <v>19.7901051762137</v>
      </c>
      <c r="AL2603">
        <v>91.987725104551501</v>
      </c>
      <c r="AM2603">
        <v>94.160914272258793</v>
      </c>
      <c r="AN2603">
        <v>1.00000002681466</v>
      </c>
    </row>
    <row r="2604" spans="1:40" x14ac:dyDescent="0.3">
      <c r="A2604" t="str">
        <f>"20200111160501987"</f>
        <v>20200111160501987</v>
      </c>
      <c r="B2604" t="str">
        <f>"1578729901983795"</f>
        <v>1578729901983795</v>
      </c>
      <c r="C2604" t="s">
        <v>40</v>
      </c>
      <c r="D2604">
        <v>5.250381</v>
      </c>
      <c r="E2604">
        <v>0.40632469999999998</v>
      </c>
      <c r="F2604" t="s">
        <v>57</v>
      </c>
      <c r="G2604">
        <v>-456.46089999999998</v>
      </c>
      <c r="H2604" s="1">
        <v>1.819871E-6</v>
      </c>
      <c r="I2604">
        <v>216.48150000000001</v>
      </c>
      <c r="J2604">
        <v>-474.91219999999998</v>
      </c>
      <c r="K2604">
        <v>1.114107</v>
      </c>
      <c r="L2604">
        <v>214.65369999999999</v>
      </c>
      <c r="M2604">
        <v>0.97689340000000002</v>
      </c>
      <c r="N2604">
        <v>0</v>
      </c>
      <c r="O2604">
        <v>-0.21327779999999999</v>
      </c>
      <c r="P2604">
        <v>0.98806769999999999</v>
      </c>
      <c r="Q2604">
        <v>-5.1126070000000003E-2</v>
      </c>
      <c r="R2604">
        <v>-0.14528829999999901</v>
      </c>
      <c r="S2604">
        <v>3.0730900000000001</v>
      </c>
      <c r="T2604">
        <v>-0.18405060000000001</v>
      </c>
      <c r="U2604">
        <v>0.2976837</v>
      </c>
      <c r="V2604">
        <v>-6.8487960000000001E-2</v>
      </c>
      <c r="W2604">
        <v>-3.7890029999999998E-2</v>
      </c>
      <c r="X2604">
        <v>0.99693209999999999</v>
      </c>
      <c r="Y2604">
        <v>-0.30558079999999999</v>
      </c>
      <c r="Z2604">
        <v>2.1813570000000001E-2</v>
      </c>
      <c r="AA2604">
        <v>0.95191630000000005</v>
      </c>
      <c r="AB2604">
        <v>17</v>
      </c>
      <c r="AC2604">
        <v>18.4513</v>
      </c>
      <c r="AD2604">
        <v>-1.1141051801289901</v>
      </c>
      <c r="AE2604">
        <v>1.8278000000000201</v>
      </c>
      <c r="AF2604">
        <v>-5.70078510265584</v>
      </c>
      <c r="AG2604">
        <v>-1.1141051801289901</v>
      </c>
      <c r="AH2604">
        <v>17.573368848683799</v>
      </c>
      <c r="AI2604">
        <v>93.450967867376804</v>
      </c>
      <c r="AJ2604">
        <v>107.973016413221</v>
      </c>
      <c r="AK2604">
        <v>18.5084703266083</v>
      </c>
      <c r="AL2604">
        <v>92.171458737883896</v>
      </c>
      <c r="AM2604">
        <v>93.929972002250295</v>
      </c>
      <c r="AN2604">
        <v>0.99999993352438399</v>
      </c>
    </row>
    <row r="2605" spans="1:40" x14ac:dyDescent="0.3">
      <c r="A2605" t="str">
        <f>"20200111160502009"</f>
        <v>20200111160502009</v>
      </c>
      <c r="B2605" t="str">
        <f>"1578729902003315"</f>
        <v>1578729902003315</v>
      </c>
      <c r="C2605" t="s">
        <v>40</v>
      </c>
      <c r="D2605">
        <v>5.2082750000000004</v>
      </c>
      <c r="E2605">
        <v>0.4067096</v>
      </c>
      <c r="F2605" t="s">
        <v>57</v>
      </c>
      <c r="G2605">
        <v>-457.48180000000002</v>
      </c>
      <c r="H2605" s="1">
        <v>2.3670049999999999E-6</v>
      </c>
      <c r="I2605">
        <v>216.39230000000001</v>
      </c>
      <c r="J2605">
        <v>-474.75450000000001</v>
      </c>
      <c r="K2605">
        <v>1.1139540000000001</v>
      </c>
      <c r="L2605">
        <v>214.6285</v>
      </c>
      <c r="M2605">
        <v>0.97845260000000001</v>
      </c>
      <c r="N2605">
        <v>0</v>
      </c>
      <c r="O2605">
        <v>-0.2060063</v>
      </c>
      <c r="P2605">
        <v>0.98834069999999996</v>
      </c>
      <c r="Q2605">
        <v>-5.7214139999999997E-2</v>
      </c>
      <c r="R2605">
        <v>-0.14109920000000001</v>
      </c>
      <c r="S2605">
        <v>3.071075</v>
      </c>
      <c r="T2605">
        <v>-0.1962942</v>
      </c>
      <c r="U2605">
        <v>0.30632019999999999</v>
      </c>
      <c r="V2605">
        <v>-6.519084E-2</v>
      </c>
      <c r="W2605">
        <v>-4.3952150000000002E-2</v>
      </c>
      <c r="X2605">
        <v>0.99690440000000002</v>
      </c>
      <c r="Y2605">
        <v>-0.30110520000000002</v>
      </c>
      <c r="Z2605">
        <v>2.2674610000000001E-2</v>
      </c>
      <c r="AA2605">
        <v>0.95332130000000004</v>
      </c>
      <c r="AB2605">
        <v>17</v>
      </c>
      <c r="AC2605">
        <v>17.272699999999901</v>
      </c>
      <c r="AD2605">
        <v>-1.1139516329950001</v>
      </c>
      <c r="AE2605">
        <v>1.7638</v>
      </c>
      <c r="AF2605">
        <v>-5.2629230582793696</v>
      </c>
      <c r="AG2605">
        <v>-1.1139516329950001</v>
      </c>
      <c r="AH2605">
        <v>16.470952008505598</v>
      </c>
      <c r="AI2605">
        <v>93.686043464814801</v>
      </c>
      <c r="AJ2605">
        <v>107.72011366454301</v>
      </c>
      <c r="AK2605">
        <v>17.327189830567299</v>
      </c>
      <c r="AL2605">
        <v>92.519084172444593</v>
      </c>
      <c r="AM2605">
        <v>93.741431392402404</v>
      </c>
      <c r="AN2605">
        <v>1.0000000099244399</v>
      </c>
    </row>
    <row r="2606" spans="1:40" x14ac:dyDescent="0.3">
      <c r="A2606" t="str">
        <f>"20200111160502031"</f>
        <v>20200111160502031</v>
      </c>
      <c r="B2606" t="str">
        <f>"1578729902023812"</f>
        <v>1578729902023812</v>
      </c>
      <c r="C2606" t="s">
        <v>40</v>
      </c>
      <c r="D2606">
        <v>5.2145729999999997</v>
      </c>
      <c r="E2606">
        <v>0.4068601</v>
      </c>
      <c r="F2606" t="s">
        <v>57</v>
      </c>
      <c r="G2606">
        <v>-459.31330000000003</v>
      </c>
      <c r="H2606" s="1">
        <v>3.3490999999999998E-6</v>
      </c>
      <c r="I2606">
        <v>216.2216</v>
      </c>
      <c r="J2606">
        <v>-474.58890000000002</v>
      </c>
      <c r="K2606">
        <v>1.113793</v>
      </c>
      <c r="L2606">
        <v>214.60300000000001</v>
      </c>
      <c r="M2606">
        <v>0.97999650000000005</v>
      </c>
      <c r="N2606">
        <v>0</v>
      </c>
      <c r="O2606">
        <v>-0.19853399999999999</v>
      </c>
      <c r="P2606">
        <v>0.98859889999999995</v>
      </c>
      <c r="Q2606">
        <v>-6.3359369999999998E-2</v>
      </c>
      <c r="R2606">
        <v>-0.13659389999999999</v>
      </c>
      <c r="S2606">
        <v>3.067688</v>
      </c>
      <c r="T2606">
        <v>-0.22130630000000001</v>
      </c>
      <c r="U2606">
        <v>0.3164978</v>
      </c>
      <c r="V2606">
        <v>-6.2018120000000003E-2</v>
      </c>
      <c r="W2606">
        <v>-5.0075870000000001E-2</v>
      </c>
      <c r="X2606">
        <v>0.99681799999999998</v>
      </c>
      <c r="Y2606">
        <v>-0.29681269999999998</v>
      </c>
      <c r="Z2606">
        <v>2.4896370000000001E-2</v>
      </c>
      <c r="AA2606">
        <v>0.95461110000000005</v>
      </c>
      <c r="AB2606">
        <v>17</v>
      </c>
      <c r="AC2606">
        <v>15.275599999999899</v>
      </c>
      <c r="AD2606">
        <v>-1.1137896509</v>
      </c>
      <c r="AE2606">
        <v>1.61860000000001</v>
      </c>
      <c r="AF2606">
        <v>-4.5952313259366298</v>
      </c>
      <c r="AG2606">
        <v>-1.1137896509</v>
      </c>
      <c r="AH2606">
        <v>14.5734705800624</v>
      </c>
      <c r="AI2606">
        <v>94.168818609305404</v>
      </c>
      <c r="AJ2606">
        <v>107.500835717695</v>
      </c>
      <c r="AK2606">
        <v>15.3213159706751</v>
      </c>
      <c r="AL2606">
        <v>92.870336515814799</v>
      </c>
      <c r="AM2606">
        <v>93.560130630893894</v>
      </c>
      <c r="AN2606">
        <v>0.99999998254429501</v>
      </c>
    </row>
    <row r="2607" spans="1:40" x14ac:dyDescent="0.3">
      <c r="A2607" t="str">
        <f>"20200111160502053"</f>
        <v>20200111160502053</v>
      </c>
      <c r="B2607" t="str">
        <f>"1578729902043331"</f>
        <v>1578729902043331</v>
      </c>
      <c r="C2607" t="s">
        <v>40</v>
      </c>
      <c r="D2607">
        <v>5.2101569999999997</v>
      </c>
      <c r="E2607">
        <v>0.40690120000000002</v>
      </c>
      <c r="F2607" t="s">
        <v>57</v>
      </c>
      <c r="G2607">
        <v>-460.63529999999997</v>
      </c>
      <c r="H2607" s="1">
        <v>-1.263673E-6</v>
      </c>
      <c r="I2607">
        <v>216.10310000000001</v>
      </c>
      <c r="J2607">
        <v>-474.43049999999999</v>
      </c>
      <c r="K2607">
        <v>1.1136360000000001</v>
      </c>
      <c r="L2607">
        <v>214.5797</v>
      </c>
      <c r="M2607">
        <v>0.98138000000000003</v>
      </c>
      <c r="N2607">
        <v>0</v>
      </c>
      <c r="O2607">
        <v>-0.19157959999999999</v>
      </c>
      <c r="P2607">
        <v>0.98884799999999995</v>
      </c>
      <c r="Q2607">
        <v>-6.9387530000000003E-2</v>
      </c>
      <c r="R2607">
        <v>-0.1317769</v>
      </c>
      <c r="S2607">
        <v>3.0644529999999999</v>
      </c>
      <c r="T2607">
        <v>-0.2446091</v>
      </c>
      <c r="U2607">
        <v>0.32943729999999999</v>
      </c>
      <c r="V2607">
        <v>-5.9696859999999997E-2</v>
      </c>
      <c r="W2607">
        <v>-5.6092709999999997E-2</v>
      </c>
      <c r="X2607">
        <v>0.99663930000000001</v>
      </c>
      <c r="Y2607">
        <v>-0.29387809999999998</v>
      </c>
      <c r="Z2607">
        <v>2.6870399999999999E-2</v>
      </c>
      <c r="AA2607">
        <v>0.95546509999999996</v>
      </c>
      <c r="AB2607">
        <v>17</v>
      </c>
      <c r="AC2607">
        <v>13.795199999999999</v>
      </c>
      <c r="AD2607">
        <v>-1.1136372636730001</v>
      </c>
      <c r="AE2607">
        <v>1.5234000000000001</v>
      </c>
      <c r="AF2607">
        <v>-4.1118344968680001</v>
      </c>
      <c r="AG2607">
        <v>-1.1136372636730001</v>
      </c>
      <c r="AH2607">
        <v>13.162996682850499</v>
      </c>
      <c r="AI2607">
        <v>94.6169170199597</v>
      </c>
      <c r="AJ2607">
        <v>107.347671765971</v>
      </c>
      <c r="AK2607">
        <v>13.835167239950801</v>
      </c>
      <c r="AL2607">
        <v>93.215563284856401</v>
      </c>
      <c r="AM2607">
        <v>93.427816241011101</v>
      </c>
      <c r="AN2607">
        <v>1.00000000075674</v>
      </c>
    </row>
    <row r="2608" spans="1:40" x14ac:dyDescent="0.3">
      <c r="A2608" t="str">
        <f>"20200111160502075"</f>
        <v>20200111160502075</v>
      </c>
      <c r="B2608" t="str">
        <f>"1578729902063827"</f>
        <v>1578729902063827</v>
      </c>
      <c r="C2608" t="s">
        <v>40</v>
      </c>
      <c r="D2608">
        <v>5.1962289999999998</v>
      </c>
      <c r="E2608">
        <v>0.40719250000000001</v>
      </c>
      <c r="F2608" t="s">
        <v>57</v>
      </c>
      <c r="G2608">
        <v>-461.44799999999998</v>
      </c>
      <c r="H2608" s="1">
        <v>-8.2844280000000002E-7</v>
      </c>
      <c r="I2608">
        <v>216.03899999999999</v>
      </c>
      <c r="J2608">
        <v>-474.27010000000001</v>
      </c>
      <c r="K2608">
        <v>1.1134790000000001</v>
      </c>
      <c r="L2608">
        <v>214.55690000000001</v>
      </c>
      <c r="M2608">
        <v>0.98268659999999997</v>
      </c>
      <c r="N2608">
        <v>0</v>
      </c>
      <c r="O2608">
        <v>-0.18476329999999999</v>
      </c>
      <c r="P2608">
        <v>0.98906609999999995</v>
      </c>
      <c r="Q2608">
        <v>-7.4392230000000004E-2</v>
      </c>
      <c r="R2608">
        <v>-0.12733620000000001</v>
      </c>
      <c r="S2608">
        <v>3.0612490000000001</v>
      </c>
      <c r="T2608">
        <v>-0.26259189999999999</v>
      </c>
      <c r="U2608">
        <v>0.34410099999999999</v>
      </c>
      <c r="V2608">
        <v>-5.7170169999999999E-2</v>
      </c>
      <c r="W2608">
        <v>-6.1086649999999999E-2</v>
      </c>
      <c r="X2608">
        <v>0.99649390000000004</v>
      </c>
      <c r="Y2608">
        <v>-0.29167169999999998</v>
      </c>
      <c r="Z2608">
        <v>2.819207E-2</v>
      </c>
      <c r="AA2608">
        <v>0.95610300000000004</v>
      </c>
      <c r="AB2608">
        <v>17</v>
      </c>
      <c r="AC2608">
        <v>12.822099999999899</v>
      </c>
      <c r="AD2608">
        <v>-1.1134798284428</v>
      </c>
      <c r="AE2608">
        <v>1.4821</v>
      </c>
      <c r="AF2608">
        <v>-3.7975947517012099</v>
      </c>
      <c r="AG2608">
        <v>-1.1134798284428</v>
      </c>
      <c r="AH2608">
        <v>12.236375128110501</v>
      </c>
      <c r="AI2608">
        <v>94.966996943576902</v>
      </c>
      <c r="AJ2608">
        <v>107.241882327374</v>
      </c>
      <c r="AK2608">
        <v>12.860421435642699</v>
      </c>
      <c r="AL2608">
        <v>93.502187476646498</v>
      </c>
      <c r="AM2608">
        <v>93.283535083286196</v>
      </c>
      <c r="AN2608">
        <v>1.00000004994162</v>
      </c>
    </row>
    <row r="2609" spans="1:40" x14ac:dyDescent="0.3">
      <c r="A2609" t="str">
        <f>"20200111160502277"</f>
        <v>20200111160502277</v>
      </c>
      <c r="B2609" t="str">
        <f>"1578729902273667"</f>
        <v>1578729902273667</v>
      </c>
      <c r="C2609" t="s">
        <v>40</v>
      </c>
      <c r="D2609">
        <v>5.3591309999999996</v>
      </c>
      <c r="E2609">
        <v>0.44205480000000003</v>
      </c>
      <c r="F2609" t="s">
        <v>57</v>
      </c>
      <c r="G2609">
        <v>-461.98750000000001</v>
      </c>
      <c r="H2609" s="1">
        <v>-5.3895469999999899E-7</v>
      </c>
      <c r="I2609">
        <v>215.98500000000001</v>
      </c>
      <c r="J2609">
        <v>-472.79939999999999</v>
      </c>
      <c r="K2609">
        <v>1.1125449999999999</v>
      </c>
      <c r="L2609">
        <v>214.3836</v>
      </c>
      <c r="M2609">
        <v>0.99112869999999997</v>
      </c>
      <c r="N2609">
        <v>0</v>
      </c>
      <c r="O2609">
        <v>-0.132213</v>
      </c>
      <c r="P2609">
        <v>0.99453029999999998</v>
      </c>
      <c r="Q2609">
        <v>-7.1125359999999999E-2</v>
      </c>
      <c r="R2609">
        <v>-7.6489890000000005E-2</v>
      </c>
      <c r="S2609">
        <v>3.0580440000000002</v>
      </c>
      <c r="T2609">
        <v>-0.27722750000000002</v>
      </c>
      <c r="U2609">
        <v>0.3555603</v>
      </c>
      <c r="V2609">
        <v>-5.5395399999999997E-2</v>
      </c>
      <c r="W2609">
        <v>-5.7903379999999997E-2</v>
      </c>
      <c r="X2609">
        <v>0.99678409999999995</v>
      </c>
      <c r="Y2609">
        <v>-0.2442917</v>
      </c>
      <c r="Z2609">
        <v>2.2932609999999999E-2</v>
      </c>
      <c r="AA2609">
        <v>0.96943060000000003</v>
      </c>
      <c r="AB2609">
        <v>17</v>
      </c>
      <c r="AC2609">
        <v>10.8118999999999</v>
      </c>
      <c r="AD2609">
        <v>-1.1125455389546901</v>
      </c>
      <c r="AE2609">
        <v>1.6014000000000099</v>
      </c>
      <c r="AF2609">
        <v>-2.9860058487402998</v>
      </c>
      <c r="AG2609">
        <v>-1.1125455389546901</v>
      </c>
      <c r="AH2609">
        <v>10.3974932783764</v>
      </c>
      <c r="AI2609">
        <v>95.871899068534304</v>
      </c>
      <c r="AJ2609">
        <v>106.023280509188</v>
      </c>
      <c r="AK2609">
        <v>10.874826664312501</v>
      </c>
      <c r="AL2609">
        <v>93.319475993004602</v>
      </c>
      <c r="AM2609">
        <v>93.180890556835905</v>
      </c>
      <c r="AN2609">
        <v>0.99999999688469698</v>
      </c>
    </row>
    <row r="2610" spans="1:40" x14ac:dyDescent="0.3">
      <c r="A2610" t="str">
        <f>"20200111160502476"</f>
        <v>20200111160502476</v>
      </c>
      <c r="B2610" t="str">
        <f>"1578729902473747"</f>
        <v>1578729902473747</v>
      </c>
      <c r="C2610" t="s">
        <v>40</v>
      </c>
      <c r="D2610">
        <v>5.6833179999999999</v>
      </c>
      <c r="E2610">
        <v>0.45053660000000001</v>
      </c>
      <c r="F2610" t="s">
        <v>61</v>
      </c>
      <c r="G2610">
        <v>-306.6003</v>
      </c>
      <c r="H2610" s="1">
        <v>2.7421639999999999E-7</v>
      </c>
      <c r="I2610">
        <v>226.52449999999999</v>
      </c>
      <c r="J2610">
        <v>-471.35449999999997</v>
      </c>
      <c r="K2610">
        <v>1.1124080000000001</v>
      </c>
      <c r="L2610">
        <v>214.2688</v>
      </c>
      <c r="M2610">
        <v>0.99579399999999996</v>
      </c>
      <c r="N2610">
        <v>0</v>
      </c>
      <c r="O2610">
        <v>-9.0631950000000003E-2</v>
      </c>
      <c r="P2610">
        <v>0.99549849999999995</v>
      </c>
      <c r="Q2610">
        <v>-7.7839839999999993E-2</v>
      </c>
      <c r="R2610">
        <v>-5.4073549999999998E-2</v>
      </c>
      <c r="S2610">
        <v>3.0321039999999999</v>
      </c>
      <c r="T2610">
        <v>-2.0297050000000001E-2</v>
      </c>
      <c r="U2610">
        <v>0.22149659999999999</v>
      </c>
      <c r="V2610">
        <v>-3.6080180000000003E-2</v>
      </c>
      <c r="W2610">
        <v>-6.4623970000000003E-2</v>
      </c>
      <c r="X2610">
        <v>0.99725719999999995</v>
      </c>
      <c r="Y2610">
        <v>-0.16295000000000001</v>
      </c>
      <c r="Z2610">
        <v>1.1504779999999999E-3</v>
      </c>
      <c r="AA2610">
        <v>0.98663369999999995</v>
      </c>
      <c r="AB2610">
        <v>16</v>
      </c>
      <c r="AC2610">
        <v>164.754199999999</v>
      </c>
      <c r="AD2610">
        <v>-1.1124077257836</v>
      </c>
      <c r="AE2610">
        <v>12.2556999999999</v>
      </c>
      <c r="AF2610">
        <v>-27.1373613435408</v>
      </c>
      <c r="AG2610">
        <v>-1.1124077257836</v>
      </c>
      <c r="AH2610">
        <v>162.957778230565</v>
      </c>
      <c r="AI2610">
        <v>90.385802447680902</v>
      </c>
      <c r="AJ2610">
        <v>99.454704116262803</v>
      </c>
      <c r="AK2610">
        <v>165.20566369674</v>
      </c>
      <c r="AL2610">
        <v>93.705262891079101</v>
      </c>
      <c r="AM2610">
        <v>92.0720239209044</v>
      </c>
      <c r="AN2610">
        <v>0.99999997991961598</v>
      </c>
    </row>
    <row r="2611" spans="1:40" x14ac:dyDescent="0.3">
      <c r="A2611" t="str">
        <f>"20200111160502521"</f>
        <v>20200111160502521</v>
      </c>
      <c r="B2611" t="str">
        <f>"1578729902513763"</f>
        <v>1578729902513763</v>
      </c>
      <c r="C2611" t="s">
        <v>40</v>
      </c>
      <c r="D2611">
        <v>5.6497840000000004</v>
      </c>
      <c r="E2611">
        <v>0.45725579999999999</v>
      </c>
      <c r="F2611" t="s">
        <v>61</v>
      </c>
      <c r="G2611">
        <v>-405.44529999999997</v>
      </c>
      <c r="H2611" s="1">
        <v>5.067439E-6</v>
      </c>
      <c r="I2611">
        <v>219.06899999999999</v>
      </c>
      <c r="J2611">
        <v>-471.03449999999998</v>
      </c>
      <c r="K2611">
        <v>1.1124419999999999</v>
      </c>
      <c r="L2611">
        <v>214.25120000000001</v>
      </c>
      <c r="M2611">
        <v>0.99658740000000001</v>
      </c>
      <c r="N2611">
        <v>0</v>
      </c>
      <c r="O2611">
        <v>-8.1483429999999996E-2</v>
      </c>
      <c r="P2611">
        <v>0.996367</v>
      </c>
      <c r="Q2611">
        <v>-7.1740139999999994E-2</v>
      </c>
      <c r="R2611">
        <v>-4.5895859999999997E-2</v>
      </c>
      <c r="S2611">
        <v>3.0215450000000001</v>
      </c>
      <c r="T2611">
        <v>-5.0997019999999997E-2</v>
      </c>
      <c r="U2611">
        <v>0.22006229999999999</v>
      </c>
      <c r="V2611">
        <v>-3.5167549999999999E-2</v>
      </c>
      <c r="W2611">
        <v>-5.8760199999999999E-2</v>
      </c>
      <c r="X2611">
        <v>0.99765250000000005</v>
      </c>
      <c r="Y2611">
        <v>-0.153639</v>
      </c>
      <c r="Z2611">
        <v>2.6680760000000001E-3</v>
      </c>
      <c r="AA2611">
        <v>0.98812350000000004</v>
      </c>
      <c r="AB2611">
        <v>16</v>
      </c>
      <c r="AC2611">
        <v>65.589200000000005</v>
      </c>
      <c r="AD2611">
        <v>-1.112436932561</v>
      </c>
      <c r="AE2611">
        <v>4.8178000000000001</v>
      </c>
      <c r="AF2611">
        <v>-10.1437722435059</v>
      </c>
      <c r="AG2611">
        <v>-1.112436932561</v>
      </c>
      <c r="AH2611">
        <v>64.959866595656393</v>
      </c>
      <c r="AI2611">
        <v>90.969348694847497</v>
      </c>
      <c r="AJ2611">
        <v>98.875314935819603</v>
      </c>
      <c r="AK2611">
        <v>65.7565046165208</v>
      </c>
      <c r="AL2611">
        <v>93.368651840231607</v>
      </c>
      <c r="AM2611">
        <v>92.018857498243804</v>
      </c>
      <c r="AN2611">
        <v>1.0000000142166401</v>
      </c>
    </row>
    <row r="2612" spans="1:40" x14ac:dyDescent="0.3">
      <c r="A2612" t="str">
        <f>"20200111160502546"</f>
        <v>20200111160502546</v>
      </c>
      <c r="B2612" t="str">
        <f>"1578729902544019"</f>
        <v>1578729902544019</v>
      </c>
      <c r="C2612" t="s">
        <v>40</v>
      </c>
      <c r="D2612">
        <v>5.6462070000000004</v>
      </c>
      <c r="E2612">
        <v>0.46029029999999999</v>
      </c>
      <c r="F2612" t="s">
        <v>69</v>
      </c>
      <c r="G2612">
        <v>-157.25</v>
      </c>
      <c r="H2612">
        <v>5.0563060000000002</v>
      </c>
      <c r="I2612">
        <v>233.65190000000001</v>
      </c>
      <c r="J2612">
        <v>-470.86160000000001</v>
      </c>
      <c r="K2612">
        <v>1.112422</v>
      </c>
      <c r="L2612">
        <v>214.24299999999999</v>
      </c>
      <c r="M2612">
        <v>0.99698730000000002</v>
      </c>
      <c r="N2612">
        <v>0</v>
      </c>
      <c r="O2612">
        <v>-7.6481649999999998E-2</v>
      </c>
      <c r="P2612">
        <v>0.99669540000000001</v>
      </c>
      <c r="Q2612">
        <v>-7.0167599999999997E-2</v>
      </c>
      <c r="R2612">
        <v>-4.0926509999999999E-2</v>
      </c>
      <c r="S2612">
        <v>3.0222470000000001</v>
      </c>
      <c r="T2612">
        <v>3.7986279999999997E-2</v>
      </c>
      <c r="U2612">
        <v>0.1868591</v>
      </c>
      <c r="V2612">
        <v>-3.5146919999999998E-2</v>
      </c>
      <c r="W2612">
        <v>-5.7451700000000001E-2</v>
      </c>
      <c r="X2612">
        <v>0.99772939999999999</v>
      </c>
      <c r="Y2612">
        <v>-0.13785459999999999</v>
      </c>
      <c r="Z2612">
        <v>-1.8257569999999999E-3</v>
      </c>
      <c r="AA2612">
        <v>0.99045079999999996</v>
      </c>
      <c r="AB2612">
        <v>16</v>
      </c>
      <c r="AC2612">
        <v>313.61160000000001</v>
      </c>
      <c r="AD2612">
        <v>3.94388399999999</v>
      </c>
      <c r="AE2612">
        <v>19.408899999999999</v>
      </c>
      <c r="AF2612">
        <v>-43.332749012895803</v>
      </c>
      <c r="AG2612">
        <v>3.94388399999999</v>
      </c>
      <c r="AH2612">
        <v>311.15930457669998</v>
      </c>
      <c r="AI2612">
        <v>89.2807661339437</v>
      </c>
      <c r="AJ2612">
        <v>97.928149554618599</v>
      </c>
      <c r="AK2612">
        <v>314.186877801533</v>
      </c>
      <c r="AL2612">
        <v>93.293553537488293</v>
      </c>
      <c r="AM2612">
        <v>92.017518790796998</v>
      </c>
      <c r="AN2612">
        <v>0.999999979721368</v>
      </c>
    </row>
    <row r="2613" spans="1:40" x14ac:dyDescent="0.3">
      <c r="A2613" t="str">
        <f>"20200111160502567"</f>
        <v>20200111160502567</v>
      </c>
      <c r="B2613" t="str">
        <f>"1578729902564046"</f>
        <v>1578729902564046</v>
      </c>
      <c r="C2613" t="s">
        <v>40</v>
      </c>
      <c r="D2613">
        <v>5.6122449999999997</v>
      </c>
      <c r="E2613">
        <v>0.4620744</v>
      </c>
      <c r="F2613" t="s">
        <v>69</v>
      </c>
      <c r="G2613">
        <v>-157.25</v>
      </c>
      <c r="H2613">
        <v>4.5815010000000003</v>
      </c>
      <c r="I2613">
        <v>232.73840000000001</v>
      </c>
      <c r="J2613">
        <v>-470.70229999999998</v>
      </c>
      <c r="K2613">
        <v>1.1123829999999999</v>
      </c>
      <c r="L2613">
        <v>214.2362</v>
      </c>
      <c r="M2613">
        <v>0.99733559999999999</v>
      </c>
      <c r="N2613">
        <v>0</v>
      </c>
      <c r="O2613">
        <v>-7.1848969999999998E-2</v>
      </c>
      <c r="P2613">
        <v>0.9969479</v>
      </c>
      <c r="Q2613">
        <v>-6.8964549999999999E-2</v>
      </c>
      <c r="R2613">
        <v>-3.6586319999999999E-2</v>
      </c>
      <c r="S2613">
        <v>3.0196529999999999</v>
      </c>
      <c r="T2613">
        <v>3.3403040000000002E-2</v>
      </c>
      <c r="U2613">
        <v>0.178085299999999</v>
      </c>
      <c r="V2613">
        <v>-3.4863760000000001E-2</v>
      </c>
      <c r="W2613">
        <v>-5.653917E-2</v>
      </c>
      <c r="X2613">
        <v>0.99779150000000005</v>
      </c>
      <c r="Y2613">
        <v>-0.13043869999999999</v>
      </c>
      <c r="Z2613">
        <v>-1.5148410000000001E-3</v>
      </c>
      <c r="AA2613">
        <v>0.99145519999999998</v>
      </c>
      <c r="AB2613">
        <v>16</v>
      </c>
      <c r="AC2613">
        <v>313.45229999999998</v>
      </c>
      <c r="AD2613">
        <v>3.4691179999999999</v>
      </c>
      <c r="AE2613">
        <v>18.502199999999998</v>
      </c>
      <c r="AF2613">
        <v>-40.9723929879652</v>
      </c>
      <c r="AG2613">
        <v>3.4691179999999999</v>
      </c>
      <c r="AH2613">
        <v>311.27459523685297</v>
      </c>
      <c r="AI2613">
        <v>89.366932078875394</v>
      </c>
      <c r="AJ2613">
        <v>97.498609547082793</v>
      </c>
      <c r="AK2613">
        <v>313.97873400395298</v>
      </c>
      <c r="AL2613">
        <v>93.241184161708802</v>
      </c>
      <c r="AM2613">
        <v>92.001153534787093</v>
      </c>
      <c r="AN2613">
        <v>1.0000000184889299</v>
      </c>
    </row>
    <row r="2614" spans="1:40" x14ac:dyDescent="0.3">
      <c r="A2614" t="str">
        <f>"20200111160502590"</f>
        <v>20200111160502590</v>
      </c>
      <c r="B2614" t="str">
        <f>"1578729902583566"</f>
        <v>1578729902583566</v>
      </c>
      <c r="C2614" t="s">
        <v>40</v>
      </c>
      <c r="D2614">
        <v>5.7030149999999997</v>
      </c>
      <c r="E2614">
        <v>0.46301789999999998</v>
      </c>
      <c r="F2614" t="s">
        <v>69</v>
      </c>
      <c r="G2614">
        <v>-157.25</v>
      </c>
      <c r="H2614">
        <v>0.83697099999999902</v>
      </c>
      <c r="I2614">
        <v>232.87559999999999</v>
      </c>
      <c r="J2614">
        <v>-470.54109999999997</v>
      </c>
      <c r="K2614">
        <v>1.112333</v>
      </c>
      <c r="L2614">
        <v>214.2302</v>
      </c>
      <c r="M2614">
        <v>0.99766639999999995</v>
      </c>
      <c r="N2614">
        <v>0</v>
      </c>
      <c r="O2614">
        <v>-6.7155329999999999E-2</v>
      </c>
      <c r="P2614">
        <v>0.99710089999999996</v>
      </c>
      <c r="Q2614">
        <v>-6.8662340000000002E-2</v>
      </c>
      <c r="R2614">
        <v>-3.2795310000000001E-2</v>
      </c>
      <c r="S2614">
        <v>3.0155940000000001</v>
      </c>
      <c r="T2614">
        <v>-2.649069E-3</v>
      </c>
      <c r="U2614">
        <v>0.17932129999999999</v>
      </c>
      <c r="V2614">
        <v>-3.3963100000000003E-2</v>
      </c>
      <c r="W2614">
        <v>-5.6535309999999998E-2</v>
      </c>
      <c r="X2614">
        <v>0.99782280000000001</v>
      </c>
      <c r="Y2614">
        <v>-0.12626769999999901</v>
      </c>
      <c r="Z2614">
        <v>1.1435299999999999E-4</v>
      </c>
      <c r="AA2614">
        <v>0.99199619999999999</v>
      </c>
      <c r="AB2614">
        <v>16</v>
      </c>
      <c r="AC2614">
        <v>313.29109999999997</v>
      </c>
      <c r="AD2614">
        <v>-0.275362</v>
      </c>
      <c r="AE2614">
        <v>18.645399999999899</v>
      </c>
      <c r="AF2614">
        <v>-39.644037181000002</v>
      </c>
      <c r="AG2614">
        <v>-0.275362</v>
      </c>
      <c r="AH2614">
        <v>311.33127524884799</v>
      </c>
      <c r="AI2614">
        <v>90.050270248339302</v>
      </c>
      <c r="AJ2614">
        <v>97.256826875489196</v>
      </c>
      <c r="AK2614">
        <v>313.84532568817002</v>
      </c>
      <c r="AL2614">
        <v>93.240962586216199</v>
      </c>
      <c r="AM2614">
        <v>91.949435643998498</v>
      </c>
      <c r="AN2614">
        <v>1.00000003681912</v>
      </c>
    </row>
    <row r="2615" spans="1:40" x14ac:dyDescent="0.3">
      <c r="A2615" t="str">
        <f>"20200111160502610"</f>
        <v>20200111160502610</v>
      </c>
      <c r="B2615" t="str">
        <f>"1578729902604062"</f>
        <v>1578729902604062</v>
      </c>
      <c r="C2615" t="s">
        <v>40</v>
      </c>
      <c r="D2615">
        <v>5.6876810000000004</v>
      </c>
      <c r="E2615">
        <v>0.46425870000000002</v>
      </c>
      <c r="F2615" t="s">
        <v>57</v>
      </c>
      <c r="G2615">
        <v>-375.3809</v>
      </c>
      <c r="H2615">
        <v>8.0000130000000003E-2</v>
      </c>
      <c r="I2615">
        <v>220.0752</v>
      </c>
      <c r="J2615">
        <v>-470.38459999999998</v>
      </c>
      <c r="K2615">
        <v>1.1122890000000001</v>
      </c>
      <c r="L2615">
        <v>214.22489999999999</v>
      </c>
      <c r="M2615">
        <v>0.99796660000000004</v>
      </c>
      <c r="N2615">
        <v>0</v>
      </c>
      <c r="O2615">
        <v>-6.2594150000000001E-2</v>
      </c>
      <c r="P2615">
        <v>0.99716020000000005</v>
      </c>
      <c r="Q2615">
        <v>-6.9120790000000001E-2</v>
      </c>
      <c r="R2615">
        <v>-2.9893590000000001E-2</v>
      </c>
      <c r="S2615">
        <v>3.0126040000000001</v>
      </c>
      <c r="T2615">
        <v>-3.268182E-2</v>
      </c>
      <c r="U2615">
        <v>0.18504329999999999</v>
      </c>
      <c r="V2615">
        <v>-3.22992E-2</v>
      </c>
      <c r="W2615">
        <v>-5.7295150000000003E-2</v>
      </c>
      <c r="X2615">
        <v>0.99783469999999996</v>
      </c>
      <c r="Y2615">
        <v>-0.1236573</v>
      </c>
      <c r="Z2615">
        <v>1.348515E-3</v>
      </c>
      <c r="AA2615">
        <v>0.99232410000000004</v>
      </c>
      <c r="AB2615">
        <v>16</v>
      </c>
      <c r="AC2615">
        <v>95.003699999999895</v>
      </c>
      <c r="AD2615">
        <v>-1.0322888699999999</v>
      </c>
      <c r="AE2615">
        <v>5.8502999999999998</v>
      </c>
      <c r="AF2615">
        <v>-11.784546136839101</v>
      </c>
      <c r="AG2615">
        <v>-1.0322888699999999</v>
      </c>
      <c r="AH2615">
        <v>94.440047815845901</v>
      </c>
      <c r="AI2615">
        <v>90.621434739602606</v>
      </c>
      <c r="AJ2615">
        <v>97.112794219961302</v>
      </c>
      <c r="AK2615">
        <v>95.178063541037005</v>
      </c>
      <c r="AL2615">
        <v>93.284568916652603</v>
      </c>
      <c r="AM2615">
        <v>91.853976324937904</v>
      </c>
      <c r="AN2615">
        <v>1.0000000305291199</v>
      </c>
    </row>
    <row r="2616" spans="1:40" x14ac:dyDescent="0.3">
      <c r="A2616" t="str">
        <f>"20200111160502633"</f>
        <v>20200111160502633</v>
      </c>
      <c r="B2616" t="str">
        <f>"1578729902623582"</f>
        <v>1578729902623582</v>
      </c>
      <c r="C2616" t="s">
        <v>40</v>
      </c>
      <c r="D2616">
        <v>5.6645640000000004</v>
      </c>
      <c r="E2616">
        <v>0.46534409999999998</v>
      </c>
      <c r="F2616" t="s">
        <v>61</v>
      </c>
      <c r="G2616">
        <v>-413.38799999999998</v>
      </c>
      <c r="H2616" s="1">
        <v>2.5339579999999999E-6</v>
      </c>
      <c r="I2616">
        <v>217.7364</v>
      </c>
      <c r="J2616">
        <v>-470.21929999999998</v>
      </c>
      <c r="K2616">
        <v>1.112252</v>
      </c>
      <c r="L2616">
        <v>214.22020000000001</v>
      </c>
      <c r="M2616">
        <v>0.99826170000000003</v>
      </c>
      <c r="N2616">
        <v>0</v>
      </c>
      <c r="O2616">
        <v>-5.7771860000000001E-2</v>
      </c>
      <c r="P2616">
        <v>0.99732690000000002</v>
      </c>
      <c r="Q2616">
        <v>-6.7527589999999998E-2</v>
      </c>
      <c r="R2616">
        <v>-2.7916079999999999E-2</v>
      </c>
      <c r="S2616">
        <v>3.0100099999999999</v>
      </c>
      <c r="T2616">
        <v>-5.8740140000000003E-2</v>
      </c>
      <c r="U2616">
        <v>0.1854401</v>
      </c>
      <c r="V2616">
        <v>-2.9469660000000002E-2</v>
      </c>
      <c r="W2616">
        <v>-5.6047399999999997E-2</v>
      </c>
      <c r="X2616">
        <v>0.99799309999999997</v>
      </c>
      <c r="Y2616">
        <v>-0.1190214</v>
      </c>
      <c r="Z2616">
        <v>2.2864840000000001E-3</v>
      </c>
      <c r="AA2616">
        <v>0.99288900000000002</v>
      </c>
      <c r="AB2616">
        <v>16</v>
      </c>
      <c r="AC2616">
        <v>56.831299999999899</v>
      </c>
      <c r="AD2616">
        <v>-1.1122494660419999</v>
      </c>
      <c r="AE2616">
        <v>3.5161999999999898</v>
      </c>
      <c r="AF2616">
        <v>-6.7912083628505204</v>
      </c>
      <c r="AG2616">
        <v>-1.1122494660419999</v>
      </c>
      <c r="AH2616">
        <v>56.511653919685003</v>
      </c>
      <c r="AI2616">
        <v>91.119484294596603</v>
      </c>
      <c r="AJ2616">
        <v>96.852578031117403</v>
      </c>
      <c r="AK2616">
        <v>56.9291194261831</v>
      </c>
      <c r="AL2616">
        <v>93.212963125759202</v>
      </c>
      <c r="AM2616">
        <v>91.691391088209102</v>
      </c>
      <c r="AN2616">
        <v>0.99999999977744203</v>
      </c>
    </row>
    <row r="2617" spans="1:40" x14ac:dyDescent="0.3">
      <c r="A2617" t="str">
        <f>"20200111160502656"</f>
        <v>20200111160502656</v>
      </c>
      <c r="B2617" t="str">
        <f>"1578729902653838"</f>
        <v>1578729902653838</v>
      </c>
      <c r="C2617" t="s">
        <v>40</v>
      </c>
      <c r="D2617">
        <v>5.7053339999999997</v>
      </c>
      <c r="E2617">
        <v>0.4664044</v>
      </c>
      <c r="F2617" t="s">
        <v>61</v>
      </c>
      <c r="G2617">
        <v>-425.33760000000001</v>
      </c>
      <c r="H2617" s="1">
        <v>2.8123909999999999E-6</v>
      </c>
      <c r="I2617">
        <v>216.9658</v>
      </c>
      <c r="J2617">
        <v>-470.05220000000003</v>
      </c>
      <c r="K2617">
        <v>1.1122350000000001</v>
      </c>
      <c r="L2617">
        <v>214.21619999999999</v>
      </c>
      <c r="M2617">
        <v>0.99853619999999998</v>
      </c>
      <c r="N2617">
        <v>0</v>
      </c>
      <c r="O2617">
        <v>-5.2905140000000003E-2</v>
      </c>
      <c r="P2617">
        <v>0.99777510000000003</v>
      </c>
      <c r="Q2617">
        <v>-6.1319020000000002E-2</v>
      </c>
      <c r="R2617">
        <v>-2.6179460000000002E-2</v>
      </c>
      <c r="S2617">
        <v>3.0081180000000001</v>
      </c>
      <c r="T2617">
        <v>-7.4546689999999999E-2</v>
      </c>
      <c r="U2617">
        <v>0.18402099999999999</v>
      </c>
      <c r="V2617">
        <v>-2.6391640000000001E-2</v>
      </c>
      <c r="W2617">
        <v>-5.0214839999999997E-2</v>
      </c>
      <c r="X2617">
        <v>0.99838970000000005</v>
      </c>
      <c r="Y2617">
        <v>-0.1137339</v>
      </c>
      <c r="Z2617">
        <v>2.7175519999999998E-3</v>
      </c>
      <c r="AA2617">
        <v>0.99350749999999999</v>
      </c>
      <c r="AB2617">
        <v>17</v>
      </c>
      <c r="AC2617">
        <v>44.714599999999997</v>
      </c>
      <c r="AD2617">
        <v>-1.112232187609</v>
      </c>
      <c r="AE2617">
        <v>2.7496000000000098</v>
      </c>
      <c r="AF2617">
        <v>-5.1083818942689403</v>
      </c>
      <c r="AG2617">
        <v>-1.112232187609</v>
      </c>
      <c r="AH2617">
        <v>44.479077693984699</v>
      </c>
      <c r="AI2617">
        <v>91.4230740074008</v>
      </c>
      <c r="AJ2617">
        <v>96.551662983578893</v>
      </c>
      <c r="AK2617">
        <v>44.785276358691497</v>
      </c>
      <c r="AL2617">
        <v>92.878308829691207</v>
      </c>
      <c r="AM2617">
        <v>91.514215866930002</v>
      </c>
      <c r="AN2617">
        <v>1.0000000209421001</v>
      </c>
    </row>
    <row r="2618" spans="1:40" x14ac:dyDescent="0.3">
      <c r="A2618" t="str">
        <f>"20200111160502678"</f>
        <v>20200111160502678</v>
      </c>
      <c r="B2618" t="str">
        <f>"1578729902673868"</f>
        <v>1578729902673868</v>
      </c>
      <c r="C2618" t="s">
        <v>40</v>
      </c>
      <c r="D2618">
        <v>6.0139909999999999</v>
      </c>
      <c r="E2618">
        <v>0.46655419999999997</v>
      </c>
      <c r="F2618" t="s">
        <v>61</v>
      </c>
      <c r="G2618">
        <v>-428.29300000000001</v>
      </c>
      <c r="H2618" s="1">
        <v>2.3067610000000001E-6</v>
      </c>
      <c r="I2618">
        <v>216.75309999999999</v>
      </c>
      <c r="J2618">
        <v>-469.89260000000002</v>
      </c>
      <c r="K2618">
        <v>1.112231</v>
      </c>
      <c r="L2618">
        <v>214.2131</v>
      </c>
      <c r="M2618">
        <v>0.998776</v>
      </c>
      <c r="N2618">
        <v>0</v>
      </c>
      <c r="O2618">
        <v>-4.8254360000000003E-2</v>
      </c>
      <c r="P2618">
        <v>0.99828539999999999</v>
      </c>
      <c r="Q2618">
        <v>-5.3047259999999999E-2</v>
      </c>
      <c r="R2618">
        <v>-2.474264E-2</v>
      </c>
      <c r="S2618">
        <v>3.006561</v>
      </c>
      <c r="T2618">
        <v>-8.0078010000000005E-2</v>
      </c>
      <c r="U2618">
        <v>0.1826477</v>
      </c>
      <c r="V2618">
        <v>-2.324178E-2</v>
      </c>
      <c r="W2618">
        <v>-4.2315829999999999E-2</v>
      </c>
      <c r="X2618">
        <v>0.99883390000000005</v>
      </c>
      <c r="Y2618">
        <v>-0.1086802</v>
      </c>
      <c r="Z2618">
        <v>2.7297160000000001E-3</v>
      </c>
      <c r="AA2618">
        <v>0.99407299999999998</v>
      </c>
      <c r="AB2618">
        <v>17</v>
      </c>
      <c r="AC2618">
        <v>41.599600000000002</v>
      </c>
      <c r="AD2618">
        <v>-1.112228693239</v>
      </c>
      <c r="AE2618">
        <v>2.5399999999999898</v>
      </c>
      <c r="AF2618">
        <v>-4.5412870473746398</v>
      </c>
      <c r="AG2618">
        <v>-1.112228693239</v>
      </c>
      <c r="AH2618">
        <v>41.3990768895953</v>
      </c>
      <c r="AI2618">
        <v>91.529767754418003</v>
      </c>
      <c r="AJ2618">
        <v>96.260052561237302</v>
      </c>
      <c r="AK2618">
        <v>41.662259996588602</v>
      </c>
      <c r="AL2618">
        <v>92.425242655181606</v>
      </c>
      <c r="AM2618">
        <v>91.332970018455697</v>
      </c>
      <c r="AN2618">
        <v>0.99999998479768304</v>
      </c>
    </row>
    <row r="2619" spans="1:40" x14ac:dyDescent="0.3">
      <c r="A2619" t="str">
        <f>"20200111160502700"</f>
        <v>20200111160502700</v>
      </c>
      <c r="B2619" t="str">
        <f>"1578729902693386"</f>
        <v>1578729902693386</v>
      </c>
      <c r="C2619" t="s">
        <v>40</v>
      </c>
      <c r="D2619">
        <v>5.7712199999999996</v>
      </c>
      <c r="E2619">
        <v>0.46703050000000002</v>
      </c>
      <c r="F2619" t="s">
        <v>61</v>
      </c>
      <c r="G2619">
        <v>-421.27839999999998</v>
      </c>
      <c r="H2619" s="1">
        <v>3.5089929999999998E-6</v>
      </c>
      <c r="I2619">
        <v>217.23390000000001</v>
      </c>
      <c r="J2619">
        <v>-469.7278</v>
      </c>
      <c r="K2619">
        <v>1.112236</v>
      </c>
      <c r="L2619">
        <v>214.2107</v>
      </c>
      <c r="M2619">
        <v>0.99900089999999997</v>
      </c>
      <c r="N2619">
        <v>0</v>
      </c>
      <c r="O2619">
        <v>-4.3449929999999998E-2</v>
      </c>
      <c r="P2619">
        <v>0.99859109999999995</v>
      </c>
      <c r="Q2619">
        <v>-4.7512020000000002E-2</v>
      </c>
      <c r="R2619">
        <v>-2.3637350000000001E-2</v>
      </c>
      <c r="S2619">
        <v>3.0061339999999999</v>
      </c>
      <c r="T2619">
        <v>-6.8776370000000003E-2</v>
      </c>
      <c r="U2619">
        <v>0.18679809999999999</v>
      </c>
      <c r="V2619">
        <v>-1.9580650000000002E-2</v>
      </c>
      <c r="W2619">
        <v>-3.7173060000000001E-2</v>
      </c>
      <c r="X2619">
        <v>0.99911700000000003</v>
      </c>
      <c r="Y2619">
        <v>-0.1052907</v>
      </c>
      <c r="Z2619">
        <v>2.1962819999999999E-3</v>
      </c>
      <c r="AA2619">
        <v>0.99443910000000002</v>
      </c>
      <c r="AB2619">
        <v>17</v>
      </c>
      <c r="AC2619">
        <v>48.449399999999997</v>
      </c>
      <c r="AD2619">
        <v>-1.1122324910070001</v>
      </c>
      <c r="AE2619">
        <v>3.0232000000000001</v>
      </c>
      <c r="AF2619">
        <v>-5.1228933772017902</v>
      </c>
      <c r="AG2619">
        <v>-1.1122324910070001</v>
      </c>
      <c r="AH2619">
        <v>48.246946915630701</v>
      </c>
      <c r="AI2619">
        <v>91.313221011149295</v>
      </c>
      <c r="AJ2619">
        <v>96.060994711616004</v>
      </c>
      <c r="AK2619">
        <v>48.530907516220203</v>
      </c>
      <c r="AL2619">
        <v>92.130350255293607</v>
      </c>
      <c r="AM2619">
        <v>91.122736382840699</v>
      </c>
      <c r="AN2619">
        <v>1.0000000089665899</v>
      </c>
    </row>
    <row r="2620" spans="1:40" x14ac:dyDescent="0.3">
      <c r="A2620" t="str">
        <f>"20200111160502724"</f>
        <v>20200111160502724</v>
      </c>
      <c r="B2620" t="str">
        <f>"1578729902713883"</f>
        <v>1578729902713883</v>
      </c>
      <c r="C2620" t="s">
        <v>40</v>
      </c>
      <c r="D2620">
        <v>5.679144</v>
      </c>
      <c r="E2620">
        <v>0.47734470000000001</v>
      </c>
      <c r="F2620" t="s">
        <v>61</v>
      </c>
      <c r="G2620">
        <v>-412.45319999999998</v>
      </c>
      <c r="H2620" s="1">
        <v>2.3655099999999999E-6</v>
      </c>
      <c r="I2620">
        <v>217.76650000000001</v>
      </c>
      <c r="J2620">
        <v>-469.54829999999998</v>
      </c>
      <c r="K2620">
        <v>1.1122339999999999</v>
      </c>
      <c r="L2620">
        <v>214.2089</v>
      </c>
      <c r="M2620">
        <v>0.99922029999999995</v>
      </c>
      <c r="N2620">
        <v>0</v>
      </c>
      <c r="O2620">
        <v>-3.8201150000000003E-2</v>
      </c>
      <c r="P2620">
        <v>0.99883710000000003</v>
      </c>
      <c r="Q2620">
        <v>-4.2905789999999999E-2</v>
      </c>
      <c r="R2620">
        <v>-2.199709E-2</v>
      </c>
      <c r="S2620">
        <v>3.0058289999999999</v>
      </c>
      <c r="T2620">
        <v>-5.8371190000000003E-2</v>
      </c>
      <c r="U2620">
        <v>0.186615</v>
      </c>
      <c r="V2620">
        <v>-1.600118E-2</v>
      </c>
      <c r="W2620">
        <v>-3.3009719999999999E-2</v>
      </c>
      <c r="X2620">
        <v>0.99932690000000002</v>
      </c>
      <c r="Y2620">
        <v>-0.1000235</v>
      </c>
      <c r="Z2620">
        <v>1.711349E-3</v>
      </c>
      <c r="AA2620">
        <v>0.99498359999999997</v>
      </c>
      <c r="AB2620">
        <v>17</v>
      </c>
      <c r="AC2620">
        <v>57.095100000000002</v>
      </c>
      <c r="AD2620">
        <v>-1.1122316344899901</v>
      </c>
      <c r="AE2620">
        <v>3.5575999999999999</v>
      </c>
      <c r="AF2620">
        <v>-5.7340423411443799</v>
      </c>
      <c r="AG2620">
        <v>-1.1122316344899901</v>
      </c>
      <c r="AH2620">
        <v>56.896001651779699</v>
      </c>
      <c r="AI2620">
        <v>91.114261100908493</v>
      </c>
      <c r="AJ2620">
        <v>95.754901036083396</v>
      </c>
      <c r="AK2620">
        <v>57.195028671538601</v>
      </c>
      <c r="AL2620">
        <v>91.891661347762593</v>
      </c>
      <c r="AM2620">
        <v>90.917339203710696</v>
      </c>
      <c r="AN2620">
        <v>0.99999996621973897</v>
      </c>
    </row>
    <row r="2621" spans="1:40" x14ac:dyDescent="0.3">
      <c r="A2621" t="str">
        <f>"20200111160502747"</f>
        <v>20200111160502747</v>
      </c>
      <c r="B2621" t="str">
        <f>"1578729902744139"</f>
        <v>1578729902744139</v>
      </c>
      <c r="C2621" t="s">
        <v>40</v>
      </c>
      <c r="D2621">
        <v>5.6663870000000003</v>
      </c>
      <c r="E2621">
        <v>0.47807339999999998</v>
      </c>
      <c r="F2621" t="s">
        <v>57</v>
      </c>
      <c r="G2621">
        <v>-454.85059999999999</v>
      </c>
      <c r="H2621" s="1">
        <v>1.0360360000000001E-6</v>
      </c>
      <c r="I2621">
        <v>214.80840000000001</v>
      </c>
      <c r="J2621">
        <v>-469.37470000000002</v>
      </c>
      <c r="K2621">
        <v>1.1122259999999999</v>
      </c>
      <c r="L2621">
        <v>214.20820000000001</v>
      </c>
      <c r="M2621">
        <v>0.99940680000000004</v>
      </c>
      <c r="N2621">
        <v>0</v>
      </c>
      <c r="O2621">
        <v>-3.3096019999999997E-2</v>
      </c>
      <c r="P2621">
        <v>0.99899490000000002</v>
      </c>
      <c r="Q2621">
        <v>-4.0625679999999997E-2</v>
      </c>
      <c r="R2621">
        <v>-1.8949069999999998E-2</v>
      </c>
      <c r="S2621">
        <v>2.9964599999999999</v>
      </c>
      <c r="T2621">
        <v>-0.22675339999999999</v>
      </c>
      <c r="U2621">
        <v>0.1222229</v>
      </c>
      <c r="V2621">
        <v>-1.3955810000000001E-2</v>
      </c>
      <c r="W2621">
        <v>-3.1181739999999999E-2</v>
      </c>
      <c r="X2621">
        <v>0.99941630000000004</v>
      </c>
      <c r="Y2621">
        <v>-7.3498560000000004E-2</v>
      </c>
      <c r="Z2621">
        <v>5.2759189999999996E-3</v>
      </c>
      <c r="AA2621">
        <v>0.99728139999999998</v>
      </c>
      <c r="AB2621">
        <v>17</v>
      </c>
      <c r="AC2621">
        <v>14.524100000000001</v>
      </c>
      <c r="AD2621">
        <v>-1.1122249639639901</v>
      </c>
      <c r="AE2621">
        <v>0.60020000000000095</v>
      </c>
      <c r="AF2621">
        <v>-1.0742937666743499</v>
      </c>
      <c r="AG2621">
        <v>-1.1122249639639901</v>
      </c>
      <c r="AH2621">
        <v>14.4119076562078</v>
      </c>
      <c r="AI2621">
        <v>94.400837358032405</v>
      </c>
      <c r="AJ2621">
        <v>94.263063077060195</v>
      </c>
      <c r="AK2621">
        <v>14.494627755090599</v>
      </c>
      <c r="AL2621">
        <v>91.786871736937201</v>
      </c>
      <c r="AM2621">
        <v>90.800024020279906</v>
      </c>
      <c r="AN2621">
        <v>1.00000000312393</v>
      </c>
    </row>
    <row r="2622" spans="1:40" x14ac:dyDescent="0.3">
      <c r="A2622" t="str">
        <f>"20200111160502771"</f>
        <v>20200111160502771</v>
      </c>
      <c r="B2622" t="str">
        <f>"1578729902764166"</f>
        <v>1578729902764166</v>
      </c>
      <c r="C2622" t="s">
        <v>40</v>
      </c>
      <c r="D2622">
        <v>5.5516800000000002</v>
      </c>
      <c r="E2622">
        <v>0.47767349999999997</v>
      </c>
      <c r="F2622" t="s">
        <v>57</v>
      </c>
      <c r="G2622">
        <v>-454.14510000000001</v>
      </c>
      <c r="H2622" s="1">
        <v>6.5898139999999898E-7</v>
      </c>
      <c r="I2622">
        <v>214.8466</v>
      </c>
      <c r="J2622">
        <v>-469.19150000000002</v>
      </c>
      <c r="K2622">
        <v>1.1122259999999999</v>
      </c>
      <c r="L2622">
        <v>214.20840000000001</v>
      </c>
      <c r="M2622">
        <v>0.99957569999999996</v>
      </c>
      <c r="N2622">
        <v>0</v>
      </c>
      <c r="O2622">
        <v>-2.768485E-2</v>
      </c>
      <c r="P2622">
        <v>0.99915030000000005</v>
      </c>
      <c r="Q2622">
        <v>-3.7589749999999998E-2</v>
      </c>
      <c r="R2622">
        <v>-1.692051E-2</v>
      </c>
      <c r="S2622">
        <v>2.996521</v>
      </c>
      <c r="T2622">
        <v>-0.21883810000000001</v>
      </c>
      <c r="U2622">
        <v>0.12561040000000001</v>
      </c>
      <c r="V2622">
        <v>-1.058918E-2</v>
      </c>
      <c r="W2622">
        <v>-2.8606619999999999E-2</v>
      </c>
      <c r="X2622">
        <v>0.9995347</v>
      </c>
      <c r="Y2622">
        <v>-6.926976E-2</v>
      </c>
      <c r="Z2622">
        <v>4.5433970000000002E-3</v>
      </c>
      <c r="AA2622">
        <v>0.99758760000000002</v>
      </c>
      <c r="AB2622">
        <v>17</v>
      </c>
      <c r="AC2622">
        <v>15.0464</v>
      </c>
      <c r="AD2622">
        <v>-1.1122253410186</v>
      </c>
      <c r="AE2622">
        <v>0.638199999999983</v>
      </c>
      <c r="AF2622">
        <v>-1.04880922941411</v>
      </c>
      <c r="AG2622">
        <v>-1.1122253410186</v>
      </c>
      <c r="AH2622">
        <v>14.9414676807107</v>
      </c>
      <c r="AI2622">
        <v>94.2467677860989</v>
      </c>
      <c r="AJ2622">
        <v>94.015263915876602</v>
      </c>
      <c r="AK2622">
        <v>15.0194707783807</v>
      </c>
      <c r="AL2622">
        <v>91.639262152154899</v>
      </c>
      <c r="AM2622">
        <v>90.606975051261301</v>
      </c>
      <c r="AN2622">
        <v>1.00000004297249</v>
      </c>
    </row>
    <row r="2623" spans="1:40" x14ac:dyDescent="0.3">
      <c r="A2623" t="str">
        <f>"20200111160502790"</f>
        <v>20200111160502790</v>
      </c>
      <c r="B2623" t="str">
        <f>"1578729902783688"</f>
        <v>1578729902783688</v>
      </c>
      <c r="C2623" t="s">
        <v>40</v>
      </c>
      <c r="D2623">
        <v>5.5424899999999999</v>
      </c>
      <c r="E2623">
        <v>0.47822290000000001</v>
      </c>
      <c r="F2623" t="s">
        <v>57</v>
      </c>
      <c r="G2623">
        <v>-453.91829999999999</v>
      </c>
      <c r="H2623" s="1">
        <v>5.3594390000000003E-7</v>
      </c>
      <c r="I2623">
        <v>214.90010000000001</v>
      </c>
      <c r="J2623">
        <v>-469.04579999999999</v>
      </c>
      <c r="K2623">
        <v>1.112236</v>
      </c>
      <c r="L2623">
        <v>214.20930000000001</v>
      </c>
      <c r="M2623">
        <v>0.99968950000000001</v>
      </c>
      <c r="N2623">
        <v>0</v>
      </c>
      <c r="O2623">
        <v>-2.336535E-2</v>
      </c>
      <c r="P2623">
        <v>0.99924559999999996</v>
      </c>
      <c r="Q2623">
        <v>-3.5477099999999998E-2</v>
      </c>
      <c r="R2623">
        <v>-1.5814269999999998E-2</v>
      </c>
      <c r="S2623">
        <v>2.9966430000000002</v>
      </c>
      <c r="T2623">
        <v>-0.21822150000000001</v>
      </c>
      <c r="U2623">
        <v>0.13571169999999999</v>
      </c>
      <c r="V2623">
        <v>-7.3866399999999999E-3</v>
      </c>
      <c r="W2623">
        <v>-2.6850659999999998E-2</v>
      </c>
      <c r="X2623">
        <v>0.99961219999999995</v>
      </c>
      <c r="Y2623">
        <v>-6.8329109999999998E-2</v>
      </c>
      <c r="Z2623">
        <v>4.1819409999999998E-3</v>
      </c>
      <c r="AA2623">
        <v>0.99765409999999999</v>
      </c>
      <c r="AB2623">
        <v>17</v>
      </c>
      <c r="AC2623">
        <v>15.1274999999999</v>
      </c>
      <c r="AD2623">
        <v>-1.1122354640561001</v>
      </c>
      <c r="AE2623">
        <v>0.69079999999999497</v>
      </c>
      <c r="AF2623">
        <v>-1.0384818414536301</v>
      </c>
      <c r="AG2623">
        <v>-1.1122354640561001</v>
      </c>
      <c r="AH2623">
        <v>15.026169109280101</v>
      </c>
      <c r="AI2623">
        <v>94.223270078232204</v>
      </c>
      <c r="AJ2623">
        <v>93.953513613088404</v>
      </c>
      <c r="AK2623">
        <v>15.103021895078401</v>
      </c>
      <c r="AL2623">
        <v>91.538614357834405</v>
      </c>
      <c r="AM2623">
        <v>90.423379780373395</v>
      </c>
      <c r="AN2623">
        <v>1.00000003539088</v>
      </c>
    </row>
    <row r="2624" spans="1:40" x14ac:dyDescent="0.3">
      <c r="A2624" t="str">
        <f>"20200111160502812"</f>
        <v>20200111160502812</v>
      </c>
      <c r="B2624" t="str">
        <f>"1578729902804184"</f>
        <v>1578729902804184</v>
      </c>
      <c r="C2624" t="s">
        <v>40</v>
      </c>
      <c r="D2624">
        <v>5.3951840000000004</v>
      </c>
      <c r="E2624">
        <v>0.47871370000000002</v>
      </c>
      <c r="F2624" t="s">
        <v>57</v>
      </c>
      <c r="G2624">
        <v>-453.71620000000001</v>
      </c>
      <c r="H2624" s="1">
        <v>4.283601E-7</v>
      </c>
      <c r="I2624">
        <v>214.90100000000001</v>
      </c>
      <c r="J2624">
        <v>-468.8725</v>
      </c>
      <c r="K2624">
        <v>1.1122350000000001</v>
      </c>
      <c r="L2624">
        <v>214.21119999999999</v>
      </c>
      <c r="M2624">
        <v>0.99980040000000003</v>
      </c>
      <c r="N2624">
        <v>0</v>
      </c>
      <c r="O2624">
        <v>-1.820364E-2</v>
      </c>
      <c r="P2624">
        <v>0.99935099999999999</v>
      </c>
      <c r="Q2624">
        <v>-3.3256109999999998E-2</v>
      </c>
      <c r="R2624">
        <v>-1.3836940000000001E-2</v>
      </c>
      <c r="S2624">
        <v>2.9966740000000001</v>
      </c>
      <c r="T2624">
        <v>-0.2174229</v>
      </c>
      <c r="U2624">
        <v>0.13522339999999999</v>
      </c>
      <c r="V2624">
        <v>-4.212777E-3</v>
      </c>
      <c r="W2624">
        <v>-2.5053249999999999E-2</v>
      </c>
      <c r="X2624">
        <v>0.99967720000000004</v>
      </c>
      <c r="Y2624">
        <v>-6.3043740000000001E-2</v>
      </c>
      <c r="Z2624">
        <v>3.6013870000000002E-3</v>
      </c>
      <c r="AA2624">
        <v>0.99800429999999996</v>
      </c>
      <c r="AB2624">
        <v>17</v>
      </c>
      <c r="AC2624">
        <v>15.1562999999999</v>
      </c>
      <c r="AD2624">
        <v>-1.11223457163989</v>
      </c>
      <c r="AE2624">
        <v>0.68979999999999098</v>
      </c>
      <c r="AF2624">
        <v>-0.96043338438605297</v>
      </c>
      <c r="AG2624">
        <v>-1.11223457163989</v>
      </c>
      <c r="AH2624">
        <v>15.0602952307708</v>
      </c>
      <c r="AI2624">
        <v>94.215214503662494</v>
      </c>
      <c r="AJ2624">
        <v>93.648956448370001</v>
      </c>
      <c r="AK2624">
        <v>15.131820461073801</v>
      </c>
      <c r="AL2624">
        <v>91.435595753315894</v>
      </c>
      <c r="AM2624">
        <v>90.241450853628606</v>
      </c>
      <c r="AN2624">
        <v>0.99999995851272605</v>
      </c>
    </row>
    <row r="2625" spans="1:40" x14ac:dyDescent="0.3">
      <c r="A2625" t="str">
        <f>"20200111160502835"</f>
        <v>20200111160502835</v>
      </c>
      <c r="B2625" t="str">
        <f>"1578729902823702"</f>
        <v>1578729902823702</v>
      </c>
      <c r="C2625" t="s">
        <v>40</v>
      </c>
      <c r="D2625">
        <v>5.3231229999999998</v>
      </c>
      <c r="E2625">
        <v>0.47871239999999998</v>
      </c>
      <c r="F2625" t="s">
        <v>57</v>
      </c>
      <c r="G2625">
        <v>-453.37709999999998</v>
      </c>
      <c r="H2625" s="1">
        <v>2.4691350000000002E-7</v>
      </c>
      <c r="I2625">
        <v>214.9229</v>
      </c>
      <c r="J2625">
        <v>-468.6979</v>
      </c>
      <c r="K2625">
        <v>1.1122299999999901</v>
      </c>
      <c r="L2625">
        <v>214.2139</v>
      </c>
      <c r="M2625">
        <v>0.99988529999999998</v>
      </c>
      <c r="N2625">
        <v>0</v>
      </c>
      <c r="O2625">
        <v>-1.2986279999999999E-2</v>
      </c>
      <c r="P2625">
        <v>0.99939889999999998</v>
      </c>
      <c r="Q2625">
        <v>-3.253114E-2</v>
      </c>
      <c r="R2625">
        <v>-1.1982899999999999E-2</v>
      </c>
      <c r="S2625">
        <v>2.9966740000000001</v>
      </c>
      <c r="T2625">
        <v>-0.21509639999999999</v>
      </c>
      <c r="U2625">
        <v>0.13764949999999901</v>
      </c>
      <c r="V2625">
        <v>-8.5071880000000004E-4</v>
      </c>
      <c r="W2625">
        <v>-2.47443E-2</v>
      </c>
      <c r="X2625">
        <v>0.99969350000000001</v>
      </c>
      <c r="Y2625">
        <v>-5.8670859999999998E-2</v>
      </c>
      <c r="Z2625">
        <v>3.0323669999999998E-3</v>
      </c>
      <c r="AA2625">
        <v>0.99827279999999996</v>
      </c>
      <c r="AB2625">
        <v>17</v>
      </c>
      <c r="AC2625">
        <v>15.3208</v>
      </c>
      <c r="AD2625">
        <v>-1.11222975308649</v>
      </c>
      <c r="AE2625">
        <v>0.70900000000000296</v>
      </c>
      <c r="AF2625">
        <v>-0.90315681653839197</v>
      </c>
      <c r="AG2625">
        <v>-1.11222975308649</v>
      </c>
      <c r="AH2625">
        <v>15.230205912737</v>
      </c>
      <c r="AI2625">
        <v>94.169476495797397</v>
      </c>
      <c r="AJ2625">
        <v>93.393686533661594</v>
      </c>
      <c r="AK2625">
        <v>15.2974481337013</v>
      </c>
      <c r="AL2625">
        <v>91.417888603493296</v>
      </c>
      <c r="AM2625">
        <v>90.048757529209198</v>
      </c>
      <c r="AN2625">
        <v>1.0000000490236001</v>
      </c>
    </row>
    <row r="2626" spans="1:40" x14ac:dyDescent="0.3">
      <c r="A2626" t="str">
        <f>"20200111160502858"</f>
        <v>20200111160502858</v>
      </c>
      <c r="B2626" t="str">
        <f>"1578729902853958"</f>
        <v>1578729902853958</v>
      </c>
      <c r="C2626" t="s">
        <v>40</v>
      </c>
      <c r="D2626">
        <v>5.1537040000000003</v>
      </c>
      <c r="E2626">
        <v>0.47917860000000001</v>
      </c>
      <c r="F2626" t="s">
        <v>57</v>
      </c>
      <c r="G2626">
        <v>-453.22300000000001</v>
      </c>
      <c r="H2626" s="1">
        <v>1.6352449999999999E-7</v>
      </c>
      <c r="I2626">
        <v>214.95439999999999</v>
      </c>
      <c r="J2626">
        <v>-468.51589999999999</v>
      </c>
      <c r="K2626">
        <v>1.112217</v>
      </c>
      <c r="L2626">
        <v>214.21780000000001</v>
      </c>
      <c r="M2626">
        <v>0.99994459999999996</v>
      </c>
      <c r="N2626">
        <v>0</v>
      </c>
      <c r="O2626">
        <v>-7.5394519999999899E-3</v>
      </c>
      <c r="P2626">
        <v>0.99938859999999996</v>
      </c>
      <c r="Q2626">
        <v>-3.3693340000000002E-2</v>
      </c>
      <c r="R2626">
        <v>-9.3616240000000007E-3</v>
      </c>
      <c r="S2626">
        <v>2.9964900000000001</v>
      </c>
      <c r="T2626">
        <v>-0.215366</v>
      </c>
      <c r="U2626">
        <v>0.14338679999999901</v>
      </c>
      <c r="V2626">
        <v>1.98489E-3</v>
      </c>
      <c r="W2626">
        <v>-2.631967E-2</v>
      </c>
      <c r="X2626">
        <v>0.99965159999999997</v>
      </c>
      <c r="Y2626">
        <v>-5.51651999999999E-2</v>
      </c>
      <c r="Z2626">
        <v>2.5196659999999998E-3</v>
      </c>
      <c r="AA2626">
        <v>0.99847410000000003</v>
      </c>
      <c r="AB2626">
        <v>18</v>
      </c>
      <c r="AC2626">
        <v>15.2928999999999</v>
      </c>
      <c r="AD2626">
        <v>-1.1122168364755001</v>
      </c>
      <c r="AE2626">
        <v>0.73659999999998105</v>
      </c>
      <c r="AF2626">
        <v>-0.847410415226445</v>
      </c>
      <c r="AG2626">
        <v>-1.1122168364755001</v>
      </c>
      <c r="AH2626">
        <v>15.206664976551901</v>
      </c>
      <c r="AI2626">
        <v>94.1767125985902</v>
      </c>
      <c r="AJ2626">
        <v>93.189580010367095</v>
      </c>
      <c r="AK2626">
        <v>15.270814988475999</v>
      </c>
      <c r="AL2626">
        <v>91.508180179466095</v>
      </c>
      <c r="AM2626">
        <v>89.886234693825202</v>
      </c>
      <c r="AN2626">
        <v>0.99999999309988996</v>
      </c>
    </row>
    <row r="2627" spans="1:40" x14ac:dyDescent="0.3">
      <c r="A2627" t="str">
        <f>"20200111160502878"</f>
        <v>20200111160502878</v>
      </c>
      <c r="B2627" t="str">
        <f>"1578729902873986"</f>
        <v>1578729902873986</v>
      </c>
      <c r="C2627" t="s">
        <v>40</v>
      </c>
      <c r="D2627">
        <v>5.8250999999999999</v>
      </c>
      <c r="E2627">
        <v>0.47937629999999998</v>
      </c>
      <c r="F2627" t="s">
        <v>57</v>
      </c>
      <c r="G2627">
        <v>-453.45159999999998</v>
      </c>
      <c r="H2627" s="1">
        <v>2.8493510000000002E-7</v>
      </c>
      <c r="I2627">
        <v>214.96029999999999</v>
      </c>
      <c r="J2627">
        <v>-468.3519</v>
      </c>
      <c r="K2627">
        <v>1.112195</v>
      </c>
      <c r="L2627">
        <v>214.22210000000001</v>
      </c>
      <c r="M2627">
        <v>0.99997199999999997</v>
      </c>
      <c r="N2627">
        <v>0</v>
      </c>
      <c r="O2627">
        <v>-2.6400849999999999E-3</v>
      </c>
      <c r="P2627">
        <v>0.99938510000000003</v>
      </c>
      <c r="Q2627">
        <v>-3.4459370000000003E-2</v>
      </c>
      <c r="R2627">
        <v>-6.5211459999999898E-3</v>
      </c>
      <c r="S2627">
        <v>2.9957579999999999</v>
      </c>
      <c r="T2627">
        <v>-0.22117999999999999</v>
      </c>
      <c r="U2627">
        <v>0.14765929999999999</v>
      </c>
      <c r="V2627">
        <v>4.0499859999999898E-3</v>
      </c>
      <c r="W2627">
        <v>-2.7428770000000002E-2</v>
      </c>
      <c r="X2627">
        <v>0.99961560000000005</v>
      </c>
      <c r="Y2627">
        <v>-5.1718880000000002E-2</v>
      </c>
      <c r="Z2627">
        <v>2.1000289999999998E-3</v>
      </c>
      <c r="AA2627">
        <v>0.99865950000000003</v>
      </c>
      <c r="AB2627">
        <v>18</v>
      </c>
      <c r="AC2627">
        <v>14.9003</v>
      </c>
      <c r="AD2627">
        <v>-1.1121947150648901</v>
      </c>
      <c r="AE2627">
        <v>0.73819999999997699</v>
      </c>
      <c r="AF2627">
        <v>-0.77323890282020702</v>
      </c>
      <c r="AG2627">
        <v>-1.1121947150648901</v>
      </c>
      <c r="AH2627">
        <v>14.815954231247201</v>
      </c>
      <c r="AI2627">
        <v>94.2871788776702</v>
      </c>
      <c r="AJ2627">
        <v>92.987534032154898</v>
      </c>
      <c r="AK2627">
        <v>14.877747654381899</v>
      </c>
      <c r="AL2627">
        <v>91.571749812465001</v>
      </c>
      <c r="AM2627">
        <v>89.767864932064995</v>
      </c>
      <c r="AN2627">
        <v>1.0000000437868299</v>
      </c>
    </row>
    <row r="2628" spans="1:40" x14ac:dyDescent="0.3">
      <c r="A2628" t="str">
        <f>"20200111160502903"</f>
        <v>20200111160502903</v>
      </c>
      <c r="B2628" t="str">
        <f>"1578729902893507"</f>
        <v>1578729902893507</v>
      </c>
      <c r="C2628" t="s">
        <v>40</v>
      </c>
      <c r="D2628">
        <v>5.0152960000000002</v>
      </c>
      <c r="E2628">
        <v>0.47969390000000001</v>
      </c>
      <c r="F2628" t="s">
        <v>57</v>
      </c>
      <c r="G2628">
        <v>-453.30549999999999</v>
      </c>
      <c r="H2628" s="1">
        <v>2.0545470000000001E-7</v>
      </c>
      <c r="I2628">
        <v>214.99979999999999</v>
      </c>
      <c r="J2628">
        <v>-468.15820000000002</v>
      </c>
      <c r="K2628">
        <v>1.112169</v>
      </c>
      <c r="L2628">
        <v>214.22810000000001</v>
      </c>
      <c r="M2628">
        <v>0.99997320000000001</v>
      </c>
      <c r="N2628">
        <v>0</v>
      </c>
      <c r="O2628">
        <v>3.1115460000000002E-3</v>
      </c>
      <c r="P2628">
        <v>0.99940340000000005</v>
      </c>
      <c r="Q2628">
        <v>-3.4464630000000003E-2</v>
      </c>
      <c r="R2628">
        <v>-2.325751E-3</v>
      </c>
      <c r="S2628">
        <v>2.9951780000000001</v>
      </c>
      <c r="T2628">
        <v>-0.22139610000000001</v>
      </c>
      <c r="U2628">
        <v>0.1548157</v>
      </c>
      <c r="V2628">
        <v>5.6073299999999998E-3</v>
      </c>
      <c r="W2628">
        <v>-2.7807970000000001E-2</v>
      </c>
      <c r="X2628">
        <v>0.99959750000000003</v>
      </c>
      <c r="Y2628">
        <v>-4.8388479999999998E-2</v>
      </c>
      <c r="Z2628">
        <v>1.555224E-3</v>
      </c>
      <c r="AA2628">
        <v>0.99882740000000003</v>
      </c>
      <c r="AB2628">
        <v>18</v>
      </c>
      <c r="AC2628">
        <v>14.8527</v>
      </c>
      <c r="AD2628">
        <v>-1.1121687945453</v>
      </c>
      <c r="AE2628">
        <v>0.77169999999998096</v>
      </c>
      <c r="AF2628">
        <v>-0.72144613175736705</v>
      </c>
      <c r="AG2628">
        <v>-1.1121687945453</v>
      </c>
      <c r="AH2628">
        <v>14.7724233413145</v>
      </c>
      <c r="AI2628">
        <v>94.300388613790005</v>
      </c>
      <c r="AJ2628">
        <v>92.795953061197906</v>
      </c>
      <c r="AK2628">
        <v>14.831786653117801</v>
      </c>
      <c r="AL2628">
        <v>91.593484821775903</v>
      </c>
      <c r="AM2628">
        <v>89.678597662076797</v>
      </c>
      <c r="AN2628">
        <v>0.99999994367574796</v>
      </c>
    </row>
    <row r="2629" spans="1:40" x14ac:dyDescent="0.3">
      <c r="A2629" t="str">
        <f>"20200111160502925"</f>
        <v>20200111160502925</v>
      </c>
      <c r="B2629" t="str">
        <f>"1578729902914002"</f>
        <v>1578729902914002</v>
      </c>
      <c r="C2629" t="s">
        <v>40</v>
      </c>
      <c r="D2629">
        <v>4.9946979999999996</v>
      </c>
      <c r="E2629">
        <v>0.48015140000000001</v>
      </c>
      <c r="F2629" t="s">
        <v>57</v>
      </c>
      <c r="G2629">
        <v>-453.20150000000001</v>
      </c>
      <c r="H2629" s="1">
        <v>1.4783320000000001E-7</v>
      </c>
      <c r="I2629">
        <v>215.05199999999999</v>
      </c>
      <c r="J2629">
        <v>-467.98439999999999</v>
      </c>
      <c r="K2629">
        <v>1.112123</v>
      </c>
      <c r="L2629">
        <v>214.2345</v>
      </c>
      <c r="M2629">
        <v>0.99994660000000002</v>
      </c>
      <c r="N2629">
        <v>0</v>
      </c>
      <c r="O2629">
        <v>8.2034389999999999E-3</v>
      </c>
      <c r="P2629">
        <v>0.99938919999999998</v>
      </c>
      <c r="Q2629">
        <v>-3.491665E-2</v>
      </c>
      <c r="R2629">
        <v>1.53375E-3</v>
      </c>
      <c r="S2629">
        <v>2.994507</v>
      </c>
      <c r="T2629">
        <v>-0.2226688</v>
      </c>
      <c r="U2629">
        <v>0.1649475</v>
      </c>
      <c r="V2629">
        <v>6.841654E-3</v>
      </c>
      <c r="W2629">
        <v>-2.857138E-2</v>
      </c>
      <c r="X2629">
        <v>0.99956829999999997</v>
      </c>
      <c r="Y2629">
        <v>-4.6700999999999999E-2</v>
      </c>
      <c r="Z2629">
        <v>1.123948E-3</v>
      </c>
      <c r="AA2629">
        <v>0.99890829999999997</v>
      </c>
      <c r="AB2629">
        <v>18</v>
      </c>
      <c r="AC2629">
        <v>14.7828999999999</v>
      </c>
      <c r="AD2629">
        <v>-1.1121228521668001</v>
      </c>
      <c r="AE2629">
        <v>0.81750000000002299</v>
      </c>
      <c r="AF2629">
        <v>-0.69229331512002901</v>
      </c>
      <c r="AG2629">
        <v>-1.1121228521668001</v>
      </c>
      <c r="AH2629">
        <v>14.706131830770101</v>
      </c>
      <c r="AI2629">
        <v>94.319885535008297</v>
      </c>
      <c r="AJ2629">
        <v>92.695217478346706</v>
      </c>
      <c r="AK2629">
        <v>14.764362522522299</v>
      </c>
      <c r="AL2629">
        <v>91.637242360562396</v>
      </c>
      <c r="AM2629">
        <v>89.607838926330302</v>
      </c>
      <c r="AN2629">
        <v>0.99999995917472395</v>
      </c>
    </row>
    <row r="2630" spans="1:40" x14ac:dyDescent="0.3">
      <c r="A2630" t="str">
        <f>"20200111160502950"</f>
        <v>20200111160502950</v>
      </c>
      <c r="B2630" t="str">
        <f>"1578729902944258"</f>
        <v>1578729902944258</v>
      </c>
      <c r="C2630" t="s">
        <v>40</v>
      </c>
      <c r="D2630">
        <v>4.8302329999999998</v>
      </c>
      <c r="E2630">
        <v>0.48085610000000001</v>
      </c>
      <c r="F2630" t="s">
        <v>57</v>
      </c>
      <c r="G2630">
        <v>-453.19069999999999</v>
      </c>
      <c r="H2630" s="1">
        <v>1.40459E-7</v>
      </c>
      <c r="I2630">
        <v>215.08930000000001</v>
      </c>
      <c r="J2630">
        <v>-467.78339999999997</v>
      </c>
      <c r="K2630">
        <v>1.112031</v>
      </c>
      <c r="L2630">
        <v>214.24289999999999</v>
      </c>
      <c r="M2630">
        <v>0.99988500000000002</v>
      </c>
      <c r="N2630">
        <v>0</v>
      </c>
      <c r="O2630">
        <v>1.394921E-2</v>
      </c>
      <c r="P2630">
        <v>0.99933810000000001</v>
      </c>
      <c r="Q2630">
        <v>-3.5934399999999998E-2</v>
      </c>
      <c r="R2630">
        <v>5.688055E-3</v>
      </c>
      <c r="S2630">
        <v>2.9936829999999999</v>
      </c>
      <c r="T2630">
        <v>-0.22505069999999999</v>
      </c>
      <c r="U2630">
        <v>0.17297360000000001</v>
      </c>
      <c r="V2630">
        <v>8.4352049999999994E-3</v>
      </c>
      <c r="W2630">
        <v>-2.9927200000000001E-2</v>
      </c>
      <c r="X2630">
        <v>0.99951650000000003</v>
      </c>
      <c r="Y2630">
        <v>-4.3667919999999999E-2</v>
      </c>
      <c r="Z2630">
        <v>5.9152320000000001E-4</v>
      </c>
      <c r="AA2630">
        <v>0.99904590000000004</v>
      </c>
      <c r="AB2630">
        <v>18</v>
      </c>
      <c r="AC2630">
        <v>14.592699999999899</v>
      </c>
      <c r="AD2630">
        <v>-1.112030859541</v>
      </c>
      <c r="AE2630">
        <v>0.84640000000001603</v>
      </c>
      <c r="AF2630">
        <v>-0.63905874492167902</v>
      </c>
      <c r="AG2630">
        <v>-1.112030859541</v>
      </c>
      <c r="AH2630">
        <v>14.519055469353701</v>
      </c>
      <c r="AI2630">
        <v>94.375577620332294</v>
      </c>
      <c r="AJ2630">
        <v>92.520256985841499</v>
      </c>
      <c r="AK2630">
        <v>14.575595371517499</v>
      </c>
      <c r="AL2630">
        <v>91.714958294032996</v>
      </c>
      <c r="AM2630">
        <v>89.516476043677997</v>
      </c>
      <c r="AN2630">
        <v>1.0000000118777399</v>
      </c>
    </row>
    <row r="2631" spans="1:40" x14ac:dyDescent="0.3">
      <c r="A2631" t="str">
        <f>"20200111160502972"</f>
        <v>20200111160502972</v>
      </c>
      <c r="B2631" t="str">
        <f>"1578729902963311"</f>
        <v>1578729902963311</v>
      </c>
      <c r="C2631" t="s">
        <v>40</v>
      </c>
      <c r="D2631">
        <v>4.8508959999999997</v>
      </c>
      <c r="E2631">
        <v>0.48128310000000002</v>
      </c>
      <c r="F2631" t="s">
        <v>57</v>
      </c>
      <c r="G2631">
        <v>-453.23820000000001</v>
      </c>
      <c r="H2631" s="1">
        <v>1.644783E-7</v>
      </c>
      <c r="I2631">
        <v>215.11850000000001</v>
      </c>
      <c r="J2631">
        <v>-467.60410000000002</v>
      </c>
      <c r="K2631">
        <v>1.1119330000000001</v>
      </c>
      <c r="L2631">
        <v>214.25120000000001</v>
      </c>
      <c r="M2631">
        <v>0.99980449999999998</v>
      </c>
      <c r="N2631">
        <v>0</v>
      </c>
      <c r="O2631">
        <v>1.8941630000000001E-2</v>
      </c>
      <c r="P2631">
        <v>0.99925679999999995</v>
      </c>
      <c r="Q2631">
        <v>-3.7436230000000001E-2</v>
      </c>
      <c r="R2631">
        <v>9.1975419999999995E-3</v>
      </c>
      <c r="S2631">
        <v>2.992737</v>
      </c>
      <c r="T2631">
        <v>-0.2288057</v>
      </c>
      <c r="U2631">
        <v>0.1801605</v>
      </c>
      <c r="V2631">
        <v>9.9214360000000005E-3</v>
      </c>
      <c r="W2631">
        <v>-3.1708840000000002E-2</v>
      </c>
      <c r="X2631">
        <v>0.99944789999999994</v>
      </c>
      <c r="Y2631">
        <v>-4.1107539999999998E-2</v>
      </c>
      <c r="Z2631">
        <v>1.232106E-4</v>
      </c>
      <c r="AA2631">
        <v>0.99915469999999895</v>
      </c>
      <c r="AB2631">
        <v>18</v>
      </c>
      <c r="AC2631">
        <v>14.3659</v>
      </c>
      <c r="AD2631">
        <v>-1.1119328355217</v>
      </c>
      <c r="AE2631">
        <v>0.86729999999999996</v>
      </c>
      <c r="AF2631">
        <v>-0.59149573556836199</v>
      </c>
      <c r="AG2631">
        <v>-1.1119328355217</v>
      </c>
      <c r="AH2631">
        <v>14.2944255338986</v>
      </c>
      <c r="AI2631">
        <v>94.444171390353105</v>
      </c>
      <c r="AJ2631">
        <v>92.369517128247395</v>
      </c>
      <c r="AK2631">
        <v>14.349803593780701</v>
      </c>
      <c r="AL2631">
        <v>91.817087299479297</v>
      </c>
      <c r="AM2631">
        <v>89.431248254142403</v>
      </c>
      <c r="AN2631">
        <v>0.99999999512042803</v>
      </c>
    </row>
    <row r="2632" spans="1:40" x14ac:dyDescent="0.3">
      <c r="A2632" t="str">
        <f>"20200111160502992"</f>
        <v>20200111160502992</v>
      </c>
      <c r="B2632" t="str">
        <f>"1578729902983807"</f>
        <v>1578729902983807</v>
      </c>
      <c r="C2632" t="s">
        <v>40</v>
      </c>
      <c r="D2632">
        <v>4.9006540000000003</v>
      </c>
      <c r="E2632">
        <v>0.48123369999999999</v>
      </c>
      <c r="F2632" t="s">
        <v>57</v>
      </c>
      <c r="G2632">
        <v>-453.3211</v>
      </c>
      <c r="H2632" s="1">
        <v>2.0742950000000001E-7</v>
      </c>
      <c r="I2632">
        <v>215.14519999999999</v>
      </c>
      <c r="J2632">
        <v>-467.43459999999999</v>
      </c>
      <c r="K2632">
        <v>1.1118250000000001</v>
      </c>
      <c r="L2632">
        <v>214.25970000000001</v>
      </c>
      <c r="M2632">
        <v>0.99970890000000001</v>
      </c>
      <c r="N2632">
        <v>0</v>
      </c>
      <c r="O2632">
        <v>2.351282E-2</v>
      </c>
      <c r="P2632">
        <v>0.99915969999999998</v>
      </c>
      <c r="Q2632">
        <v>-3.9118390000000003E-2</v>
      </c>
      <c r="R2632">
        <v>1.2246989999999999E-2</v>
      </c>
      <c r="S2632">
        <v>2.9917910000000001</v>
      </c>
      <c r="T2632">
        <v>-0.23291120000000001</v>
      </c>
      <c r="U2632">
        <v>0.1872711</v>
      </c>
      <c r="V2632">
        <v>1.144531E-2</v>
      </c>
      <c r="W2632">
        <v>-3.3637739999999999E-2</v>
      </c>
      <c r="X2632">
        <v>0.99936849999999999</v>
      </c>
      <c r="Y2632">
        <v>-3.8941709999999997E-2</v>
      </c>
      <c r="Z2632">
        <v>-3.1345169999999999E-4</v>
      </c>
      <c r="AA2632">
        <v>0.99924139999999995</v>
      </c>
      <c r="AB2632">
        <v>19</v>
      </c>
      <c r="AC2632">
        <v>14.113499999999901</v>
      </c>
      <c r="AD2632">
        <v>-1.1118247925704901</v>
      </c>
      <c r="AE2632">
        <v>0.88549999999997897</v>
      </c>
      <c r="AF2632">
        <v>-0.55000227920644096</v>
      </c>
      <c r="AG2632">
        <v>-1.1118247925704901</v>
      </c>
      <c r="AH2632">
        <v>14.0436077199845</v>
      </c>
      <c r="AI2632">
        <v>94.523181021731901</v>
      </c>
      <c r="AJ2632">
        <v>92.242779291821194</v>
      </c>
      <c r="AK2632">
        <v>14.098282685111499</v>
      </c>
      <c r="AL2632">
        <v>91.927664280166695</v>
      </c>
      <c r="AM2632">
        <v>89.343846348827896</v>
      </c>
      <c r="AN2632">
        <v>0.99999994573277495</v>
      </c>
    </row>
    <row r="2633" spans="1:40" x14ac:dyDescent="0.3">
      <c r="A2633" t="str">
        <f>"20200111160503014"</f>
        <v>20200111160503014</v>
      </c>
      <c r="B2633" t="str">
        <f>"1578729903004303"</f>
        <v>1578729903004303</v>
      </c>
      <c r="C2633" t="s">
        <v>40</v>
      </c>
      <c r="D2633">
        <v>4.8013500000000002</v>
      </c>
      <c r="E2633">
        <v>0.48157329999999998</v>
      </c>
      <c r="F2633" t="s">
        <v>57</v>
      </c>
      <c r="G2633">
        <v>-453.27730000000003</v>
      </c>
      <c r="H2633" s="1">
        <v>1.820813E-7</v>
      </c>
      <c r="I2633">
        <v>215.19120000000001</v>
      </c>
      <c r="J2633">
        <v>-467.25490000000002</v>
      </c>
      <c r="K2633">
        <v>1.1117010000000001</v>
      </c>
      <c r="L2633">
        <v>214.26929999999999</v>
      </c>
      <c r="M2633">
        <v>0.99959039999999999</v>
      </c>
      <c r="N2633">
        <v>0</v>
      </c>
      <c r="O2633">
        <v>2.8150720000000001E-2</v>
      </c>
      <c r="P2633">
        <v>0.99900040000000001</v>
      </c>
      <c r="Q2633">
        <v>-4.1412780000000003E-2</v>
      </c>
      <c r="R2633">
        <v>1.6830080000000001E-2</v>
      </c>
      <c r="S2633">
        <v>2.9909059999999998</v>
      </c>
      <c r="T2633">
        <v>-0.23488580000000001</v>
      </c>
      <c r="U2633">
        <v>0.19679260000000001</v>
      </c>
      <c r="V2633">
        <v>1.1501539999999999E-2</v>
      </c>
      <c r="W2633">
        <v>-3.6188810000000002E-2</v>
      </c>
      <c r="X2633">
        <v>0.99927880000000002</v>
      </c>
      <c r="Y2633">
        <v>-3.750995E-2</v>
      </c>
      <c r="Z2633">
        <v>-7.3525449999999905E-4</v>
      </c>
      <c r="AA2633">
        <v>0.99929599999999996</v>
      </c>
      <c r="AB2633">
        <v>19</v>
      </c>
      <c r="AC2633">
        <v>13.977599999999899</v>
      </c>
      <c r="AD2633">
        <v>-1.1117008179187</v>
      </c>
      <c r="AE2633">
        <v>0.92190000000002204</v>
      </c>
      <c r="AF2633">
        <v>-0.52474488379784001</v>
      </c>
      <c r="AG2633">
        <v>-1.1117008179187</v>
      </c>
      <c r="AH2633">
        <v>13.9104005732473</v>
      </c>
      <c r="AI2633">
        <v>94.566057488308005</v>
      </c>
      <c r="AJ2633">
        <v>92.160356031335098</v>
      </c>
      <c r="AK2633">
        <v>13.9646152832733</v>
      </c>
      <c r="AL2633">
        <v>92.073918887564901</v>
      </c>
      <c r="AM2633">
        <v>89.340563812610498</v>
      </c>
      <c r="AN2633">
        <v>1.00000001776051</v>
      </c>
    </row>
    <row r="2634" spans="1:40" x14ac:dyDescent="0.3">
      <c r="A2634" t="str">
        <f>"20200111160503035"</f>
        <v>20200111160503035</v>
      </c>
      <c r="B2634" t="str">
        <f>"1578729903023822"</f>
        <v>1578729903023822</v>
      </c>
      <c r="C2634" t="s">
        <v>40</v>
      </c>
      <c r="D2634">
        <v>4.885942</v>
      </c>
      <c r="E2634">
        <v>0.48192570000000001</v>
      </c>
      <c r="F2634" t="s">
        <v>57</v>
      </c>
      <c r="G2634">
        <v>-453.41910000000001</v>
      </c>
      <c r="H2634" s="1">
        <v>2.5594990000000002E-7</v>
      </c>
      <c r="I2634">
        <v>215.22810000000001</v>
      </c>
      <c r="J2634">
        <v>-467.0718</v>
      </c>
      <c r="K2634">
        <v>1.111553</v>
      </c>
      <c r="L2634">
        <v>214.27959999999999</v>
      </c>
      <c r="M2634">
        <v>0.99945600000000001</v>
      </c>
      <c r="N2634">
        <v>0</v>
      </c>
      <c r="O2634">
        <v>3.2611010000000003E-2</v>
      </c>
      <c r="P2634">
        <v>0.99885740000000001</v>
      </c>
      <c r="Q2634">
        <v>-4.2242740000000001E-2</v>
      </c>
      <c r="R2634">
        <v>2.2351070000000001E-2</v>
      </c>
      <c r="S2634">
        <v>2.9895320000000001</v>
      </c>
      <c r="T2634">
        <v>-0.24020859999999999</v>
      </c>
      <c r="U2634">
        <v>0.20716860000000001</v>
      </c>
      <c r="V2634">
        <v>1.043175E-2</v>
      </c>
      <c r="W2634">
        <v>-3.7273460000000001E-2</v>
      </c>
      <c r="X2634">
        <v>0.99925070000000005</v>
      </c>
      <c r="Y2634">
        <v>-3.6549390000000001E-2</v>
      </c>
      <c r="Z2634">
        <v>-1.1476450000000001E-3</v>
      </c>
      <c r="AA2634">
        <v>0.99933119999999998</v>
      </c>
      <c r="AB2634">
        <v>19</v>
      </c>
      <c r="AC2634">
        <v>13.6526999999999</v>
      </c>
      <c r="AD2634">
        <v>-1.1115527440501001</v>
      </c>
      <c r="AE2634">
        <v>0.94850000000002399</v>
      </c>
      <c r="AF2634">
        <v>-0.49946689693226698</v>
      </c>
      <c r="AG2634">
        <v>-1.1115527440501001</v>
      </c>
      <c r="AH2634">
        <v>13.5867414041273</v>
      </c>
      <c r="AI2634">
        <v>94.673898883657301</v>
      </c>
      <c r="AJ2634">
        <v>92.105321921231607</v>
      </c>
      <c r="AK2634">
        <v>13.6412814158555</v>
      </c>
      <c r="AL2634">
        <v>92.136106659961897</v>
      </c>
      <c r="AM2634">
        <v>89.401878291255002</v>
      </c>
      <c r="AN2634">
        <v>1.0000000468394601</v>
      </c>
    </row>
    <row r="2635" spans="1:40" x14ac:dyDescent="0.3">
      <c r="A2635" t="str">
        <f>"20200111160503058"</f>
        <v>20200111160503058</v>
      </c>
      <c r="B2635" t="str">
        <f>"1578729903054078"</f>
        <v>1578729903054078</v>
      </c>
      <c r="C2635" t="s">
        <v>40</v>
      </c>
      <c r="D2635">
        <v>4.5813569999999997</v>
      </c>
      <c r="E2635">
        <v>0.52629349999999997</v>
      </c>
      <c r="F2635" t="s">
        <v>57</v>
      </c>
      <c r="G2635">
        <v>-453.34750000000003</v>
      </c>
      <c r="H2635" s="1">
        <v>2.150326E-7</v>
      </c>
      <c r="I2635">
        <v>215.2919</v>
      </c>
      <c r="J2635">
        <v>-466.8698</v>
      </c>
      <c r="K2635">
        <v>1.1113850000000001</v>
      </c>
      <c r="L2635">
        <v>214.29159999999999</v>
      </c>
      <c r="M2635">
        <v>0.99929730000000005</v>
      </c>
      <c r="N2635">
        <v>0</v>
      </c>
      <c r="O2635">
        <v>3.7195209999999999E-2</v>
      </c>
      <c r="P2635">
        <v>0.99881540000000002</v>
      </c>
      <c r="Q2635">
        <v>-3.8839619999999998E-2</v>
      </c>
      <c r="R2635">
        <v>2.9319040000000001E-2</v>
      </c>
      <c r="S2635">
        <v>2.9882810000000002</v>
      </c>
      <c r="T2635">
        <v>-0.24202419999999999</v>
      </c>
      <c r="U2635">
        <v>0.22039790000000001</v>
      </c>
      <c r="V2635">
        <v>8.0193360000000002E-3</v>
      </c>
      <c r="W2635">
        <v>-3.4139910000000002E-2</v>
      </c>
      <c r="X2635">
        <v>0.99938490000000002</v>
      </c>
      <c r="Y2635">
        <v>-3.6411069999999997E-2</v>
      </c>
      <c r="Z2635">
        <v>-1.531894E-3</v>
      </c>
      <c r="AA2635">
        <v>0.99933570000000005</v>
      </c>
      <c r="AB2635">
        <v>19</v>
      </c>
      <c r="AC2635">
        <v>13.5222999999999</v>
      </c>
      <c r="AD2635">
        <v>-1.1113847849673999</v>
      </c>
      <c r="AE2635">
        <v>1.00030000000001</v>
      </c>
      <c r="AF2635">
        <v>-0.49332333933891098</v>
      </c>
      <c r="AG2635">
        <v>-1.1113847849673999</v>
      </c>
      <c r="AH2635">
        <v>13.459723280784999</v>
      </c>
      <c r="AI2635">
        <v>94.717117043621698</v>
      </c>
      <c r="AJ2635">
        <v>92.099054941651502</v>
      </c>
      <c r="AK2635">
        <v>13.514536427591599</v>
      </c>
      <c r="AL2635">
        <v>91.956452912337397</v>
      </c>
      <c r="AM2635">
        <v>89.540252963602697</v>
      </c>
      <c r="AN2635">
        <v>1.00000001077634</v>
      </c>
    </row>
    <row r="2636" spans="1:40" x14ac:dyDescent="0.3">
      <c r="A2636" t="str">
        <f>"20200111160503079"</f>
        <v>20200111160503079</v>
      </c>
      <c r="B2636" t="str">
        <f>"1578729903073599"</f>
        <v>1578729903073599</v>
      </c>
      <c r="C2636" t="s">
        <v>40</v>
      </c>
      <c r="D2636">
        <v>4.5718670000000001</v>
      </c>
      <c r="E2636">
        <v>0.53658899999999998</v>
      </c>
      <c r="F2636" t="s">
        <v>42</v>
      </c>
      <c r="G2636">
        <v>-466.08139999999997</v>
      </c>
      <c r="H2636">
        <v>1.060432</v>
      </c>
      <c r="I2636">
        <v>214.26060000000001</v>
      </c>
      <c r="J2636">
        <v>-466.69479999999999</v>
      </c>
      <c r="K2636">
        <v>1.1112379999999999</v>
      </c>
      <c r="L2636">
        <v>214.30240000000001</v>
      </c>
      <c r="M2636">
        <v>0.99915549999999997</v>
      </c>
      <c r="N2636">
        <v>0</v>
      </c>
      <c r="O2636">
        <v>4.084604E-2</v>
      </c>
      <c r="P2636">
        <v>0.99885020000000002</v>
      </c>
      <c r="Q2636">
        <v>-3.2742130000000001E-2</v>
      </c>
      <c r="R2636">
        <v>3.5018920000000002E-2</v>
      </c>
      <c r="S2636">
        <v>2.9993590000000001</v>
      </c>
      <c r="T2636">
        <v>-0.19436510000000001</v>
      </c>
      <c r="U2636">
        <v>-0.1168671</v>
      </c>
      <c r="V2636">
        <v>5.936963E-3</v>
      </c>
      <c r="W2636">
        <v>-2.825575E-2</v>
      </c>
      <c r="X2636">
        <v>0.99958309999999995</v>
      </c>
      <c r="Y2636">
        <v>7.9465439999999998E-2</v>
      </c>
      <c r="Z2636">
        <v>-5.2142389999999999E-3</v>
      </c>
      <c r="AA2636">
        <v>0.99682400000000004</v>
      </c>
      <c r="AB2636">
        <v>19</v>
      </c>
      <c r="AC2636">
        <v>0.61340000000001205</v>
      </c>
      <c r="AD2636">
        <v>-5.08059999999999E-2</v>
      </c>
      <c r="AE2636">
        <v>-4.1799999999994897E-2</v>
      </c>
      <c r="AF2636">
        <v>6.6367132031421805E-2</v>
      </c>
      <c r="AG2636">
        <v>-5.08059999999999E-2</v>
      </c>
      <c r="AH2636">
        <v>0.60703550633272596</v>
      </c>
      <c r="AI2636">
        <v>94.756026581907193</v>
      </c>
      <c r="AJ2636">
        <v>83.760639080342003</v>
      </c>
      <c r="AK2636">
        <v>0.61276255743860897</v>
      </c>
      <c r="AL2636">
        <v>91.619150715245098</v>
      </c>
      <c r="AM2636">
        <v>89.6596992054575</v>
      </c>
      <c r="AN2636">
        <v>1.0000000043716599</v>
      </c>
    </row>
    <row r="2637" spans="1:40" x14ac:dyDescent="0.3">
      <c r="A2637" t="str">
        <f>"20200111160503101"</f>
        <v>20200111160503101</v>
      </c>
      <c r="B2637" t="str">
        <f>"1578729903094095"</f>
        <v>1578729903094095</v>
      </c>
      <c r="C2637" t="s">
        <v>40</v>
      </c>
      <c r="D2637">
        <v>4.6098549999999996</v>
      </c>
      <c r="E2637">
        <v>0.54154209999999903</v>
      </c>
      <c r="F2637" t="s">
        <v>57</v>
      </c>
      <c r="G2637">
        <v>-446.75889999999998</v>
      </c>
      <c r="H2637" s="1">
        <v>2.1266589999999998E-6</v>
      </c>
      <c r="I2637">
        <v>213.09030000000001</v>
      </c>
      <c r="J2637">
        <v>-466.50170000000003</v>
      </c>
      <c r="K2637">
        <v>1.1110640000000001</v>
      </c>
      <c r="L2637">
        <v>214.31469999999999</v>
      </c>
      <c r="M2637">
        <v>0.99899930000000003</v>
      </c>
      <c r="N2637">
        <v>0</v>
      </c>
      <c r="O2637">
        <v>4.452391E-2</v>
      </c>
      <c r="P2637">
        <v>0.99890489999999998</v>
      </c>
      <c r="Q2637">
        <v>-2.4450329999999999E-2</v>
      </c>
      <c r="R2637">
        <v>3.9893360000000003E-2</v>
      </c>
      <c r="S2637">
        <v>3.0043639999999998</v>
      </c>
      <c r="T2637">
        <v>-0.16746469999999999</v>
      </c>
      <c r="U2637">
        <v>-0.18267820000000001</v>
      </c>
      <c r="V2637">
        <v>4.7031529999999998E-3</v>
      </c>
      <c r="W2637">
        <v>-2.017184E-2</v>
      </c>
      <c r="X2637">
        <v>0.99978549999999999</v>
      </c>
      <c r="Y2637">
        <v>0.10484309999999999</v>
      </c>
      <c r="Z2637">
        <v>-5.3948719999999898E-3</v>
      </c>
      <c r="AA2637">
        <v>0.99447410000000003</v>
      </c>
      <c r="AB2637">
        <v>19</v>
      </c>
      <c r="AC2637">
        <v>19.742799999999999</v>
      </c>
      <c r="AD2637">
        <v>-1.111061873341</v>
      </c>
      <c r="AE2637">
        <v>-1.22439999999997</v>
      </c>
      <c r="AF2637">
        <v>2.0956088033336502</v>
      </c>
      <c r="AG2637">
        <v>-1.111061873341</v>
      </c>
      <c r="AH2637">
        <v>19.606846991827801</v>
      </c>
      <c r="AI2637">
        <v>93.224984151529299</v>
      </c>
      <c r="AJ2637">
        <v>83.899302746947498</v>
      </c>
      <c r="AK2637">
        <v>19.749797054753401</v>
      </c>
      <c r="AL2637">
        <v>91.155839652091004</v>
      </c>
      <c r="AM2637">
        <v>89.730473356923497</v>
      </c>
      <c r="AN2637">
        <v>1.0000000343936799</v>
      </c>
    </row>
    <row r="2638" spans="1:40" x14ac:dyDescent="0.3">
      <c r="A2638" t="str">
        <f>"20200111160503127"</f>
        <v>20200111160503127</v>
      </c>
      <c r="B2638" t="str">
        <f>"1578729903123375"</f>
        <v>1578729903123375</v>
      </c>
      <c r="C2638" t="s">
        <v>40</v>
      </c>
      <c r="D2638">
        <v>4.5987470000000004</v>
      </c>
      <c r="E2638">
        <v>0.54588009999999998</v>
      </c>
      <c r="F2638" t="s">
        <v>57</v>
      </c>
      <c r="G2638">
        <v>-442.87119999999999</v>
      </c>
      <c r="H2638" s="1">
        <v>7.5515119999999997E-8</v>
      </c>
      <c r="I2638">
        <v>212.68559999999999</v>
      </c>
      <c r="J2638">
        <v>-466.28829999999999</v>
      </c>
      <c r="K2638">
        <v>1.1108450000000001</v>
      </c>
      <c r="L2638">
        <v>214.32859999999999</v>
      </c>
      <c r="M2638">
        <v>0.99883339999999998</v>
      </c>
      <c r="N2638">
        <v>0</v>
      </c>
      <c r="O2638">
        <v>4.8119820000000001E-2</v>
      </c>
      <c r="P2638">
        <v>0.99890109999999999</v>
      </c>
      <c r="Q2638">
        <v>-1.7120779999999999E-2</v>
      </c>
      <c r="R2638">
        <v>4.363529E-2</v>
      </c>
      <c r="S2638">
        <v>3.0081180000000001</v>
      </c>
      <c r="T2638">
        <v>-0.14143620000000001</v>
      </c>
      <c r="U2638">
        <v>-0.20738219999999999</v>
      </c>
      <c r="V2638">
        <v>4.5282680000000002E-3</v>
      </c>
      <c r="W2638">
        <v>-1.3032810000000001E-2</v>
      </c>
      <c r="X2638">
        <v>0.99990480000000004</v>
      </c>
      <c r="Y2638">
        <v>0.116523</v>
      </c>
      <c r="Z2638">
        <v>-4.9934790000000003E-3</v>
      </c>
      <c r="AA2638">
        <v>0.99317540000000004</v>
      </c>
      <c r="AB2638">
        <v>19</v>
      </c>
      <c r="AC2638">
        <v>23.417100000000001</v>
      </c>
      <c r="AD2638">
        <v>-1.1108449244848799</v>
      </c>
      <c r="AE2638">
        <v>-1.643</v>
      </c>
      <c r="AF2638">
        <v>2.76174818100667</v>
      </c>
      <c r="AG2638">
        <v>-1.1108449244848799</v>
      </c>
      <c r="AH2638">
        <v>23.258828011507099</v>
      </c>
      <c r="AI2638">
        <v>92.715330692709699</v>
      </c>
      <c r="AJ2638">
        <v>83.228417309500102</v>
      </c>
      <c r="AK2638">
        <v>23.4485460088769</v>
      </c>
      <c r="AL2638">
        <v>90.746746160662298</v>
      </c>
      <c r="AM2638">
        <v>89.740526426890895</v>
      </c>
      <c r="AN2638">
        <v>0.999999984205307</v>
      </c>
    </row>
    <row r="2639" spans="1:40" x14ac:dyDescent="0.3">
      <c r="A2639" t="str">
        <f>"20200111160503147"</f>
        <v>20200111160503147</v>
      </c>
      <c r="B2639" t="str">
        <f>"1578729903143871"</f>
        <v>1578729903143871</v>
      </c>
      <c r="C2639" t="s">
        <v>40</v>
      </c>
      <c r="D2639">
        <v>4.5113070000000004</v>
      </c>
      <c r="E2639">
        <v>0.54737369999999996</v>
      </c>
      <c r="F2639" t="s">
        <v>61</v>
      </c>
      <c r="G2639">
        <v>-438.03089999999997</v>
      </c>
      <c r="H2639" s="1">
        <v>5.9927829999999998E-6</v>
      </c>
      <c r="I2639">
        <v>212.16329999999999</v>
      </c>
      <c r="J2639">
        <v>-466.10079999999999</v>
      </c>
      <c r="K2639">
        <v>1.110668</v>
      </c>
      <c r="L2639">
        <v>214.3409</v>
      </c>
      <c r="M2639">
        <v>0.99869649999999999</v>
      </c>
      <c r="N2639">
        <v>0</v>
      </c>
      <c r="O2639">
        <v>5.0891949999999998E-2</v>
      </c>
      <c r="P2639">
        <v>0.99884770000000001</v>
      </c>
      <c r="Q2639">
        <v>-1.135619E-2</v>
      </c>
      <c r="R2639">
        <v>4.6634389999999998E-2</v>
      </c>
      <c r="S2639">
        <v>3.0113219999999998</v>
      </c>
      <c r="T2639">
        <v>-0.118379399999999</v>
      </c>
      <c r="U2639">
        <v>-0.23074339999999999</v>
      </c>
      <c r="V2639">
        <v>4.282096E-3</v>
      </c>
      <c r="W2639">
        <v>-7.4038380000000003E-3</v>
      </c>
      <c r="X2639">
        <v>0.99996339999999995</v>
      </c>
      <c r="Y2639">
        <v>0.1269093</v>
      </c>
      <c r="Z2639">
        <v>-4.4871629999999997E-3</v>
      </c>
      <c r="AA2639">
        <v>0.99190420000000001</v>
      </c>
      <c r="AB2639">
        <v>20</v>
      </c>
      <c r="AC2639">
        <v>28.069900000000001</v>
      </c>
      <c r="AD2639">
        <v>-1.1106620072169999</v>
      </c>
      <c r="AE2639">
        <v>-2.1776000000000102</v>
      </c>
      <c r="AF2639">
        <v>3.59772211533822</v>
      </c>
      <c r="AG2639">
        <v>-1.1106620072169999</v>
      </c>
      <c r="AH2639">
        <v>27.879315458308199</v>
      </c>
      <c r="AI2639">
        <v>92.262612820111499</v>
      </c>
      <c r="AJ2639">
        <v>82.646830064195001</v>
      </c>
      <c r="AK2639">
        <v>28.1324262184642</v>
      </c>
      <c r="AL2639">
        <v>90.424212554972698</v>
      </c>
      <c r="AM2639">
        <v>89.754646491468193</v>
      </c>
      <c r="AN2639">
        <v>0.99999997725142098</v>
      </c>
    </row>
    <row r="2640" spans="1:40" x14ac:dyDescent="0.3">
      <c r="A2640" t="str">
        <f>"20200111160503169"</f>
        <v>20200111160503169</v>
      </c>
      <c r="B2640" t="str">
        <f>"1578729903163917"</f>
        <v>1578729903163917</v>
      </c>
      <c r="C2640" t="s">
        <v>40</v>
      </c>
      <c r="D2640">
        <v>4.5448050000000002</v>
      </c>
      <c r="E2640">
        <v>0.54871719999999902</v>
      </c>
      <c r="F2640" t="s">
        <v>61</v>
      </c>
      <c r="G2640">
        <v>-435.35430000000002</v>
      </c>
      <c r="H2640" s="1">
        <v>4.8235599999999996E-6</v>
      </c>
      <c r="I2640">
        <v>211.96100000000001</v>
      </c>
      <c r="J2640">
        <v>-465.90890000000002</v>
      </c>
      <c r="K2640">
        <v>1.110503</v>
      </c>
      <c r="L2640">
        <v>214.3537</v>
      </c>
      <c r="M2640">
        <v>0.99856469999999997</v>
      </c>
      <c r="N2640">
        <v>0</v>
      </c>
      <c r="O2640">
        <v>5.3423360000000003E-2</v>
      </c>
      <c r="P2640">
        <v>0.99877490000000002</v>
      </c>
      <c r="Q2640">
        <v>-8.9381340000000004E-3</v>
      </c>
      <c r="R2640">
        <v>4.8675570000000001E-2</v>
      </c>
      <c r="S2640">
        <v>3.0130919999999999</v>
      </c>
      <c r="T2640">
        <v>-0.1088427</v>
      </c>
      <c r="U2640">
        <v>-0.23323060000000001</v>
      </c>
      <c r="V2640">
        <v>4.7656010000000004E-3</v>
      </c>
      <c r="W2640">
        <v>-5.0970019999999998E-3</v>
      </c>
      <c r="X2640">
        <v>0.99997570000000002</v>
      </c>
      <c r="Y2640">
        <v>0.13020989999999999</v>
      </c>
      <c r="Z2640">
        <v>-4.2741690000000004E-3</v>
      </c>
      <c r="AA2640">
        <v>0.99147730000000001</v>
      </c>
      <c r="AB2640">
        <v>20</v>
      </c>
      <c r="AC2640">
        <v>30.554599999999901</v>
      </c>
      <c r="AD2640">
        <v>-1.1104981764399999</v>
      </c>
      <c r="AE2640">
        <v>-2.3927000000000098</v>
      </c>
      <c r="AF2640">
        <v>4.0163512628678104</v>
      </c>
      <c r="AG2640">
        <v>-1.1104981764399999</v>
      </c>
      <c r="AH2640">
        <v>30.343301621225098</v>
      </c>
      <c r="AI2640">
        <v>92.077857159964793</v>
      </c>
      <c r="AJ2640">
        <v>82.459949799267605</v>
      </c>
      <c r="AK2640">
        <v>30.628095548748401</v>
      </c>
      <c r="AL2640">
        <v>90.292037953991795</v>
      </c>
      <c r="AM2640">
        <v>89.7269466077978</v>
      </c>
      <c r="AN2640">
        <v>1.00000004548638</v>
      </c>
    </row>
    <row r="2641" spans="1:40" x14ac:dyDescent="0.3">
      <c r="A2641" t="str">
        <f>"20200111160503193"</f>
        <v>20200111160503193</v>
      </c>
      <c r="B2641" t="str">
        <f>"1578729903183437"</f>
        <v>1578729903183437</v>
      </c>
      <c r="C2641" t="s">
        <v>40</v>
      </c>
      <c r="D2641">
        <v>4.5315120000000002</v>
      </c>
      <c r="E2641">
        <v>0.5497301</v>
      </c>
      <c r="F2641" t="s">
        <v>61</v>
      </c>
      <c r="G2641">
        <v>-435.0702</v>
      </c>
      <c r="H2641" s="1">
        <v>4.7003940000000002E-6</v>
      </c>
      <c r="I2641">
        <v>211.92850000000001</v>
      </c>
      <c r="J2641">
        <v>-465.6977</v>
      </c>
      <c r="K2641">
        <v>1.1103289999999999</v>
      </c>
      <c r="L2641">
        <v>214.36799999999999</v>
      </c>
      <c r="M2641">
        <v>0.99843199999999999</v>
      </c>
      <c r="N2641">
        <v>0</v>
      </c>
      <c r="O2641">
        <v>5.5854170000000002E-2</v>
      </c>
      <c r="P2641">
        <v>0.9987123</v>
      </c>
      <c r="Q2641">
        <v>-7.9914029999999994E-3</v>
      </c>
      <c r="R2641">
        <v>5.0098589999999998E-2</v>
      </c>
      <c r="S2641">
        <v>3.014221</v>
      </c>
      <c r="T2641">
        <v>-0.108542</v>
      </c>
      <c r="U2641">
        <v>-0.23704529999999999</v>
      </c>
      <c r="V2641">
        <v>5.7718079999999998E-3</v>
      </c>
      <c r="W2641">
        <v>-4.23997E-3</v>
      </c>
      <c r="X2641">
        <v>0.99997440000000004</v>
      </c>
      <c r="Y2641">
        <v>0.13383819999999999</v>
      </c>
      <c r="Z2641">
        <v>-4.4131530000000004E-3</v>
      </c>
      <c r="AA2641">
        <v>0.99099340000000002</v>
      </c>
      <c r="AB2641">
        <v>20</v>
      </c>
      <c r="AC2641">
        <v>30.627500000000001</v>
      </c>
      <c r="AD2641">
        <v>-1.1103242996060001</v>
      </c>
      <c r="AE2641">
        <v>-2.4394999999999798</v>
      </c>
      <c r="AF2641">
        <v>4.1409692336496597</v>
      </c>
      <c r="AG2641">
        <v>-1.1103242996060001</v>
      </c>
      <c r="AH2641">
        <v>30.403724637803801</v>
      </c>
      <c r="AI2641">
        <v>92.072359072541204</v>
      </c>
      <c r="AJ2641">
        <v>82.244072115757703</v>
      </c>
      <c r="AK2641">
        <v>30.704509735472499</v>
      </c>
      <c r="AL2641">
        <v>90.242933103000993</v>
      </c>
      <c r="AM2641">
        <v>89.669294967796205</v>
      </c>
      <c r="AN2641">
        <v>1.0000000458842699</v>
      </c>
    </row>
    <row r="2642" spans="1:40" x14ac:dyDescent="0.3">
      <c r="A2642" t="str">
        <f>"20200111160503214"</f>
        <v>20200111160503214</v>
      </c>
      <c r="B2642" t="str">
        <f>"1578729903203933"</f>
        <v>1578729903203933</v>
      </c>
      <c r="C2642" t="s">
        <v>40</v>
      </c>
      <c r="D2642">
        <v>4.6012839999999997</v>
      </c>
      <c r="E2642">
        <v>0.55045100000000002</v>
      </c>
      <c r="F2642" t="s">
        <v>61</v>
      </c>
      <c r="G2642">
        <v>-434.86290000000002</v>
      </c>
      <c r="H2642" s="1">
        <v>4.6103910000000003E-6</v>
      </c>
      <c r="I2642">
        <v>211.9066</v>
      </c>
      <c r="J2642">
        <v>-465.50040000000001</v>
      </c>
      <c r="K2642">
        <v>1.1101639999999999</v>
      </c>
      <c r="L2642">
        <v>214.38140000000001</v>
      </c>
      <c r="M2642">
        <v>0.99832310000000002</v>
      </c>
      <c r="N2642">
        <v>0</v>
      </c>
      <c r="O2642">
        <v>5.7770160000000001E-2</v>
      </c>
      <c r="P2642">
        <v>0.99865839999999995</v>
      </c>
      <c r="Q2642">
        <v>-9.6078369999999993E-3</v>
      </c>
      <c r="R2642">
        <v>5.0885600000000003E-2</v>
      </c>
      <c r="S2642">
        <v>3.0150760000000001</v>
      </c>
      <c r="T2642">
        <v>-0.1085695</v>
      </c>
      <c r="U2642">
        <v>-0.2406769</v>
      </c>
      <c r="V2642">
        <v>6.9033159999999996E-3</v>
      </c>
      <c r="W2642">
        <v>-5.9005569999999999E-3</v>
      </c>
      <c r="X2642">
        <v>0.99995880000000004</v>
      </c>
      <c r="Y2642">
        <v>0.13690039999999901</v>
      </c>
      <c r="Z2642">
        <v>-4.5367150000000002E-3</v>
      </c>
      <c r="AA2642">
        <v>0.99057439999999997</v>
      </c>
      <c r="AB2642">
        <v>20</v>
      </c>
      <c r="AC2642">
        <v>30.6374999999999</v>
      </c>
      <c r="AD2642">
        <v>-1.1101593896089901</v>
      </c>
      <c r="AE2642">
        <v>-2.4748000000000099</v>
      </c>
      <c r="AF2642">
        <v>4.2350875005942603</v>
      </c>
      <c r="AG2642">
        <v>-1.1101593896089901</v>
      </c>
      <c r="AH2642">
        <v>30.4037001398457</v>
      </c>
      <c r="AI2642">
        <v>92.071187023498894</v>
      </c>
      <c r="AJ2642">
        <v>82.070002905334505</v>
      </c>
      <c r="AK2642">
        <v>30.717314371567099</v>
      </c>
      <c r="AL2642">
        <v>90.338078962171394</v>
      </c>
      <c r="AM2642">
        <v>89.6044591157181</v>
      </c>
      <c r="AN2642">
        <v>1.00000003702107</v>
      </c>
    </row>
    <row r="2643" spans="1:40" x14ac:dyDescent="0.3">
      <c r="A2643" t="str">
        <f>"20200111160503237"</f>
        <v>20200111160503237</v>
      </c>
      <c r="B2643" t="str">
        <f>"1578729903234189"</f>
        <v>1578729903234189</v>
      </c>
      <c r="C2643" t="s">
        <v>40</v>
      </c>
      <c r="D2643">
        <v>4.5560260000000001</v>
      </c>
      <c r="E2643">
        <v>0.55151589999999995</v>
      </c>
      <c r="F2643" t="s">
        <v>61</v>
      </c>
      <c r="G2643">
        <v>-437.30669999999998</v>
      </c>
      <c r="H2643" s="1">
        <v>5.6767659999999999E-6</v>
      </c>
      <c r="I2643">
        <v>212.10489999999999</v>
      </c>
      <c r="J2643">
        <v>-465.30180000000001</v>
      </c>
      <c r="K2643">
        <v>1.109977</v>
      </c>
      <c r="L2643">
        <v>214.39490000000001</v>
      </c>
      <c r="M2643">
        <v>0.9982318</v>
      </c>
      <c r="N2643">
        <v>0</v>
      </c>
      <c r="O2643">
        <v>5.9326719999999999E-2</v>
      </c>
      <c r="P2643">
        <v>0.99864679999999995</v>
      </c>
      <c r="Q2643">
        <v>-1.2098930000000001E-2</v>
      </c>
      <c r="R2643">
        <v>5.0579640000000002E-2</v>
      </c>
      <c r="S2643">
        <v>3.0152890000000001</v>
      </c>
      <c r="T2643">
        <v>-0.11873019999999999</v>
      </c>
      <c r="U2643">
        <v>-0.2434692</v>
      </c>
      <c r="V2643">
        <v>8.7680629999999996E-3</v>
      </c>
      <c r="W2643">
        <v>-8.3896000000000005E-3</v>
      </c>
      <c r="X2643">
        <v>0.99992639999999999</v>
      </c>
      <c r="Y2643">
        <v>0.1393228</v>
      </c>
      <c r="Z2643">
        <v>-5.0692209999999996E-3</v>
      </c>
      <c r="AA2643">
        <v>0.99023399999999995</v>
      </c>
      <c r="AB2643">
        <v>20</v>
      </c>
      <c r="AC2643">
        <v>27.995100000000001</v>
      </c>
      <c r="AD2643">
        <v>-1.1099713232340001</v>
      </c>
      <c r="AE2643">
        <v>-2.29000000000002</v>
      </c>
      <c r="AF2643">
        <v>3.9406814724287198</v>
      </c>
      <c r="AG2643">
        <v>-1.1099713232340001</v>
      </c>
      <c r="AH2643">
        <v>27.7665705593603</v>
      </c>
      <c r="AI2643">
        <v>92.266497597304706</v>
      </c>
      <c r="AJ2643">
        <v>81.922424290426406</v>
      </c>
      <c r="AK2643">
        <v>28.066767669852499</v>
      </c>
      <c r="AL2643">
        <v>90.4806942941306</v>
      </c>
      <c r="AM2643">
        <v>89.497602894435602</v>
      </c>
      <c r="AN2643">
        <v>1.00000003486694</v>
      </c>
    </row>
    <row r="2644" spans="1:40" x14ac:dyDescent="0.3">
      <c r="A2644" t="str">
        <f>"20200111160503257"</f>
        <v>20200111160503257</v>
      </c>
      <c r="B2644" t="str">
        <f>"1578729903253710"</f>
        <v>1578729903253710</v>
      </c>
      <c r="C2644" t="s">
        <v>40</v>
      </c>
      <c r="D2644">
        <v>4.5692550000000001</v>
      </c>
      <c r="E2644">
        <v>0.55229229999999996</v>
      </c>
      <c r="F2644" t="s">
        <v>61</v>
      </c>
      <c r="G2644">
        <v>-439.63959999999997</v>
      </c>
      <c r="H2644" s="1">
        <v>6.6988939999999998E-6</v>
      </c>
      <c r="I2644">
        <v>212.24719999999999</v>
      </c>
      <c r="J2644">
        <v>-465.10489999999999</v>
      </c>
      <c r="K2644">
        <v>1.109758</v>
      </c>
      <c r="L2644">
        <v>214.40809999999999</v>
      </c>
      <c r="M2644">
        <v>0.99816289999999996</v>
      </c>
      <c r="N2644">
        <v>0</v>
      </c>
      <c r="O2644">
        <v>6.0474600000000003E-2</v>
      </c>
      <c r="P2644">
        <v>0.99864790000000003</v>
      </c>
      <c r="Q2644">
        <v>-1.3326330000000001E-2</v>
      </c>
      <c r="R2644">
        <v>5.0251919999999999E-2</v>
      </c>
      <c r="S2644">
        <v>3.015228</v>
      </c>
      <c r="T2644">
        <v>-0.13041829999999999</v>
      </c>
      <c r="U2644">
        <v>-0.25234990000000002</v>
      </c>
      <c r="V2644">
        <v>1.024168E-2</v>
      </c>
      <c r="W2644">
        <v>-9.5793330000000006E-3</v>
      </c>
      <c r="X2644">
        <v>0.9999017</v>
      </c>
      <c r="Y2644">
        <v>0.14332249999999999</v>
      </c>
      <c r="Z2644">
        <v>-5.7031460000000001E-3</v>
      </c>
      <c r="AA2644">
        <v>0.98965959999999997</v>
      </c>
      <c r="AB2644">
        <v>20</v>
      </c>
      <c r="AC2644">
        <v>25.465299999999999</v>
      </c>
      <c r="AD2644">
        <v>-1.1097513011059901</v>
      </c>
      <c r="AE2644">
        <v>-2.1608999999999901</v>
      </c>
      <c r="AF2644">
        <v>3.6900015923971501</v>
      </c>
      <c r="AG2644">
        <v>-1.1097513011059901</v>
      </c>
      <c r="AH2644">
        <v>25.240418661448899</v>
      </c>
      <c r="AI2644">
        <v>92.491069503018196</v>
      </c>
      <c r="AJ2644">
        <v>81.682613221772698</v>
      </c>
      <c r="AK2644">
        <v>25.5328493103966</v>
      </c>
      <c r="AL2644">
        <v>90.548863728037105</v>
      </c>
      <c r="AM2644">
        <v>89.413157794083403</v>
      </c>
      <c r="AN2644">
        <v>1.00000003264641</v>
      </c>
    </row>
    <row r="2645" spans="1:40" x14ac:dyDescent="0.3">
      <c r="A2645" t="str">
        <f>"20200111160503291"</f>
        <v>20200111160503291</v>
      </c>
      <c r="B2645" t="str">
        <f>"1578729903283966"</f>
        <v>1578729903283966</v>
      </c>
      <c r="C2645" t="s">
        <v>40</v>
      </c>
      <c r="D2645">
        <v>4.5344049999999996</v>
      </c>
      <c r="E2645">
        <v>0.55400819999999995</v>
      </c>
      <c r="F2645" t="s">
        <v>57</v>
      </c>
      <c r="G2645">
        <v>-441.19589999999999</v>
      </c>
      <c r="H2645" s="1">
        <v>-8.0147920000000001E-7</v>
      </c>
      <c r="I2645">
        <v>212.35380000000001</v>
      </c>
      <c r="J2645">
        <v>-464.7953</v>
      </c>
      <c r="K2645">
        <v>1.10934</v>
      </c>
      <c r="L2645">
        <v>214.42850000000001</v>
      </c>
      <c r="M2645">
        <v>0.99810370000000004</v>
      </c>
      <c r="N2645">
        <v>0</v>
      </c>
      <c r="O2645">
        <v>6.1434969999999998E-2</v>
      </c>
      <c r="P2645">
        <v>0.99850150000000004</v>
      </c>
      <c r="Q2645">
        <v>-1.796352E-2</v>
      </c>
      <c r="R2645">
        <v>5.1695280000000003E-2</v>
      </c>
      <c r="S2645">
        <v>3.0152589999999999</v>
      </c>
      <c r="T2645">
        <v>-0.139956</v>
      </c>
      <c r="U2645">
        <v>-0.259079</v>
      </c>
      <c r="V2645">
        <v>9.7442780000000003E-3</v>
      </c>
      <c r="W2645">
        <v>-1.411447E-2</v>
      </c>
      <c r="X2645">
        <v>0.99985290000000004</v>
      </c>
      <c r="Y2645">
        <v>0.14643299999999901</v>
      </c>
      <c r="Z2645">
        <v>-6.2356919999999897E-3</v>
      </c>
      <c r="AA2645">
        <v>0.98920090000000005</v>
      </c>
      <c r="AB2645">
        <v>21</v>
      </c>
      <c r="AC2645">
        <v>23.599399999999999</v>
      </c>
      <c r="AD2645">
        <v>-1.1093408014791999</v>
      </c>
      <c r="AE2645">
        <v>-2.0747</v>
      </c>
      <c r="AF2645">
        <v>3.51291727370727</v>
      </c>
      <c r="AG2645">
        <v>-1.1093408014791999</v>
      </c>
      <c r="AH2645">
        <v>23.376104688278399</v>
      </c>
      <c r="AI2645">
        <v>92.686875617472197</v>
      </c>
      <c r="AJ2645">
        <v>81.453650075120706</v>
      </c>
      <c r="AK2645">
        <v>23.664604268465801</v>
      </c>
      <c r="AL2645">
        <v>90.808726418456402</v>
      </c>
      <c r="AM2645">
        <v>89.441629534657494</v>
      </c>
      <c r="AN2645">
        <v>0.99999999542776596</v>
      </c>
    </row>
    <row r="2646" spans="1:40" x14ac:dyDescent="0.3">
      <c r="A2646" t="str">
        <f>"20200111160503313"</f>
        <v>20200111160503313</v>
      </c>
      <c r="B2646" t="str">
        <f>"1578729903303485"</f>
        <v>1578729903303485</v>
      </c>
      <c r="C2646" t="s">
        <v>40</v>
      </c>
      <c r="D2646">
        <v>4.5867490000000002</v>
      </c>
      <c r="E2646">
        <v>0.5552011</v>
      </c>
      <c r="F2646" t="s">
        <v>57</v>
      </c>
      <c r="G2646">
        <v>-443.44389999999999</v>
      </c>
      <c r="H2646" s="1">
        <v>3.8711480000000002E-7</v>
      </c>
      <c r="I2646">
        <v>212.52869999999999</v>
      </c>
      <c r="J2646">
        <v>-464.58730000000003</v>
      </c>
      <c r="K2646">
        <v>1.10907</v>
      </c>
      <c r="L2646">
        <v>214.44159999999999</v>
      </c>
      <c r="M2646">
        <v>0.9980966</v>
      </c>
      <c r="N2646">
        <v>0</v>
      </c>
      <c r="O2646">
        <v>6.1545710000000003E-2</v>
      </c>
      <c r="P2646">
        <v>0.99839739999999999</v>
      </c>
      <c r="Q2646">
        <v>-1.9794099999999999E-2</v>
      </c>
      <c r="R2646">
        <v>5.3020530000000003E-2</v>
      </c>
      <c r="S2646">
        <v>3.0155940000000001</v>
      </c>
      <c r="T2646">
        <v>-0.15667890000000001</v>
      </c>
      <c r="U2646">
        <v>-0.26831050000000001</v>
      </c>
      <c r="V2646">
        <v>8.5157489999999995E-3</v>
      </c>
      <c r="W2646">
        <v>-1.585427E-2</v>
      </c>
      <c r="X2646">
        <v>0.99983809999999995</v>
      </c>
      <c r="Y2646">
        <v>0.14947759999999999</v>
      </c>
      <c r="Z2646">
        <v>-7.0628260000000003E-3</v>
      </c>
      <c r="AA2646">
        <v>0.9887399</v>
      </c>
      <c r="AB2646">
        <v>21</v>
      </c>
      <c r="AC2646">
        <v>21.1434</v>
      </c>
      <c r="AD2646">
        <v>-1.1090696128852</v>
      </c>
      <c r="AE2646">
        <v>-1.9129</v>
      </c>
      <c r="AF2646">
        <v>3.2018308356787499</v>
      </c>
      <c r="AG2646">
        <v>-1.1090696128852</v>
      </c>
      <c r="AH2646">
        <v>20.928468477008899</v>
      </c>
      <c r="AI2646">
        <v>92.998632882188602</v>
      </c>
      <c r="AJ2646">
        <v>81.301805313597697</v>
      </c>
      <c r="AK2646">
        <v>21.201003488035202</v>
      </c>
      <c r="AL2646">
        <v>90.908420771061103</v>
      </c>
      <c r="AM2646">
        <v>89.512016315894499</v>
      </c>
      <c r="AN2646">
        <v>1.0000000510349301</v>
      </c>
    </row>
    <row r="2647" spans="1:40" x14ac:dyDescent="0.3">
      <c r="A2647" t="str">
        <f>"20200111160503336"</f>
        <v>20200111160503336</v>
      </c>
      <c r="B2647" t="str">
        <f>"1578729903333740"</f>
        <v>1578729903333740</v>
      </c>
      <c r="C2647" t="s">
        <v>40</v>
      </c>
      <c r="D2647">
        <v>4.7259399999999996</v>
      </c>
      <c r="E2647">
        <v>0.55495629999999996</v>
      </c>
      <c r="F2647" t="s">
        <v>57</v>
      </c>
      <c r="G2647">
        <v>-443.92750000000001</v>
      </c>
      <c r="H2647" s="1">
        <v>6.4286229999999995E-7</v>
      </c>
      <c r="I2647">
        <v>212.56530000000001</v>
      </c>
      <c r="J2647">
        <v>-464.37020000000001</v>
      </c>
      <c r="K2647">
        <v>1.108832</v>
      </c>
      <c r="L2647">
        <v>214.45490000000001</v>
      </c>
      <c r="M2647">
        <v>0.99811309999999998</v>
      </c>
      <c r="N2647">
        <v>0</v>
      </c>
      <c r="O2647">
        <v>6.1267160000000001E-2</v>
      </c>
      <c r="P2647">
        <v>0.9983147</v>
      </c>
      <c r="Q2647">
        <v>-2.1272989999999999E-2</v>
      </c>
      <c r="R2647">
        <v>5.3992659999999998E-2</v>
      </c>
      <c r="S2647">
        <v>3.0161129999999998</v>
      </c>
      <c r="T2647">
        <v>-0.1619121</v>
      </c>
      <c r="U2647">
        <v>-0.2739258</v>
      </c>
      <c r="V2647">
        <v>7.2503200000000002E-3</v>
      </c>
      <c r="W2647">
        <v>-1.7219209999999999E-2</v>
      </c>
      <c r="X2647">
        <v>0.99982550000000003</v>
      </c>
      <c r="Y2647">
        <v>0.15099170000000001</v>
      </c>
      <c r="Z2647">
        <v>-7.3222080000000002E-3</v>
      </c>
      <c r="AA2647">
        <v>0.98850789999999999</v>
      </c>
      <c r="AB2647">
        <v>21</v>
      </c>
      <c r="AC2647">
        <v>20.442699999999999</v>
      </c>
      <c r="AD2647">
        <v>-1.1088313571377</v>
      </c>
      <c r="AE2647">
        <v>-1.8895999999999999</v>
      </c>
      <c r="AF2647">
        <v>3.1293977549691601</v>
      </c>
      <c r="AG2647">
        <v>-1.1088313571377</v>
      </c>
      <c r="AH2647">
        <v>20.229511745833999</v>
      </c>
      <c r="AI2647">
        <v>93.100582368485902</v>
      </c>
      <c r="AJ2647">
        <v>81.206351180360798</v>
      </c>
      <c r="AK2647">
        <v>20.500141042495699</v>
      </c>
      <c r="AL2647">
        <v>90.986636771408598</v>
      </c>
      <c r="AM2647">
        <v>89.5845220443085</v>
      </c>
      <c r="AN2647">
        <v>1.0000000493916801</v>
      </c>
    </row>
    <row r="2648" spans="1:40" x14ac:dyDescent="0.3">
      <c r="A2648" t="str">
        <f>"20200111160503358"</f>
        <v>20200111160503358</v>
      </c>
      <c r="B2648" t="str">
        <f>"1578729903354237"</f>
        <v>1578729903354237</v>
      </c>
      <c r="C2648" t="s">
        <v>40</v>
      </c>
      <c r="D2648">
        <v>4.8351290000000002</v>
      </c>
      <c r="E2648">
        <v>0.52495550000000002</v>
      </c>
      <c r="F2648" t="s">
        <v>57</v>
      </c>
      <c r="G2648">
        <v>-444.41489999999999</v>
      </c>
      <c r="H2648" s="1">
        <v>8.9744859999999998E-7</v>
      </c>
      <c r="I2648">
        <v>212.6748</v>
      </c>
      <c r="J2648">
        <v>-464.16669999999999</v>
      </c>
      <c r="K2648">
        <v>1.108649</v>
      </c>
      <c r="L2648">
        <v>214.46680000000001</v>
      </c>
      <c r="M2648">
        <v>0.99815120000000002</v>
      </c>
      <c r="N2648">
        <v>0</v>
      </c>
      <c r="O2648">
        <v>6.0636120000000002E-2</v>
      </c>
      <c r="P2648">
        <v>0.99827200000000005</v>
      </c>
      <c r="Q2648">
        <v>-2.143552E-2</v>
      </c>
      <c r="R2648">
        <v>5.4714980000000003E-2</v>
      </c>
      <c r="S2648">
        <v>3.0160830000000001</v>
      </c>
      <c r="T2648">
        <v>-0.167590299999999</v>
      </c>
      <c r="U2648">
        <v>-0.26904299999999998</v>
      </c>
      <c r="V2648">
        <v>5.8865879999999999E-3</v>
      </c>
      <c r="W2648">
        <v>-1.724463E-2</v>
      </c>
      <c r="X2648">
        <v>0.999834</v>
      </c>
      <c r="Y2648">
        <v>0.14876249999999999</v>
      </c>
      <c r="Z2648">
        <v>-7.4824640000000003E-3</v>
      </c>
      <c r="AA2648">
        <v>0.98884459999999996</v>
      </c>
      <c r="AB2648">
        <v>21</v>
      </c>
      <c r="AC2648">
        <v>19.751799999999999</v>
      </c>
      <c r="AD2648">
        <v>-1.1086481025513999</v>
      </c>
      <c r="AE2648">
        <v>-1.792</v>
      </c>
      <c r="AF2648">
        <v>2.97708289978292</v>
      </c>
      <c r="AG2648">
        <v>-1.1086481025513999</v>
      </c>
      <c r="AH2648">
        <v>19.545718647864501</v>
      </c>
      <c r="AI2648">
        <v>93.209445339540494</v>
      </c>
      <c r="AJ2648">
        <v>81.339624213176094</v>
      </c>
      <c r="AK2648">
        <v>19.802202924648199</v>
      </c>
      <c r="AL2648">
        <v>90.988093467114197</v>
      </c>
      <c r="AM2648">
        <v>89.662671252269107</v>
      </c>
      <c r="AN2648">
        <v>1.00000002836905</v>
      </c>
    </row>
    <row r="2649" spans="1:40" x14ac:dyDescent="0.3">
      <c r="A2649" t="str">
        <f>"20200111160503381"</f>
        <v>20200111160503381</v>
      </c>
      <c r="B2649" t="str">
        <f>"1578729903373757"</f>
        <v>1578729903373757</v>
      </c>
      <c r="C2649" t="s">
        <v>40</v>
      </c>
      <c r="D2649">
        <v>4.683554</v>
      </c>
      <c r="E2649">
        <v>0.5240707</v>
      </c>
      <c r="F2649" t="s">
        <v>42</v>
      </c>
      <c r="G2649">
        <v>-463.38440000000003</v>
      </c>
      <c r="H2649">
        <v>1.0398289999999999</v>
      </c>
      <c r="I2649">
        <v>214.4614</v>
      </c>
      <c r="J2649">
        <v>-463.94260000000003</v>
      </c>
      <c r="K2649">
        <v>1.108495</v>
      </c>
      <c r="L2649">
        <v>214.4794</v>
      </c>
      <c r="M2649">
        <v>0.99821360000000003</v>
      </c>
      <c r="N2649">
        <v>0</v>
      </c>
      <c r="O2649">
        <v>5.9585029999999997E-2</v>
      </c>
      <c r="P2649">
        <v>0.99831219999999998</v>
      </c>
      <c r="Q2649">
        <v>-2.1084619999999998E-2</v>
      </c>
      <c r="R2649">
        <v>5.4112229999999997E-2</v>
      </c>
      <c r="S2649">
        <v>3.00061</v>
      </c>
      <c r="T2649">
        <v>-0.26395669999999999</v>
      </c>
      <c r="U2649">
        <v>-1.9805909999999999E-2</v>
      </c>
      <c r="V2649">
        <v>5.4315650000000002E-3</v>
      </c>
      <c r="W2649">
        <v>-1.6717050000000001E-2</v>
      </c>
      <c r="X2649">
        <v>0.99984550000000005</v>
      </c>
      <c r="Y2649">
        <v>6.5689460000000005E-2</v>
      </c>
      <c r="Z2649">
        <v>-8.1130490000000006E-3</v>
      </c>
      <c r="AA2649">
        <v>0.99780709999999995</v>
      </c>
      <c r="AB2649">
        <v>21</v>
      </c>
      <c r="AC2649">
        <v>0.55819999999999903</v>
      </c>
      <c r="AD2649">
        <v>-6.8665999999999894E-2</v>
      </c>
      <c r="AE2649">
        <v>-1.8000000000000599E-2</v>
      </c>
      <c r="AF2649">
        <v>5.0465832283498699E-2</v>
      </c>
      <c r="AG2649">
        <v>-6.8665999999999894E-2</v>
      </c>
      <c r="AH2649">
        <v>0.54785399086963305</v>
      </c>
      <c r="AI2649">
        <v>97.114179973223997</v>
      </c>
      <c r="AJ2649">
        <v>84.737024252701403</v>
      </c>
      <c r="AK2649">
        <v>0.55444189514849096</v>
      </c>
      <c r="AL2649">
        <v>90.957861035308895</v>
      </c>
      <c r="AM2649">
        <v>89.688749222382299</v>
      </c>
      <c r="AN2649">
        <v>0.99999999276465001</v>
      </c>
    </row>
    <row r="2650" spans="1:40" x14ac:dyDescent="0.3">
      <c r="A2650" t="str">
        <f>"20200111160503404"</f>
        <v>20200111160503404</v>
      </c>
      <c r="B2650" t="str">
        <f>"1578729903394253"</f>
        <v>1578729903394253</v>
      </c>
      <c r="C2650" t="s">
        <v>40</v>
      </c>
      <c r="D2650">
        <v>4.7118409999999997</v>
      </c>
      <c r="E2650">
        <v>0.5236596</v>
      </c>
      <c r="F2650" t="s">
        <v>42</v>
      </c>
      <c r="G2650">
        <v>-463.19170000000003</v>
      </c>
      <c r="H2650">
        <v>1.044181</v>
      </c>
      <c r="I2650">
        <v>214.47540000000001</v>
      </c>
      <c r="J2650">
        <v>-463.72750000000002</v>
      </c>
      <c r="K2650">
        <v>1.108401</v>
      </c>
      <c r="L2650">
        <v>214.49100000000001</v>
      </c>
      <c r="M2650">
        <v>0.99828819999999996</v>
      </c>
      <c r="N2650">
        <v>0</v>
      </c>
      <c r="O2650">
        <v>5.8308249999999999E-2</v>
      </c>
      <c r="P2650">
        <v>0.99842359999999997</v>
      </c>
      <c r="Q2650">
        <v>-1.8366670000000002E-2</v>
      </c>
      <c r="R2650">
        <v>5.3039650000000001E-2</v>
      </c>
      <c r="S2650">
        <v>3.0004580000000001</v>
      </c>
      <c r="T2650">
        <v>-0.25703939999999997</v>
      </c>
      <c r="U2650">
        <v>-1.486206E-2</v>
      </c>
      <c r="V2650">
        <v>5.2322280000000002E-3</v>
      </c>
      <c r="W2650">
        <v>-1.382215E-2</v>
      </c>
      <c r="X2650">
        <v>0.99989079999999997</v>
      </c>
      <c r="Y2650">
        <v>6.2809470000000006E-2</v>
      </c>
      <c r="Z2650">
        <v>-7.66942699999999E-3</v>
      </c>
      <c r="AA2650">
        <v>0.99799610000000005</v>
      </c>
      <c r="AB2650">
        <v>21</v>
      </c>
      <c r="AC2650">
        <v>0.53579999999999395</v>
      </c>
      <c r="AD2650">
        <v>-6.4219999999999902E-2</v>
      </c>
      <c r="AE2650">
        <v>-1.55999999999778E-2</v>
      </c>
      <c r="AF2650">
        <v>4.6152873992054602E-2</v>
      </c>
      <c r="AG2650">
        <v>-6.4219999999999902E-2</v>
      </c>
      <c r="AH2650">
        <v>0.52642259716715001</v>
      </c>
      <c r="AI2650">
        <v>96.929010886894005</v>
      </c>
      <c r="AJ2650">
        <v>84.989537527466297</v>
      </c>
      <c r="AK2650">
        <v>0.53232982913409499</v>
      </c>
      <c r="AL2650">
        <v>90.791976062415102</v>
      </c>
      <c r="AM2650">
        <v>89.700185414604903</v>
      </c>
      <c r="AN2650">
        <v>1.0000000199825501</v>
      </c>
    </row>
    <row r="2651" spans="1:40" x14ac:dyDescent="0.3">
      <c r="A2651" t="str">
        <f>"20200111160503427"</f>
        <v>20200111160503427</v>
      </c>
      <c r="B2651" t="str">
        <f>"1578729903423532"</f>
        <v>1578729903423532</v>
      </c>
      <c r="C2651" t="s">
        <v>40</v>
      </c>
      <c r="D2651">
        <v>4.6647930000000004</v>
      </c>
      <c r="E2651">
        <v>0.52495459999999905</v>
      </c>
      <c r="F2651" t="s">
        <v>42</v>
      </c>
      <c r="G2651">
        <v>-462.81220000000002</v>
      </c>
      <c r="H2651">
        <v>1.0336639999999999</v>
      </c>
      <c r="I2651">
        <v>214.4864</v>
      </c>
      <c r="J2651">
        <v>-463.51589999999999</v>
      </c>
      <c r="K2651">
        <v>1.108382</v>
      </c>
      <c r="L2651">
        <v>214.5018</v>
      </c>
      <c r="M2651">
        <v>0.99836879999999995</v>
      </c>
      <c r="N2651">
        <v>0</v>
      </c>
      <c r="O2651">
        <v>5.6900279999999998E-2</v>
      </c>
      <c r="P2651">
        <v>0.9985714</v>
      </c>
      <c r="Q2651">
        <v>-1.4460860000000001E-2</v>
      </c>
      <c r="R2651">
        <v>5.1443860000000001E-2</v>
      </c>
      <c r="S2651">
        <v>3.0009769999999998</v>
      </c>
      <c r="T2651">
        <v>-0.24493309999999999</v>
      </c>
      <c r="U2651">
        <v>-1.4694209999999999E-2</v>
      </c>
      <c r="V2651">
        <v>5.4326180000000002E-3</v>
      </c>
      <c r="W2651">
        <v>-9.7492250000000003E-3</v>
      </c>
      <c r="X2651">
        <v>0.99993770000000004</v>
      </c>
      <c r="Y2651">
        <v>6.1395480000000002E-2</v>
      </c>
      <c r="Z2651">
        <v>-7.1359780000000003E-3</v>
      </c>
      <c r="AA2651">
        <v>0.99808799999999998</v>
      </c>
      <c r="AB2651">
        <v>21</v>
      </c>
      <c r="AC2651">
        <v>0.70369999999996902</v>
      </c>
      <c r="AD2651">
        <v>-7.4718000000000007E-2</v>
      </c>
      <c r="AE2651">
        <v>-1.53999999999996E-2</v>
      </c>
      <c r="AF2651">
        <v>5.4798717605749898E-2</v>
      </c>
      <c r="AG2651">
        <v>-7.4718000000000007E-2</v>
      </c>
      <c r="AH2651">
        <v>0.69386477395397805</v>
      </c>
      <c r="AI2651">
        <v>96.127211273202093</v>
      </c>
      <c r="AJ2651">
        <v>85.484376870997096</v>
      </c>
      <c r="AK2651">
        <v>0.70002428779967396</v>
      </c>
      <c r="AL2651">
        <v>90.558598305031893</v>
      </c>
      <c r="AM2651">
        <v>89.688717586493198</v>
      </c>
      <c r="AN2651">
        <v>0.999999982303862</v>
      </c>
    </row>
    <row r="2652" spans="1:40" x14ac:dyDescent="0.3">
      <c r="A2652" t="str">
        <f>"20200111160503447"</f>
        <v>20200111160503447</v>
      </c>
      <c r="B2652" t="str">
        <f>"1578729903444029"</f>
        <v>1578729903444029</v>
      </c>
      <c r="C2652" t="s">
        <v>40</v>
      </c>
      <c r="D2652">
        <v>4.6337469999999996</v>
      </c>
      <c r="E2652">
        <v>0.52539979999999997</v>
      </c>
      <c r="F2652" t="s">
        <v>42</v>
      </c>
      <c r="G2652">
        <v>-462.61619999999999</v>
      </c>
      <c r="H2652">
        <v>1.0388170000000001</v>
      </c>
      <c r="I2652">
        <v>214.49279999999999</v>
      </c>
      <c r="J2652">
        <v>-463.30599999999998</v>
      </c>
      <c r="K2652">
        <v>1.1084160000000001</v>
      </c>
      <c r="L2652">
        <v>214.51220000000001</v>
      </c>
      <c r="M2652">
        <v>0.9984497</v>
      </c>
      <c r="N2652">
        <v>0</v>
      </c>
      <c r="O2652">
        <v>5.5446809999999999E-2</v>
      </c>
      <c r="P2652">
        <v>0.99884189999999995</v>
      </c>
      <c r="Q2652">
        <v>-8.4149840000000004E-3</v>
      </c>
      <c r="R2652">
        <v>4.737106E-2</v>
      </c>
      <c r="S2652">
        <v>3.0024109999999999</v>
      </c>
      <c r="T2652">
        <v>-0.23213210000000001</v>
      </c>
      <c r="U2652">
        <v>-2.9220579999999999E-2</v>
      </c>
      <c r="V2652">
        <v>8.0754659999999999E-3</v>
      </c>
      <c r="W2652">
        <v>-3.5530119999999999E-3</v>
      </c>
      <c r="X2652">
        <v>0.99996110000000005</v>
      </c>
      <c r="Y2652">
        <v>6.4803029999999998E-2</v>
      </c>
      <c r="Z2652">
        <v>-6.7804229999999998E-3</v>
      </c>
      <c r="AA2652">
        <v>0.99787499999999996</v>
      </c>
      <c r="AB2652">
        <v>21</v>
      </c>
      <c r="AC2652">
        <v>0.68979999999999098</v>
      </c>
      <c r="AD2652">
        <v>-6.9598999999999897E-2</v>
      </c>
      <c r="AE2652">
        <v>-1.9400000000018701E-2</v>
      </c>
      <c r="AF2652">
        <v>5.7037620857563802E-2</v>
      </c>
      <c r="AG2652">
        <v>-6.9598999999999897E-2</v>
      </c>
      <c r="AH2652">
        <v>0.68073850483847298</v>
      </c>
      <c r="AI2652">
        <v>95.817417114945798</v>
      </c>
      <c r="AJ2652">
        <v>85.210496567964597</v>
      </c>
      <c r="AK2652">
        <v>0.68666019468424899</v>
      </c>
      <c r="AL2652">
        <v>90.203573016550095</v>
      </c>
      <c r="AM2652">
        <v>89.537301939859901</v>
      </c>
      <c r="AN2652">
        <v>1.0000000192792899</v>
      </c>
    </row>
    <row r="2653" spans="1:40" x14ac:dyDescent="0.3">
      <c r="A2653" t="str">
        <f>"20200111160503471"</f>
        <v>20200111160503471</v>
      </c>
      <c r="B2653" t="str">
        <f>"1578729903463548"</f>
        <v>1578729903463548</v>
      </c>
      <c r="C2653" t="s">
        <v>40</v>
      </c>
      <c r="D2653">
        <v>4.5987439999999999</v>
      </c>
      <c r="E2653">
        <v>0.52584330000000001</v>
      </c>
      <c r="F2653" t="s">
        <v>42</v>
      </c>
      <c r="G2653">
        <v>-462.4187</v>
      </c>
      <c r="H2653">
        <v>1.045115</v>
      </c>
      <c r="I2653">
        <v>214.49860000000001</v>
      </c>
      <c r="J2653">
        <v>-463.08080000000001</v>
      </c>
      <c r="K2653">
        <v>1.1084830000000001</v>
      </c>
      <c r="L2653">
        <v>214.52289999999999</v>
      </c>
      <c r="M2653">
        <v>0.9985347</v>
      </c>
      <c r="N2653">
        <v>0</v>
      </c>
      <c r="O2653">
        <v>5.3882010000000001E-2</v>
      </c>
      <c r="P2653">
        <v>0.99912299999999998</v>
      </c>
      <c r="Q2653">
        <v>-7.3442979999999896E-4</v>
      </c>
      <c r="R2653">
        <v>4.1873729999999998E-2</v>
      </c>
      <c r="S2653">
        <v>3.003784</v>
      </c>
      <c r="T2653">
        <v>-0.2142561</v>
      </c>
      <c r="U2653">
        <v>-4.4281010000000003E-2</v>
      </c>
      <c r="V2653">
        <v>1.203386E-2</v>
      </c>
      <c r="W2653">
        <v>4.2784729999999997E-3</v>
      </c>
      <c r="X2653">
        <v>0.99991850000000004</v>
      </c>
      <c r="Y2653">
        <v>6.8285280000000004E-2</v>
      </c>
      <c r="Z2653">
        <v>-6.2694140000000001E-3</v>
      </c>
      <c r="AA2653">
        <v>0.99764620000000004</v>
      </c>
      <c r="AB2653">
        <v>22</v>
      </c>
      <c r="AC2653">
        <v>0.66210000000000901</v>
      </c>
      <c r="AD2653">
        <v>-6.3367999999999799E-2</v>
      </c>
      <c r="AE2653">
        <v>-2.4299999999982402E-2</v>
      </c>
      <c r="AF2653">
        <v>5.9397084643650198E-2</v>
      </c>
      <c r="AG2653">
        <v>-6.3367999999999799E-2</v>
      </c>
      <c r="AH2653">
        <v>0.65384764858715105</v>
      </c>
      <c r="AI2653">
        <v>95.513003496355495</v>
      </c>
      <c r="AJ2653">
        <v>84.809361335662402</v>
      </c>
      <c r="AK2653">
        <v>0.65959098284551498</v>
      </c>
      <c r="AL2653">
        <v>89.754860821857505</v>
      </c>
      <c r="AM2653">
        <v>89.3104877005525</v>
      </c>
      <c r="AN2653">
        <v>1.0000000628799699</v>
      </c>
    </row>
    <row r="2654" spans="1:40" x14ac:dyDescent="0.3">
      <c r="A2654" t="str">
        <f>"20200111160503492"</f>
        <v>20200111160503492</v>
      </c>
      <c r="B2654" t="str">
        <f>"1578729903484045"</f>
        <v>1578729903484045</v>
      </c>
      <c r="C2654" t="s">
        <v>40</v>
      </c>
      <c r="D2654">
        <v>4.5873460000000001</v>
      </c>
      <c r="E2654">
        <v>0.52604059999999997</v>
      </c>
      <c r="F2654" t="s">
        <v>42</v>
      </c>
      <c r="G2654">
        <v>-462.21789999999999</v>
      </c>
      <c r="H2654">
        <v>1.053132</v>
      </c>
      <c r="I2654">
        <v>214.50450000000001</v>
      </c>
      <c r="J2654">
        <v>-462.86939999999998</v>
      </c>
      <c r="K2654">
        <v>1.1085609999999999</v>
      </c>
      <c r="L2654">
        <v>214.53280000000001</v>
      </c>
      <c r="M2654">
        <v>0.99861009999999995</v>
      </c>
      <c r="N2654">
        <v>0</v>
      </c>
      <c r="O2654">
        <v>5.2449700000000002E-2</v>
      </c>
      <c r="P2654">
        <v>0.99929460000000003</v>
      </c>
      <c r="Q2654">
        <v>4.9897839999999997E-3</v>
      </c>
      <c r="R2654">
        <v>3.7221249999999997E-2</v>
      </c>
      <c r="S2654">
        <v>3.005188</v>
      </c>
      <c r="T2654">
        <v>-0.19274469999999999</v>
      </c>
      <c r="U2654">
        <v>-6.3400269999999995E-2</v>
      </c>
      <c r="V2654">
        <v>1.5269080000000001E-2</v>
      </c>
      <c r="W2654">
        <v>1.0140069999999999E-2</v>
      </c>
      <c r="X2654">
        <v>0.99983200000000005</v>
      </c>
      <c r="Y2654">
        <v>7.3243810000000006E-2</v>
      </c>
      <c r="Z2654">
        <v>-5.705669E-3</v>
      </c>
      <c r="AA2654">
        <v>0.99729780000000001</v>
      </c>
      <c r="AB2654">
        <v>22</v>
      </c>
      <c r="AC2654">
        <v>0.65149999999999797</v>
      </c>
      <c r="AD2654">
        <v>-5.5429000000000103E-2</v>
      </c>
      <c r="AE2654">
        <v>-2.8300000000001501E-2</v>
      </c>
      <c r="AF2654">
        <v>6.19846575085626E-2</v>
      </c>
      <c r="AG2654">
        <v>-5.5429000000000103E-2</v>
      </c>
      <c r="AH2654">
        <v>0.64446276105345202</v>
      </c>
      <c r="AI2654">
        <v>94.893331250797601</v>
      </c>
      <c r="AJ2654">
        <v>84.506170483347901</v>
      </c>
      <c r="AK2654">
        <v>0.649805141709492</v>
      </c>
      <c r="AL2654">
        <v>89.419006826628404</v>
      </c>
      <c r="AM2654">
        <v>89.125067172781002</v>
      </c>
      <c r="AN2654">
        <v>0.99999999702382503</v>
      </c>
    </row>
    <row r="2655" spans="1:40" x14ac:dyDescent="0.3">
      <c r="A2655" t="str">
        <f>"20200111160503516"</f>
        <v>20200111160503516</v>
      </c>
      <c r="B2655" t="str">
        <f>"1578729903503564"</f>
        <v>1578729903503564</v>
      </c>
      <c r="C2655" t="s">
        <v>40</v>
      </c>
      <c r="D2655">
        <v>4.6360140000000003</v>
      </c>
      <c r="E2655">
        <v>0.52600400000000003</v>
      </c>
      <c r="F2655" t="s">
        <v>42</v>
      </c>
      <c r="G2655">
        <v>-462.01769999999999</v>
      </c>
      <c r="H2655">
        <v>1.0578149999999999</v>
      </c>
      <c r="I2655">
        <v>214.51</v>
      </c>
      <c r="J2655">
        <v>-462.64240000000001</v>
      </c>
      <c r="K2655">
        <v>1.108649</v>
      </c>
      <c r="L2655">
        <v>214.54300000000001</v>
      </c>
      <c r="M2655">
        <v>0.99868539999999995</v>
      </c>
      <c r="N2655">
        <v>0</v>
      </c>
      <c r="O2655">
        <v>5.0981449999999998E-2</v>
      </c>
      <c r="P2655">
        <v>0.99938260000000001</v>
      </c>
      <c r="Q2655">
        <v>7.3012260000000001E-3</v>
      </c>
      <c r="R2655">
        <v>3.4371329999999999E-2</v>
      </c>
      <c r="S2655">
        <v>3.0059809999999998</v>
      </c>
      <c r="T2655">
        <v>-0.1791577</v>
      </c>
      <c r="U2655">
        <v>-7.8506469999999995E-2</v>
      </c>
      <c r="V2655">
        <v>1.665384E-2</v>
      </c>
      <c r="W2655">
        <v>1.259658E-2</v>
      </c>
      <c r="X2655">
        <v>0.99978199999999995</v>
      </c>
      <c r="Y2655">
        <v>7.6812069999999996E-2</v>
      </c>
      <c r="Z2655">
        <v>-5.3214630000000002E-3</v>
      </c>
      <c r="AA2655">
        <v>0.99703140000000001</v>
      </c>
      <c r="AB2655">
        <v>22</v>
      </c>
      <c r="AC2655">
        <v>0.62470000000001802</v>
      </c>
      <c r="AD2655">
        <v>-5.0833999999999997E-2</v>
      </c>
      <c r="AE2655">
        <v>-3.3000000000015399E-2</v>
      </c>
      <c r="AF2655">
        <v>6.4380530693331203E-2</v>
      </c>
      <c r="AG2655">
        <v>-5.0833999999999997E-2</v>
      </c>
      <c r="AH2655">
        <v>0.618123603463681</v>
      </c>
      <c r="AI2655">
        <v>94.676197355109593</v>
      </c>
      <c r="AJ2655">
        <v>84.053810438831405</v>
      </c>
      <c r="AK2655">
        <v>0.62354289142550601</v>
      </c>
      <c r="AL2655">
        <v>89.278250067594797</v>
      </c>
      <c r="AM2655">
        <v>89.045685453954604</v>
      </c>
      <c r="AN2655">
        <v>1.00000003586922</v>
      </c>
    </row>
    <row r="2656" spans="1:40" x14ac:dyDescent="0.3">
      <c r="A2656" t="str">
        <f>"20200111160503538"</f>
        <v>20200111160503538</v>
      </c>
      <c r="B2656" t="str">
        <f>"1578729903533821"</f>
        <v>1578729903533821</v>
      </c>
      <c r="C2656" t="s">
        <v>40</v>
      </c>
      <c r="D2656">
        <v>4.5419919999999996</v>
      </c>
      <c r="E2656">
        <v>0.52558870000000002</v>
      </c>
      <c r="F2656" t="s">
        <v>57</v>
      </c>
      <c r="G2656">
        <v>-443.5736</v>
      </c>
      <c r="H2656" s="1">
        <v>3.9214379999999998E-7</v>
      </c>
      <c r="I2656">
        <v>213.99299999999999</v>
      </c>
      <c r="J2656">
        <v>-462.42250000000001</v>
      </c>
      <c r="K2656">
        <v>1.108725</v>
      </c>
      <c r="L2656">
        <v>214.55269999999999</v>
      </c>
      <c r="M2656">
        <v>0.99875190000000003</v>
      </c>
      <c r="N2656">
        <v>0</v>
      </c>
      <c r="O2656">
        <v>4.9646639999999999E-2</v>
      </c>
      <c r="P2656">
        <v>0.99942010000000003</v>
      </c>
      <c r="Q2656">
        <v>7.6413380000000001E-3</v>
      </c>
      <c r="R2656">
        <v>3.3182639999999999E-2</v>
      </c>
      <c r="S2656">
        <v>3.0061040000000001</v>
      </c>
      <c r="T2656">
        <v>-0.1747727</v>
      </c>
      <c r="U2656">
        <v>-8.6715699999999896E-2</v>
      </c>
      <c r="V2656">
        <v>1.6505679999999998E-2</v>
      </c>
      <c r="W2656">
        <v>1.3068130000000001E-2</v>
      </c>
      <c r="X2656">
        <v>0.99977839999999996</v>
      </c>
      <c r="Y2656">
        <v>7.8209970000000004E-2</v>
      </c>
      <c r="Z2656">
        <v>-5.1542039999999999E-3</v>
      </c>
      <c r="AA2656">
        <v>0.99692360000000002</v>
      </c>
      <c r="AB2656">
        <v>22</v>
      </c>
      <c r="AC2656">
        <v>18.8489</v>
      </c>
      <c r="AD2656">
        <v>-1.1087246078562001</v>
      </c>
      <c r="AE2656">
        <v>-0.55969999999999198</v>
      </c>
      <c r="AF2656">
        <v>1.48965863446391</v>
      </c>
      <c r="AG2656">
        <v>-1.1087246078562001</v>
      </c>
      <c r="AH2656">
        <v>18.733108711437001</v>
      </c>
      <c r="AI2656">
        <v>93.376482618118402</v>
      </c>
      <c r="AJ2656">
        <v>85.453401300481602</v>
      </c>
      <c r="AK2656">
        <v>18.824922711602699</v>
      </c>
      <c r="AL2656">
        <v>89.251230015284506</v>
      </c>
      <c r="AM2656">
        <v>89.054170508117807</v>
      </c>
      <c r="AN2656">
        <v>1.0000000313002499</v>
      </c>
    </row>
    <row r="2657" spans="1:40" x14ac:dyDescent="0.3">
      <c r="A2657" t="str">
        <f>"20200111160503560"</f>
        <v>20200111160503560</v>
      </c>
      <c r="B2657" t="str">
        <f>"1578729903554317"</f>
        <v>1578729903554317</v>
      </c>
      <c r="C2657" t="s">
        <v>40</v>
      </c>
      <c r="D2657">
        <v>4.5555459999999997</v>
      </c>
      <c r="E2657">
        <v>0.52550779999999997</v>
      </c>
      <c r="F2657" t="s">
        <v>57</v>
      </c>
      <c r="G2657">
        <v>-443.774</v>
      </c>
      <c r="H2657" s="1">
        <v>4.978767E-7</v>
      </c>
      <c r="I2657">
        <v>214.01339999999999</v>
      </c>
      <c r="J2657">
        <v>-462.20510000000002</v>
      </c>
      <c r="K2657">
        <v>1.1087910000000001</v>
      </c>
      <c r="L2657">
        <v>214.56200000000001</v>
      </c>
      <c r="M2657">
        <v>0.99881180000000003</v>
      </c>
      <c r="N2657">
        <v>0</v>
      </c>
      <c r="O2657">
        <v>4.8414119999999998E-2</v>
      </c>
      <c r="P2657">
        <v>0.99940620000000002</v>
      </c>
      <c r="Q2657">
        <v>5.7605060000000003E-3</v>
      </c>
      <c r="R2657">
        <v>3.3975739999999997E-2</v>
      </c>
      <c r="S2657">
        <v>3.0060120000000001</v>
      </c>
      <c r="T2657">
        <v>-0.17871799999999999</v>
      </c>
      <c r="U2657">
        <v>-8.6929320000000004E-2</v>
      </c>
      <c r="V2657">
        <v>1.447346E-2</v>
      </c>
      <c r="W2657">
        <v>1.1308250000000001E-2</v>
      </c>
      <c r="X2657">
        <v>0.99983129999999998</v>
      </c>
      <c r="Y2657">
        <v>7.704577E-2</v>
      </c>
      <c r="Z2657">
        <v>-5.1627779999999998E-3</v>
      </c>
      <c r="AA2657">
        <v>0.99701419999999996</v>
      </c>
      <c r="AB2657">
        <v>22</v>
      </c>
      <c r="AC2657">
        <v>18.431100000000001</v>
      </c>
      <c r="AD2657">
        <v>-1.1087905021233</v>
      </c>
      <c r="AE2657">
        <v>-0.54860000000002096</v>
      </c>
      <c r="AF2657">
        <v>1.43510686054019</v>
      </c>
      <c r="AG2657">
        <v>-1.1087905021233</v>
      </c>
      <c r="AH2657">
        <v>18.316695032357099</v>
      </c>
      <c r="AI2657">
        <v>93.453581289771904</v>
      </c>
      <c r="AJ2657">
        <v>85.520047079624206</v>
      </c>
      <c r="AK2657">
        <v>18.406256137170999</v>
      </c>
      <c r="AL2657">
        <v>89.352071187145597</v>
      </c>
      <c r="AM2657">
        <v>89.170649833256704</v>
      </c>
      <c r="AN2657">
        <v>0.99999999301106202</v>
      </c>
    </row>
    <row r="2658" spans="1:40" x14ac:dyDescent="0.3">
      <c r="A2658" t="str">
        <f>"20200111160503585"</f>
        <v>20200111160503585</v>
      </c>
      <c r="B2658" t="str">
        <f>"1578729903573892"</f>
        <v>1578729903573892</v>
      </c>
      <c r="C2658" t="s">
        <v>40</v>
      </c>
      <c r="D2658">
        <v>4.6991300000000003</v>
      </c>
      <c r="E2658">
        <v>0.525456699999999</v>
      </c>
      <c r="F2658" t="s">
        <v>57</v>
      </c>
      <c r="G2658">
        <v>-444.50049999999999</v>
      </c>
      <c r="H2658" s="1">
        <v>8.8206699999999897E-7</v>
      </c>
      <c r="I2658">
        <v>214.06890000000001</v>
      </c>
      <c r="J2658">
        <v>-461.95519999999999</v>
      </c>
      <c r="K2658">
        <v>1.1088549999999999</v>
      </c>
      <c r="L2658">
        <v>214.57249999999999</v>
      </c>
      <c r="M2658">
        <v>0.99887440000000005</v>
      </c>
      <c r="N2658">
        <v>0</v>
      </c>
      <c r="O2658">
        <v>4.7094839999999999E-2</v>
      </c>
      <c r="P2658">
        <v>0.99937019999999999</v>
      </c>
      <c r="Q2658">
        <v>2.0234469999999998E-3</v>
      </c>
      <c r="R2658">
        <v>3.5432030000000003E-2</v>
      </c>
      <c r="S2658">
        <v>3.0057680000000002</v>
      </c>
      <c r="T2658">
        <v>-0.18824289999999999</v>
      </c>
      <c r="U2658">
        <v>-8.3709720000000001E-2</v>
      </c>
      <c r="V2658">
        <v>1.1687929999999999E-2</v>
      </c>
      <c r="W2658">
        <v>7.693994E-3</v>
      </c>
      <c r="X2658">
        <v>0.99990210000000002</v>
      </c>
      <c r="Y2658">
        <v>7.4647000000000005E-2</v>
      </c>
      <c r="Z2658">
        <v>-5.2804039999999998E-3</v>
      </c>
      <c r="AA2658">
        <v>0.99719599999999997</v>
      </c>
      <c r="AB2658">
        <v>22</v>
      </c>
      <c r="AC2658">
        <v>17.454699999999999</v>
      </c>
      <c r="AD2658">
        <v>-1.10885411793299</v>
      </c>
      <c r="AE2658">
        <v>-0.50359999999997695</v>
      </c>
      <c r="AF2658">
        <v>1.3197588747053599</v>
      </c>
      <c r="AG2658">
        <v>-1.10885411793299</v>
      </c>
      <c r="AH2658">
        <v>17.341686228666799</v>
      </c>
      <c r="AI2658">
        <v>93.648079257625795</v>
      </c>
      <c r="AJ2658">
        <v>85.647993244004297</v>
      </c>
      <c r="AK2658">
        <v>17.427145555017098</v>
      </c>
      <c r="AL2658">
        <v>89.559162269979694</v>
      </c>
      <c r="AM2658">
        <v>89.330295873178102</v>
      </c>
      <c r="AN2658">
        <v>1.0000000074178801</v>
      </c>
    </row>
    <row r="2659" spans="1:40" x14ac:dyDescent="0.3">
      <c r="A2659" t="str">
        <f>"20200111160503605"</f>
        <v>20200111160503605</v>
      </c>
      <c r="B2659" t="str">
        <f>"1578729903594388"</f>
        <v>1578729903594388</v>
      </c>
      <c r="C2659" t="s">
        <v>40</v>
      </c>
      <c r="D2659">
        <v>4.5023589999999896</v>
      </c>
      <c r="E2659">
        <v>0.52544760000000001</v>
      </c>
      <c r="F2659" t="s">
        <v>42</v>
      </c>
      <c r="G2659">
        <v>-461.03480000000002</v>
      </c>
      <c r="H2659">
        <v>1.048146</v>
      </c>
      <c r="I2659">
        <v>214.54810000000001</v>
      </c>
      <c r="J2659">
        <v>-461.75450000000001</v>
      </c>
      <c r="K2659">
        <v>1.108897</v>
      </c>
      <c r="L2659">
        <v>214.58080000000001</v>
      </c>
      <c r="M2659">
        <v>0.99892009999999998</v>
      </c>
      <c r="N2659">
        <v>0</v>
      </c>
      <c r="O2659">
        <v>4.6100849999999999E-2</v>
      </c>
      <c r="P2659">
        <v>0.99925120000000001</v>
      </c>
      <c r="Q2659">
        <v>-1.4181840000000001E-3</v>
      </c>
      <c r="R2659">
        <v>3.8665369999999998E-2</v>
      </c>
      <c r="S2659">
        <v>3.0050659999999998</v>
      </c>
      <c r="T2659">
        <v>-0.1981822</v>
      </c>
      <c r="U2659">
        <v>-7.9238890000000006E-2</v>
      </c>
      <c r="V2659">
        <v>7.4507189999999997E-3</v>
      </c>
      <c r="W2659">
        <v>4.3423680000000001E-3</v>
      </c>
      <c r="X2659">
        <v>0.99996280000000004</v>
      </c>
      <c r="Y2659">
        <v>7.2160119999999994E-2</v>
      </c>
      <c r="Z2659">
        <v>-5.4126640000000002E-3</v>
      </c>
      <c r="AA2659">
        <v>0.99737830000000005</v>
      </c>
      <c r="AB2659">
        <v>22</v>
      </c>
      <c r="AC2659">
        <v>0.71969999999998802</v>
      </c>
      <c r="AD2659">
        <v>-6.0750999999999999E-2</v>
      </c>
      <c r="AE2659">
        <v>-3.2700000000005502E-2</v>
      </c>
      <c r="AF2659">
        <v>6.5379675991216496E-2</v>
      </c>
      <c r="AG2659">
        <v>-6.0750999999999999E-2</v>
      </c>
      <c r="AH2659">
        <v>0.71236191603352095</v>
      </c>
      <c r="AI2659">
        <v>94.854149129659902</v>
      </c>
      <c r="AJ2659">
        <v>84.756156422642803</v>
      </c>
      <c r="AK2659">
        <v>0.71793083611770403</v>
      </c>
      <c r="AL2659">
        <v>89.751199854962806</v>
      </c>
      <c r="AM2659">
        <v>89.573097265938102</v>
      </c>
      <c r="AN2659">
        <v>0.99999998537865198</v>
      </c>
    </row>
    <row r="2660" spans="1:40" x14ac:dyDescent="0.3">
      <c r="A2660" t="str">
        <f>"20200111160503629"</f>
        <v>20200111160503629</v>
      </c>
      <c r="B2660" t="str">
        <f>"1578729903623668"</f>
        <v>1578729903623668</v>
      </c>
      <c r="C2660" t="s">
        <v>40</v>
      </c>
      <c r="D2660">
        <v>4.4667279999999998</v>
      </c>
      <c r="E2660">
        <v>0.52546689999999996</v>
      </c>
      <c r="F2660" t="s">
        <v>42</v>
      </c>
      <c r="G2660">
        <v>-460.83550000000002</v>
      </c>
      <c r="H2660">
        <v>1.0456379999999901</v>
      </c>
      <c r="I2660">
        <v>214.5592</v>
      </c>
      <c r="J2660">
        <v>-461.51510000000002</v>
      </c>
      <c r="K2660">
        <v>1.1089249999999999</v>
      </c>
      <c r="L2660">
        <v>214.59039999999999</v>
      </c>
      <c r="M2660">
        <v>0.99897150000000001</v>
      </c>
      <c r="N2660">
        <v>0</v>
      </c>
      <c r="O2660">
        <v>4.4964329999999997E-2</v>
      </c>
      <c r="P2660">
        <v>0.99907330000000005</v>
      </c>
      <c r="Q2660">
        <v>-5.6521890000000002E-3</v>
      </c>
      <c r="R2660">
        <v>4.2667999999999998E-2</v>
      </c>
      <c r="S2660">
        <v>3.0046390000000001</v>
      </c>
      <c r="T2660">
        <v>-0.20689550000000001</v>
      </c>
      <c r="U2660">
        <v>-6.9702150000000004E-2</v>
      </c>
      <c r="V2660">
        <v>2.2989780000000001E-3</v>
      </c>
      <c r="W2660">
        <v>2.0343459999999999E-4</v>
      </c>
      <c r="X2660">
        <v>0.99999729999999998</v>
      </c>
      <c r="Y2660">
        <v>6.785447E-2</v>
      </c>
      <c r="Z2660">
        <v>-5.4248930000000001E-3</v>
      </c>
      <c r="AA2660">
        <v>0.99768049999999997</v>
      </c>
      <c r="AB2660">
        <v>22</v>
      </c>
      <c r="AC2660">
        <v>0.67959999999999299</v>
      </c>
      <c r="AD2660">
        <v>-6.3287000000000093E-2</v>
      </c>
      <c r="AE2660">
        <v>-3.1199999999984102E-2</v>
      </c>
      <c r="AF2660">
        <v>6.1197134469778702E-2</v>
      </c>
      <c r="AG2660">
        <v>-6.3287000000000093E-2</v>
      </c>
      <c r="AH2660">
        <v>0.67169696817143798</v>
      </c>
      <c r="AI2660">
        <v>95.360422332450597</v>
      </c>
      <c r="AJ2660">
        <v>84.794253923129006</v>
      </c>
      <c r="AK2660">
        <v>0.67744162160810195</v>
      </c>
      <c r="AL2660">
        <v>89.988344055505394</v>
      </c>
      <c r="AM2660">
        <v>89.868278139821001</v>
      </c>
      <c r="AN2660">
        <v>0.99999996334638397</v>
      </c>
    </row>
    <row r="2661" spans="1:40" x14ac:dyDescent="0.3">
      <c r="A2661" t="str">
        <f>"20200111160503650"</f>
        <v>20200111160503650</v>
      </c>
      <c r="B2661" t="str">
        <f>"1578729903644164"</f>
        <v>1578729903644164</v>
      </c>
      <c r="C2661" t="s">
        <v>40</v>
      </c>
      <c r="D2661">
        <v>4.5035030000000003</v>
      </c>
      <c r="E2661">
        <v>0.52544389999999996</v>
      </c>
      <c r="F2661" t="s">
        <v>42</v>
      </c>
      <c r="G2661">
        <v>-460.6345</v>
      </c>
      <c r="H2661">
        <v>1.0453570000000001</v>
      </c>
      <c r="I2661">
        <v>214.57320000000001</v>
      </c>
      <c r="J2661">
        <v>-461.3005</v>
      </c>
      <c r="K2661">
        <v>1.1089260000000001</v>
      </c>
      <c r="L2661">
        <v>214.59889999999999</v>
      </c>
      <c r="M2661">
        <v>0.99901510000000004</v>
      </c>
      <c r="N2661">
        <v>0</v>
      </c>
      <c r="O2661">
        <v>4.3975229999999997E-2</v>
      </c>
      <c r="P2661">
        <v>0.99887289999999995</v>
      </c>
      <c r="Q2661">
        <v>-8.8593509999999997E-3</v>
      </c>
      <c r="R2661">
        <v>4.6630119999999997E-2</v>
      </c>
      <c r="S2661">
        <v>3.0040279999999999</v>
      </c>
      <c r="T2661">
        <v>-0.21690010000000001</v>
      </c>
      <c r="U2661">
        <v>-5.8135989999999999E-2</v>
      </c>
      <c r="V2661">
        <v>-2.6634229999999998E-3</v>
      </c>
      <c r="W2661">
        <v>-2.9309269999999998E-3</v>
      </c>
      <c r="X2661">
        <v>0.99999210000000005</v>
      </c>
      <c r="Y2661">
        <v>6.3019690000000003E-2</v>
      </c>
      <c r="Z2661">
        <v>-5.442288E-3</v>
      </c>
      <c r="AA2661">
        <v>0.99799749999999998</v>
      </c>
      <c r="AB2661">
        <v>22</v>
      </c>
      <c r="AC2661">
        <v>0.66599999999999604</v>
      </c>
      <c r="AD2661">
        <v>-6.3569000000000195E-2</v>
      </c>
      <c r="AE2661">
        <v>-2.5699999999971999E-2</v>
      </c>
      <c r="AF2661">
        <v>5.4467663439067497E-2</v>
      </c>
      <c r="AG2661">
        <v>-6.3569000000000195E-2</v>
      </c>
      <c r="AH2661">
        <v>0.658237562276768</v>
      </c>
      <c r="AI2661">
        <v>95.497534130191198</v>
      </c>
      <c r="AJ2661">
        <v>85.269681178030893</v>
      </c>
      <c r="AK2661">
        <v>0.663539322507396</v>
      </c>
      <c r="AL2661">
        <v>90.167929997312299</v>
      </c>
      <c r="AM2661">
        <v>90.152603741677495</v>
      </c>
      <c r="AN2661">
        <v>0.99999994210878096</v>
      </c>
    </row>
    <row r="2662" spans="1:40" x14ac:dyDescent="0.3">
      <c r="A2662" t="str">
        <f>"20200111160503673"</f>
        <v>20200111160503673</v>
      </c>
      <c r="B2662" t="str">
        <f>"1578729903663509"</f>
        <v>1578729903663509</v>
      </c>
      <c r="C2662" t="s">
        <v>40</v>
      </c>
      <c r="D2662">
        <v>4.4755479999999999</v>
      </c>
      <c r="E2662">
        <v>0.52543649999999997</v>
      </c>
      <c r="F2662" t="s">
        <v>42</v>
      </c>
      <c r="G2662">
        <v>-460.43349999999998</v>
      </c>
      <c r="H2662">
        <v>1.0430699999999999</v>
      </c>
      <c r="I2662">
        <v>214.5855</v>
      </c>
      <c r="J2662">
        <v>-461.07530000000003</v>
      </c>
      <c r="K2662">
        <v>1.1089310000000001</v>
      </c>
      <c r="L2662">
        <v>214.60759999999999</v>
      </c>
      <c r="M2662">
        <v>0.99905900000000003</v>
      </c>
      <c r="N2662">
        <v>0</v>
      </c>
      <c r="O2662">
        <v>4.2960930000000001E-2</v>
      </c>
      <c r="P2662">
        <v>0.9986585</v>
      </c>
      <c r="Q2662">
        <v>-1.0900099999999999E-2</v>
      </c>
      <c r="R2662">
        <v>5.0618690000000001E-2</v>
      </c>
      <c r="S2662">
        <v>3.0035099999999999</v>
      </c>
      <c r="T2662">
        <v>-0.2281195</v>
      </c>
      <c r="U2662">
        <v>-4.5257569999999997E-2</v>
      </c>
      <c r="V2662">
        <v>-7.6757819999999999E-3</v>
      </c>
      <c r="W2662">
        <v>-4.9163970000000003E-3</v>
      </c>
      <c r="X2662">
        <v>0.99995849999999997</v>
      </c>
      <c r="Y2662">
        <v>5.7719520000000003E-2</v>
      </c>
      <c r="Z2662">
        <v>-5.4462669999999899E-3</v>
      </c>
      <c r="AA2662">
        <v>0.99831800000000004</v>
      </c>
      <c r="AB2662">
        <v>23</v>
      </c>
      <c r="AC2662">
        <v>0.641800000000046</v>
      </c>
      <c r="AD2662">
        <v>-6.5860999999999698E-2</v>
      </c>
      <c r="AE2662">
        <v>-2.20999999999946E-2</v>
      </c>
      <c r="AF2662">
        <v>4.9135590120376701E-2</v>
      </c>
      <c r="AG2662">
        <v>-6.5860999999999698E-2</v>
      </c>
      <c r="AH2662">
        <v>0.633593702894511</v>
      </c>
      <c r="AI2662">
        <v>95.916847648760793</v>
      </c>
      <c r="AJ2662">
        <v>85.565551792117901</v>
      </c>
      <c r="AK2662">
        <v>0.63889980269605295</v>
      </c>
      <c r="AL2662">
        <v>90.281689920584498</v>
      </c>
      <c r="AM2662">
        <v>90.439799527204897</v>
      </c>
      <c r="AN2662">
        <v>1.00000004515551</v>
      </c>
    </row>
    <row r="2663" spans="1:40" x14ac:dyDescent="0.3">
      <c r="A2663" t="str">
        <f>"20200111160503694"</f>
        <v>20200111160503694</v>
      </c>
      <c r="B2663" t="str">
        <f>"1578729903684004"</f>
        <v>1578729903684004</v>
      </c>
      <c r="C2663" t="s">
        <v>40</v>
      </c>
      <c r="D2663">
        <v>4.4946020000000004</v>
      </c>
      <c r="E2663">
        <v>0.52558729999999998</v>
      </c>
      <c r="F2663" t="s">
        <v>42</v>
      </c>
      <c r="G2663">
        <v>-460.23070000000001</v>
      </c>
      <c r="H2663">
        <v>1.0425739999999999</v>
      </c>
      <c r="I2663">
        <v>214.59829999999999</v>
      </c>
      <c r="J2663">
        <v>-460.85239999999999</v>
      </c>
      <c r="K2663">
        <v>1.108938</v>
      </c>
      <c r="L2663">
        <v>214.61600000000001</v>
      </c>
      <c r="M2663">
        <v>0.99910080000000001</v>
      </c>
      <c r="N2663">
        <v>0</v>
      </c>
      <c r="O2663">
        <v>4.1973799999999999E-2</v>
      </c>
      <c r="P2663">
        <v>0.9984499</v>
      </c>
      <c r="Q2663">
        <v>-1.2943970000000001E-2</v>
      </c>
      <c r="R2663">
        <v>5.4134979999999999E-2</v>
      </c>
      <c r="S2663">
        <v>3.0031430000000001</v>
      </c>
      <c r="T2663">
        <v>-0.23592730000000001</v>
      </c>
      <c r="U2663">
        <v>-3.2836909999999997E-2</v>
      </c>
      <c r="V2663">
        <v>-1.218814E-2</v>
      </c>
      <c r="W2663">
        <v>-6.9279729999999996E-3</v>
      </c>
      <c r="X2663">
        <v>0.9999017</v>
      </c>
      <c r="Y2663">
        <v>5.260459E-2</v>
      </c>
      <c r="Z2663">
        <v>-5.3548880000000004E-3</v>
      </c>
      <c r="AA2663">
        <v>0.99860110000000002</v>
      </c>
      <c r="AB2663">
        <v>23</v>
      </c>
      <c r="AC2663">
        <v>0.62169999999997505</v>
      </c>
      <c r="AD2663">
        <v>-6.6364000000000006E-2</v>
      </c>
      <c r="AE2663">
        <v>-1.7699999999990699E-2</v>
      </c>
      <c r="AF2663">
        <v>4.3287134132461901E-2</v>
      </c>
      <c r="AG2663">
        <v>-6.6364000000000006E-2</v>
      </c>
      <c r="AH2663">
        <v>0.61342499347972801</v>
      </c>
      <c r="AI2663">
        <v>96.159388273320701</v>
      </c>
      <c r="AJ2663">
        <v>85.963539762236493</v>
      </c>
      <c r="AK2663">
        <v>0.61852096092453202</v>
      </c>
      <c r="AL2663">
        <v>90.396946797375904</v>
      </c>
      <c r="AM2663">
        <v>90.698363048386298</v>
      </c>
      <c r="AN2663">
        <v>0.99999997861471801</v>
      </c>
    </row>
    <row r="2664" spans="1:40" x14ac:dyDescent="0.3">
      <c r="A2664" t="str">
        <f>"20200111160503827"</f>
        <v>20200111160503827</v>
      </c>
      <c r="B2664" t="str">
        <f>"1578729903824078"</f>
        <v>1578729903824078</v>
      </c>
      <c r="C2664" t="s">
        <v>40</v>
      </c>
      <c r="D2664">
        <v>4.6033839999999904</v>
      </c>
      <c r="E2664">
        <v>0.52608449999999995</v>
      </c>
      <c r="F2664" t="s">
        <v>61</v>
      </c>
      <c r="G2664">
        <v>-435.66890000000001</v>
      </c>
      <c r="H2664" s="1">
        <v>4.7402099999999998E-6</v>
      </c>
      <c r="I2664">
        <v>214.5102</v>
      </c>
      <c r="J2664">
        <v>-459.47379999999998</v>
      </c>
      <c r="K2664">
        <v>1.1090249999999999</v>
      </c>
      <c r="L2664">
        <v>214.66370000000001</v>
      </c>
      <c r="M2664">
        <v>0.99933890000000003</v>
      </c>
      <c r="N2664">
        <v>0</v>
      </c>
      <c r="O2664">
        <v>3.5913309999999997E-2</v>
      </c>
      <c r="P2664">
        <v>0.99788019999999999</v>
      </c>
      <c r="Q2664">
        <v>3.5920800000000003E-2</v>
      </c>
      <c r="R2664">
        <v>5.4265399999999998E-2</v>
      </c>
      <c r="S2664">
        <v>3.0094910000000001</v>
      </c>
      <c r="T2664">
        <v>-0.1389244</v>
      </c>
      <c r="U2664">
        <v>-1.8341059999999999E-2</v>
      </c>
      <c r="V2664">
        <v>-1.8327320000000001E-2</v>
      </c>
      <c r="W2664">
        <v>4.160092E-2</v>
      </c>
      <c r="X2664">
        <v>0.99896620000000003</v>
      </c>
      <c r="Y2664">
        <v>4.192071E-2</v>
      </c>
      <c r="Z2664">
        <v>-2.62379E-3</v>
      </c>
      <c r="AA2664">
        <v>0.99911749999999999</v>
      </c>
      <c r="AB2664">
        <v>23</v>
      </c>
      <c r="AC2664">
        <v>23.8048999999999</v>
      </c>
      <c r="AD2664">
        <v>-1.1090202597900001</v>
      </c>
      <c r="AE2664">
        <v>-0.15350000000000799</v>
      </c>
      <c r="AF2664">
        <v>1.00614373026086</v>
      </c>
      <c r="AG2664">
        <v>-1.1090202597900001</v>
      </c>
      <c r="AH2664">
        <v>23.7325227093466</v>
      </c>
      <c r="AI2664">
        <v>92.673086493927698</v>
      </c>
      <c r="AJ2664">
        <v>87.572390869997093</v>
      </c>
      <c r="AK2664">
        <v>23.7797158370789</v>
      </c>
      <c r="AL2664">
        <v>87.615754807476605</v>
      </c>
      <c r="AM2664">
        <v>91.051046867885304</v>
      </c>
      <c r="AN2664">
        <v>0.99999999797283401</v>
      </c>
    </row>
    <row r="2665" spans="1:40" x14ac:dyDescent="0.3">
      <c r="A2665" t="str">
        <f>"20200111160503872"</f>
        <v>20200111160503872</v>
      </c>
      <c r="B2665" t="str">
        <f>"1578729903864095"</f>
        <v>1578729903864095</v>
      </c>
      <c r="C2665" t="s">
        <v>40</v>
      </c>
      <c r="D2665">
        <v>4.7126510000000001</v>
      </c>
      <c r="E2665">
        <v>0.50706370000000001</v>
      </c>
      <c r="F2665" t="s">
        <v>61</v>
      </c>
      <c r="G2665">
        <v>-425.02499999999998</v>
      </c>
      <c r="H2665" s="1">
        <v>3.0938809999999998E-6</v>
      </c>
      <c r="I2665">
        <v>214.38040000000001</v>
      </c>
      <c r="J2665">
        <v>-458.9907</v>
      </c>
      <c r="K2665">
        <v>1.109038</v>
      </c>
      <c r="L2665">
        <v>214.67850000000001</v>
      </c>
      <c r="M2665">
        <v>0.99941559999999896</v>
      </c>
      <c r="N2665">
        <v>0</v>
      </c>
      <c r="O2665">
        <v>3.3772459999999997E-2</v>
      </c>
      <c r="P2665">
        <v>0.99688790000000005</v>
      </c>
      <c r="Q2665">
        <v>6.1752830000000002E-2</v>
      </c>
      <c r="R2665">
        <v>4.9004249999999999E-2</v>
      </c>
      <c r="S2665">
        <v>3.0111690000000002</v>
      </c>
      <c r="T2665">
        <v>-9.6939440000000002E-2</v>
      </c>
      <c r="U2665">
        <v>-2.476501E-2</v>
      </c>
      <c r="V2665">
        <v>-1.5199890000000001E-2</v>
      </c>
      <c r="W2665">
        <v>6.7061919999999997E-2</v>
      </c>
      <c r="X2665">
        <v>0.99763299999999999</v>
      </c>
      <c r="Y2665">
        <v>4.195198E-2</v>
      </c>
      <c r="Z2665">
        <v>-1.7619440000000001E-3</v>
      </c>
      <c r="AA2665">
        <v>0.99911810000000001</v>
      </c>
      <c r="AB2665">
        <v>24</v>
      </c>
      <c r="AC2665">
        <v>33.965699999999998</v>
      </c>
      <c r="AD2665">
        <v>-1.1090349061189999</v>
      </c>
      <c r="AE2665">
        <v>-0.29810000000000503</v>
      </c>
      <c r="AF2665">
        <v>1.4435123285426501</v>
      </c>
      <c r="AG2665">
        <v>-1.1090349061189999</v>
      </c>
      <c r="AH2665">
        <v>33.900116864156601</v>
      </c>
      <c r="AI2665">
        <v>91.872055416387894</v>
      </c>
      <c r="AJ2665">
        <v>87.561742003697404</v>
      </c>
      <c r="AK2665">
        <v>33.948955943727</v>
      </c>
      <c r="AL2665">
        <v>86.154749013678298</v>
      </c>
      <c r="AM2665">
        <v>90.872888294267497</v>
      </c>
      <c r="AN2665">
        <v>0.99999997022954801</v>
      </c>
    </row>
    <row r="2666" spans="1:40" x14ac:dyDescent="0.3">
      <c r="A2666" t="str">
        <f>"20200111160503895"</f>
        <v>20200111160503895</v>
      </c>
      <c r="B2666" t="str">
        <f>"1578729903883617"</f>
        <v>1578729903883617</v>
      </c>
      <c r="C2666" t="s">
        <v>40</v>
      </c>
      <c r="D2666">
        <v>4.6639629999999999</v>
      </c>
      <c r="E2666">
        <v>0.50612309999999905</v>
      </c>
      <c r="F2666" t="s">
        <v>61</v>
      </c>
      <c r="G2666">
        <v>-429.97449999999998</v>
      </c>
      <c r="H2666" s="1">
        <v>2.0960439999999999E-6</v>
      </c>
      <c r="I2666">
        <v>215.8706</v>
      </c>
      <c r="J2666">
        <v>-458.755</v>
      </c>
      <c r="K2666">
        <v>1.109038</v>
      </c>
      <c r="L2666">
        <v>214.68530000000001</v>
      </c>
      <c r="M2666">
        <v>0.99945119999999998</v>
      </c>
      <c r="N2666">
        <v>0</v>
      </c>
      <c r="O2666">
        <v>3.2733829999999998E-2</v>
      </c>
      <c r="P2666">
        <v>0.99628879999999997</v>
      </c>
      <c r="Q2666">
        <v>7.2985320000000006E-2</v>
      </c>
      <c r="R2666">
        <v>4.5628710000000003E-2</v>
      </c>
      <c r="S2666">
        <v>3.0104060000000001</v>
      </c>
      <c r="T2666">
        <v>-0.1150616</v>
      </c>
      <c r="U2666">
        <v>0.1236877</v>
      </c>
      <c r="V2666">
        <v>-1.286377E-2</v>
      </c>
      <c r="W2666">
        <v>7.8077229999999997E-2</v>
      </c>
      <c r="X2666">
        <v>0.99686430000000004</v>
      </c>
      <c r="Y2666">
        <v>-8.3412050000000008E-3</v>
      </c>
      <c r="Z2666">
        <v>-1.090503E-3</v>
      </c>
      <c r="AA2666">
        <v>0.99996459999999998</v>
      </c>
      <c r="AB2666">
        <v>24</v>
      </c>
      <c r="AC2666">
        <v>28.7805</v>
      </c>
      <c r="AD2666">
        <v>-1.109035903956</v>
      </c>
      <c r="AE2666">
        <v>1.18529999999998</v>
      </c>
      <c r="AF2666">
        <v>-0.24219761339201001</v>
      </c>
      <c r="AG2666">
        <v>-1.109035903956</v>
      </c>
      <c r="AH2666">
        <v>28.761241183005499</v>
      </c>
      <c r="AI2666">
        <v>92.208157885041004</v>
      </c>
      <c r="AJ2666">
        <v>90.482474764028694</v>
      </c>
      <c r="AK2666">
        <v>28.783634494399902</v>
      </c>
      <c r="AL2666">
        <v>85.521946536474502</v>
      </c>
      <c r="AM2666">
        <v>90.739317099909698</v>
      </c>
      <c r="AN2666">
        <v>0.999999981518787</v>
      </c>
    </row>
    <row r="2667" spans="1:40" x14ac:dyDescent="0.3">
      <c r="A2667" t="str">
        <f>"20200111160503918"</f>
        <v>20200111160503918</v>
      </c>
      <c r="B2667" t="str">
        <f>"1578729903913871"</f>
        <v>1578729903913871</v>
      </c>
      <c r="C2667" t="s">
        <v>40</v>
      </c>
      <c r="D2667">
        <v>4.7293139999999996</v>
      </c>
      <c r="E2667">
        <v>0.50606279999999904</v>
      </c>
      <c r="F2667" t="s">
        <v>61</v>
      </c>
      <c r="G2667">
        <v>-418.83460000000002</v>
      </c>
      <c r="H2667" s="1">
        <v>3.6252079999999998E-6</v>
      </c>
      <c r="I2667">
        <v>216.30539999999999</v>
      </c>
      <c r="J2667">
        <v>-458.49630000000002</v>
      </c>
      <c r="K2667">
        <v>1.10903</v>
      </c>
      <c r="L2667">
        <v>214.6926</v>
      </c>
      <c r="M2667">
        <v>0.99948879999999996</v>
      </c>
      <c r="N2667">
        <v>0</v>
      </c>
      <c r="O2667">
        <v>3.160876E-2</v>
      </c>
      <c r="P2667">
        <v>0.99572550000000004</v>
      </c>
      <c r="Q2667">
        <v>8.2337800000000003E-2</v>
      </c>
      <c r="R2667">
        <v>4.1850600000000002E-2</v>
      </c>
      <c r="S2667">
        <v>3.011749</v>
      </c>
      <c r="T2667">
        <v>-8.3669899999999894E-2</v>
      </c>
      <c r="U2667">
        <v>0.1222229</v>
      </c>
      <c r="V2667">
        <v>-1.0213099999999999E-2</v>
      </c>
      <c r="W2667">
        <v>8.7166019999999997E-2</v>
      </c>
      <c r="X2667">
        <v>0.99614139999999995</v>
      </c>
      <c r="Y2667">
        <v>-8.9539890000000007E-3</v>
      </c>
      <c r="Z2667">
        <v>-7.5305670000000002E-4</v>
      </c>
      <c r="AA2667">
        <v>0.99995959999999995</v>
      </c>
      <c r="AB2667">
        <v>24</v>
      </c>
      <c r="AC2667">
        <v>39.661700000000003</v>
      </c>
      <c r="AD2667">
        <v>-1.1090263747919999</v>
      </c>
      <c r="AE2667">
        <v>1.61279999999999</v>
      </c>
      <c r="AF2667">
        <v>-0.35804302017958201</v>
      </c>
      <c r="AG2667">
        <v>-1.1090263747919999</v>
      </c>
      <c r="AH2667">
        <v>39.661900788668703</v>
      </c>
      <c r="AI2667">
        <v>91.601622449364598</v>
      </c>
      <c r="AJ2667">
        <v>90.517216681426007</v>
      </c>
      <c r="AK2667">
        <v>39.679018491823598</v>
      </c>
      <c r="AL2667">
        <v>84.999408684792797</v>
      </c>
      <c r="AM2667">
        <v>90.587413617526806</v>
      </c>
      <c r="AN2667">
        <v>0.99999995562410404</v>
      </c>
    </row>
    <row r="2668" spans="1:40" x14ac:dyDescent="0.3">
      <c r="A2668" t="str">
        <f>"20200111160503941"</f>
        <v>20200111160503941</v>
      </c>
      <c r="B2668" t="str">
        <f>"1578729903934367"</f>
        <v>1578729903934367</v>
      </c>
      <c r="C2668" t="s">
        <v>40</v>
      </c>
      <c r="D2668">
        <v>4.6913780000000003</v>
      </c>
      <c r="E2668">
        <v>0.50646029999999997</v>
      </c>
      <c r="F2668" t="s">
        <v>61</v>
      </c>
      <c r="G2668">
        <v>-412.2217</v>
      </c>
      <c r="H2668" s="1">
        <v>2.4408279999999999E-6</v>
      </c>
      <c r="I2668">
        <v>216.43530000000001</v>
      </c>
      <c r="J2668">
        <v>-458.26139999999998</v>
      </c>
      <c r="K2668">
        <v>1.10903</v>
      </c>
      <c r="L2668">
        <v>214.69900000000001</v>
      </c>
      <c r="M2668">
        <v>0.99952110000000005</v>
      </c>
      <c r="N2668">
        <v>0</v>
      </c>
      <c r="O2668">
        <v>3.060848E-2</v>
      </c>
      <c r="P2668">
        <v>0.99520169999999997</v>
      </c>
      <c r="Q2668">
        <v>9.0031529999999999E-2</v>
      </c>
      <c r="R2668">
        <v>3.8320060000000003E-2</v>
      </c>
      <c r="S2668">
        <v>3.0140690000000001</v>
      </c>
      <c r="T2668">
        <v>-7.2235939999999998E-2</v>
      </c>
      <c r="U2668">
        <v>0.1135101</v>
      </c>
      <c r="V2668">
        <v>-7.6865450000000004E-3</v>
      </c>
      <c r="W2668">
        <v>9.4602839999999994E-2</v>
      </c>
      <c r="X2668">
        <v>0.99548539999999996</v>
      </c>
      <c r="Y2668">
        <v>-7.035431E-3</v>
      </c>
      <c r="Z2668">
        <v>-6.4875739999999897E-4</v>
      </c>
      <c r="AA2668">
        <v>0.99997499999999995</v>
      </c>
      <c r="AB2668">
        <v>24</v>
      </c>
      <c r="AC2668">
        <v>46.039699999999897</v>
      </c>
      <c r="AD2668">
        <v>-1.109027559172</v>
      </c>
      <c r="AE2668">
        <v>1.7363</v>
      </c>
      <c r="AF2668">
        <v>-0.32607768494454697</v>
      </c>
      <c r="AG2668">
        <v>-1.109027559172</v>
      </c>
      <c r="AH2668">
        <v>46.044594028204699</v>
      </c>
      <c r="AI2668">
        <v>91.379721637431999</v>
      </c>
      <c r="AJ2668">
        <v>90.405749322347404</v>
      </c>
      <c r="AK2668">
        <v>46.059102336083498</v>
      </c>
      <c r="AL2668">
        <v>84.571538626096199</v>
      </c>
      <c r="AM2668">
        <v>90.442395072284995</v>
      </c>
      <c r="AN2668">
        <v>0.99999998096163101</v>
      </c>
    </row>
    <row r="2669" spans="1:40" x14ac:dyDescent="0.3">
      <c r="A2669" t="str">
        <f>"20200111160503964"</f>
        <v>20200111160503964</v>
      </c>
      <c r="B2669" t="str">
        <f>"1578729903953887"</f>
        <v>1578729903953887</v>
      </c>
      <c r="C2669" t="s">
        <v>40</v>
      </c>
      <c r="D2669">
        <v>4.7695059999999998</v>
      </c>
      <c r="E2669">
        <v>0.50598350000000003</v>
      </c>
      <c r="F2669" t="s">
        <v>61</v>
      </c>
      <c r="G2669">
        <v>-409.05610000000001</v>
      </c>
      <c r="H2669" s="1">
        <v>4.025285E-6</v>
      </c>
      <c r="I2669">
        <v>216.36330000000001</v>
      </c>
      <c r="J2669">
        <v>-458.0059</v>
      </c>
      <c r="K2669">
        <v>1.1090249999999999</v>
      </c>
      <c r="L2669">
        <v>214.7056</v>
      </c>
      <c r="M2669">
        <v>0.99955400000000005</v>
      </c>
      <c r="N2669">
        <v>0</v>
      </c>
      <c r="O2669">
        <v>2.9551460000000002E-2</v>
      </c>
      <c r="P2669">
        <v>0.99470840000000005</v>
      </c>
      <c r="Q2669">
        <v>9.6899540000000006E-2</v>
      </c>
      <c r="R2669">
        <v>3.414644E-2</v>
      </c>
      <c r="S2669">
        <v>3.0166930000000001</v>
      </c>
      <c r="T2669">
        <v>-6.7992449999999996E-2</v>
      </c>
      <c r="U2669">
        <v>0.1020355</v>
      </c>
      <c r="V2669">
        <v>-4.5743529999999998E-3</v>
      </c>
      <c r="W2669">
        <v>0.10118099999999999</v>
      </c>
      <c r="X2669">
        <v>0.99485749999999995</v>
      </c>
      <c r="Y2669">
        <v>-4.2611130000000004E-3</v>
      </c>
      <c r="Z2669">
        <v>-6.1762779999999999E-4</v>
      </c>
      <c r="AA2669">
        <v>0.99999070000000001</v>
      </c>
      <c r="AB2669">
        <v>24</v>
      </c>
      <c r="AC2669">
        <v>48.949799999999897</v>
      </c>
      <c r="AD2669">
        <v>-1.1090209747149999</v>
      </c>
      <c r="AE2669">
        <v>1.6577</v>
      </c>
      <c r="AF2669">
        <v>-0.21031672332362999</v>
      </c>
      <c r="AG2669">
        <v>-1.1090209747149999</v>
      </c>
      <c r="AH2669">
        <v>48.9523103815581</v>
      </c>
      <c r="AI2669">
        <v>91.297809374673605</v>
      </c>
      <c r="AJ2669">
        <v>90.246161751514705</v>
      </c>
      <c r="AK2669">
        <v>48.965322957567302</v>
      </c>
      <c r="AL2669">
        <v>84.192818141247002</v>
      </c>
      <c r="AM2669">
        <v>90.2634440348683</v>
      </c>
      <c r="AN2669">
        <v>0.99999998238630905</v>
      </c>
    </row>
    <row r="2670" spans="1:40" x14ac:dyDescent="0.3">
      <c r="A2670" t="str">
        <f>"20200111160503985"</f>
        <v>20200111160503985</v>
      </c>
      <c r="B2670" t="str">
        <f>"1578729903973913"</f>
        <v>1578729903973913</v>
      </c>
      <c r="C2670" t="s">
        <v>40</v>
      </c>
      <c r="D2670">
        <v>5.0469689999999998</v>
      </c>
      <c r="E2670">
        <v>0.50405040000000001</v>
      </c>
      <c r="F2670" t="s">
        <v>61</v>
      </c>
      <c r="G2670">
        <v>-432.37740000000002</v>
      </c>
      <c r="H2670" s="1">
        <v>3.1870079999999999E-6</v>
      </c>
      <c r="I2670">
        <v>215.58029999999999</v>
      </c>
      <c r="J2670">
        <v>-457.77260000000001</v>
      </c>
      <c r="K2670">
        <v>1.109024</v>
      </c>
      <c r="L2670">
        <v>214.7116</v>
      </c>
      <c r="M2670">
        <v>0.99958230000000003</v>
      </c>
      <c r="N2670">
        <v>0</v>
      </c>
      <c r="O2670">
        <v>2.8622370000000001E-2</v>
      </c>
      <c r="P2670">
        <v>0.99432609999999999</v>
      </c>
      <c r="Q2670">
        <v>0.1020686</v>
      </c>
      <c r="R2670">
        <v>2.996536E-2</v>
      </c>
      <c r="S2670">
        <v>3.0252080000000001</v>
      </c>
      <c r="T2670">
        <v>-0.13090979999999999</v>
      </c>
      <c r="U2670">
        <v>0.103241</v>
      </c>
      <c r="V2670">
        <v>-1.3269620000000001E-3</v>
      </c>
      <c r="W2670">
        <v>0.1060835</v>
      </c>
      <c r="X2670">
        <v>0.99435629999999997</v>
      </c>
      <c r="Y2670">
        <v>-5.5087240000000004E-3</v>
      </c>
      <c r="Z2670">
        <v>-1.11827E-3</v>
      </c>
      <c r="AA2670">
        <v>0.99998419999999999</v>
      </c>
      <c r="AB2670">
        <v>24</v>
      </c>
      <c r="AC2670">
        <v>25.3951999999999</v>
      </c>
      <c r="AD2670">
        <v>-1.1090208129920001</v>
      </c>
      <c r="AE2670">
        <v>0.86869999999998904</v>
      </c>
      <c r="AF2670">
        <v>-0.141198497530304</v>
      </c>
      <c r="AG2670">
        <v>-1.1090208129920001</v>
      </c>
      <c r="AH2670">
        <v>25.361349376141099</v>
      </c>
      <c r="AI2670">
        <v>92.503840494051303</v>
      </c>
      <c r="AJ2670">
        <v>90.318989115093004</v>
      </c>
      <c r="AK2670">
        <v>25.385978538517001</v>
      </c>
      <c r="AL2670">
        <v>83.910404546630403</v>
      </c>
      <c r="AM2670">
        <v>90.076460798851897</v>
      </c>
      <c r="AN2670">
        <v>0.99999996057504303</v>
      </c>
    </row>
    <row r="2671" spans="1:40" x14ac:dyDescent="0.3">
      <c r="A2671" t="str">
        <f>"20200111160504010"</f>
        <v>20200111160504010</v>
      </c>
      <c r="B2671" t="str">
        <f>"1578729904004168"</f>
        <v>1578729904004168</v>
      </c>
      <c r="C2671" t="s">
        <v>40</v>
      </c>
      <c r="D2671">
        <v>5.0527959999999998</v>
      </c>
      <c r="E2671">
        <v>0.50345549999999994</v>
      </c>
      <c r="F2671" t="s">
        <v>61</v>
      </c>
      <c r="G2671">
        <v>-428.62220000000002</v>
      </c>
      <c r="H2671" s="1">
        <v>2.3365189999999999E-6</v>
      </c>
      <c r="I2671">
        <v>215.7448</v>
      </c>
      <c r="J2671">
        <v>-457.50049999999999</v>
      </c>
      <c r="K2671">
        <v>1.1090180000000001</v>
      </c>
      <c r="L2671">
        <v>214.7182</v>
      </c>
      <c r="M2671">
        <v>0.99961230000000001</v>
      </c>
      <c r="N2671">
        <v>0</v>
      </c>
      <c r="O2671">
        <v>2.7590239999999999E-2</v>
      </c>
      <c r="P2671">
        <v>0.99407500000000004</v>
      </c>
      <c r="Q2671">
        <v>0.1054636</v>
      </c>
      <c r="R2671">
        <v>2.631095E-2</v>
      </c>
      <c r="S2671">
        <v>3.025665</v>
      </c>
      <c r="T2671">
        <v>-0.115111</v>
      </c>
      <c r="U2671">
        <v>0.1072388</v>
      </c>
      <c r="V2671">
        <v>1.292189E-3</v>
      </c>
      <c r="W2671">
        <v>0.109183</v>
      </c>
      <c r="X2671">
        <v>0.99402080000000004</v>
      </c>
      <c r="Y2671">
        <v>-7.8484450000000008E-3</v>
      </c>
      <c r="Z2671">
        <v>-8.9954179999999996E-4</v>
      </c>
      <c r="AA2671">
        <v>0.99996879999999999</v>
      </c>
      <c r="AB2671">
        <v>25</v>
      </c>
      <c r="AC2671">
        <v>28.8782999999999</v>
      </c>
      <c r="AD2671">
        <v>-1.109015663481</v>
      </c>
      <c r="AE2671">
        <v>1.0266</v>
      </c>
      <c r="AF2671">
        <v>-0.22910690913985399</v>
      </c>
      <c r="AG2671">
        <v>-1.109015663481</v>
      </c>
      <c r="AH2671">
        <v>28.853131911372099</v>
      </c>
      <c r="AI2671">
        <v>92.201100838844098</v>
      </c>
      <c r="AJ2671">
        <v>90.454944825938995</v>
      </c>
      <c r="AK2671">
        <v>28.875346349657899</v>
      </c>
      <c r="AL2671">
        <v>83.731778583124793</v>
      </c>
      <c r="AM2671">
        <v>89.925517721230506</v>
      </c>
      <c r="AN2671">
        <v>0.99999997403702501</v>
      </c>
    </row>
    <row r="2672" spans="1:40" x14ac:dyDescent="0.3">
      <c r="A2672" t="str">
        <f>"20200111160504030"</f>
        <v>20200111160504030</v>
      </c>
      <c r="B2672" t="str">
        <f>"1578729904023688"</f>
        <v>1578729904023688</v>
      </c>
      <c r="C2672" t="s">
        <v>40</v>
      </c>
      <c r="D2672">
        <v>4.8466930000000001</v>
      </c>
      <c r="E2672">
        <v>0.50337449999999995</v>
      </c>
      <c r="F2672" t="s">
        <v>61</v>
      </c>
      <c r="G2672">
        <v>-434.0324</v>
      </c>
      <c r="H2672" s="1">
        <v>3.924513E-6</v>
      </c>
      <c r="I2672">
        <v>215.53919999999999</v>
      </c>
      <c r="J2672">
        <v>-457.26389999999998</v>
      </c>
      <c r="K2672">
        <v>1.1090139999999999</v>
      </c>
      <c r="L2672">
        <v>214.72380000000001</v>
      </c>
      <c r="M2672">
        <v>0.99963670000000004</v>
      </c>
      <c r="N2672">
        <v>0</v>
      </c>
      <c r="O2672">
        <v>2.6728600000000002E-2</v>
      </c>
      <c r="P2672">
        <v>0.99386260000000004</v>
      </c>
      <c r="Q2672">
        <v>0.10814989999999999</v>
      </c>
      <c r="R2672">
        <v>2.3259910000000002E-2</v>
      </c>
      <c r="S2672">
        <v>3.0302730000000002</v>
      </c>
      <c r="T2672">
        <v>-0.14319899999999999</v>
      </c>
      <c r="U2672">
        <v>0.10600279999999999</v>
      </c>
      <c r="V2672">
        <v>3.4785110000000001E-3</v>
      </c>
      <c r="W2672">
        <v>0.1116298</v>
      </c>
      <c r="X2672">
        <v>0.99374379999999995</v>
      </c>
      <c r="Y2672">
        <v>-8.2555470000000002E-3</v>
      </c>
      <c r="Z2672">
        <v>-1.0668539999999999E-3</v>
      </c>
      <c r="AA2672">
        <v>0.9999654</v>
      </c>
      <c r="AB2672">
        <v>25</v>
      </c>
      <c r="AC2672">
        <v>23.231499999999901</v>
      </c>
      <c r="AD2672">
        <v>-1.109010075487</v>
      </c>
      <c r="AE2672">
        <v>0.81539999999998203</v>
      </c>
      <c r="AF2672">
        <v>-0.19371855099312801</v>
      </c>
      <c r="AG2672">
        <v>-1.109010075487</v>
      </c>
      <c r="AH2672">
        <v>23.1922079239773</v>
      </c>
      <c r="AI2672">
        <v>92.737601390081807</v>
      </c>
      <c r="AJ2672">
        <v>90.4785657884335</v>
      </c>
      <c r="AK2672">
        <v>23.219516330309801</v>
      </c>
      <c r="AL2672">
        <v>83.590725236905996</v>
      </c>
      <c r="AM2672">
        <v>89.799442084287307</v>
      </c>
      <c r="AN2672">
        <v>1.0000000261626201</v>
      </c>
    </row>
    <row r="2673" spans="1:40" x14ac:dyDescent="0.3">
      <c r="A2673" t="str">
        <f>"20200111160504051"</f>
        <v>20200111160504051</v>
      </c>
      <c r="B2673" t="str">
        <f>"1578729904044185"</f>
        <v>1578729904044185</v>
      </c>
      <c r="C2673" t="s">
        <v>40</v>
      </c>
      <c r="D2673">
        <v>4.9105829999999999</v>
      </c>
      <c r="E2673">
        <v>0.50304839999999995</v>
      </c>
      <c r="F2673" t="s">
        <v>61</v>
      </c>
      <c r="G2673">
        <v>-435.48439999999999</v>
      </c>
      <c r="H2673" s="1">
        <v>4.5768379999999997E-6</v>
      </c>
      <c r="I2673">
        <v>215.4427</v>
      </c>
      <c r="J2673">
        <v>-457.02260000000001</v>
      </c>
      <c r="K2673">
        <v>1.1090180000000001</v>
      </c>
      <c r="L2673">
        <v>214.7294</v>
      </c>
      <c r="M2673">
        <v>0.99965970000000004</v>
      </c>
      <c r="N2673">
        <v>0</v>
      </c>
      <c r="O2673">
        <v>2.5884520000000001E-2</v>
      </c>
      <c r="P2673">
        <v>0.99356120000000003</v>
      </c>
      <c r="Q2673">
        <v>0.11134479999999999</v>
      </c>
      <c r="R2673">
        <v>2.0946409999999999E-2</v>
      </c>
      <c r="S2673">
        <v>3.03302</v>
      </c>
      <c r="T2673">
        <v>-0.15444050000000001</v>
      </c>
      <c r="U2673">
        <v>0.1001129</v>
      </c>
      <c r="V2673">
        <v>4.9442349999999999E-3</v>
      </c>
      <c r="W2673">
        <v>0.11460090000000001</v>
      </c>
      <c r="X2673">
        <v>0.99339929999999999</v>
      </c>
      <c r="Y2673">
        <v>-7.1323360000000004E-3</v>
      </c>
      <c r="Z2673">
        <v>-1.135156E-3</v>
      </c>
      <c r="AA2673">
        <v>0.99997389999999997</v>
      </c>
      <c r="AB2673">
        <v>25</v>
      </c>
      <c r="AC2673">
        <v>21.5382</v>
      </c>
      <c r="AD2673">
        <v>-1.1090134231619999</v>
      </c>
      <c r="AE2673">
        <v>0.71330000000000304</v>
      </c>
      <c r="AF2673">
        <v>-0.15514123865354501</v>
      </c>
      <c r="AG2673">
        <v>-1.1090134231619999</v>
      </c>
      <c r="AH2673">
        <v>21.4925266817684</v>
      </c>
      <c r="AI2673">
        <v>92.953763136262694</v>
      </c>
      <c r="AJ2673">
        <v>90.413575562967495</v>
      </c>
      <c r="AK2673">
        <v>21.521679366239301</v>
      </c>
      <c r="AL2673">
        <v>83.419393822178407</v>
      </c>
      <c r="AM2673">
        <v>89.714836260360002</v>
      </c>
      <c r="AN2673">
        <v>0.99999999049051702</v>
      </c>
    </row>
    <row r="2674" spans="1:40" x14ac:dyDescent="0.3">
      <c r="A2674" t="str">
        <f>"20200111160504073"</f>
        <v>20200111160504073</v>
      </c>
      <c r="B2674" t="str">
        <f>"1578729904064210"</f>
        <v>1578729904064210</v>
      </c>
      <c r="C2674" t="s">
        <v>40</v>
      </c>
      <c r="D2674">
        <v>4.915184</v>
      </c>
      <c r="E2674">
        <v>0.50260109999999902</v>
      </c>
      <c r="F2674" t="s">
        <v>61</v>
      </c>
      <c r="G2674">
        <v>-436.09379999999999</v>
      </c>
      <c r="H2674" s="1">
        <v>4.8504010000000004E-6</v>
      </c>
      <c r="I2674">
        <v>215.4049</v>
      </c>
      <c r="J2674">
        <v>-456.76479999999998</v>
      </c>
      <c r="K2674">
        <v>1.1090120000000001</v>
      </c>
      <c r="L2674">
        <v>214.73519999999999</v>
      </c>
      <c r="M2674">
        <v>0.99968239999999997</v>
      </c>
      <c r="N2674">
        <v>0</v>
      </c>
      <c r="O2674">
        <v>2.501983E-2</v>
      </c>
      <c r="P2674">
        <v>0.99323819999999996</v>
      </c>
      <c r="Q2674">
        <v>0.1146061</v>
      </c>
      <c r="R2674">
        <v>1.8539320000000001E-2</v>
      </c>
      <c r="S2674">
        <v>3.0354000000000001</v>
      </c>
      <c r="T2674">
        <v>-0.1608455</v>
      </c>
      <c r="U2674">
        <v>9.7976679999999997E-2</v>
      </c>
      <c r="V2674">
        <v>6.4832800000000001E-3</v>
      </c>
      <c r="W2674">
        <v>0.11764479999999999</v>
      </c>
      <c r="X2674">
        <v>0.99303459999999999</v>
      </c>
      <c r="Y2674">
        <v>-7.2690589999999996E-3</v>
      </c>
      <c r="Z2674">
        <v>-1.131885E-3</v>
      </c>
      <c r="AA2674">
        <v>0.99997290000000005</v>
      </c>
      <c r="AB2674">
        <v>25</v>
      </c>
      <c r="AC2674">
        <v>20.6709999999999</v>
      </c>
      <c r="AD2674">
        <v>-1.1090071495989999</v>
      </c>
      <c r="AE2674">
        <v>0.66970000000000596</v>
      </c>
      <c r="AF2674">
        <v>-0.15186642237683501</v>
      </c>
      <c r="AG2674">
        <v>-1.1090071495989999</v>
      </c>
      <c r="AH2674">
        <v>20.621989491156398</v>
      </c>
      <c r="AI2674">
        <v>93.078197765439995</v>
      </c>
      <c r="AJ2674">
        <v>90.421935418110095</v>
      </c>
      <c r="AK2674">
        <v>20.652346376174201</v>
      </c>
      <c r="AL2674">
        <v>83.243803460727904</v>
      </c>
      <c r="AM2674">
        <v>89.625935185251606</v>
      </c>
      <c r="AN2674">
        <v>1.0000000243418701</v>
      </c>
    </row>
    <row r="2675" spans="1:40" x14ac:dyDescent="0.3">
      <c r="A2675" t="str">
        <f>"20200111160504097"</f>
        <v>20200111160504097</v>
      </c>
      <c r="B2675" t="str">
        <f>"1578729904094466"</f>
        <v>1578729904094466</v>
      </c>
      <c r="C2675" t="s">
        <v>40</v>
      </c>
      <c r="D2675">
        <v>4.9323819999999996</v>
      </c>
      <c r="E2675">
        <v>0.50219199999999997</v>
      </c>
      <c r="F2675" t="s">
        <v>61</v>
      </c>
      <c r="G2675">
        <v>-436.14690000000002</v>
      </c>
      <c r="H2675" s="1">
        <v>4.8758879999999999E-6</v>
      </c>
      <c r="I2675">
        <v>215.38290000000001</v>
      </c>
      <c r="J2675">
        <v>-456.49709999999999</v>
      </c>
      <c r="K2675">
        <v>1.109008</v>
      </c>
      <c r="L2675">
        <v>214.74090000000001</v>
      </c>
      <c r="M2675">
        <v>0.99970409999999998</v>
      </c>
      <c r="N2675">
        <v>0</v>
      </c>
      <c r="O2675">
        <v>2.4156009999999999E-2</v>
      </c>
      <c r="P2675">
        <v>0.99299269999999995</v>
      </c>
      <c r="Q2675">
        <v>0.11706270000000001</v>
      </c>
      <c r="R2675">
        <v>1.618095E-2</v>
      </c>
      <c r="S2675">
        <v>3.0374759999999998</v>
      </c>
      <c r="T2675">
        <v>-0.16338159999999999</v>
      </c>
      <c r="U2675">
        <v>9.5428470000000001E-2</v>
      </c>
      <c r="V2675">
        <v>7.97626699999999E-3</v>
      </c>
      <c r="W2675">
        <v>0.1198994</v>
      </c>
      <c r="X2675">
        <v>0.99275400000000003</v>
      </c>
      <c r="Y2675">
        <v>-7.2725450000000001E-3</v>
      </c>
      <c r="Z2675">
        <v>-1.1024470000000001E-3</v>
      </c>
      <c r="AA2675">
        <v>0.99997290000000005</v>
      </c>
      <c r="AB2675">
        <v>25</v>
      </c>
      <c r="AC2675">
        <v>20.350199999999901</v>
      </c>
      <c r="AD2675">
        <v>-1.109003124112</v>
      </c>
      <c r="AE2675">
        <v>0.64199999999999502</v>
      </c>
      <c r="AF2675">
        <v>-0.149786618407207</v>
      </c>
      <c r="AG2675">
        <v>-1.109003124112</v>
      </c>
      <c r="AH2675">
        <v>20.299544223965899</v>
      </c>
      <c r="AI2675">
        <v>93.126985026619494</v>
      </c>
      <c r="AJ2675">
        <v>90.422767389039393</v>
      </c>
      <c r="AK2675">
        <v>20.330366933754298</v>
      </c>
      <c r="AL2675">
        <v>83.113703265151102</v>
      </c>
      <c r="AM2675">
        <v>89.539667831057599</v>
      </c>
      <c r="AN2675">
        <v>0.999999995735807</v>
      </c>
    </row>
    <row r="2676" spans="1:40" x14ac:dyDescent="0.3">
      <c r="A2676" t="str">
        <f>"20200111160504119"</f>
        <v>20200111160504119</v>
      </c>
      <c r="B2676" t="str">
        <f>"1578729904113986"</f>
        <v>1578729904113986</v>
      </c>
      <c r="C2676" t="s">
        <v>40</v>
      </c>
      <c r="D2676">
        <v>4.9741099999999996</v>
      </c>
      <c r="E2676">
        <v>0.50162429999999902</v>
      </c>
      <c r="F2676" t="s">
        <v>61</v>
      </c>
      <c r="G2676">
        <v>-436.77510000000001</v>
      </c>
      <c r="H2676" s="1">
        <v>5.157669E-6</v>
      </c>
      <c r="I2676">
        <v>215.3458</v>
      </c>
      <c r="J2676">
        <v>-456.23829999999998</v>
      </c>
      <c r="K2676">
        <v>1.109002</v>
      </c>
      <c r="L2676">
        <v>214.74629999999999</v>
      </c>
      <c r="M2676">
        <v>0.99972399999999995</v>
      </c>
      <c r="N2676">
        <v>0</v>
      </c>
      <c r="O2676">
        <v>2.3345080000000001E-2</v>
      </c>
      <c r="P2676">
        <v>0.9928631</v>
      </c>
      <c r="Q2676">
        <v>0.1183689</v>
      </c>
      <c r="R2676">
        <v>1.45624E-2</v>
      </c>
      <c r="S2676">
        <v>3.039825</v>
      </c>
      <c r="T2676">
        <v>-0.170934</v>
      </c>
      <c r="U2676">
        <v>9.32312E-2</v>
      </c>
      <c r="V2676">
        <v>8.7847089999999999E-3</v>
      </c>
      <c r="W2676">
        <v>0.121034</v>
      </c>
      <c r="X2676">
        <v>0.99260950000000003</v>
      </c>
      <c r="Y2676">
        <v>-7.3382129999999997E-3</v>
      </c>
      <c r="Z2676">
        <v>-1.1050750000000001E-3</v>
      </c>
      <c r="AA2676">
        <v>0.99997250000000004</v>
      </c>
      <c r="AB2676">
        <v>26</v>
      </c>
      <c r="AC2676">
        <v>19.463199999999901</v>
      </c>
      <c r="AD2676">
        <v>-1.1089968423309999</v>
      </c>
      <c r="AE2676">
        <v>0.59950000000000603</v>
      </c>
      <c r="AF2676">
        <v>-0.14449639836592401</v>
      </c>
      <c r="AG2676">
        <v>-1.1089968423309999</v>
      </c>
      <c r="AH2676">
        <v>19.408937199293799</v>
      </c>
      <c r="AI2676">
        <v>93.270146556461697</v>
      </c>
      <c r="AJ2676">
        <v>90.426549931324601</v>
      </c>
      <c r="AK2676">
        <v>19.4411315620148</v>
      </c>
      <c r="AL2676">
        <v>83.048218667650403</v>
      </c>
      <c r="AM2676">
        <v>89.492938955731105</v>
      </c>
      <c r="AN2676">
        <v>1.0000000098792301</v>
      </c>
    </row>
    <row r="2677" spans="1:40" x14ac:dyDescent="0.3">
      <c r="A2677" t="str">
        <f>"20200111160504142"</f>
        <v>20200111160504142</v>
      </c>
      <c r="B2677" t="str">
        <f>"1578729904133506"</f>
        <v>1578729904133506</v>
      </c>
      <c r="C2677" t="s">
        <v>40</v>
      </c>
      <c r="D2677">
        <v>4.9603190000000001</v>
      </c>
      <c r="E2677">
        <v>0.50143019999999905</v>
      </c>
      <c r="F2677" t="s">
        <v>61</v>
      </c>
      <c r="G2677">
        <v>-436.86900000000003</v>
      </c>
      <c r="H2677" s="1">
        <v>5.1995430000000001E-6</v>
      </c>
      <c r="I2677">
        <v>215.3432</v>
      </c>
      <c r="J2677">
        <v>-455.97750000000002</v>
      </c>
      <c r="K2677">
        <v>1.108986</v>
      </c>
      <c r="L2677">
        <v>214.7516</v>
      </c>
      <c r="M2677">
        <v>0.99974269999999998</v>
      </c>
      <c r="N2677">
        <v>0</v>
      </c>
      <c r="O2677">
        <v>2.254432E-2</v>
      </c>
      <c r="P2677">
        <v>0.99282219999999999</v>
      </c>
      <c r="Q2677">
        <v>0.1189013</v>
      </c>
      <c r="R2677">
        <v>1.290143E-2</v>
      </c>
      <c r="S2677">
        <v>3.0409549999999999</v>
      </c>
      <c r="T2677">
        <v>-0.17411090000000001</v>
      </c>
      <c r="U2677">
        <v>9.3719479999999994E-2</v>
      </c>
      <c r="V2677">
        <v>9.6486460000000003E-3</v>
      </c>
      <c r="W2677">
        <v>0.1214165</v>
      </c>
      <c r="X2677">
        <v>0.99255470000000001</v>
      </c>
      <c r="Y2677">
        <v>-8.28628E-3</v>
      </c>
      <c r="Z2677">
        <v>-1.0522649999999999E-3</v>
      </c>
      <c r="AA2677">
        <v>0.99996510000000005</v>
      </c>
      <c r="AB2677">
        <v>26</v>
      </c>
      <c r="AC2677">
        <v>19.1084999999999</v>
      </c>
      <c r="AD2677">
        <v>-1.1089808004570001</v>
      </c>
      <c r="AE2677">
        <v>0.59159999999999902</v>
      </c>
      <c r="AF2677">
        <v>-0.16012134714072901</v>
      </c>
      <c r="AG2677">
        <v>-1.1089808004570001</v>
      </c>
      <c r="AH2677">
        <v>19.0528687263531</v>
      </c>
      <c r="AI2677">
        <v>93.3310508038047</v>
      </c>
      <c r="AJ2677">
        <v>90.4815055178655</v>
      </c>
      <c r="AK2677">
        <v>19.0857874861174</v>
      </c>
      <c r="AL2677">
        <v>83.026139767915296</v>
      </c>
      <c r="AM2677">
        <v>89.443044014519799</v>
      </c>
      <c r="AN2677">
        <v>0.99999994766698497</v>
      </c>
    </row>
    <row r="2678" spans="1:40" x14ac:dyDescent="0.3">
      <c r="A2678" t="str">
        <f>"20200111160504164"</f>
        <v>20200111160504164</v>
      </c>
      <c r="B2678" t="str">
        <f>"1578729904154001"</f>
        <v>1578729904154001</v>
      </c>
      <c r="C2678" t="s">
        <v>40</v>
      </c>
      <c r="D2678">
        <v>5.0213890000000001</v>
      </c>
      <c r="E2678">
        <v>0.50096300000000005</v>
      </c>
      <c r="F2678" t="s">
        <v>61</v>
      </c>
      <c r="G2678">
        <v>-437.37740000000002</v>
      </c>
      <c r="H2678" s="1">
        <v>5.4276320000000004E-6</v>
      </c>
      <c r="I2678">
        <v>215.3135</v>
      </c>
      <c r="J2678">
        <v>-455.72390000000001</v>
      </c>
      <c r="K2678">
        <v>1.10897</v>
      </c>
      <c r="L2678">
        <v>214.75649999999999</v>
      </c>
      <c r="M2678">
        <v>0.99976010000000004</v>
      </c>
      <c r="N2678">
        <v>0</v>
      </c>
      <c r="O2678">
        <v>2.1775240000000001E-2</v>
      </c>
      <c r="P2678">
        <v>0.99279799999999996</v>
      </c>
      <c r="Q2678">
        <v>0.11920070000000001</v>
      </c>
      <c r="R2678">
        <v>1.19854E-2</v>
      </c>
      <c r="S2678">
        <v>3.0421749999999999</v>
      </c>
      <c r="T2678">
        <v>-0.18138219999999999</v>
      </c>
      <c r="U2678">
        <v>9.1903689999999996E-2</v>
      </c>
      <c r="V2678">
        <v>9.8003750000000001E-3</v>
      </c>
      <c r="W2678">
        <v>0.1215897</v>
      </c>
      <c r="X2678">
        <v>0.99253210000000003</v>
      </c>
      <c r="Y2678">
        <v>-8.4471909999999997E-3</v>
      </c>
      <c r="Z2678">
        <v>-1.045128E-3</v>
      </c>
      <c r="AA2678">
        <v>0.99996379999999996</v>
      </c>
      <c r="AB2678">
        <v>26</v>
      </c>
      <c r="AC2678">
        <v>18.346499999999899</v>
      </c>
      <c r="AD2678">
        <v>-1.1089645723679999</v>
      </c>
      <c r="AE2678">
        <v>0.55700000000001604</v>
      </c>
      <c r="AF2678">
        <v>-0.156795025037168</v>
      </c>
      <c r="AG2678">
        <v>-1.1089645723679999</v>
      </c>
      <c r="AH2678">
        <v>18.287523723168398</v>
      </c>
      <c r="AI2678">
        <v>93.470068003516005</v>
      </c>
      <c r="AJ2678">
        <v>90.491235073393497</v>
      </c>
      <c r="AK2678">
        <v>18.321787877499599</v>
      </c>
      <c r="AL2678">
        <v>83.016142685982203</v>
      </c>
      <c r="AM2678">
        <v>89.434273332661107</v>
      </c>
      <c r="AN2678">
        <v>1.0000000360133099</v>
      </c>
    </row>
    <row r="2679" spans="1:40" x14ac:dyDescent="0.3">
      <c r="A2679" t="str">
        <f>"20200111160504186"</f>
        <v>20200111160504186</v>
      </c>
      <c r="B2679" t="str">
        <f>"1578729904174028"</f>
        <v>1578729904174028</v>
      </c>
      <c r="C2679" t="s">
        <v>40</v>
      </c>
      <c r="D2679">
        <v>4.9917259999999999</v>
      </c>
      <c r="E2679">
        <v>0.50069560000000002</v>
      </c>
      <c r="F2679" t="s">
        <v>61</v>
      </c>
      <c r="G2679">
        <v>-437.74680000000001</v>
      </c>
      <c r="H2679" s="1">
        <v>5.59196199999999E-6</v>
      </c>
      <c r="I2679">
        <v>215.3075</v>
      </c>
      <c r="J2679">
        <v>-455.45620000000002</v>
      </c>
      <c r="K2679">
        <v>1.1089439999999999</v>
      </c>
      <c r="L2679">
        <v>214.76150000000001</v>
      </c>
      <c r="M2679">
        <v>0.99977760000000004</v>
      </c>
      <c r="N2679">
        <v>0</v>
      </c>
      <c r="O2679">
        <v>2.096802E-2</v>
      </c>
      <c r="P2679">
        <v>0.99267939999999999</v>
      </c>
      <c r="Q2679">
        <v>0.120147699999999</v>
      </c>
      <c r="R2679">
        <v>1.2348319999999999E-2</v>
      </c>
      <c r="S2679">
        <v>3.0431520000000001</v>
      </c>
      <c r="T2679">
        <v>-0.18772459999999999</v>
      </c>
      <c r="U2679">
        <v>9.3276979999999995E-2</v>
      </c>
      <c r="V2679">
        <v>8.6360949999999999E-3</v>
      </c>
      <c r="W2679">
        <v>0.1224293</v>
      </c>
      <c r="X2679">
        <v>0.99243970000000004</v>
      </c>
      <c r="Y2679">
        <v>-9.6934819999999998E-3</v>
      </c>
      <c r="Z2679">
        <v>-9.9313450000000007E-4</v>
      </c>
      <c r="AA2679">
        <v>0.99995250000000002</v>
      </c>
      <c r="AB2679">
        <v>26</v>
      </c>
      <c r="AC2679">
        <v>17.709399999999999</v>
      </c>
      <c r="AD2679">
        <v>-1.108938408038</v>
      </c>
      <c r="AE2679">
        <v>0.54599999999999205</v>
      </c>
      <c r="AF2679">
        <v>-0.17386685994658099</v>
      </c>
      <c r="AG2679">
        <v>-1.108938408038</v>
      </c>
      <c r="AH2679">
        <v>17.647822042989301</v>
      </c>
      <c r="AI2679">
        <v>93.595400650903798</v>
      </c>
      <c r="AJ2679">
        <v>90.564461436643697</v>
      </c>
      <c r="AK2679">
        <v>17.683483733100498</v>
      </c>
      <c r="AL2679">
        <v>82.967675050910501</v>
      </c>
      <c r="AM2679">
        <v>89.501431365519906</v>
      </c>
      <c r="AN2679">
        <v>1.00000003688571</v>
      </c>
    </row>
    <row r="2680" spans="1:40" x14ac:dyDescent="0.3">
      <c r="A2680" t="str">
        <f>"20200111160504210"</f>
        <v>20200111160504210</v>
      </c>
      <c r="B2680" t="str">
        <f>"1578729904204285"</f>
        <v>1578729904204285</v>
      </c>
      <c r="C2680" t="s">
        <v>40</v>
      </c>
      <c r="D2680">
        <v>4.9951910000000002</v>
      </c>
      <c r="E2680">
        <v>0.50020209999999998</v>
      </c>
      <c r="F2680" t="s">
        <v>61</v>
      </c>
      <c r="G2680">
        <v>-437.72609999999997</v>
      </c>
      <c r="H2680" s="1">
        <v>5.5816920000000001E-6</v>
      </c>
      <c r="I2680">
        <v>215.32</v>
      </c>
      <c r="J2680">
        <v>-455.17939999999999</v>
      </c>
      <c r="K2680">
        <v>1.1089180000000001</v>
      </c>
      <c r="L2680">
        <v>214.7664</v>
      </c>
      <c r="M2680">
        <v>0.99979490000000004</v>
      </c>
      <c r="N2680">
        <v>0</v>
      </c>
      <c r="O2680">
        <v>2.0129919999999999E-2</v>
      </c>
      <c r="P2680">
        <v>0.9924674</v>
      </c>
      <c r="Q2680">
        <v>0.12185699999999999</v>
      </c>
      <c r="R2680">
        <v>1.2625839999999999E-2</v>
      </c>
      <c r="S2680">
        <v>3.0439759999999998</v>
      </c>
      <c r="T2680">
        <v>-0.190387</v>
      </c>
      <c r="U2680">
        <v>9.5886230000000003E-2</v>
      </c>
      <c r="V2680">
        <v>7.5275119999999897E-3</v>
      </c>
      <c r="W2680">
        <v>0.12405289999999999</v>
      </c>
      <c r="X2680">
        <v>0.99224699999999999</v>
      </c>
      <c r="Y2680">
        <v>-1.1375430000000001E-2</v>
      </c>
      <c r="Z2680">
        <v>-9.0202969999999996E-4</v>
      </c>
      <c r="AA2680">
        <v>0.99993489999999996</v>
      </c>
      <c r="AB2680">
        <v>26</v>
      </c>
      <c r="AC2680">
        <v>17.453299999999999</v>
      </c>
      <c r="AD2680">
        <v>-1.1089124183079999</v>
      </c>
      <c r="AE2680">
        <v>0.55359999999998799</v>
      </c>
      <c r="AF2680">
        <v>-0.201341461320096</v>
      </c>
      <c r="AG2680">
        <v>-1.1089124183079999</v>
      </c>
      <c r="AH2680">
        <v>17.390774550732999</v>
      </c>
      <c r="AI2680">
        <v>93.648248092952102</v>
      </c>
      <c r="AJ2680">
        <v>90.663311490823304</v>
      </c>
      <c r="AK2680">
        <v>17.427256370695499</v>
      </c>
      <c r="AL2680">
        <v>82.873934370733096</v>
      </c>
      <c r="AM2680">
        <v>89.565343715720402</v>
      </c>
      <c r="AN2680">
        <v>0.99999994722215801</v>
      </c>
    </row>
    <row r="2681" spans="1:40" x14ac:dyDescent="0.3">
      <c r="A2681" t="str">
        <f>"20200111160504230"</f>
        <v>20200111160504230</v>
      </c>
      <c r="B2681" t="str">
        <f>"1578729904223804"</f>
        <v>1578729904223804</v>
      </c>
      <c r="C2681" t="s">
        <v>40</v>
      </c>
      <c r="D2681">
        <v>5.0519369999999997</v>
      </c>
      <c r="E2681">
        <v>0.50003889999999995</v>
      </c>
      <c r="F2681" t="s">
        <v>61</v>
      </c>
      <c r="G2681">
        <v>-437.58789999999999</v>
      </c>
      <c r="H2681" s="1">
        <v>5.5178760000000003E-6</v>
      </c>
      <c r="I2681">
        <v>215.3486</v>
      </c>
      <c r="J2681">
        <v>-454.92099999999999</v>
      </c>
      <c r="K2681">
        <v>1.108905</v>
      </c>
      <c r="L2681">
        <v>214.77080000000001</v>
      </c>
      <c r="M2681">
        <v>0.9998108</v>
      </c>
      <c r="N2681">
        <v>0</v>
      </c>
      <c r="O2681">
        <v>1.9337110000000001E-2</v>
      </c>
      <c r="P2681">
        <v>0.99240220000000001</v>
      </c>
      <c r="Q2681">
        <v>0.1225237</v>
      </c>
      <c r="R2681">
        <v>1.1235230000000001E-2</v>
      </c>
      <c r="S2681">
        <v>3.045013</v>
      </c>
      <c r="T2681">
        <v>-0.19194729999999999</v>
      </c>
      <c r="U2681">
        <v>0.10078429999999999</v>
      </c>
      <c r="V2681">
        <v>8.1346479999999995E-3</v>
      </c>
      <c r="W2681">
        <v>0.12465610000000001</v>
      </c>
      <c r="X2681">
        <v>0.99216660000000001</v>
      </c>
      <c r="Y2681">
        <v>-1.3758329999999999E-2</v>
      </c>
      <c r="Z2681">
        <v>-7.8416219999999999E-4</v>
      </c>
      <c r="AA2681">
        <v>0.99990500000000004</v>
      </c>
      <c r="AB2681">
        <v>27</v>
      </c>
      <c r="AC2681">
        <v>17.333100000000002</v>
      </c>
      <c r="AD2681">
        <v>-1.1088994821239999</v>
      </c>
      <c r="AE2681">
        <v>0.57779999999999598</v>
      </c>
      <c r="AF2681">
        <v>-0.241531687905465</v>
      </c>
      <c r="AG2681">
        <v>-1.1088994821239999</v>
      </c>
      <c r="AH2681">
        <v>17.270424280956099</v>
      </c>
      <c r="AI2681">
        <v>93.673446349337894</v>
      </c>
      <c r="AJ2681">
        <v>90.801245179937098</v>
      </c>
      <c r="AK2681">
        <v>17.307673167180901</v>
      </c>
      <c r="AL2681">
        <v>82.839103129924297</v>
      </c>
      <c r="AM2681">
        <v>89.530249702934796</v>
      </c>
      <c r="AN2681">
        <v>0.99999993896042505</v>
      </c>
    </row>
    <row r="2682" spans="1:40" x14ac:dyDescent="0.3">
      <c r="A2682" t="str">
        <f>"20200111160504254"</f>
        <v>20200111160504254</v>
      </c>
      <c r="B2682" t="str">
        <f>"1578729904244301"</f>
        <v>1578729904244301</v>
      </c>
      <c r="C2682" t="s">
        <v>40</v>
      </c>
      <c r="D2682">
        <v>5.0486649999999997</v>
      </c>
      <c r="E2682">
        <v>0.50007270000000004</v>
      </c>
      <c r="F2682" t="s">
        <v>61</v>
      </c>
      <c r="G2682">
        <v>-437.2525</v>
      </c>
      <c r="H2682" s="1">
        <v>5.3699680000000002E-6</v>
      </c>
      <c r="I2682">
        <v>215.3391</v>
      </c>
      <c r="J2682">
        <v>-454.64190000000002</v>
      </c>
      <c r="K2682">
        <v>1.108876</v>
      </c>
      <c r="L2682">
        <v>214.77529999999999</v>
      </c>
      <c r="M2682">
        <v>0.99982769999999999</v>
      </c>
      <c r="N2682">
        <v>0</v>
      </c>
      <c r="O2682">
        <v>1.8445219999999998E-2</v>
      </c>
      <c r="P2682">
        <v>0.99259560000000002</v>
      </c>
      <c r="Q2682">
        <v>0.12120060000000001</v>
      </c>
      <c r="R2682">
        <v>8.0380380000000008E-3</v>
      </c>
      <c r="S2682">
        <v>3.045471</v>
      </c>
      <c r="T2682">
        <v>-0.19113810000000001</v>
      </c>
      <c r="U2682">
        <v>9.7961430000000002E-2</v>
      </c>
      <c r="V2682">
        <v>1.045624E-2</v>
      </c>
      <c r="W2682">
        <v>0.12327920000000001</v>
      </c>
      <c r="X2682">
        <v>0.992317</v>
      </c>
      <c r="Y2682">
        <v>-1.3717740000000001E-2</v>
      </c>
      <c r="Z2682">
        <v>-7.2614139999999897E-4</v>
      </c>
      <c r="AA2682">
        <v>0.99990559999999995</v>
      </c>
      <c r="AB2682">
        <v>27</v>
      </c>
      <c r="AC2682">
        <v>17.389399999999998</v>
      </c>
      <c r="AD2682">
        <v>-1.1088706300319999</v>
      </c>
      <c r="AE2682">
        <v>0.56380000000001396</v>
      </c>
      <c r="AF2682">
        <v>-0.241969205626519</v>
      </c>
      <c r="AG2682">
        <v>-1.1088706300319999</v>
      </c>
      <c r="AH2682">
        <v>17.326461511862401</v>
      </c>
      <c r="AI2682">
        <v>93.661504073754699</v>
      </c>
      <c r="AJ2682">
        <v>90.800100647553506</v>
      </c>
      <c r="AK2682">
        <v>17.363594434697799</v>
      </c>
      <c r="AL2682">
        <v>82.918607842982397</v>
      </c>
      <c r="AM2682">
        <v>89.396285410896098</v>
      </c>
      <c r="AN2682">
        <v>1.00000006129828</v>
      </c>
    </row>
    <row r="2683" spans="1:40" x14ac:dyDescent="0.3">
      <c r="A2683" t="str">
        <f>"20200111160504276"</f>
        <v>20200111160504276</v>
      </c>
      <c r="B2683" t="str">
        <f>"1578729904264796"</f>
        <v>1578729904264796</v>
      </c>
      <c r="C2683" t="s">
        <v>40</v>
      </c>
      <c r="D2683">
        <v>4.9087339999999999</v>
      </c>
      <c r="E2683">
        <v>0.51717849999999999</v>
      </c>
      <c r="F2683" t="s">
        <v>61</v>
      </c>
      <c r="G2683">
        <v>-437.49770000000001</v>
      </c>
      <c r="H2683" s="1">
        <v>5.4851189999999997E-6</v>
      </c>
      <c r="I2683">
        <v>215.26570000000001</v>
      </c>
      <c r="J2683">
        <v>-454.38569999999999</v>
      </c>
      <c r="K2683">
        <v>1.1088089999999999</v>
      </c>
      <c r="L2683">
        <v>214.7791</v>
      </c>
      <c r="M2683">
        <v>0.9998437</v>
      </c>
      <c r="N2683">
        <v>0</v>
      </c>
      <c r="O2683">
        <v>1.7558319999999999E-2</v>
      </c>
      <c r="P2683">
        <v>0.99312990000000001</v>
      </c>
      <c r="Q2683">
        <v>0.1169259</v>
      </c>
      <c r="R2683">
        <v>4.6461430000000001E-3</v>
      </c>
      <c r="S2683">
        <v>3.045715</v>
      </c>
      <c r="T2683">
        <v>-0.1969938</v>
      </c>
      <c r="U2683">
        <v>8.7127689999999994E-2</v>
      </c>
      <c r="V2683">
        <v>1.2983949999999999E-2</v>
      </c>
      <c r="W2683">
        <v>0.11897199999999999</v>
      </c>
      <c r="X2683">
        <v>0.99281269999999999</v>
      </c>
      <c r="Y2683">
        <v>-1.1052940000000001E-2</v>
      </c>
      <c r="Z2683">
        <v>-7.7712449999999998E-4</v>
      </c>
      <c r="AA2683">
        <v>0.99993860000000001</v>
      </c>
      <c r="AB2683">
        <v>27</v>
      </c>
      <c r="AC2683">
        <v>16.887999999999899</v>
      </c>
      <c r="AD2683">
        <v>-1.108803514881</v>
      </c>
      <c r="AE2683">
        <v>0.48660000000000903</v>
      </c>
      <c r="AF2683">
        <v>-0.18918459213587499</v>
      </c>
      <c r="AG2683">
        <v>-1.108803514881</v>
      </c>
      <c r="AH2683">
        <v>16.8214873848016</v>
      </c>
      <c r="AI2683">
        <v>93.771009604867601</v>
      </c>
      <c r="AJ2683">
        <v>90.644355724950302</v>
      </c>
      <c r="AK2683">
        <v>16.8590531727483</v>
      </c>
      <c r="AL2683">
        <v>83.167222417492596</v>
      </c>
      <c r="AM2683">
        <v>89.250731654712794</v>
      </c>
      <c r="AN2683">
        <v>0.999999988511446</v>
      </c>
    </row>
    <row r="2684" spans="1:40" x14ac:dyDescent="0.3">
      <c r="A2684" t="str">
        <f>"20200111160504297"</f>
        <v>20200111160504297</v>
      </c>
      <c r="B2684" t="str">
        <f>"1578729904294077"</f>
        <v>1578729904294077</v>
      </c>
      <c r="C2684" t="s">
        <v>40</v>
      </c>
      <c r="D2684">
        <v>4.8807710000000002</v>
      </c>
      <c r="E2684">
        <v>0.51926359999999905</v>
      </c>
      <c r="F2684" t="s">
        <v>42</v>
      </c>
      <c r="G2684">
        <v>-453.54329999999999</v>
      </c>
      <c r="H2684">
        <v>1.0495760000000001</v>
      </c>
      <c r="I2684">
        <v>214.76249999999999</v>
      </c>
      <c r="J2684">
        <v>-454.11040000000003</v>
      </c>
      <c r="K2684">
        <v>1.1086990000000001</v>
      </c>
      <c r="L2684">
        <v>214.78290000000001</v>
      </c>
      <c r="M2684">
        <v>0.99986200000000003</v>
      </c>
      <c r="N2684">
        <v>0</v>
      </c>
      <c r="O2684">
        <v>1.6492219999999998E-2</v>
      </c>
      <c r="P2684">
        <v>0.99378699999999998</v>
      </c>
      <c r="Q2684">
        <v>0.111294699999999</v>
      </c>
      <c r="R2684">
        <v>1.212252E-3</v>
      </c>
      <c r="S2684">
        <v>3.0462340000000001</v>
      </c>
      <c r="T2684">
        <v>-0.21410789999999999</v>
      </c>
      <c r="U2684">
        <v>-5.9982300000000002E-2</v>
      </c>
      <c r="V2684">
        <v>1.5383000000000001E-2</v>
      </c>
      <c r="W2684">
        <v>0.1133289</v>
      </c>
      <c r="X2684">
        <v>0.99343840000000005</v>
      </c>
      <c r="Y2684">
        <v>3.6043640000000002E-2</v>
      </c>
      <c r="Z2684">
        <v>-2.4226450000000002E-3</v>
      </c>
      <c r="AA2684">
        <v>0.99934730000000005</v>
      </c>
      <c r="AB2684">
        <v>27</v>
      </c>
      <c r="AC2684">
        <v>0.56710000000003902</v>
      </c>
      <c r="AD2684">
        <v>-5.9122999999999801E-2</v>
      </c>
      <c r="AE2684">
        <v>-2.04000000000235E-2</v>
      </c>
      <c r="AF2684">
        <v>2.94305122633934E-2</v>
      </c>
      <c r="AG2684">
        <v>-5.9122999999999801E-2</v>
      </c>
      <c r="AH2684">
        <v>0.56060107357336897</v>
      </c>
      <c r="AI2684">
        <v>96.012145167713896</v>
      </c>
      <c r="AJ2684">
        <v>86.994837058321295</v>
      </c>
      <c r="AK2684">
        <v>0.56447785419155205</v>
      </c>
      <c r="AL2684">
        <v>83.492751840749605</v>
      </c>
      <c r="AM2684">
        <v>89.1128684550457</v>
      </c>
      <c r="AN2684">
        <v>0.99999996542938396</v>
      </c>
    </row>
    <row r="2685" spans="1:40" x14ac:dyDescent="0.3">
      <c r="A2685" t="str">
        <f>"20200111160504330"</f>
        <v>20200111160504330</v>
      </c>
      <c r="B2685" t="str">
        <f>"1578729904324334"</f>
        <v>1578729904324334</v>
      </c>
      <c r="C2685" t="s">
        <v>40</v>
      </c>
      <c r="D2685">
        <v>4.8476249999999999</v>
      </c>
      <c r="E2685">
        <v>0.51979549999999997</v>
      </c>
      <c r="F2685" t="s">
        <v>42</v>
      </c>
      <c r="G2685">
        <v>-453.2998</v>
      </c>
      <c r="H2685">
        <v>1.046327</v>
      </c>
      <c r="I2685">
        <v>214.7593</v>
      </c>
      <c r="J2685">
        <v>-453.71089999999998</v>
      </c>
      <c r="K2685">
        <v>1.108503</v>
      </c>
      <c r="L2685">
        <v>214.7876</v>
      </c>
      <c r="M2685">
        <v>0.99989039999999996</v>
      </c>
      <c r="N2685">
        <v>0</v>
      </c>
      <c r="O2685">
        <v>1.4650760000000001E-2</v>
      </c>
      <c r="P2685">
        <v>0.99439330000000004</v>
      </c>
      <c r="Q2685">
        <v>0.10573639999999999</v>
      </c>
      <c r="R2685">
        <v>1.31259E-3</v>
      </c>
      <c r="S2685">
        <v>3.045105</v>
      </c>
      <c r="T2685">
        <v>-0.23429729999999999</v>
      </c>
      <c r="U2685">
        <v>-8.8226319999999997E-2</v>
      </c>
      <c r="V2685">
        <v>1.349937E-2</v>
      </c>
      <c r="W2685">
        <v>0.107806399999999</v>
      </c>
      <c r="X2685">
        <v>0.99408019999999997</v>
      </c>
      <c r="Y2685">
        <v>4.3431009999999999E-2</v>
      </c>
      <c r="Z2685">
        <v>-2.7934219999999998E-3</v>
      </c>
      <c r="AA2685">
        <v>0.99905250000000001</v>
      </c>
      <c r="AB2685">
        <v>27</v>
      </c>
      <c r="AC2685">
        <v>0.41109999999997598</v>
      </c>
      <c r="AD2685">
        <v>-6.2176000000000002E-2</v>
      </c>
      <c r="AE2685">
        <v>-2.8300000000001501E-2</v>
      </c>
      <c r="AF2685">
        <v>3.3555950213981299E-2</v>
      </c>
      <c r="AG2685">
        <v>-6.2176000000000002E-2</v>
      </c>
      <c r="AH2685">
        <v>0.40150047568271502</v>
      </c>
      <c r="AI2685">
        <v>98.772741633947902</v>
      </c>
      <c r="AJ2685">
        <v>85.222529943882705</v>
      </c>
      <c r="AK2685">
        <v>0.40766958280476401</v>
      </c>
      <c r="AL2685">
        <v>83.8111201548937</v>
      </c>
      <c r="AM2685">
        <v>89.2219849183371</v>
      </c>
      <c r="AN2685">
        <v>0.99999994845169704</v>
      </c>
    </row>
    <row r="2686" spans="1:40" x14ac:dyDescent="0.3">
      <c r="A2686" t="str">
        <f>"20200111160504352"</f>
        <v>20200111160504352</v>
      </c>
      <c r="B2686" t="str">
        <f>"1578729904343853"</f>
        <v>1578729904343853</v>
      </c>
      <c r="C2686" t="s">
        <v>40</v>
      </c>
      <c r="D2686">
        <v>4.8553860000000002</v>
      </c>
      <c r="E2686">
        <v>0.52002139999999997</v>
      </c>
      <c r="F2686" t="s">
        <v>42</v>
      </c>
      <c r="G2686">
        <v>-452.80900000000003</v>
      </c>
      <c r="H2686">
        <v>1.0347230000000001</v>
      </c>
      <c r="I2686">
        <v>214.75880000000001</v>
      </c>
      <c r="J2686">
        <v>-453.42860000000002</v>
      </c>
      <c r="K2686">
        <v>1.1083320000000001</v>
      </c>
      <c r="L2686">
        <v>214.7903</v>
      </c>
      <c r="M2686">
        <v>0.99991180000000002</v>
      </c>
      <c r="N2686">
        <v>0</v>
      </c>
      <c r="O2686">
        <v>1.310354E-2</v>
      </c>
      <c r="P2686">
        <v>0.99483529999999998</v>
      </c>
      <c r="Q2686">
        <v>0.1014515</v>
      </c>
      <c r="R2686">
        <v>3.1975179999999999E-3</v>
      </c>
      <c r="S2686">
        <v>3.043488</v>
      </c>
      <c r="T2686">
        <v>-0.24888489999999999</v>
      </c>
      <c r="U2686">
        <v>-9.5916749999999995E-2</v>
      </c>
      <c r="V2686">
        <v>1.011254E-2</v>
      </c>
      <c r="W2686">
        <v>0.10358439999999999</v>
      </c>
      <c r="X2686">
        <v>0.99456920000000004</v>
      </c>
      <c r="Y2686">
        <v>4.4402339999999998E-2</v>
      </c>
      <c r="Z2686">
        <v>-2.8815970000000001E-3</v>
      </c>
      <c r="AA2686">
        <v>0.99900949999999999</v>
      </c>
      <c r="AB2686">
        <v>28</v>
      </c>
      <c r="AC2686">
        <v>0.61959999999999105</v>
      </c>
      <c r="AD2686">
        <v>-7.36089999999998E-2</v>
      </c>
      <c r="AE2686">
        <v>-3.1499999999993998E-2</v>
      </c>
      <c r="AF2686">
        <v>3.9066321408344297E-2</v>
      </c>
      <c r="AG2686">
        <v>-7.36089999999998E-2</v>
      </c>
      <c r="AH2686">
        <v>0.61053932377503395</v>
      </c>
      <c r="AI2686">
        <v>96.860725157049899</v>
      </c>
      <c r="AJ2686">
        <v>86.338830373181807</v>
      </c>
      <c r="AK2686">
        <v>0.61620023387293199</v>
      </c>
      <c r="AL2686">
        <v>84.054385740338503</v>
      </c>
      <c r="AM2686">
        <v>89.417450393167599</v>
      </c>
      <c r="AN2686">
        <v>0.99999994248862401</v>
      </c>
    </row>
    <row r="2687" spans="1:40" x14ac:dyDescent="0.3">
      <c r="A2687" t="str">
        <f>"20200111160504375"</f>
        <v>20200111160504375</v>
      </c>
      <c r="B2687" t="str">
        <f>"1578729904364349"</f>
        <v>1578729904364349</v>
      </c>
      <c r="C2687" t="s">
        <v>40</v>
      </c>
      <c r="D2687">
        <v>4.876576</v>
      </c>
      <c r="E2687">
        <v>0.51944539999999995</v>
      </c>
      <c r="F2687" t="s">
        <v>42</v>
      </c>
      <c r="G2687">
        <v>-452.5591</v>
      </c>
      <c r="H2687">
        <v>1.034068</v>
      </c>
      <c r="I2687">
        <v>214.76349999999999</v>
      </c>
      <c r="J2687">
        <v>-453.14620000000002</v>
      </c>
      <c r="K2687">
        <v>1.108163</v>
      </c>
      <c r="L2687">
        <v>214.79230000000001</v>
      </c>
      <c r="M2687">
        <v>0.99993299999999996</v>
      </c>
      <c r="N2687">
        <v>0</v>
      </c>
      <c r="O2687">
        <v>1.1366680000000001E-2</v>
      </c>
      <c r="P2687">
        <v>0.99521800000000005</v>
      </c>
      <c r="Q2687">
        <v>9.7504450000000006E-2</v>
      </c>
      <c r="R2687">
        <v>5.8827469999999998E-3</v>
      </c>
      <c r="S2687">
        <v>3.042389</v>
      </c>
      <c r="T2687">
        <v>-0.25985029999999998</v>
      </c>
      <c r="U2687">
        <v>-9.3811039999999998E-2</v>
      </c>
      <c r="V2687">
        <v>5.7323560000000001E-3</v>
      </c>
      <c r="W2687">
        <v>9.9724019999999997E-2</v>
      </c>
      <c r="X2687">
        <v>0.99499859999999896</v>
      </c>
      <c r="Y2687">
        <v>4.1985269999999998E-2</v>
      </c>
      <c r="Z2687">
        <v>-2.7581620000000002E-3</v>
      </c>
      <c r="AA2687">
        <v>0.99911439999999996</v>
      </c>
      <c r="AB2687">
        <v>28</v>
      </c>
      <c r="AC2687">
        <v>0.58710000000002005</v>
      </c>
      <c r="AD2687">
        <v>-7.4094999999999994E-2</v>
      </c>
      <c r="AE2687">
        <v>-2.8800000000018099E-2</v>
      </c>
      <c r="AF2687">
        <v>3.4916724474287002E-2</v>
      </c>
      <c r="AG2687">
        <v>-7.4094999999999994E-2</v>
      </c>
      <c r="AH2687">
        <v>0.57755761707359798</v>
      </c>
      <c r="AI2687">
        <v>97.2973772024976</v>
      </c>
      <c r="AJ2687">
        <v>86.540346960882403</v>
      </c>
      <c r="AK2687">
        <v>0.58333699326610999</v>
      </c>
      <c r="AL2687">
        <v>84.276721319194195</v>
      </c>
      <c r="AM2687">
        <v>89.669912930750101</v>
      </c>
      <c r="AN2687">
        <v>0.99999997703611498</v>
      </c>
    </row>
    <row r="2688" spans="1:40" x14ac:dyDescent="0.3">
      <c r="A2688" t="str">
        <f>"20200111160504397"</f>
        <v>20200111160504397</v>
      </c>
      <c r="B2688" t="str">
        <f>"1578729904393628"</f>
        <v>1578729904393628</v>
      </c>
      <c r="C2688" t="s">
        <v>40</v>
      </c>
      <c r="D2688">
        <v>4.7612740000000002</v>
      </c>
      <c r="E2688">
        <v>0.51931620000000001</v>
      </c>
      <c r="F2688" t="s">
        <v>42</v>
      </c>
      <c r="G2688">
        <v>-452.30720000000002</v>
      </c>
      <c r="H2688">
        <v>1.0346120000000001</v>
      </c>
      <c r="I2688">
        <v>214.7696</v>
      </c>
      <c r="J2688">
        <v>-452.86</v>
      </c>
      <c r="K2688">
        <v>1.108009</v>
      </c>
      <c r="L2688">
        <v>214.7937</v>
      </c>
      <c r="M2688">
        <v>0.99995299999999998</v>
      </c>
      <c r="N2688">
        <v>0</v>
      </c>
      <c r="O2688">
        <v>9.4160689999999991E-3</v>
      </c>
      <c r="P2688">
        <v>0.99550059999999996</v>
      </c>
      <c r="Q2688">
        <v>9.4306500000000001E-2</v>
      </c>
      <c r="R2688">
        <v>9.2261440000000004E-3</v>
      </c>
      <c r="S2688">
        <v>3.0410159999999999</v>
      </c>
      <c r="T2688">
        <v>-0.26659850000000002</v>
      </c>
      <c r="U2688">
        <v>-8.2015989999999997E-2</v>
      </c>
      <c r="V2688">
        <v>4.776828E-4</v>
      </c>
      <c r="W2688">
        <v>9.6636239999999998E-2</v>
      </c>
      <c r="X2688">
        <v>0.99531970000000003</v>
      </c>
      <c r="Y2688">
        <v>3.619679E-2</v>
      </c>
      <c r="Z2688">
        <v>-2.4070939999999998E-3</v>
      </c>
      <c r="AA2688">
        <v>0.99934179999999995</v>
      </c>
      <c r="AB2688">
        <v>28</v>
      </c>
      <c r="AC2688">
        <v>0.55279999999998997</v>
      </c>
      <c r="AD2688">
        <v>-7.3396999999999907E-2</v>
      </c>
      <c r="AE2688">
        <v>-2.4100000000004201E-2</v>
      </c>
      <c r="AF2688">
        <v>2.8797449560807601E-2</v>
      </c>
      <c r="AG2688">
        <v>-7.3396999999999907E-2</v>
      </c>
      <c r="AH2688">
        <v>0.54299443234106604</v>
      </c>
      <c r="AI2688">
        <v>97.687385403999997</v>
      </c>
      <c r="AJ2688">
        <v>86.964189887604604</v>
      </c>
      <c r="AK2688">
        <v>0.54868876994486004</v>
      </c>
      <c r="AL2688">
        <v>84.454497448911795</v>
      </c>
      <c r="AM2688">
        <v>89.972502095271807</v>
      </c>
      <c r="AN2688">
        <v>1.0000000481351401</v>
      </c>
    </row>
    <row r="2689" spans="1:40" x14ac:dyDescent="0.3">
      <c r="A2689" t="str">
        <f>"20200111160504419"</f>
        <v>20200111160504419</v>
      </c>
      <c r="B2689" t="str">
        <f>"1578729904414125"</f>
        <v>1578729904414125</v>
      </c>
      <c r="C2689" t="s">
        <v>40</v>
      </c>
      <c r="D2689">
        <v>4.8485849999999999</v>
      </c>
      <c r="E2689">
        <v>0.5191943</v>
      </c>
      <c r="F2689" t="s">
        <v>42</v>
      </c>
      <c r="G2689">
        <v>-452.05329999999998</v>
      </c>
      <c r="H2689">
        <v>1.036173</v>
      </c>
      <c r="I2689">
        <v>214.77449999999999</v>
      </c>
      <c r="J2689">
        <v>-452.5881</v>
      </c>
      <c r="K2689">
        <v>1.1078969999999999</v>
      </c>
      <c r="L2689">
        <v>214.79429999999999</v>
      </c>
      <c r="M2689">
        <v>0.99996969999999996</v>
      </c>
      <c r="N2689">
        <v>0</v>
      </c>
      <c r="O2689">
        <v>7.4073630000000001E-3</v>
      </c>
      <c r="P2689">
        <v>0.99565950000000003</v>
      </c>
      <c r="Q2689">
        <v>9.2330120000000002E-2</v>
      </c>
      <c r="R2689">
        <v>1.173898E-2</v>
      </c>
      <c r="S2689">
        <v>3.0398559999999999</v>
      </c>
      <c r="T2689">
        <v>-0.27064349999999998</v>
      </c>
      <c r="U2689">
        <v>-7.1731569999999995E-2</v>
      </c>
      <c r="V2689">
        <v>-4.0095240000000004E-3</v>
      </c>
      <c r="W2689">
        <v>9.4785579999999994E-2</v>
      </c>
      <c r="X2689">
        <v>0.99548970000000003</v>
      </c>
      <c r="Y2689">
        <v>3.0843909999999999E-2</v>
      </c>
      <c r="Z2689">
        <v>-2.0282519999999999E-3</v>
      </c>
      <c r="AA2689">
        <v>0.99952209999999997</v>
      </c>
      <c r="AB2689">
        <v>28</v>
      </c>
      <c r="AC2689">
        <v>0.53480000000001804</v>
      </c>
      <c r="AD2689">
        <v>-7.1723999999999899E-2</v>
      </c>
      <c r="AE2689">
        <v>-1.9800000000003599E-2</v>
      </c>
      <c r="AF2689">
        <v>2.3341666117067499E-2</v>
      </c>
      <c r="AG2689">
        <v>-7.1723999999999899E-2</v>
      </c>
      <c r="AH2689">
        <v>0.52520500252854296</v>
      </c>
      <c r="AI2689">
        <v>97.768850997476505</v>
      </c>
      <c r="AJ2689">
        <v>87.455280374497505</v>
      </c>
      <c r="AK2689">
        <v>0.53059349810766299</v>
      </c>
      <c r="AL2689">
        <v>84.561021579347596</v>
      </c>
      <c r="AM2689">
        <v>90.230768395520599</v>
      </c>
      <c r="AN2689">
        <v>1.00000006263236</v>
      </c>
    </row>
    <row r="2690" spans="1:40" x14ac:dyDescent="0.3">
      <c r="A2690" t="str">
        <f>"20200111160504442"</f>
        <v>20200111160504442</v>
      </c>
      <c r="B2690" t="str">
        <f>"1578729904433645"</f>
        <v>1578729904433645</v>
      </c>
      <c r="C2690" t="s">
        <v>40</v>
      </c>
      <c r="D2690">
        <v>5.3743559999999997</v>
      </c>
      <c r="E2690">
        <v>0.51937489999999997</v>
      </c>
      <c r="F2690" t="s">
        <v>42</v>
      </c>
      <c r="G2690">
        <v>-451.79840000000002</v>
      </c>
      <c r="H2690">
        <v>1.0373410000000001</v>
      </c>
      <c r="I2690">
        <v>214.77770000000001</v>
      </c>
      <c r="J2690">
        <v>-452.29020000000003</v>
      </c>
      <c r="K2690">
        <v>1.1077980000000001</v>
      </c>
      <c r="L2690">
        <v>214.79429999999999</v>
      </c>
      <c r="M2690">
        <v>0.99998370000000003</v>
      </c>
      <c r="N2690">
        <v>0</v>
      </c>
      <c r="O2690">
        <v>5.0776340000000001E-3</v>
      </c>
      <c r="P2690">
        <v>0.99556199999999995</v>
      </c>
      <c r="Q2690">
        <v>9.3326759999999995E-2</v>
      </c>
      <c r="R2690">
        <v>1.210161E-2</v>
      </c>
      <c r="S2690">
        <v>3.0389710000000001</v>
      </c>
      <c r="T2690">
        <v>-0.27140409999999998</v>
      </c>
      <c r="U2690">
        <v>-6.2438960000000002E-2</v>
      </c>
      <c r="V2690">
        <v>-6.660366E-3</v>
      </c>
      <c r="W2690">
        <v>9.5937120000000001E-2</v>
      </c>
      <c r="X2690">
        <v>0.9953651</v>
      </c>
      <c r="Y2690">
        <v>2.549643E-2</v>
      </c>
      <c r="Z2690">
        <v>-1.588667E-3</v>
      </c>
      <c r="AA2690">
        <v>0.9996737</v>
      </c>
      <c r="AB2690">
        <v>28</v>
      </c>
      <c r="AC2690">
        <v>0.49180000000001201</v>
      </c>
      <c r="AD2690">
        <v>-7.0456999999999895E-2</v>
      </c>
      <c r="AE2690">
        <v>-1.6599999999982601E-2</v>
      </c>
      <c r="AF2690">
        <v>1.8713331417425001E-2</v>
      </c>
      <c r="AG2690">
        <v>-7.0456999999999895E-2</v>
      </c>
      <c r="AH2690">
        <v>0.48183130893888199</v>
      </c>
      <c r="AI2690">
        <v>98.313079322459302</v>
      </c>
      <c r="AJ2690">
        <v>87.775868267330793</v>
      </c>
      <c r="AK2690">
        <v>0.48731487551222402</v>
      </c>
      <c r="AL2690">
        <v>84.494740721106496</v>
      </c>
      <c r="AM2690">
        <v>90.383382104193402</v>
      </c>
      <c r="AN2690">
        <v>0.99999998688357905</v>
      </c>
    </row>
    <row r="2691" spans="1:40" x14ac:dyDescent="0.3">
      <c r="A2691" t="str">
        <f>"20200111160504463"</f>
        <v>20200111160504463</v>
      </c>
      <c r="B2691" t="str">
        <f>"1578729904454141"</f>
        <v>1578729904454141</v>
      </c>
      <c r="C2691" t="s">
        <v>40</v>
      </c>
      <c r="D2691">
        <v>4.8128630000000001</v>
      </c>
      <c r="E2691">
        <v>0.51977220000000002</v>
      </c>
      <c r="F2691" t="s">
        <v>42</v>
      </c>
      <c r="G2691">
        <v>-451.54059999999998</v>
      </c>
      <c r="H2691">
        <v>1.0421199999999999</v>
      </c>
      <c r="I2691">
        <v>214.77889999999999</v>
      </c>
      <c r="J2691">
        <v>-452.01400000000001</v>
      </c>
      <c r="K2691">
        <v>1.1077330000000001</v>
      </c>
      <c r="L2691">
        <v>214.79349999999999</v>
      </c>
      <c r="M2691">
        <v>0.9999922</v>
      </c>
      <c r="N2691">
        <v>0</v>
      </c>
      <c r="O2691">
        <v>2.8343130000000002E-3</v>
      </c>
      <c r="P2691">
        <v>0.99550419999999995</v>
      </c>
      <c r="Q2691">
        <v>9.414119E-2</v>
      </c>
      <c r="R2691">
        <v>1.043579E-2</v>
      </c>
      <c r="S2691">
        <v>3.0390630000000001</v>
      </c>
      <c r="T2691">
        <v>-0.26615290000000003</v>
      </c>
      <c r="U2691">
        <v>-6.1523439999999999E-2</v>
      </c>
      <c r="V2691">
        <v>-7.2050300000000003E-3</v>
      </c>
      <c r="W2691">
        <v>9.6912449999999997E-2</v>
      </c>
      <c r="X2691">
        <v>0.99526689999999995</v>
      </c>
      <c r="Y2691">
        <v>2.2974990000000001E-2</v>
      </c>
      <c r="Z2691">
        <v>-1.2517439999999999E-3</v>
      </c>
      <c r="AA2691">
        <v>0.99973520000000005</v>
      </c>
      <c r="AB2691">
        <v>28</v>
      </c>
      <c r="AC2691">
        <v>0.47340000000002602</v>
      </c>
      <c r="AD2691">
        <v>-6.5612999999999894E-2</v>
      </c>
      <c r="AE2691">
        <v>-1.4600000000001501E-2</v>
      </c>
      <c r="AF2691">
        <v>1.5641524859327901E-2</v>
      </c>
      <c r="AG2691">
        <v>-6.5612999999999894E-2</v>
      </c>
      <c r="AH2691">
        <v>0.46444332295794</v>
      </c>
      <c r="AI2691">
        <v>98.036600093589996</v>
      </c>
      <c r="AJ2691">
        <v>88.071121442701596</v>
      </c>
      <c r="AK2691">
        <v>0.469315803387376</v>
      </c>
      <c r="AL2691">
        <v>84.438597267356002</v>
      </c>
      <c r="AM2691">
        <v>90.414773764630297</v>
      </c>
      <c r="AN2691">
        <v>1.0000000688289501</v>
      </c>
    </row>
    <row r="2692" spans="1:40" x14ac:dyDescent="0.3">
      <c r="A2692" t="str">
        <f>"20200111160504487"</f>
        <v>20200111160504487</v>
      </c>
      <c r="B2692" t="str">
        <f>"1578729904483421"</f>
        <v>1578729904483421</v>
      </c>
      <c r="C2692" t="s">
        <v>40</v>
      </c>
      <c r="D2692">
        <v>4.7278419999999999</v>
      </c>
      <c r="E2692">
        <v>0.52024239999999999</v>
      </c>
      <c r="F2692" t="s">
        <v>42</v>
      </c>
      <c r="G2692">
        <v>-451.28160000000003</v>
      </c>
      <c r="H2692">
        <v>1.0453319999999999</v>
      </c>
      <c r="I2692">
        <v>214.77690000000001</v>
      </c>
      <c r="J2692">
        <v>-451.72820000000002</v>
      </c>
      <c r="K2692">
        <v>1.107674</v>
      </c>
      <c r="L2692">
        <v>214.7919</v>
      </c>
      <c r="M2692">
        <v>0.99999550000000004</v>
      </c>
      <c r="N2692">
        <v>0</v>
      </c>
      <c r="O2692">
        <v>4.6132299999999997E-4</v>
      </c>
      <c r="P2692">
        <v>0.9956796</v>
      </c>
      <c r="Q2692">
        <v>9.2615279999999994E-2</v>
      </c>
      <c r="R2692">
        <v>6.664105E-3</v>
      </c>
      <c r="S2692">
        <v>3.0387569999999999</v>
      </c>
      <c r="T2692">
        <v>-0.25888929999999999</v>
      </c>
      <c r="U2692">
        <v>-6.8374630000000006E-2</v>
      </c>
      <c r="V2692">
        <v>-5.7872569999999996E-3</v>
      </c>
      <c r="W2692">
        <v>9.556974E-2</v>
      </c>
      <c r="X2692">
        <v>0.99540589999999995</v>
      </c>
      <c r="Y2692">
        <v>2.2871880000000001E-2</v>
      </c>
      <c r="Z2692">
        <v>-1.0116369999999999E-3</v>
      </c>
      <c r="AA2692">
        <v>0.99973789999999996</v>
      </c>
      <c r="AB2692">
        <v>28</v>
      </c>
      <c r="AC2692">
        <v>0.44659999999998901</v>
      </c>
      <c r="AD2692">
        <v>-6.2342000000000099E-2</v>
      </c>
      <c r="AE2692">
        <v>-1.49999999999863E-2</v>
      </c>
      <c r="AF2692">
        <v>1.4915705348058901E-2</v>
      </c>
      <c r="AG2692">
        <v>-6.2342000000000099E-2</v>
      </c>
      <c r="AH2692">
        <v>0.43806646222543899</v>
      </c>
      <c r="AI2692">
        <v>98.094846942685905</v>
      </c>
      <c r="AJ2692">
        <v>88.049891944358293</v>
      </c>
      <c r="AK2692">
        <v>0.44273155360414701</v>
      </c>
      <c r="AL2692">
        <v>84.515887210059006</v>
      </c>
      <c r="AM2692">
        <v>90.3331120149344</v>
      </c>
      <c r="AN2692">
        <v>0.99999998665102996</v>
      </c>
    </row>
    <row r="2693" spans="1:40" x14ac:dyDescent="0.3">
      <c r="A2693" t="str">
        <f>"20200111160504508"</f>
        <v>20200111160504508</v>
      </c>
      <c r="B2693" t="str">
        <f>"1578729904503916"</f>
        <v>1578729904503916</v>
      </c>
      <c r="C2693" t="s">
        <v>40</v>
      </c>
      <c r="D2693">
        <v>3.75135</v>
      </c>
      <c r="E2693">
        <v>0.52026899999999998</v>
      </c>
      <c r="F2693" t="s">
        <v>42</v>
      </c>
      <c r="G2693">
        <v>-450.77440000000001</v>
      </c>
      <c r="H2693">
        <v>1.0272749999999999</v>
      </c>
      <c r="I2693">
        <v>214.7654</v>
      </c>
      <c r="J2693">
        <v>-451.43970000000002</v>
      </c>
      <c r="K2693">
        <v>1.1076299999999999</v>
      </c>
      <c r="L2693">
        <v>214.78960000000001</v>
      </c>
      <c r="M2693">
        <v>0.99999309999999997</v>
      </c>
      <c r="N2693">
        <v>0</v>
      </c>
      <c r="O2693">
        <v>-1.9607499999999998E-3</v>
      </c>
      <c r="P2693">
        <v>0.99600710000000003</v>
      </c>
      <c r="Q2693">
        <v>8.9265929999999993E-2</v>
      </c>
      <c r="R2693">
        <v>1.3019310000000001E-3</v>
      </c>
      <c r="S2693">
        <v>3.0373839999999999</v>
      </c>
      <c r="T2693">
        <v>-0.25586370000000003</v>
      </c>
      <c r="U2693">
        <v>-8.2626340000000006E-2</v>
      </c>
      <c r="V2693">
        <v>-2.8414780000000001E-3</v>
      </c>
      <c r="W2693">
        <v>9.2418029999999998E-2</v>
      </c>
      <c r="X2693">
        <v>0.99571620000000005</v>
      </c>
      <c r="Y2693">
        <v>2.5150909999999999E-2</v>
      </c>
      <c r="Z2693">
        <v>-8.9241899999999998E-4</v>
      </c>
      <c r="AA2693">
        <v>0.99968330000000005</v>
      </c>
      <c r="AB2693">
        <v>29</v>
      </c>
      <c r="AC2693">
        <v>0.665300000000002</v>
      </c>
      <c r="AD2693">
        <v>-8.0354999999999899E-2</v>
      </c>
      <c r="AE2693">
        <v>-2.42000000000075E-2</v>
      </c>
      <c r="AF2693">
        <v>2.2566695827342199E-2</v>
      </c>
      <c r="AG2693">
        <v>-8.0354999999999899E-2</v>
      </c>
      <c r="AH2693">
        <v>0.65579222535096704</v>
      </c>
      <c r="AI2693">
        <v>96.981606375424093</v>
      </c>
      <c r="AJ2693">
        <v>88.029152549663905</v>
      </c>
      <c r="AK2693">
        <v>0.66108216177441803</v>
      </c>
      <c r="AL2693">
        <v>84.697269844473695</v>
      </c>
      <c r="AM2693">
        <v>90.163504676374203</v>
      </c>
      <c r="AN2693">
        <v>0.99999995860437096</v>
      </c>
    </row>
    <row r="2694" spans="1:40" x14ac:dyDescent="0.3">
      <c r="A2694" t="str">
        <f>"20200111160504532"</f>
        <v>20200111160504532</v>
      </c>
      <c r="B2694" t="str">
        <f>"1578729904523437"</f>
        <v>1578729904523437</v>
      </c>
      <c r="C2694" t="s">
        <v>40</v>
      </c>
      <c r="D2694">
        <v>4.0495409999999996</v>
      </c>
      <c r="E2694">
        <v>0.5182852</v>
      </c>
      <c r="F2694" t="s">
        <v>42</v>
      </c>
      <c r="G2694">
        <v>-450.51479999999998</v>
      </c>
      <c r="H2694">
        <v>1.0270589999999999</v>
      </c>
      <c r="I2694">
        <v>214.75960000000001</v>
      </c>
      <c r="J2694">
        <v>-451.13499999999999</v>
      </c>
      <c r="K2694">
        <v>1.107607</v>
      </c>
      <c r="L2694">
        <v>214.78639999999999</v>
      </c>
      <c r="M2694">
        <v>0.99998399999999998</v>
      </c>
      <c r="N2694">
        <v>0</v>
      </c>
      <c r="O2694">
        <v>-4.5282680000000002E-3</v>
      </c>
      <c r="P2694">
        <v>0.99633859999999996</v>
      </c>
      <c r="Q2694">
        <v>8.5392830000000003E-2</v>
      </c>
      <c r="R2694">
        <v>-4.1939389999999998E-3</v>
      </c>
      <c r="S2694">
        <v>3.0358580000000002</v>
      </c>
      <c r="T2694">
        <v>-0.26446439999999999</v>
      </c>
      <c r="U2694">
        <v>-9.8083500000000004E-2</v>
      </c>
      <c r="V2694" s="1">
        <v>8.5745010000000001E-5</v>
      </c>
      <c r="W2694">
        <v>8.8759599999999994E-2</v>
      </c>
      <c r="X2694">
        <v>0.99605310000000002</v>
      </c>
      <c r="Y2694">
        <v>2.7677630000000002E-2</v>
      </c>
      <c r="Z2694">
        <v>-8.0933789999999904E-4</v>
      </c>
      <c r="AA2694">
        <v>0.99961659999999997</v>
      </c>
      <c r="AB2694">
        <v>29</v>
      </c>
      <c r="AC2694">
        <v>0.62020000000001096</v>
      </c>
      <c r="AD2694">
        <v>-8.0547999999999995E-2</v>
      </c>
      <c r="AE2694">
        <v>-2.67999999999801E-2</v>
      </c>
      <c r="AF2694">
        <v>2.3594050673881799E-2</v>
      </c>
      <c r="AG2694">
        <v>-8.0547999999999995E-2</v>
      </c>
      <c r="AH2694">
        <v>0.61004436599270795</v>
      </c>
      <c r="AI2694">
        <v>97.5160594911858</v>
      </c>
      <c r="AJ2694">
        <v>87.785134714371907</v>
      </c>
      <c r="AK2694">
        <v>0.61579118864323301</v>
      </c>
      <c r="AL2694">
        <v>84.907748322646199</v>
      </c>
      <c r="AM2694">
        <v>89.995067705551804</v>
      </c>
      <c r="AN2694">
        <v>1.0000000259819799</v>
      </c>
    </row>
    <row r="2695" spans="1:40" x14ac:dyDescent="0.3">
      <c r="A2695" t="str">
        <f>"20200111160504553"</f>
        <v>20200111160504553</v>
      </c>
      <c r="B2695" t="str">
        <f>"1578729904543933"</f>
        <v>1578729904543933</v>
      </c>
      <c r="C2695" t="s">
        <v>40</v>
      </c>
      <c r="D2695">
        <v>4.7606229999999998</v>
      </c>
      <c r="E2695">
        <v>0.51606030000000003</v>
      </c>
      <c r="F2695" t="s">
        <v>42</v>
      </c>
      <c r="G2695">
        <v>-450.25319999999999</v>
      </c>
      <c r="H2695">
        <v>1.028678</v>
      </c>
      <c r="I2695">
        <v>214.75729999999999</v>
      </c>
      <c r="J2695">
        <v>-450.84890000000001</v>
      </c>
      <c r="K2695">
        <v>1.1075969999999999</v>
      </c>
      <c r="L2695">
        <v>214.78270000000001</v>
      </c>
      <c r="M2695">
        <v>0.99996949999999996</v>
      </c>
      <c r="N2695">
        <v>0</v>
      </c>
      <c r="O2695">
        <v>-6.9382200000000002E-3</v>
      </c>
      <c r="P2695">
        <v>0.99654920000000002</v>
      </c>
      <c r="Q2695">
        <v>8.2450259999999997E-2</v>
      </c>
      <c r="R2695">
        <v>-9.5696500000000007E-3</v>
      </c>
      <c r="S2695">
        <v>3.0338750000000001</v>
      </c>
      <c r="T2695">
        <v>-0.27138499999999999</v>
      </c>
      <c r="U2695">
        <v>-9.8937990000000003E-2</v>
      </c>
      <c r="V2695">
        <v>3.0507030000000001E-3</v>
      </c>
      <c r="W2695">
        <v>8.6020659999999999E-2</v>
      </c>
      <c r="X2695">
        <v>0.99628870000000003</v>
      </c>
      <c r="Y2695">
        <v>2.5584039999999999E-2</v>
      </c>
      <c r="Z2695">
        <v>-5.22468E-4</v>
      </c>
      <c r="AA2695">
        <v>0.99967249999999996</v>
      </c>
      <c r="AB2695">
        <v>29</v>
      </c>
      <c r="AC2695">
        <v>0.59570000000002199</v>
      </c>
      <c r="AD2695">
        <v>-7.8918999999999906E-2</v>
      </c>
      <c r="AE2695">
        <v>-2.5400000000018901E-2</v>
      </c>
      <c r="AF2695">
        <v>2.0900107175297201E-2</v>
      </c>
      <c r="AG2695">
        <v>-7.8918999999999906E-2</v>
      </c>
      <c r="AH2695">
        <v>0.58560249252058505</v>
      </c>
      <c r="AI2695">
        <v>97.6704253346077</v>
      </c>
      <c r="AJ2695">
        <v>87.955985682396204</v>
      </c>
      <c r="AK2695">
        <v>0.59126584738784005</v>
      </c>
      <c r="AL2695">
        <v>85.065280721485607</v>
      </c>
      <c r="AM2695">
        <v>89.8245570183105</v>
      </c>
      <c r="AN2695">
        <v>1.0000000172416501</v>
      </c>
    </row>
    <row r="2696" spans="1:40" x14ac:dyDescent="0.3">
      <c r="A2696" t="str">
        <f>"20200111160504577"</f>
        <v>20200111160504577</v>
      </c>
      <c r="B2696" t="str">
        <f>"1578729904574188"</f>
        <v>1578729904574188</v>
      </c>
      <c r="C2696" t="s">
        <v>40</v>
      </c>
      <c r="D2696">
        <v>4.7854159999999997</v>
      </c>
      <c r="E2696">
        <v>0.51689819999999997</v>
      </c>
      <c r="F2696" t="s">
        <v>42</v>
      </c>
      <c r="G2696">
        <v>-449.99200000000002</v>
      </c>
      <c r="H2696">
        <v>1.027385</v>
      </c>
      <c r="I2696">
        <v>214.75489999999999</v>
      </c>
      <c r="J2696">
        <v>-450.54250000000002</v>
      </c>
      <c r="K2696">
        <v>1.1076010000000001</v>
      </c>
      <c r="L2696">
        <v>214.77799999999999</v>
      </c>
      <c r="M2696">
        <v>0.99994760000000005</v>
      </c>
      <c r="N2696">
        <v>0</v>
      </c>
      <c r="O2696">
        <v>-9.5042849999999995E-3</v>
      </c>
      <c r="P2696">
        <v>0.99669770000000002</v>
      </c>
      <c r="Q2696">
        <v>8.0007380000000003E-2</v>
      </c>
      <c r="R2696">
        <v>-1.3885430000000001E-2</v>
      </c>
      <c r="S2696">
        <v>3.0329280000000001</v>
      </c>
      <c r="T2696">
        <v>-0.28377079999999999</v>
      </c>
      <c r="U2696">
        <v>-9.7351069999999998E-2</v>
      </c>
      <c r="V2696">
        <v>4.8008139999999996E-3</v>
      </c>
      <c r="W2696">
        <v>8.3806629999999993E-2</v>
      </c>
      <c r="X2696">
        <v>0.99647050000000004</v>
      </c>
      <c r="Y2696">
        <v>2.2523809999999998E-2</v>
      </c>
      <c r="Z2696">
        <v>-1.6408579999999999E-4</v>
      </c>
      <c r="AA2696">
        <v>0.99974629999999998</v>
      </c>
      <c r="AB2696">
        <v>29</v>
      </c>
      <c r="AC2696">
        <v>0.55050000000005594</v>
      </c>
      <c r="AD2696">
        <v>-8.0215999999999996E-2</v>
      </c>
      <c r="AE2696">
        <v>-2.3099999999999399E-2</v>
      </c>
      <c r="AF2696">
        <v>1.7495974265419201E-2</v>
      </c>
      <c r="AG2696">
        <v>-8.0215999999999996E-2</v>
      </c>
      <c r="AH2696">
        <v>0.53926470973611995</v>
      </c>
      <c r="AI2696">
        <v>98.456362859932597</v>
      </c>
      <c r="AJ2696">
        <v>88.141740121589507</v>
      </c>
      <c r="AK2696">
        <v>0.54547881988055102</v>
      </c>
      <c r="AL2696">
        <v>85.192595193175904</v>
      </c>
      <c r="AM2696">
        <v>89.723961469773499</v>
      </c>
      <c r="AN2696">
        <v>1.0000000282086301</v>
      </c>
    </row>
    <row r="2697" spans="1:40" x14ac:dyDescent="0.3">
      <c r="A2697" t="str">
        <f>"20200111160504599"</f>
        <v>20200111160504599</v>
      </c>
      <c r="B2697" t="str">
        <f>"1578729904593709"</f>
        <v>1578729904593709</v>
      </c>
      <c r="C2697" t="s">
        <v>40</v>
      </c>
      <c r="D2697">
        <v>4.7469669999999997</v>
      </c>
      <c r="E2697">
        <v>0.5376088</v>
      </c>
      <c r="F2697" t="s">
        <v>42</v>
      </c>
      <c r="G2697">
        <v>-449.72739999999999</v>
      </c>
      <c r="H2697">
        <v>1.031498</v>
      </c>
      <c r="I2697">
        <v>214.7458</v>
      </c>
      <c r="J2697">
        <v>-450.25069999999999</v>
      </c>
      <c r="K2697">
        <v>1.107612</v>
      </c>
      <c r="L2697">
        <v>214.77289999999999</v>
      </c>
      <c r="M2697">
        <v>0.9999207</v>
      </c>
      <c r="N2697">
        <v>0</v>
      </c>
      <c r="O2697">
        <v>-1.1922550000000001E-2</v>
      </c>
      <c r="P2697">
        <v>0.99677969999999905</v>
      </c>
      <c r="Q2697">
        <v>7.8269469999999994E-2</v>
      </c>
      <c r="R2697">
        <v>-1.7445829999999999E-2</v>
      </c>
      <c r="S2697">
        <v>3.0309750000000002</v>
      </c>
      <c r="T2697">
        <v>-0.28288459999999899</v>
      </c>
      <c r="U2697">
        <v>-0.1190338</v>
      </c>
      <c r="V2697">
        <v>5.9437509999999997E-3</v>
      </c>
      <c r="W2697">
        <v>8.2290310000000005E-2</v>
      </c>
      <c r="X2697">
        <v>0.99659070000000005</v>
      </c>
      <c r="Y2697">
        <v>2.72594E-2</v>
      </c>
      <c r="Z2697">
        <v>-1.5899929999999999E-4</v>
      </c>
      <c r="AA2697">
        <v>0.99962839999999997</v>
      </c>
      <c r="AB2697">
        <v>29</v>
      </c>
      <c r="AC2697">
        <v>0.52330000000000598</v>
      </c>
      <c r="AD2697">
        <v>-7.6114000000000001E-2</v>
      </c>
      <c r="AE2697">
        <v>-2.7099999999990101E-2</v>
      </c>
      <c r="AF2697">
        <v>2.04279403997693E-2</v>
      </c>
      <c r="AG2697">
        <v>-7.6114000000000001E-2</v>
      </c>
      <c r="AH2697">
        <v>0.51276697411817995</v>
      </c>
      <c r="AI2697">
        <v>98.436611712205504</v>
      </c>
      <c r="AJ2697">
        <v>87.718620326078707</v>
      </c>
      <c r="AK2697">
        <v>0.51878763621668</v>
      </c>
      <c r="AL2697">
        <v>85.279775074675996</v>
      </c>
      <c r="AM2697">
        <v>89.658287189496306</v>
      </c>
      <c r="AN2697">
        <v>1.0000000233111599</v>
      </c>
    </row>
    <row r="2698" spans="1:40" x14ac:dyDescent="0.3">
      <c r="A2698" t="str">
        <f>"20200111160504621"</f>
        <v>20200111160504621</v>
      </c>
      <c r="B2698" t="str">
        <f>"1578729904614205"</f>
        <v>1578729904614205</v>
      </c>
      <c r="C2698" t="s">
        <v>40</v>
      </c>
      <c r="D2698">
        <v>4.7325749999999998</v>
      </c>
      <c r="E2698">
        <v>0.54004859999999999</v>
      </c>
      <c r="F2698" t="s">
        <v>42</v>
      </c>
      <c r="G2698">
        <v>-449.45069999999998</v>
      </c>
      <c r="H2698">
        <v>1.055329</v>
      </c>
      <c r="I2698">
        <v>214.69110000000001</v>
      </c>
      <c r="J2698">
        <v>-449.96910000000003</v>
      </c>
      <c r="K2698">
        <v>1.107623</v>
      </c>
      <c r="L2698">
        <v>214.7672</v>
      </c>
      <c r="M2698">
        <v>0.99988980000000005</v>
      </c>
      <c r="N2698">
        <v>0</v>
      </c>
      <c r="O2698">
        <v>-1.4227450000000001E-2</v>
      </c>
      <c r="P2698">
        <v>0.99686989999999998</v>
      </c>
      <c r="Q2698">
        <v>7.6507539999999999E-2</v>
      </c>
      <c r="R2698">
        <v>-1.99457E-2</v>
      </c>
      <c r="S2698">
        <v>3.0197750000000001</v>
      </c>
      <c r="T2698">
        <v>-0.1973742</v>
      </c>
      <c r="U2698">
        <v>-0.30694579999999999</v>
      </c>
      <c r="V2698">
        <v>6.1367449999999999E-3</v>
      </c>
      <c r="W2698">
        <v>8.0742889999999998E-2</v>
      </c>
      <c r="X2698">
        <v>0.99671609999999999</v>
      </c>
      <c r="Y2698">
        <v>8.6806099999999997E-2</v>
      </c>
      <c r="Z2698">
        <v>-1.900203E-3</v>
      </c>
      <c r="AA2698">
        <v>0.99622339999999998</v>
      </c>
      <c r="AB2698">
        <v>29</v>
      </c>
      <c r="AC2698">
        <v>0.51840000000004205</v>
      </c>
      <c r="AD2698">
        <v>-5.2293999999999799E-2</v>
      </c>
      <c r="AE2698">
        <v>-7.6099999999996698E-2</v>
      </c>
      <c r="AF2698">
        <v>6.8038967190288804E-2</v>
      </c>
      <c r="AG2698">
        <v>-5.2293999999999799E-2</v>
      </c>
      <c r="AH2698">
        <v>0.51430710093492804</v>
      </c>
      <c r="AI2698">
        <v>95.755989743931494</v>
      </c>
      <c r="AJ2698">
        <v>82.463958836154504</v>
      </c>
      <c r="AK2698">
        <v>0.52141706681351696</v>
      </c>
      <c r="AL2698">
        <v>85.368731792322606</v>
      </c>
      <c r="AM2698">
        <v>89.647236414073703</v>
      </c>
      <c r="AN2698">
        <v>1.0000000289619699</v>
      </c>
    </row>
    <row r="2699" spans="1:40" x14ac:dyDescent="0.3">
      <c r="A2699" t="str">
        <f>"20200111160504644"</f>
        <v>20200111160504644</v>
      </c>
      <c r="B2699" t="str">
        <f>"1578729904633724"</f>
        <v>1578729904633724</v>
      </c>
      <c r="C2699" t="s">
        <v>40</v>
      </c>
      <c r="D2699">
        <v>4.7830370000000002</v>
      </c>
      <c r="E2699">
        <v>0.54075209999999996</v>
      </c>
      <c r="F2699" t="s">
        <v>42</v>
      </c>
      <c r="G2699">
        <v>-449.18439999999998</v>
      </c>
      <c r="H2699">
        <v>1.0575380000000001</v>
      </c>
      <c r="I2699">
        <v>214.6798</v>
      </c>
      <c r="J2699">
        <v>-449.66120000000001</v>
      </c>
      <c r="K2699">
        <v>1.1076440000000001</v>
      </c>
      <c r="L2699">
        <v>214.7603</v>
      </c>
      <c r="M2699">
        <v>0.99985029999999997</v>
      </c>
      <c r="N2699">
        <v>0</v>
      </c>
      <c r="O2699">
        <v>-1.6709709999999999E-2</v>
      </c>
      <c r="P2699">
        <v>0.9968998</v>
      </c>
      <c r="Q2699">
        <v>7.5606140000000002E-2</v>
      </c>
      <c r="R2699">
        <v>-2.1782820000000001E-2</v>
      </c>
      <c r="S2699">
        <v>3.017487</v>
      </c>
      <c r="T2699">
        <v>-0.19260340000000001</v>
      </c>
      <c r="U2699">
        <v>-0.33503719999999998</v>
      </c>
      <c r="V2699">
        <v>5.4929810000000001E-3</v>
      </c>
      <c r="W2699">
        <v>8.0071760000000006E-2</v>
      </c>
      <c r="X2699">
        <v>0.99677400000000005</v>
      </c>
      <c r="Y2699">
        <v>9.3576069999999997E-2</v>
      </c>
      <c r="Z2699">
        <v>-1.912335E-3</v>
      </c>
      <c r="AA2699">
        <v>0.99561029999999995</v>
      </c>
      <c r="AB2699">
        <v>29</v>
      </c>
      <c r="AC2699">
        <v>0.47680000000002498</v>
      </c>
      <c r="AD2699">
        <v>-5.0106000000000199E-2</v>
      </c>
      <c r="AE2699">
        <v>-8.0500000000000599E-2</v>
      </c>
      <c r="AF2699">
        <v>7.1751068006696506E-2</v>
      </c>
      <c r="AG2699">
        <v>-5.0106000000000199E-2</v>
      </c>
      <c r="AH2699">
        <v>0.47299976942786098</v>
      </c>
      <c r="AI2699">
        <v>95.979031305468894</v>
      </c>
      <c r="AJ2699">
        <v>81.374353612338695</v>
      </c>
      <c r="AK2699">
        <v>0.48102765915788198</v>
      </c>
      <c r="AL2699">
        <v>85.407309640136504</v>
      </c>
      <c r="AM2699">
        <v>89.684259980293703</v>
      </c>
      <c r="AN2699">
        <v>1.00000003333288</v>
      </c>
    </row>
    <row r="2700" spans="1:40" x14ac:dyDescent="0.3">
      <c r="A2700" t="str">
        <f>"20200111160504665"</f>
        <v>20200111160504665</v>
      </c>
      <c r="B2700" t="str">
        <f>"1578729904654220"</f>
        <v>1578729904654220</v>
      </c>
      <c r="C2700" t="s">
        <v>40</v>
      </c>
      <c r="D2700">
        <v>4.6897589999999996</v>
      </c>
      <c r="E2700">
        <v>0.54050379999999998</v>
      </c>
      <c r="F2700" t="s">
        <v>61</v>
      </c>
      <c r="G2700">
        <v>-432.76089999999999</v>
      </c>
      <c r="H2700" s="1">
        <v>3.598511E-6</v>
      </c>
      <c r="I2700">
        <v>212.81829999999999</v>
      </c>
      <c r="J2700">
        <v>-449.37189999999998</v>
      </c>
      <c r="K2700">
        <v>1.107674</v>
      </c>
      <c r="L2700">
        <v>214.75319999999999</v>
      </c>
      <c r="M2700">
        <v>0.99980840000000004</v>
      </c>
      <c r="N2700">
        <v>0</v>
      </c>
      <c r="O2700">
        <v>-1.899903E-2</v>
      </c>
      <c r="P2700">
        <v>0.99696530000000005</v>
      </c>
      <c r="Q2700">
        <v>7.4483629999999995E-2</v>
      </c>
      <c r="R2700">
        <v>-2.2640589999999999E-2</v>
      </c>
      <c r="S2700">
        <v>3.0167540000000002</v>
      </c>
      <c r="T2700">
        <v>-0.19771649999999999</v>
      </c>
      <c r="U2700">
        <v>-0.34666439999999998</v>
      </c>
      <c r="V2700">
        <v>4.0587720000000004E-3</v>
      </c>
      <c r="W2700">
        <v>7.9156290000000004E-2</v>
      </c>
      <c r="X2700">
        <v>0.99685389999999996</v>
      </c>
      <c r="Y2700">
        <v>9.5105079999999995E-2</v>
      </c>
      <c r="Z2700">
        <v>-1.863644E-3</v>
      </c>
      <c r="AA2700">
        <v>0.9954655</v>
      </c>
      <c r="AB2700">
        <v>29</v>
      </c>
      <c r="AC2700">
        <v>16.610999999999901</v>
      </c>
      <c r="AD2700">
        <v>-1.107670401489</v>
      </c>
      <c r="AE2700">
        <v>-1.9348999999999901</v>
      </c>
      <c r="AF2700">
        <v>1.6118828814752</v>
      </c>
      <c r="AG2700">
        <v>-1.107670401489</v>
      </c>
      <c r="AH2700">
        <v>16.572060198214999</v>
      </c>
      <c r="AI2700">
        <v>93.806033102861306</v>
      </c>
      <c r="AJ2700">
        <v>84.4445959875097</v>
      </c>
      <c r="AK2700">
        <v>16.687069226056099</v>
      </c>
      <c r="AL2700">
        <v>85.459928832167094</v>
      </c>
      <c r="AM2700">
        <v>89.7667168473114</v>
      </c>
      <c r="AN2700">
        <v>0.999999944910959</v>
      </c>
    </row>
    <row r="2701" spans="1:40" x14ac:dyDescent="0.3">
      <c r="A2701" t="str">
        <f>"20200111160504688"</f>
        <v>20200111160504688</v>
      </c>
      <c r="B2701" t="str">
        <f>"1578729904683500"</f>
        <v>1578729904683500</v>
      </c>
      <c r="C2701" t="s">
        <v>40</v>
      </c>
      <c r="D2701">
        <v>4.7577819999999997</v>
      </c>
      <c r="E2701">
        <v>0.54018319999999997</v>
      </c>
      <c r="F2701" t="s">
        <v>42</v>
      </c>
      <c r="G2701">
        <v>-448.3981</v>
      </c>
      <c r="H2701">
        <v>1.0423290000000001</v>
      </c>
      <c r="I2701">
        <v>214.64089999999999</v>
      </c>
      <c r="J2701">
        <v>-449.06740000000002</v>
      </c>
      <c r="K2701">
        <v>1.107699</v>
      </c>
      <c r="L2701">
        <v>214.745</v>
      </c>
      <c r="M2701">
        <v>0.99975979999999998</v>
      </c>
      <c r="N2701">
        <v>0</v>
      </c>
      <c r="O2701">
        <v>-2.136447E-2</v>
      </c>
      <c r="P2701">
        <v>0.99709300000000001</v>
      </c>
      <c r="Q2701">
        <v>7.2605980000000001E-2</v>
      </c>
      <c r="R2701">
        <v>-2.311119E-2</v>
      </c>
      <c r="S2701">
        <v>3.0164179999999998</v>
      </c>
      <c r="T2701">
        <v>-0.202347</v>
      </c>
      <c r="U2701">
        <v>-0.34716799999999998</v>
      </c>
      <c r="V2701">
        <v>2.1557970000000001E-3</v>
      </c>
      <c r="W2701">
        <v>7.7485360000000003E-2</v>
      </c>
      <c r="X2701">
        <v>0.99699119999999997</v>
      </c>
      <c r="Y2701">
        <v>9.2928640000000007E-2</v>
      </c>
      <c r="Z2701">
        <v>-1.676842E-3</v>
      </c>
      <c r="AA2701">
        <v>0.99567130000000004</v>
      </c>
      <c r="AB2701">
        <v>30</v>
      </c>
      <c r="AC2701">
        <v>0.66930000000002099</v>
      </c>
      <c r="AD2701">
        <v>-6.53699999999999E-2</v>
      </c>
      <c r="AE2701">
        <v>-0.104100000000016</v>
      </c>
      <c r="AF2701">
        <v>8.8948367069923401E-2</v>
      </c>
      <c r="AG2701">
        <v>-6.53699999999999E-2</v>
      </c>
      <c r="AH2701">
        <v>0.66517587951712498</v>
      </c>
      <c r="AI2701">
        <v>95.563499723066698</v>
      </c>
      <c r="AJ2701">
        <v>82.383501618780301</v>
      </c>
      <c r="AK2701">
        <v>0.67427294146790995</v>
      </c>
      <c r="AL2701">
        <v>85.555961503440997</v>
      </c>
      <c r="AM2701">
        <v>89.8761093607623</v>
      </c>
      <c r="AN2701">
        <v>1.0000000406762299</v>
      </c>
    </row>
    <row r="2702" spans="1:40" x14ac:dyDescent="0.3">
      <c r="A2702" t="str">
        <f>"20200111160504709"</f>
        <v>20200111160504709</v>
      </c>
      <c r="B2702" t="str">
        <f>"1578729904703996"</f>
        <v>1578729904703996</v>
      </c>
      <c r="C2702" t="s">
        <v>40</v>
      </c>
      <c r="D2702">
        <v>4.77623</v>
      </c>
      <c r="E2702">
        <v>0.53989600000000004</v>
      </c>
      <c r="F2702" t="s">
        <v>42</v>
      </c>
      <c r="G2702">
        <v>-448.12990000000002</v>
      </c>
      <c r="H2702">
        <v>1.0434300000000001</v>
      </c>
      <c r="I2702">
        <v>214.6369</v>
      </c>
      <c r="J2702">
        <v>-448.78440000000001</v>
      </c>
      <c r="K2702">
        <v>1.1077060000000001</v>
      </c>
      <c r="L2702">
        <v>214.73679999999999</v>
      </c>
      <c r="M2702">
        <v>0.99971030000000005</v>
      </c>
      <c r="N2702">
        <v>0</v>
      </c>
      <c r="O2702">
        <v>-2.3532419999999998E-2</v>
      </c>
      <c r="P2702">
        <v>0.99737569999999998</v>
      </c>
      <c r="Q2702">
        <v>6.8541389999999994E-2</v>
      </c>
      <c r="R2702">
        <v>-2.3329309999999999E-2</v>
      </c>
      <c r="S2702">
        <v>3.0157780000000001</v>
      </c>
      <c r="T2702">
        <v>-0.2066935</v>
      </c>
      <c r="U2702">
        <v>-0.34635929999999998</v>
      </c>
      <c r="V2702">
        <v>1.8364680000000001E-4</v>
      </c>
      <c r="W2702">
        <v>7.3601219999999995E-2</v>
      </c>
      <c r="X2702">
        <v>0.99728779999999995</v>
      </c>
      <c r="Y2702">
        <v>9.0533349999999999E-2</v>
      </c>
      <c r="Z2702">
        <v>-1.4836370000000001E-3</v>
      </c>
      <c r="AA2702">
        <v>0.99589229999999995</v>
      </c>
      <c r="AB2702">
        <v>30</v>
      </c>
      <c r="AC2702">
        <v>0.65449999999998398</v>
      </c>
      <c r="AD2702">
        <v>-6.4276E-2</v>
      </c>
      <c r="AE2702">
        <v>-9.9899999999990996E-2</v>
      </c>
      <c r="AF2702">
        <v>8.3681479854509605E-2</v>
      </c>
      <c r="AG2702">
        <v>-6.4276E-2</v>
      </c>
      <c r="AH2702">
        <v>0.65053841151307901</v>
      </c>
      <c r="AI2702">
        <v>95.596936369379904</v>
      </c>
      <c r="AJ2702">
        <v>82.670056033519003</v>
      </c>
      <c r="AK2702">
        <v>0.65904037744329502</v>
      </c>
      <c r="AL2702">
        <v>85.779144307373301</v>
      </c>
      <c r="AM2702">
        <v>89.989449197671703</v>
      </c>
      <c r="AN2702">
        <v>1.0000000646702301</v>
      </c>
    </row>
    <row r="2703" spans="1:40" x14ac:dyDescent="0.3">
      <c r="A2703" t="str">
        <f>"20200111160504732"</f>
        <v>20200111160504732</v>
      </c>
      <c r="B2703" t="str">
        <f>"1578729904723517"</f>
        <v>1578729904723517</v>
      </c>
      <c r="C2703" t="s">
        <v>40</v>
      </c>
      <c r="D2703">
        <v>4.7918659999999997</v>
      </c>
      <c r="E2703">
        <v>0.53999779999999997</v>
      </c>
      <c r="F2703" t="s">
        <v>42</v>
      </c>
      <c r="G2703">
        <v>-447.86270000000002</v>
      </c>
      <c r="H2703">
        <v>1.0411349999999999</v>
      </c>
      <c r="I2703">
        <v>214.6309</v>
      </c>
      <c r="J2703">
        <v>-448.47410000000002</v>
      </c>
      <c r="K2703">
        <v>1.1077090000000001</v>
      </c>
      <c r="L2703">
        <v>214.72710000000001</v>
      </c>
      <c r="M2703">
        <v>0.99965139999999997</v>
      </c>
      <c r="N2703">
        <v>0</v>
      </c>
      <c r="O2703">
        <v>-2.587913E-2</v>
      </c>
      <c r="P2703">
        <v>0.9976178</v>
      </c>
      <c r="Q2703">
        <v>6.4607220000000007E-2</v>
      </c>
      <c r="R2703">
        <v>-2.4179699999999998E-2</v>
      </c>
      <c r="S2703">
        <v>3.0148009999999998</v>
      </c>
      <c r="T2703">
        <v>-0.21778</v>
      </c>
      <c r="U2703">
        <v>-0.34564210000000001</v>
      </c>
      <c r="V2703">
        <v>-1.333136E-3</v>
      </c>
      <c r="W2703">
        <v>6.9846759999999994E-2</v>
      </c>
      <c r="X2703">
        <v>0.99755689999999997</v>
      </c>
      <c r="Y2703">
        <v>8.7993390000000005E-2</v>
      </c>
      <c r="Z2703">
        <v>-1.303621E-3</v>
      </c>
      <c r="AA2703">
        <v>0.99612020000000001</v>
      </c>
      <c r="AB2703">
        <v>30</v>
      </c>
      <c r="AC2703">
        <v>0.61140000000000305</v>
      </c>
      <c r="AD2703">
        <v>-6.6573999999999897E-2</v>
      </c>
      <c r="AE2703">
        <v>-9.6200000000010194E-2</v>
      </c>
      <c r="AF2703">
        <v>7.9426094589300597E-2</v>
      </c>
      <c r="AG2703">
        <v>-6.6573999999999897E-2</v>
      </c>
      <c r="AH2703">
        <v>0.60666564161743897</v>
      </c>
      <c r="AI2703">
        <v>96.209865276037803</v>
      </c>
      <c r="AJ2703">
        <v>82.541125227988402</v>
      </c>
      <c r="AK2703">
        <v>0.61545414345571503</v>
      </c>
      <c r="AL2703">
        <v>85.994814562605001</v>
      </c>
      <c r="AM2703">
        <v>90.076570089229406</v>
      </c>
      <c r="AN2703">
        <v>1.0000000579358399</v>
      </c>
    </row>
    <row r="2704" spans="1:40" x14ac:dyDescent="0.3">
      <c r="A2704" t="str">
        <f>"20200111160504755"</f>
        <v>20200111160504755</v>
      </c>
      <c r="B2704" t="str">
        <f>"1578729904744012"</f>
        <v>1578729904744012</v>
      </c>
      <c r="C2704" t="s">
        <v>40</v>
      </c>
      <c r="D2704">
        <v>4.7874980000000003</v>
      </c>
      <c r="E2704">
        <v>0.53994330000000001</v>
      </c>
      <c r="F2704" t="s">
        <v>42</v>
      </c>
      <c r="G2704">
        <v>-447.59359999999998</v>
      </c>
      <c r="H2704">
        <v>1.0407679999999999</v>
      </c>
      <c r="I2704">
        <v>214.62440000000001</v>
      </c>
      <c r="J2704">
        <v>-448.16419999999999</v>
      </c>
      <c r="K2704">
        <v>1.1077060000000001</v>
      </c>
      <c r="L2704">
        <v>214.71680000000001</v>
      </c>
      <c r="M2704">
        <v>0.99958769999999997</v>
      </c>
      <c r="N2704">
        <v>0</v>
      </c>
      <c r="O2704">
        <v>-2.8198569999999999E-2</v>
      </c>
      <c r="P2704">
        <v>0.99796459999999998</v>
      </c>
      <c r="Q2704">
        <v>5.8990590000000002E-2</v>
      </c>
      <c r="R2704">
        <v>-2.4230930000000001E-2</v>
      </c>
      <c r="S2704">
        <v>3.013458</v>
      </c>
      <c r="T2704">
        <v>-0.2290673</v>
      </c>
      <c r="U2704">
        <v>-0.35078429999999999</v>
      </c>
      <c r="V2704">
        <v>-3.6329119999999999E-3</v>
      </c>
      <c r="W2704">
        <v>6.4401199999999895E-2</v>
      </c>
      <c r="X2704">
        <v>0.99791750000000001</v>
      </c>
      <c r="Y2704">
        <v>8.7400930000000002E-2</v>
      </c>
      <c r="Z2704">
        <v>-1.1737850000000001E-3</v>
      </c>
      <c r="AA2704">
        <v>0.99617250000000002</v>
      </c>
      <c r="AB2704">
        <v>30</v>
      </c>
      <c r="AC2704">
        <v>0.57060000000001299</v>
      </c>
      <c r="AD2704">
        <v>-6.6937999999999706E-2</v>
      </c>
      <c r="AE2704">
        <v>-9.2399999999997803E-2</v>
      </c>
      <c r="AF2704">
        <v>7.5263604164755193E-2</v>
      </c>
      <c r="AG2704">
        <v>-6.6937999999999706E-2</v>
      </c>
      <c r="AH2704">
        <v>0.565396508066484</v>
      </c>
      <c r="AI2704">
        <v>96.693389867572293</v>
      </c>
      <c r="AJ2704">
        <v>82.417563616196304</v>
      </c>
      <c r="AK2704">
        <v>0.57429828250626203</v>
      </c>
      <c r="AL2704">
        <v>86.307527699435795</v>
      </c>
      <c r="AM2704">
        <v>90.208583981538297</v>
      </c>
      <c r="AN2704">
        <v>1.00000002470864</v>
      </c>
    </row>
    <row r="2705" spans="1:40" x14ac:dyDescent="0.3">
      <c r="A2705" t="str">
        <f>"20200111160504776"</f>
        <v>20200111160504776</v>
      </c>
      <c r="B2705" t="str">
        <f>"1578729904774269"</f>
        <v>1578729904774269</v>
      </c>
      <c r="C2705" t="s">
        <v>40</v>
      </c>
      <c r="D2705">
        <v>4.8988120000000004</v>
      </c>
      <c r="E2705">
        <v>0.53988219999999898</v>
      </c>
      <c r="F2705" t="s">
        <v>42</v>
      </c>
      <c r="G2705">
        <v>-447.3245</v>
      </c>
      <c r="H2705">
        <v>1.039166</v>
      </c>
      <c r="I2705">
        <v>214.61840000000001</v>
      </c>
      <c r="J2705">
        <v>-447.87790000000001</v>
      </c>
      <c r="K2705">
        <v>1.1076859999999999</v>
      </c>
      <c r="L2705">
        <v>214.70660000000001</v>
      </c>
      <c r="M2705">
        <v>0.99952490000000005</v>
      </c>
      <c r="N2705">
        <v>0</v>
      </c>
      <c r="O2705">
        <v>-3.0324940000000002E-2</v>
      </c>
      <c r="P2705">
        <v>0.99841400000000002</v>
      </c>
      <c r="Q2705">
        <v>5.0557909999999998E-2</v>
      </c>
      <c r="R2705">
        <v>-2.477306E-2</v>
      </c>
      <c r="S2705">
        <v>3.0120849999999999</v>
      </c>
      <c r="T2705">
        <v>-0.2457811</v>
      </c>
      <c r="U2705">
        <v>-0.3521881</v>
      </c>
      <c r="V2705">
        <v>-5.2657880000000004E-3</v>
      </c>
      <c r="W2705">
        <v>5.6113150000000001E-2</v>
      </c>
      <c r="X2705">
        <v>0.99841049999999998</v>
      </c>
      <c r="Y2705">
        <v>8.5778560000000004E-2</v>
      </c>
      <c r="Z2705">
        <v>-1.021402E-3</v>
      </c>
      <c r="AA2705">
        <v>0.99631369999999997</v>
      </c>
      <c r="AB2705">
        <v>30</v>
      </c>
      <c r="AC2705">
        <v>0.55340000000001</v>
      </c>
      <c r="AD2705">
        <v>-6.85199999999999E-2</v>
      </c>
      <c r="AE2705">
        <v>-8.82000000000005E-2</v>
      </c>
      <c r="AF2705">
        <v>7.0325934129906606E-2</v>
      </c>
      <c r="AG2705">
        <v>-6.85199999999999E-2</v>
      </c>
      <c r="AH2705">
        <v>0.54763267078262501</v>
      </c>
      <c r="AI2705">
        <v>97.074308989116403</v>
      </c>
      <c r="AJ2705">
        <v>82.682237059118194</v>
      </c>
      <c r="AK2705">
        <v>0.55636523032964202</v>
      </c>
      <c r="AL2705">
        <v>86.783263643951301</v>
      </c>
      <c r="AM2705">
        <v>90.302184953721195</v>
      </c>
      <c r="AN2705">
        <v>0.99999997031821597</v>
      </c>
    </row>
    <row r="2706" spans="1:40" x14ac:dyDescent="0.3">
      <c r="A2706" t="str">
        <f>"20200111160504799"</f>
        <v>20200111160504799</v>
      </c>
      <c r="B2706" t="str">
        <f>"1578729904793788"</f>
        <v>1578729904793788</v>
      </c>
      <c r="C2706" t="s">
        <v>40</v>
      </c>
      <c r="D2706">
        <v>4.7889629999999999</v>
      </c>
      <c r="E2706">
        <v>0.53970039999999997</v>
      </c>
      <c r="F2706" t="s">
        <v>42</v>
      </c>
      <c r="G2706">
        <v>-447.05619999999999</v>
      </c>
      <c r="H2706">
        <v>1.0338080000000001</v>
      </c>
      <c r="I2706">
        <v>214.60929999999999</v>
      </c>
      <c r="J2706">
        <v>-447.57380000000001</v>
      </c>
      <c r="K2706">
        <v>1.10765</v>
      </c>
      <c r="L2706">
        <v>214.6952</v>
      </c>
      <c r="M2706">
        <v>0.99945379999999995</v>
      </c>
      <c r="N2706">
        <v>0</v>
      </c>
      <c r="O2706">
        <v>-3.2561649999999998E-2</v>
      </c>
      <c r="P2706">
        <v>0.9988766</v>
      </c>
      <c r="Q2706">
        <v>3.9836099999999999E-2</v>
      </c>
      <c r="R2706">
        <v>-2.5668219999999999E-2</v>
      </c>
      <c r="S2706">
        <v>3.0096440000000002</v>
      </c>
      <c r="T2706">
        <v>-0.27052850000000001</v>
      </c>
      <c r="U2706">
        <v>-0.3553772</v>
      </c>
      <c r="V2706">
        <v>-6.668574E-3</v>
      </c>
      <c r="W2706">
        <v>4.552966E-2</v>
      </c>
      <c r="X2706">
        <v>0.99894070000000001</v>
      </c>
      <c r="Y2706">
        <v>8.4658150000000001E-2</v>
      </c>
      <c r="Z2706">
        <v>-8.7491539999999903E-4</v>
      </c>
      <c r="AA2706">
        <v>0.99640969999999995</v>
      </c>
      <c r="AB2706">
        <v>30</v>
      </c>
      <c r="AC2706">
        <v>0.51760000000001505</v>
      </c>
      <c r="AD2706">
        <v>-7.3841999999999894E-2</v>
      </c>
      <c r="AE2706">
        <v>-8.5900000000009399E-2</v>
      </c>
      <c r="AF2706">
        <v>6.7660125720698697E-2</v>
      </c>
      <c r="AG2706">
        <v>-7.3841999999999894E-2</v>
      </c>
      <c r="AH2706">
        <v>0.51002063401684805</v>
      </c>
      <c r="AI2706">
        <v>98.167595119491196</v>
      </c>
      <c r="AJ2706">
        <v>82.443178217707498</v>
      </c>
      <c r="AK2706">
        <v>0.51976108040087798</v>
      </c>
      <c r="AL2706">
        <v>87.390440452399702</v>
      </c>
      <c r="AM2706">
        <v>90.382480631736598</v>
      </c>
      <c r="AN2706">
        <v>0.99999997096769899</v>
      </c>
    </row>
    <row r="2707" spans="1:40" x14ac:dyDescent="0.3">
      <c r="A2707" t="str">
        <f>"20200111160504822"</f>
        <v>20200111160504822</v>
      </c>
      <c r="B2707" t="str">
        <f>"1578729904814284"</f>
        <v>1578729904814284</v>
      </c>
      <c r="C2707" t="s">
        <v>40</v>
      </c>
      <c r="D2707">
        <v>4.8567349999999996</v>
      </c>
      <c r="E2707">
        <v>0.53935489999999997</v>
      </c>
      <c r="F2707" t="s">
        <v>42</v>
      </c>
      <c r="G2707">
        <v>-446.78699999999998</v>
      </c>
      <c r="H2707">
        <v>1.0286390000000001</v>
      </c>
      <c r="I2707">
        <v>214.6011</v>
      </c>
      <c r="J2707">
        <v>-447.26150000000001</v>
      </c>
      <c r="K2707">
        <v>1.107637</v>
      </c>
      <c r="L2707">
        <v>214.68270000000001</v>
      </c>
      <c r="M2707">
        <v>0.99937679999999995</v>
      </c>
      <c r="N2707">
        <v>0</v>
      </c>
      <c r="O2707">
        <v>-3.48259E-2</v>
      </c>
      <c r="P2707">
        <v>0.99907990000000002</v>
      </c>
      <c r="Q2707">
        <v>3.2793450000000002E-2</v>
      </c>
      <c r="R2707">
        <v>-2.7645599999999999E-2</v>
      </c>
      <c r="S2707">
        <v>3.006195</v>
      </c>
      <c r="T2707">
        <v>-0.30184250000000001</v>
      </c>
      <c r="U2707">
        <v>-0.35862729999999998</v>
      </c>
      <c r="V2707">
        <v>-6.9949950000000004E-3</v>
      </c>
      <c r="W2707">
        <v>3.8611649999999997E-2</v>
      </c>
      <c r="X2707">
        <v>0.99922979999999995</v>
      </c>
      <c r="Y2707">
        <v>8.3561609999999995E-2</v>
      </c>
      <c r="Z2707">
        <v>-6.9638969999999997E-4</v>
      </c>
      <c r="AA2707">
        <v>0.99650229999999995</v>
      </c>
      <c r="AB2707">
        <v>30</v>
      </c>
      <c r="AC2707">
        <v>0.47450000000003401</v>
      </c>
      <c r="AD2707">
        <v>-7.8998000000000096E-2</v>
      </c>
      <c r="AE2707">
        <v>-8.1600000000008693E-2</v>
      </c>
      <c r="AF2707">
        <v>6.3320637409082003E-2</v>
      </c>
      <c r="AG2707">
        <v>-7.8998000000000096E-2</v>
      </c>
      <c r="AH2707">
        <v>0.46454759221528502</v>
      </c>
      <c r="AI2707">
        <v>99.564247451448395</v>
      </c>
      <c r="AJ2707">
        <v>82.238074430189698</v>
      </c>
      <c r="AK2707">
        <v>0.475452050746352</v>
      </c>
      <c r="AL2707">
        <v>87.787165325754103</v>
      </c>
      <c r="AM2707">
        <v>90.401086061034903</v>
      </c>
      <c r="AN2707">
        <v>0.99999999133940598</v>
      </c>
    </row>
    <row r="2708" spans="1:40" x14ac:dyDescent="0.3">
      <c r="A2708" t="str">
        <f>"20200111160504844"</f>
        <v>20200111160504844</v>
      </c>
      <c r="B2708" t="str">
        <f>"1578729904833805"</f>
        <v>1578729904833805</v>
      </c>
      <c r="C2708" t="s">
        <v>40</v>
      </c>
      <c r="D2708">
        <v>4.9110589999999998</v>
      </c>
      <c r="E2708">
        <v>0.53867619999999905</v>
      </c>
      <c r="F2708" t="s">
        <v>42</v>
      </c>
      <c r="G2708">
        <v>-446.51519999999999</v>
      </c>
      <c r="H2708">
        <v>1.0275080000000001</v>
      </c>
      <c r="I2708">
        <v>214.59219999999999</v>
      </c>
      <c r="J2708">
        <v>-446.95960000000002</v>
      </c>
      <c r="K2708">
        <v>1.1076239999999999</v>
      </c>
      <c r="L2708">
        <v>214.67009999999999</v>
      </c>
      <c r="M2708">
        <v>0.99929900000000005</v>
      </c>
      <c r="N2708">
        <v>0</v>
      </c>
      <c r="O2708">
        <v>-3.6968809999999998E-2</v>
      </c>
      <c r="P2708">
        <v>0.99923010000000001</v>
      </c>
      <c r="Q2708">
        <v>2.5891859999999999E-2</v>
      </c>
      <c r="R2708">
        <v>-2.9477719999999999E-2</v>
      </c>
      <c r="S2708">
        <v>3.0032960000000002</v>
      </c>
      <c r="T2708">
        <v>-0.32239849999999998</v>
      </c>
      <c r="U2708">
        <v>-0.36244199999999999</v>
      </c>
      <c r="V2708">
        <v>-7.3445759999999898E-3</v>
      </c>
      <c r="W2708">
        <v>3.1821420000000003E-2</v>
      </c>
      <c r="X2708">
        <v>0.99946659999999998</v>
      </c>
      <c r="Y2708">
        <v>8.2767930000000003E-2</v>
      </c>
      <c r="Z2708">
        <v>-4.7369719999999999E-4</v>
      </c>
      <c r="AA2708">
        <v>0.99656869999999997</v>
      </c>
      <c r="AB2708">
        <v>30</v>
      </c>
      <c r="AC2708">
        <v>0.44440000000002999</v>
      </c>
      <c r="AD2708">
        <v>-8.0115999999999798E-2</v>
      </c>
      <c r="AE2708">
        <v>-7.7899999999999595E-2</v>
      </c>
      <c r="AF2708">
        <v>5.9540124306273E-2</v>
      </c>
      <c r="AG2708">
        <v>-8.0115999999999798E-2</v>
      </c>
      <c r="AH2708">
        <v>0.43331305543695497</v>
      </c>
      <c r="AI2708">
        <v>100.379838404716</v>
      </c>
      <c r="AJ2708">
        <v>82.176169114183594</v>
      </c>
      <c r="AK2708">
        <v>0.44466144859939899</v>
      </c>
      <c r="AL2708">
        <v>88.176459121220603</v>
      </c>
      <c r="AM2708">
        <v>90.421030210180305</v>
      </c>
      <c r="AN2708">
        <v>1.0000000150414901</v>
      </c>
    </row>
    <row r="2709" spans="1:40" x14ac:dyDescent="0.3">
      <c r="A2709" t="str">
        <f>"20200111160504866"</f>
        <v>20200111160504866</v>
      </c>
      <c r="B2709" t="str">
        <f>"1578729904864062"</f>
        <v>1578729904864062</v>
      </c>
      <c r="C2709" t="s">
        <v>40</v>
      </c>
      <c r="D2709">
        <v>4.9132879999999997</v>
      </c>
      <c r="E2709">
        <v>0.52725109999999997</v>
      </c>
      <c r="F2709" t="s">
        <v>42</v>
      </c>
      <c r="G2709">
        <v>-445.98419999999999</v>
      </c>
      <c r="H2709">
        <v>0.99630739999999995</v>
      </c>
      <c r="I2709">
        <v>214.55170000000001</v>
      </c>
      <c r="J2709">
        <v>-446.65570000000002</v>
      </c>
      <c r="K2709">
        <v>1.107645</v>
      </c>
      <c r="L2709">
        <v>214.6567</v>
      </c>
      <c r="M2709">
        <v>0.99921890000000002</v>
      </c>
      <c r="N2709">
        <v>0</v>
      </c>
      <c r="O2709">
        <v>-3.9056519999999997E-2</v>
      </c>
      <c r="P2709">
        <v>0.99926219999999999</v>
      </c>
      <c r="Q2709">
        <v>2.2780399999999999E-2</v>
      </c>
      <c r="R2709">
        <v>-3.0919729999999999E-2</v>
      </c>
      <c r="S2709">
        <v>3.0004580000000001</v>
      </c>
      <c r="T2709">
        <v>-0.3423503</v>
      </c>
      <c r="U2709">
        <v>-0.36323549999999999</v>
      </c>
      <c r="V2709">
        <v>-8.0091840000000008E-3</v>
      </c>
      <c r="W2709">
        <v>2.8811590000000002E-2</v>
      </c>
      <c r="X2709">
        <v>0.99955280000000002</v>
      </c>
      <c r="Y2709">
        <v>8.1048430000000005E-2</v>
      </c>
      <c r="Z2709">
        <v>-1.6968279999999999E-4</v>
      </c>
      <c r="AA2709">
        <v>0.99671010000000004</v>
      </c>
      <c r="AB2709">
        <v>30</v>
      </c>
      <c r="AC2709">
        <v>0.67150000000003696</v>
      </c>
      <c r="AD2709">
        <v>-0.111337599999999</v>
      </c>
      <c r="AE2709">
        <v>-0.104999999999989</v>
      </c>
      <c r="AF2709">
        <v>7.6636420603808195E-2</v>
      </c>
      <c r="AG2709">
        <v>-0.111337599999999</v>
      </c>
      <c r="AH2709">
        <v>0.65744610698256201</v>
      </c>
      <c r="AI2709">
        <v>99.548319777032901</v>
      </c>
      <c r="AJ2709">
        <v>83.351217392200496</v>
      </c>
      <c r="AK2709">
        <v>0.67119638387229796</v>
      </c>
      <c r="AL2709">
        <v>88.348989063895104</v>
      </c>
      <c r="AM2709">
        <v>90.459087924064207</v>
      </c>
      <c r="AN2709">
        <v>1.00000002736725</v>
      </c>
    </row>
    <row r="2710" spans="1:40" x14ac:dyDescent="0.3">
      <c r="A2710" t="str">
        <f>"20200111160504889"</f>
        <v>20200111160504889</v>
      </c>
      <c r="B2710" t="str">
        <f>"1578729904883580"</f>
        <v>1578729904883580</v>
      </c>
      <c r="C2710" t="s">
        <v>40</v>
      </c>
      <c r="D2710">
        <v>4.9686560000000002</v>
      </c>
      <c r="E2710">
        <v>0.52556400000000003</v>
      </c>
      <c r="F2710" t="s">
        <v>42</v>
      </c>
      <c r="G2710">
        <v>-445.70299999999997</v>
      </c>
      <c r="H2710">
        <v>1.007185</v>
      </c>
      <c r="I2710">
        <v>214.56780000000001</v>
      </c>
      <c r="J2710">
        <v>-446.34469999999999</v>
      </c>
      <c r="K2710">
        <v>1.107691</v>
      </c>
      <c r="L2710">
        <v>214.64250000000001</v>
      </c>
      <c r="M2710">
        <v>0.9991352</v>
      </c>
      <c r="N2710">
        <v>0</v>
      </c>
      <c r="O2710">
        <v>-4.1130769999999997E-2</v>
      </c>
      <c r="P2710">
        <v>0.99925010000000003</v>
      </c>
      <c r="Q2710">
        <v>2.172031E-2</v>
      </c>
      <c r="R2710">
        <v>-3.2051629999999998E-2</v>
      </c>
      <c r="S2710">
        <v>3.0007630000000001</v>
      </c>
      <c r="T2710">
        <v>-0.31638939999999999</v>
      </c>
      <c r="U2710">
        <v>-0.27925109999999997</v>
      </c>
      <c r="V2710">
        <v>-8.9602919999999999E-3</v>
      </c>
      <c r="W2710">
        <v>2.7845419999999999E-2</v>
      </c>
      <c r="X2710">
        <v>0.99957209999999996</v>
      </c>
      <c r="Y2710">
        <v>5.1569280000000002E-2</v>
      </c>
      <c r="Z2710">
        <v>1.6072289999999999E-3</v>
      </c>
      <c r="AA2710">
        <v>0.99866809999999995</v>
      </c>
      <c r="AB2710">
        <v>31</v>
      </c>
      <c r="AC2710">
        <v>0.64169999999995697</v>
      </c>
      <c r="AD2710">
        <v>-0.100505999999999</v>
      </c>
      <c r="AE2710">
        <v>-7.4700000000007094E-2</v>
      </c>
      <c r="AF2710">
        <v>4.7102641139878797E-2</v>
      </c>
      <c r="AG2710">
        <v>-0.100505999999999</v>
      </c>
      <c r="AH2710">
        <v>0.629005485201377</v>
      </c>
      <c r="AI2710">
        <v>99.053370189687001</v>
      </c>
      <c r="AJ2710">
        <v>85.717438254588501</v>
      </c>
      <c r="AK2710">
        <v>0.63872373938328897</v>
      </c>
      <c r="AL2710">
        <v>88.404368739631394</v>
      </c>
      <c r="AM2710">
        <v>90.513592930713997</v>
      </c>
      <c r="AN2710">
        <v>1.00000001867305</v>
      </c>
    </row>
    <row r="2711" spans="1:40" x14ac:dyDescent="0.3">
      <c r="A2711" t="str">
        <f>"20200111160504912"</f>
        <v>20200111160504912</v>
      </c>
      <c r="B2711" t="str">
        <f>"1578729904904077"</f>
        <v>1578729904904077</v>
      </c>
      <c r="C2711" t="s">
        <v>40</v>
      </c>
      <c r="D2711">
        <v>5.0299420000000001</v>
      </c>
      <c r="E2711">
        <v>0.52478000000000002</v>
      </c>
      <c r="F2711" t="s">
        <v>42</v>
      </c>
      <c r="G2711">
        <v>-445.4255</v>
      </c>
      <c r="H2711">
        <v>1.011042</v>
      </c>
      <c r="I2711">
        <v>214.55950000000001</v>
      </c>
      <c r="J2711">
        <v>-446.01659999999998</v>
      </c>
      <c r="K2711">
        <v>1.1077490000000001</v>
      </c>
      <c r="L2711">
        <v>214.6268</v>
      </c>
      <c r="M2711">
        <v>0.99904579999999998</v>
      </c>
      <c r="N2711">
        <v>0</v>
      </c>
      <c r="O2711">
        <v>-4.323449E-2</v>
      </c>
      <c r="P2711">
        <v>0.99922730000000004</v>
      </c>
      <c r="Q2711">
        <v>2.147775E-2</v>
      </c>
      <c r="R2711">
        <v>-3.291608E-2</v>
      </c>
      <c r="S2711">
        <v>3.0005190000000002</v>
      </c>
      <c r="T2711">
        <v>-0.31539790000000001</v>
      </c>
      <c r="U2711">
        <v>-0.26916499999999999</v>
      </c>
      <c r="V2711">
        <v>-1.020482E-2</v>
      </c>
      <c r="W2711">
        <v>2.769814E-2</v>
      </c>
      <c r="X2711">
        <v>0.99956420000000001</v>
      </c>
      <c r="Y2711">
        <v>4.6185240000000002E-2</v>
      </c>
      <c r="Z2711">
        <v>2.1040350000000002E-3</v>
      </c>
      <c r="AA2711">
        <v>0.99893069999999895</v>
      </c>
      <c r="AB2711">
        <v>31</v>
      </c>
      <c r="AC2711">
        <v>0.59109999999998297</v>
      </c>
      <c r="AD2711">
        <v>-9.6706999999999793E-2</v>
      </c>
      <c r="AE2711">
        <v>-6.7299999999988799E-2</v>
      </c>
      <c r="AF2711">
        <v>4.0607651974598299E-2</v>
      </c>
      <c r="AG2711">
        <v>-9.6706999999999793E-2</v>
      </c>
      <c r="AH2711">
        <v>0.57817914260669201</v>
      </c>
      <c r="AI2711">
        <v>99.472558828296698</v>
      </c>
      <c r="AJ2711">
        <v>85.982503379536496</v>
      </c>
      <c r="AK2711">
        <v>0.58761581513204697</v>
      </c>
      <c r="AL2711">
        <v>88.412810421035005</v>
      </c>
      <c r="AM2711">
        <v>90.584927715431803</v>
      </c>
      <c r="AN2711">
        <v>0.999999957616165</v>
      </c>
    </row>
    <row r="2712" spans="1:40" x14ac:dyDescent="0.3">
      <c r="A2712" t="str">
        <f>"20200111160504934"</f>
        <v>20200111160504934</v>
      </c>
      <c r="B2712" t="str">
        <f>"1578729904923597"</f>
        <v>1578729904923597</v>
      </c>
      <c r="C2712" t="s">
        <v>40</v>
      </c>
      <c r="D2712">
        <v>5.2232789999999998</v>
      </c>
      <c r="E2712">
        <v>0.52414159999999999</v>
      </c>
      <c r="F2712" t="s">
        <v>42</v>
      </c>
      <c r="G2712">
        <v>-445.14640000000003</v>
      </c>
      <c r="H2712">
        <v>1.0167079999999999</v>
      </c>
      <c r="I2712">
        <v>214.5498</v>
      </c>
      <c r="J2712">
        <v>-445.72149999999999</v>
      </c>
      <c r="K2712">
        <v>1.107815</v>
      </c>
      <c r="L2712">
        <v>214.6123</v>
      </c>
      <c r="M2712">
        <v>0.99896580000000001</v>
      </c>
      <c r="N2712">
        <v>0</v>
      </c>
      <c r="O2712">
        <v>-4.5036270000000003E-2</v>
      </c>
      <c r="P2712">
        <v>0.99920790000000004</v>
      </c>
      <c r="Q2712">
        <v>2.0955379999999999E-2</v>
      </c>
      <c r="R2712">
        <v>-3.3836169999999999E-2</v>
      </c>
      <c r="S2712">
        <v>3.0002749999999998</v>
      </c>
      <c r="T2712">
        <v>-0.313897599999999</v>
      </c>
      <c r="U2712">
        <v>-0.26528930000000001</v>
      </c>
      <c r="V2712">
        <v>-1.1092909999999999E-2</v>
      </c>
      <c r="W2712">
        <v>2.7254850000000001E-2</v>
      </c>
      <c r="X2712">
        <v>0.99956699999999998</v>
      </c>
      <c r="Y2712">
        <v>4.3136699999999903E-2</v>
      </c>
      <c r="Z2712">
        <v>2.440448E-3</v>
      </c>
      <c r="AA2712">
        <v>0.99906620000000002</v>
      </c>
      <c r="AB2712">
        <v>31</v>
      </c>
      <c r="AC2712">
        <v>0.57509999999996297</v>
      </c>
      <c r="AD2712">
        <v>-9.1106999999999994E-2</v>
      </c>
      <c r="AE2712">
        <v>-6.25E-2</v>
      </c>
      <c r="AF2712">
        <v>3.5651427808803503E-2</v>
      </c>
      <c r="AG2712">
        <v>-9.1106999999999994E-2</v>
      </c>
      <c r="AH2712">
        <v>0.56335788166002898</v>
      </c>
      <c r="AI2712">
        <v>99.168387367175995</v>
      </c>
      <c r="AJ2712">
        <v>86.378934095720396</v>
      </c>
      <c r="AK2712">
        <v>0.57178983252789795</v>
      </c>
      <c r="AL2712">
        <v>88.438218779841705</v>
      </c>
      <c r="AM2712">
        <v>90.635826147768398</v>
      </c>
      <c r="AN2712">
        <v>1.00000003349489</v>
      </c>
    </row>
    <row r="2713" spans="1:40" x14ac:dyDescent="0.3">
      <c r="A2713" t="str">
        <f>"20200111160504958"</f>
        <v>20200111160504958</v>
      </c>
      <c r="B2713" t="str">
        <f>"1578729904953853"</f>
        <v>1578729904953853</v>
      </c>
      <c r="C2713" t="s">
        <v>40</v>
      </c>
      <c r="D2713">
        <v>5.0304729999999998</v>
      </c>
      <c r="E2713">
        <v>0.51765349999999999</v>
      </c>
      <c r="F2713" t="s">
        <v>42</v>
      </c>
      <c r="G2713">
        <v>-444.86840000000001</v>
      </c>
      <c r="H2713">
        <v>1.018894</v>
      </c>
      <c r="I2713">
        <v>214.53720000000001</v>
      </c>
      <c r="J2713">
        <v>-445.38099999999997</v>
      </c>
      <c r="K2713">
        <v>1.1079060000000001</v>
      </c>
      <c r="L2713">
        <v>214.595</v>
      </c>
      <c r="M2713">
        <v>0.99887530000000002</v>
      </c>
      <c r="N2713">
        <v>0</v>
      </c>
      <c r="O2713">
        <v>-4.6988950000000002E-2</v>
      </c>
      <c r="P2713">
        <v>0.99917869999999998</v>
      </c>
      <c r="Q2713">
        <v>2.1326660000000001E-2</v>
      </c>
      <c r="R2713">
        <v>-3.4457429999999997E-2</v>
      </c>
      <c r="S2713">
        <v>3.0000610000000001</v>
      </c>
      <c r="T2713">
        <v>-0.3127373</v>
      </c>
      <c r="U2713">
        <v>-0.26316830000000002</v>
      </c>
      <c r="V2713">
        <v>-1.2428740000000001E-2</v>
      </c>
      <c r="W2713">
        <v>2.7708630000000001E-2</v>
      </c>
      <c r="X2713">
        <v>0.99953879999999995</v>
      </c>
      <c r="Y2713">
        <v>4.051341E-2</v>
      </c>
      <c r="Z2713">
        <v>2.7701029999999999E-3</v>
      </c>
      <c r="AA2713">
        <v>0.99917509999999998</v>
      </c>
      <c r="AB2713">
        <v>31</v>
      </c>
      <c r="AC2713">
        <v>0.51259999999996297</v>
      </c>
      <c r="AD2713">
        <v>-8.9011999999999994E-2</v>
      </c>
      <c r="AE2713">
        <v>-5.7799999999986001E-2</v>
      </c>
      <c r="AF2713">
        <v>3.2676196214388199E-2</v>
      </c>
      <c r="AG2713">
        <v>-8.9011999999999994E-2</v>
      </c>
      <c r="AH2713">
        <v>0.49986622443378298</v>
      </c>
      <c r="AI2713">
        <v>100.075855362429</v>
      </c>
      <c r="AJ2713">
        <v>86.259903005606603</v>
      </c>
      <c r="AK2713">
        <v>0.50878002346075502</v>
      </c>
      <c r="AL2713">
        <v>88.412209268070399</v>
      </c>
      <c r="AM2713">
        <v>90.712406210351404</v>
      </c>
      <c r="AN2713">
        <v>1.0000000272299501</v>
      </c>
    </row>
    <row r="2714" spans="1:40" x14ac:dyDescent="0.3">
      <c r="A2714" t="str">
        <f>"20200111160504978"</f>
        <v>20200111160504978</v>
      </c>
      <c r="B2714" t="str">
        <f>"1578729904974349"</f>
        <v>1578729904974349</v>
      </c>
      <c r="C2714" t="s">
        <v>40</v>
      </c>
      <c r="D2714">
        <v>5.0509979999999999</v>
      </c>
      <c r="E2714">
        <v>0.51775099999999996</v>
      </c>
      <c r="F2714" t="s">
        <v>42</v>
      </c>
      <c r="G2714">
        <v>-444.57780000000002</v>
      </c>
      <c r="H2714">
        <v>1.0430280000000001</v>
      </c>
      <c r="I2714">
        <v>214.53620000000001</v>
      </c>
      <c r="J2714">
        <v>-445.1071</v>
      </c>
      <c r="K2714">
        <v>1.1079870000000001</v>
      </c>
      <c r="L2714">
        <v>214.58070000000001</v>
      </c>
      <c r="M2714">
        <v>0.99880550000000001</v>
      </c>
      <c r="N2714">
        <v>0</v>
      </c>
      <c r="O2714">
        <v>-4.8444679999999997E-2</v>
      </c>
      <c r="P2714">
        <v>0.99913839999999998</v>
      </c>
      <c r="Q2714">
        <v>2.254142E-2</v>
      </c>
      <c r="R2714">
        <v>-3.4855450000000003E-2</v>
      </c>
      <c r="S2714">
        <v>3.0001220000000002</v>
      </c>
      <c r="T2714">
        <v>-0.24233759999999999</v>
      </c>
      <c r="U2714">
        <v>-0.2191467</v>
      </c>
      <c r="V2714">
        <v>-1.3487290000000001E-2</v>
      </c>
      <c r="W2714">
        <v>2.898222E-2</v>
      </c>
      <c r="X2714">
        <v>0.99948890000000001</v>
      </c>
      <c r="Y2714">
        <v>2.452669E-2</v>
      </c>
      <c r="Z2714">
        <v>2.9111779999999999E-3</v>
      </c>
      <c r="AA2714">
        <v>0.99969490000000005</v>
      </c>
      <c r="AB2714">
        <v>31</v>
      </c>
      <c r="AC2714">
        <v>0.52929999999997701</v>
      </c>
      <c r="AD2714">
        <v>-6.4958999999999906E-2</v>
      </c>
      <c r="AE2714">
        <v>-4.4499999999999297E-2</v>
      </c>
      <c r="AF2714">
        <v>1.8528347911660401E-2</v>
      </c>
      <c r="AG2714">
        <v>-6.4958999999999906E-2</v>
      </c>
      <c r="AH2714">
        <v>0.52301215977502002</v>
      </c>
      <c r="AI2714">
        <v>97.075582893684199</v>
      </c>
      <c r="AJ2714">
        <v>87.971075158217104</v>
      </c>
      <c r="AK2714">
        <v>0.52735632226215501</v>
      </c>
      <c r="AL2714">
        <v>88.339208503392399</v>
      </c>
      <c r="AM2714">
        <v>90.773113032223307</v>
      </c>
      <c r="AN2714">
        <v>0.99999996864544005</v>
      </c>
    </row>
    <row r="2715" spans="1:40" x14ac:dyDescent="0.3">
      <c r="A2715" t="str">
        <f>"20200111160505000"</f>
        <v>20200111160505000</v>
      </c>
      <c r="B2715" t="str">
        <f>"1578729904993869"</f>
        <v>1578729904993869</v>
      </c>
      <c r="C2715" t="s">
        <v>40</v>
      </c>
      <c r="D2715">
        <v>5.0710179999999996</v>
      </c>
      <c r="E2715">
        <v>0.51748899999999998</v>
      </c>
      <c r="F2715" t="s">
        <v>42</v>
      </c>
      <c r="G2715">
        <v>-444.298</v>
      </c>
      <c r="H2715">
        <v>1.0445260000000001</v>
      </c>
      <c r="I2715">
        <v>214.52070000000001</v>
      </c>
      <c r="J2715">
        <v>-444.79790000000003</v>
      </c>
      <c r="K2715">
        <v>1.1080989999999999</v>
      </c>
      <c r="L2715">
        <v>214.5641</v>
      </c>
      <c r="M2715">
        <v>0.99873040000000002</v>
      </c>
      <c r="N2715">
        <v>0</v>
      </c>
      <c r="O2715">
        <v>-4.9960589999999999E-2</v>
      </c>
      <c r="P2715">
        <v>0.99904389999999998</v>
      </c>
      <c r="Q2715">
        <v>2.4688669999999999E-2</v>
      </c>
      <c r="R2715">
        <v>-3.6085569999999997E-2</v>
      </c>
      <c r="S2715">
        <v>3.0001829999999998</v>
      </c>
      <c r="T2715">
        <v>-0.23535</v>
      </c>
      <c r="U2715">
        <v>-0.2215424</v>
      </c>
      <c r="V2715">
        <v>-1.377042E-2</v>
      </c>
      <c r="W2715">
        <v>3.1186120000000001E-2</v>
      </c>
      <c r="X2715">
        <v>0.99941869999999999</v>
      </c>
      <c r="Y2715">
        <v>2.3804260000000001E-2</v>
      </c>
      <c r="Z2715">
        <v>2.9739530000000001E-3</v>
      </c>
      <c r="AA2715">
        <v>0.99971220000000005</v>
      </c>
      <c r="AB2715">
        <v>31</v>
      </c>
      <c r="AC2715">
        <v>0.49990000000002499</v>
      </c>
      <c r="AD2715">
        <v>-6.3572999999999796E-2</v>
      </c>
      <c r="AE2715">
        <v>-4.3399999999991203E-2</v>
      </c>
      <c r="AF2715">
        <v>1.8079772775282599E-2</v>
      </c>
      <c r="AG2715">
        <v>-6.3572999999999796E-2</v>
      </c>
      <c r="AH2715">
        <v>0.49352221292902798</v>
      </c>
      <c r="AI2715">
        <v>97.335260722617093</v>
      </c>
      <c r="AJ2715">
        <v>87.901955355437906</v>
      </c>
      <c r="AK2715">
        <v>0.49792828717293303</v>
      </c>
      <c r="AL2715">
        <v>88.212877123058504</v>
      </c>
      <c r="AM2715">
        <v>90.789395901206504</v>
      </c>
      <c r="AN2715">
        <v>0.999999968228659</v>
      </c>
    </row>
    <row r="2716" spans="1:40" x14ac:dyDescent="0.3">
      <c r="A2716" t="str">
        <f>"20200111160505024"</f>
        <v>20200111160505024</v>
      </c>
      <c r="B2716" t="str">
        <f>"1578729905014364"</f>
        <v>1578729905014364</v>
      </c>
      <c r="C2716" t="s">
        <v>40</v>
      </c>
      <c r="D2716">
        <v>5.4037620000000004</v>
      </c>
      <c r="E2716">
        <v>0.51684350000000001</v>
      </c>
      <c r="F2716" t="s">
        <v>42</v>
      </c>
      <c r="G2716">
        <v>-444.0145</v>
      </c>
      <c r="H2716">
        <v>1.0494779999999999</v>
      </c>
      <c r="I2716">
        <v>214.50559999999999</v>
      </c>
      <c r="J2716">
        <v>-444.4699</v>
      </c>
      <c r="K2716">
        <v>1.108217</v>
      </c>
      <c r="L2716">
        <v>214.5463</v>
      </c>
      <c r="M2716">
        <v>0.99865619999999999</v>
      </c>
      <c r="N2716">
        <v>0</v>
      </c>
      <c r="O2716">
        <v>-5.141515E-2</v>
      </c>
      <c r="P2716">
        <v>0.998969</v>
      </c>
      <c r="Q2716">
        <v>2.6120549999999999E-2</v>
      </c>
      <c r="R2716">
        <v>-3.7131030000000002E-2</v>
      </c>
      <c r="S2716">
        <v>3.0003660000000001</v>
      </c>
      <c r="T2716">
        <v>-0.22463250000000001</v>
      </c>
      <c r="U2716">
        <v>-0.22375490000000001</v>
      </c>
      <c r="V2716">
        <v>-1.4182449999999999E-2</v>
      </c>
      <c r="W2716">
        <v>3.2671180000000001E-2</v>
      </c>
      <c r="X2716">
        <v>0.99936550000000002</v>
      </c>
      <c r="Y2716">
        <v>2.307584E-2</v>
      </c>
      <c r="Z2716">
        <v>2.9742309999999999E-3</v>
      </c>
      <c r="AA2716">
        <v>0.99972930000000004</v>
      </c>
      <c r="AB2716">
        <v>31</v>
      </c>
      <c r="AC2716">
        <v>0.45539999999999697</v>
      </c>
      <c r="AD2716">
        <v>-5.8738999999999798E-2</v>
      </c>
      <c r="AE2716">
        <v>-4.0700000000015203E-2</v>
      </c>
      <c r="AF2716">
        <v>1.6951431197522401E-2</v>
      </c>
      <c r="AG2716">
        <v>-5.8738999999999798E-2</v>
      </c>
      <c r="AH2716">
        <v>0.44947181664393199</v>
      </c>
      <c r="AI2716">
        <v>97.440245843769105</v>
      </c>
      <c r="AJ2716">
        <v>87.840164086192502</v>
      </c>
      <c r="AK2716">
        <v>0.45361055443832099</v>
      </c>
      <c r="AL2716">
        <v>88.127746051284703</v>
      </c>
      <c r="AM2716">
        <v>90.813055867224307</v>
      </c>
      <c r="AN2716">
        <v>0.99999997524042195</v>
      </c>
    </row>
    <row r="2717" spans="1:40" x14ac:dyDescent="0.3">
      <c r="A2717" t="str">
        <f>"20200111160505047"</f>
        <v>20200111160505047</v>
      </c>
      <c r="B2717" t="str">
        <f>"1578729905043644"</f>
        <v>1578729905043644</v>
      </c>
      <c r="C2717" t="s">
        <v>40</v>
      </c>
      <c r="D2717">
        <v>4.8369299999999997</v>
      </c>
      <c r="E2717">
        <v>0.47693219999999997</v>
      </c>
      <c r="F2717" t="s">
        <v>61</v>
      </c>
      <c r="G2717">
        <v>-429.2602</v>
      </c>
      <c r="H2717" s="1">
        <v>2.42661E-6</v>
      </c>
      <c r="I2717">
        <v>213.4196</v>
      </c>
      <c r="J2717">
        <v>-444.15719999999999</v>
      </c>
      <c r="K2717">
        <v>1.108333</v>
      </c>
      <c r="L2717">
        <v>214.529</v>
      </c>
      <c r="M2717">
        <v>0.99859249999999999</v>
      </c>
      <c r="N2717">
        <v>0</v>
      </c>
      <c r="O2717">
        <v>-5.263284E-2</v>
      </c>
      <c r="P2717">
        <v>0.9989574</v>
      </c>
      <c r="Q2717">
        <v>2.543689E-2</v>
      </c>
      <c r="R2717">
        <v>-3.7910480000000003E-2</v>
      </c>
      <c r="S2717">
        <v>3.0005799999999998</v>
      </c>
      <c r="T2717">
        <v>-0.21862970000000001</v>
      </c>
      <c r="U2717">
        <v>-0.22227479999999999</v>
      </c>
      <c r="V2717">
        <v>-1.4632600000000001E-2</v>
      </c>
      <c r="W2717">
        <v>3.2032560000000002E-2</v>
      </c>
      <c r="X2717">
        <v>0.99937969999999998</v>
      </c>
      <c r="Y2717">
        <v>2.1364580000000001E-2</v>
      </c>
      <c r="Z2717">
        <v>3.0453110000000002E-3</v>
      </c>
      <c r="AA2717">
        <v>0.99976710000000002</v>
      </c>
      <c r="AB2717">
        <v>31</v>
      </c>
      <c r="AC2717">
        <v>14.896999999999901</v>
      </c>
      <c r="AD2717">
        <v>-1.10833057339</v>
      </c>
      <c r="AE2717">
        <v>-1.1094000000000199</v>
      </c>
      <c r="AF2717">
        <v>0.32200148773186499</v>
      </c>
      <c r="AG2717">
        <v>-1.10833057339</v>
      </c>
      <c r="AH2717">
        <v>14.8529807555099</v>
      </c>
      <c r="AI2717">
        <v>94.266507727125799</v>
      </c>
      <c r="AJ2717">
        <v>88.758064995161803</v>
      </c>
      <c r="AK2717">
        <v>14.8977555001269</v>
      </c>
      <c r="AL2717">
        <v>88.164355476577498</v>
      </c>
      <c r="AM2717">
        <v>90.838846656828693</v>
      </c>
      <c r="AN2717">
        <v>0.99999999132750095</v>
      </c>
    </row>
    <row r="2718" spans="1:40" x14ac:dyDescent="0.3">
      <c r="A2718" t="str">
        <f>"20200111160505247"</f>
        <v>20200111160505247</v>
      </c>
      <c r="B2718" t="str">
        <f>"1578729905243724"</f>
        <v>1578729905243724</v>
      </c>
      <c r="C2718" t="s">
        <v>40</v>
      </c>
      <c r="D2718">
        <v>4.5744550000000004</v>
      </c>
      <c r="E2718">
        <v>0.46221079999999998</v>
      </c>
      <c r="F2718" t="s">
        <v>61</v>
      </c>
      <c r="G2718">
        <v>-406.74470000000002</v>
      </c>
      <c r="H2718" s="1">
        <v>5.2143409999999999E-6</v>
      </c>
      <c r="I2718">
        <v>215.5694</v>
      </c>
      <c r="J2718">
        <v>-441.29930000000002</v>
      </c>
      <c r="K2718">
        <v>1.1091690000000001</v>
      </c>
      <c r="L2718">
        <v>214.36320000000001</v>
      </c>
      <c r="M2718">
        <v>0.99828240000000001</v>
      </c>
      <c r="N2718">
        <v>0</v>
      </c>
      <c r="O2718">
        <v>-5.8186939999999999E-2</v>
      </c>
      <c r="P2718">
        <v>0.99913370000000001</v>
      </c>
      <c r="Q2718">
        <v>1.2509940000000001E-2</v>
      </c>
      <c r="R2718">
        <v>-3.9695479999999998E-2</v>
      </c>
      <c r="S2718">
        <v>3.008575</v>
      </c>
      <c r="T2718">
        <v>-8.9127659999999997E-2</v>
      </c>
      <c r="U2718">
        <v>8.3663940000000006E-2</v>
      </c>
      <c r="V2718">
        <v>-1.849659E-2</v>
      </c>
      <c r="W2718">
        <v>1.93563E-2</v>
      </c>
      <c r="X2718">
        <v>0.99964149999999996</v>
      </c>
      <c r="Y2718">
        <v>-8.5853289999999999E-2</v>
      </c>
      <c r="Z2718">
        <v>2.9938650000000001E-3</v>
      </c>
      <c r="AA2718">
        <v>0.9963033</v>
      </c>
      <c r="AB2718">
        <v>32</v>
      </c>
      <c r="AC2718">
        <v>34.554599999999901</v>
      </c>
      <c r="AD2718">
        <v>-1.109163785659</v>
      </c>
      <c r="AE2718">
        <v>1.2061999999999899</v>
      </c>
      <c r="AF2718">
        <v>-3.2115245334860401</v>
      </c>
      <c r="AG2718">
        <v>-1.109163785659</v>
      </c>
      <c r="AH2718">
        <v>34.390474175748999</v>
      </c>
      <c r="AI2718">
        <v>91.839270013869196</v>
      </c>
      <c r="AJ2718">
        <v>95.335044205361797</v>
      </c>
      <c r="AK2718">
        <v>34.557905725976198</v>
      </c>
      <c r="AL2718">
        <v>88.890896393277103</v>
      </c>
      <c r="AM2718">
        <v>91.060035645025195</v>
      </c>
      <c r="AN2718">
        <v>0.99999995935678299</v>
      </c>
    </row>
    <row r="2719" spans="1:40" x14ac:dyDescent="0.3">
      <c r="A2719" t="str">
        <f>"20200111160505270"</f>
        <v>20200111160505270</v>
      </c>
      <c r="B2719" t="str">
        <f>"1578729905264220"</f>
        <v>1578729905264220</v>
      </c>
      <c r="C2719" t="s">
        <v>40</v>
      </c>
      <c r="D2719">
        <v>5.4003809999999897</v>
      </c>
      <c r="E2719">
        <v>0.46837279999999998</v>
      </c>
      <c r="F2719" t="s">
        <v>61</v>
      </c>
      <c r="G2719">
        <v>-409.9631</v>
      </c>
      <c r="H2719" s="1">
        <v>2.0446350000000002E-6</v>
      </c>
      <c r="I2719">
        <v>216.3845</v>
      </c>
      <c r="J2719">
        <v>-440.97289999999998</v>
      </c>
      <c r="K2719">
        <v>1.1092280000000001</v>
      </c>
      <c r="L2719">
        <v>214.3441</v>
      </c>
      <c r="M2719">
        <v>0.99827699999999997</v>
      </c>
      <c r="N2719">
        <v>0</v>
      </c>
      <c r="O2719">
        <v>-5.8277490000000001E-2</v>
      </c>
      <c r="P2719">
        <v>0.99930399999999997</v>
      </c>
      <c r="Q2719">
        <v>8.5211019999999991E-3</v>
      </c>
      <c r="R2719">
        <v>-3.6321869999999999E-2</v>
      </c>
      <c r="S2719">
        <v>3.0116269999999998</v>
      </c>
      <c r="T2719">
        <v>-0.1065987</v>
      </c>
      <c r="U2719">
        <v>0.1942596</v>
      </c>
      <c r="V2719">
        <v>-2.1970969999999999E-2</v>
      </c>
      <c r="W2719">
        <v>1.5386749999999999E-2</v>
      </c>
      <c r="X2719">
        <v>0.99964019999999998</v>
      </c>
      <c r="Y2719">
        <v>-0.12230530000000001</v>
      </c>
      <c r="Z2719">
        <v>4.2217499999999998E-3</v>
      </c>
      <c r="AA2719">
        <v>0.99248360000000002</v>
      </c>
      <c r="AB2719">
        <v>32</v>
      </c>
      <c r="AC2719">
        <v>31.009799999999899</v>
      </c>
      <c r="AD2719">
        <v>-1.1092259553649999</v>
      </c>
      <c r="AE2719">
        <v>2.0404</v>
      </c>
      <c r="AF2719">
        <v>-3.8392564147132</v>
      </c>
      <c r="AG2719">
        <v>-1.1092259553649999</v>
      </c>
      <c r="AH2719">
        <v>30.79894427492</v>
      </c>
      <c r="AI2719">
        <v>92.046792087408505</v>
      </c>
      <c r="AJ2719">
        <v>97.105578263079195</v>
      </c>
      <c r="AK2719">
        <v>31.0571286581294</v>
      </c>
      <c r="AL2719">
        <v>89.118369376491302</v>
      </c>
      <c r="AM2719">
        <v>91.259094229958606</v>
      </c>
      <c r="AN2719">
        <v>1.00000000252717</v>
      </c>
    </row>
    <row r="2720" spans="1:40" x14ac:dyDescent="0.3">
      <c r="A2720" t="str">
        <f>"20200111160505291"</f>
        <v>20200111160505291</v>
      </c>
      <c r="B2720" t="str">
        <f>"1578729905283741"</f>
        <v>1578729905283741</v>
      </c>
      <c r="C2720" t="s">
        <v>40</v>
      </c>
      <c r="D2720">
        <v>5.3720990000000004</v>
      </c>
      <c r="E2720">
        <v>0.47738120000000001</v>
      </c>
      <c r="F2720" t="s">
        <v>61</v>
      </c>
      <c r="G2720">
        <v>-422.87740000000002</v>
      </c>
      <c r="H2720" s="1">
        <v>3.3934579999999999E-6</v>
      </c>
      <c r="I2720">
        <v>215.31110000000001</v>
      </c>
      <c r="J2720">
        <v>-440.65519999999998</v>
      </c>
      <c r="K2720">
        <v>1.1092799999999901</v>
      </c>
      <c r="L2720">
        <v>214.32550000000001</v>
      </c>
      <c r="M2720">
        <v>0.99827679999999996</v>
      </c>
      <c r="N2720">
        <v>0</v>
      </c>
      <c r="O2720">
        <v>-5.8278110000000001E-2</v>
      </c>
      <c r="P2720">
        <v>0.99952580000000002</v>
      </c>
      <c r="Q2720">
        <v>3.2901390000000001E-3</v>
      </c>
      <c r="R2720">
        <v>-3.0615449999999999E-2</v>
      </c>
      <c r="S2720">
        <v>3.0094599999999998</v>
      </c>
      <c r="T2720">
        <v>-0.18447530000000001</v>
      </c>
      <c r="U2720">
        <v>0.16082759999999999</v>
      </c>
      <c r="V2720">
        <v>-2.768574E-2</v>
      </c>
      <c r="W2720">
        <v>1.017202E-2</v>
      </c>
      <c r="X2720">
        <v>0.99956489999999998</v>
      </c>
      <c r="Y2720">
        <v>-0.111153</v>
      </c>
      <c r="Z2720">
        <v>6.9675650000000002E-3</v>
      </c>
      <c r="AA2720">
        <v>0.99377890000000002</v>
      </c>
      <c r="AB2720">
        <v>32</v>
      </c>
      <c r="AC2720">
        <v>17.7777999999999</v>
      </c>
      <c r="AD2720">
        <v>-1.1092766065420001</v>
      </c>
      <c r="AE2720">
        <v>0.98560000000000503</v>
      </c>
      <c r="AF2720">
        <v>-2.0121955815938302</v>
      </c>
      <c r="AG2720">
        <v>-1.1092766065420001</v>
      </c>
      <c r="AH2720">
        <v>17.621745497397601</v>
      </c>
      <c r="AI2720">
        <v>93.578781507133399</v>
      </c>
      <c r="AJ2720">
        <v>96.514287153633006</v>
      </c>
      <c r="AK2720">
        <v>17.770912751557201</v>
      </c>
      <c r="AL2720">
        <v>89.417176121983999</v>
      </c>
      <c r="AM2720">
        <v>91.586560907410203</v>
      </c>
      <c r="AN2720">
        <v>0.99999997975111798</v>
      </c>
    </row>
    <row r="2721" spans="1:40" x14ac:dyDescent="0.3">
      <c r="A2721" t="str">
        <f>"20200111160505313"</f>
        <v>20200111160505313</v>
      </c>
      <c r="B2721" t="str">
        <f>"1578729905304237"</f>
        <v>1578729905304237</v>
      </c>
      <c r="C2721" t="s">
        <v>40</v>
      </c>
      <c r="D2721">
        <v>5.2899659999999997</v>
      </c>
      <c r="E2721">
        <v>0.48231819999999997</v>
      </c>
      <c r="F2721" t="s">
        <v>61</v>
      </c>
      <c r="G2721">
        <v>-426.00450000000001</v>
      </c>
      <c r="H2721" s="1">
        <v>2.8787679999999998E-6</v>
      </c>
      <c r="I2721">
        <v>214.85339999999999</v>
      </c>
      <c r="J2721">
        <v>-440.33929999999998</v>
      </c>
      <c r="K2721">
        <v>1.1093379999999999</v>
      </c>
      <c r="L2721">
        <v>214.30709999999999</v>
      </c>
      <c r="M2721">
        <v>0.99828280000000003</v>
      </c>
      <c r="N2721">
        <v>0</v>
      </c>
      <c r="O2721">
        <v>-5.8171849999999997E-2</v>
      </c>
      <c r="P2721">
        <v>0.99970780000000004</v>
      </c>
      <c r="Q2721">
        <v>-9.6628070000000005E-4</v>
      </c>
      <c r="R2721">
        <v>-2.4154789999999999E-2</v>
      </c>
      <c r="S2721">
        <v>3.0055239999999999</v>
      </c>
      <c r="T2721">
        <v>-0.22756299999999999</v>
      </c>
      <c r="U2721">
        <v>0.1083069</v>
      </c>
      <c r="V2721">
        <v>-3.4041689999999999E-2</v>
      </c>
      <c r="W2721">
        <v>5.9278300000000003E-3</v>
      </c>
      <c r="X2721">
        <v>0.99940280000000004</v>
      </c>
      <c r="Y2721">
        <v>-9.3652990000000005E-2</v>
      </c>
      <c r="Z2721">
        <v>7.9354049999999995E-3</v>
      </c>
      <c r="AA2721">
        <v>0.99557329999999999</v>
      </c>
      <c r="AB2721">
        <v>32</v>
      </c>
      <c r="AC2721">
        <v>14.3347999999999</v>
      </c>
      <c r="AD2721">
        <v>-1.109335121232</v>
      </c>
      <c r="AE2721">
        <v>0.54630000000000201</v>
      </c>
      <c r="AF2721">
        <v>-1.37107723324677</v>
      </c>
      <c r="AG2721">
        <v>-1.109335121232</v>
      </c>
      <c r="AH2721">
        <v>14.1938626294803</v>
      </c>
      <c r="AI2721">
        <v>94.448301401559107</v>
      </c>
      <c r="AJ2721">
        <v>95.517452480447901</v>
      </c>
      <c r="AK2721">
        <v>14.3030141416166</v>
      </c>
      <c r="AL2721">
        <v>89.660358358720998</v>
      </c>
      <c r="AM2721">
        <v>91.950856424147204</v>
      </c>
      <c r="AN2721">
        <v>0.999999966237202</v>
      </c>
    </row>
    <row r="2722" spans="1:40" x14ac:dyDescent="0.3">
      <c r="A2722" t="str">
        <f>"20200111160505336"</f>
        <v>20200111160505336</v>
      </c>
      <c r="B2722" t="str">
        <f>"1578729905333517"</f>
        <v>1578729905333517</v>
      </c>
      <c r="C2722" t="s">
        <v>40</v>
      </c>
      <c r="D2722">
        <v>5.277749</v>
      </c>
      <c r="E2722">
        <v>0.48676599999999998</v>
      </c>
      <c r="F2722" t="s">
        <v>61</v>
      </c>
      <c r="G2722">
        <v>-426.8922</v>
      </c>
      <c r="H2722" s="1">
        <v>2.7343030000000001E-6</v>
      </c>
      <c r="I2722">
        <v>214.70490000000001</v>
      </c>
      <c r="J2722">
        <v>-440.00970000000001</v>
      </c>
      <c r="K2722">
        <v>1.1094189999999999</v>
      </c>
      <c r="L2722">
        <v>214.28809999999999</v>
      </c>
      <c r="M2722">
        <v>0.99829699999999999</v>
      </c>
      <c r="N2722">
        <v>0</v>
      </c>
      <c r="O2722">
        <v>-5.7930009999999997E-2</v>
      </c>
      <c r="P2722">
        <v>0.99984240000000002</v>
      </c>
      <c r="Q2722">
        <v>-4.8579540000000003E-3</v>
      </c>
      <c r="R2722">
        <v>-1.70796E-2</v>
      </c>
      <c r="S2722">
        <v>3.002777</v>
      </c>
      <c r="T2722">
        <v>-0.24771689999999999</v>
      </c>
      <c r="U2722">
        <v>8.8836670000000006E-2</v>
      </c>
      <c r="V2722">
        <v>-4.0871890000000001E-2</v>
      </c>
      <c r="W2722">
        <v>2.042117E-3</v>
      </c>
      <c r="X2722">
        <v>0.99916229999999995</v>
      </c>
      <c r="Y2722">
        <v>-8.6936550000000001E-2</v>
      </c>
      <c r="Z2722">
        <v>8.3480710000000003E-3</v>
      </c>
      <c r="AA2722">
        <v>0.99617889999999998</v>
      </c>
      <c r="AB2722">
        <v>32</v>
      </c>
      <c r="AC2722">
        <v>13.1175</v>
      </c>
      <c r="AD2722">
        <v>-1.1094162656969999</v>
      </c>
      <c r="AE2722">
        <v>0.41680000000002299</v>
      </c>
      <c r="AF2722">
        <v>-1.1676709570984201</v>
      </c>
      <c r="AG2722">
        <v>-1.1094162656969999</v>
      </c>
      <c r="AH2722">
        <v>12.9785823600375</v>
      </c>
      <c r="AI2722">
        <v>94.866237317205204</v>
      </c>
      <c r="AJ2722">
        <v>95.141006512182798</v>
      </c>
      <c r="AK2722">
        <v>13.078144363437801</v>
      </c>
      <c r="AL2722">
        <v>89.882995232332306</v>
      </c>
      <c r="AM2722">
        <v>92.342444191746793</v>
      </c>
      <c r="AN2722">
        <v>0.99999999168765097</v>
      </c>
    </row>
    <row r="2723" spans="1:40" x14ac:dyDescent="0.3">
      <c r="A2723" t="str">
        <f>"20200111160505369"</f>
        <v>20200111160505369</v>
      </c>
      <c r="B2723" t="str">
        <f>"1578729905363772"</f>
        <v>1578729905363772</v>
      </c>
      <c r="C2723" t="s">
        <v>40</v>
      </c>
      <c r="D2723">
        <v>5.4305029999999999</v>
      </c>
      <c r="E2723">
        <v>0.48960100000000001</v>
      </c>
      <c r="F2723" t="s">
        <v>61</v>
      </c>
      <c r="G2723">
        <v>-427.68630000000002</v>
      </c>
      <c r="H2723" s="1">
        <v>2.602818E-6</v>
      </c>
      <c r="I2723">
        <v>214.5976</v>
      </c>
      <c r="J2723">
        <v>-439.54169999999999</v>
      </c>
      <c r="K2723">
        <v>1.109572</v>
      </c>
      <c r="L2723">
        <v>214.26140000000001</v>
      </c>
      <c r="M2723">
        <v>0.99833070000000002</v>
      </c>
      <c r="N2723">
        <v>0</v>
      </c>
      <c r="O2723">
        <v>-5.7338130000000001E-2</v>
      </c>
      <c r="P2723">
        <v>0.99990990000000002</v>
      </c>
      <c r="Q2723">
        <v>-5.8531349999999998E-3</v>
      </c>
      <c r="R2723">
        <v>-1.2071739999999999E-2</v>
      </c>
      <c r="S2723">
        <v>3.0004580000000001</v>
      </c>
      <c r="T2723">
        <v>-0.27011590000000002</v>
      </c>
      <c r="U2723">
        <v>7.5363159999999998E-2</v>
      </c>
      <c r="V2723">
        <v>-4.5283370000000003E-2</v>
      </c>
      <c r="W2723">
        <v>1.0502969999999999E-3</v>
      </c>
      <c r="X2723">
        <v>0.99897360000000002</v>
      </c>
      <c r="Y2723">
        <v>-8.1826960000000004E-2</v>
      </c>
      <c r="Z2723">
        <v>8.8247819999999998E-3</v>
      </c>
      <c r="AA2723">
        <v>0.99660749999999998</v>
      </c>
      <c r="AB2723">
        <v>33</v>
      </c>
      <c r="AC2723">
        <v>11.8553999999999</v>
      </c>
      <c r="AD2723">
        <v>-1.109569397182</v>
      </c>
      <c r="AE2723">
        <v>0.33619999999999001</v>
      </c>
      <c r="AF2723">
        <v>-1.0066193555304099</v>
      </c>
      <c r="AG2723">
        <v>-1.109569397182</v>
      </c>
      <c r="AH2723">
        <v>11.714090738787499</v>
      </c>
      <c r="AI2723">
        <v>95.391213699775705</v>
      </c>
      <c r="AJ2723">
        <v>94.911495312013301</v>
      </c>
      <c r="AK2723">
        <v>11.8095024709189</v>
      </c>
      <c r="AL2723">
        <v>89.939822401802104</v>
      </c>
      <c r="AM2723">
        <v>92.595435034758395</v>
      </c>
      <c r="AN2723">
        <v>0.99999997010965203</v>
      </c>
    </row>
    <row r="2724" spans="1:40" x14ac:dyDescent="0.3">
      <c r="A2724" t="str">
        <f>"20200111160505391"</f>
        <v>20200111160505391</v>
      </c>
      <c r="B2724" t="str">
        <f>"1578729905383799"</f>
        <v>1578729905383799</v>
      </c>
      <c r="C2724" t="s">
        <v>40</v>
      </c>
      <c r="D2724">
        <v>5.1274889999999997</v>
      </c>
      <c r="E2724">
        <v>0.49167060000000001</v>
      </c>
      <c r="F2724" t="s">
        <v>61</v>
      </c>
      <c r="G2724">
        <v>-427.4717</v>
      </c>
      <c r="H2724" s="1">
        <v>2.6462479999999998E-6</v>
      </c>
      <c r="I2724">
        <v>214.53620000000001</v>
      </c>
      <c r="J2724">
        <v>-439.19560000000001</v>
      </c>
      <c r="K2724">
        <v>1.1097170000000001</v>
      </c>
      <c r="L2724">
        <v>214.24209999999999</v>
      </c>
      <c r="M2724">
        <v>0.9983668</v>
      </c>
      <c r="N2724">
        <v>0</v>
      </c>
      <c r="O2724">
        <v>-5.6705470000000001E-2</v>
      </c>
      <c r="P2724">
        <v>0.99994680000000002</v>
      </c>
      <c r="Q2724">
        <v>-3.190778E-3</v>
      </c>
      <c r="R2724">
        <v>-9.8220119999999998E-3</v>
      </c>
      <c r="S2724">
        <v>2.9994809999999998</v>
      </c>
      <c r="T2724">
        <v>-0.27573560000000003</v>
      </c>
      <c r="U2724">
        <v>6.8298339999999999E-2</v>
      </c>
      <c r="V2724">
        <v>-4.6901159999999997E-2</v>
      </c>
      <c r="W2724">
        <v>3.7134239999999999E-3</v>
      </c>
      <c r="X2724">
        <v>0.99889260000000002</v>
      </c>
      <c r="Y2724">
        <v>-7.8848390000000004E-2</v>
      </c>
      <c r="Z2724">
        <v>8.8161239999999998E-3</v>
      </c>
      <c r="AA2724">
        <v>0.99684759999999994</v>
      </c>
      <c r="AB2724">
        <v>33</v>
      </c>
      <c r="AC2724">
        <v>11.7239</v>
      </c>
      <c r="AD2724">
        <v>-1.109714353752</v>
      </c>
      <c r="AE2724">
        <v>0.29410000000001402</v>
      </c>
      <c r="AF2724">
        <v>-0.949946461687183</v>
      </c>
      <c r="AG2724">
        <v>-1.109714353752</v>
      </c>
      <c r="AH2724">
        <v>11.584631372238601</v>
      </c>
      <c r="AI2724">
        <v>95.453584726811698</v>
      </c>
      <c r="AJ2724">
        <v>94.687798710218203</v>
      </c>
      <c r="AK2724">
        <v>11.6763670830293</v>
      </c>
      <c r="AL2724">
        <v>89.7872359813191</v>
      </c>
      <c r="AM2724">
        <v>92.688243329972096</v>
      </c>
      <c r="AN2724">
        <v>0.99999996733095398</v>
      </c>
    </row>
    <row r="2725" spans="1:40" x14ac:dyDescent="0.3">
      <c r="A2725" t="str">
        <f>"20200111160505413"</f>
        <v>20200111160505413</v>
      </c>
      <c r="B2725" t="str">
        <f>"1578729905404296"</f>
        <v>1578729905404296</v>
      </c>
      <c r="C2725" t="s">
        <v>40</v>
      </c>
      <c r="D2725">
        <v>5.0794410000000001</v>
      </c>
      <c r="E2725">
        <v>0.49353279999999999</v>
      </c>
      <c r="F2725" t="s">
        <v>61</v>
      </c>
      <c r="G2725">
        <v>-426.41820000000001</v>
      </c>
      <c r="H2725" s="1">
        <v>2.8371930000000001E-6</v>
      </c>
      <c r="I2725">
        <v>214.48949999999999</v>
      </c>
      <c r="J2725">
        <v>-438.87990000000002</v>
      </c>
      <c r="K2725">
        <v>1.109853</v>
      </c>
      <c r="L2725">
        <v>214.22470000000001</v>
      </c>
      <c r="M2725">
        <v>0.99840609999999996</v>
      </c>
      <c r="N2725">
        <v>0</v>
      </c>
      <c r="O2725">
        <v>-5.6009370000000003E-2</v>
      </c>
      <c r="P2725">
        <v>0.99996019999999997</v>
      </c>
      <c r="Q2725">
        <v>1.6964339999999999E-3</v>
      </c>
      <c r="R2725">
        <v>-8.7745740000000003E-3</v>
      </c>
      <c r="S2725">
        <v>2.999908</v>
      </c>
      <c r="T2725">
        <v>-0.26054329999999998</v>
      </c>
      <c r="U2725">
        <v>5.8105469999999999E-2</v>
      </c>
      <c r="V2725">
        <v>-4.7258399999999999E-2</v>
      </c>
      <c r="W2725">
        <v>8.6028159999999992E-3</v>
      </c>
      <c r="X2725">
        <v>0.9988456</v>
      </c>
      <c r="Y2725">
        <v>-7.4842889999999995E-2</v>
      </c>
      <c r="Z2725">
        <v>8.0973690000000001E-3</v>
      </c>
      <c r="AA2725">
        <v>0.99716249999999995</v>
      </c>
      <c r="AB2725">
        <v>33</v>
      </c>
      <c r="AC2725">
        <v>12.4617</v>
      </c>
      <c r="AD2725">
        <v>-1.1098501628070001</v>
      </c>
      <c r="AE2725">
        <v>0.264799999999979</v>
      </c>
      <c r="AF2725">
        <v>-0.95480316872906201</v>
      </c>
      <c r="AG2725">
        <v>-1.1098501628070001</v>
      </c>
      <c r="AH2725">
        <v>12.329553630909301</v>
      </c>
      <c r="AI2725">
        <v>95.128369794863801</v>
      </c>
      <c r="AJ2725">
        <v>94.428159191102395</v>
      </c>
      <c r="AK2725">
        <v>12.4161712783115</v>
      </c>
      <c r="AL2725">
        <v>89.507088845940103</v>
      </c>
      <c r="AM2725">
        <v>92.708816213118297</v>
      </c>
      <c r="AN2725">
        <v>0.99999994872652298</v>
      </c>
    </row>
    <row r="2726" spans="1:40" x14ac:dyDescent="0.3">
      <c r="A2726" t="str">
        <f>"20200111160505436"</f>
        <v>20200111160505436</v>
      </c>
      <c r="B2726" t="str">
        <f>"1578729905433576"</f>
        <v>1578729905433576</v>
      </c>
      <c r="C2726" t="s">
        <v>40</v>
      </c>
      <c r="D2726">
        <v>5.2113350000000001</v>
      </c>
      <c r="E2726">
        <v>0.49561490000000002</v>
      </c>
      <c r="F2726" t="s">
        <v>61</v>
      </c>
      <c r="G2726">
        <v>-425.04070000000002</v>
      </c>
      <c r="H2726" s="1">
        <v>3.0860160000000002E-6</v>
      </c>
      <c r="I2726">
        <v>214.4384</v>
      </c>
      <c r="J2726">
        <v>-438.5421</v>
      </c>
      <c r="K2726">
        <v>1.109979</v>
      </c>
      <c r="L2726">
        <v>214.20660000000001</v>
      </c>
      <c r="M2726">
        <v>0.99845430000000002</v>
      </c>
      <c r="N2726">
        <v>0</v>
      </c>
      <c r="O2726">
        <v>-5.5140849999999998E-2</v>
      </c>
      <c r="P2726">
        <v>0.99994700000000003</v>
      </c>
      <c r="Q2726">
        <v>5.1716720000000004E-3</v>
      </c>
      <c r="R2726">
        <v>-8.9281250000000003E-3</v>
      </c>
      <c r="S2726">
        <v>3.0009160000000001</v>
      </c>
      <c r="T2726">
        <v>-0.24066290000000001</v>
      </c>
      <c r="U2726">
        <v>4.6325680000000001E-2</v>
      </c>
      <c r="V2726">
        <v>-4.6242699999999998E-2</v>
      </c>
      <c r="W2726">
        <v>1.208354E-2</v>
      </c>
      <c r="X2726">
        <v>0.99885710000000005</v>
      </c>
      <c r="Y2726">
        <v>-7.0145379999999993E-2</v>
      </c>
      <c r="Z2726">
        <v>7.2216800000000003E-3</v>
      </c>
      <c r="AA2726">
        <v>0.99751060000000003</v>
      </c>
      <c r="AB2726">
        <v>33</v>
      </c>
      <c r="AC2726">
        <v>13.501399999999901</v>
      </c>
      <c r="AD2726">
        <v>-1.109975913984</v>
      </c>
      <c r="AE2726">
        <v>0.23179999999999201</v>
      </c>
      <c r="AF2726">
        <v>-0.96939403631372401</v>
      </c>
      <c r="AG2726">
        <v>-1.109975913984</v>
      </c>
      <c r="AH2726">
        <v>13.3776853878397</v>
      </c>
      <c r="AI2726">
        <v>94.730744354315405</v>
      </c>
      <c r="AJ2726">
        <v>94.144609018473304</v>
      </c>
      <c r="AK2726">
        <v>13.4586120258846</v>
      </c>
      <c r="AL2726">
        <v>89.307647274370694</v>
      </c>
      <c r="AM2726">
        <v>92.650650517340594</v>
      </c>
      <c r="AN2726">
        <v>0.99999995273131403</v>
      </c>
    </row>
    <row r="2727" spans="1:40" x14ac:dyDescent="0.3">
      <c r="A2727" t="str">
        <f>"20200111160505525"</f>
        <v>20200111160505525</v>
      </c>
      <c r="B2727" t="str">
        <f>"1578729905514115"</f>
        <v>1578729905514115</v>
      </c>
      <c r="C2727" t="s">
        <v>40</v>
      </c>
      <c r="D2727">
        <v>4.9383089999999896</v>
      </c>
      <c r="E2727">
        <v>0.49692209999999998</v>
      </c>
      <c r="F2727" t="s">
        <v>61</v>
      </c>
      <c r="G2727">
        <v>-423.58699999999999</v>
      </c>
      <c r="H2727" s="1">
        <v>3.3517309999999998E-6</v>
      </c>
      <c r="I2727">
        <v>214.3485</v>
      </c>
      <c r="J2727">
        <v>-437.21550000000002</v>
      </c>
      <c r="K2727">
        <v>1.110312</v>
      </c>
      <c r="L2727">
        <v>214.13900000000001</v>
      </c>
      <c r="M2727">
        <v>0.99867309999999998</v>
      </c>
      <c r="N2727">
        <v>0</v>
      </c>
      <c r="O2727">
        <v>-5.1013740000000002E-2</v>
      </c>
      <c r="P2727">
        <v>0.99965179999999998</v>
      </c>
      <c r="Q2727">
        <v>1.939186E-2</v>
      </c>
      <c r="R2727">
        <v>-1.7900929999999999E-2</v>
      </c>
      <c r="S2727">
        <v>3.0015260000000001</v>
      </c>
      <c r="T2727">
        <v>-0.2227761</v>
      </c>
      <c r="U2727">
        <v>2.8488159999999998E-2</v>
      </c>
      <c r="V2727">
        <v>-3.3174349999999998E-2</v>
      </c>
      <c r="W2727">
        <v>2.6363480000000002E-2</v>
      </c>
      <c r="X2727">
        <v>0.99910180000000004</v>
      </c>
      <c r="Y2727">
        <v>-6.0185370000000002E-2</v>
      </c>
      <c r="Z2727">
        <v>6.0104809999999998E-3</v>
      </c>
      <c r="AA2727">
        <v>0.99816910000000003</v>
      </c>
      <c r="AB2727">
        <v>33</v>
      </c>
      <c r="AC2727">
        <v>13.628500000000001</v>
      </c>
      <c r="AD2727">
        <v>-1.1103086482690001</v>
      </c>
      <c r="AE2727">
        <v>0.209499999999991</v>
      </c>
      <c r="AF2727">
        <v>-0.89852286336037401</v>
      </c>
      <c r="AG2727">
        <v>-1.1103086482690001</v>
      </c>
      <c r="AH2727">
        <v>13.510415038813299</v>
      </c>
      <c r="AI2727">
        <v>94.687796433939198</v>
      </c>
      <c r="AJ2727">
        <v>93.804906572709498</v>
      </c>
      <c r="AK2727">
        <v>13.585707311413501</v>
      </c>
      <c r="AL2727">
        <v>88.489308814405703</v>
      </c>
      <c r="AM2727">
        <v>91.901760329349997</v>
      </c>
      <c r="AN2727">
        <v>0.99999998866943596</v>
      </c>
    </row>
    <row r="2728" spans="1:40" x14ac:dyDescent="0.3">
      <c r="A2728" t="str">
        <f>"20200111160505547"</f>
        <v>20200111160505547</v>
      </c>
      <c r="B2728" t="str">
        <f>"1578729905544371"</f>
        <v>1578729905544371</v>
      </c>
      <c r="C2728" t="s">
        <v>40</v>
      </c>
      <c r="D2728">
        <v>4.9136989999999896</v>
      </c>
      <c r="E2728">
        <v>0.49831500000000001</v>
      </c>
      <c r="F2728" t="s">
        <v>61</v>
      </c>
      <c r="G2728">
        <v>-418.40750000000003</v>
      </c>
      <c r="H2728" s="1">
        <v>3.7442909999999998E-6</v>
      </c>
      <c r="I2728">
        <v>214.07660000000001</v>
      </c>
      <c r="J2728">
        <v>-436.89210000000003</v>
      </c>
      <c r="K2728">
        <v>1.1103320000000001</v>
      </c>
      <c r="L2728">
        <v>214.1234</v>
      </c>
      <c r="M2728">
        <v>0.998726</v>
      </c>
      <c r="N2728">
        <v>0</v>
      </c>
      <c r="O2728">
        <v>-4.996606E-2</v>
      </c>
      <c r="P2728">
        <v>0.99962689999999998</v>
      </c>
      <c r="Q2728">
        <v>1.9469130000000001E-2</v>
      </c>
      <c r="R2728">
        <v>-1.9162599999999998E-2</v>
      </c>
      <c r="S2728">
        <v>3.0042719999999998</v>
      </c>
      <c r="T2728">
        <v>-0.17735429999999999</v>
      </c>
      <c r="U2728">
        <v>-9.9639889999999995E-3</v>
      </c>
      <c r="V2728">
        <v>-3.086647E-2</v>
      </c>
      <c r="W2728">
        <v>2.6457390000000001E-2</v>
      </c>
      <c r="X2728">
        <v>0.99917330000000004</v>
      </c>
      <c r="Y2728">
        <v>-4.6486720000000002E-2</v>
      </c>
      <c r="Z2728">
        <v>4.3171679999999997E-3</v>
      </c>
      <c r="AA2728">
        <v>0.99890959999999995</v>
      </c>
      <c r="AB2728">
        <v>33</v>
      </c>
      <c r="AC2728">
        <v>18.4846</v>
      </c>
      <c r="AD2728">
        <v>-1.110328255709</v>
      </c>
      <c r="AE2728">
        <v>-4.6799999999990398E-2</v>
      </c>
      <c r="AF2728">
        <v>-0.87373155689451998</v>
      </c>
      <c r="AG2728">
        <v>-1.110328255709</v>
      </c>
      <c r="AH2728">
        <v>18.397468400176699</v>
      </c>
      <c r="AI2728">
        <v>93.449859918849697</v>
      </c>
      <c r="AJ2728">
        <v>92.719044980975397</v>
      </c>
      <c r="AK2728">
        <v>18.4516416398227</v>
      </c>
      <c r="AL2728">
        <v>88.4839263194051</v>
      </c>
      <c r="AM2728">
        <v>91.769418984784494</v>
      </c>
      <c r="AN2728">
        <v>1.00000000794438</v>
      </c>
    </row>
    <row r="2729" spans="1:40" x14ac:dyDescent="0.3">
      <c r="A2729" t="str">
        <f>"20200111160505569"</f>
        <v>20200111160505569</v>
      </c>
      <c r="B2729" t="str">
        <f>"1578729905563891"</f>
        <v>1578729905563891</v>
      </c>
      <c r="C2729" t="s">
        <v>40</v>
      </c>
      <c r="D2729">
        <v>4.9761800000000003</v>
      </c>
      <c r="E2729">
        <v>0.49891839999999998</v>
      </c>
      <c r="F2729" t="s">
        <v>61</v>
      </c>
      <c r="G2729">
        <v>-418.85149999999999</v>
      </c>
      <c r="H2729" s="1">
        <v>3.8315259999999999E-6</v>
      </c>
      <c r="I2729">
        <v>213.9796</v>
      </c>
      <c r="J2729">
        <v>-436.56650000000002</v>
      </c>
      <c r="K2729">
        <v>1.110339</v>
      </c>
      <c r="L2729">
        <v>214.10810000000001</v>
      </c>
      <c r="M2729">
        <v>0.99877740000000004</v>
      </c>
      <c r="N2729">
        <v>0</v>
      </c>
      <c r="O2729">
        <v>-4.8926299999999999E-2</v>
      </c>
      <c r="P2729">
        <v>0.99961860000000002</v>
      </c>
      <c r="Q2729">
        <v>1.9629069999999998E-2</v>
      </c>
      <c r="R2729">
        <v>-1.9426160000000001E-2</v>
      </c>
      <c r="S2729">
        <v>3.0043030000000002</v>
      </c>
      <c r="T2729">
        <v>-0.1849034</v>
      </c>
      <c r="U2729">
        <v>-2.39563E-2</v>
      </c>
      <c r="V2729">
        <v>-2.956276E-2</v>
      </c>
      <c r="W2729">
        <v>2.6633279999999999E-2</v>
      </c>
      <c r="X2729">
        <v>0.99920799999999999</v>
      </c>
      <c r="Y2729">
        <v>-4.0792090000000003E-2</v>
      </c>
      <c r="Z2729">
        <v>4.2614519999999998E-3</v>
      </c>
      <c r="AA2729">
        <v>0.99915860000000001</v>
      </c>
      <c r="AB2729">
        <v>33</v>
      </c>
      <c r="AC2729">
        <v>17.715</v>
      </c>
      <c r="AD2729">
        <v>-1.1103351684739999</v>
      </c>
      <c r="AE2729">
        <v>-0.128500000000002</v>
      </c>
      <c r="AF2729">
        <v>-0.73551562505336898</v>
      </c>
      <c r="AG2729">
        <v>-1.1103351684739999</v>
      </c>
      <c r="AH2729">
        <v>17.630811632129198</v>
      </c>
      <c r="AI2729">
        <v>93.600432418932101</v>
      </c>
      <c r="AJ2729">
        <v>92.388858781337902</v>
      </c>
      <c r="AK2729">
        <v>17.6810448285351</v>
      </c>
      <c r="AL2729">
        <v>88.473844935756105</v>
      </c>
      <c r="AM2729">
        <v>91.694669591714899</v>
      </c>
      <c r="AN2729">
        <v>0.99999995782318696</v>
      </c>
    </row>
    <row r="2730" spans="1:40" x14ac:dyDescent="0.3">
      <c r="A2730" t="str">
        <f>"20200111160505592"</f>
        <v>20200111160505592</v>
      </c>
      <c r="B2730" t="str">
        <f>"1578729905583920"</f>
        <v>1578729905583920</v>
      </c>
      <c r="C2730" t="s">
        <v>40</v>
      </c>
      <c r="D2730">
        <v>4.9052280000000001</v>
      </c>
      <c r="E2730">
        <v>0.49949470000000001</v>
      </c>
      <c r="F2730" t="s">
        <v>61</v>
      </c>
      <c r="G2730">
        <v>-419.0779</v>
      </c>
      <c r="H2730" s="1">
        <v>3.874932E-6</v>
      </c>
      <c r="I2730">
        <v>213.9425</v>
      </c>
      <c r="J2730">
        <v>-436.21280000000002</v>
      </c>
      <c r="K2730">
        <v>1.1103289999999999</v>
      </c>
      <c r="L2730">
        <v>214.09180000000001</v>
      </c>
      <c r="M2730">
        <v>0.99883060000000001</v>
      </c>
      <c r="N2730">
        <v>0</v>
      </c>
      <c r="O2730">
        <v>-4.7827349999999998E-2</v>
      </c>
      <c r="P2730">
        <v>0.99963340000000001</v>
      </c>
      <c r="Q2730">
        <v>1.9802509999999999E-2</v>
      </c>
      <c r="R2730">
        <v>-1.8477839999999999E-2</v>
      </c>
      <c r="S2730">
        <v>3.0043329999999999</v>
      </c>
      <c r="T2730">
        <v>-0.19074279999999999</v>
      </c>
      <c r="U2730">
        <v>-2.844238E-2</v>
      </c>
      <c r="V2730">
        <v>-2.9411570000000001E-2</v>
      </c>
      <c r="W2730">
        <v>2.6821080000000001E-2</v>
      </c>
      <c r="X2730">
        <v>0.99920750000000003</v>
      </c>
      <c r="Y2730">
        <v>-3.8197429999999997E-2</v>
      </c>
      <c r="Z2730">
        <v>4.2437519999999999E-3</v>
      </c>
      <c r="AA2730">
        <v>0.99926119999999996</v>
      </c>
      <c r="AB2730">
        <v>34</v>
      </c>
      <c r="AC2730">
        <v>17.134899999999998</v>
      </c>
      <c r="AD2730">
        <v>-1.110325125068</v>
      </c>
      <c r="AE2730">
        <v>-0.14930000000001001</v>
      </c>
      <c r="AF2730">
        <v>-0.66760519832866005</v>
      </c>
      <c r="AG2730">
        <v>-1.110325125068</v>
      </c>
      <c r="AH2730">
        <v>17.0508413259946</v>
      </c>
      <c r="AI2730">
        <v>93.722910095456896</v>
      </c>
      <c r="AJ2730">
        <v>92.242202069636804</v>
      </c>
      <c r="AK2730">
        <v>17.0999914768528</v>
      </c>
      <c r="AL2730">
        <v>88.463081037310502</v>
      </c>
      <c r="AM2730">
        <v>91.686008563215395</v>
      </c>
      <c r="AN2730">
        <v>1.00000001941924</v>
      </c>
    </row>
    <row r="2731" spans="1:40" x14ac:dyDescent="0.3">
      <c r="A2731" t="str">
        <f>"20200111160505659"</f>
        <v>20200111160505659</v>
      </c>
      <c r="B2731" t="str">
        <f>"1578729905654191"</f>
        <v>1578729905654191</v>
      </c>
      <c r="C2731" t="s">
        <v>40</v>
      </c>
      <c r="D2731">
        <v>4.9925110000000004</v>
      </c>
      <c r="E2731">
        <v>0.50176769999999904</v>
      </c>
      <c r="F2731" t="s">
        <v>61</v>
      </c>
      <c r="G2731">
        <v>-419.07499999999999</v>
      </c>
      <c r="H2731" s="1">
        <v>3.8760779999999999E-6</v>
      </c>
      <c r="I2731">
        <v>213.92349999999999</v>
      </c>
      <c r="J2731">
        <v>-435.21730000000002</v>
      </c>
      <c r="K2731">
        <v>1.1102620000000001</v>
      </c>
      <c r="L2731">
        <v>214.04769999999999</v>
      </c>
      <c r="M2731">
        <v>0.99896320000000005</v>
      </c>
      <c r="N2731">
        <v>0</v>
      </c>
      <c r="O2731">
        <v>-4.4963349999999999E-2</v>
      </c>
      <c r="P2731">
        <v>0.99975449999999999</v>
      </c>
      <c r="Q2731">
        <v>1.6923259999999999E-2</v>
      </c>
      <c r="R2731">
        <v>-1.430937E-2</v>
      </c>
      <c r="S2731">
        <v>3.0044249999999999</v>
      </c>
      <c r="T2731">
        <v>-0.19465150000000001</v>
      </c>
      <c r="U2731">
        <v>-2.9495239999999999E-2</v>
      </c>
      <c r="V2731">
        <v>-3.0707350000000001E-2</v>
      </c>
      <c r="W2731">
        <v>2.3981479999999999E-2</v>
      </c>
      <c r="X2731">
        <v>0.99924069999999998</v>
      </c>
      <c r="Y2731">
        <v>-3.4987909999999997E-2</v>
      </c>
      <c r="Z2731">
        <v>4.0413419999999999E-3</v>
      </c>
      <c r="AA2731">
        <v>0.99937960000000003</v>
      </c>
      <c r="AB2731">
        <v>34</v>
      </c>
      <c r="AC2731">
        <v>16.142299999999999</v>
      </c>
      <c r="AD2731">
        <v>-1.110258123922</v>
      </c>
      <c r="AE2731">
        <v>-0.124200000000001</v>
      </c>
      <c r="AF2731">
        <v>-0.59892284441692201</v>
      </c>
      <c r="AG2731">
        <v>-1.110258123922</v>
      </c>
      <c r="AH2731">
        <v>16.055609715041701</v>
      </c>
      <c r="AI2731">
        <v>93.953010634886098</v>
      </c>
      <c r="AJ2731">
        <v>92.136315478109196</v>
      </c>
      <c r="AK2731">
        <v>16.1050918965724</v>
      </c>
      <c r="AL2731">
        <v>88.625830691426401</v>
      </c>
      <c r="AM2731">
        <v>91.760184531851607</v>
      </c>
      <c r="AN2731">
        <v>1.00000001463175</v>
      </c>
    </row>
    <row r="2732" spans="1:40" x14ac:dyDescent="0.3">
      <c r="A2732" t="str">
        <f>"20200111160505680"</f>
        <v>20200111160505680</v>
      </c>
      <c r="B2732" t="str">
        <f>"1578729905674116"</f>
        <v>1578729905674116</v>
      </c>
      <c r="C2732" t="s">
        <v>40</v>
      </c>
      <c r="D2732">
        <v>5.1104279999999997</v>
      </c>
      <c r="E2732">
        <v>0.50256259999999997</v>
      </c>
      <c r="F2732" t="s">
        <v>61</v>
      </c>
      <c r="G2732">
        <v>-419.04250000000002</v>
      </c>
      <c r="H2732" s="1">
        <v>3.8758019999999999E-6</v>
      </c>
      <c r="I2732">
        <v>213.86070000000001</v>
      </c>
      <c r="J2732">
        <v>-434.87119999999999</v>
      </c>
      <c r="K2732">
        <v>1.1102339999999999</v>
      </c>
      <c r="L2732">
        <v>214.03299999999999</v>
      </c>
      <c r="M2732">
        <v>0.9990038</v>
      </c>
      <c r="N2732">
        <v>0</v>
      </c>
      <c r="O2732">
        <v>-4.4052649999999999E-2</v>
      </c>
      <c r="P2732">
        <v>0.99979589999999996</v>
      </c>
      <c r="Q2732">
        <v>1.542842E-2</v>
      </c>
      <c r="R2732">
        <v>-1.30463E-2</v>
      </c>
      <c r="S2732">
        <v>3.0037229999999999</v>
      </c>
      <c r="T2732">
        <v>-0.2061799</v>
      </c>
      <c r="U2732">
        <v>-3.4729000000000003E-2</v>
      </c>
      <c r="V2732">
        <v>-3.1055760000000002E-2</v>
      </c>
      <c r="W2732">
        <v>2.2501299999999998E-2</v>
      </c>
      <c r="X2732">
        <v>0.99926440000000005</v>
      </c>
      <c r="Y2732">
        <v>-3.2321210000000003E-2</v>
      </c>
      <c r="Z2732">
        <v>4.1272799999999997E-3</v>
      </c>
      <c r="AA2732">
        <v>0.99946900000000005</v>
      </c>
      <c r="AB2732">
        <v>34</v>
      </c>
      <c r="AC2732">
        <v>15.8286999999999</v>
      </c>
      <c r="AD2732">
        <v>-1.1102301241979999</v>
      </c>
      <c r="AE2732">
        <v>-0.172299999999978</v>
      </c>
      <c r="AF2732">
        <v>-0.52261039524685604</v>
      </c>
      <c r="AG2732">
        <v>-1.1102301241979999</v>
      </c>
      <c r="AH2732">
        <v>15.743479884244501</v>
      </c>
      <c r="AI2732">
        <v>94.031606774988305</v>
      </c>
      <c r="AJ2732">
        <v>91.901255564123005</v>
      </c>
      <c r="AK2732">
        <v>15.7912283062309</v>
      </c>
      <c r="AL2732">
        <v>88.7106617311577</v>
      </c>
      <c r="AM2732">
        <v>91.780100867095499</v>
      </c>
      <c r="AN2732">
        <v>1.0000000549191099</v>
      </c>
    </row>
    <row r="2733" spans="1:40" x14ac:dyDescent="0.3">
      <c r="A2733" t="str">
        <f>"20200111160505704"</f>
        <v>20200111160505704</v>
      </c>
      <c r="B2733" t="str">
        <f>"1578729905693635"</f>
        <v>1578729905693635</v>
      </c>
      <c r="C2733" t="s">
        <v>40</v>
      </c>
      <c r="D2733">
        <v>4.9664140000000003</v>
      </c>
      <c r="E2733">
        <v>0.50331769999999998</v>
      </c>
      <c r="F2733" t="s">
        <v>61</v>
      </c>
      <c r="G2733">
        <v>-419.08670000000001</v>
      </c>
      <c r="H2733" s="1">
        <v>3.8856660000000002E-6</v>
      </c>
      <c r="I2733">
        <v>213.83760000000001</v>
      </c>
      <c r="J2733">
        <v>-434.52140000000003</v>
      </c>
      <c r="K2733">
        <v>1.110204</v>
      </c>
      <c r="L2733">
        <v>214.01840000000001</v>
      </c>
      <c r="M2733">
        <v>0.99904219999999999</v>
      </c>
      <c r="N2733">
        <v>0</v>
      </c>
      <c r="O2733">
        <v>-4.3170930000000003E-2</v>
      </c>
      <c r="P2733">
        <v>0.99984249999999997</v>
      </c>
      <c r="Q2733">
        <v>1.289036E-2</v>
      </c>
      <c r="R2733">
        <v>-1.219664E-2</v>
      </c>
      <c r="S2733">
        <v>3.003387</v>
      </c>
      <c r="T2733">
        <v>-0.21124850000000001</v>
      </c>
      <c r="U2733">
        <v>-3.7185669999999997E-2</v>
      </c>
      <c r="V2733">
        <v>-3.1018359999999998E-2</v>
      </c>
      <c r="W2733">
        <v>1.997941E-2</v>
      </c>
      <c r="X2733">
        <v>0.99931910000000002</v>
      </c>
      <c r="Y2733">
        <v>-3.0617769999999999E-2</v>
      </c>
      <c r="Z2733">
        <v>4.1072160000000003E-3</v>
      </c>
      <c r="AA2733">
        <v>0.99952269999999999</v>
      </c>
      <c r="AB2733">
        <v>34</v>
      </c>
      <c r="AC2733">
        <v>15.434699999999999</v>
      </c>
      <c r="AD2733">
        <v>-1.1102001143339999</v>
      </c>
      <c r="AE2733">
        <v>-0.18080000000000401</v>
      </c>
      <c r="AF2733">
        <v>-0.48321619721592202</v>
      </c>
      <c r="AG2733">
        <v>-1.1102001143339999</v>
      </c>
      <c r="AH2733">
        <v>15.348715359859399</v>
      </c>
      <c r="AI2733">
        <v>94.135059985277906</v>
      </c>
      <c r="AJ2733">
        <v>91.803219775387703</v>
      </c>
      <c r="AK2733">
        <v>15.3963991045018</v>
      </c>
      <c r="AL2733">
        <v>88.855187945521905</v>
      </c>
      <c r="AM2733">
        <v>91.777861236140794</v>
      </c>
      <c r="AN2733">
        <v>0.99999998955292302</v>
      </c>
    </row>
    <row r="2734" spans="1:40" x14ac:dyDescent="0.3">
      <c r="A2734" t="str">
        <f>"20200111160505747"</f>
        <v>20200111160505747</v>
      </c>
      <c r="B2734" t="str">
        <f>"1578729905744387"</f>
        <v>1578729905744387</v>
      </c>
      <c r="C2734" t="s">
        <v>40</v>
      </c>
      <c r="D2734">
        <v>5.0450939999999997</v>
      </c>
      <c r="E2734">
        <v>0.50430799999999998</v>
      </c>
      <c r="F2734" t="s">
        <v>61</v>
      </c>
      <c r="G2734">
        <v>-419.34859999999998</v>
      </c>
      <c r="H2734" s="1">
        <v>3.934418E-6</v>
      </c>
      <c r="I2734">
        <v>213.81129999999999</v>
      </c>
      <c r="J2734">
        <v>-433.86590000000001</v>
      </c>
      <c r="K2734">
        <v>1.1101529999999999</v>
      </c>
      <c r="L2734">
        <v>213.99180000000001</v>
      </c>
      <c r="M2734">
        <v>0.99910849999999995</v>
      </c>
      <c r="N2734">
        <v>0</v>
      </c>
      <c r="O2734">
        <v>-4.1602920000000002E-2</v>
      </c>
      <c r="P2734">
        <v>0.99990219999999996</v>
      </c>
      <c r="Q2734">
        <v>9.5130990000000006E-3</v>
      </c>
      <c r="R2734">
        <v>-1.026553E-2</v>
      </c>
      <c r="S2734">
        <v>3.0028079999999999</v>
      </c>
      <c r="T2734">
        <v>-0.21971650000000001</v>
      </c>
      <c r="U2734">
        <v>-4.0985109999999998E-2</v>
      </c>
      <c r="V2734">
        <v>-3.1374329999999999E-2</v>
      </c>
      <c r="W2734">
        <v>1.6629709999999999E-2</v>
      </c>
      <c r="X2734">
        <v>0.99936939999999996</v>
      </c>
      <c r="Y2734">
        <v>-2.7778899999999999E-2</v>
      </c>
      <c r="Z2734">
        <v>4.0539920000000002E-3</v>
      </c>
      <c r="AA2734">
        <v>0.99960590000000005</v>
      </c>
      <c r="AB2734">
        <v>34</v>
      </c>
      <c r="AC2734">
        <v>14.517300000000001</v>
      </c>
      <c r="AD2734">
        <v>-1.1101490655820001</v>
      </c>
      <c r="AE2734">
        <v>-0.180500000000023</v>
      </c>
      <c r="AF2734">
        <v>-0.42117133839034998</v>
      </c>
      <c r="AG2734">
        <v>-1.1101490655820001</v>
      </c>
      <c r="AH2734">
        <v>14.4278821263065</v>
      </c>
      <c r="AI2734">
        <v>94.398070852958</v>
      </c>
      <c r="AJ2734">
        <v>91.672074181267803</v>
      </c>
      <c r="AK2734">
        <v>14.4766570345052</v>
      </c>
      <c r="AL2734">
        <v>89.047143925288395</v>
      </c>
      <c r="AM2734">
        <v>91.798160391242405</v>
      </c>
      <c r="AN2734">
        <v>1.0000000467469901</v>
      </c>
    </row>
    <row r="2735" spans="1:40" x14ac:dyDescent="0.3">
      <c r="A2735" t="str">
        <f>"20200111160505770"</f>
        <v>20200111160505770</v>
      </c>
      <c r="B2735" t="str">
        <f>"1578729905763907"</f>
        <v>1578729905763907</v>
      </c>
      <c r="C2735" t="s">
        <v>40</v>
      </c>
      <c r="D2735">
        <v>5.0636460000000003</v>
      </c>
      <c r="E2735">
        <v>0.50500080000000003</v>
      </c>
      <c r="F2735" t="s">
        <v>42</v>
      </c>
      <c r="G2735">
        <v>-432.87020000000001</v>
      </c>
      <c r="H2735">
        <v>1.033736</v>
      </c>
      <c r="I2735">
        <v>213.97710000000001</v>
      </c>
      <c r="J2735">
        <v>-433.50869999999998</v>
      </c>
      <c r="K2735">
        <v>1.1101369999999999</v>
      </c>
      <c r="L2735">
        <v>213.9777</v>
      </c>
      <c r="M2735">
        <v>0.99914239999999999</v>
      </c>
      <c r="N2735">
        <v>0</v>
      </c>
      <c r="O2735">
        <v>-4.077621E-2</v>
      </c>
      <c r="P2735">
        <v>0.99991799999999997</v>
      </c>
      <c r="Q2735">
        <v>9.6606279999999992E-3</v>
      </c>
      <c r="R2735">
        <v>-8.4116380000000008E-3</v>
      </c>
      <c r="S2735">
        <v>3.0020449999999999</v>
      </c>
      <c r="T2735">
        <v>-0.23050390000000001</v>
      </c>
      <c r="U2735">
        <v>-4.3762210000000003E-2</v>
      </c>
      <c r="V2735">
        <v>-3.2399730000000002E-2</v>
      </c>
      <c r="W2735">
        <v>1.67899E-2</v>
      </c>
      <c r="X2735">
        <v>0.99933399999999994</v>
      </c>
      <c r="Y2735">
        <v>-2.6012670000000002E-2</v>
      </c>
      <c r="Z2735">
        <v>4.1224570000000004E-3</v>
      </c>
      <c r="AA2735">
        <v>0.99965309999999996</v>
      </c>
      <c r="AB2735">
        <v>34</v>
      </c>
      <c r="AC2735">
        <v>0.63849999999996498</v>
      </c>
      <c r="AD2735">
        <v>-7.6401000000000094E-2</v>
      </c>
      <c r="AE2735">
        <v>-5.9999999999149601E-4</v>
      </c>
      <c r="AF2735">
        <v>-2.5077725490166399E-2</v>
      </c>
      <c r="AG2735">
        <v>-7.6401000000000094E-2</v>
      </c>
      <c r="AH2735">
        <v>0.62898768946841399</v>
      </c>
      <c r="AI2735">
        <v>96.920151843611393</v>
      </c>
      <c r="AJ2735">
        <v>92.283172206245098</v>
      </c>
      <c r="AK2735">
        <v>0.63410686687621898</v>
      </c>
      <c r="AL2735">
        <v>89.037964429940999</v>
      </c>
      <c r="AM2735">
        <v>91.856954492486594</v>
      </c>
      <c r="AN2735">
        <v>1.0000000434010401</v>
      </c>
    </row>
    <row r="2736" spans="1:40" x14ac:dyDescent="0.3">
      <c r="A2736" t="str">
        <f>"20200111160505793"</f>
        <v>20200111160505793</v>
      </c>
      <c r="B2736" t="str">
        <f>"1578729905783934"</f>
        <v>1578729905783934</v>
      </c>
      <c r="C2736" t="s">
        <v>40</v>
      </c>
      <c r="D2736">
        <v>5.2353930000000002</v>
      </c>
      <c r="E2736">
        <v>0.50471820000000001</v>
      </c>
      <c r="F2736" t="s">
        <v>61</v>
      </c>
      <c r="G2736">
        <v>-419.01029999999997</v>
      </c>
      <c r="H2736" s="1">
        <v>3.8785460000000002E-6</v>
      </c>
      <c r="I2736">
        <v>213.76400000000001</v>
      </c>
      <c r="J2736">
        <v>-433.15410000000003</v>
      </c>
      <c r="K2736">
        <v>1.1101289999999999</v>
      </c>
      <c r="L2736">
        <v>213.964</v>
      </c>
      <c r="M2736">
        <v>0.99917500000000004</v>
      </c>
      <c r="N2736">
        <v>0</v>
      </c>
      <c r="O2736">
        <v>-3.9966509999999997E-2</v>
      </c>
      <c r="P2736">
        <v>0.99992349999999997</v>
      </c>
      <c r="Q2736">
        <v>1.0674640000000001E-2</v>
      </c>
      <c r="R2736">
        <v>-6.2569640000000003E-3</v>
      </c>
      <c r="S2736">
        <v>3.002075</v>
      </c>
      <c r="T2736">
        <v>-0.22986819999999999</v>
      </c>
      <c r="U2736">
        <v>-4.4250490000000003E-2</v>
      </c>
      <c r="V2736">
        <v>-3.3744320000000001E-2</v>
      </c>
      <c r="W2736">
        <v>1.781543E-2</v>
      </c>
      <c r="X2736">
        <v>0.99927169999999998</v>
      </c>
      <c r="Y2736">
        <v>-2.5046430000000001E-2</v>
      </c>
      <c r="Z2736">
        <v>4.0122780000000002E-3</v>
      </c>
      <c r="AA2736">
        <v>0.99967830000000002</v>
      </c>
      <c r="AB2736">
        <v>34</v>
      </c>
      <c r="AC2736">
        <v>14.143800000000001</v>
      </c>
      <c r="AD2736">
        <v>-1.110125121454</v>
      </c>
      <c r="AE2736">
        <v>-0.200000000000017</v>
      </c>
      <c r="AF2736">
        <v>-0.36321570476548998</v>
      </c>
      <c r="AG2736">
        <v>-1.110125121454</v>
      </c>
      <c r="AH2736">
        <v>14.053931231364</v>
      </c>
      <c r="AI2736">
        <v>94.514935214827105</v>
      </c>
      <c r="AJ2736">
        <v>91.480446648816297</v>
      </c>
      <c r="AK2736">
        <v>14.102385843869801</v>
      </c>
      <c r="AL2736">
        <v>88.979197046774999</v>
      </c>
      <c r="AM2736">
        <v>91.934081298838294</v>
      </c>
      <c r="AN2736">
        <v>0.99999999954961805</v>
      </c>
    </row>
    <row r="2737" spans="1:40" x14ac:dyDescent="0.3">
      <c r="A2737" t="str">
        <f>"20200111160505816"</f>
        <v>20200111160505816</v>
      </c>
      <c r="B2737" t="str">
        <f>"1578729905804430"</f>
        <v>1578729905804430</v>
      </c>
      <c r="C2737" t="s">
        <v>40</v>
      </c>
      <c r="D2737">
        <v>5.3552799999999996</v>
      </c>
      <c r="E2737">
        <v>0.46732849999999998</v>
      </c>
      <c r="F2737" t="s">
        <v>61</v>
      </c>
      <c r="G2737">
        <v>-418.5138</v>
      </c>
      <c r="H2737" s="1">
        <v>3.7880640000000001E-6</v>
      </c>
      <c r="I2737">
        <v>213.79150000000001</v>
      </c>
      <c r="J2737">
        <v>-432.8091</v>
      </c>
      <c r="K2737">
        <v>1.1101209999999999</v>
      </c>
      <c r="L2737">
        <v>213.95099999999999</v>
      </c>
      <c r="M2737">
        <v>0.99920600000000004</v>
      </c>
      <c r="N2737">
        <v>0</v>
      </c>
      <c r="O2737">
        <v>-3.9183620000000002E-2</v>
      </c>
      <c r="P2737">
        <v>0.99993129999999997</v>
      </c>
      <c r="Q2737">
        <v>1.0615599999999999E-2</v>
      </c>
      <c r="R2737">
        <v>-4.9900880000000002E-3</v>
      </c>
      <c r="S2737">
        <v>3.0024410000000001</v>
      </c>
      <c r="T2737">
        <v>-0.22766410000000001</v>
      </c>
      <c r="U2737">
        <v>-3.5385130000000001E-2</v>
      </c>
      <c r="V2737">
        <v>-3.4227500000000001E-2</v>
      </c>
      <c r="W2737">
        <v>1.7769179999999999E-2</v>
      </c>
      <c r="X2737">
        <v>0.99925609999999998</v>
      </c>
      <c r="Y2737">
        <v>-2.721581E-2</v>
      </c>
      <c r="Z2737">
        <v>3.9964479999999997E-3</v>
      </c>
      <c r="AA2737">
        <v>0.9996216</v>
      </c>
      <c r="AB2737">
        <v>34</v>
      </c>
      <c r="AC2737">
        <v>14.2952999999999</v>
      </c>
      <c r="AD2737">
        <v>-1.1101172119360001</v>
      </c>
      <c r="AE2737">
        <v>-0.15949999999997999</v>
      </c>
      <c r="AF2737">
        <v>-0.39837657035280799</v>
      </c>
      <c r="AG2737">
        <v>-1.1101172119360001</v>
      </c>
      <c r="AH2737">
        <v>14.204919305496899</v>
      </c>
      <c r="AI2737">
        <v>94.466844686148207</v>
      </c>
      <c r="AJ2737">
        <v>91.606437480013795</v>
      </c>
      <c r="AK2737">
        <v>14.2537993739115</v>
      </c>
      <c r="AL2737">
        <v>88.981847406199407</v>
      </c>
      <c r="AM2737">
        <v>91.961784243007997</v>
      </c>
      <c r="AN2737">
        <v>1.00000000945066</v>
      </c>
    </row>
    <row r="2738" spans="1:40" x14ac:dyDescent="0.3">
      <c r="A2738" t="str">
        <f>"20200111160505836"</f>
        <v>20200111160505836</v>
      </c>
      <c r="B2738" t="str">
        <f>"1578729905833710"</f>
        <v>1578729905833710</v>
      </c>
      <c r="C2738" t="s">
        <v>40</v>
      </c>
      <c r="D2738">
        <v>5.2557260000000001</v>
      </c>
      <c r="E2738">
        <v>0.4679836</v>
      </c>
      <c r="F2738" t="s">
        <v>61</v>
      </c>
      <c r="G2738">
        <v>-415.94889999999998</v>
      </c>
      <c r="H2738" s="1">
        <v>3.1890380000000001E-6</v>
      </c>
      <c r="I2738">
        <v>215.4392</v>
      </c>
      <c r="J2738">
        <v>-432.4864</v>
      </c>
      <c r="K2738">
        <v>1.1101209999999999</v>
      </c>
      <c r="L2738">
        <v>213.93899999999999</v>
      </c>
      <c r="M2738">
        <v>0.99923430000000002</v>
      </c>
      <c r="N2738">
        <v>0</v>
      </c>
      <c r="O2738">
        <v>-3.8453050000000003E-2</v>
      </c>
      <c r="P2738">
        <v>0.99994709999999998</v>
      </c>
      <c r="Q2738">
        <v>9.516053E-3</v>
      </c>
      <c r="R2738">
        <v>-3.9365499999999996E-3</v>
      </c>
      <c r="S2738">
        <v>3.0036320000000001</v>
      </c>
      <c r="T2738">
        <v>-0.19776579999999999</v>
      </c>
      <c r="U2738">
        <v>0.26512150000000001</v>
      </c>
      <c r="V2738">
        <v>-3.4548339999999997E-2</v>
      </c>
      <c r="W2738">
        <v>1.6681680000000001E-2</v>
      </c>
      <c r="X2738">
        <v>0.99926380000000004</v>
      </c>
      <c r="Y2738">
        <v>-0.12581199999999901</v>
      </c>
      <c r="Z2738">
        <v>6.6542650000000004E-3</v>
      </c>
      <c r="AA2738">
        <v>0.99203180000000002</v>
      </c>
      <c r="AB2738">
        <v>35</v>
      </c>
      <c r="AC2738">
        <v>16.537500000000001</v>
      </c>
      <c r="AD2738">
        <v>-1.110117810962</v>
      </c>
      <c r="AE2738">
        <v>1.50019999999997</v>
      </c>
      <c r="AF2738">
        <v>-2.1255247114481701</v>
      </c>
      <c r="AG2738">
        <v>-1.110117810962</v>
      </c>
      <c r="AH2738">
        <v>16.3943085652541</v>
      </c>
      <c r="AI2738">
        <v>93.841734532244402</v>
      </c>
      <c r="AJ2738">
        <v>97.387199953192805</v>
      </c>
      <c r="AK2738">
        <v>16.568752825302099</v>
      </c>
      <c r="AL2738">
        <v>89.0441658099096</v>
      </c>
      <c r="AM2738">
        <v>91.980143698585906</v>
      </c>
      <c r="AN2738">
        <v>1.0000000041174</v>
      </c>
    </row>
    <row r="2739" spans="1:40" x14ac:dyDescent="0.3">
      <c r="A2739" t="str">
        <f>"20200111160505860"</f>
        <v>20200111160505860</v>
      </c>
      <c r="B2739" t="str">
        <f>"1578729905854206"</f>
        <v>1578729905854206</v>
      </c>
      <c r="C2739" t="s">
        <v>40</v>
      </c>
      <c r="D2739">
        <v>5.1768219999999996</v>
      </c>
      <c r="E2739">
        <v>0.46885080000000001</v>
      </c>
      <c r="F2739" t="s">
        <v>61</v>
      </c>
      <c r="G2739">
        <v>-417.72030000000001</v>
      </c>
      <c r="H2739" s="1">
        <v>3.520539E-6</v>
      </c>
      <c r="I2739">
        <v>215.24160000000001</v>
      </c>
      <c r="J2739">
        <v>-432.12329999999997</v>
      </c>
      <c r="K2739">
        <v>1.110115</v>
      </c>
      <c r="L2739">
        <v>213.92580000000001</v>
      </c>
      <c r="M2739">
        <v>0.99926550000000003</v>
      </c>
      <c r="N2739">
        <v>0</v>
      </c>
      <c r="O2739">
        <v>-3.7631629999999999E-2</v>
      </c>
      <c r="P2739">
        <v>0.99994830000000001</v>
      </c>
      <c r="Q2739">
        <v>9.5394220000000005E-3</v>
      </c>
      <c r="R2739">
        <v>-3.5128429999999999E-3</v>
      </c>
      <c r="S2739">
        <v>3.0033569999999998</v>
      </c>
      <c r="T2739">
        <v>-0.2257932</v>
      </c>
      <c r="U2739">
        <v>0.26493840000000002</v>
      </c>
      <c r="V2739">
        <v>-3.4149970000000002E-2</v>
      </c>
      <c r="W2739">
        <v>1.67203E-2</v>
      </c>
      <c r="X2739">
        <v>0.99927679999999997</v>
      </c>
      <c r="Y2739">
        <v>-0.1248423</v>
      </c>
      <c r="Z2739">
        <v>7.4976440000000004E-3</v>
      </c>
      <c r="AA2739">
        <v>0.99214829999999998</v>
      </c>
      <c r="AB2739">
        <v>35</v>
      </c>
      <c r="AC2739">
        <v>14.402999999999899</v>
      </c>
      <c r="AD2739">
        <v>-1.1101114794610001</v>
      </c>
      <c r="AE2739">
        <v>1.3157999999999901</v>
      </c>
      <c r="AF2739">
        <v>-1.8460148970852901</v>
      </c>
      <c r="AG2739">
        <v>-1.1101114794610001</v>
      </c>
      <c r="AH2739">
        <v>14.2592735972868</v>
      </c>
      <c r="AI2739">
        <v>94.414910063884506</v>
      </c>
      <c r="AJ2739">
        <v>97.376521401021407</v>
      </c>
      <c r="AK2739">
        <v>14.421061057334599</v>
      </c>
      <c r="AL2739">
        <v>89.041952692103607</v>
      </c>
      <c r="AM2739">
        <v>91.9573034772543</v>
      </c>
      <c r="AN2739">
        <v>0.99999995595066404</v>
      </c>
    </row>
    <row r="2740" spans="1:40" x14ac:dyDescent="0.3">
      <c r="A2740" t="str">
        <f>"20200111160505882"</f>
        <v>20200111160505882</v>
      </c>
      <c r="B2740" t="str">
        <f>"1578729905874233"</f>
        <v>1578729905874233</v>
      </c>
      <c r="C2740" t="s">
        <v>40</v>
      </c>
      <c r="D2740">
        <v>5.1430949999999998</v>
      </c>
      <c r="E2740">
        <v>0.4696979</v>
      </c>
      <c r="F2740" t="s">
        <v>61</v>
      </c>
      <c r="G2740">
        <v>-417.6703</v>
      </c>
      <c r="H2740" s="1">
        <v>3.5176789999999999E-6</v>
      </c>
      <c r="I2740">
        <v>215.1729</v>
      </c>
      <c r="J2740">
        <v>-431.77969999999999</v>
      </c>
      <c r="K2740">
        <v>1.110114</v>
      </c>
      <c r="L2740">
        <v>213.9136</v>
      </c>
      <c r="M2740">
        <v>0.99929429999999997</v>
      </c>
      <c r="N2740">
        <v>0</v>
      </c>
      <c r="O2740">
        <v>-3.6853839999999999E-2</v>
      </c>
      <c r="P2740">
        <v>0.99995880000000004</v>
      </c>
      <c r="Q2740">
        <v>8.6211080000000006E-3</v>
      </c>
      <c r="R2740">
        <v>-2.8406239999999999E-3</v>
      </c>
      <c r="S2740">
        <v>3.0032350000000001</v>
      </c>
      <c r="T2740">
        <v>-0.23067299999999999</v>
      </c>
      <c r="U2740">
        <v>0.25912479999999999</v>
      </c>
      <c r="V2740">
        <v>-3.404327E-2</v>
      </c>
      <c r="W2740">
        <v>1.5815860000000001E-2</v>
      </c>
      <c r="X2740">
        <v>0.99929520000000005</v>
      </c>
      <c r="Y2740">
        <v>-0.1221573</v>
      </c>
      <c r="Z2740">
        <v>7.4977990000000003E-3</v>
      </c>
      <c r="AA2740">
        <v>0.99248239999999999</v>
      </c>
      <c r="AB2740">
        <v>35</v>
      </c>
      <c r="AC2740">
        <v>14.1093999999999</v>
      </c>
      <c r="AD2740">
        <v>-1.110110482321</v>
      </c>
      <c r="AE2740">
        <v>1.2592999999999901</v>
      </c>
      <c r="AF2740">
        <v>-1.76758822424842</v>
      </c>
      <c r="AG2740">
        <v>-1.110110482321</v>
      </c>
      <c r="AH2740">
        <v>13.9676220857675</v>
      </c>
      <c r="AI2740">
        <v>94.508361945517393</v>
      </c>
      <c r="AJ2740">
        <v>97.212383837911005</v>
      </c>
      <c r="AK2740">
        <v>14.122718581926099</v>
      </c>
      <c r="AL2740">
        <v>89.093780181458598</v>
      </c>
      <c r="AM2740">
        <v>91.951156808177004</v>
      </c>
      <c r="AN2740">
        <v>0.99999999120143601</v>
      </c>
    </row>
    <row r="2741" spans="1:40" x14ac:dyDescent="0.3">
      <c r="A2741" t="str">
        <f>"20200111160505905"</f>
        <v>20200111160505905</v>
      </c>
      <c r="B2741" t="str">
        <f>"1578729905893755"</f>
        <v>1578729905893755</v>
      </c>
      <c r="C2741" t="s">
        <v>40</v>
      </c>
      <c r="D2741">
        <v>5.2796799999999999</v>
      </c>
      <c r="E2741">
        <v>0.4700956</v>
      </c>
      <c r="F2741" t="s">
        <v>61</v>
      </c>
      <c r="G2741">
        <v>-417.69819999999999</v>
      </c>
      <c r="H2741" s="1">
        <v>3.5284789999999998E-6</v>
      </c>
      <c r="I2741">
        <v>215.10599999999999</v>
      </c>
      <c r="J2741">
        <v>-431.42410000000001</v>
      </c>
      <c r="K2741">
        <v>1.1101080000000001</v>
      </c>
      <c r="L2741">
        <v>213.90119999999999</v>
      </c>
      <c r="M2741">
        <v>0.99932359999999998</v>
      </c>
      <c r="N2741">
        <v>0</v>
      </c>
      <c r="O2741">
        <v>-3.6049110000000002E-2</v>
      </c>
      <c r="P2741">
        <v>0.99996870000000004</v>
      </c>
      <c r="Q2741">
        <v>7.7088959999999998E-3</v>
      </c>
      <c r="R2741">
        <v>-1.8770729999999999E-3</v>
      </c>
      <c r="S2741">
        <v>3.002869</v>
      </c>
      <c r="T2741">
        <v>-0.23672979999999999</v>
      </c>
      <c r="U2741">
        <v>0.25427250000000001</v>
      </c>
      <c r="V2741">
        <v>-3.4199550000000002E-2</v>
      </c>
      <c r="W2741">
        <v>1.4917120000000001E-2</v>
      </c>
      <c r="X2741">
        <v>0.99930370000000002</v>
      </c>
      <c r="Y2741">
        <v>-0.1197609</v>
      </c>
      <c r="Z2741">
        <v>7.5381179999999999E-3</v>
      </c>
      <c r="AA2741">
        <v>0.99277409999999999</v>
      </c>
      <c r="AB2741">
        <v>35</v>
      </c>
      <c r="AC2741">
        <v>13.725899999999999</v>
      </c>
      <c r="AD2741">
        <v>-1.110104471521</v>
      </c>
      <c r="AE2741">
        <v>1.2048000000000001</v>
      </c>
      <c r="AF2741">
        <v>-1.6878803438704799</v>
      </c>
      <c r="AG2741">
        <v>-1.110104471521</v>
      </c>
      <c r="AH2741">
        <v>13.5853620183305</v>
      </c>
      <c r="AI2741">
        <v>94.635960595846697</v>
      </c>
      <c r="AJ2741">
        <v>97.082282702658503</v>
      </c>
      <c r="AK2741">
        <v>13.7347491117243</v>
      </c>
      <c r="AL2741">
        <v>89.145280286945905</v>
      </c>
      <c r="AM2741">
        <v>91.960090213427605</v>
      </c>
      <c r="AN2741">
        <v>1.0000000072614901</v>
      </c>
    </row>
    <row r="2742" spans="1:40" x14ac:dyDescent="0.3">
      <c r="A2742" t="str">
        <f>"20200111160505928"</f>
        <v>20200111160505928</v>
      </c>
      <c r="B2742" t="str">
        <f>"1578729905924008"</f>
        <v>1578729905924008</v>
      </c>
      <c r="C2742" t="s">
        <v>40</v>
      </c>
      <c r="D2742">
        <v>5.3293419999999996</v>
      </c>
      <c r="E2742">
        <v>0.46965129999999999</v>
      </c>
      <c r="F2742" t="s">
        <v>61</v>
      </c>
      <c r="G2742">
        <v>-417.52140000000003</v>
      </c>
      <c r="H2742" s="1">
        <v>3.4997070000000001E-6</v>
      </c>
      <c r="I2742">
        <v>215.0763</v>
      </c>
      <c r="J2742">
        <v>-431.05599999999998</v>
      </c>
      <c r="K2742">
        <v>1.1101030000000001</v>
      </c>
      <c r="L2742">
        <v>213.8887</v>
      </c>
      <c r="M2742">
        <v>0.9993533</v>
      </c>
      <c r="N2742">
        <v>0</v>
      </c>
      <c r="O2742">
        <v>-3.5215400000000001E-2</v>
      </c>
      <c r="P2742">
        <v>0.99997879999999995</v>
      </c>
      <c r="Q2742">
        <v>6.4169619999999896E-3</v>
      </c>
      <c r="R2742">
        <v>-1.24478E-3</v>
      </c>
      <c r="S2742">
        <v>3.0024109999999999</v>
      </c>
      <c r="T2742">
        <v>-0.2397358</v>
      </c>
      <c r="U2742">
        <v>0.25376890000000002</v>
      </c>
      <c r="V2742">
        <v>-3.3995749999999998E-2</v>
      </c>
      <c r="W2742">
        <v>1.363933E-2</v>
      </c>
      <c r="X2742">
        <v>0.99932889999999996</v>
      </c>
      <c r="Y2742">
        <v>-0.1187734</v>
      </c>
      <c r="Z2742">
        <v>7.5290859999999999E-3</v>
      </c>
      <c r="AA2742">
        <v>0.99289289999999997</v>
      </c>
      <c r="AB2742">
        <v>35</v>
      </c>
      <c r="AC2742">
        <v>13.5345999999999</v>
      </c>
      <c r="AD2742">
        <v>-1.1100995002930001</v>
      </c>
      <c r="AE2742">
        <v>1.1876</v>
      </c>
      <c r="AF2742">
        <v>-1.6524707653010899</v>
      </c>
      <c r="AG2742">
        <v>-1.1100995002930001</v>
      </c>
      <c r="AH2742">
        <v>13.3949599379227</v>
      </c>
      <c r="AI2742">
        <v>94.702044740987404</v>
      </c>
      <c r="AJ2742">
        <v>97.032766930731995</v>
      </c>
      <c r="AK2742">
        <v>13.5420800569661</v>
      </c>
      <c r="AL2742">
        <v>89.218499720901804</v>
      </c>
      <c r="AM2742">
        <v>91.948369690767905</v>
      </c>
      <c r="AN2742">
        <v>0.99999999635806003</v>
      </c>
    </row>
    <row r="2743" spans="1:40" x14ac:dyDescent="0.3">
      <c r="A2743" t="str">
        <f>"20200111160505949"</f>
        <v>20200111160505949</v>
      </c>
      <c r="B2743" t="str">
        <f>"1578729905943529"</f>
        <v>1578729905943529</v>
      </c>
      <c r="C2743" t="s">
        <v>40</v>
      </c>
      <c r="D2743">
        <v>5.2916220000000003</v>
      </c>
      <c r="E2743">
        <v>0.4698407</v>
      </c>
      <c r="F2743" t="s">
        <v>61</v>
      </c>
      <c r="G2743">
        <v>-417.09620000000001</v>
      </c>
      <c r="H2743" s="1">
        <v>3.4229490000000002E-6</v>
      </c>
      <c r="I2743">
        <v>215.0916</v>
      </c>
      <c r="J2743">
        <v>-430.721</v>
      </c>
      <c r="K2743">
        <v>1.110098</v>
      </c>
      <c r="L2743">
        <v>213.8776</v>
      </c>
      <c r="M2743">
        <v>0.99937960000000003</v>
      </c>
      <c r="N2743">
        <v>0</v>
      </c>
      <c r="O2743">
        <v>-3.4456670000000002E-2</v>
      </c>
      <c r="P2743">
        <v>0.99998350000000003</v>
      </c>
      <c r="Q2743">
        <v>5.7352039999999998E-3</v>
      </c>
      <c r="R2743">
        <v>-5.3188400000000005E-4</v>
      </c>
      <c r="S2743">
        <v>3.0018919999999998</v>
      </c>
      <c r="T2743">
        <v>-0.2387136</v>
      </c>
      <c r="U2743">
        <v>0.25865169999999998</v>
      </c>
      <c r="V2743">
        <v>-3.3948399999999997E-2</v>
      </c>
      <c r="W2743">
        <v>1.297039E-2</v>
      </c>
      <c r="X2743">
        <v>0.99933939999999999</v>
      </c>
      <c r="Y2743">
        <v>-0.119641</v>
      </c>
      <c r="Z2743">
        <v>7.47210699999999E-3</v>
      </c>
      <c r="AA2743">
        <v>0.99278909999999998</v>
      </c>
      <c r="AB2743">
        <v>35</v>
      </c>
      <c r="AC2743">
        <v>13.624799999999899</v>
      </c>
      <c r="AD2743">
        <v>-1.110094577051</v>
      </c>
      <c r="AE2743">
        <v>1.21399999999999</v>
      </c>
      <c r="AF2743">
        <v>-1.67174657931384</v>
      </c>
      <c r="AG2743">
        <v>-1.110094577051</v>
      </c>
      <c r="AH2743">
        <v>13.4860576371784</v>
      </c>
      <c r="AI2743">
        <v>94.670065487630495</v>
      </c>
      <c r="AJ2743">
        <v>97.066400219055893</v>
      </c>
      <c r="AK2743">
        <v>13.6345442603977</v>
      </c>
      <c r="AL2743">
        <v>89.256830541617802</v>
      </c>
      <c r="AM2743">
        <v>91.945637620236894</v>
      </c>
      <c r="AN2743">
        <v>0.99999998063583495</v>
      </c>
    </row>
    <row r="2744" spans="1:40" x14ac:dyDescent="0.3">
      <c r="A2744" t="str">
        <f>"20200111160505971"</f>
        <v>20200111160505971</v>
      </c>
      <c r="B2744" t="str">
        <f>"1578729905964025"</f>
        <v>1578729905964025</v>
      </c>
      <c r="C2744" t="s">
        <v>40</v>
      </c>
      <c r="D2744">
        <v>5.3211639999999996</v>
      </c>
      <c r="E2744">
        <v>0.47003289999999998</v>
      </c>
      <c r="F2744" t="s">
        <v>61</v>
      </c>
      <c r="G2744">
        <v>-417.00639999999999</v>
      </c>
      <c r="H2744" s="1">
        <v>3.4095149999999999E-6</v>
      </c>
      <c r="I2744">
        <v>215.06309999999999</v>
      </c>
      <c r="J2744">
        <v>-430.37909999999999</v>
      </c>
      <c r="K2744">
        <v>1.1100920000000001</v>
      </c>
      <c r="L2744">
        <v>213.8665</v>
      </c>
      <c r="M2744">
        <v>0.99940589999999996</v>
      </c>
      <c r="N2744">
        <v>0</v>
      </c>
      <c r="O2744">
        <v>-3.3682669999999998E-2</v>
      </c>
      <c r="P2744">
        <v>0.99998799999999999</v>
      </c>
      <c r="Q2744">
        <v>4.9080219999999997E-3</v>
      </c>
      <c r="R2744">
        <v>2.1457179999999999E-4</v>
      </c>
      <c r="S2744">
        <v>3.0015559999999999</v>
      </c>
      <c r="T2744">
        <v>-0.24295349999999999</v>
      </c>
      <c r="U2744">
        <v>0.25946039999999998</v>
      </c>
      <c r="V2744">
        <v>-3.3919209999999998E-2</v>
      </c>
      <c r="W2744">
        <v>1.215601E-2</v>
      </c>
      <c r="X2744">
        <v>0.99935070000000004</v>
      </c>
      <c r="Y2744">
        <v>-0.1191339</v>
      </c>
      <c r="Z2744">
        <v>7.5222539999999999E-3</v>
      </c>
      <c r="AA2744">
        <v>0.99284969999999995</v>
      </c>
      <c r="AB2744">
        <v>35</v>
      </c>
      <c r="AC2744">
        <v>13.3727</v>
      </c>
      <c r="AD2744">
        <v>-1.110088590485</v>
      </c>
      <c r="AE2744">
        <v>1.1965999999999799</v>
      </c>
      <c r="AF2744">
        <v>-1.6351828304036</v>
      </c>
      <c r="AG2744">
        <v>-1.110088590485</v>
      </c>
      <c r="AH2744">
        <v>13.2343335612748</v>
      </c>
      <c r="AI2744">
        <v>94.758696789629994</v>
      </c>
      <c r="AJ2744">
        <v>97.043546117070406</v>
      </c>
      <c r="AK2744">
        <v>13.381095036605</v>
      </c>
      <c r="AL2744">
        <v>89.303494812828703</v>
      </c>
      <c r="AM2744">
        <v>91.943944014096601</v>
      </c>
      <c r="AN2744">
        <v>1.0000000514883101</v>
      </c>
    </row>
    <row r="2745" spans="1:40" x14ac:dyDescent="0.3">
      <c r="A2745" t="str">
        <f>"20200111160505993"</f>
        <v>20200111160505993</v>
      </c>
      <c r="B2745" t="str">
        <f>"1578729905984052"</f>
        <v>1578729905984052</v>
      </c>
      <c r="C2745" t="s">
        <v>40</v>
      </c>
      <c r="D2745">
        <v>5.4663959999999996</v>
      </c>
      <c r="E2745">
        <v>0.4695685</v>
      </c>
      <c r="F2745" t="s">
        <v>61</v>
      </c>
      <c r="G2745">
        <v>-416.82639999999998</v>
      </c>
      <c r="H2745" s="1">
        <v>3.379532E-6</v>
      </c>
      <c r="I2745">
        <v>215.04089999999999</v>
      </c>
      <c r="J2745">
        <v>-430.02030000000002</v>
      </c>
      <c r="K2745">
        <v>1.1100920000000001</v>
      </c>
      <c r="L2745">
        <v>213.8552</v>
      </c>
      <c r="M2745">
        <v>0.99943289999999996</v>
      </c>
      <c r="N2745">
        <v>0</v>
      </c>
      <c r="O2745">
        <v>-3.2871119999999997E-2</v>
      </c>
      <c r="P2745">
        <v>0.99998929999999997</v>
      </c>
      <c r="Q2745">
        <v>4.5806730000000004E-3</v>
      </c>
      <c r="R2745">
        <v>8.4671720000000005E-4</v>
      </c>
      <c r="S2745">
        <v>3.00116</v>
      </c>
      <c r="T2745">
        <v>-0.24582329999999999</v>
      </c>
      <c r="U2745">
        <v>0.26005549999999999</v>
      </c>
      <c r="V2745">
        <v>-3.3739199999999997E-2</v>
      </c>
      <c r="W2745">
        <v>1.184228E-2</v>
      </c>
      <c r="X2745">
        <v>0.99936049999999998</v>
      </c>
      <c r="Y2745">
        <v>-0.1185272</v>
      </c>
      <c r="Z2745">
        <v>7.5207299999999998E-3</v>
      </c>
      <c r="AA2745">
        <v>0.99292230000000004</v>
      </c>
      <c r="AB2745">
        <v>35</v>
      </c>
      <c r="AC2745">
        <v>13.193899999999999</v>
      </c>
      <c r="AD2745">
        <v>-1.1100886204680001</v>
      </c>
      <c r="AE2745">
        <v>1.18569999999999</v>
      </c>
      <c r="AF2745">
        <v>-1.60748094036898</v>
      </c>
      <c r="AG2745">
        <v>-1.1100886204680001</v>
      </c>
      <c r="AH2745">
        <v>13.0561101684352</v>
      </c>
      <c r="AI2745">
        <v>94.823605235166099</v>
      </c>
      <c r="AJ2745">
        <v>97.0189877412502</v>
      </c>
      <c r="AK2745">
        <v>13.201450846375099</v>
      </c>
      <c r="AL2745">
        <v>89.321471470081406</v>
      </c>
      <c r="AM2745">
        <v>91.933616365155203</v>
      </c>
      <c r="AN2745">
        <v>0.99999999108624404</v>
      </c>
    </row>
    <row r="2746" spans="1:40" x14ac:dyDescent="0.3">
      <c r="A2746" t="str">
        <f>"20200111160506027"</f>
        <v>20200111160506027</v>
      </c>
      <c r="B2746" t="str">
        <f>"1578729906024067"</f>
        <v>1578729906024067</v>
      </c>
      <c r="C2746" t="s">
        <v>40</v>
      </c>
      <c r="D2746">
        <v>5.5960260000000002</v>
      </c>
      <c r="E2746">
        <v>0.46921669999999999</v>
      </c>
      <c r="F2746" t="s">
        <v>61</v>
      </c>
      <c r="G2746">
        <v>-416.12209999999999</v>
      </c>
      <c r="H2746" s="1">
        <v>3.2509000000000001E-6</v>
      </c>
      <c r="I2746">
        <v>215.08320000000001</v>
      </c>
      <c r="J2746">
        <v>-429.48649999999998</v>
      </c>
      <c r="K2746">
        <v>1.1100969999999999</v>
      </c>
      <c r="L2746">
        <v>213.8389</v>
      </c>
      <c r="M2746">
        <v>0.99947160000000002</v>
      </c>
      <c r="N2746">
        <v>0</v>
      </c>
      <c r="O2746">
        <v>-3.1664169999999998E-2</v>
      </c>
      <c r="P2746">
        <v>0.99998949999999998</v>
      </c>
      <c r="Q2746">
        <v>4.2362550000000004E-3</v>
      </c>
      <c r="R2746">
        <v>1.80836E-3</v>
      </c>
      <c r="S2746">
        <v>3.0008849999999998</v>
      </c>
      <c r="T2746">
        <v>-0.23968909999999999</v>
      </c>
      <c r="U2746">
        <v>0.2651367</v>
      </c>
      <c r="V2746">
        <v>-3.3492960000000002E-2</v>
      </c>
      <c r="W2746">
        <v>1.151805E-2</v>
      </c>
      <c r="X2746">
        <v>0.99937260000000006</v>
      </c>
      <c r="Y2746">
        <v>-0.1190315</v>
      </c>
      <c r="Z2746">
        <v>7.2577789999999998E-3</v>
      </c>
      <c r="AA2746">
        <v>0.99286399999999997</v>
      </c>
      <c r="AB2746">
        <v>35</v>
      </c>
      <c r="AC2746">
        <v>13.3643999999999</v>
      </c>
      <c r="AD2746">
        <v>-1.11009374909999</v>
      </c>
      <c r="AE2746">
        <v>1.2443</v>
      </c>
      <c r="AF2746">
        <v>-1.65553579309511</v>
      </c>
      <c r="AG2746">
        <v>-1.11009374909999</v>
      </c>
      <c r="AH2746">
        <v>13.2278159205064</v>
      </c>
      <c r="AI2746">
        <v>94.7601245284295</v>
      </c>
      <c r="AJ2746">
        <v>97.133796613092102</v>
      </c>
      <c r="AK2746">
        <v>13.3771529452575</v>
      </c>
      <c r="AL2746">
        <v>89.340049766495298</v>
      </c>
      <c r="AM2746">
        <v>91.919491556755005</v>
      </c>
      <c r="AN2746">
        <v>1.00000001873806</v>
      </c>
    </row>
    <row r="2747" spans="1:40" x14ac:dyDescent="0.3">
      <c r="A2747" t="str">
        <f>"20200111160506042"</f>
        <v>20200111160506042</v>
      </c>
      <c r="B2747" t="str">
        <f>"1578729906033828"</f>
        <v>1578729906033828</v>
      </c>
      <c r="C2747" t="s">
        <v>40</v>
      </c>
      <c r="D2747">
        <v>5.4425270000000001</v>
      </c>
      <c r="E2747">
        <v>0.46908349999999999</v>
      </c>
      <c r="F2747" t="s">
        <v>61</v>
      </c>
      <c r="G2747">
        <v>-415.34960000000001</v>
      </c>
      <c r="H2747" s="1">
        <v>3.1112240000000002E-6</v>
      </c>
      <c r="I2747">
        <v>215.11330000000001</v>
      </c>
      <c r="J2747">
        <v>-429.24709999999999</v>
      </c>
      <c r="K2747">
        <v>1.1100969999999999</v>
      </c>
      <c r="L2747">
        <v>213.83170000000001</v>
      </c>
      <c r="M2747">
        <v>0.9994885</v>
      </c>
      <c r="N2747">
        <v>0</v>
      </c>
      <c r="O2747">
        <v>-3.1123809999999998E-2</v>
      </c>
      <c r="P2747">
        <v>0.9999924</v>
      </c>
      <c r="Q2747">
        <v>3.2783299999999999E-3</v>
      </c>
      <c r="R2747">
        <v>2.1226579999999999E-3</v>
      </c>
      <c r="S2747">
        <v>3.0005489999999999</v>
      </c>
      <c r="T2747">
        <v>-0.2356172</v>
      </c>
      <c r="U2747">
        <v>0.27050780000000002</v>
      </c>
      <c r="V2747">
        <v>-3.3265049999999997E-2</v>
      </c>
      <c r="W2747">
        <v>1.0569200000000001E-2</v>
      </c>
      <c r="X2747">
        <v>0.99939069999999997</v>
      </c>
      <c r="Y2747">
        <v>-0.120281399999999</v>
      </c>
      <c r="Z2747">
        <v>7.1417109999999898E-3</v>
      </c>
      <c r="AA2747">
        <v>0.99271419999999999</v>
      </c>
      <c r="AB2747">
        <v>35</v>
      </c>
      <c r="AC2747">
        <v>13.8974999999999</v>
      </c>
      <c r="AD2747">
        <v>-1.1100938887759999</v>
      </c>
      <c r="AE2747">
        <v>1.2815999999999901</v>
      </c>
      <c r="AF2747">
        <v>-1.7027612777010199</v>
      </c>
      <c r="AG2747">
        <v>-1.1100938887759999</v>
      </c>
      <c r="AH2747">
        <v>13.7637998049267</v>
      </c>
      <c r="AI2747">
        <v>94.576366820381693</v>
      </c>
      <c r="AJ2747">
        <v>97.052400954488206</v>
      </c>
      <c r="AK2747">
        <v>13.9130833922907</v>
      </c>
      <c r="AL2747">
        <v>89.394418185047996</v>
      </c>
      <c r="AM2747">
        <v>91.906405135840401</v>
      </c>
      <c r="AN2747">
        <v>1.00000002139331</v>
      </c>
    </row>
    <row r="2748" spans="1:40" x14ac:dyDescent="0.3">
      <c r="A2748" t="str">
        <f>"20200111160506061"</f>
        <v>20200111160506061</v>
      </c>
      <c r="B2748" t="str">
        <f>"1578729906054324"</f>
        <v>1578729906054324</v>
      </c>
      <c r="C2748" t="s">
        <v>40</v>
      </c>
      <c r="D2748">
        <v>5.3659879999999998</v>
      </c>
      <c r="E2748">
        <v>0.46896749999999998</v>
      </c>
      <c r="F2748" t="s">
        <v>61</v>
      </c>
      <c r="G2748">
        <v>-415.23390000000001</v>
      </c>
      <c r="H2748" s="1">
        <v>3.0917110000000001E-6</v>
      </c>
      <c r="I2748">
        <v>215.1018</v>
      </c>
      <c r="J2748">
        <v>-428.96769999999998</v>
      </c>
      <c r="K2748">
        <v>1.110096</v>
      </c>
      <c r="L2748">
        <v>213.8236</v>
      </c>
      <c r="M2748">
        <v>0.99950779999999995</v>
      </c>
      <c r="N2748">
        <v>0</v>
      </c>
      <c r="O2748">
        <v>-3.0492499999999999E-2</v>
      </c>
      <c r="P2748">
        <v>0.99999459999999996</v>
      </c>
      <c r="Q2748">
        <v>2.2335760000000001E-3</v>
      </c>
      <c r="R2748">
        <v>2.4108749999999998E-3</v>
      </c>
      <c r="S2748">
        <v>3.0002140000000002</v>
      </c>
      <c r="T2748">
        <v>-0.2376694</v>
      </c>
      <c r="U2748">
        <v>0.27192690000000003</v>
      </c>
      <c r="V2748">
        <v>-3.2920369999999997E-2</v>
      </c>
      <c r="W2748">
        <v>9.5354700000000008E-3</v>
      </c>
      <c r="X2748">
        <v>0.99941250000000004</v>
      </c>
      <c r="Y2748">
        <v>-0.12012440000000001</v>
      </c>
      <c r="Z2748">
        <v>7.148331E-3</v>
      </c>
      <c r="AA2748">
        <v>0.99273310000000003</v>
      </c>
      <c r="AB2748">
        <v>35</v>
      </c>
      <c r="AC2748">
        <v>13.733799999999899</v>
      </c>
      <c r="AD2748">
        <v>-1.1100929082890001</v>
      </c>
      <c r="AE2748">
        <v>1.27819999999999</v>
      </c>
      <c r="AF2748">
        <v>-1.6854775966837301</v>
      </c>
      <c r="AG2748">
        <v>-1.1100929082890001</v>
      </c>
      <c r="AH2748">
        <v>13.6003437895872</v>
      </c>
      <c r="AI2748">
        <v>94.631004604002896</v>
      </c>
      <c r="AJ2748">
        <v>97.064591137179406</v>
      </c>
      <c r="AK2748">
        <v>13.749272423983699</v>
      </c>
      <c r="AL2748">
        <v>89.453649539375505</v>
      </c>
      <c r="AM2748">
        <v>91.886624905974998</v>
      </c>
      <c r="AN2748">
        <v>1.0000000105526501</v>
      </c>
    </row>
    <row r="2749" spans="1:40" x14ac:dyDescent="0.3">
      <c r="A2749" t="str">
        <f>"20200111160506083"</f>
        <v>20200111160506083</v>
      </c>
      <c r="B2749" t="str">
        <f>"1578729906073843"</f>
        <v>1578729906073843</v>
      </c>
      <c r="C2749" t="s">
        <v>40</v>
      </c>
      <c r="D2749">
        <v>5.6494309999999999</v>
      </c>
      <c r="E2749">
        <v>0.46868799999999999</v>
      </c>
      <c r="F2749" t="s">
        <v>61</v>
      </c>
      <c r="G2749">
        <v>-414.99200000000002</v>
      </c>
      <c r="H2749" s="1">
        <v>3.0491609999999902E-6</v>
      </c>
      <c r="I2749">
        <v>215.09780000000001</v>
      </c>
      <c r="J2749">
        <v>-428.6069</v>
      </c>
      <c r="K2749">
        <v>1.110093</v>
      </c>
      <c r="L2749">
        <v>213.8133</v>
      </c>
      <c r="M2749">
        <v>0.99953230000000004</v>
      </c>
      <c r="N2749">
        <v>0</v>
      </c>
      <c r="O2749">
        <v>-2.9678679999999999E-2</v>
      </c>
      <c r="P2749">
        <v>0.99999459999999996</v>
      </c>
      <c r="Q2749">
        <v>1.971703E-3</v>
      </c>
      <c r="R2749">
        <v>2.6926559999999999E-3</v>
      </c>
      <c r="S2749">
        <v>2.9998779999999998</v>
      </c>
      <c r="T2749">
        <v>-0.23828079999999999</v>
      </c>
      <c r="U2749">
        <v>0.27349849999999998</v>
      </c>
      <c r="V2749">
        <v>-3.2387649999999997E-2</v>
      </c>
      <c r="W2749">
        <v>9.2880029999999995E-3</v>
      </c>
      <c r="X2749">
        <v>0.99943219999999999</v>
      </c>
      <c r="Y2749">
        <v>-0.1198429</v>
      </c>
      <c r="Z2749">
        <v>7.0917250000000001E-3</v>
      </c>
      <c r="AA2749">
        <v>0.99276750000000002</v>
      </c>
      <c r="AB2749">
        <v>36</v>
      </c>
      <c r="AC2749">
        <v>13.6149</v>
      </c>
      <c r="AD2749">
        <v>-1.1100899508390001</v>
      </c>
      <c r="AE2749">
        <v>1.2845</v>
      </c>
      <c r="AF2749">
        <v>-1.67696734767361</v>
      </c>
      <c r="AG2749">
        <v>-1.1100899508390001</v>
      </c>
      <c r="AH2749">
        <v>13.4819424068057</v>
      </c>
      <c r="AI2749">
        <v>94.671223537504105</v>
      </c>
      <c r="AJ2749">
        <v>97.090385644459701</v>
      </c>
      <c r="AK2749">
        <v>13.6311147836317</v>
      </c>
      <c r="AL2749">
        <v>89.467828962842702</v>
      </c>
      <c r="AM2749">
        <v>91.856080364212701</v>
      </c>
      <c r="AN2749">
        <v>0.99999997463454404</v>
      </c>
    </row>
    <row r="2750" spans="1:40" x14ac:dyDescent="0.3">
      <c r="A2750" t="str">
        <f>"20200111160506106"</f>
        <v>20200111160506106</v>
      </c>
      <c r="B2750" t="str">
        <f>"1578729906104100"</f>
        <v>1578729906104100</v>
      </c>
      <c r="C2750" t="s">
        <v>40</v>
      </c>
      <c r="D2750">
        <v>5.4971959999999997</v>
      </c>
      <c r="E2750">
        <v>0.4684487</v>
      </c>
      <c r="F2750" t="s">
        <v>61</v>
      </c>
      <c r="G2750">
        <v>-414.52330000000001</v>
      </c>
      <c r="H2750" s="1">
        <v>2.9648110000000001E-6</v>
      </c>
      <c r="I2750">
        <v>215.11160000000001</v>
      </c>
      <c r="J2750">
        <v>-428.24790000000002</v>
      </c>
      <c r="K2750">
        <v>1.110093</v>
      </c>
      <c r="L2750">
        <v>213.80340000000001</v>
      </c>
      <c r="M2750">
        <v>0.99955590000000005</v>
      </c>
      <c r="N2750">
        <v>0</v>
      </c>
      <c r="O2750">
        <v>-2.8868680000000001E-2</v>
      </c>
      <c r="P2750">
        <v>0.99999439999999995</v>
      </c>
      <c r="Q2750">
        <v>1.36235E-3</v>
      </c>
      <c r="R2750">
        <v>3.0774940000000001E-3</v>
      </c>
      <c r="S2750">
        <v>2.999695</v>
      </c>
      <c r="T2750">
        <v>-0.23644019999999999</v>
      </c>
      <c r="U2750">
        <v>0.27653499999999998</v>
      </c>
      <c r="V2750">
        <v>-3.1961290000000003E-2</v>
      </c>
      <c r="W2750">
        <v>8.6929350000000006E-3</v>
      </c>
      <c r="X2750">
        <v>0.99945130000000004</v>
      </c>
      <c r="Y2750">
        <v>-0.1200495</v>
      </c>
      <c r="Z2750">
        <v>6.9817019999999898E-3</v>
      </c>
      <c r="AA2750">
        <v>0.99274340000000005</v>
      </c>
      <c r="AB2750">
        <v>36</v>
      </c>
      <c r="AC2750">
        <v>13.724600000000001</v>
      </c>
      <c r="AD2750">
        <v>-1.110090035189</v>
      </c>
      <c r="AE2750">
        <v>1.30819999999999</v>
      </c>
      <c r="AF2750">
        <v>-1.69290122426398</v>
      </c>
      <c r="AG2750">
        <v>-1.110090035189</v>
      </c>
      <c r="AH2750">
        <v>13.5929864369387</v>
      </c>
      <c r="AI2750">
        <v>94.633142232934006</v>
      </c>
      <c r="AJ2750">
        <v>97.099191700350005</v>
      </c>
      <c r="AK2750">
        <v>13.7429070693263</v>
      </c>
      <c r="AL2750">
        <v>89.501925237841306</v>
      </c>
      <c r="AM2750">
        <v>91.831628182773699</v>
      </c>
      <c r="AN2750">
        <v>0.99999999612453405</v>
      </c>
    </row>
    <row r="2751" spans="1:40" x14ac:dyDescent="0.3">
      <c r="A2751" t="str">
        <f>"20200111160506128"</f>
        <v>20200111160506128</v>
      </c>
      <c r="B2751" t="str">
        <f>"1578729906123620"</f>
        <v>1578729906123620</v>
      </c>
      <c r="C2751" t="s">
        <v>40</v>
      </c>
      <c r="D2751">
        <v>5.6721059999999897</v>
      </c>
      <c r="E2751">
        <v>0.46858670000000002</v>
      </c>
      <c r="F2751" t="s">
        <v>61</v>
      </c>
      <c r="G2751">
        <v>-414.12009999999998</v>
      </c>
      <c r="H2751" s="1">
        <v>2.8926620000000001E-6</v>
      </c>
      <c r="I2751">
        <v>215.11879999999999</v>
      </c>
      <c r="J2751">
        <v>-427.89269999999999</v>
      </c>
      <c r="K2751">
        <v>1.1100909999999999</v>
      </c>
      <c r="L2751">
        <v>213.79390000000001</v>
      </c>
      <c r="M2751">
        <v>0.99957870000000004</v>
      </c>
      <c r="N2751">
        <v>0</v>
      </c>
      <c r="O2751">
        <v>-2.806821E-2</v>
      </c>
      <c r="P2751">
        <v>0.99999400000000005</v>
      </c>
      <c r="Q2751">
        <v>4.3280420000000003E-4</v>
      </c>
      <c r="R2751">
        <v>3.487492E-3</v>
      </c>
      <c r="S2751">
        <v>2.9994510000000001</v>
      </c>
      <c r="T2751">
        <v>-0.23568239999999999</v>
      </c>
      <c r="U2751">
        <v>0.27928160000000002</v>
      </c>
      <c r="V2751">
        <v>-3.1569310000000003E-2</v>
      </c>
      <c r="W2751">
        <v>7.7769609999999998E-3</v>
      </c>
      <c r="X2751">
        <v>0.99947129999999995</v>
      </c>
      <c r="Y2751">
        <v>-0.1201682</v>
      </c>
      <c r="Z2751">
        <v>6.9016279999999999E-3</v>
      </c>
      <c r="AA2751">
        <v>0.99272950000000004</v>
      </c>
      <c r="AB2751">
        <v>36</v>
      </c>
      <c r="AC2751">
        <v>13.772600000000001</v>
      </c>
      <c r="AD2751">
        <v>-1.110088107338</v>
      </c>
      <c r="AE2751">
        <v>1.32489999999998</v>
      </c>
      <c r="AF2751">
        <v>-1.70001776777847</v>
      </c>
      <c r="AG2751">
        <v>-1.110088107338</v>
      </c>
      <c r="AH2751">
        <v>13.642170404443601</v>
      </c>
      <c r="AI2751">
        <v>94.616461800061401</v>
      </c>
      <c r="AJ2751">
        <v>97.1032904482352</v>
      </c>
      <c r="AK2751">
        <v>13.7924315971003</v>
      </c>
      <c r="AL2751">
        <v>89.554408461524304</v>
      </c>
      <c r="AM2751">
        <v>91.809143550958296</v>
      </c>
      <c r="AN2751">
        <v>0.99999999098998005</v>
      </c>
    </row>
    <row r="2752" spans="1:40" x14ac:dyDescent="0.3">
      <c r="A2752" t="str">
        <f>"20200111160506149"</f>
        <v>20200111160506149</v>
      </c>
      <c r="B2752" t="str">
        <f>"1578729906144116"</f>
        <v>1578729906144116</v>
      </c>
      <c r="C2752" t="s">
        <v>40</v>
      </c>
      <c r="D2752">
        <v>5.5031460000000001</v>
      </c>
      <c r="E2752">
        <v>0.46880810000000001</v>
      </c>
      <c r="F2752" t="s">
        <v>61</v>
      </c>
      <c r="G2752">
        <v>-414.04590000000002</v>
      </c>
      <c r="H2752" s="1">
        <v>2.8825879999999998E-6</v>
      </c>
      <c r="I2752">
        <v>215.08340000000001</v>
      </c>
      <c r="J2752">
        <v>-427.53339999999997</v>
      </c>
      <c r="K2752">
        <v>1.1100840000000001</v>
      </c>
      <c r="L2752">
        <v>213.78450000000001</v>
      </c>
      <c r="M2752">
        <v>0.99960090000000001</v>
      </c>
      <c r="N2752">
        <v>0</v>
      </c>
      <c r="O2752">
        <v>-2.7258810000000001E-2</v>
      </c>
      <c r="P2752">
        <v>0.99998869999999895</v>
      </c>
      <c r="Q2752">
        <v>-4.3232740000000001E-4</v>
      </c>
      <c r="R2752">
        <v>4.7365929999999999E-3</v>
      </c>
      <c r="S2752">
        <v>2.9991460000000001</v>
      </c>
      <c r="T2752">
        <v>-0.24043890000000001</v>
      </c>
      <c r="U2752">
        <v>0.27931209999999901</v>
      </c>
      <c r="V2752">
        <v>-3.2006529999999998E-2</v>
      </c>
      <c r="W2752">
        <v>6.9248759999999999E-3</v>
      </c>
      <c r="X2752">
        <v>0.99946369999999896</v>
      </c>
      <c r="Y2752">
        <v>-0.1193703</v>
      </c>
      <c r="Z2752">
        <v>6.9446500000000001E-3</v>
      </c>
      <c r="AA2752">
        <v>0.99282550000000003</v>
      </c>
      <c r="AB2752">
        <v>36</v>
      </c>
      <c r="AC2752">
        <v>13.487499999999899</v>
      </c>
      <c r="AD2752">
        <v>-1.110081117412</v>
      </c>
      <c r="AE2752">
        <v>1.2988999999999999</v>
      </c>
      <c r="AF2752">
        <v>-1.6549728238349899</v>
      </c>
      <c r="AG2752">
        <v>-1.110081117412</v>
      </c>
      <c r="AH2752">
        <v>13.357428434790799</v>
      </c>
      <c r="AI2752">
        <v>94.714814077867103</v>
      </c>
      <c r="AJ2752">
        <v>97.062899176571506</v>
      </c>
      <c r="AK2752">
        <v>13.5052622901381</v>
      </c>
      <c r="AL2752">
        <v>89.603230672200397</v>
      </c>
      <c r="AM2752">
        <v>91.834196272653003</v>
      </c>
      <c r="AN2752">
        <v>1.00000002974397</v>
      </c>
    </row>
    <row r="2753" spans="1:40" x14ac:dyDescent="0.3">
      <c r="A2753" t="str">
        <f>"20200111160506172"</f>
        <v>20200111160506172</v>
      </c>
      <c r="B2753" t="str">
        <f>"1578729906163636"</f>
        <v>1578729906163636</v>
      </c>
      <c r="C2753" t="s">
        <v>40</v>
      </c>
      <c r="D2753">
        <v>5.5167979999999996</v>
      </c>
      <c r="E2753">
        <v>0.4687788</v>
      </c>
      <c r="F2753" t="s">
        <v>61</v>
      </c>
      <c r="G2753">
        <v>-413.9443</v>
      </c>
      <c r="H2753" s="1">
        <v>2.8666420000000001E-6</v>
      </c>
      <c r="I2753">
        <v>215.05959999999999</v>
      </c>
      <c r="J2753">
        <v>-427.1814</v>
      </c>
      <c r="K2753">
        <v>1.11009</v>
      </c>
      <c r="L2753">
        <v>213.7756</v>
      </c>
      <c r="M2753">
        <v>0.99962220000000002</v>
      </c>
      <c r="N2753">
        <v>0</v>
      </c>
      <c r="O2753">
        <v>-2.646621E-2</v>
      </c>
      <c r="P2753">
        <v>0.99998069999999895</v>
      </c>
      <c r="Q2753">
        <v>-7.6999519999999995E-4</v>
      </c>
      <c r="R2753">
        <v>6.1465629999999999E-3</v>
      </c>
      <c r="S2753">
        <v>2.998596</v>
      </c>
      <c r="T2753">
        <v>-0.24495220000000001</v>
      </c>
      <c r="U2753">
        <v>0.28137210000000001</v>
      </c>
      <c r="V2753">
        <v>-3.2623289999999999E-2</v>
      </c>
      <c r="W2753">
        <v>6.5987270000000004E-3</v>
      </c>
      <c r="X2753">
        <v>0.9994459</v>
      </c>
      <c r="Y2753">
        <v>-0.1192612</v>
      </c>
      <c r="Z2753">
        <v>7.0066900000000003E-3</v>
      </c>
      <c r="AA2753">
        <v>0.9928382</v>
      </c>
      <c r="AB2753">
        <v>36</v>
      </c>
      <c r="AC2753">
        <v>13.2370999999999</v>
      </c>
      <c r="AD2753">
        <v>-1.110087133358</v>
      </c>
      <c r="AE2753">
        <v>1.28399999999999</v>
      </c>
      <c r="AF2753">
        <v>-1.6225907119079599</v>
      </c>
      <c r="AG2753">
        <v>-1.110087133358</v>
      </c>
      <c r="AH2753">
        <v>13.107158531797101</v>
      </c>
      <c r="AI2753">
        <v>94.804508961504197</v>
      </c>
      <c r="AJ2753">
        <v>97.056984097628003</v>
      </c>
      <c r="AK2753">
        <v>13.2537805489482</v>
      </c>
      <c r="AL2753">
        <v>89.621918035520807</v>
      </c>
      <c r="AM2753">
        <v>91.869549328121593</v>
      </c>
      <c r="AN2753">
        <v>0.99999996463762597</v>
      </c>
    </row>
    <row r="2754" spans="1:40" x14ac:dyDescent="0.3">
      <c r="A2754" t="str">
        <f>"20200111160506195"</f>
        <v>20200111160506195</v>
      </c>
      <c r="B2754" t="str">
        <f>"1578729906184131"</f>
        <v>1578729906184131</v>
      </c>
      <c r="C2754" t="s">
        <v>40</v>
      </c>
      <c r="D2754">
        <v>5.4686149999999998</v>
      </c>
      <c r="E2754">
        <v>0.46894770000000002</v>
      </c>
      <c r="F2754" t="s">
        <v>61</v>
      </c>
      <c r="G2754">
        <v>-413.59519999999998</v>
      </c>
      <c r="H2754" s="1">
        <v>2.803801E-6</v>
      </c>
      <c r="I2754">
        <v>215.0701</v>
      </c>
      <c r="J2754">
        <v>-426.80110000000002</v>
      </c>
      <c r="K2754">
        <v>1.110096</v>
      </c>
      <c r="L2754">
        <v>213.7663</v>
      </c>
      <c r="M2754">
        <v>0.99964430000000004</v>
      </c>
      <c r="N2754">
        <v>0</v>
      </c>
      <c r="O2754">
        <v>-2.5609960000000001E-2</v>
      </c>
      <c r="P2754">
        <v>0.99996569999999996</v>
      </c>
      <c r="Q2754">
        <v>-1.6327569999999999E-4</v>
      </c>
      <c r="R2754">
        <v>8.294605E-3</v>
      </c>
      <c r="S2754">
        <v>2.9980769999999999</v>
      </c>
      <c r="T2754">
        <v>-0.24496319999999999</v>
      </c>
      <c r="U2754">
        <v>0.28565980000000002</v>
      </c>
      <c r="V2754">
        <v>-3.3915590000000002E-2</v>
      </c>
      <c r="W2754">
        <v>7.2171700000000002E-3</v>
      </c>
      <c r="X2754">
        <v>0.99939860000000003</v>
      </c>
      <c r="Y2754">
        <v>-0.11983489999999999</v>
      </c>
      <c r="Z2754">
        <v>6.9613770000000004E-3</v>
      </c>
      <c r="AA2754">
        <v>0.99276940000000002</v>
      </c>
      <c r="AB2754">
        <v>36</v>
      </c>
      <c r="AC2754">
        <v>13.2059</v>
      </c>
      <c r="AD2754">
        <v>-1.1100931961989999</v>
      </c>
      <c r="AE2754">
        <v>1.3037999999999901</v>
      </c>
      <c r="AF2754">
        <v>-1.6301764092420401</v>
      </c>
      <c r="AG2754">
        <v>-1.1100931961989999</v>
      </c>
      <c r="AH2754">
        <v>13.076667459492899</v>
      </c>
      <c r="AI2754">
        <v>94.815175872792807</v>
      </c>
      <c r="AJ2754">
        <v>97.1060031362898</v>
      </c>
      <c r="AK2754">
        <v>13.2245610088069</v>
      </c>
      <c r="AL2754">
        <v>89.586483011800496</v>
      </c>
      <c r="AM2754">
        <v>91.943643617850199</v>
      </c>
      <c r="AN2754">
        <v>0.99999995823490695</v>
      </c>
    </row>
    <row r="2755" spans="1:40" x14ac:dyDescent="0.3">
      <c r="A2755" t="str">
        <f>"20200111160506216"</f>
        <v>20200111160506216</v>
      </c>
      <c r="B2755" t="str">
        <f>"1578729906203663"</f>
        <v>1578729906203663</v>
      </c>
      <c r="C2755" t="s">
        <v>40</v>
      </c>
      <c r="D2755">
        <v>5.4525379999999997</v>
      </c>
      <c r="E2755">
        <v>0.4689643</v>
      </c>
      <c r="F2755" t="s">
        <v>61</v>
      </c>
      <c r="G2755">
        <v>-413.16699999999997</v>
      </c>
      <c r="H2755" s="1">
        <v>2.7263449999999998E-6</v>
      </c>
      <c r="I2755">
        <v>215.0874</v>
      </c>
      <c r="J2755">
        <v>-426.47699999999998</v>
      </c>
      <c r="K2755">
        <v>1.110098</v>
      </c>
      <c r="L2755">
        <v>213.7587</v>
      </c>
      <c r="M2755">
        <v>0.99966259999999996</v>
      </c>
      <c r="N2755">
        <v>0</v>
      </c>
      <c r="O2755">
        <v>-2.488077E-2</v>
      </c>
      <c r="P2755">
        <v>0.99995149999999999</v>
      </c>
      <c r="Q2755">
        <v>1.724102E-4</v>
      </c>
      <c r="R2755">
        <v>9.846067E-3</v>
      </c>
      <c r="S2755">
        <v>2.99762</v>
      </c>
      <c r="T2755">
        <v>-0.24406829999999999</v>
      </c>
      <c r="U2755">
        <v>0.29045100000000001</v>
      </c>
      <c r="V2755">
        <v>-3.473706E-2</v>
      </c>
      <c r="W2755">
        <v>7.5628680000000004E-3</v>
      </c>
      <c r="X2755">
        <v>0.99936789999999998</v>
      </c>
      <c r="Y2755">
        <v>-0.1207003</v>
      </c>
      <c r="Z2755">
        <v>6.9125000000000002E-3</v>
      </c>
      <c r="AA2755">
        <v>0.99266489999999996</v>
      </c>
      <c r="AB2755">
        <v>36</v>
      </c>
      <c r="AC2755">
        <v>13.31</v>
      </c>
      <c r="AD2755">
        <v>-1.110095273655</v>
      </c>
      <c r="AE2755">
        <v>1.32869999999999</v>
      </c>
      <c r="AF2755">
        <v>-1.6481096493001901</v>
      </c>
      <c r="AG2755">
        <v>-1.110095273655</v>
      </c>
      <c r="AH2755">
        <v>13.1820288964486</v>
      </c>
      <c r="AI2755">
        <v>94.776664033549295</v>
      </c>
      <c r="AJ2755">
        <v>97.126540054198898</v>
      </c>
      <c r="AK2755">
        <v>13.330958808709701</v>
      </c>
      <c r="AL2755">
        <v>89.566675464679506</v>
      </c>
      <c r="AM2755">
        <v>91.990744312304599</v>
      </c>
      <c r="AN2755">
        <v>1.0000000299301099</v>
      </c>
    </row>
    <row r="2756" spans="1:40" x14ac:dyDescent="0.3">
      <c r="A2756" t="str">
        <f>"20200111160506239"</f>
        <v>20200111160506239</v>
      </c>
      <c r="B2756" t="str">
        <f>"1578729906233907"</f>
        <v>1578729906233907</v>
      </c>
      <c r="C2756" t="s">
        <v>40</v>
      </c>
      <c r="D2756">
        <v>5.4981819999999999</v>
      </c>
      <c r="E2756">
        <v>0.46954879999999999</v>
      </c>
      <c r="F2756" t="s">
        <v>61</v>
      </c>
      <c r="G2756">
        <v>-412.88130000000001</v>
      </c>
      <c r="H2756" s="1">
        <v>2.674891E-6</v>
      </c>
      <c r="I2756">
        <v>215.09620000000001</v>
      </c>
      <c r="J2756">
        <v>-426.09840000000003</v>
      </c>
      <c r="K2756">
        <v>1.1101049999999999</v>
      </c>
      <c r="L2756">
        <v>213.75</v>
      </c>
      <c r="M2756">
        <v>0.99968330000000005</v>
      </c>
      <c r="N2756">
        <v>0</v>
      </c>
      <c r="O2756">
        <v>-2.4029410000000001E-2</v>
      </c>
      <c r="P2756">
        <v>0.99993909999999997</v>
      </c>
      <c r="Q2756">
        <v>-2.8120350000000001E-4</v>
      </c>
      <c r="R2756">
        <v>1.103085E-2</v>
      </c>
      <c r="S2756">
        <v>2.9972840000000001</v>
      </c>
      <c r="T2756">
        <v>-0.24472920000000001</v>
      </c>
      <c r="U2756">
        <v>0.29487609999999997</v>
      </c>
      <c r="V2756">
        <v>-3.5070270000000001E-2</v>
      </c>
      <c r="W2756">
        <v>7.1227579999999999E-3</v>
      </c>
      <c r="X2756">
        <v>0.99935949999999996</v>
      </c>
      <c r="Y2756">
        <v>-0.1213154</v>
      </c>
      <c r="Z2756">
        <v>6.887191E-3</v>
      </c>
      <c r="AA2756">
        <v>0.99259010000000003</v>
      </c>
      <c r="AB2756">
        <v>36</v>
      </c>
      <c r="AC2756">
        <v>13.2171</v>
      </c>
      <c r="AD2756">
        <v>-1.1101023251090001</v>
      </c>
      <c r="AE2756">
        <v>1.3462000000000101</v>
      </c>
      <c r="AF2756">
        <v>-1.6518860092588199</v>
      </c>
      <c r="AG2756">
        <v>-1.1101023251090001</v>
      </c>
      <c r="AH2756">
        <v>13.0895446345778</v>
      </c>
      <c r="AI2756">
        <v>94.809592412910902</v>
      </c>
      <c r="AJ2756">
        <v>97.192640911268398</v>
      </c>
      <c r="AK2756">
        <v>13.239986151820601</v>
      </c>
      <c r="AL2756">
        <v>89.591892591085497</v>
      </c>
      <c r="AM2756">
        <v>92.009841519374504</v>
      </c>
      <c r="AN2756">
        <v>1.0000000338798201</v>
      </c>
    </row>
    <row r="2757" spans="1:40" x14ac:dyDescent="0.3">
      <c r="A2757" t="str">
        <f>"20200111160506262"</f>
        <v>20200111160506262</v>
      </c>
      <c r="B2757" t="str">
        <f>"1578729906254405"</f>
        <v>1578729906254405</v>
      </c>
      <c r="C2757" t="s">
        <v>40</v>
      </c>
      <c r="D2757">
        <v>5.4377959999999996</v>
      </c>
      <c r="E2757">
        <v>0.46971960000000001</v>
      </c>
      <c r="F2757" t="s">
        <v>61</v>
      </c>
      <c r="G2757">
        <v>-412.59480000000002</v>
      </c>
      <c r="H2757" s="1">
        <v>2.6260649999999998E-6</v>
      </c>
      <c r="I2757">
        <v>215.07329999999999</v>
      </c>
      <c r="J2757">
        <v>-425.72469999999998</v>
      </c>
      <c r="K2757">
        <v>1.110107</v>
      </c>
      <c r="L2757">
        <v>213.74170000000001</v>
      </c>
      <c r="M2757">
        <v>0.99970300000000001</v>
      </c>
      <c r="N2757">
        <v>0</v>
      </c>
      <c r="O2757">
        <v>-2.318984E-2</v>
      </c>
      <c r="P2757">
        <v>0.99992389999999998</v>
      </c>
      <c r="Q2757">
        <v>-7.4009970000000005E-4</v>
      </c>
      <c r="R2757">
        <v>1.231818E-2</v>
      </c>
      <c r="S2757">
        <v>2.9968870000000001</v>
      </c>
      <c r="T2757">
        <v>-0.24636640000000001</v>
      </c>
      <c r="U2757">
        <v>0.2936859</v>
      </c>
      <c r="V2757">
        <v>-3.5516409999999998E-2</v>
      </c>
      <c r="W2757">
        <v>6.6764490000000001E-3</v>
      </c>
      <c r="X2757">
        <v>0.99934679999999998</v>
      </c>
      <c r="Y2757">
        <v>-0.1201044</v>
      </c>
      <c r="Z2757">
        <v>6.8158169999999896E-3</v>
      </c>
      <c r="AA2757">
        <v>0.99273789999999995</v>
      </c>
      <c r="AB2757">
        <v>36</v>
      </c>
      <c r="AC2757">
        <v>13.1298999999999</v>
      </c>
      <c r="AD2757">
        <v>-1.1101043739350001</v>
      </c>
      <c r="AE2757">
        <v>1.3315999999999799</v>
      </c>
      <c r="AF2757">
        <v>-1.6242383211839599</v>
      </c>
      <c r="AG2757">
        <v>-1.1101043739350001</v>
      </c>
      <c r="AH2757">
        <v>13.0034815603894</v>
      </c>
      <c r="AI2757">
        <v>94.842051508322299</v>
      </c>
      <c r="AJ2757">
        <v>97.119823772372598</v>
      </c>
      <c r="AK2757">
        <v>13.151464349509499</v>
      </c>
      <c r="AL2757">
        <v>89.617464811469404</v>
      </c>
      <c r="AM2757">
        <v>92.035413823526895</v>
      </c>
      <c r="AN2757">
        <v>1.00000000851038</v>
      </c>
    </row>
    <row r="2758" spans="1:40" x14ac:dyDescent="0.3">
      <c r="A2758" t="str">
        <f>"20200111160506284"</f>
        <v>20200111160506284</v>
      </c>
      <c r="B2758" t="str">
        <f>"1578729906273926"</f>
        <v>1578729906273926</v>
      </c>
      <c r="C2758" t="s">
        <v>40</v>
      </c>
      <c r="D2758">
        <v>5.450869</v>
      </c>
      <c r="E2758">
        <v>0.46996209999999999</v>
      </c>
      <c r="F2758" t="s">
        <v>61</v>
      </c>
      <c r="G2758">
        <v>-412.32150000000001</v>
      </c>
      <c r="H2758" s="1">
        <v>2.5782350000000001E-6</v>
      </c>
      <c r="I2758">
        <v>215.066</v>
      </c>
      <c r="J2758">
        <v>-425.37119999999999</v>
      </c>
      <c r="K2758">
        <v>1.1101129999999999</v>
      </c>
      <c r="L2758">
        <v>213.73419999999999</v>
      </c>
      <c r="M2758">
        <v>0.99972110000000003</v>
      </c>
      <c r="N2758">
        <v>0</v>
      </c>
      <c r="O2758">
        <v>-2.2396289999999999E-2</v>
      </c>
      <c r="P2758">
        <v>0.99990970000000001</v>
      </c>
      <c r="Q2758">
        <v>-4.8635900000000001E-4</v>
      </c>
      <c r="R2758">
        <v>1.3439710000000001E-2</v>
      </c>
      <c r="S2758">
        <v>2.9963989999999998</v>
      </c>
      <c r="T2758">
        <v>-0.2481737</v>
      </c>
      <c r="U2758">
        <v>0.29605100000000001</v>
      </c>
      <c r="V2758">
        <v>-3.5844670000000002E-2</v>
      </c>
      <c r="W2758">
        <v>6.9425190000000003E-3</v>
      </c>
      <c r="X2758">
        <v>0.99933329999999998</v>
      </c>
      <c r="Y2758">
        <v>-0.1201038</v>
      </c>
      <c r="Z2758">
        <v>6.8009910000000002E-3</v>
      </c>
      <c r="AA2758">
        <v>0.99273809999999996</v>
      </c>
      <c r="AB2758">
        <v>36</v>
      </c>
      <c r="AC2758">
        <v>13.0496999999999</v>
      </c>
      <c r="AD2758">
        <v>-1.110110421765</v>
      </c>
      <c r="AE2758">
        <v>1.3317999999999801</v>
      </c>
      <c r="AF2758">
        <v>-1.6121925523380001</v>
      </c>
      <c r="AG2758">
        <v>-1.110110421765</v>
      </c>
      <c r="AH2758">
        <v>12.9240370470012</v>
      </c>
      <c r="AI2758">
        <v>94.871797236363903</v>
      </c>
      <c r="AJ2758">
        <v>97.110558443758606</v>
      </c>
      <c r="AK2758">
        <v>13.0714285205017</v>
      </c>
      <c r="AL2758">
        <v>89.602219783253503</v>
      </c>
      <c r="AM2758">
        <v>92.054237795053197</v>
      </c>
      <c r="AN2758">
        <v>1.00000004171318</v>
      </c>
    </row>
    <row r="2759" spans="1:40" x14ac:dyDescent="0.3">
      <c r="A2759" t="str">
        <f>"20200111160506306"</f>
        <v>20200111160506306</v>
      </c>
      <c r="B2759" t="str">
        <f>"1578729906304181"</f>
        <v>1578729906304181</v>
      </c>
      <c r="C2759" t="s">
        <v>40</v>
      </c>
      <c r="D2759">
        <v>5.4717989999999999</v>
      </c>
      <c r="E2759">
        <v>0.47039249999999999</v>
      </c>
      <c r="F2759" t="s">
        <v>61</v>
      </c>
      <c r="G2759">
        <v>-411.99189999999999</v>
      </c>
      <c r="H2759" s="1">
        <v>2.520092E-6</v>
      </c>
      <c r="I2759">
        <v>215.06229999999999</v>
      </c>
      <c r="J2759">
        <v>-425.00959999999998</v>
      </c>
      <c r="K2759">
        <v>1.1101219999999901</v>
      </c>
      <c r="L2759">
        <v>213.7268</v>
      </c>
      <c r="M2759">
        <v>0.99973889999999999</v>
      </c>
      <c r="N2759">
        <v>0</v>
      </c>
      <c r="O2759">
        <v>-2.1584619999999999E-2</v>
      </c>
      <c r="P2759">
        <v>0.99989289999999997</v>
      </c>
      <c r="Q2759">
        <v>3.7525219999999998E-4</v>
      </c>
      <c r="R2759">
        <v>1.464787E-2</v>
      </c>
      <c r="S2759">
        <v>2.9961549999999999</v>
      </c>
      <c r="T2759">
        <v>-0.24859729999999999</v>
      </c>
      <c r="U2759">
        <v>0.29742429999999997</v>
      </c>
      <c r="V2759">
        <v>-3.6242330000000003E-2</v>
      </c>
      <c r="W2759">
        <v>7.8165379999999996E-3</v>
      </c>
      <c r="X2759">
        <v>0.99931250000000005</v>
      </c>
      <c r="Y2759">
        <v>-0.11975860000000001</v>
      </c>
      <c r="Z2759">
        <v>6.7316019999999997E-3</v>
      </c>
      <c r="AA2759">
        <v>0.9927802</v>
      </c>
      <c r="AB2759">
        <v>36</v>
      </c>
      <c r="AC2759">
        <v>13.0176999999999</v>
      </c>
      <c r="AD2759">
        <v>-1.1101194799080001</v>
      </c>
      <c r="AE2759">
        <v>1.3354999999999899</v>
      </c>
      <c r="AF2759">
        <v>-1.6046310574218401</v>
      </c>
      <c r="AG2759">
        <v>-1.1101194799080001</v>
      </c>
      <c r="AH2759">
        <v>12.8930545440664</v>
      </c>
      <c r="AI2759">
        <v>94.883658423957797</v>
      </c>
      <c r="AJ2759">
        <v>97.094382071638506</v>
      </c>
      <c r="AK2759">
        <v>13.0398643231586</v>
      </c>
      <c r="AL2759">
        <v>89.552140818881199</v>
      </c>
      <c r="AM2759">
        <v>92.077050807910396</v>
      </c>
      <c r="AN2759">
        <v>1.00000003870319</v>
      </c>
    </row>
    <row r="2760" spans="1:40" x14ac:dyDescent="0.3">
      <c r="A2760" t="str">
        <f>"20200111160506329"</f>
        <v>20200111160506329</v>
      </c>
      <c r="B2760" t="str">
        <f>"1578729906323699"</f>
        <v>1578729906323699</v>
      </c>
      <c r="C2760" t="s">
        <v>40</v>
      </c>
      <c r="D2760">
        <v>5.5983029999999996</v>
      </c>
      <c r="E2760">
        <v>0.47067179999999997</v>
      </c>
      <c r="F2760" t="s">
        <v>61</v>
      </c>
      <c r="G2760">
        <v>-411.55509999999998</v>
      </c>
      <c r="H2760" s="1">
        <v>2.4424819999999998E-6</v>
      </c>
      <c r="I2760">
        <v>215.06379999999999</v>
      </c>
      <c r="J2760">
        <v>-424.6379</v>
      </c>
      <c r="K2760">
        <v>1.1101350000000001</v>
      </c>
      <c r="L2760">
        <v>213.71950000000001</v>
      </c>
      <c r="M2760">
        <v>0.99975650000000005</v>
      </c>
      <c r="N2760">
        <v>0</v>
      </c>
      <c r="O2760">
        <v>-2.0750660000000001E-2</v>
      </c>
      <c r="P2760">
        <v>0.99986229999999998</v>
      </c>
      <c r="Q2760">
        <v>1.844961E-3</v>
      </c>
      <c r="R2760">
        <v>1.649515E-2</v>
      </c>
      <c r="S2760">
        <v>2.9960330000000002</v>
      </c>
      <c r="T2760">
        <v>-0.24720130000000001</v>
      </c>
      <c r="U2760">
        <v>0.29771419999999998</v>
      </c>
      <c r="V2760">
        <v>-3.7257749999999999E-2</v>
      </c>
      <c r="W2760">
        <v>9.2975390000000005E-3</v>
      </c>
      <c r="X2760">
        <v>0.99926250000000005</v>
      </c>
      <c r="Y2760">
        <v>-0.1190401</v>
      </c>
      <c r="Z2760">
        <v>6.5960999999999997E-3</v>
      </c>
      <c r="AA2760">
        <v>0.99286750000000001</v>
      </c>
      <c r="AB2760">
        <v>37</v>
      </c>
      <c r="AC2760">
        <v>13.082800000000001</v>
      </c>
      <c r="AD2760">
        <v>-1.1101325575180001</v>
      </c>
      <c r="AE2760">
        <v>1.3442999999999701</v>
      </c>
      <c r="AF2760">
        <v>-1.60406589167214</v>
      </c>
      <c r="AG2760">
        <v>-1.1101325575180001</v>
      </c>
      <c r="AH2760">
        <v>12.9597483332977</v>
      </c>
      <c r="AI2760">
        <v>94.8591079449441</v>
      </c>
      <c r="AJ2760">
        <v>97.055781051004004</v>
      </c>
      <c r="AK2760">
        <v>13.105742960339899</v>
      </c>
      <c r="AL2760">
        <v>89.467282614309994</v>
      </c>
      <c r="AM2760">
        <v>92.135298217752506</v>
      </c>
      <c r="AN2760">
        <v>1.00000006403638</v>
      </c>
    </row>
    <row r="2761" spans="1:40" x14ac:dyDescent="0.3">
      <c r="A2761" t="str">
        <f>"20200111160506352"</f>
        <v>20200111160506352</v>
      </c>
      <c r="B2761" t="str">
        <f>"1578729906344196"</f>
        <v>1578729906344196</v>
      </c>
      <c r="C2761" t="s">
        <v>40</v>
      </c>
      <c r="D2761">
        <v>5.3189060000000001</v>
      </c>
      <c r="E2761">
        <v>0.50902939999999997</v>
      </c>
      <c r="F2761" t="s">
        <v>61</v>
      </c>
      <c r="G2761">
        <v>-411.00709999999998</v>
      </c>
      <c r="H2761" s="1">
        <v>2.343158E-6</v>
      </c>
      <c r="I2761">
        <v>215.08799999999999</v>
      </c>
      <c r="J2761">
        <v>-424.2713</v>
      </c>
      <c r="K2761">
        <v>1.110147</v>
      </c>
      <c r="L2761">
        <v>213.71270000000001</v>
      </c>
      <c r="M2761">
        <v>0.99977300000000002</v>
      </c>
      <c r="N2761">
        <v>0</v>
      </c>
      <c r="O2761">
        <v>-1.9928729999999999E-2</v>
      </c>
      <c r="P2761">
        <v>0.99982709999999997</v>
      </c>
      <c r="Q2761">
        <v>4.9138350000000001E-3</v>
      </c>
      <c r="R2761">
        <v>1.7927909999999998E-2</v>
      </c>
      <c r="S2761">
        <v>2.995911</v>
      </c>
      <c r="T2761">
        <v>-0.24399660000000001</v>
      </c>
      <c r="U2761">
        <v>0.30078129999999997</v>
      </c>
      <c r="V2761">
        <v>-3.7873999999999998E-2</v>
      </c>
      <c r="W2761">
        <v>1.2378200000000001E-2</v>
      </c>
      <c r="X2761">
        <v>0.99920580000000003</v>
      </c>
      <c r="Y2761">
        <v>-0.1192484</v>
      </c>
      <c r="Z2761">
        <v>6.4525700000000004E-3</v>
      </c>
      <c r="AA2761">
        <v>0.99284349999999999</v>
      </c>
      <c r="AB2761">
        <v>37</v>
      </c>
      <c r="AC2761">
        <v>13.264200000000001</v>
      </c>
      <c r="AD2761">
        <v>-1.1101446568419999</v>
      </c>
      <c r="AE2761">
        <v>1.37529999999998</v>
      </c>
      <c r="AF2761">
        <v>-1.62808984496014</v>
      </c>
      <c r="AG2761">
        <v>-1.1101446568419999</v>
      </c>
      <c r="AH2761">
        <v>13.1430712292211</v>
      </c>
      <c r="AI2761">
        <v>94.791642628661506</v>
      </c>
      <c r="AJ2761">
        <v>97.061506699120997</v>
      </c>
      <c r="AK2761">
        <v>13.289974380665999</v>
      </c>
      <c r="AL2761">
        <v>89.290763230877204</v>
      </c>
      <c r="AM2761">
        <v>92.170705984931502</v>
      </c>
      <c r="AN2761">
        <v>0.99999994523243796</v>
      </c>
    </row>
    <row r="2762" spans="1:40" x14ac:dyDescent="0.3">
      <c r="A2762" t="str">
        <f>"20200111160506373"</f>
        <v>20200111160506373</v>
      </c>
      <c r="B2762" t="str">
        <f>"1578729906363715"</f>
        <v>1578729906363715</v>
      </c>
      <c r="C2762" t="s">
        <v>40</v>
      </c>
      <c r="D2762">
        <v>5.5528709999999997</v>
      </c>
      <c r="E2762">
        <v>0.51297090000000001</v>
      </c>
      <c r="F2762" t="s">
        <v>61</v>
      </c>
      <c r="G2762">
        <v>-403.17020000000002</v>
      </c>
      <c r="H2762" s="1">
        <v>7.1931160000000002E-6</v>
      </c>
      <c r="I2762">
        <v>213.6644</v>
      </c>
      <c r="J2762">
        <v>-423.90480000000002</v>
      </c>
      <c r="K2762">
        <v>1.1101719999999999</v>
      </c>
      <c r="L2762">
        <v>213.70609999999999</v>
      </c>
      <c r="M2762">
        <v>0.99978880000000003</v>
      </c>
      <c r="N2762">
        <v>0</v>
      </c>
      <c r="O2762">
        <v>-1.9107289999999999E-2</v>
      </c>
      <c r="P2762">
        <v>0.99977000000000005</v>
      </c>
      <c r="Q2762">
        <v>9.2884600000000001E-3</v>
      </c>
      <c r="R2762">
        <v>1.9334090000000002E-2</v>
      </c>
      <c r="S2762">
        <v>3.001404</v>
      </c>
      <c r="T2762">
        <v>-0.15790489999999999</v>
      </c>
      <c r="U2762">
        <v>-6.8664549999999996E-3</v>
      </c>
      <c r="V2762">
        <v>-3.8466159999999999E-2</v>
      </c>
      <c r="W2762">
        <v>1.676416E-2</v>
      </c>
      <c r="X2762">
        <v>0.99911930000000004</v>
      </c>
      <c r="Y2762">
        <v>-1.677085E-2</v>
      </c>
      <c r="Z2762">
        <v>1.4453770000000001E-3</v>
      </c>
      <c r="AA2762">
        <v>0.99985829999999998</v>
      </c>
      <c r="AB2762">
        <v>37</v>
      </c>
      <c r="AC2762">
        <v>20.7346</v>
      </c>
      <c r="AD2762">
        <v>-1.110164806884</v>
      </c>
      <c r="AE2762">
        <v>-4.1699999999991598E-2</v>
      </c>
      <c r="AF2762">
        <v>-0.353487630974823</v>
      </c>
      <c r="AG2762">
        <v>-1.110164806884</v>
      </c>
      <c r="AH2762">
        <v>20.672349883334402</v>
      </c>
      <c r="AI2762">
        <v>93.073547284132403</v>
      </c>
      <c r="AJ2762">
        <v>90.979635882625004</v>
      </c>
      <c r="AK2762">
        <v>20.705155616481001</v>
      </c>
      <c r="AL2762">
        <v>89.039439417081198</v>
      </c>
      <c r="AM2762">
        <v>92.204802420920998</v>
      </c>
      <c r="AN2762">
        <v>1.00000002907907</v>
      </c>
    </row>
    <row r="2763" spans="1:40" x14ac:dyDescent="0.3">
      <c r="A2763" t="str">
        <f>"20200111160506406"</f>
        <v>20200111160506406</v>
      </c>
      <c r="B2763" t="str">
        <f>"1578729906403732"</f>
        <v>1578729906403732</v>
      </c>
      <c r="C2763" t="s">
        <v>40</v>
      </c>
      <c r="D2763">
        <v>5.5295420000000002</v>
      </c>
      <c r="E2763">
        <v>0.51832579999999995</v>
      </c>
      <c r="F2763" t="s">
        <v>61</v>
      </c>
      <c r="G2763">
        <v>-406.16239999999999</v>
      </c>
      <c r="H2763" s="1">
        <v>5.89577099999999E-6</v>
      </c>
      <c r="I2763">
        <v>213.52109999999999</v>
      </c>
      <c r="J2763">
        <v>-423.36750000000001</v>
      </c>
      <c r="K2763">
        <v>1.1102110000000001</v>
      </c>
      <c r="L2763">
        <v>213.697</v>
      </c>
      <c r="M2763">
        <v>0.99981109999999895</v>
      </c>
      <c r="N2763">
        <v>0</v>
      </c>
      <c r="O2763">
        <v>-1.7903909999999999E-2</v>
      </c>
      <c r="P2763">
        <v>0.99969090000000005</v>
      </c>
      <c r="Q2763">
        <v>1.349771E-2</v>
      </c>
      <c r="R2763">
        <v>2.088083E-2</v>
      </c>
      <c r="S2763">
        <v>3.0030519999999998</v>
      </c>
      <c r="T2763">
        <v>-0.1879053</v>
      </c>
      <c r="U2763">
        <v>-3.1311039999999998E-2</v>
      </c>
      <c r="V2763">
        <v>-3.8817039999999997E-2</v>
      </c>
      <c r="W2763">
        <v>2.099152E-2</v>
      </c>
      <c r="X2763">
        <v>0.99902579999999996</v>
      </c>
      <c r="Y2763">
        <v>-7.4297469999999996E-3</v>
      </c>
      <c r="Z2763">
        <v>1.3513220000000001E-3</v>
      </c>
      <c r="AA2763">
        <v>0.99997150000000001</v>
      </c>
      <c r="AB2763">
        <v>37</v>
      </c>
      <c r="AC2763">
        <v>17.205100000000002</v>
      </c>
      <c r="AD2763">
        <v>-1.110205104229</v>
      </c>
      <c r="AE2763">
        <v>-0.17590000000001199</v>
      </c>
      <c r="AF2763">
        <v>-0.13162755439673901</v>
      </c>
      <c r="AG2763">
        <v>-1.110205104229</v>
      </c>
      <c r="AH2763">
        <v>17.1341553644579</v>
      </c>
      <c r="AI2763">
        <v>93.707180215109702</v>
      </c>
      <c r="AJ2763">
        <v>90.440147460994694</v>
      </c>
      <c r="AK2763">
        <v>17.170590008497499</v>
      </c>
      <c r="AL2763">
        <v>88.797186125247904</v>
      </c>
      <c r="AM2763">
        <v>92.225102052969106</v>
      </c>
      <c r="AN2763">
        <v>0.99999997778595495</v>
      </c>
    </row>
    <row r="2764" spans="1:40" x14ac:dyDescent="0.3">
      <c r="A2764" t="str">
        <f>"20200111160506429"</f>
        <v>20200111160506429</v>
      </c>
      <c r="B2764" t="str">
        <f>"1578729906424227"</f>
        <v>1578729906424227</v>
      </c>
      <c r="C2764" t="s">
        <v>40</v>
      </c>
      <c r="D2764">
        <v>6.3244939999999996</v>
      </c>
      <c r="E2764">
        <v>0.51879659999999905</v>
      </c>
      <c r="F2764" t="s">
        <v>42</v>
      </c>
      <c r="G2764">
        <v>-422.34899999999999</v>
      </c>
      <c r="H2764">
        <v>1.039714</v>
      </c>
      <c r="I2764">
        <v>213.6737</v>
      </c>
      <c r="J2764">
        <v>-422.99979999999999</v>
      </c>
      <c r="K2764">
        <v>1.1102299999999901</v>
      </c>
      <c r="L2764">
        <v>213.69110000000001</v>
      </c>
      <c r="M2764">
        <v>0.99982539999999998</v>
      </c>
      <c r="N2764">
        <v>0</v>
      </c>
      <c r="O2764">
        <v>-1.7080680000000001E-2</v>
      </c>
      <c r="P2764">
        <v>0.99962839999999997</v>
      </c>
      <c r="Q2764">
        <v>1.6723990000000001E-2</v>
      </c>
      <c r="R2764">
        <v>2.1537359999999998E-2</v>
      </c>
      <c r="S2764">
        <v>3.0051570000000001</v>
      </c>
      <c r="T2764">
        <v>-0.2081305</v>
      </c>
      <c r="U2764">
        <v>-6.7733760000000004E-2</v>
      </c>
      <c r="V2764">
        <v>-3.8656059999999999E-2</v>
      </c>
      <c r="W2764">
        <v>2.4231280000000001E-2</v>
      </c>
      <c r="X2764">
        <v>0.99895869999999998</v>
      </c>
      <c r="Y2764">
        <v>5.4810969999999999E-3</v>
      </c>
      <c r="Z2764">
        <v>9.9178599999999993E-4</v>
      </c>
      <c r="AA2764">
        <v>0.99998450000000005</v>
      </c>
      <c r="AB2764">
        <v>37</v>
      </c>
      <c r="AC2764">
        <v>0.65080000000000304</v>
      </c>
      <c r="AD2764">
        <v>-7.0515999999999801E-2</v>
      </c>
      <c r="AE2764">
        <v>-1.7400000000009099E-2</v>
      </c>
      <c r="AF2764">
        <v>6.2082014859897597E-3</v>
      </c>
      <c r="AG2764">
        <v>-7.0515999999999801E-2</v>
      </c>
      <c r="AH2764">
        <v>0.64345330766638498</v>
      </c>
      <c r="AI2764">
        <v>96.253794044881204</v>
      </c>
      <c r="AJ2764">
        <v>89.447212870700596</v>
      </c>
      <c r="AK2764">
        <v>0.64733546725673996</v>
      </c>
      <c r="AL2764">
        <v>88.611513976664497</v>
      </c>
      <c r="AM2764">
        <v>92.216032136213997</v>
      </c>
      <c r="AN2764">
        <v>0.99999996510542499</v>
      </c>
    </row>
    <row r="2765" spans="1:40" x14ac:dyDescent="0.3">
      <c r="A2765" t="str">
        <f>"20200111160506452"</f>
        <v>20200111160506452</v>
      </c>
      <c r="B2765" t="str">
        <f>"1578729906443748"</f>
        <v>1578729906443748</v>
      </c>
      <c r="C2765" t="s">
        <v>40</v>
      </c>
      <c r="D2765">
        <v>6.0944000000000003</v>
      </c>
      <c r="E2765">
        <v>0.51902099999999995</v>
      </c>
      <c r="F2765" t="s">
        <v>42</v>
      </c>
      <c r="G2765">
        <v>-422.01310000000001</v>
      </c>
      <c r="H2765">
        <v>1.045674</v>
      </c>
      <c r="I2765">
        <v>213.66820000000001</v>
      </c>
      <c r="J2765">
        <v>-422.61579999999998</v>
      </c>
      <c r="K2765">
        <v>1.110236</v>
      </c>
      <c r="L2765">
        <v>213.68530000000001</v>
      </c>
      <c r="M2765">
        <v>0.99983949999999999</v>
      </c>
      <c r="N2765">
        <v>0</v>
      </c>
      <c r="O2765">
        <v>-1.622121E-2</v>
      </c>
      <c r="P2765">
        <v>0.99957790000000002</v>
      </c>
      <c r="Q2765">
        <v>1.818262E-2</v>
      </c>
      <c r="R2765">
        <v>2.266104E-2</v>
      </c>
      <c r="S2765">
        <v>3.0059200000000001</v>
      </c>
      <c r="T2765">
        <v>-0.1967102</v>
      </c>
      <c r="U2765">
        <v>-6.9686890000000001E-2</v>
      </c>
      <c r="V2765">
        <v>-3.8922789999999999E-2</v>
      </c>
      <c r="W2765">
        <v>2.570329E-2</v>
      </c>
      <c r="X2765">
        <v>0.99891160000000001</v>
      </c>
      <c r="Y2765">
        <v>6.9763780000000001E-3</v>
      </c>
      <c r="Z2765">
        <v>8.322049E-4</v>
      </c>
      <c r="AA2765">
        <v>0.99997530000000001</v>
      </c>
      <c r="AB2765">
        <v>37</v>
      </c>
      <c r="AC2765">
        <v>0.60269999999997004</v>
      </c>
      <c r="AD2765">
        <v>-6.4561999999999994E-2</v>
      </c>
      <c r="AE2765">
        <v>-1.7099999999999199E-2</v>
      </c>
      <c r="AF2765">
        <v>7.2379554136953001E-3</v>
      </c>
      <c r="AG2765">
        <v>-6.4561999999999994E-2</v>
      </c>
      <c r="AH2765">
        <v>0.59606377485613704</v>
      </c>
      <c r="AI2765">
        <v>96.181378203156299</v>
      </c>
      <c r="AJ2765">
        <v>89.304296060229802</v>
      </c>
      <c r="AK2765">
        <v>0.599593748748532</v>
      </c>
      <c r="AL2765">
        <v>88.527147777606402</v>
      </c>
      <c r="AM2765">
        <v>92.231412640789401</v>
      </c>
      <c r="AN2765">
        <v>1.00000001365638</v>
      </c>
    </row>
    <row r="2766" spans="1:40" x14ac:dyDescent="0.3">
      <c r="A2766" t="str">
        <f>"20200111160506474"</f>
        <v>20200111160506474</v>
      </c>
      <c r="B2766" t="str">
        <f>"1578729906464244"</f>
        <v>1578729906464244</v>
      </c>
      <c r="C2766" t="s">
        <v>40</v>
      </c>
      <c r="D2766">
        <v>5.5428730000000002</v>
      </c>
      <c r="E2766">
        <v>0.52002780000000004</v>
      </c>
      <c r="F2766" t="s">
        <v>61</v>
      </c>
      <c r="G2766">
        <v>-404.16230000000002</v>
      </c>
      <c r="H2766" s="1">
        <v>6.8361950000000004E-6</v>
      </c>
      <c r="I2766">
        <v>213.26240000000001</v>
      </c>
      <c r="J2766">
        <v>-422.24380000000002</v>
      </c>
      <c r="K2766">
        <v>1.110242</v>
      </c>
      <c r="L2766">
        <v>213.68</v>
      </c>
      <c r="M2766">
        <v>0.99985270000000004</v>
      </c>
      <c r="N2766">
        <v>0</v>
      </c>
      <c r="O2766">
        <v>-1.538987E-2</v>
      </c>
      <c r="P2766">
        <v>0.99957169999999895</v>
      </c>
      <c r="Q2766">
        <v>1.7694169999999999E-2</v>
      </c>
      <c r="R2766">
        <v>2.332186E-2</v>
      </c>
      <c r="S2766">
        <v>3.006195</v>
      </c>
      <c r="T2766">
        <v>-0.18086430000000001</v>
      </c>
      <c r="U2766">
        <v>-6.8893430000000005E-2</v>
      </c>
      <c r="V2766">
        <v>-3.8752750000000002E-2</v>
      </c>
      <c r="W2766">
        <v>2.5228509999999999E-2</v>
      </c>
      <c r="X2766">
        <v>0.99893030000000005</v>
      </c>
      <c r="Y2766">
        <v>7.536343E-3</v>
      </c>
      <c r="Z2766">
        <v>6.9844179999999903E-4</v>
      </c>
      <c r="AA2766">
        <v>0.99997130000000001</v>
      </c>
      <c r="AB2766">
        <v>37</v>
      </c>
      <c r="AC2766">
        <v>18.081499999999998</v>
      </c>
      <c r="AD2766">
        <v>-1.1102351638050001</v>
      </c>
      <c r="AE2766">
        <v>-0.41759999999999298</v>
      </c>
      <c r="AF2766">
        <v>0.13874774936887699</v>
      </c>
      <c r="AG2766">
        <v>-1.1102351638050001</v>
      </c>
      <c r="AH2766">
        <v>18.017891144919201</v>
      </c>
      <c r="AI2766">
        <v>93.525916814834503</v>
      </c>
      <c r="AJ2766">
        <v>89.558799458659294</v>
      </c>
      <c r="AK2766">
        <v>18.052597441007201</v>
      </c>
      <c r="AL2766">
        <v>88.554359471205601</v>
      </c>
      <c r="AM2766">
        <v>92.221632624235994</v>
      </c>
      <c r="AN2766">
        <v>0.99999999880373602</v>
      </c>
    </row>
    <row r="2767" spans="1:40" x14ac:dyDescent="0.3">
      <c r="A2767" t="str">
        <f>"20200111160506496"</f>
        <v>20200111160506496</v>
      </c>
      <c r="B2767" t="str">
        <f>"1578729906483766"</f>
        <v>1578729906483766</v>
      </c>
      <c r="C2767" t="s">
        <v>40</v>
      </c>
      <c r="D2767">
        <v>5.5621419999999997</v>
      </c>
      <c r="E2767">
        <v>0.52068630000000005</v>
      </c>
      <c r="F2767" t="s">
        <v>61</v>
      </c>
      <c r="G2767">
        <v>-405.00839999999999</v>
      </c>
      <c r="H2767" s="1">
        <v>6.4626230000000002E-6</v>
      </c>
      <c r="I2767">
        <v>213.25450000000001</v>
      </c>
      <c r="J2767">
        <v>-421.87799999999999</v>
      </c>
      <c r="K2767">
        <v>1.1102459999999901</v>
      </c>
      <c r="L2767">
        <v>213.67500000000001</v>
      </c>
      <c r="M2767">
        <v>0.9998648</v>
      </c>
      <c r="N2767">
        <v>0</v>
      </c>
      <c r="O2767">
        <v>-1.4572480000000001E-2</v>
      </c>
      <c r="P2767">
        <v>0.99954779999999999</v>
      </c>
      <c r="Q2767">
        <v>1.7985649999999999E-2</v>
      </c>
      <c r="R2767">
        <v>2.4101620000000001E-2</v>
      </c>
      <c r="S2767">
        <v>3.0063780000000002</v>
      </c>
      <c r="T2767">
        <v>-0.1936592</v>
      </c>
      <c r="U2767">
        <v>-7.421875E-2</v>
      </c>
      <c r="V2767">
        <v>-3.8715769999999997E-2</v>
      </c>
      <c r="W2767">
        <v>2.5533110000000001E-2</v>
      </c>
      <c r="X2767">
        <v>0.99892400000000003</v>
      </c>
      <c r="Y2767">
        <v>1.011772E-2</v>
      </c>
      <c r="Z2767">
        <v>6.120629E-4</v>
      </c>
      <c r="AA2767">
        <v>0.99994859999999997</v>
      </c>
      <c r="AB2767">
        <v>37</v>
      </c>
      <c r="AC2767">
        <v>16.869599999999998</v>
      </c>
      <c r="AD2767">
        <v>-1.11023953737699</v>
      </c>
      <c r="AE2767">
        <v>-0.42050000000000398</v>
      </c>
      <c r="AF2767">
        <v>0.17386370800357401</v>
      </c>
      <c r="AG2767">
        <v>-1.11023953737699</v>
      </c>
      <c r="AH2767">
        <v>16.801209695322001</v>
      </c>
      <c r="AI2767">
        <v>93.780459887301006</v>
      </c>
      <c r="AJ2767">
        <v>89.407108101464402</v>
      </c>
      <c r="AK2767">
        <v>16.838750180624999</v>
      </c>
      <c r="AL2767">
        <v>88.536901560547406</v>
      </c>
      <c r="AM2767">
        <v>92.219528725768498</v>
      </c>
      <c r="AN2767">
        <v>1.0000000041644801</v>
      </c>
    </row>
    <row r="2768" spans="1:40" x14ac:dyDescent="0.3">
      <c r="A2768" t="str">
        <f>"20200111160506518"</f>
        <v>20200111160506518</v>
      </c>
      <c r="B2768" t="str">
        <f>"1578729906514020"</f>
        <v>1578729906514020</v>
      </c>
      <c r="C2768" t="s">
        <v>40</v>
      </c>
      <c r="D2768">
        <v>6.2793739999999998</v>
      </c>
      <c r="E2768">
        <v>0.52054420000000001</v>
      </c>
      <c r="F2768" t="s">
        <v>61</v>
      </c>
      <c r="G2768">
        <v>-403.50869999999998</v>
      </c>
      <c r="H2768" s="1">
        <v>7.1392810000000001E-6</v>
      </c>
      <c r="I2768">
        <v>213.19839999999999</v>
      </c>
      <c r="J2768">
        <v>-421.50420000000003</v>
      </c>
      <c r="K2768">
        <v>1.1102449999999999</v>
      </c>
      <c r="L2768">
        <v>213.6703</v>
      </c>
      <c r="M2768">
        <v>0.99987649999999995</v>
      </c>
      <c r="N2768">
        <v>0</v>
      </c>
      <c r="O2768">
        <v>-1.373804E-2</v>
      </c>
      <c r="P2768">
        <v>0.99955240000000001</v>
      </c>
      <c r="Q2768">
        <v>1.7391500000000001E-2</v>
      </c>
      <c r="R2768">
        <v>2.4342699999999998E-2</v>
      </c>
      <c r="S2768">
        <v>3.006561</v>
      </c>
      <c r="T2768">
        <v>-0.1817164</v>
      </c>
      <c r="U2768">
        <v>-7.8018190000000001E-2</v>
      </c>
      <c r="V2768">
        <v>-3.812186E-2</v>
      </c>
      <c r="W2768">
        <v>2.4953940000000001E-2</v>
      </c>
      <c r="X2768">
        <v>0.9989614</v>
      </c>
      <c r="Y2768">
        <v>1.220711E-2</v>
      </c>
      <c r="Z2768">
        <v>4.6089759999999998E-4</v>
      </c>
      <c r="AA2768">
        <v>0.99992539999999996</v>
      </c>
      <c r="AB2768">
        <v>37</v>
      </c>
      <c r="AC2768">
        <v>17.9955</v>
      </c>
      <c r="AD2768">
        <v>-1.110237860719</v>
      </c>
      <c r="AE2768">
        <v>-0.47190000000000498</v>
      </c>
      <c r="AF2768">
        <v>0.22377419516072999</v>
      </c>
      <c r="AG2768">
        <v>-1.110237860719</v>
      </c>
      <c r="AH2768">
        <v>17.932076661154099</v>
      </c>
      <c r="AI2768">
        <v>93.542585554570806</v>
      </c>
      <c r="AJ2768">
        <v>89.285043683610496</v>
      </c>
      <c r="AK2768">
        <v>17.967806665792601</v>
      </c>
      <c r="AL2768">
        <v>88.570096025216401</v>
      </c>
      <c r="AM2768">
        <v>92.185432106706003</v>
      </c>
      <c r="AN2768">
        <v>0.99999992701066798</v>
      </c>
    </row>
    <row r="2769" spans="1:40" x14ac:dyDescent="0.3">
      <c r="A2769" t="str">
        <f>"20200111160506542"</f>
        <v>20200111160506542</v>
      </c>
      <c r="B2769" t="str">
        <f>"1578729906533540"</f>
        <v>1578729906533540</v>
      </c>
      <c r="C2769" t="s">
        <v>40</v>
      </c>
      <c r="D2769">
        <v>5.6139760000000001</v>
      </c>
      <c r="E2769">
        <v>0.52026209999999995</v>
      </c>
      <c r="F2769" t="s">
        <v>57</v>
      </c>
      <c r="G2769">
        <v>-399.60129999999998</v>
      </c>
      <c r="H2769" s="1">
        <v>3.572542E-6</v>
      </c>
      <c r="I2769">
        <v>213.1018</v>
      </c>
      <c r="J2769">
        <v>-421.11610000000002</v>
      </c>
      <c r="K2769">
        <v>1.1102430000000001</v>
      </c>
      <c r="L2769">
        <v>213.66569999999999</v>
      </c>
      <c r="M2769">
        <v>0.99988790000000005</v>
      </c>
      <c r="N2769">
        <v>0</v>
      </c>
      <c r="O2769">
        <v>-1.287201E-2</v>
      </c>
      <c r="P2769">
        <v>0.99953519999999896</v>
      </c>
      <c r="Q2769">
        <v>1.7926810000000001E-2</v>
      </c>
      <c r="R2769">
        <v>2.4663549999999999E-2</v>
      </c>
      <c r="S2769">
        <v>3.00589</v>
      </c>
      <c r="T2769">
        <v>-0.15236620000000001</v>
      </c>
      <c r="U2769">
        <v>-7.8018190000000001E-2</v>
      </c>
      <c r="V2769">
        <v>-3.7578300000000002E-2</v>
      </c>
      <c r="W2769">
        <v>2.5504510000000001E-2</v>
      </c>
      <c r="X2769">
        <v>0.99896819999999997</v>
      </c>
      <c r="Y2769">
        <v>1.3075899999999901E-2</v>
      </c>
      <c r="Z2769">
        <v>3.2078690000000002E-4</v>
      </c>
      <c r="AA2769">
        <v>0.99991450000000004</v>
      </c>
      <c r="AB2769">
        <v>37</v>
      </c>
      <c r="AC2769">
        <v>21.514800000000001</v>
      </c>
      <c r="AD2769">
        <v>-1.1102394274580001</v>
      </c>
      <c r="AE2769">
        <v>-0.56389999999998897</v>
      </c>
      <c r="AF2769">
        <v>0.286144998915902</v>
      </c>
      <c r="AG2769">
        <v>-1.1102394274580001</v>
      </c>
      <c r="AH2769">
        <v>21.463160665847099</v>
      </c>
      <c r="AI2769">
        <v>92.960875674272799</v>
      </c>
      <c r="AJ2769">
        <v>89.236182881789404</v>
      </c>
      <c r="AK2769">
        <v>21.4937613347374</v>
      </c>
      <c r="AL2769">
        <v>88.538540801117307</v>
      </c>
      <c r="AM2769">
        <v>92.154286076020298</v>
      </c>
      <c r="AN2769">
        <v>1.00000003663623</v>
      </c>
    </row>
    <row r="2770" spans="1:40" x14ac:dyDescent="0.3">
      <c r="A2770" t="str">
        <f>"20200111160506562"</f>
        <v>20200111160506562</v>
      </c>
      <c r="B2770" t="str">
        <f>"1578729906554035"</f>
        <v>1578729906554035</v>
      </c>
      <c r="C2770" t="s">
        <v>40</v>
      </c>
      <c r="D2770">
        <v>5.5503179999999999</v>
      </c>
      <c r="E2770">
        <v>0.52056559999999996</v>
      </c>
      <c r="F2770" t="s">
        <v>57</v>
      </c>
      <c r="G2770">
        <v>-395.82040000000001</v>
      </c>
      <c r="H2770" s="1">
        <v>1.560541E-6</v>
      </c>
      <c r="I2770">
        <v>213.02690000000001</v>
      </c>
      <c r="J2770">
        <v>-420.75720000000001</v>
      </c>
      <c r="K2770">
        <v>1.110249</v>
      </c>
      <c r="L2770">
        <v>213.6617</v>
      </c>
      <c r="M2770">
        <v>0.99989779999999995</v>
      </c>
      <c r="N2770">
        <v>0</v>
      </c>
      <c r="O2770">
        <v>-1.207095E-2</v>
      </c>
      <c r="P2770">
        <v>0.99952079999999999</v>
      </c>
      <c r="Q2770">
        <v>1.8674940000000001E-2</v>
      </c>
      <c r="R2770">
        <v>2.46936E-2</v>
      </c>
      <c r="S2770">
        <v>3.0056759999999998</v>
      </c>
      <c r="T2770">
        <v>-0.1319205</v>
      </c>
      <c r="U2770">
        <v>-7.5897220000000001E-2</v>
      </c>
      <c r="V2770">
        <v>-3.6809689999999999E-2</v>
      </c>
      <c r="W2770">
        <v>2.6267200000000001E-2</v>
      </c>
      <c r="X2770">
        <v>0.998977</v>
      </c>
      <c r="Y2770">
        <v>1.3172899999999901E-2</v>
      </c>
      <c r="Z2770">
        <v>2.40549E-4</v>
      </c>
      <c r="AA2770">
        <v>0.99991319999999995</v>
      </c>
      <c r="AB2770">
        <v>37</v>
      </c>
      <c r="AC2770">
        <v>24.936800000000002</v>
      </c>
      <c r="AD2770">
        <v>-1.1102474394589901</v>
      </c>
      <c r="AE2770">
        <v>-0.63479999999998404</v>
      </c>
      <c r="AF2770">
        <v>0.33307424129776197</v>
      </c>
      <c r="AG2770">
        <v>-1.1102474394589901</v>
      </c>
      <c r="AH2770">
        <v>24.893333129183301</v>
      </c>
      <c r="AI2770">
        <v>92.553482152014993</v>
      </c>
      <c r="AJ2770">
        <v>89.233424889891893</v>
      </c>
      <c r="AK2770">
        <v>24.920305417621599</v>
      </c>
      <c r="AL2770">
        <v>88.494827154338594</v>
      </c>
      <c r="AM2770">
        <v>92.110244937496603</v>
      </c>
      <c r="AN2770">
        <v>0.99999998280136704</v>
      </c>
    </row>
    <row r="2771" spans="1:40" x14ac:dyDescent="0.3">
      <c r="A2771" t="str">
        <f>"20200111160506586"</f>
        <v>20200111160506586</v>
      </c>
      <c r="B2771" t="str">
        <f>"1578729906573952"</f>
        <v>1578729906573952</v>
      </c>
      <c r="C2771" t="s">
        <v>40</v>
      </c>
      <c r="D2771">
        <v>5.6035879999999896</v>
      </c>
      <c r="E2771">
        <v>0.52101370000000002</v>
      </c>
      <c r="F2771" t="s">
        <v>57</v>
      </c>
      <c r="G2771">
        <v>-392.06610000000001</v>
      </c>
      <c r="H2771" s="1">
        <v>-4.3733340000000001E-7</v>
      </c>
      <c r="I2771">
        <v>212.90880000000001</v>
      </c>
      <c r="J2771">
        <v>-420.3741</v>
      </c>
      <c r="K2771">
        <v>1.110255</v>
      </c>
      <c r="L2771">
        <v>213.65780000000001</v>
      </c>
      <c r="M2771">
        <v>0.99990760000000001</v>
      </c>
      <c r="N2771">
        <v>0</v>
      </c>
      <c r="O2771">
        <v>-1.1218759999999999E-2</v>
      </c>
      <c r="P2771">
        <v>0.99950680000000003</v>
      </c>
      <c r="Q2771">
        <v>1.9738530000000001E-2</v>
      </c>
      <c r="R2771">
        <v>2.4422969999999999E-2</v>
      </c>
      <c r="S2771">
        <v>3.0055540000000001</v>
      </c>
      <c r="T2771">
        <v>-0.1163049</v>
      </c>
      <c r="U2771">
        <v>-7.8872680000000001E-2</v>
      </c>
      <c r="V2771">
        <v>-3.5689220000000001E-2</v>
      </c>
      <c r="W2771">
        <v>2.7346840000000001E-2</v>
      </c>
      <c r="X2771">
        <v>0.99898869999999895</v>
      </c>
      <c r="Y2771">
        <v>1.501356E-2</v>
      </c>
      <c r="Z2771">
        <v>1.4355269999999999E-4</v>
      </c>
      <c r="AA2771">
        <v>0.99988730000000003</v>
      </c>
      <c r="AB2771">
        <v>37</v>
      </c>
      <c r="AC2771">
        <v>28.308</v>
      </c>
      <c r="AD2771">
        <v>-1.1102554373333999</v>
      </c>
      <c r="AE2771">
        <v>-0.748999999999995</v>
      </c>
      <c r="AF2771">
        <v>0.43070078202793599</v>
      </c>
      <c r="AG2771">
        <v>-1.1102554373333999</v>
      </c>
      <c r="AH2771">
        <v>28.271163761218499</v>
      </c>
      <c r="AI2771">
        <v>92.248683833056802</v>
      </c>
      <c r="AJ2771">
        <v>89.127187392662407</v>
      </c>
      <c r="AK2771">
        <v>28.2962342143509</v>
      </c>
      <c r="AL2771">
        <v>88.432946117825296</v>
      </c>
      <c r="AM2771">
        <v>92.046041563329396</v>
      </c>
      <c r="AN2771">
        <v>0.99999999640494097</v>
      </c>
    </row>
    <row r="2772" spans="1:40" x14ac:dyDescent="0.3">
      <c r="A2772" t="str">
        <f>"20200111160506607"</f>
        <v>20200111160506607</v>
      </c>
      <c r="B2772" t="str">
        <f>"1578729906604207"</f>
        <v>1578729906604207</v>
      </c>
      <c r="C2772" t="s">
        <v>40</v>
      </c>
      <c r="D2772">
        <v>5.7388379999999897</v>
      </c>
      <c r="E2772">
        <v>0.52172350000000001</v>
      </c>
      <c r="F2772" t="s">
        <v>57</v>
      </c>
      <c r="G2772">
        <v>-391.43439999999998</v>
      </c>
      <c r="H2772" s="1">
        <v>-7.735038E-7</v>
      </c>
      <c r="I2772">
        <v>212.85720000000001</v>
      </c>
      <c r="J2772">
        <v>-420.01839999999999</v>
      </c>
      <c r="K2772">
        <v>1.11025</v>
      </c>
      <c r="L2772">
        <v>213.65450000000001</v>
      </c>
      <c r="M2772">
        <v>0.99991600000000003</v>
      </c>
      <c r="N2772">
        <v>0</v>
      </c>
      <c r="O2772">
        <v>-1.0429509999999999E-2</v>
      </c>
      <c r="P2772">
        <v>0.9995385</v>
      </c>
      <c r="Q2772">
        <v>1.8511449999999999E-2</v>
      </c>
      <c r="R2772">
        <v>2.409085E-2</v>
      </c>
      <c r="S2772">
        <v>3.0058289999999999</v>
      </c>
      <c r="T2772">
        <v>-0.1153169</v>
      </c>
      <c r="U2772">
        <v>-8.3160399999999995E-2</v>
      </c>
      <c r="V2772">
        <v>-3.4567069999999998E-2</v>
      </c>
      <c r="W2772">
        <v>2.613563E-2</v>
      </c>
      <c r="X2772">
        <v>0.99906059999999997</v>
      </c>
      <c r="Y2772">
        <v>1.7223470000000001E-2</v>
      </c>
      <c r="Z2772" s="1">
        <v>6.9690719999999907E-5</v>
      </c>
      <c r="AA2772">
        <v>0.99985159999999995</v>
      </c>
      <c r="AB2772">
        <v>38</v>
      </c>
      <c r="AC2772">
        <v>28.584</v>
      </c>
      <c r="AD2772">
        <v>-1.1102507735038001</v>
      </c>
      <c r="AE2772">
        <v>-0.797300000000007</v>
      </c>
      <c r="AF2772">
        <v>0.49837938322062603</v>
      </c>
      <c r="AG2772">
        <v>-1.1102507735038001</v>
      </c>
      <c r="AH2772">
        <v>28.547725150005601</v>
      </c>
      <c r="AI2772">
        <v>92.226831164678998</v>
      </c>
      <c r="AJ2772">
        <v>88.999845532476101</v>
      </c>
      <c r="AK2772">
        <v>28.5736530746412</v>
      </c>
      <c r="AL2772">
        <v>88.502368201822406</v>
      </c>
      <c r="AM2772">
        <v>91.981618996750896</v>
      </c>
      <c r="AN2772">
        <v>1.0000000179781201</v>
      </c>
    </row>
    <row r="2773" spans="1:40" x14ac:dyDescent="0.3">
      <c r="A2773" t="str">
        <f>"20200111160506629"</f>
        <v>20200111160506629</v>
      </c>
      <c r="B2773" t="str">
        <f>"1578729906623726"</f>
        <v>1578729906623726</v>
      </c>
      <c r="C2773" t="s">
        <v>40</v>
      </c>
      <c r="D2773">
        <v>5.616587</v>
      </c>
      <c r="E2773">
        <v>0.52182379999999995</v>
      </c>
      <c r="F2773" t="s">
        <v>57</v>
      </c>
      <c r="G2773">
        <v>-396.12099999999998</v>
      </c>
      <c r="H2773" s="1">
        <v>1.7205089999999999E-6</v>
      </c>
      <c r="I2773">
        <v>212.953</v>
      </c>
      <c r="J2773">
        <v>-419.64030000000002</v>
      </c>
      <c r="K2773">
        <v>1.1102479999999999</v>
      </c>
      <c r="L2773">
        <v>213.65129999999999</v>
      </c>
      <c r="M2773">
        <v>0.99992420000000004</v>
      </c>
      <c r="N2773">
        <v>0</v>
      </c>
      <c r="O2773">
        <v>-9.5924570000000004E-3</v>
      </c>
      <c r="P2773">
        <v>0.99956270000000003</v>
      </c>
      <c r="Q2773">
        <v>1.6876789999999999E-2</v>
      </c>
      <c r="R2773">
        <v>2.4281319999999999E-2</v>
      </c>
      <c r="S2773">
        <v>3.0061339999999999</v>
      </c>
      <c r="T2773">
        <v>-0.1396618</v>
      </c>
      <c r="U2773">
        <v>-8.824158E-2</v>
      </c>
      <c r="V2773">
        <v>-3.3917709999999997E-2</v>
      </c>
      <c r="W2773">
        <v>2.4516340000000001E-2</v>
      </c>
      <c r="X2773">
        <v>0.99912389999999995</v>
      </c>
      <c r="Y2773">
        <v>1.974031E-2</v>
      </c>
      <c r="Z2773" s="1">
        <v>-1.2899280000000001E-5</v>
      </c>
      <c r="AA2773">
        <v>0.99980519999999995</v>
      </c>
      <c r="AB2773">
        <v>38</v>
      </c>
      <c r="AC2773">
        <v>23.519300000000001</v>
      </c>
      <c r="AD2773">
        <v>-1.110246279491</v>
      </c>
      <c r="AE2773">
        <v>-0.69829999999998804</v>
      </c>
      <c r="AF2773">
        <v>0.47160328802208001</v>
      </c>
      <c r="AG2773">
        <v>-1.110246279491</v>
      </c>
      <c r="AH2773">
        <v>23.4726564520092</v>
      </c>
      <c r="AI2773">
        <v>92.707501132336901</v>
      </c>
      <c r="AJ2773">
        <v>88.848990821214798</v>
      </c>
      <c r="AK2773">
        <v>23.503630727537502</v>
      </c>
      <c r="AL2773">
        <v>88.595176457247803</v>
      </c>
      <c r="AM2773">
        <v>91.944299028511594</v>
      </c>
      <c r="AN2773">
        <v>1.00000001476492</v>
      </c>
    </row>
    <row r="2774" spans="1:40" x14ac:dyDescent="0.3">
      <c r="A2774" t="str">
        <f>"20200111160506652"</f>
        <v>20200111160506652</v>
      </c>
      <c r="B2774" t="str">
        <f>"1578729906644222"</f>
        <v>1578729906644222</v>
      </c>
      <c r="C2774" t="s">
        <v>40</v>
      </c>
      <c r="D2774">
        <v>5.6004480000000001</v>
      </c>
      <c r="E2774">
        <v>0.52217259999999999</v>
      </c>
      <c r="F2774" t="s">
        <v>57</v>
      </c>
      <c r="G2774">
        <v>-398.31009999999998</v>
      </c>
      <c r="H2774" s="1">
        <v>2.8854060000000001E-6</v>
      </c>
      <c r="I2774">
        <v>213.02860000000001</v>
      </c>
      <c r="J2774">
        <v>-419.25709999999998</v>
      </c>
      <c r="K2774">
        <v>1.11025</v>
      </c>
      <c r="L2774">
        <v>213.64830000000001</v>
      </c>
      <c r="M2774">
        <v>0.99993200000000004</v>
      </c>
      <c r="N2774">
        <v>0</v>
      </c>
      <c r="O2774">
        <v>-8.7459900000000004E-3</v>
      </c>
      <c r="P2774">
        <v>0.99956520000000004</v>
      </c>
      <c r="Q2774">
        <v>1.638189E-2</v>
      </c>
      <c r="R2774">
        <v>2.4519300000000001E-2</v>
      </c>
      <c r="S2774">
        <v>3.0060730000000002</v>
      </c>
      <c r="T2774">
        <v>-0.1564672</v>
      </c>
      <c r="U2774">
        <v>-8.7753300000000006E-2</v>
      </c>
      <c r="V2774">
        <v>-3.3308749999999998E-2</v>
      </c>
      <c r="W2774">
        <v>2.40363E-2</v>
      </c>
      <c r="X2774">
        <v>0.99915609999999999</v>
      </c>
      <c r="Y2774">
        <v>2.0420150000000001E-2</v>
      </c>
      <c r="Z2774" s="1">
        <v>-7.6143590000000007E-5</v>
      </c>
      <c r="AA2774">
        <v>0.99979150000000006</v>
      </c>
      <c r="AB2774">
        <v>38</v>
      </c>
      <c r="AC2774">
        <v>20.946999999999999</v>
      </c>
      <c r="AD2774">
        <v>-1.1102471145940001</v>
      </c>
      <c r="AE2774">
        <v>-0.61969999999999403</v>
      </c>
      <c r="AF2774">
        <v>0.43524693067033698</v>
      </c>
      <c r="AG2774">
        <v>-1.1102471145940001</v>
      </c>
      <c r="AH2774">
        <v>20.892975869310099</v>
      </c>
      <c r="AI2774">
        <v>93.041162666318499</v>
      </c>
      <c r="AJ2774">
        <v>88.806574718924296</v>
      </c>
      <c r="AK2774">
        <v>20.926980891225</v>
      </c>
      <c r="AL2774">
        <v>88.622688899680895</v>
      </c>
      <c r="AM2774">
        <v>91.909355587908905</v>
      </c>
      <c r="AN2774">
        <v>1.0000000643557201</v>
      </c>
    </row>
    <row r="2775" spans="1:40" x14ac:dyDescent="0.3">
      <c r="A2775" t="str">
        <f>"20200111160506675"</f>
        <v>20200111160506675</v>
      </c>
      <c r="B2775" t="str">
        <f>"1578729906673909"</f>
        <v>1578729906673909</v>
      </c>
      <c r="C2775" t="s">
        <v>40</v>
      </c>
      <c r="D2775">
        <v>5.6255750000000004</v>
      </c>
      <c r="E2775">
        <v>0.52264920000000004</v>
      </c>
      <c r="F2775" t="s">
        <v>57</v>
      </c>
      <c r="G2775">
        <v>-399.64859999999999</v>
      </c>
      <c r="H2775" s="1">
        <v>3.5977279999999998E-6</v>
      </c>
      <c r="I2775">
        <v>213.0659</v>
      </c>
      <c r="J2775">
        <v>-418.85899999999998</v>
      </c>
      <c r="K2775">
        <v>1.1102620000000001</v>
      </c>
      <c r="L2775">
        <v>213.6456</v>
      </c>
      <c r="M2775">
        <v>0.99993929999999998</v>
      </c>
      <c r="N2775">
        <v>0</v>
      </c>
      <c r="O2775">
        <v>-7.8682890000000005E-3</v>
      </c>
      <c r="P2775">
        <v>0.99953769999999997</v>
      </c>
      <c r="Q2775">
        <v>1.8042300000000001E-2</v>
      </c>
      <c r="R2775">
        <v>2.448589E-2</v>
      </c>
      <c r="S2775">
        <v>3.0062869999999999</v>
      </c>
      <c r="T2775">
        <v>-0.17021829999999999</v>
      </c>
      <c r="U2775">
        <v>-8.9294429999999994E-2</v>
      </c>
      <c r="V2775">
        <v>-3.2401680000000002E-2</v>
      </c>
      <c r="W2775">
        <v>2.5713300000000001E-2</v>
      </c>
      <c r="X2775">
        <v>0.99914409999999998</v>
      </c>
      <c r="Y2775">
        <v>2.1801210000000001E-2</v>
      </c>
      <c r="Z2775">
        <v>-1.71520299999999E-4</v>
      </c>
      <c r="AA2775">
        <v>0.99976229999999999</v>
      </c>
      <c r="AB2775">
        <v>38</v>
      </c>
      <c r="AC2775">
        <v>19.2104</v>
      </c>
      <c r="AD2775">
        <v>-1.1102584022719999</v>
      </c>
      <c r="AE2775">
        <v>-0.57970000000000199</v>
      </c>
      <c r="AF2775">
        <v>0.42709927063383002</v>
      </c>
      <c r="AG2775">
        <v>-1.1102584022719999</v>
      </c>
      <c r="AH2775">
        <v>19.150458096685401</v>
      </c>
      <c r="AI2775">
        <v>93.317217311928204</v>
      </c>
      <c r="AJ2775">
        <v>88.722384107043794</v>
      </c>
      <c r="AK2775">
        <v>19.187369095832199</v>
      </c>
      <c r="AL2775">
        <v>88.526574018859705</v>
      </c>
      <c r="AM2775">
        <v>91.857418888063094</v>
      </c>
      <c r="AN2775">
        <v>0.99999998761426101</v>
      </c>
    </row>
    <row r="2776" spans="1:40" x14ac:dyDescent="0.3">
      <c r="A2776" t="str">
        <f>"20200111160506696"</f>
        <v>20200111160506696</v>
      </c>
      <c r="B2776" t="str">
        <f>"1578729906694407"</f>
        <v>1578729906694407</v>
      </c>
      <c r="C2776" t="s">
        <v>40</v>
      </c>
      <c r="D2776">
        <v>5.7227540000000001</v>
      </c>
      <c r="E2776">
        <v>0.52299770000000001</v>
      </c>
      <c r="F2776" t="s">
        <v>61</v>
      </c>
      <c r="G2776">
        <v>-400.34359999999998</v>
      </c>
      <c r="H2776" s="1">
        <v>8.5677320000000002E-6</v>
      </c>
      <c r="I2776">
        <v>213.07810000000001</v>
      </c>
      <c r="J2776">
        <v>-418.5077</v>
      </c>
      <c r="K2776">
        <v>1.110274</v>
      </c>
      <c r="L2776">
        <v>213.64349999999999</v>
      </c>
      <c r="M2776">
        <v>0.99994479999999997</v>
      </c>
      <c r="N2776">
        <v>0</v>
      </c>
      <c r="O2776">
        <v>-7.0950090000000002E-3</v>
      </c>
      <c r="P2776">
        <v>0.99947770000000002</v>
      </c>
      <c r="Q2776">
        <v>2.0492799999999999E-2</v>
      </c>
      <c r="R2776">
        <v>2.498742E-2</v>
      </c>
      <c r="S2776">
        <v>3.0069270000000001</v>
      </c>
      <c r="T2776">
        <v>-0.18030679999999999</v>
      </c>
      <c r="U2776">
        <v>-9.2163090000000003E-2</v>
      </c>
      <c r="V2776">
        <v>-3.2135129999999998E-2</v>
      </c>
      <c r="W2776">
        <v>2.8176699999999999E-2</v>
      </c>
      <c r="X2776">
        <v>0.99908629999999998</v>
      </c>
      <c r="Y2776">
        <v>2.3513740000000002E-2</v>
      </c>
      <c r="Z2776">
        <v>-2.792281E-4</v>
      </c>
      <c r="AA2776">
        <v>0.99972349999999999</v>
      </c>
      <c r="AB2776">
        <v>38</v>
      </c>
      <c r="AC2776">
        <v>18.164100000000001</v>
      </c>
      <c r="AD2776">
        <v>-1.1102654322679999</v>
      </c>
      <c r="AE2776">
        <v>-0.56539999999998203</v>
      </c>
      <c r="AF2776">
        <v>0.43488421921119702</v>
      </c>
      <c r="AG2776">
        <v>-1.1102654322679999</v>
      </c>
      <c r="AH2776">
        <v>18.100094968323699</v>
      </c>
      <c r="AI2776">
        <v>93.509132616138501</v>
      </c>
      <c r="AJ2776">
        <v>88.6236405195462</v>
      </c>
      <c r="AK2776">
        <v>18.139328859595299</v>
      </c>
      <c r="AL2776">
        <v>88.385380335599507</v>
      </c>
      <c r="AM2776">
        <v>91.842256042100004</v>
      </c>
      <c r="AN2776">
        <v>1.00000001392534</v>
      </c>
    </row>
    <row r="2777" spans="1:40" x14ac:dyDescent="0.3">
      <c r="A2777" t="str">
        <f>"20200111160506718"</f>
        <v>20200111160506718</v>
      </c>
      <c r="B2777" t="str">
        <f>"1578729906713926"</f>
        <v>1578729906713926</v>
      </c>
      <c r="C2777" t="s">
        <v>40</v>
      </c>
      <c r="D2777">
        <v>5.6294199999999996</v>
      </c>
      <c r="E2777">
        <v>0.52311790000000002</v>
      </c>
      <c r="F2777" t="s">
        <v>61</v>
      </c>
      <c r="G2777">
        <v>-400.161</v>
      </c>
      <c r="H2777" s="1">
        <v>8.6487799999999995E-6</v>
      </c>
      <c r="I2777">
        <v>213.07759999999999</v>
      </c>
      <c r="J2777">
        <v>-418.13810000000001</v>
      </c>
      <c r="K2777">
        <v>1.1102810000000001</v>
      </c>
      <c r="L2777">
        <v>213.64150000000001</v>
      </c>
      <c r="M2777">
        <v>0.99995009999999995</v>
      </c>
      <c r="N2777">
        <v>0</v>
      </c>
      <c r="O2777">
        <v>-6.2817949999999997E-3</v>
      </c>
      <c r="P2777">
        <v>0.99943599999999999</v>
      </c>
      <c r="Q2777">
        <v>2.1643579999999999E-2</v>
      </c>
      <c r="R2777">
        <v>2.5675280000000002E-2</v>
      </c>
      <c r="S2777">
        <v>3.0075989999999999</v>
      </c>
      <c r="T2777">
        <v>-0.18200740000000001</v>
      </c>
      <c r="U2777">
        <v>-9.2758179999999996E-2</v>
      </c>
      <c r="V2777">
        <v>-3.2012569999999997E-2</v>
      </c>
      <c r="W2777">
        <v>2.934113E-2</v>
      </c>
      <c r="X2777">
        <v>0.99905670000000002</v>
      </c>
      <c r="Y2777">
        <v>2.4513690000000001E-2</v>
      </c>
      <c r="Z2777">
        <v>-3.6116860000000002E-4</v>
      </c>
      <c r="AA2777">
        <v>0.99969940000000002</v>
      </c>
      <c r="AB2777">
        <v>38</v>
      </c>
      <c r="AC2777">
        <v>17.9771</v>
      </c>
      <c r="AD2777">
        <v>-1.1102723512199999</v>
      </c>
      <c r="AE2777">
        <v>-0.56390000000001705</v>
      </c>
      <c r="AF2777">
        <v>0.44924511856127303</v>
      </c>
      <c r="AG2777">
        <v>-1.1102723512199999</v>
      </c>
      <c r="AH2777">
        <v>17.912032207647201</v>
      </c>
      <c r="AI2777">
        <v>93.545812897385204</v>
      </c>
      <c r="AJ2777">
        <v>88.5632867403245</v>
      </c>
      <c r="AK2777">
        <v>17.952031185306701</v>
      </c>
      <c r="AL2777">
        <v>88.318635774646296</v>
      </c>
      <c r="AM2777">
        <v>91.835289022709802</v>
      </c>
      <c r="AN2777">
        <v>0.99999999818128504</v>
      </c>
    </row>
    <row r="2778" spans="1:40" x14ac:dyDescent="0.3">
      <c r="A2778" t="str">
        <f>"20200111160506742"</f>
        <v>20200111160506742</v>
      </c>
      <c r="B2778" t="str">
        <f>"1578729906734422"</f>
        <v>1578729906734422</v>
      </c>
      <c r="C2778" t="s">
        <v>40</v>
      </c>
      <c r="D2778">
        <v>5.5255879999999999</v>
      </c>
      <c r="E2778">
        <v>0.52342709999999903</v>
      </c>
      <c r="F2778" t="s">
        <v>57</v>
      </c>
      <c r="G2778">
        <v>-399.41640000000001</v>
      </c>
      <c r="H2778" s="1">
        <v>3.474134E-6</v>
      </c>
      <c r="I2778">
        <v>213.07249999999999</v>
      </c>
      <c r="J2778">
        <v>-417.72879999999998</v>
      </c>
      <c r="K2778">
        <v>1.1102829999999999</v>
      </c>
      <c r="L2778">
        <v>213.6397</v>
      </c>
      <c r="M2778">
        <v>0.99995529999999999</v>
      </c>
      <c r="N2778">
        <v>0</v>
      </c>
      <c r="O2778">
        <v>-5.3825139999999997E-3</v>
      </c>
      <c r="P2778">
        <v>0.99942779999999998</v>
      </c>
      <c r="Q2778">
        <v>2.093387E-2</v>
      </c>
      <c r="R2778">
        <v>2.6571440000000002E-2</v>
      </c>
      <c r="S2778">
        <v>3.0078740000000002</v>
      </c>
      <c r="T2778">
        <v>-0.17837999999999901</v>
      </c>
      <c r="U2778">
        <v>-9.1415410000000002E-2</v>
      </c>
      <c r="V2778">
        <v>-3.2008929999999998E-2</v>
      </c>
      <c r="W2778">
        <v>2.8646189999999998E-2</v>
      </c>
      <c r="X2778">
        <v>0.99907699999999999</v>
      </c>
      <c r="Y2778">
        <v>2.4963010000000001E-2</v>
      </c>
      <c r="Z2778">
        <v>-4.2053279999999999E-4</v>
      </c>
      <c r="AA2778">
        <v>0.99968829999999997</v>
      </c>
      <c r="AB2778">
        <v>38</v>
      </c>
      <c r="AC2778">
        <v>18.312399999999901</v>
      </c>
      <c r="AD2778">
        <v>-1.1102795258660001</v>
      </c>
      <c r="AE2778">
        <v>-0.56720000000001303</v>
      </c>
      <c r="AF2778">
        <v>0.46690735461111799</v>
      </c>
      <c r="AG2778">
        <v>-1.1102795258660001</v>
      </c>
      <c r="AH2778">
        <v>18.248171991815799</v>
      </c>
      <c r="AI2778">
        <v>93.480637424671002</v>
      </c>
      <c r="AJ2778">
        <v>88.534319751485498</v>
      </c>
      <c r="AK2778">
        <v>18.287878612519201</v>
      </c>
      <c r="AL2778">
        <v>88.358469676632097</v>
      </c>
      <c r="AM2778">
        <v>91.835043222190606</v>
      </c>
      <c r="AN2778">
        <v>1.0000000138651299</v>
      </c>
    </row>
    <row r="2779" spans="1:40" x14ac:dyDescent="0.3">
      <c r="A2779" t="str">
        <f>"20200111160506766"</f>
        <v>20200111160506766</v>
      </c>
      <c r="B2779" t="str">
        <f>"1578729906753941"</f>
        <v>1578729906753941</v>
      </c>
      <c r="C2779" t="s">
        <v>40</v>
      </c>
      <c r="D2779">
        <v>5.6032669999999998</v>
      </c>
      <c r="E2779">
        <v>0.52367629999999998</v>
      </c>
      <c r="F2779" t="s">
        <v>61</v>
      </c>
      <c r="G2779">
        <v>-400.12630000000001</v>
      </c>
      <c r="H2779" s="1">
        <v>8.6575770000000003E-6</v>
      </c>
      <c r="I2779">
        <v>213.1097</v>
      </c>
      <c r="J2779">
        <v>-417.32900000000001</v>
      </c>
      <c r="K2779">
        <v>1.1102829999999999</v>
      </c>
      <c r="L2779">
        <v>213.63829999999999</v>
      </c>
      <c r="M2779">
        <v>0.99995959999999995</v>
      </c>
      <c r="N2779">
        <v>0</v>
      </c>
      <c r="O2779">
        <v>-4.5049280000000001E-3</v>
      </c>
      <c r="P2779">
        <v>0.99939789999999995</v>
      </c>
      <c r="Q2779">
        <v>2.091142E-2</v>
      </c>
      <c r="R2779">
        <v>2.7693260000000001E-2</v>
      </c>
      <c r="S2779">
        <v>3.0080260000000001</v>
      </c>
      <c r="T2779">
        <v>-0.1897305</v>
      </c>
      <c r="U2779">
        <v>-9.0576169999999998E-2</v>
      </c>
      <c r="V2779">
        <v>-3.2253810000000001E-2</v>
      </c>
      <c r="W2779">
        <v>2.8638090000000001E-2</v>
      </c>
      <c r="X2779">
        <v>0.99906930000000005</v>
      </c>
      <c r="Y2779">
        <v>2.5552740000000001E-2</v>
      </c>
      <c r="Z2779">
        <v>-5.210805E-4</v>
      </c>
      <c r="AA2779">
        <v>0.99967340000000005</v>
      </c>
      <c r="AB2779">
        <v>38</v>
      </c>
      <c r="AC2779">
        <v>17.202699999999901</v>
      </c>
      <c r="AD2779">
        <v>-1.1102743424229999</v>
      </c>
      <c r="AE2779">
        <v>-0.52859999999998297</v>
      </c>
      <c r="AF2779">
        <v>0.44922588012708897</v>
      </c>
      <c r="AG2779">
        <v>-1.1102743424229999</v>
      </c>
      <c r="AH2779">
        <v>17.133604063384901</v>
      </c>
      <c r="AI2779">
        <v>93.706368649239707</v>
      </c>
      <c r="AJ2779">
        <v>88.498106329269206</v>
      </c>
      <c r="AK2779">
        <v>17.175415605092599</v>
      </c>
      <c r="AL2779">
        <v>88.358933870119998</v>
      </c>
      <c r="AM2779">
        <v>91.849086505326596</v>
      </c>
      <c r="AN2779">
        <v>0.99999995733042601</v>
      </c>
    </row>
    <row r="2780" spans="1:40" x14ac:dyDescent="0.3">
      <c r="A2780" t="str">
        <f>"20200111160506786"</f>
        <v>20200111160506786</v>
      </c>
      <c r="B2780" t="str">
        <f>"1578729906783731"</f>
        <v>1578729906783731</v>
      </c>
      <c r="C2780" t="s">
        <v>40</v>
      </c>
      <c r="D2780">
        <v>5.6273960000000001</v>
      </c>
      <c r="E2780">
        <v>0.52397839999999996</v>
      </c>
      <c r="F2780" t="s">
        <v>42</v>
      </c>
      <c r="G2780">
        <v>-416.29</v>
      </c>
      <c r="H2780">
        <v>1.0421320000000001</v>
      </c>
      <c r="I2780">
        <v>213.60740000000001</v>
      </c>
      <c r="J2780">
        <v>-416.97649999999999</v>
      </c>
      <c r="K2780">
        <v>1.110282</v>
      </c>
      <c r="L2780">
        <v>213.63740000000001</v>
      </c>
      <c r="M2780">
        <v>0.99996260000000003</v>
      </c>
      <c r="N2780">
        <v>0</v>
      </c>
      <c r="O2780">
        <v>-3.7310500000000001E-3</v>
      </c>
      <c r="P2780">
        <v>0.99937900000000002</v>
      </c>
      <c r="Q2780">
        <v>2.1286260000000001E-2</v>
      </c>
      <c r="R2780">
        <v>2.8083E-2</v>
      </c>
      <c r="S2780">
        <v>3.008362</v>
      </c>
      <c r="T2780">
        <v>-0.19753799999999999</v>
      </c>
      <c r="U2780">
        <v>-8.8684079999999998E-2</v>
      </c>
      <c r="V2780">
        <v>-3.1870900000000001E-2</v>
      </c>
      <c r="W2780">
        <v>2.9026070000000001E-2</v>
      </c>
      <c r="X2780">
        <v>0.99907040000000003</v>
      </c>
      <c r="Y2780">
        <v>2.5689400000000001E-2</v>
      </c>
      <c r="Z2780">
        <v>-5.9765290000000004E-4</v>
      </c>
      <c r="AA2780">
        <v>0.99966980000000005</v>
      </c>
      <c r="AB2780">
        <v>38</v>
      </c>
      <c r="AC2780">
        <v>0.68649999999996603</v>
      </c>
      <c r="AD2780">
        <v>-6.8149999999999905E-2</v>
      </c>
      <c r="AE2780">
        <v>-3.0000000000001099E-2</v>
      </c>
      <c r="AF2780">
        <v>2.71710903567258E-2</v>
      </c>
      <c r="AG2780">
        <v>-6.8149999999999905E-2</v>
      </c>
      <c r="AH2780">
        <v>0.67991941438942805</v>
      </c>
      <c r="AI2780">
        <v>95.719245677091706</v>
      </c>
      <c r="AJ2780">
        <v>87.711551041659604</v>
      </c>
      <c r="AK2780">
        <v>0.68386628862288301</v>
      </c>
      <c r="AL2780">
        <v>88.336695020841802</v>
      </c>
      <c r="AM2780">
        <v>91.827147523646403</v>
      </c>
      <c r="AN2780">
        <v>0.99999996558130599</v>
      </c>
    </row>
    <row r="2781" spans="1:40" x14ac:dyDescent="0.3">
      <c r="A2781" t="str">
        <f>"20200111160506809"</f>
        <v>20200111160506809</v>
      </c>
      <c r="B2781" t="str">
        <f>"1578729906804228"</f>
        <v>1578729906804228</v>
      </c>
      <c r="C2781" t="s">
        <v>40</v>
      </c>
      <c r="D2781">
        <v>5.628762</v>
      </c>
      <c r="E2781">
        <v>0.52420319999999998</v>
      </c>
      <c r="F2781" t="s">
        <v>42</v>
      </c>
      <c r="G2781">
        <v>-415.94839999999999</v>
      </c>
      <c r="H2781">
        <v>1.0395760000000001</v>
      </c>
      <c r="I2781">
        <v>213.60679999999999</v>
      </c>
      <c r="J2781">
        <v>-416.59500000000003</v>
      </c>
      <c r="K2781">
        <v>1.1102860000000001</v>
      </c>
      <c r="L2781">
        <v>213.63659999999999</v>
      </c>
      <c r="M2781">
        <v>0.99996529999999995</v>
      </c>
      <c r="N2781">
        <v>0</v>
      </c>
      <c r="O2781">
        <v>-2.893994E-3</v>
      </c>
      <c r="P2781">
        <v>0.99937830000000005</v>
      </c>
      <c r="Q2781">
        <v>2.0819290000000001E-2</v>
      </c>
      <c r="R2781">
        <v>2.8452149999999999E-2</v>
      </c>
      <c r="S2781">
        <v>3.0088200000000001</v>
      </c>
      <c r="T2781">
        <v>-0.20696680000000001</v>
      </c>
      <c r="U2781">
        <v>-8.9263919999999997E-2</v>
      </c>
      <c r="V2781">
        <v>-3.1403019999999997E-2</v>
      </c>
      <c r="W2781">
        <v>2.857326E-2</v>
      </c>
      <c r="X2781">
        <v>0.99909829999999999</v>
      </c>
      <c r="Y2781">
        <v>2.670523E-2</v>
      </c>
      <c r="Z2781">
        <v>-7.1840390000000004E-4</v>
      </c>
      <c r="AA2781">
        <v>0.99964310000000001</v>
      </c>
      <c r="AB2781">
        <v>38</v>
      </c>
      <c r="AC2781">
        <v>0.64660000000003404</v>
      </c>
      <c r="AD2781">
        <v>-7.0709999999999995E-2</v>
      </c>
      <c r="AE2781">
        <v>-2.97999999999944E-2</v>
      </c>
      <c r="AF2781">
        <v>2.75992057341218E-2</v>
      </c>
      <c r="AG2781">
        <v>-7.0709999999999995E-2</v>
      </c>
      <c r="AH2781">
        <v>0.63905732830770401</v>
      </c>
      <c r="AI2781">
        <v>96.308110336272705</v>
      </c>
      <c r="AJ2781">
        <v>87.527082619981599</v>
      </c>
      <c r="AK2781">
        <v>0.643549445746739</v>
      </c>
      <c r="AL2781">
        <v>88.362649941252798</v>
      </c>
      <c r="AM2781">
        <v>91.800291669157502</v>
      </c>
      <c r="AN2781">
        <v>0.99999999695751896</v>
      </c>
    </row>
    <row r="2782" spans="1:40" x14ac:dyDescent="0.3">
      <c r="A2782" t="str">
        <f>"20200111160506830"</f>
        <v>20200111160506830</v>
      </c>
      <c r="B2782" t="str">
        <f>"1578729906823747"</f>
        <v>1578729906823747</v>
      </c>
      <c r="C2782" t="s">
        <v>40</v>
      </c>
      <c r="D2782">
        <v>5.4860759999999997</v>
      </c>
      <c r="E2782">
        <v>0.52445980000000003</v>
      </c>
      <c r="F2782" t="s">
        <v>42</v>
      </c>
      <c r="G2782">
        <v>-415.60469999999998</v>
      </c>
      <c r="H2782">
        <v>1.0399799999999999</v>
      </c>
      <c r="I2782">
        <v>213.6069</v>
      </c>
      <c r="J2782">
        <v>-416.21460000000002</v>
      </c>
      <c r="K2782">
        <v>1.110284</v>
      </c>
      <c r="L2782">
        <v>213.6362</v>
      </c>
      <c r="M2782">
        <v>0.99996719999999895</v>
      </c>
      <c r="N2782">
        <v>0</v>
      </c>
      <c r="O2782">
        <v>-2.0595600000000002E-3</v>
      </c>
      <c r="P2782">
        <v>0.9993689</v>
      </c>
      <c r="Q2782">
        <v>2.0478920000000001E-2</v>
      </c>
      <c r="R2782">
        <v>2.9025769999999999E-2</v>
      </c>
      <c r="S2782">
        <v>3.0088810000000001</v>
      </c>
      <c r="T2782">
        <v>-0.21372379999999999</v>
      </c>
      <c r="U2782">
        <v>-8.9630130000000002E-2</v>
      </c>
      <c r="V2782">
        <v>-3.114223E-2</v>
      </c>
      <c r="W2782">
        <v>2.8247709999999999E-2</v>
      </c>
      <c r="X2782">
        <v>0.99911570000000005</v>
      </c>
      <c r="Y2782">
        <v>2.765213E-2</v>
      </c>
      <c r="Z2782">
        <v>-8.3454709999999997E-4</v>
      </c>
      <c r="AA2782">
        <v>0.99961730000000004</v>
      </c>
      <c r="AB2782">
        <v>38</v>
      </c>
      <c r="AC2782">
        <v>0.60990000000003797</v>
      </c>
      <c r="AD2782">
        <v>-7.0304000000000103E-2</v>
      </c>
      <c r="AE2782">
        <v>-2.93000000000063E-2</v>
      </c>
      <c r="AF2782">
        <v>2.7676864527344198E-2</v>
      </c>
      <c r="AG2782">
        <v>-7.0304000000000103E-2</v>
      </c>
      <c r="AH2782">
        <v>0.60197868817882705</v>
      </c>
      <c r="AI2782">
        <v>96.654327861724099</v>
      </c>
      <c r="AJ2782">
        <v>87.367595195291599</v>
      </c>
      <c r="AK2782">
        <v>0.60670174078171801</v>
      </c>
      <c r="AL2782">
        <v>88.3813100821246</v>
      </c>
      <c r="AM2782">
        <v>91.785319583272496</v>
      </c>
      <c r="AN2782">
        <v>0.99999997679805297</v>
      </c>
    </row>
    <row r="2783" spans="1:40" x14ac:dyDescent="0.3">
      <c r="A2783" t="str">
        <f>"20200111160506853"</f>
        <v>20200111160506853</v>
      </c>
      <c r="B2783" t="str">
        <f>"1578729906844243"</f>
        <v>1578729906844243</v>
      </c>
      <c r="C2783" t="s">
        <v>40</v>
      </c>
      <c r="D2783">
        <v>5.624142</v>
      </c>
      <c r="E2783">
        <v>0.52440969999999998</v>
      </c>
      <c r="F2783" t="s">
        <v>42</v>
      </c>
      <c r="G2783">
        <v>-415.26</v>
      </c>
      <c r="H2783">
        <v>1.040826</v>
      </c>
      <c r="I2783">
        <v>213.60749999999999</v>
      </c>
      <c r="J2783">
        <v>-415.82780000000002</v>
      </c>
      <c r="K2783">
        <v>1.1102730000000001</v>
      </c>
      <c r="L2783">
        <v>213.6362</v>
      </c>
      <c r="M2783">
        <v>0.99996850000000004</v>
      </c>
      <c r="N2783">
        <v>0</v>
      </c>
      <c r="O2783">
        <v>-1.2111789999999999E-3</v>
      </c>
      <c r="P2783">
        <v>0.99936510000000001</v>
      </c>
      <c r="Q2783">
        <v>1.8889429999999999E-2</v>
      </c>
      <c r="R2783">
        <v>3.0211890000000002E-2</v>
      </c>
      <c r="S2783">
        <v>3.0090029999999999</v>
      </c>
      <c r="T2783">
        <v>-0.21908749999999999</v>
      </c>
      <c r="U2783">
        <v>-8.9889529999999995E-2</v>
      </c>
      <c r="V2783">
        <v>-3.1477560000000002E-2</v>
      </c>
      <c r="W2783">
        <v>2.6670929999999999E-2</v>
      </c>
      <c r="X2783">
        <v>0.99914849999999999</v>
      </c>
      <c r="Y2783">
        <v>2.8577129999999999E-2</v>
      </c>
      <c r="Z2783">
        <v>-9.507014E-4</v>
      </c>
      <c r="AA2783">
        <v>0.99959109999999995</v>
      </c>
      <c r="AB2783">
        <v>38</v>
      </c>
      <c r="AC2783">
        <v>0.56780000000003295</v>
      </c>
      <c r="AD2783">
        <v>-6.9446999999999995E-2</v>
      </c>
      <c r="AE2783">
        <v>-2.87000000000148E-2</v>
      </c>
      <c r="AF2783">
        <v>2.76004149730226E-2</v>
      </c>
      <c r="AG2783">
        <v>-6.9446999999999995E-2</v>
      </c>
      <c r="AH2783">
        <v>0.559486059562747</v>
      </c>
      <c r="AI2783">
        <v>97.067221313327494</v>
      </c>
      <c r="AJ2783">
        <v>87.1757896340917</v>
      </c>
      <c r="AK2783">
        <v>0.56445488709084002</v>
      </c>
      <c r="AL2783">
        <v>88.471686971298695</v>
      </c>
      <c r="AM2783">
        <v>91.804471515831693</v>
      </c>
      <c r="AN2783">
        <v>0.99999995017143295</v>
      </c>
    </row>
    <row r="2784" spans="1:40" x14ac:dyDescent="0.3">
      <c r="A2784" t="str">
        <f>"20200111160506875"</f>
        <v>20200111160506875</v>
      </c>
      <c r="B2784" t="str">
        <f>"1578729906873924"</f>
        <v>1578729906873924</v>
      </c>
      <c r="C2784" t="s">
        <v>40</v>
      </c>
      <c r="D2784">
        <v>5.5727330000000004</v>
      </c>
      <c r="E2784">
        <v>0.4862939</v>
      </c>
      <c r="F2784" t="s">
        <v>42</v>
      </c>
      <c r="G2784">
        <v>-414.91480000000001</v>
      </c>
      <c r="H2784">
        <v>1.0417179999999999</v>
      </c>
      <c r="I2784">
        <v>213.6096</v>
      </c>
      <c r="J2784">
        <v>-415.42950000000002</v>
      </c>
      <c r="K2784">
        <v>1.1102700000000001</v>
      </c>
      <c r="L2784">
        <v>213.63640000000001</v>
      </c>
      <c r="M2784">
        <v>0.9999692</v>
      </c>
      <c r="N2784">
        <v>0</v>
      </c>
      <c r="O2784">
        <v>-3.3859960000000002E-4</v>
      </c>
      <c r="P2784">
        <v>0.99936199999999997</v>
      </c>
      <c r="Q2784">
        <v>1.7364870000000001E-2</v>
      </c>
      <c r="R2784">
        <v>3.121465E-2</v>
      </c>
      <c r="S2784">
        <v>3.0087890000000002</v>
      </c>
      <c r="T2784">
        <v>-0.2260971</v>
      </c>
      <c r="U2784">
        <v>-8.6135859999999995E-2</v>
      </c>
      <c r="V2784">
        <v>-3.1605050000000003E-2</v>
      </c>
      <c r="W2784">
        <v>2.516034E-2</v>
      </c>
      <c r="X2784">
        <v>0.99918370000000001</v>
      </c>
      <c r="Y2784">
        <v>2.8199399999999999E-2</v>
      </c>
      <c r="Z2784">
        <v>-1.032418E-3</v>
      </c>
      <c r="AA2784">
        <v>0.99960179999999998</v>
      </c>
      <c r="AB2784">
        <v>39</v>
      </c>
      <c r="AC2784">
        <v>0.51470000000000404</v>
      </c>
      <c r="AD2784">
        <v>-6.8552000000000099E-2</v>
      </c>
      <c r="AE2784">
        <v>-2.6800000000008602E-2</v>
      </c>
      <c r="AF2784">
        <v>2.6162864734338698E-2</v>
      </c>
      <c r="AG2784">
        <v>-6.8552000000000099E-2</v>
      </c>
      <c r="AH2784">
        <v>0.50576154207559498</v>
      </c>
      <c r="AI2784">
        <v>97.708768646877601</v>
      </c>
      <c r="AJ2784">
        <v>87.038749209011698</v>
      </c>
      <c r="AK2784">
        <v>0.51105636639982399</v>
      </c>
      <c r="AL2784">
        <v>88.558266557974704</v>
      </c>
      <c r="AM2784">
        <v>91.811711317513598</v>
      </c>
      <c r="AN2784">
        <v>0.99999999412005403</v>
      </c>
    </row>
    <row r="2785" spans="1:40" x14ac:dyDescent="0.3">
      <c r="A2785" t="str">
        <f>"20200111160506898"</f>
        <v>20200111160506898</v>
      </c>
      <c r="B2785" t="str">
        <f>"1578729906894419"</f>
        <v>1578729906894419</v>
      </c>
      <c r="C2785" t="s">
        <v>40</v>
      </c>
      <c r="D2785">
        <v>5.5383290000000001</v>
      </c>
      <c r="E2785">
        <v>0.48570069999999999</v>
      </c>
      <c r="F2785" t="s">
        <v>61</v>
      </c>
      <c r="G2785">
        <v>-404.63200000000001</v>
      </c>
      <c r="H2785" s="1">
        <v>6.3822499999999998E-6</v>
      </c>
      <c r="I2785">
        <v>214.45140000000001</v>
      </c>
      <c r="J2785">
        <v>-415.0616</v>
      </c>
      <c r="K2785">
        <v>1.110271</v>
      </c>
      <c r="L2785">
        <v>213.637</v>
      </c>
      <c r="M2785">
        <v>0.99996879999999999</v>
      </c>
      <c r="N2785">
        <v>0</v>
      </c>
      <c r="O2785">
        <v>4.6728569999999998E-4</v>
      </c>
      <c r="P2785">
        <v>0.99932989999999999</v>
      </c>
      <c r="Q2785">
        <v>1.774365E-2</v>
      </c>
      <c r="R2785">
        <v>3.2016059999999999E-2</v>
      </c>
      <c r="S2785">
        <v>3.0002439999999999</v>
      </c>
      <c r="T2785">
        <v>-0.30850080000000002</v>
      </c>
      <c r="U2785">
        <v>0.22645570000000001</v>
      </c>
      <c r="V2785">
        <v>-3.1602360000000003E-2</v>
      </c>
      <c r="W2785">
        <v>2.5552660000000001E-2</v>
      </c>
      <c r="X2785">
        <v>0.9991738</v>
      </c>
      <c r="Y2785">
        <v>-7.4411359999999996E-2</v>
      </c>
      <c r="Z2785">
        <v>3.76239E-3</v>
      </c>
      <c r="AA2785">
        <v>0.99722049999999995</v>
      </c>
      <c r="AB2785">
        <v>39</v>
      </c>
      <c r="AC2785">
        <v>10.429600000000001</v>
      </c>
      <c r="AD2785">
        <v>-1.11026461775</v>
      </c>
      <c r="AE2785">
        <v>0.81440000000000601</v>
      </c>
      <c r="AF2785">
        <v>-0.80050952762051697</v>
      </c>
      <c r="AG2785">
        <v>-1.11026461775</v>
      </c>
      <c r="AH2785">
        <v>10.3138086877441</v>
      </c>
      <c r="AI2785">
        <v>96.125853570437997</v>
      </c>
      <c r="AJ2785">
        <v>94.438132370611797</v>
      </c>
      <c r="AK2785">
        <v>10.4042372460755</v>
      </c>
      <c r="AL2785">
        <v>88.5357810052611</v>
      </c>
      <c r="AM2785">
        <v>91.811575157400398</v>
      </c>
      <c r="AN2785">
        <v>0.99999996509854205</v>
      </c>
    </row>
    <row r="2786" spans="1:40" x14ac:dyDescent="0.3">
      <c r="A2786" t="str">
        <f>"20200111160506920"</f>
        <v>20200111160506920</v>
      </c>
      <c r="B2786" t="str">
        <f>"1578729906913941"</f>
        <v>1578729906913941</v>
      </c>
      <c r="C2786" t="s">
        <v>40</v>
      </c>
      <c r="D2786">
        <v>5.5131620000000003</v>
      </c>
      <c r="E2786">
        <v>0.48472569999999998</v>
      </c>
      <c r="F2786" t="s">
        <v>61</v>
      </c>
      <c r="G2786">
        <v>-403.83229999999998</v>
      </c>
      <c r="H2786" s="1">
        <v>6.724894E-6</v>
      </c>
      <c r="I2786">
        <v>214.50919999999999</v>
      </c>
      <c r="J2786">
        <v>-414.65589999999997</v>
      </c>
      <c r="K2786">
        <v>1.110277</v>
      </c>
      <c r="L2786">
        <v>213.6379</v>
      </c>
      <c r="M2786">
        <v>0.99996799999999997</v>
      </c>
      <c r="N2786">
        <v>0</v>
      </c>
      <c r="O2786">
        <v>1.3551839999999999E-3</v>
      </c>
      <c r="P2786">
        <v>0.99926320000000002</v>
      </c>
      <c r="Q2786">
        <v>1.8668560000000001E-2</v>
      </c>
      <c r="R2786">
        <v>3.3538720000000001E-2</v>
      </c>
      <c r="S2786">
        <v>2.9997859999999998</v>
      </c>
      <c r="T2786">
        <v>-0.29659669999999999</v>
      </c>
      <c r="U2786">
        <v>0.233017</v>
      </c>
      <c r="V2786">
        <v>-3.2239999999999998E-2</v>
      </c>
      <c r="W2786">
        <v>2.6490280000000001E-2</v>
      </c>
      <c r="X2786">
        <v>0.99912909999999999</v>
      </c>
      <c r="Y2786">
        <v>-7.5732859999999999E-2</v>
      </c>
      <c r="Z2786">
        <v>3.5958029999999998E-3</v>
      </c>
      <c r="AA2786">
        <v>0.99712160000000005</v>
      </c>
      <c r="AB2786">
        <v>39</v>
      </c>
      <c r="AC2786">
        <v>10.823600000000001</v>
      </c>
      <c r="AD2786">
        <v>-1.1102702751059901</v>
      </c>
      <c r="AE2786">
        <v>0.87129999999998997</v>
      </c>
      <c r="AF2786">
        <v>-0.84776767637595196</v>
      </c>
      <c r="AG2786">
        <v>-1.1102702751059901</v>
      </c>
      <c r="AH2786">
        <v>10.712772785071699</v>
      </c>
      <c r="AI2786">
        <v>95.898690751774694</v>
      </c>
      <c r="AJ2786">
        <v>94.524738126448995</v>
      </c>
      <c r="AK2786">
        <v>10.8034675387796</v>
      </c>
      <c r="AL2786">
        <v>88.482041272715406</v>
      </c>
      <c r="AM2786">
        <v>91.848184790063499</v>
      </c>
      <c r="AN2786">
        <v>1.0000000555006401</v>
      </c>
    </row>
    <row r="2787" spans="1:40" x14ac:dyDescent="0.3">
      <c r="A2787" t="str">
        <f>"20200111160506945"</f>
        <v>20200111160506945</v>
      </c>
      <c r="B2787" t="str">
        <f>"1578729906934436"</f>
        <v>1578729906934436</v>
      </c>
      <c r="C2787" t="s">
        <v>40</v>
      </c>
      <c r="D2787">
        <v>5.6852220000000004</v>
      </c>
      <c r="E2787">
        <v>0.4850235</v>
      </c>
      <c r="F2787" t="s">
        <v>61</v>
      </c>
      <c r="G2787">
        <v>-403.30619999999999</v>
      </c>
      <c r="H2787" s="1">
        <v>6.9469719999999998E-6</v>
      </c>
      <c r="I2787">
        <v>214.56370000000001</v>
      </c>
      <c r="J2787">
        <v>-414.25319999999999</v>
      </c>
      <c r="K2787">
        <v>1.1102860000000001</v>
      </c>
      <c r="L2787">
        <v>213.63910000000001</v>
      </c>
      <c r="M2787">
        <v>0.99996640000000003</v>
      </c>
      <c r="N2787">
        <v>0</v>
      </c>
      <c r="O2787">
        <v>2.2355130000000002E-3</v>
      </c>
      <c r="P2787">
        <v>0.99918220000000002</v>
      </c>
      <c r="Q2787">
        <v>1.9994970000000001E-2</v>
      </c>
      <c r="R2787">
        <v>3.5151790000000002E-2</v>
      </c>
      <c r="S2787">
        <v>2.9994809999999998</v>
      </c>
      <c r="T2787">
        <v>-0.2934213</v>
      </c>
      <c r="U2787">
        <v>0.24467469999999999</v>
      </c>
      <c r="V2787">
        <v>-3.2976289999999998E-2</v>
      </c>
      <c r="W2787">
        <v>2.7828740000000001E-2</v>
      </c>
      <c r="X2787">
        <v>0.99906859999999997</v>
      </c>
      <c r="Y2787">
        <v>-7.8711279999999995E-2</v>
      </c>
      <c r="Z2787">
        <v>3.6166280000000002E-3</v>
      </c>
      <c r="AA2787">
        <v>0.99689090000000002</v>
      </c>
      <c r="AB2787">
        <v>39</v>
      </c>
      <c r="AC2787">
        <v>10.946999999999999</v>
      </c>
      <c r="AD2787">
        <v>-1.110279053028</v>
      </c>
      <c r="AE2787">
        <v>0.92459999999999798</v>
      </c>
      <c r="AF2787">
        <v>-0.89102403548962805</v>
      </c>
      <c r="AG2787">
        <v>-1.110279053028</v>
      </c>
      <c r="AH2787">
        <v>10.838339147837701</v>
      </c>
      <c r="AI2787">
        <v>95.829444823052</v>
      </c>
      <c r="AJ2787">
        <v>94.699739311218494</v>
      </c>
      <c r="AK2787">
        <v>10.931433524060999</v>
      </c>
      <c r="AL2787">
        <v>88.405324727655895</v>
      </c>
      <c r="AM2787">
        <v>91.890477334384499</v>
      </c>
      <c r="AN2787">
        <v>0.99999997098905502</v>
      </c>
    </row>
    <row r="2788" spans="1:40" x14ac:dyDescent="0.3">
      <c r="A2788" t="str">
        <f>"20200111160506966"</f>
        <v>20200111160506966</v>
      </c>
      <c r="B2788" t="str">
        <f>"1578729906963716"</f>
        <v>1578729906963716</v>
      </c>
      <c r="C2788" t="s">
        <v>40</v>
      </c>
      <c r="D2788">
        <v>5.4873580000000004</v>
      </c>
      <c r="E2788">
        <v>0.48063119999999998</v>
      </c>
      <c r="F2788" t="s">
        <v>61</v>
      </c>
      <c r="G2788">
        <v>-402.74919999999997</v>
      </c>
      <c r="H2788" s="1">
        <v>7.1895670000000003E-6</v>
      </c>
      <c r="I2788">
        <v>214.58500000000001</v>
      </c>
      <c r="J2788">
        <v>-413.87819999999999</v>
      </c>
      <c r="K2788">
        <v>1.1102879999999999</v>
      </c>
      <c r="L2788">
        <v>213.64070000000001</v>
      </c>
      <c r="M2788">
        <v>0.99996399999999996</v>
      </c>
      <c r="N2788">
        <v>0</v>
      </c>
      <c r="O2788">
        <v>3.0554649999999998E-3</v>
      </c>
      <c r="P2788">
        <v>0.99912829999999997</v>
      </c>
      <c r="Q2788">
        <v>1.965774E-2</v>
      </c>
      <c r="R2788">
        <v>3.6826869999999998E-2</v>
      </c>
      <c r="S2788">
        <v>2.999603</v>
      </c>
      <c r="T2788">
        <v>-0.28949819999999998</v>
      </c>
      <c r="U2788">
        <v>0.24662780000000001</v>
      </c>
      <c r="V2788">
        <v>-3.3831699999999902E-2</v>
      </c>
      <c r="W2788">
        <v>2.750271E-2</v>
      </c>
      <c r="X2788">
        <v>0.99904910000000002</v>
      </c>
      <c r="Y2788">
        <v>-7.8549560000000004E-2</v>
      </c>
      <c r="Z2788">
        <v>3.4816679999999998E-3</v>
      </c>
      <c r="AA2788">
        <v>0.99690409999999996</v>
      </c>
      <c r="AB2788">
        <v>39</v>
      </c>
      <c r="AC2788">
        <v>11.129</v>
      </c>
      <c r="AD2788">
        <v>-1.110280810433</v>
      </c>
      <c r="AE2788">
        <v>0.94429999999999803</v>
      </c>
      <c r="AF2788">
        <v>-0.90138293390204605</v>
      </c>
      <c r="AG2788">
        <v>-1.110280810433</v>
      </c>
      <c r="AH2788">
        <v>11.0229068055319</v>
      </c>
      <c r="AI2788">
        <v>95.732703677455603</v>
      </c>
      <c r="AJ2788">
        <v>94.674881321528403</v>
      </c>
      <c r="AK2788">
        <v>11.1152907795967</v>
      </c>
      <c r="AL2788">
        <v>88.424012138659094</v>
      </c>
      <c r="AM2788">
        <v>91.939517452783605</v>
      </c>
      <c r="AN2788">
        <v>1.0000000435965199</v>
      </c>
    </row>
    <row r="2789" spans="1:40" x14ac:dyDescent="0.3">
      <c r="A2789" t="str">
        <f>"20200111160506987"</f>
        <v>20200111160506987</v>
      </c>
      <c r="B2789" t="str">
        <f>"1578729906984212"</f>
        <v>1578729906984212</v>
      </c>
      <c r="C2789" t="s">
        <v>40</v>
      </c>
      <c r="D2789">
        <v>5.9280710000000001</v>
      </c>
      <c r="E2789">
        <v>0.48252489999999998</v>
      </c>
      <c r="F2789" t="s">
        <v>57</v>
      </c>
      <c r="G2789">
        <v>-379.97250000000003</v>
      </c>
      <c r="H2789" s="1">
        <v>-1.6447440000000001E-6</v>
      </c>
      <c r="I2789">
        <v>216.75129999999999</v>
      </c>
      <c r="J2789">
        <v>-413.50709999999998</v>
      </c>
      <c r="K2789">
        <v>1.110287</v>
      </c>
      <c r="L2789">
        <v>213.64250000000001</v>
      </c>
      <c r="M2789">
        <v>0.99996099999999999</v>
      </c>
      <c r="N2789">
        <v>0</v>
      </c>
      <c r="O2789">
        <v>3.8664150000000002E-3</v>
      </c>
      <c r="P2789">
        <v>0.99907279999999998</v>
      </c>
      <c r="Q2789">
        <v>1.9009849999999998E-2</v>
      </c>
      <c r="R2789">
        <v>3.8625640000000003E-2</v>
      </c>
      <c r="S2789">
        <v>2.994415</v>
      </c>
      <c r="T2789">
        <v>-9.8056439999999995E-2</v>
      </c>
      <c r="U2789">
        <v>0.2747192</v>
      </c>
      <c r="V2789">
        <v>-3.4819360000000001E-2</v>
      </c>
      <c r="W2789">
        <v>2.686589E-2</v>
      </c>
      <c r="X2789">
        <v>0.99903240000000004</v>
      </c>
      <c r="Y2789">
        <v>-8.7464719999999996E-2</v>
      </c>
      <c r="Z2789">
        <v>1.302388E-3</v>
      </c>
      <c r="AA2789">
        <v>0.99616680000000002</v>
      </c>
      <c r="AB2789">
        <v>39</v>
      </c>
      <c r="AC2789">
        <v>33.534599999999898</v>
      </c>
      <c r="AD2789">
        <v>-1.1102886447439999</v>
      </c>
      <c r="AE2789">
        <v>3.1087999999999698</v>
      </c>
      <c r="AF2789">
        <v>-2.9758796621934298</v>
      </c>
      <c r="AG2789">
        <v>-1.1102886447439999</v>
      </c>
      <c r="AH2789">
        <v>33.509949368491</v>
      </c>
      <c r="AI2789">
        <v>91.890259128130694</v>
      </c>
      <c r="AJ2789">
        <v>95.074887557377096</v>
      </c>
      <c r="AK2789">
        <v>33.660144196324197</v>
      </c>
      <c r="AL2789">
        <v>88.460512581173603</v>
      </c>
      <c r="AM2789">
        <v>91.996126612338799</v>
      </c>
      <c r="AN2789">
        <v>0.999999950063029</v>
      </c>
    </row>
    <row r="2790" spans="1:40" x14ac:dyDescent="0.3">
      <c r="A2790" t="str">
        <f>"20200111160507009"</f>
        <v>20200111160507009</v>
      </c>
      <c r="B2790" t="str">
        <f>"1578729907003732"</f>
        <v>1578729907003732</v>
      </c>
      <c r="C2790" t="s">
        <v>40</v>
      </c>
      <c r="D2790">
        <v>5.837472</v>
      </c>
      <c r="E2790">
        <v>0.48199120000000001</v>
      </c>
      <c r="F2790" t="s">
        <v>57</v>
      </c>
      <c r="G2790">
        <v>-386.66590000000002</v>
      </c>
      <c r="H2790" s="1">
        <v>1.9487960000000002E-6</v>
      </c>
      <c r="I2790">
        <v>216.02760000000001</v>
      </c>
      <c r="J2790">
        <v>-413.11219999999997</v>
      </c>
      <c r="K2790">
        <v>1.1102959999999999</v>
      </c>
      <c r="L2790">
        <v>213.6447</v>
      </c>
      <c r="M2790">
        <v>0.99995710000000004</v>
      </c>
      <c r="N2790">
        <v>0</v>
      </c>
      <c r="O2790">
        <v>4.7292200000000001E-3</v>
      </c>
      <c r="P2790">
        <v>0.99901320000000005</v>
      </c>
      <c r="Q2790">
        <v>1.934431E-2</v>
      </c>
      <c r="R2790">
        <v>3.9983129999999999E-2</v>
      </c>
      <c r="S2790">
        <v>2.9948429999999999</v>
      </c>
      <c r="T2790">
        <v>-0.12388159999999999</v>
      </c>
      <c r="U2790">
        <v>0.26612849999999999</v>
      </c>
      <c r="V2790">
        <v>-3.5315890000000003E-2</v>
      </c>
      <c r="W2790">
        <v>2.7212900000000002E-2</v>
      </c>
      <c r="X2790">
        <v>0.99900560000000005</v>
      </c>
      <c r="Y2790">
        <v>-8.3734669999999997E-2</v>
      </c>
      <c r="Z2790">
        <v>1.5325499999999999E-3</v>
      </c>
      <c r="AA2790">
        <v>0.99648689999999995</v>
      </c>
      <c r="AB2790">
        <v>39</v>
      </c>
      <c r="AC2790">
        <v>26.446299999999901</v>
      </c>
      <c r="AD2790">
        <v>-1.110294051204</v>
      </c>
      <c r="AE2790">
        <v>2.3828999999999998</v>
      </c>
      <c r="AF2790">
        <v>-2.2538584235112999</v>
      </c>
      <c r="AG2790">
        <v>-1.110294051204</v>
      </c>
      <c r="AH2790">
        <v>26.411097354115999</v>
      </c>
      <c r="AI2790">
        <v>92.398527814926396</v>
      </c>
      <c r="AJ2790">
        <v>94.877664008866006</v>
      </c>
      <c r="AK2790">
        <v>26.530335356379599</v>
      </c>
      <c r="AL2790">
        <v>88.440623132729499</v>
      </c>
      <c r="AM2790">
        <v>92.024622462890207</v>
      </c>
      <c r="AN2790">
        <v>0.99999997142213004</v>
      </c>
    </row>
    <row r="2791" spans="1:40" x14ac:dyDescent="0.3">
      <c r="A2791" t="str">
        <f>"20200111160507032"</f>
        <v>20200111160507032</v>
      </c>
      <c r="B2791" t="str">
        <f>"1578729907024228"</f>
        <v>1578729907024228</v>
      </c>
      <c r="C2791" t="s">
        <v>40</v>
      </c>
      <c r="D2791">
        <v>5.5010289999999999</v>
      </c>
      <c r="E2791">
        <v>0.48275400000000002</v>
      </c>
      <c r="F2791" t="s">
        <v>57</v>
      </c>
      <c r="G2791">
        <v>-392.87920000000003</v>
      </c>
      <c r="H2791" s="1">
        <v>-4.6385509999999903E-9</v>
      </c>
      <c r="I2791">
        <v>215.51349999999999</v>
      </c>
      <c r="J2791">
        <v>-412.71499999999997</v>
      </c>
      <c r="K2791">
        <v>1.1103019999999999</v>
      </c>
      <c r="L2791">
        <v>213.6473</v>
      </c>
      <c r="M2791">
        <v>0.99995270000000003</v>
      </c>
      <c r="N2791">
        <v>0</v>
      </c>
      <c r="O2791">
        <v>5.5964939999999996E-3</v>
      </c>
      <c r="P2791">
        <v>0.99894269999999996</v>
      </c>
      <c r="Q2791">
        <v>2.0400600000000001E-2</v>
      </c>
      <c r="R2791">
        <v>4.1201590000000003E-2</v>
      </c>
      <c r="S2791">
        <v>2.9950869999999998</v>
      </c>
      <c r="T2791">
        <v>-0.16435649999999999</v>
      </c>
      <c r="U2791">
        <v>0.276626599999999</v>
      </c>
      <c r="V2791">
        <v>-3.5670199999999999E-2</v>
      </c>
      <c r="W2791">
        <v>2.8282040000000001E-2</v>
      </c>
      <c r="X2791">
        <v>0.99896339999999995</v>
      </c>
      <c r="Y2791">
        <v>-8.6273970000000005E-2</v>
      </c>
      <c r="Z2791">
        <v>2.0541499999999998E-3</v>
      </c>
      <c r="AA2791">
        <v>0.99626930000000002</v>
      </c>
      <c r="AB2791">
        <v>39</v>
      </c>
      <c r="AC2791">
        <v>19.8357999999999</v>
      </c>
      <c r="AD2791">
        <v>-1.1103020046385501</v>
      </c>
      <c r="AE2791">
        <v>1.8661999999999901</v>
      </c>
      <c r="AF2791">
        <v>-1.749722261337</v>
      </c>
      <c r="AG2791">
        <v>-1.1103020046385501</v>
      </c>
      <c r="AH2791">
        <v>19.784489717201801</v>
      </c>
      <c r="AI2791">
        <v>93.199597301522601</v>
      </c>
      <c r="AJ2791">
        <v>95.054037284965702</v>
      </c>
      <c r="AK2791">
        <v>19.892720575712801</v>
      </c>
      <c r="AL2791">
        <v>88.379342459773596</v>
      </c>
      <c r="AM2791">
        <v>92.045003831170206</v>
      </c>
      <c r="AN2791">
        <v>1.0000000557470701</v>
      </c>
    </row>
    <row r="2792" spans="1:40" x14ac:dyDescent="0.3">
      <c r="A2792" t="str">
        <f>"20200111160507054"</f>
        <v>20200111160507054</v>
      </c>
      <c r="B2792" t="str">
        <f>"1578729907043749"</f>
        <v>1578729907043749</v>
      </c>
      <c r="C2792" t="s">
        <v>40</v>
      </c>
      <c r="D2792">
        <v>5.4905339999999896</v>
      </c>
      <c r="E2792">
        <v>0.48345870000000002</v>
      </c>
      <c r="F2792" t="s">
        <v>57</v>
      </c>
      <c r="G2792">
        <v>-394.64370000000002</v>
      </c>
      <c r="H2792" s="1">
        <v>9.3435509999999997E-7</v>
      </c>
      <c r="I2792">
        <v>215.3082</v>
      </c>
      <c r="J2792">
        <v>-412.32220000000001</v>
      </c>
      <c r="K2792">
        <v>1.110301</v>
      </c>
      <c r="L2792">
        <v>213.65029999999999</v>
      </c>
      <c r="M2792">
        <v>0.99994749999999999</v>
      </c>
      <c r="N2792">
        <v>0</v>
      </c>
      <c r="O2792">
        <v>6.4531600000000003E-3</v>
      </c>
      <c r="P2792">
        <v>0.99889280000000003</v>
      </c>
      <c r="Q2792">
        <v>2.0723209999999999E-2</v>
      </c>
      <c r="R2792">
        <v>4.2237110000000001E-2</v>
      </c>
      <c r="S2792">
        <v>2.9955750000000001</v>
      </c>
      <c r="T2792">
        <v>-0.1840485</v>
      </c>
      <c r="U2792">
        <v>0.27531430000000001</v>
      </c>
      <c r="V2792">
        <v>-3.5850859999999998E-2</v>
      </c>
      <c r="W2792">
        <v>2.8618069999999999E-2</v>
      </c>
      <c r="X2792">
        <v>0.99894729999999998</v>
      </c>
      <c r="Y2792">
        <v>-8.4946359999999999E-2</v>
      </c>
      <c r="Z2792">
        <v>2.2063719999999998E-3</v>
      </c>
      <c r="AA2792">
        <v>0.99638309999999997</v>
      </c>
      <c r="AB2792">
        <v>39</v>
      </c>
      <c r="AC2792">
        <v>17.6784999999999</v>
      </c>
      <c r="AD2792">
        <v>-1.11030006564489</v>
      </c>
      <c r="AE2792">
        <v>1.6579000000000099</v>
      </c>
      <c r="AF2792">
        <v>-1.5377668630188499</v>
      </c>
      <c r="AG2792">
        <v>-1.11030006564489</v>
      </c>
      <c r="AH2792">
        <v>17.619935327105701</v>
      </c>
      <c r="AI2792">
        <v>93.592042622561294</v>
      </c>
      <c r="AJ2792">
        <v>94.987808818804993</v>
      </c>
      <c r="AK2792">
        <v>17.721727175762499</v>
      </c>
      <c r="AL2792">
        <v>88.360081460743899</v>
      </c>
      <c r="AM2792">
        <v>92.055385463993602</v>
      </c>
      <c r="AN2792">
        <v>0.99999999313527699</v>
      </c>
    </row>
    <row r="2793" spans="1:40" x14ac:dyDescent="0.3">
      <c r="A2793" t="str">
        <f>"20200111160507076"</f>
        <v>20200111160507076</v>
      </c>
      <c r="B2793" t="str">
        <f>"1578729907074004"</f>
        <v>1578729907074004</v>
      </c>
      <c r="C2793" t="s">
        <v>40</v>
      </c>
      <c r="D2793">
        <v>5.5242490000000002</v>
      </c>
      <c r="E2793">
        <v>0.48422229999999999</v>
      </c>
      <c r="F2793" t="s">
        <v>57</v>
      </c>
      <c r="G2793">
        <v>-395.5498</v>
      </c>
      <c r="H2793" s="1">
        <v>1.4165530000000001E-6</v>
      </c>
      <c r="I2793">
        <v>215.18100000000001</v>
      </c>
      <c r="J2793">
        <v>-411.93419999999998</v>
      </c>
      <c r="K2793">
        <v>1.1103069999999999</v>
      </c>
      <c r="L2793">
        <v>213.6534</v>
      </c>
      <c r="M2793">
        <v>0.99994150000000004</v>
      </c>
      <c r="N2793">
        <v>0</v>
      </c>
      <c r="O2793">
        <v>7.2993959999999997E-3</v>
      </c>
      <c r="P2793">
        <v>0.99884070000000003</v>
      </c>
      <c r="Q2793">
        <v>2.0717969999999999E-2</v>
      </c>
      <c r="R2793">
        <v>4.3454479999999997E-2</v>
      </c>
      <c r="S2793">
        <v>2.9958800000000001</v>
      </c>
      <c r="T2793">
        <v>-0.19832159999999999</v>
      </c>
      <c r="U2793">
        <v>0.2734222</v>
      </c>
      <c r="V2793">
        <v>-3.6223329999999998E-2</v>
      </c>
      <c r="W2793">
        <v>2.8625689999999999E-2</v>
      </c>
      <c r="X2793">
        <v>0.99893370000000004</v>
      </c>
      <c r="Y2793">
        <v>-8.3451239999999996E-2</v>
      </c>
      <c r="Z2793">
        <v>2.2717829999999999E-3</v>
      </c>
      <c r="AA2793">
        <v>0.99650930000000004</v>
      </c>
      <c r="AB2793">
        <v>39</v>
      </c>
      <c r="AC2793">
        <v>16.3843999999999</v>
      </c>
      <c r="AD2793">
        <v>-1.1103055834469999</v>
      </c>
      <c r="AE2793">
        <v>1.5275999999999701</v>
      </c>
      <c r="AF2793">
        <v>-1.4015783592866</v>
      </c>
      <c r="AG2793">
        <v>-1.1103055834469999</v>
      </c>
      <c r="AH2793">
        <v>16.320811311816598</v>
      </c>
      <c r="AI2793">
        <v>93.877609834423495</v>
      </c>
      <c r="AJ2793">
        <v>94.908333394251301</v>
      </c>
      <c r="AK2793">
        <v>16.418467719667799</v>
      </c>
      <c r="AL2793">
        <v>88.359644778605301</v>
      </c>
      <c r="AM2793">
        <v>92.076749394358103</v>
      </c>
      <c r="AN2793">
        <v>1.00000004837997</v>
      </c>
    </row>
    <row r="2794" spans="1:40" x14ac:dyDescent="0.3">
      <c r="A2794" t="str">
        <f>"20200111160507099"</f>
        <v>20200111160507099</v>
      </c>
      <c r="B2794" t="str">
        <f>"1578729907094500"</f>
        <v>1578729907094500</v>
      </c>
      <c r="C2794" t="s">
        <v>40</v>
      </c>
      <c r="D2794">
        <v>5.4859419999999997</v>
      </c>
      <c r="E2794">
        <v>0.48480699999999999</v>
      </c>
      <c r="F2794" t="s">
        <v>57</v>
      </c>
      <c r="G2794">
        <v>-396.37020000000001</v>
      </c>
      <c r="H2794" s="1">
        <v>1.8531230000000001E-6</v>
      </c>
      <c r="I2794">
        <v>215.06610000000001</v>
      </c>
      <c r="J2794">
        <v>-411.54590000000002</v>
      </c>
      <c r="K2794">
        <v>1.1103050000000001</v>
      </c>
      <c r="L2794">
        <v>213.65700000000001</v>
      </c>
      <c r="M2794">
        <v>0.99993469999999995</v>
      </c>
      <c r="N2794">
        <v>0</v>
      </c>
      <c r="O2794">
        <v>8.1459289999999997E-3</v>
      </c>
      <c r="P2794">
        <v>0.99878619999999996</v>
      </c>
      <c r="Q2794">
        <v>2.0493049999999999E-2</v>
      </c>
      <c r="R2794">
        <v>4.478911E-2</v>
      </c>
      <c r="S2794">
        <v>2.9960939999999998</v>
      </c>
      <c r="T2794">
        <v>-0.2137356</v>
      </c>
      <c r="U2794">
        <v>0.27194210000000002</v>
      </c>
      <c r="V2794">
        <v>-3.6712750000000002E-2</v>
      </c>
      <c r="W2794">
        <v>2.841312E-2</v>
      </c>
      <c r="X2794">
        <v>0.99892190000000003</v>
      </c>
      <c r="Y2794">
        <v>-8.2091800000000006E-2</v>
      </c>
      <c r="Z2794">
        <v>2.3392920000000002E-3</v>
      </c>
      <c r="AA2794">
        <v>0.99662200000000001</v>
      </c>
      <c r="AB2794">
        <v>39</v>
      </c>
      <c r="AC2794">
        <v>15.175700000000001</v>
      </c>
      <c r="AD2794">
        <v>-1.1103031468769999</v>
      </c>
      <c r="AE2794">
        <v>1.40909999999999</v>
      </c>
      <c r="AF2794">
        <v>-1.27864320961476</v>
      </c>
      <c r="AG2794">
        <v>-1.1103031468769999</v>
      </c>
      <c r="AH2794">
        <v>15.1065035025737</v>
      </c>
      <c r="AI2794">
        <v>94.188663157757205</v>
      </c>
      <c r="AJ2794">
        <v>94.838092053381402</v>
      </c>
      <c r="AK2794">
        <v>15.201123300885699</v>
      </c>
      <c r="AL2794">
        <v>88.371829095503699</v>
      </c>
      <c r="AM2794">
        <v>92.104808504965604</v>
      </c>
      <c r="AN2794">
        <v>1.00000004685015</v>
      </c>
    </row>
    <row r="2795" spans="1:40" x14ac:dyDescent="0.3">
      <c r="A2795" t="str">
        <f>"20200111160507122"</f>
        <v>20200111160507122</v>
      </c>
      <c r="B2795" t="str">
        <f>"1578729907114021"</f>
        <v>1578729907114021</v>
      </c>
      <c r="C2795" t="s">
        <v>40</v>
      </c>
      <c r="D2795">
        <v>5.6346800000000004</v>
      </c>
      <c r="E2795">
        <v>0.48526839999999999</v>
      </c>
      <c r="F2795" t="s">
        <v>57</v>
      </c>
      <c r="G2795">
        <v>-396.66219999999998</v>
      </c>
      <c r="H2795" s="1">
        <v>2.0085170000000002E-6</v>
      </c>
      <c r="I2795">
        <v>215.00579999999999</v>
      </c>
      <c r="J2795">
        <v>-411.125</v>
      </c>
      <c r="K2795">
        <v>1.110303</v>
      </c>
      <c r="L2795">
        <v>213.6611</v>
      </c>
      <c r="M2795">
        <v>0.99992669999999995</v>
      </c>
      <c r="N2795">
        <v>0</v>
      </c>
      <c r="O2795">
        <v>9.0625549999999999E-3</v>
      </c>
      <c r="P2795">
        <v>0.99873940000000005</v>
      </c>
      <c r="Q2795">
        <v>2.04405E-2</v>
      </c>
      <c r="R2795">
        <v>4.5845520000000001E-2</v>
      </c>
      <c r="S2795">
        <v>2.9960629999999999</v>
      </c>
      <c r="T2795">
        <v>-0.22350200000000001</v>
      </c>
      <c r="U2795">
        <v>0.2715149</v>
      </c>
      <c r="V2795">
        <v>-3.6853780000000003E-2</v>
      </c>
      <c r="W2795">
        <v>2.8375460000000002E-2</v>
      </c>
      <c r="X2795">
        <v>0.99891779999999997</v>
      </c>
      <c r="Y2795">
        <v>-8.1026180000000003E-2</v>
      </c>
      <c r="Z2795">
        <v>2.3381930000000001E-3</v>
      </c>
      <c r="AA2795">
        <v>0.99670919999999996</v>
      </c>
      <c r="AB2795">
        <v>39</v>
      </c>
      <c r="AC2795">
        <v>14.4628</v>
      </c>
      <c r="AD2795">
        <v>-1.110300991483</v>
      </c>
      <c r="AE2795">
        <v>1.34469999999998</v>
      </c>
      <c r="AF2795">
        <v>-1.2065208856838601</v>
      </c>
      <c r="AG2795">
        <v>-1.110300991483</v>
      </c>
      <c r="AH2795">
        <v>14.3903097567168</v>
      </c>
      <c r="AI2795">
        <v>94.396615720032699</v>
      </c>
      <c r="AJ2795">
        <v>94.792617672428307</v>
      </c>
      <c r="AK2795">
        <v>14.4834207227967</v>
      </c>
      <c r="AL2795">
        <v>88.373987761645097</v>
      </c>
      <c r="AM2795">
        <v>92.112895360537095</v>
      </c>
      <c r="AN2795">
        <v>1.0000000694936599</v>
      </c>
    </row>
    <row r="2796" spans="1:40" x14ac:dyDescent="0.3">
      <c r="A2796" t="str">
        <f>"20200111160507145"</f>
        <v>20200111160507145</v>
      </c>
      <c r="B2796" t="str">
        <f>"1578729907134516"</f>
        <v>1578729907134516</v>
      </c>
      <c r="C2796" t="s">
        <v>40</v>
      </c>
      <c r="D2796">
        <v>5.4988659999999996</v>
      </c>
      <c r="E2796">
        <v>0.48553439999999998</v>
      </c>
      <c r="F2796" t="s">
        <v>57</v>
      </c>
      <c r="G2796">
        <v>-396.6216</v>
      </c>
      <c r="H2796" s="1">
        <v>1.9868779999999998E-6</v>
      </c>
      <c r="I2796">
        <v>214.97399999999999</v>
      </c>
      <c r="J2796">
        <v>-410.73070000000001</v>
      </c>
      <c r="K2796">
        <v>1.110306</v>
      </c>
      <c r="L2796">
        <v>213.66540000000001</v>
      </c>
      <c r="M2796">
        <v>0.99991850000000004</v>
      </c>
      <c r="N2796">
        <v>0</v>
      </c>
      <c r="O2796">
        <v>9.9216040000000005E-3</v>
      </c>
      <c r="P2796">
        <v>0.99868190000000001</v>
      </c>
      <c r="Q2796">
        <v>2.0611029999999999E-2</v>
      </c>
      <c r="R2796">
        <v>4.7008080000000001E-2</v>
      </c>
      <c r="S2796">
        <v>2.9960330000000002</v>
      </c>
      <c r="T2796">
        <v>-0.2293589</v>
      </c>
      <c r="U2796">
        <v>0.27119450000000001</v>
      </c>
      <c r="V2796">
        <v>-3.7158900000000002E-2</v>
      </c>
      <c r="W2796">
        <v>2.8558489999999999E-2</v>
      </c>
      <c r="X2796">
        <v>0.99890120000000004</v>
      </c>
      <c r="Y2796">
        <v>-8.0059820000000004E-2</v>
      </c>
      <c r="Z2796">
        <v>2.2969449999999999E-3</v>
      </c>
      <c r="AA2796">
        <v>0.99678739999999999</v>
      </c>
      <c r="AB2796">
        <v>39</v>
      </c>
      <c r="AC2796">
        <v>14.1091</v>
      </c>
      <c r="AD2796">
        <v>-1.1103040131219899</v>
      </c>
      <c r="AE2796">
        <v>1.30860000000001</v>
      </c>
      <c r="AF2796">
        <v>-1.16141512712969</v>
      </c>
      <c r="AG2796">
        <v>-1.1103040131219899</v>
      </c>
      <c r="AH2796">
        <v>14.0352137404278</v>
      </c>
      <c r="AI2796">
        <v>94.507816852142298</v>
      </c>
      <c r="AJ2796">
        <v>94.730452879528002</v>
      </c>
      <c r="AK2796">
        <v>14.1268851782186</v>
      </c>
      <c r="AL2796">
        <v>88.363496532841395</v>
      </c>
      <c r="AM2796">
        <v>92.130407772562805</v>
      </c>
      <c r="AN2796">
        <v>0.99999998928086498</v>
      </c>
    </row>
    <row r="2797" spans="1:40" x14ac:dyDescent="0.3">
      <c r="A2797" t="str">
        <f>"20200111160507166"</f>
        <v>20200111160507166</v>
      </c>
      <c r="B2797" t="str">
        <f>"1578729907154038"</f>
        <v>1578729907154038</v>
      </c>
      <c r="C2797" t="s">
        <v>40</v>
      </c>
      <c r="D2797">
        <v>5.7492809999999999</v>
      </c>
      <c r="E2797">
        <v>0.4855314</v>
      </c>
      <c r="F2797" t="s">
        <v>57</v>
      </c>
      <c r="G2797">
        <v>-396.5059</v>
      </c>
      <c r="H2797" s="1">
        <v>1.9253149999999998E-6</v>
      </c>
      <c r="I2797">
        <v>214.96010000000001</v>
      </c>
      <c r="J2797">
        <v>-410.358</v>
      </c>
      <c r="K2797">
        <v>1.1103080000000001</v>
      </c>
      <c r="L2797">
        <v>213.66980000000001</v>
      </c>
      <c r="M2797">
        <v>0.99991010000000002</v>
      </c>
      <c r="N2797">
        <v>0</v>
      </c>
      <c r="O2797">
        <v>1.0732439999999999E-2</v>
      </c>
      <c r="P2797">
        <v>0.99865130000000002</v>
      </c>
      <c r="Q2797">
        <v>2.0888589999999999E-2</v>
      </c>
      <c r="R2797">
        <v>4.7535559999999998E-2</v>
      </c>
      <c r="S2797">
        <v>2.995911</v>
      </c>
      <c r="T2797">
        <v>-0.23384360000000001</v>
      </c>
      <c r="U2797">
        <v>0.27267459999999999</v>
      </c>
      <c r="V2797">
        <v>-3.6877569999999998E-2</v>
      </c>
      <c r="W2797">
        <v>2.8849719999999999E-2</v>
      </c>
      <c r="X2797">
        <v>0.99890330000000005</v>
      </c>
      <c r="Y2797">
        <v>-7.9738989999999996E-2</v>
      </c>
      <c r="Z2797">
        <v>2.2662419999999999E-3</v>
      </c>
      <c r="AA2797">
        <v>0.99681319999999995</v>
      </c>
      <c r="AB2797">
        <v>40</v>
      </c>
      <c r="AC2797">
        <v>13.8521</v>
      </c>
      <c r="AD2797">
        <v>-1.110306074685</v>
      </c>
      <c r="AE2797">
        <v>1.2903</v>
      </c>
      <c r="AF2797">
        <v>-1.13432898952024</v>
      </c>
      <c r="AG2797">
        <v>-1.110306074685</v>
      </c>
      <c r="AH2797">
        <v>13.7773961622164</v>
      </c>
      <c r="AI2797">
        <v>94.591979546089306</v>
      </c>
      <c r="AJ2797">
        <v>94.706695217430493</v>
      </c>
      <c r="AK2797">
        <v>13.8685300896167</v>
      </c>
      <c r="AL2797">
        <v>88.346803475231297</v>
      </c>
      <c r="AM2797">
        <v>92.114288710373899</v>
      </c>
      <c r="AN2797">
        <v>1.0000000321320299</v>
      </c>
    </row>
    <row r="2798" spans="1:40" x14ac:dyDescent="0.3">
      <c r="A2798" t="str">
        <f>"20200111160507188"</f>
        <v>20200111160507188</v>
      </c>
      <c r="B2798" t="str">
        <f>"1578729907184292"</f>
        <v>1578729907184292</v>
      </c>
      <c r="C2798" t="s">
        <v>40</v>
      </c>
      <c r="D2798">
        <v>5.5202999999999998</v>
      </c>
      <c r="E2798">
        <v>0.48604170000000002</v>
      </c>
      <c r="F2798" t="s">
        <v>57</v>
      </c>
      <c r="G2798">
        <v>-396.3836</v>
      </c>
      <c r="H2798" s="1">
        <v>1.8602570000000001E-6</v>
      </c>
      <c r="I2798">
        <v>214.9502</v>
      </c>
      <c r="J2798">
        <v>-409.96370000000002</v>
      </c>
      <c r="K2798">
        <v>1.1103130000000001</v>
      </c>
      <c r="L2798">
        <v>213.6747</v>
      </c>
      <c r="M2798">
        <v>0.99990040000000002</v>
      </c>
      <c r="N2798">
        <v>0</v>
      </c>
      <c r="O2798">
        <v>1.1589759999999999E-2</v>
      </c>
      <c r="P2798">
        <v>0.99864209999999998</v>
      </c>
      <c r="Q2798">
        <v>2.1060260000000001E-2</v>
      </c>
      <c r="R2798">
        <v>4.7648309999999999E-2</v>
      </c>
      <c r="S2798">
        <v>2.9960019999999998</v>
      </c>
      <c r="T2798">
        <v>-0.2380409</v>
      </c>
      <c r="U2798">
        <v>0.27452090000000001</v>
      </c>
      <c r="V2798">
        <v>-3.6134319999999998E-2</v>
      </c>
      <c r="W2798">
        <v>2.9036559999999999E-2</v>
      </c>
      <c r="X2798">
        <v>0.99892499999999995</v>
      </c>
      <c r="Y2798">
        <v>-7.9486760000000004E-2</v>
      </c>
      <c r="Z2798">
        <v>2.2288270000000001E-3</v>
      </c>
      <c r="AA2798">
        <v>0.99683339999999998</v>
      </c>
      <c r="AB2798">
        <v>40</v>
      </c>
      <c r="AC2798">
        <v>13.5801</v>
      </c>
      <c r="AD2798">
        <v>-1.1103111397430001</v>
      </c>
      <c r="AE2798">
        <v>1.2754999999999901</v>
      </c>
      <c r="AF2798">
        <v>-1.11065959408572</v>
      </c>
      <c r="AG2798">
        <v>-1.1103111397430001</v>
      </c>
      <c r="AH2798">
        <v>13.5044867190483</v>
      </c>
      <c r="AI2798">
        <v>94.684424164504804</v>
      </c>
      <c r="AJ2798">
        <v>94.701637989387905</v>
      </c>
      <c r="AK2798">
        <v>13.5954962066827</v>
      </c>
      <c r="AL2798">
        <v>88.336093764080303</v>
      </c>
      <c r="AM2798">
        <v>92.071668768157593</v>
      </c>
      <c r="AN2798">
        <v>0.99999998326174699</v>
      </c>
    </row>
    <row r="2799" spans="1:40" x14ac:dyDescent="0.3">
      <c r="A2799" t="str">
        <f>"20200111160507211"</f>
        <v>20200111160507211</v>
      </c>
      <c r="B2799" t="str">
        <f>"1578729907203812"</f>
        <v>1578729907203812</v>
      </c>
      <c r="C2799" t="s">
        <v>40</v>
      </c>
      <c r="D2799">
        <v>5.517906</v>
      </c>
      <c r="E2799">
        <v>0.48625420000000003</v>
      </c>
      <c r="F2799" t="s">
        <v>57</v>
      </c>
      <c r="G2799">
        <v>-396.22680000000003</v>
      </c>
      <c r="H2799" s="1">
        <v>1.7767990000000001E-6</v>
      </c>
      <c r="I2799">
        <v>214.9187</v>
      </c>
      <c r="J2799">
        <v>-409.55509999999998</v>
      </c>
      <c r="K2799">
        <v>1.110322</v>
      </c>
      <c r="L2799">
        <v>213.68010000000001</v>
      </c>
      <c r="M2799">
        <v>0.99988960000000005</v>
      </c>
      <c r="N2799">
        <v>0</v>
      </c>
      <c r="O2799">
        <v>1.2478309999999999E-2</v>
      </c>
      <c r="P2799">
        <v>0.9986273</v>
      </c>
      <c r="Q2799">
        <v>2.1588920000000001E-2</v>
      </c>
      <c r="R2799">
        <v>4.7721890000000003E-2</v>
      </c>
      <c r="S2799">
        <v>2.9962770000000001</v>
      </c>
      <c r="T2799">
        <v>-0.2421789</v>
      </c>
      <c r="U2799">
        <v>0.27133180000000001</v>
      </c>
      <c r="V2799">
        <v>-3.5321610000000003E-2</v>
      </c>
      <c r="W2799">
        <v>2.9582779999999999E-2</v>
      </c>
      <c r="X2799">
        <v>0.99893810000000005</v>
      </c>
      <c r="Y2799">
        <v>-7.7541990000000005E-2</v>
      </c>
      <c r="Z2799">
        <v>2.1175059999999999E-3</v>
      </c>
      <c r="AA2799">
        <v>0.99698690000000001</v>
      </c>
      <c r="AB2799">
        <v>40</v>
      </c>
      <c r="AC2799">
        <v>13.328299999999899</v>
      </c>
      <c r="AD2799">
        <v>-1.1103202232009901</v>
      </c>
      <c r="AE2799">
        <v>1.2385999999999899</v>
      </c>
      <c r="AF2799">
        <v>-1.0648568671502801</v>
      </c>
      <c r="AG2799">
        <v>-1.1103202232009901</v>
      </c>
      <c r="AH2799">
        <v>13.251542698269899</v>
      </c>
      <c r="AI2799">
        <v>94.7741935109906</v>
      </c>
      <c r="AJ2799">
        <v>94.594256585322697</v>
      </c>
      <c r="AK2799">
        <v>13.3405440304973</v>
      </c>
      <c r="AL2799">
        <v>88.304784311392297</v>
      </c>
      <c r="AM2799">
        <v>92.025086826952403</v>
      </c>
      <c r="AN2799">
        <v>1.00000004231856</v>
      </c>
    </row>
    <row r="2800" spans="1:40" x14ac:dyDescent="0.3">
      <c r="A2800" t="str">
        <f>"20200111160507233"</f>
        <v>20200111160507233</v>
      </c>
      <c r="B2800" t="str">
        <f>"1578729907224308"</f>
        <v>1578729907224308</v>
      </c>
      <c r="C2800" t="s">
        <v>40</v>
      </c>
      <c r="D2800">
        <v>5.5335419999999997</v>
      </c>
      <c r="E2800">
        <v>0.48659429999999998</v>
      </c>
      <c r="F2800" t="s">
        <v>57</v>
      </c>
      <c r="G2800">
        <v>-395.89429999999999</v>
      </c>
      <c r="H2800" s="1">
        <v>1.5998609999999999E-6</v>
      </c>
      <c r="I2800">
        <v>214.91</v>
      </c>
      <c r="J2800">
        <v>-409.1696</v>
      </c>
      <c r="K2800">
        <v>1.1103350000000001</v>
      </c>
      <c r="L2800">
        <v>213.68559999999999</v>
      </c>
      <c r="M2800">
        <v>0.99987859999999995</v>
      </c>
      <c r="N2800">
        <v>0</v>
      </c>
      <c r="O2800">
        <v>1.3315219999999999E-2</v>
      </c>
      <c r="P2800">
        <v>0.99859759999999997</v>
      </c>
      <c r="Q2800">
        <v>2.2605790000000001E-2</v>
      </c>
      <c r="R2800">
        <v>4.7876700000000001E-2</v>
      </c>
      <c r="S2800">
        <v>2.9964900000000001</v>
      </c>
      <c r="T2800">
        <v>-0.24354899999999999</v>
      </c>
      <c r="U2800">
        <v>0.2697754</v>
      </c>
      <c r="V2800">
        <v>-3.4642689999999997E-2</v>
      </c>
      <c r="W2800">
        <v>3.0623239999999999E-2</v>
      </c>
      <c r="X2800">
        <v>0.99893050000000005</v>
      </c>
      <c r="Y2800">
        <v>-7.6192220000000005E-2</v>
      </c>
      <c r="Z2800">
        <v>2.0069390000000001E-3</v>
      </c>
      <c r="AA2800">
        <v>0.99709110000000001</v>
      </c>
      <c r="AB2800">
        <v>40</v>
      </c>
      <c r="AC2800">
        <v>13.2753</v>
      </c>
      <c r="AD2800">
        <v>-1.1103334001389999</v>
      </c>
      <c r="AE2800">
        <v>1.2243999999999999</v>
      </c>
      <c r="AF2800">
        <v>-1.0403060537451301</v>
      </c>
      <c r="AG2800">
        <v>-1.1103334001389999</v>
      </c>
      <c r="AH2800">
        <v>13.1988729724498</v>
      </c>
      <c r="AI2800">
        <v>94.793793698040901</v>
      </c>
      <c r="AJ2800">
        <v>94.506610312803801</v>
      </c>
      <c r="AK2800">
        <v>13.2862833285983</v>
      </c>
      <c r="AL2800">
        <v>88.245143278397606</v>
      </c>
      <c r="AM2800">
        <v>91.986209022388806</v>
      </c>
      <c r="AN2800">
        <v>1.00000002131439</v>
      </c>
    </row>
    <row r="2801" spans="1:40" x14ac:dyDescent="0.3">
      <c r="A2801" t="str">
        <f>"20200111160507256"</f>
        <v>20200111160507256</v>
      </c>
      <c r="B2801" t="str">
        <f>"1578729907243831"</f>
        <v>1578729907243831</v>
      </c>
      <c r="C2801" t="s">
        <v>40</v>
      </c>
      <c r="D2801">
        <v>5.5645790000000002</v>
      </c>
      <c r="E2801">
        <v>0.48637079999999999</v>
      </c>
      <c r="F2801" t="s">
        <v>57</v>
      </c>
      <c r="G2801">
        <v>-395.47750000000002</v>
      </c>
      <c r="H2801" s="1">
        <v>1.3780580000000001E-6</v>
      </c>
      <c r="I2801">
        <v>214.90889999999999</v>
      </c>
      <c r="J2801">
        <v>-408.75560000000002</v>
      </c>
      <c r="K2801">
        <v>1.1103529999999999</v>
      </c>
      <c r="L2801">
        <v>213.6918</v>
      </c>
      <c r="M2801">
        <v>0.99986580000000003</v>
      </c>
      <c r="N2801">
        <v>0</v>
      </c>
      <c r="O2801">
        <v>1.421332E-2</v>
      </c>
      <c r="P2801">
        <v>0.99857229999999997</v>
      </c>
      <c r="Q2801">
        <v>2.3903629999999999E-2</v>
      </c>
      <c r="R2801">
        <v>4.777E-2</v>
      </c>
      <c r="S2801">
        <v>2.996918</v>
      </c>
      <c r="T2801">
        <v>-0.24302860000000001</v>
      </c>
      <c r="U2801">
        <v>0.26774599999999998</v>
      </c>
      <c r="V2801">
        <v>-3.3641909999999997E-2</v>
      </c>
      <c r="W2801">
        <v>3.1972979999999998E-2</v>
      </c>
      <c r="X2801">
        <v>0.99892239999999999</v>
      </c>
      <c r="Y2801">
        <v>-7.4622969999999997E-2</v>
      </c>
      <c r="Z2801">
        <v>1.866501E-3</v>
      </c>
      <c r="AA2801">
        <v>0.99721009999999999</v>
      </c>
      <c r="AB2801">
        <v>40</v>
      </c>
      <c r="AC2801">
        <v>13.278099999999901</v>
      </c>
      <c r="AD2801">
        <v>-1.110351621942</v>
      </c>
      <c r="AE2801">
        <v>1.2170999999999801</v>
      </c>
      <c r="AF2801">
        <v>-1.02116363535838</v>
      </c>
      <c r="AG2801">
        <v>-1.110351621942</v>
      </c>
      <c r="AH2801">
        <v>13.202505389171501</v>
      </c>
      <c r="AI2801">
        <v>94.793104037573599</v>
      </c>
      <c r="AJ2801">
        <v>94.422805189646297</v>
      </c>
      <c r="AK2801">
        <v>13.288408649858299</v>
      </c>
      <c r="AL2801">
        <v>88.167770934377799</v>
      </c>
      <c r="AM2801">
        <v>91.928889772835603</v>
      </c>
      <c r="AN2801">
        <v>1.0000000053901399</v>
      </c>
    </row>
    <row r="2802" spans="1:40" x14ac:dyDescent="0.3">
      <c r="A2802" t="str">
        <f>"20200111160507277"</f>
        <v>20200111160507277</v>
      </c>
      <c r="B2802" t="str">
        <f>"1578729907274084"</f>
        <v>1578729907274084</v>
      </c>
      <c r="C2802" t="s">
        <v>40</v>
      </c>
      <c r="D2802">
        <v>5.621982</v>
      </c>
      <c r="E2802">
        <v>0.48613699999999999</v>
      </c>
      <c r="F2802" t="s">
        <v>57</v>
      </c>
      <c r="G2802">
        <v>-394.91079999999999</v>
      </c>
      <c r="H2802" s="1">
        <v>1.0764819999999999E-6</v>
      </c>
      <c r="I2802">
        <v>214.9359</v>
      </c>
      <c r="J2802">
        <v>-408.37700000000001</v>
      </c>
      <c r="K2802">
        <v>1.110384</v>
      </c>
      <c r="L2802">
        <v>213.6979</v>
      </c>
      <c r="M2802">
        <v>0.99985329999999994</v>
      </c>
      <c r="N2802">
        <v>0</v>
      </c>
      <c r="O2802">
        <v>1.5032749999999999E-2</v>
      </c>
      <c r="P2802">
        <v>0.99852470000000004</v>
      </c>
      <c r="Q2802">
        <v>2.531624E-2</v>
      </c>
      <c r="R2802">
        <v>4.8040859999999998E-2</v>
      </c>
      <c r="S2802">
        <v>2.9971619999999999</v>
      </c>
      <c r="T2802">
        <v>-0.24037259999999999</v>
      </c>
      <c r="U2802">
        <v>0.26931759999999999</v>
      </c>
      <c r="V2802">
        <v>-3.3098710000000003E-2</v>
      </c>
      <c r="W2802">
        <v>3.3474219999999999E-2</v>
      </c>
      <c r="X2802">
        <v>0.99889139999999998</v>
      </c>
      <c r="Y2802">
        <v>-7.4325130000000003E-2</v>
      </c>
      <c r="Z2802">
        <v>1.76861799999999E-3</v>
      </c>
      <c r="AA2802">
        <v>0.99723249999999997</v>
      </c>
      <c r="AB2802">
        <v>40</v>
      </c>
      <c r="AC2802">
        <v>13.466199999999899</v>
      </c>
      <c r="AD2802">
        <v>-1.1103829235180001</v>
      </c>
      <c r="AE2802">
        <v>1.23799999999999</v>
      </c>
      <c r="AF2802">
        <v>-1.0284850289687699</v>
      </c>
      <c r="AG2802">
        <v>-1.1103829235180001</v>
      </c>
      <c r="AH2802">
        <v>13.392991469937</v>
      </c>
      <c r="AI2802">
        <v>94.725575550350996</v>
      </c>
      <c r="AJ2802">
        <v>94.391283653024004</v>
      </c>
      <c r="AK2802">
        <v>13.478239952065699</v>
      </c>
      <c r="AL2802">
        <v>88.0817101834689</v>
      </c>
      <c r="AM2802">
        <v>91.897826716271695</v>
      </c>
      <c r="AN2802">
        <v>1.0000000385011101</v>
      </c>
    </row>
    <row r="2803" spans="1:40" x14ac:dyDescent="0.3">
      <c r="A2803" t="str">
        <f>"20200111160507301"</f>
        <v>20200111160507301</v>
      </c>
      <c r="B2803" t="str">
        <f>"1578729907293604"</f>
        <v>1578729907293604</v>
      </c>
      <c r="C2803" t="s">
        <v>40</v>
      </c>
      <c r="D2803">
        <v>5.5580150000000001</v>
      </c>
      <c r="E2803">
        <v>0.48598750000000002</v>
      </c>
      <c r="F2803" t="s">
        <v>57</v>
      </c>
      <c r="G2803">
        <v>-394.4357</v>
      </c>
      <c r="H2803" s="1">
        <v>8.2365079999999998E-7</v>
      </c>
      <c r="I2803">
        <v>214.9639</v>
      </c>
      <c r="J2803">
        <v>-407.9479</v>
      </c>
      <c r="K2803">
        <v>1.1104290000000001</v>
      </c>
      <c r="L2803">
        <v>213.70509999999999</v>
      </c>
      <c r="M2803">
        <v>0.99983730000000004</v>
      </c>
      <c r="N2803">
        <v>0</v>
      </c>
      <c r="O2803">
        <v>1.5960479999999999E-2</v>
      </c>
      <c r="P2803">
        <v>0.99848749999999997</v>
      </c>
      <c r="Q2803">
        <v>2.617972E-2</v>
      </c>
      <c r="R2803">
        <v>4.8344640000000001E-2</v>
      </c>
      <c r="S2803">
        <v>2.9974059999999998</v>
      </c>
      <c r="T2803">
        <v>-0.2387331</v>
      </c>
      <c r="U2803">
        <v>0.27218629999999999</v>
      </c>
      <c r="V2803">
        <v>-3.2478350000000003E-2</v>
      </c>
      <c r="W2803">
        <v>3.4505019999999997E-2</v>
      </c>
      <c r="X2803">
        <v>0.9988766</v>
      </c>
      <c r="Y2803">
        <v>-7.4344709999999994E-2</v>
      </c>
      <c r="Z2803">
        <v>1.68356E-3</v>
      </c>
      <c r="AA2803">
        <v>0.99723119999999998</v>
      </c>
      <c r="AB2803">
        <v>40</v>
      </c>
      <c r="AC2803">
        <v>13.5122</v>
      </c>
      <c r="AD2803">
        <v>-1.1104281763492001</v>
      </c>
      <c r="AE2803">
        <v>1.2587999999999999</v>
      </c>
      <c r="AF2803">
        <v>-1.03603417863525</v>
      </c>
      <c r="AG2803">
        <v>-1.1104281763492001</v>
      </c>
      <c r="AH2803">
        <v>13.4405805675607</v>
      </c>
      <c r="AI2803">
        <v>94.709006216774895</v>
      </c>
      <c r="AJ2803">
        <v>94.407788439887398</v>
      </c>
      <c r="AK2803">
        <v>13.5261089581306</v>
      </c>
      <c r="AL2803">
        <v>88.022615374447795</v>
      </c>
      <c r="AM2803">
        <v>91.862309132175596</v>
      </c>
      <c r="AN2803">
        <v>0.99999995082574</v>
      </c>
    </row>
    <row r="2804" spans="1:40" x14ac:dyDescent="0.3">
      <c r="A2804" t="str">
        <f>"20200111160507322"</f>
        <v>20200111160507322</v>
      </c>
      <c r="B2804" t="str">
        <f>"1578729907314100"</f>
        <v>1578729907314100</v>
      </c>
      <c r="C2804" t="s">
        <v>40</v>
      </c>
      <c r="D2804">
        <v>5.5283579999999999</v>
      </c>
      <c r="E2804">
        <v>0.48591659999999998</v>
      </c>
      <c r="F2804" t="s">
        <v>57</v>
      </c>
      <c r="G2804">
        <v>-393.94349999999997</v>
      </c>
      <c r="H2804" s="1">
        <v>5.6174299999999998E-7</v>
      </c>
      <c r="I2804">
        <v>214.9879</v>
      </c>
      <c r="J2804">
        <v>-407.55509999999998</v>
      </c>
      <c r="K2804">
        <v>1.1104969999999901</v>
      </c>
      <c r="L2804">
        <v>213.71199999999999</v>
      </c>
      <c r="M2804">
        <v>0.99982150000000003</v>
      </c>
      <c r="N2804">
        <v>0</v>
      </c>
      <c r="O2804">
        <v>1.6807289999999999E-2</v>
      </c>
      <c r="P2804">
        <v>0.99847989999999998</v>
      </c>
      <c r="Q2804">
        <v>2.6377640000000001E-2</v>
      </c>
      <c r="R2804">
        <v>4.8398900000000002E-2</v>
      </c>
      <c r="S2804">
        <v>2.9974669999999999</v>
      </c>
      <c r="T2804">
        <v>-0.2376732</v>
      </c>
      <c r="U2804">
        <v>0.2745667</v>
      </c>
      <c r="V2804">
        <v>-3.168816E-2</v>
      </c>
      <c r="W2804">
        <v>3.4936300000000003E-2</v>
      </c>
      <c r="X2804">
        <v>0.99888710000000003</v>
      </c>
      <c r="Y2804">
        <v>-7.4288110000000004E-2</v>
      </c>
      <c r="Z2804">
        <v>1.6069070000000001E-3</v>
      </c>
      <c r="AA2804">
        <v>0.99723550000000005</v>
      </c>
      <c r="AB2804">
        <v>40</v>
      </c>
      <c r="AC2804">
        <v>13.611599999999999</v>
      </c>
      <c r="AD2804">
        <v>-1.110496438257</v>
      </c>
      <c r="AE2804">
        <v>1.2758999999999701</v>
      </c>
      <c r="AF2804">
        <v>-1.04007465121342</v>
      </c>
      <c r="AG2804">
        <v>-1.110496438257</v>
      </c>
      <c r="AH2804">
        <v>13.5417728778966</v>
      </c>
      <c r="AI2804">
        <v>94.674359043301294</v>
      </c>
      <c r="AJ2804">
        <v>94.391974671693205</v>
      </c>
      <c r="AK2804">
        <v>13.6269795000951</v>
      </c>
      <c r="AL2804">
        <v>87.997890162962307</v>
      </c>
      <c r="AM2804">
        <v>91.817011288521499</v>
      </c>
      <c r="AN2804">
        <v>1.00000006154414</v>
      </c>
    </row>
    <row r="2805" spans="1:40" x14ac:dyDescent="0.3">
      <c r="A2805" t="str">
        <f>"20200111160507346"</f>
        <v>20200111160507346</v>
      </c>
      <c r="B2805" t="str">
        <f>"1578729907344356"</f>
        <v>1578729907344356</v>
      </c>
      <c r="C2805" t="s">
        <v>40</v>
      </c>
      <c r="D2805">
        <v>5.5614860000000004</v>
      </c>
      <c r="E2805">
        <v>0.48576720000000001</v>
      </c>
      <c r="F2805" t="s">
        <v>57</v>
      </c>
      <c r="G2805">
        <v>-393.65839999999997</v>
      </c>
      <c r="H2805" s="1">
        <v>4.1003109999999999E-7</v>
      </c>
      <c r="I2805">
        <v>214.989</v>
      </c>
      <c r="J2805">
        <v>-407.14499999999998</v>
      </c>
      <c r="K2805">
        <v>1.1105860000000001</v>
      </c>
      <c r="L2805">
        <v>213.71969999999999</v>
      </c>
      <c r="M2805">
        <v>0.99980329999999995</v>
      </c>
      <c r="N2805">
        <v>0</v>
      </c>
      <c r="O2805">
        <v>1.768875E-2</v>
      </c>
      <c r="P2805">
        <v>0.99846639999999998</v>
      </c>
      <c r="Q2805">
        <v>2.6266810000000002E-2</v>
      </c>
      <c r="R2805">
        <v>4.8736019999999998E-2</v>
      </c>
      <c r="S2805">
        <v>2.997528</v>
      </c>
      <c r="T2805">
        <v>-0.23953459999999999</v>
      </c>
      <c r="U2805">
        <v>0.27545170000000002</v>
      </c>
      <c r="V2805">
        <v>-3.1145860000000001E-2</v>
      </c>
      <c r="W2805">
        <v>3.5176470000000001E-2</v>
      </c>
      <c r="X2805">
        <v>0.99889559999999999</v>
      </c>
      <c r="Y2805">
        <v>-7.3700860000000007E-2</v>
      </c>
      <c r="Z2805">
        <v>1.5258719999999999E-3</v>
      </c>
      <c r="AA2805">
        <v>0.99727920000000003</v>
      </c>
      <c r="AB2805">
        <v>40</v>
      </c>
      <c r="AC2805">
        <v>13.486599999999999</v>
      </c>
      <c r="AD2805">
        <v>-1.1105855899688899</v>
      </c>
      <c r="AE2805">
        <v>1.2693000000000101</v>
      </c>
      <c r="AF2805">
        <v>-1.02365018502959</v>
      </c>
      <c r="AG2805">
        <v>-1.1105855899688899</v>
      </c>
      <c r="AH2805">
        <v>13.4167615942479</v>
      </c>
      <c r="AI2805">
        <v>94.718275719825101</v>
      </c>
      <c r="AJ2805">
        <v>94.363007116231898</v>
      </c>
      <c r="AK2805">
        <v>13.501509239001599</v>
      </c>
      <c r="AL2805">
        <v>87.984120716105593</v>
      </c>
      <c r="AM2805">
        <v>91.785920723322903</v>
      </c>
      <c r="AN2805">
        <v>0.99999993416807798</v>
      </c>
    </row>
    <row r="2806" spans="1:40" x14ac:dyDescent="0.3">
      <c r="A2806" t="str">
        <f>"20200111160507367"</f>
        <v>20200111160507367</v>
      </c>
      <c r="B2806" t="str">
        <f>"1578729907363875"</f>
        <v>1578729907363875</v>
      </c>
      <c r="C2806" t="s">
        <v>40</v>
      </c>
      <c r="D2806">
        <v>5.5769640000000003</v>
      </c>
      <c r="E2806">
        <v>0.4856376</v>
      </c>
      <c r="F2806" t="s">
        <v>57</v>
      </c>
      <c r="G2806">
        <v>-393.4248</v>
      </c>
      <c r="H2806" s="1">
        <v>2.8574379999999998E-7</v>
      </c>
      <c r="I2806">
        <v>214.99160000000001</v>
      </c>
      <c r="J2806">
        <v>-406.76600000000002</v>
      </c>
      <c r="K2806">
        <v>1.110687</v>
      </c>
      <c r="L2806">
        <v>213.72710000000001</v>
      </c>
      <c r="M2806">
        <v>0.99978480000000003</v>
      </c>
      <c r="N2806">
        <v>0</v>
      </c>
      <c r="O2806">
        <v>1.849052E-2</v>
      </c>
      <c r="P2806">
        <v>0.99844569999999999</v>
      </c>
      <c r="Q2806">
        <v>2.683431E-2</v>
      </c>
      <c r="R2806">
        <v>4.8849120000000003E-2</v>
      </c>
      <c r="S2806">
        <v>2.9974059999999998</v>
      </c>
      <c r="T2806">
        <v>-0.24262639999999999</v>
      </c>
      <c r="U2806">
        <v>0.27787779999999901</v>
      </c>
      <c r="V2806">
        <v>-3.046126E-2</v>
      </c>
      <c r="W2806">
        <v>3.6168619999999999E-2</v>
      </c>
      <c r="X2806">
        <v>0.99888129999999997</v>
      </c>
      <c r="Y2806">
        <v>-7.370314E-2</v>
      </c>
      <c r="Z2806">
        <v>1.4809739999999999E-3</v>
      </c>
      <c r="AA2806">
        <v>0.99727909999999997</v>
      </c>
      <c r="AB2806">
        <v>40</v>
      </c>
      <c r="AC2806">
        <v>13.341199999999899</v>
      </c>
      <c r="AD2806">
        <v>-1.11068671425619</v>
      </c>
      <c r="AE2806">
        <v>1.26449999999999</v>
      </c>
      <c r="AF2806">
        <v>-1.0106447891476</v>
      </c>
      <c r="AG2806">
        <v>-1.11068671425619</v>
      </c>
      <c r="AH2806">
        <v>13.2711384673318</v>
      </c>
      <c r="AI2806">
        <v>94.770295079612495</v>
      </c>
      <c r="AJ2806">
        <v>94.354873566231504</v>
      </c>
      <c r="AK2806">
        <v>13.355828094362</v>
      </c>
      <c r="AL2806">
        <v>87.927238540754601</v>
      </c>
      <c r="AM2806">
        <v>91.746714963524596</v>
      </c>
      <c r="AN2806">
        <v>0.99999995446158996</v>
      </c>
    </row>
    <row r="2807" spans="1:40" x14ac:dyDescent="0.3">
      <c r="A2807" t="str">
        <f>"20200111160507389"</f>
        <v>20200111160507389</v>
      </c>
      <c r="B2807" t="str">
        <f>"1578729907384372"</f>
        <v>1578729907384372</v>
      </c>
      <c r="C2807" t="s">
        <v>40</v>
      </c>
      <c r="D2807">
        <v>5.5041449999999896</v>
      </c>
      <c r="E2807">
        <v>0.4855642</v>
      </c>
      <c r="F2807" t="s">
        <v>57</v>
      </c>
      <c r="G2807">
        <v>-393.05090000000001</v>
      </c>
      <c r="H2807" s="1">
        <v>8.6729320000000005E-8</v>
      </c>
      <c r="I2807">
        <v>215.0052</v>
      </c>
      <c r="J2807">
        <v>-406.38200000000001</v>
      </c>
      <c r="K2807">
        <v>1.1107739999999999</v>
      </c>
      <c r="L2807">
        <v>213.73490000000001</v>
      </c>
      <c r="M2807">
        <v>0.99976489999999996</v>
      </c>
      <c r="N2807">
        <v>0</v>
      </c>
      <c r="O2807">
        <v>1.9300080000000001E-2</v>
      </c>
      <c r="P2807">
        <v>0.99841340000000001</v>
      </c>
      <c r="Q2807">
        <v>2.7783720000000001E-2</v>
      </c>
      <c r="R2807">
        <v>4.8980030000000001E-2</v>
      </c>
      <c r="S2807">
        <v>2.997528</v>
      </c>
      <c r="T2807">
        <v>-0.24274709999999999</v>
      </c>
      <c r="U2807">
        <v>0.2793274</v>
      </c>
      <c r="V2807">
        <v>-2.9786670000000001E-2</v>
      </c>
      <c r="W2807">
        <v>3.760053E-2</v>
      </c>
      <c r="X2807">
        <v>0.99884879999999998</v>
      </c>
      <c r="Y2807">
        <v>-7.3373460000000001E-2</v>
      </c>
      <c r="Z2807">
        <v>1.4030329999999999E-3</v>
      </c>
      <c r="AA2807">
        <v>0.99730350000000001</v>
      </c>
      <c r="AB2807">
        <v>40</v>
      </c>
      <c r="AC2807">
        <v>13.3310999999999</v>
      </c>
      <c r="AD2807">
        <v>-1.11077391327067</v>
      </c>
      <c r="AE2807">
        <v>1.27029999999999</v>
      </c>
      <c r="AF2807">
        <v>-1.0058392462407799</v>
      </c>
      <c r="AG2807">
        <v>-1.11077391327067</v>
      </c>
      <c r="AH2807">
        <v>13.2618917975431</v>
      </c>
      <c r="AI2807">
        <v>94.774089822411796</v>
      </c>
      <c r="AJ2807">
        <v>94.337256016018202</v>
      </c>
      <c r="AK2807">
        <v>13.3462843265615</v>
      </c>
      <c r="AL2807">
        <v>87.845140331847801</v>
      </c>
      <c r="AM2807">
        <v>91.708111220592599</v>
      </c>
      <c r="AN2807">
        <v>0.99999998541370405</v>
      </c>
    </row>
    <row r="2808" spans="1:40" x14ac:dyDescent="0.3">
      <c r="A2808" t="str">
        <f>"20200111160507411"</f>
        <v>20200111160507411</v>
      </c>
      <c r="B2808" t="str">
        <f>"1578729907403892"</f>
        <v>1578729907403892</v>
      </c>
      <c r="C2808" t="s">
        <v>40</v>
      </c>
      <c r="D2808">
        <v>5.5418669999999999</v>
      </c>
      <c r="E2808">
        <v>0.485454</v>
      </c>
      <c r="F2808" t="s">
        <v>57</v>
      </c>
      <c r="G2808">
        <v>-392.59230000000002</v>
      </c>
      <c r="H2808" s="1">
        <v>-1.5729589999999999E-7</v>
      </c>
      <c r="I2808">
        <v>215.02500000000001</v>
      </c>
      <c r="J2808">
        <v>-405.96870000000001</v>
      </c>
      <c r="K2808">
        <v>1.110852</v>
      </c>
      <c r="L2808">
        <v>213.74379999999999</v>
      </c>
      <c r="M2808">
        <v>0.99974200000000002</v>
      </c>
      <c r="N2808">
        <v>0</v>
      </c>
      <c r="O2808">
        <v>2.0176079999999999E-2</v>
      </c>
      <c r="P2808">
        <v>0.99839719999999998</v>
      </c>
      <c r="Q2808">
        <v>2.8029040000000002E-2</v>
      </c>
      <c r="R2808">
        <v>4.9169160000000003E-2</v>
      </c>
      <c r="S2808">
        <v>2.9977420000000001</v>
      </c>
      <c r="T2808">
        <v>-0.24147080000000001</v>
      </c>
      <c r="U2808">
        <v>0.2804413</v>
      </c>
      <c r="V2808">
        <v>-2.9101829999999999E-2</v>
      </c>
      <c r="W2808">
        <v>3.8392469999999998E-2</v>
      </c>
      <c r="X2808">
        <v>0.99883889999999997</v>
      </c>
      <c r="Y2808">
        <v>-7.2866619999999993E-2</v>
      </c>
      <c r="Z2808">
        <v>1.3049579999999999E-3</v>
      </c>
      <c r="AA2808">
        <v>0.99734089999999997</v>
      </c>
      <c r="AB2808">
        <v>40</v>
      </c>
      <c r="AC2808">
        <v>13.376399999999901</v>
      </c>
      <c r="AD2808">
        <v>-1.11085215729589</v>
      </c>
      <c r="AE2808">
        <v>1.2812000000000101</v>
      </c>
      <c r="AF2808">
        <v>-1.0041787186717901</v>
      </c>
      <c r="AG2808">
        <v>-1.11085215729589</v>
      </c>
      <c r="AH2808">
        <v>13.308578466996799</v>
      </c>
      <c r="AI2808">
        <v>94.757892063939593</v>
      </c>
      <c r="AJ2808">
        <v>94.314990292074896</v>
      </c>
      <c r="AK2808">
        <v>13.392558688563399</v>
      </c>
      <c r="AL2808">
        <v>87.799732803466497</v>
      </c>
      <c r="AM2808">
        <v>91.668878195138902</v>
      </c>
      <c r="AN2808">
        <v>1.00000002320762</v>
      </c>
    </row>
    <row r="2809" spans="1:40" x14ac:dyDescent="0.3">
      <c r="A2809" t="str">
        <f>"20200111160507444"</f>
        <v>20200111160507444</v>
      </c>
      <c r="B2809" t="str">
        <f>"1578729907434148"</f>
        <v>1578729907434148</v>
      </c>
      <c r="C2809" t="s">
        <v>40</v>
      </c>
      <c r="D2809">
        <v>5.5750510000000002</v>
      </c>
      <c r="E2809">
        <v>0.48535250000000002</v>
      </c>
      <c r="F2809" t="s">
        <v>57</v>
      </c>
      <c r="G2809">
        <v>-392.24299999999999</v>
      </c>
      <c r="H2809" s="1">
        <v>-3.4320310000000002E-7</v>
      </c>
      <c r="I2809">
        <v>215.03450000000001</v>
      </c>
      <c r="J2809">
        <v>-405.38380000000001</v>
      </c>
      <c r="K2809">
        <v>1.1109389999999999</v>
      </c>
      <c r="L2809">
        <v>213.7568</v>
      </c>
      <c r="M2809">
        <v>0.99970780000000004</v>
      </c>
      <c r="N2809">
        <v>0</v>
      </c>
      <c r="O2809">
        <v>2.1423500000000002E-2</v>
      </c>
      <c r="P2809">
        <v>0.99843550000000003</v>
      </c>
      <c r="Q2809">
        <v>2.593898E-2</v>
      </c>
      <c r="R2809">
        <v>4.9535320000000001E-2</v>
      </c>
      <c r="S2809">
        <v>2.9977109999999998</v>
      </c>
      <c r="T2809">
        <v>-0.24261050000000001</v>
      </c>
      <c r="U2809">
        <v>0.2818909</v>
      </c>
      <c r="V2809">
        <v>-2.821593E-2</v>
      </c>
      <c r="W2809">
        <v>3.7056840000000001E-2</v>
      </c>
      <c r="X2809">
        <v>0.99891470000000004</v>
      </c>
      <c r="Y2809">
        <v>-7.2105939999999993E-2</v>
      </c>
      <c r="Z2809">
        <v>1.1798939999999999E-3</v>
      </c>
      <c r="AA2809">
        <v>0.99739630000000001</v>
      </c>
      <c r="AB2809">
        <v>40</v>
      </c>
      <c r="AC2809">
        <v>13.140799999999899</v>
      </c>
      <c r="AD2809">
        <v>-1.1109393432030901</v>
      </c>
      <c r="AE2809">
        <v>1.27770000000001</v>
      </c>
      <c r="AF2809">
        <v>-0.98886569620600295</v>
      </c>
      <c r="AG2809">
        <v>-1.1109393432030901</v>
      </c>
      <c r="AH2809">
        <v>13.0726005051479</v>
      </c>
      <c r="AI2809">
        <v>94.843682707248902</v>
      </c>
      <c r="AJ2809">
        <v>94.325851946357801</v>
      </c>
      <c r="AK2809">
        <v>13.156934504534201</v>
      </c>
      <c r="AL2809">
        <v>87.876313153589706</v>
      </c>
      <c r="AM2809">
        <v>91.617979943756794</v>
      </c>
      <c r="AN2809">
        <v>0.99999996298631899</v>
      </c>
    </row>
    <row r="2810" spans="1:40" x14ac:dyDescent="0.3">
      <c r="A2810" t="str">
        <f>"20200111160507467"</f>
        <v>20200111160507467</v>
      </c>
      <c r="B2810" t="str">
        <f>"1578729907464404"</f>
        <v>1578729907464404</v>
      </c>
      <c r="C2810" t="s">
        <v>40</v>
      </c>
      <c r="D2810">
        <v>5.7223839999999999</v>
      </c>
      <c r="E2810">
        <v>0.485404</v>
      </c>
      <c r="F2810" t="s">
        <v>57</v>
      </c>
      <c r="G2810">
        <v>-392.11070000000001</v>
      </c>
      <c r="H2810" s="1">
        <v>-4.1356060000000001E-7</v>
      </c>
      <c r="I2810">
        <v>215.0138</v>
      </c>
      <c r="J2810">
        <v>-404.99180000000001</v>
      </c>
      <c r="K2810">
        <v>1.1109849999999999</v>
      </c>
      <c r="L2810">
        <v>213.76599999999999</v>
      </c>
      <c r="M2810">
        <v>0.99968440000000003</v>
      </c>
      <c r="N2810">
        <v>0</v>
      </c>
      <c r="O2810">
        <v>2.2258940000000001E-2</v>
      </c>
      <c r="P2810">
        <v>0.99846919999999995</v>
      </c>
      <c r="Q2810">
        <v>2.4257259999999999E-2</v>
      </c>
      <c r="R2810">
        <v>4.9707170000000002E-2</v>
      </c>
      <c r="S2810">
        <v>2.997131</v>
      </c>
      <c r="T2810">
        <v>-0.25085659999999999</v>
      </c>
      <c r="U2810">
        <v>0.28382869999999999</v>
      </c>
      <c r="V2810">
        <v>-2.7548880000000001E-2</v>
      </c>
      <c r="W2810">
        <v>3.5836E-2</v>
      </c>
      <c r="X2810">
        <v>0.99897789999999997</v>
      </c>
      <c r="Y2810">
        <v>-7.192163E-2</v>
      </c>
      <c r="Z2810">
        <v>1.1427640000000001E-3</v>
      </c>
      <c r="AA2810">
        <v>0.99740960000000001</v>
      </c>
      <c r="AB2810">
        <v>40</v>
      </c>
      <c r="AC2810">
        <v>12.8811</v>
      </c>
      <c r="AD2810">
        <v>-1.1109854135606001</v>
      </c>
      <c r="AE2810">
        <v>1.24780000000001</v>
      </c>
      <c r="AF2810">
        <v>-0.95372299551783901</v>
      </c>
      <c r="AG2810">
        <v>-1.1109854135606001</v>
      </c>
      <c r="AH2810">
        <v>12.8112685130556</v>
      </c>
      <c r="AI2810">
        <v>94.942646948825598</v>
      </c>
      <c r="AJ2810">
        <v>94.257477857426196</v>
      </c>
      <c r="AK2810">
        <v>12.8946685515734</v>
      </c>
      <c r="AL2810">
        <v>87.946308724957603</v>
      </c>
      <c r="AM2810">
        <v>91.579649165886593</v>
      </c>
      <c r="AN2810">
        <v>1.0000000021868301</v>
      </c>
    </row>
    <row r="2811" spans="1:40" x14ac:dyDescent="0.3">
      <c r="A2811" t="str">
        <f>"20200111160507489"</f>
        <v>20200111160507489</v>
      </c>
      <c r="B2811" t="str">
        <f>"1578729907483924"</f>
        <v>1578729907483924</v>
      </c>
      <c r="C2811" t="s">
        <v>40</v>
      </c>
      <c r="D2811">
        <v>5.4993150000000002</v>
      </c>
      <c r="E2811">
        <v>0.48553069999999998</v>
      </c>
      <c r="F2811" t="s">
        <v>57</v>
      </c>
      <c r="G2811">
        <v>-392.05970000000002</v>
      </c>
      <c r="H2811" s="1">
        <v>-4.407239E-7</v>
      </c>
      <c r="I2811">
        <v>214.99019999999999</v>
      </c>
      <c r="J2811">
        <v>-404.59010000000001</v>
      </c>
      <c r="K2811">
        <v>1.111019</v>
      </c>
      <c r="L2811">
        <v>213.7757</v>
      </c>
      <c r="M2811">
        <v>0.99965999999999999</v>
      </c>
      <c r="N2811">
        <v>0</v>
      </c>
      <c r="O2811">
        <v>2.311036E-2</v>
      </c>
      <c r="P2811">
        <v>0.99847949999999996</v>
      </c>
      <c r="Q2811">
        <v>2.3223190000000001E-2</v>
      </c>
      <c r="R2811">
        <v>4.9992809999999999E-2</v>
      </c>
      <c r="S2811">
        <v>2.9967039999999998</v>
      </c>
      <c r="T2811">
        <v>-0.25744489999999998</v>
      </c>
      <c r="U2811">
        <v>0.28367609999999999</v>
      </c>
      <c r="V2811">
        <v>-2.6981169999999999E-2</v>
      </c>
      <c r="W2811">
        <v>3.5228889999999999E-2</v>
      </c>
      <c r="X2811">
        <v>0.99901499999999999</v>
      </c>
      <c r="Y2811">
        <v>-7.1032189999999995E-2</v>
      </c>
      <c r="Z2811">
        <v>1.0619749999999999E-3</v>
      </c>
      <c r="AA2811">
        <v>0.99747350000000001</v>
      </c>
      <c r="AB2811">
        <v>40</v>
      </c>
      <c r="AC2811">
        <v>12.530399999999901</v>
      </c>
      <c r="AD2811">
        <v>-1.11101944072389</v>
      </c>
      <c r="AE2811">
        <v>1.2144999999999799</v>
      </c>
      <c r="AF2811">
        <v>-0.917427056481397</v>
      </c>
      <c r="AG2811">
        <v>-1.11101944072389</v>
      </c>
      <c r="AH2811">
        <v>12.4580928896185</v>
      </c>
      <c r="AI2811">
        <v>95.082496572218801</v>
      </c>
      <c r="AJ2811">
        <v>94.211719021848197</v>
      </c>
      <c r="AK2811">
        <v>12.541136912098301</v>
      </c>
      <c r="AL2811">
        <v>87.981115570129006</v>
      </c>
      <c r="AM2811">
        <v>91.547055309462806</v>
      </c>
      <c r="AN2811">
        <v>1.0000000142251</v>
      </c>
    </row>
    <row r="2812" spans="1:40" x14ac:dyDescent="0.3">
      <c r="A2812" t="str">
        <f>"20200111160507512"</f>
        <v>20200111160507512</v>
      </c>
      <c r="B2812" t="str">
        <f>"1578729907504420"</f>
        <v>1578729907504420</v>
      </c>
      <c r="C2812" t="s">
        <v>40</v>
      </c>
      <c r="D2812">
        <v>5.6107230000000001</v>
      </c>
      <c r="E2812">
        <v>0.53619439999999996</v>
      </c>
      <c r="F2812" t="s">
        <v>57</v>
      </c>
      <c r="G2812">
        <v>-391.88</v>
      </c>
      <c r="H2812" s="1">
        <v>-5.3636569999999899E-7</v>
      </c>
      <c r="I2812">
        <v>214.97890000000001</v>
      </c>
      <c r="J2812">
        <v>-404.18299999999999</v>
      </c>
      <c r="K2812">
        <v>1.1110450000000001</v>
      </c>
      <c r="L2812">
        <v>213.7859</v>
      </c>
      <c r="M2812">
        <v>0.99963519999999995</v>
      </c>
      <c r="N2812">
        <v>0</v>
      </c>
      <c r="O2812">
        <v>2.3969939999999999E-2</v>
      </c>
      <c r="P2812">
        <v>0.9984826</v>
      </c>
      <c r="Q2812">
        <v>2.2884649999999999E-2</v>
      </c>
      <c r="R2812">
        <v>5.0089670000000003E-2</v>
      </c>
      <c r="S2812">
        <v>2.9964599999999999</v>
      </c>
      <c r="T2812">
        <v>-0.26192779999999999</v>
      </c>
      <c r="U2812">
        <v>0.28366089999999999</v>
      </c>
      <c r="V2812">
        <v>-2.6217979999999998E-2</v>
      </c>
      <c r="W2812">
        <v>3.527893E-2</v>
      </c>
      <c r="X2812">
        <v>0.99903350000000002</v>
      </c>
      <c r="Y2812">
        <v>-7.0177279999999995E-2</v>
      </c>
      <c r="Z2812">
        <v>9.6848979999999995E-4</v>
      </c>
      <c r="AA2812">
        <v>0.99753400000000003</v>
      </c>
      <c r="AB2812">
        <v>40</v>
      </c>
      <c r="AC2812">
        <v>12.303000000000001</v>
      </c>
      <c r="AD2812">
        <v>-1.1110455363656999</v>
      </c>
      <c r="AE2812">
        <v>1.1930000000000101</v>
      </c>
      <c r="AF2812">
        <v>-0.89053718417668404</v>
      </c>
      <c r="AG2812">
        <v>-1.1110455363656999</v>
      </c>
      <c r="AH2812">
        <v>12.2292582809938</v>
      </c>
      <c r="AI2812">
        <v>95.177517264956805</v>
      </c>
      <c r="AJ2812">
        <v>94.164939285467</v>
      </c>
      <c r="AK2812">
        <v>12.3118738120376</v>
      </c>
      <c r="AL2812">
        <v>87.978246595860099</v>
      </c>
      <c r="AM2812">
        <v>91.503287814535</v>
      </c>
      <c r="AN2812">
        <v>0.99999995974973599</v>
      </c>
    </row>
    <row r="2813" spans="1:40" x14ac:dyDescent="0.3">
      <c r="A2813" t="str">
        <f>"20200111160507534"</f>
        <v>20200111160507534</v>
      </c>
      <c r="B2813" t="str">
        <f>"1578729907523942"</f>
        <v>1578729907523942</v>
      </c>
      <c r="C2813" t="s">
        <v>40</v>
      </c>
      <c r="D2813">
        <v>5.6419059999999996</v>
      </c>
      <c r="E2813">
        <v>0.53933640000000005</v>
      </c>
      <c r="F2813" t="s">
        <v>70</v>
      </c>
      <c r="G2813">
        <v>-168.41210000000001</v>
      </c>
      <c r="H2813">
        <v>1.587879</v>
      </c>
      <c r="I2813">
        <v>203.2303</v>
      </c>
      <c r="J2813">
        <v>-403.78890000000001</v>
      </c>
      <c r="K2813">
        <v>1.111059</v>
      </c>
      <c r="L2813">
        <v>213.7962</v>
      </c>
      <c r="M2813">
        <v>0.99961049999999996</v>
      </c>
      <c r="N2813">
        <v>0</v>
      </c>
      <c r="O2813">
        <v>2.480193E-2</v>
      </c>
      <c r="P2813">
        <v>0.99852209999999997</v>
      </c>
      <c r="Q2813">
        <v>2.18934E-2</v>
      </c>
      <c r="R2813">
        <v>4.9742880000000003E-2</v>
      </c>
      <c r="S2813">
        <v>3.011139</v>
      </c>
      <c r="T2813">
        <v>6.0902830000000002E-3</v>
      </c>
      <c r="U2813">
        <v>-0.1348114</v>
      </c>
      <c r="V2813">
        <v>-2.5037110000000001E-2</v>
      </c>
      <c r="W2813">
        <v>3.4625589999999998E-2</v>
      </c>
      <c r="X2813">
        <v>0.99908669999999999</v>
      </c>
      <c r="Y2813">
        <v>6.9491280000000002E-2</v>
      </c>
      <c r="Z2813">
        <v>1.203868E-4</v>
      </c>
      <c r="AA2813">
        <v>0.99758259999999999</v>
      </c>
      <c r="AB2813">
        <v>40</v>
      </c>
      <c r="AC2813">
        <v>235.3768</v>
      </c>
      <c r="AD2813">
        <v>0.47681999999999902</v>
      </c>
      <c r="AE2813">
        <v>-10.565899999999999</v>
      </c>
      <c r="AF2813">
        <v>16.400858903119701</v>
      </c>
      <c r="AG2813">
        <v>0.47681999999999902</v>
      </c>
      <c r="AH2813">
        <v>235.04134388753499</v>
      </c>
      <c r="AI2813">
        <v>89.884048197242194</v>
      </c>
      <c r="AJ2813">
        <v>86.008449960536495</v>
      </c>
      <c r="AK2813">
        <v>235.61334611292901</v>
      </c>
      <c r="AL2813">
        <v>88.015703211397494</v>
      </c>
      <c r="AM2813">
        <v>91.435531623673896</v>
      </c>
      <c r="AN2813">
        <v>1.00000001123844</v>
      </c>
    </row>
    <row r="2814" spans="1:40" x14ac:dyDescent="0.3">
      <c r="A2814" t="str">
        <f>"20200111160507556"</f>
        <v>20200111160507556</v>
      </c>
      <c r="B2814" t="str">
        <f>"1578729907554196"</f>
        <v>1578729907554196</v>
      </c>
      <c r="C2814" t="s">
        <v>40</v>
      </c>
      <c r="D2814">
        <v>5.6504659999999998</v>
      </c>
      <c r="E2814">
        <v>0.53916679999999995</v>
      </c>
      <c r="F2814" t="s">
        <v>57</v>
      </c>
      <c r="G2814">
        <v>-384.9547</v>
      </c>
      <c r="H2814" s="1">
        <v>1.1768440000000001E-6</v>
      </c>
      <c r="I2814">
        <v>212.8546</v>
      </c>
      <c r="J2814">
        <v>-403.4128</v>
      </c>
      <c r="K2814">
        <v>1.1110679999999999</v>
      </c>
      <c r="L2814">
        <v>213.80629999999999</v>
      </c>
      <c r="M2814">
        <v>0.9995868</v>
      </c>
      <c r="N2814">
        <v>0</v>
      </c>
      <c r="O2814">
        <v>2.559759E-2</v>
      </c>
      <c r="P2814">
        <v>0.99856829999999996</v>
      </c>
      <c r="Q2814">
        <v>2.0760440000000002E-2</v>
      </c>
      <c r="R2814">
        <v>4.9299280000000001E-2</v>
      </c>
      <c r="S2814">
        <v>3.0158390000000002</v>
      </c>
      <c r="T2814">
        <v>-0.17790880000000001</v>
      </c>
      <c r="U2814">
        <v>-0.15077209999999999</v>
      </c>
      <c r="V2814">
        <v>-2.379438E-2</v>
      </c>
      <c r="W2814">
        <v>3.3778269999999999E-2</v>
      </c>
      <c r="X2814">
        <v>0.99914599999999998</v>
      </c>
      <c r="Y2814">
        <v>7.5307509999999994E-2</v>
      </c>
      <c r="Z2814">
        <v>-3.7259770000000001E-3</v>
      </c>
      <c r="AA2814">
        <v>0.99715339999999997</v>
      </c>
      <c r="AB2814">
        <v>40</v>
      </c>
      <c r="AC2814">
        <v>18.458100000000002</v>
      </c>
      <c r="AD2814">
        <v>-1.1110668231559999</v>
      </c>
      <c r="AE2814">
        <v>-0.951699999999988</v>
      </c>
      <c r="AF2814">
        <v>1.41878430219832</v>
      </c>
      <c r="AG2814">
        <v>-1.1110668231559999</v>
      </c>
      <c r="AH2814">
        <v>18.361334904782701</v>
      </c>
      <c r="AI2814">
        <v>93.452548598200295</v>
      </c>
      <c r="AJ2814">
        <v>85.581522601361598</v>
      </c>
      <c r="AK2814">
        <v>18.449553866347902</v>
      </c>
      <c r="AL2814">
        <v>88.064279347728501</v>
      </c>
      <c r="AM2814">
        <v>91.364224954914306</v>
      </c>
      <c r="AN2814">
        <v>0.99999993667988596</v>
      </c>
    </row>
    <row r="2815" spans="1:40" x14ac:dyDescent="0.3">
      <c r="A2815" t="str">
        <f>"20200111160507579"</f>
        <v>20200111160507579</v>
      </c>
      <c r="B2815" t="str">
        <f>"1578729907573717"</f>
        <v>1578729907573717</v>
      </c>
      <c r="C2815" t="s">
        <v>40</v>
      </c>
      <c r="D2815">
        <v>5.5747229999999997</v>
      </c>
      <c r="E2815">
        <v>0.53877940000000002</v>
      </c>
      <c r="F2815" t="s">
        <v>42</v>
      </c>
      <c r="G2815">
        <v>-402.54469999999998</v>
      </c>
      <c r="H2815">
        <v>1.0375840000000001</v>
      </c>
      <c r="I2815">
        <v>213.76390000000001</v>
      </c>
      <c r="J2815">
        <v>-403.00920000000002</v>
      </c>
      <c r="K2815">
        <v>1.1110690000000001</v>
      </c>
      <c r="L2815">
        <v>213.81739999999999</v>
      </c>
      <c r="M2815">
        <v>0.99956109999999998</v>
      </c>
      <c r="N2815">
        <v>0</v>
      </c>
      <c r="O2815">
        <v>2.6453250000000001E-2</v>
      </c>
      <c r="P2815">
        <v>0.99859699999999996</v>
      </c>
      <c r="Q2815">
        <v>1.9815269999999999E-2</v>
      </c>
      <c r="R2815">
        <v>4.9111729999999999E-2</v>
      </c>
      <c r="S2815">
        <v>3.0168759999999999</v>
      </c>
      <c r="T2815">
        <v>-0.25547789999999998</v>
      </c>
      <c r="U2815">
        <v>-0.1464386</v>
      </c>
      <c r="V2815">
        <v>-2.2748640000000001E-2</v>
      </c>
      <c r="W2815">
        <v>3.3103920000000002E-2</v>
      </c>
      <c r="X2815">
        <v>0.999193</v>
      </c>
      <c r="Y2815">
        <v>7.4529559999999995E-2</v>
      </c>
      <c r="Z2815">
        <v>-5.3833989999999996E-3</v>
      </c>
      <c r="AA2815">
        <v>0.99720430000000004</v>
      </c>
      <c r="AB2815">
        <v>40</v>
      </c>
      <c r="AC2815">
        <v>0.46450000000004299</v>
      </c>
      <c r="AD2815">
        <v>-7.3484999999999995E-2</v>
      </c>
      <c r="AE2815">
        <v>-5.34999999999854E-2</v>
      </c>
      <c r="AF2815">
        <v>6.4184523631617293E-2</v>
      </c>
      <c r="AG2815">
        <v>-7.3484999999999995E-2</v>
      </c>
      <c r="AH2815">
        <v>0.451763347061167</v>
      </c>
      <c r="AI2815">
        <v>99.148665503514096</v>
      </c>
      <c r="AJ2815">
        <v>81.913789067403499</v>
      </c>
      <c r="AK2815">
        <v>0.462179424084117</v>
      </c>
      <c r="AL2815">
        <v>88.102938522668595</v>
      </c>
      <c r="AM2815">
        <v>91.304228443748499</v>
      </c>
      <c r="AN2815">
        <v>1.0000000106950999</v>
      </c>
    </row>
    <row r="2816" spans="1:40" x14ac:dyDescent="0.3">
      <c r="A2816" t="str">
        <f>"20200111160507602"</f>
        <v>20200111160507602</v>
      </c>
      <c r="B2816" t="str">
        <f>"1578729907594212"</f>
        <v>1578729907594212</v>
      </c>
      <c r="C2816" t="s">
        <v>40</v>
      </c>
      <c r="D2816">
        <v>5.6455479999999998</v>
      </c>
      <c r="E2816">
        <v>0.53867410000000004</v>
      </c>
      <c r="F2816" t="s">
        <v>42</v>
      </c>
      <c r="G2816">
        <v>-402.19290000000001</v>
      </c>
      <c r="H2816">
        <v>1.035417</v>
      </c>
      <c r="I2816">
        <v>213.7783</v>
      </c>
      <c r="J2816">
        <v>-402.60270000000003</v>
      </c>
      <c r="K2816">
        <v>1.111076</v>
      </c>
      <c r="L2816">
        <v>213.82900000000001</v>
      </c>
      <c r="M2816">
        <v>0.99953460000000005</v>
      </c>
      <c r="N2816">
        <v>0</v>
      </c>
      <c r="O2816">
        <v>2.7316389999999999E-2</v>
      </c>
      <c r="P2816">
        <v>0.99864489999999995</v>
      </c>
      <c r="Q2816">
        <v>1.8529770000000001E-2</v>
      </c>
      <c r="R2816">
        <v>4.8634690000000001E-2</v>
      </c>
      <c r="S2816">
        <v>3.016785</v>
      </c>
      <c r="T2816">
        <v>-0.2798271</v>
      </c>
      <c r="U2816">
        <v>-0.14295959999999999</v>
      </c>
      <c r="V2816">
        <v>-2.1404320000000001E-2</v>
      </c>
      <c r="W2816">
        <v>3.2057820000000001E-2</v>
      </c>
      <c r="X2816">
        <v>0.99925679999999995</v>
      </c>
      <c r="Y2816">
        <v>7.4170760000000002E-2</v>
      </c>
      <c r="Z2816">
        <v>-5.9579860000000002E-3</v>
      </c>
      <c r="AA2816">
        <v>0.99722770000000005</v>
      </c>
      <c r="AB2816">
        <v>40</v>
      </c>
      <c r="AC2816">
        <v>0.40980000000001798</v>
      </c>
      <c r="AD2816">
        <v>-7.5658999999999907E-2</v>
      </c>
      <c r="AE2816">
        <v>-5.0700000000006101E-2</v>
      </c>
      <c r="AF2816">
        <v>5.9866513739384897E-2</v>
      </c>
      <c r="AG2816">
        <v>-7.5658999999999907E-2</v>
      </c>
      <c r="AH2816">
        <v>0.39500091987772101</v>
      </c>
      <c r="AI2816">
        <v>100.72360054274699</v>
      </c>
      <c r="AJ2816">
        <v>81.381815152222899</v>
      </c>
      <c r="AK2816">
        <v>0.40661285082072102</v>
      </c>
      <c r="AL2816">
        <v>88.162907458427696</v>
      </c>
      <c r="AM2816">
        <v>91.227101668074198</v>
      </c>
      <c r="AN2816">
        <v>1.00000000054202</v>
      </c>
    </row>
    <row r="2817" spans="1:40" x14ac:dyDescent="0.3">
      <c r="A2817" t="str">
        <f>"20200111160507624"</f>
        <v>20200111160507624</v>
      </c>
      <c r="B2817" t="str">
        <f>"1578729907613735"</f>
        <v>1578729907613735</v>
      </c>
      <c r="C2817" t="s">
        <v>40</v>
      </c>
      <c r="D2817">
        <v>5.7811859999999999</v>
      </c>
      <c r="E2817">
        <v>0.53812519999999997</v>
      </c>
      <c r="F2817" t="s">
        <v>42</v>
      </c>
      <c r="G2817">
        <v>-401.84010000000001</v>
      </c>
      <c r="H2817">
        <v>1.035882</v>
      </c>
      <c r="I2817">
        <v>213.7927</v>
      </c>
      <c r="J2817">
        <v>-402.20760000000001</v>
      </c>
      <c r="K2817">
        <v>1.111078</v>
      </c>
      <c r="L2817">
        <v>213.84049999999999</v>
      </c>
      <c r="M2817">
        <v>0.99950859999999997</v>
      </c>
      <c r="N2817">
        <v>0</v>
      </c>
      <c r="O2817">
        <v>2.8155579999999999E-2</v>
      </c>
      <c r="P2817">
        <v>0.99863369999999996</v>
      </c>
      <c r="Q2817">
        <v>1.8827150000000001E-2</v>
      </c>
      <c r="R2817">
        <v>4.8748430000000002E-2</v>
      </c>
      <c r="S2817">
        <v>3.0165410000000001</v>
      </c>
      <c r="T2817">
        <v>-0.297595</v>
      </c>
      <c r="U2817">
        <v>-0.14257810000000001</v>
      </c>
      <c r="V2817">
        <v>-2.067973E-2</v>
      </c>
      <c r="W2817">
        <v>3.2556330000000001E-2</v>
      </c>
      <c r="X2817">
        <v>0.99925600000000003</v>
      </c>
      <c r="Y2817">
        <v>7.482192E-2</v>
      </c>
      <c r="Z2817">
        <v>-6.4496390000000001E-3</v>
      </c>
      <c r="AA2817">
        <v>0.99717610000000001</v>
      </c>
      <c r="AB2817">
        <v>40</v>
      </c>
      <c r="AC2817">
        <v>0.36750000000000599</v>
      </c>
      <c r="AD2817">
        <v>-7.5195999999999999E-2</v>
      </c>
      <c r="AE2817">
        <v>-4.7799999999995103E-2</v>
      </c>
      <c r="AF2817">
        <v>5.5830614696333797E-2</v>
      </c>
      <c r="AG2817">
        <v>-7.5195999999999999E-2</v>
      </c>
      <c r="AH2817">
        <v>0.35153533328752301</v>
      </c>
      <c r="AI2817">
        <v>101.928883306031</v>
      </c>
      <c r="AJ2817">
        <v>80.975692696523794</v>
      </c>
      <c r="AK2817">
        <v>0.36379745257896001</v>
      </c>
      <c r="AL2817">
        <v>88.134330131799899</v>
      </c>
      <c r="AM2817">
        <v>91.185574207068996</v>
      </c>
      <c r="AN2817">
        <v>1.00000005969596</v>
      </c>
    </row>
    <row r="2818" spans="1:40" x14ac:dyDescent="0.3">
      <c r="A2818" t="str">
        <f>"20200111160507646"</f>
        <v>20200111160507646</v>
      </c>
      <c r="B2818" t="str">
        <f>"1578729907643988"</f>
        <v>1578729907643988</v>
      </c>
      <c r="C2818" t="s">
        <v>40</v>
      </c>
      <c r="D2818">
        <v>5.6468759999999998</v>
      </c>
      <c r="E2818">
        <v>0.53860439999999998</v>
      </c>
      <c r="F2818" t="s">
        <v>42</v>
      </c>
      <c r="G2818">
        <v>-401.15140000000002</v>
      </c>
      <c r="H2818">
        <v>1.003795</v>
      </c>
      <c r="I2818">
        <v>213.79249999999999</v>
      </c>
      <c r="J2818">
        <v>-401.81229999999999</v>
      </c>
      <c r="K2818">
        <v>1.1110850000000001</v>
      </c>
      <c r="L2818">
        <v>213.85249999999999</v>
      </c>
      <c r="M2818">
        <v>0.99948219999999999</v>
      </c>
      <c r="N2818">
        <v>0</v>
      </c>
      <c r="O2818">
        <v>2.8994989999999998E-2</v>
      </c>
      <c r="P2818">
        <v>0.99859450000000005</v>
      </c>
      <c r="Q2818">
        <v>1.9474180000000001E-2</v>
      </c>
      <c r="R2818">
        <v>4.9293249999999997E-2</v>
      </c>
      <c r="S2818">
        <v>3.0166019999999998</v>
      </c>
      <c r="T2818">
        <v>-0.306446</v>
      </c>
      <c r="U2818">
        <v>-0.13700870000000001</v>
      </c>
      <c r="V2818">
        <v>-2.0387099999999998E-2</v>
      </c>
      <c r="W2818">
        <v>3.3374620000000001E-2</v>
      </c>
      <c r="X2818">
        <v>0.99923499999999998</v>
      </c>
      <c r="Y2818">
        <v>7.379223E-2</v>
      </c>
      <c r="Z2818">
        <v>-6.673511E-3</v>
      </c>
      <c r="AA2818">
        <v>0.99725129999999995</v>
      </c>
      <c r="AB2818">
        <v>39</v>
      </c>
      <c r="AC2818">
        <v>0.66089999999996896</v>
      </c>
      <c r="AD2818">
        <v>-0.10729</v>
      </c>
      <c r="AE2818">
        <v>-6.0000000000002197E-2</v>
      </c>
      <c r="AF2818">
        <v>7.7123522025539598E-2</v>
      </c>
      <c r="AG2818">
        <v>-0.10729</v>
      </c>
      <c r="AH2818">
        <v>0.64209865069359495</v>
      </c>
      <c r="AI2818">
        <v>99.419593185339195</v>
      </c>
      <c r="AJ2818">
        <v>83.150920967602403</v>
      </c>
      <c r="AK2818">
        <v>0.65555309393836203</v>
      </c>
      <c r="AL2818">
        <v>88.0874200402925</v>
      </c>
      <c r="AM2818">
        <v>91.168826898425806</v>
      </c>
      <c r="AN2818">
        <v>1.00000004216577</v>
      </c>
    </row>
    <row r="2819" spans="1:40" x14ac:dyDescent="0.3">
      <c r="A2819" t="str">
        <f>"20200111160507668"</f>
        <v>20200111160507668</v>
      </c>
      <c r="B2819" t="str">
        <f>"1578729907664485"</f>
        <v>1578729907664485</v>
      </c>
      <c r="C2819" t="s">
        <v>40</v>
      </c>
      <c r="D2819">
        <v>5.6325589999999996</v>
      </c>
      <c r="E2819">
        <v>0.53897130000000004</v>
      </c>
      <c r="F2819" t="s">
        <v>42</v>
      </c>
      <c r="G2819">
        <v>-400.79930000000002</v>
      </c>
      <c r="H2819">
        <v>1.005582</v>
      </c>
      <c r="I2819">
        <v>213.8058</v>
      </c>
      <c r="J2819">
        <v>-401.44209999999998</v>
      </c>
      <c r="K2819">
        <v>1.111089</v>
      </c>
      <c r="L2819">
        <v>213.864</v>
      </c>
      <c r="M2819">
        <v>0.99945709999999999</v>
      </c>
      <c r="N2819">
        <v>0</v>
      </c>
      <c r="O2819">
        <v>2.9780830000000001E-2</v>
      </c>
      <c r="P2819">
        <v>0.99856599999999995</v>
      </c>
      <c r="Q2819">
        <v>2.0244689999999999E-2</v>
      </c>
      <c r="R2819">
        <v>4.9558789999999998E-2</v>
      </c>
      <c r="S2819">
        <v>3.0171809999999999</v>
      </c>
      <c r="T2819">
        <v>-0.31436619999999998</v>
      </c>
      <c r="U2819">
        <v>-0.13829040000000001</v>
      </c>
      <c r="V2819">
        <v>-1.9869029999999999E-2</v>
      </c>
      <c r="W2819">
        <v>3.4285799999999998E-2</v>
      </c>
      <c r="X2819">
        <v>0.99921450000000001</v>
      </c>
      <c r="Y2819">
        <v>7.4952539999999998E-2</v>
      </c>
      <c r="Z2819">
        <v>-6.985588E-3</v>
      </c>
      <c r="AA2819">
        <v>0.99716260000000001</v>
      </c>
      <c r="AB2819">
        <v>39</v>
      </c>
      <c r="AC2819">
        <v>0.64279999999996495</v>
      </c>
      <c r="AD2819">
        <v>-0.105507</v>
      </c>
      <c r="AE2819">
        <v>-5.8199999999999301E-2</v>
      </c>
      <c r="AF2819">
        <v>7.5306867027637295E-2</v>
      </c>
      <c r="AG2819">
        <v>-0.105507</v>
      </c>
      <c r="AH2819">
        <v>0.62410424946097498</v>
      </c>
      <c r="AI2819">
        <v>99.527501087794903</v>
      </c>
      <c r="AJ2819">
        <v>83.119729558341206</v>
      </c>
      <c r="AK2819">
        <v>0.63742369383775299</v>
      </c>
      <c r="AL2819">
        <v>88.035183201843495</v>
      </c>
      <c r="AM2819">
        <v>91.139156362556307</v>
      </c>
      <c r="AN2819">
        <v>0.99999995572251399</v>
      </c>
    </row>
    <row r="2820" spans="1:40" x14ac:dyDescent="0.3">
      <c r="A2820" t="str">
        <f>"20200111160507691"</f>
        <v>20200111160507691</v>
      </c>
      <c r="B2820" t="str">
        <f>"1578729907684004"</f>
        <v>1578729907684004</v>
      </c>
      <c r="C2820" t="s">
        <v>40</v>
      </c>
      <c r="D2820">
        <v>5.6634070000000003</v>
      </c>
      <c r="E2820">
        <v>0.53936930000000005</v>
      </c>
      <c r="F2820" t="s">
        <v>42</v>
      </c>
      <c r="G2820">
        <v>-400.44740000000002</v>
      </c>
      <c r="H2820">
        <v>1.007331</v>
      </c>
      <c r="I2820">
        <v>213.8175</v>
      </c>
      <c r="J2820">
        <v>-401.02749999999997</v>
      </c>
      <c r="K2820">
        <v>1.111097</v>
      </c>
      <c r="L2820">
        <v>213.87719999999999</v>
      </c>
      <c r="M2820">
        <v>0.99942869999999995</v>
      </c>
      <c r="N2820">
        <v>0</v>
      </c>
      <c r="O2820">
        <v>3.065996E-2</v>
      </c>
      <c r="P2820">
        <v>0.99855590000000005</v>
      </c>
      <c r="Q2820">
        <v>2.0493319999999999E-2</v>
      </c>
      <c r="R2820">
        <v>4.9660790000000003E-2</v>
      </c>
      <c r="S2820">
        <v>3.017639</v>
      </c>
      <c r="T2820">
        <v>-0.31495959999999901</v>
      </c>
      <c r="U2820">
        <v>-0.14009089999999999</v>
      </c>
      <c r="V2820">
        <v>-1.9092609999999999E-2</v>
      </c>
      <c r="W2820">
        <v>3.4670859999999998E-2</v>
      </c>
      <c r="X2820">
        <v>0.9992164</v>
      </c>
      <c r="Y2820">
        <v>7.6401839999999999E-2</v>
      </c>
      <c r="Z2820">
        <v>-7.164424E-3</v>
      </c>
      <c r="AA2820">
        <v>0.99705140000000003</v>
      </c>
      <c r="AB2820">
        <v>39</v>
      </c>
      <c r="AC2820">
        <v>0.58009999999995898</v>
      </c>
      <c r="AD2820">
        <v>-0.103766</v>
      </c>
      <c r="AE2820">
        <v>-5.9699999999992301E-2</v>
      </c>
      <c r="AF2820">
        <v>7.5082363055910498E-2</v>
      </c>
      <c r="AG2820">
        <v>-0.103766</v>
      </c>
      <c r="AH2820">
        <v>0.56025813088990795</v>
      </c>
      <c r="AI2820">
        <v>100.40197405331701</v>
      </c>
      <c r="AJ2820">
        <v>82.367048979489397</v>
      </c>
      <c r="AK2820">
        <v>0.57471202982564495</v>
      </c>
      <c r="AL2820">
        <v>88.013107861085601</v>
      </c>
      <c r="AM2820">
        <v>91.094650639598797</v>
      </c>
      <c r="AN2820">
        <v>1.0000000051593501</v>
      </c>
    </row>
    <row r="2821" spans="1:40" x14ac:dyDescent="0.3">
      <c r="A2821" t="str">
        <f>"20200111160507714"</f>
        <v>20200111160507714</v>
      </c>
      <c r="B2821" t="str">
        <f>"1578729907704501"</f>
        <v>1578729907704501</v>
      </c>
      <c r="C2821" t="s">
        <v>40</v>
      </c>
      <c r="D2821">
        <v>5.6325649999999996</v>
      </c>
      <c r="E2821">
        <v>0.54014149999999905</v>
      </c>
      <c r="F2821" t="s">
        <v>42</v>
      </c>
      <c r="G2821">
        <v>-400.0942</v>
      </c>
      <c r="H2821">
        <v>1.013042</v>
      </c>
      <c r="I2821">
        <v>213.83269999999999</v>
      </c>
      <c r="J2821">
        <v>-400.63389999999998</v>
      </c>
      <c r="K2821">
        <v>1.111103</v>
      </c>
      <c r="L2821">
        <v>213.89009999999999</v>
      </c>
      <c r="M2821">
        <v>0.99940130000000005</v>
      </c>
      <c r="N2821">
        <v>0</v>
      </c>
      <c r="O2821">
        <v>3.1493210000000001E-2</v>
      </c>
      <c r="P2821">
        <v>0.99856730000000005</v>
      </c>
      <c r="Q2821">
        <v>2.1139229999999998E-2</v>
      </c>
      <c r="R2821">
        <v>4.9160280000000001E-2</v>
      </c>
      <c r="S2821">
        <v>3.017944</v>
      </c>
      <c r="T2821">
        <v>-0.31730649999999999</v>
      </c>
      <c r="U2821">
        <v>-0.14248659999999999</v>
      </c>
      <c r="V2821">
        <v>-1.775993E-2</v>
      </c>
      <c r="W2821">
        <v>3.5429509999999997E-2</v>
      </c>
      <c r="X2821">
        <v>0.99921439999999995</v>
      </c>
      <c r="Y2821">
        <v>7.7996220000000005E-2</v>
      </c>
      <c r="Z2821">
        <v>-7.3875429999999999E-3</v>
      </c>
      <c r="AA2821">
        <v>0.99692630000000004</v>
      </c>
      <c r="AB2821">
        <v>39</v>
      </c>
      <c r="AC2821">
        <v>0.53969999999998197</v>
      </c>
      <c r="AD2821">
        <v>-9.8061000000000106E-2</v>
      </c>
      <c r="AE2821">
        <v>-5.74000000000012E-2</v>
      </c>
      <c r="AF2821">
        <v>7.2019160774184895E-2</v>
      </c>
      <c r="AG2821">
        <v>-9.8061000000000106E-2</v>
      </c>
      <c r="AH2821">
        <v>0.52062894788201897</v>
      </c>
      <c r="AI2821">
        <v>100.56841461377</v>
      </c>
      <c r="AJ2821">
        <v>82.124195343238</v>
      </c>
      <c r="AK2821">
        <v>0.53465617046131197</v>
      </c>
      <c r="AL2821">
        <v>87.969613765562798</v>
      </c>
      <c r="AM2821">
        <v>91.018261846415598</v>
      </c>
      <c r="AN2821">
        <v>1.0000000412298999</v>
      </c>
    </row>
    <row r="2822" spans="1:40" x14ac:dyDescent="0.3">
      <c r="A2822" t="str">
        <f>"20200111160507735"</f>
        <v>20200111160507735</v>
      </c>
      <c r="B2822" t="str">
        <f>"1578729907724022"</f>
        <v>1578729907724022</v>
      </c>
      <c r="C2822" t="s">
        <v>40</v>
      </c>
      <c r="D2822">
        <v>5.636279</v>
      </c>
      <c r="E2822">
        <v>0.54053030000000002</v>
      </c>
      <c r="F2822" t="s">
        <v>42</v>
      </c>
      <c r="G2822">
        <v>-399.74180000000001</v>
      </c>
      <c r="H2822">
        <v>1.0179149999999999</v>
      </c>
      <c r="I2822">
        <v>213.84559999999999</v>
      </c>
      <c r="J2822">
        <v>-400.25959999999998</v>
      </c>
      <c r="K2822">
        <v>1.111105</v>
      </c>
      <c r="L2822">
        <v>213.90260000000001</v>
      </c>
      <c r="M2822">
        <v>0.99937469999999995</v>
      </c>
      <c r="N2822">
        <v>0</v>
      </c>
      <c r="O2822">
        <v>3.2281200000000003E-2</v>
      </c>
      <c r="P2822">
        <v>0.99858800000000003</v>
      </c>
      <c r="Q2822">
        <v>2.1155489999999999E-2</v>
      </c>
      <c r="R2822">
        <v>4.8727779999999998E-2</v>
      </c>
      <c r="S2822">
        <v>3.0183719999999998</v>
      </c>
      <c r="T2822">
        <v>-0.31537539999999997</v>
      </c>
      <c r="U2822">
        <v>-0.15013119999999999</v>
      </c>
      <c r="V2822">
        <v>-1.6538199999999999E-2</v>
      </c>
      <c r="W2822">
        <v>3.5540080000000002E-2</v>
      </c>
      <c r="X2822">
        <v>0.99923139999999999</v>
      </c>
      <c r="Y2822">
        <v>8.127964E-2</v>
      </c>
      <c r="Z2822">
        <v>-7.5944200000000002E-3</v>
      </c>
      <c r="AA2822">
        <v>0.99666239999999995</v>
      </c>
      <c r="AB2822">
        <v>39</v>
      </c>
      <c r="AC2822">
        <v>0.51779999999996495</v>
      </c>
      <c r="AD2822">
        <v>-9.3190000000000106E-2</v>
      </c>
      <c r="AE2822">
        <v>-5.7000000000016302E-2</v>
      </c>
      <c r="AF2822">
        <v>7.1402185997956905E-2</v>
      </c>
      <c r="AG2822">
        <v>-9.3190000000000106E-2</v>
      </c>
      <c r="AH2822">
        <v>0.49969828276116302</v>
      </c>
      <c r="AI2822">
        <v>100.46001670631</v>
      </c>
      <c r="AJ2822">
        <v>81.868019202967403</v>
      </c>
      <c r="AK2822">
        <v>0.513304024979097</v>
      </c>
      <c r="AL2822">
        <v>87.963274495248299</v>
      </c>
      <c r="AM2822">
        <v>90.948211346728101</v>
      </c>
      <c r="AN2822">
        <v>1.0000000000458</v>
      </c>
    </row>
    <row r="2823" spans="1:40" x14ac:dyDescent="0.3">
      <c r="A2823" t="str">
        <f>"20200111160507758"</f>
        <v>20200111160507758</v>
      </c>
      <c r="B2823" t="str">
        <f>"1578729907754276"</f>
        <v>1578729907754276</v>
      </c>
      <c r="C2823" t="s">
        <v>40</v>
      </c>
      <c r="D2823">
        <v>5.6735369999999996</v>
      </c>
      <c r="E2823">
        <v>0.54104949999999996</v>
      </c>
      <c r="F2823" t="s">
        <v>42</v>
      </c>
      <c r="G2823">
        <v>-399.39089999999999</v>
      </c>
      <c r="H2823">
        <v>1.020195</v>
      </c>
      <c r="I2823">
        <v>213.85769999999999</v>
      </c>
      <c r="J2823">
        <v>-399.86149999999998</v>
      </c>
      <c r="K2823">
        <v>1.111105</v>
      </c>
      <c r="L2823">
        <v>213.91630000000001</v>
      </c>
      <c r="M2823">
        <v>0.99934639999999997</v>
      </c>
      <c r="N2823">
        <v>0</v>
      </c>
      <c r="O2823">
        <v>3.3111559999999998E-2</v>
      </c>
      <c r="P2823">
        <v>0.99861440000000001</v>
      </c>
      <c r="Q2823">
        <v>2.1071409999999999E-2</v>
      </c>
      <c r="R2823">
        <v>4.8221779999999999E-2</v>
      </c>
      <c r="S2823">
        <v>3.018494</v>
      </c>
      <c r="T2823">
        <v>-0.31608209999999998</v>
      </c>
      <c r="U2823">
        <v>-0.15461730000000001</v>
      </c>
      <c r="V2823">
        <v>-1.520026E-2</v>
      </c>
      <c r="W2823">
        <v>3.5541990000000002E-2</v>
      </c>
      <c r="X2823">
        <v>0.99925260000000005</v>
      </c>
      <c r="Y2823">
        <v>8.3563390000000001E-2</v>
      </c>
      <c r="Z2823">
        <v>-7.8166160000000002E-3</v>
      </c>
      <c r="AA2823">
        <v>0.99647180000000002</v>
      </c>
      <c r="AB2823">
        <v>39</v>
      </c>
      <c r="AC2823">
        <v>0.47059999999999003</v>
      </c>
      <c r="AD2823">
        <v>-9.0910000000000005E-2</v>
      </c>
      <c r="AE2823">
        <v>-5.86000000000126E-2</v>
      </c>
      <c r="AF2823">
        <v>7.1523436460256204E-2</v>
      </c>
      <c r="AG2823">
        <v>-9.0910000000000005E-2</v>
      </c>
      <c r="AH2823">
        <v>0.45179853385929603</v>
      </c>
      <c r="AI2823">
        <v>101.240665948219</v>
      </c>
      <c r="AJ2823">
        <v>81.004258455612003</v>
      </c>
      <c r="AK2823">
        <v>0.46637125260943502</v>
      </c>
      <c r="AL2823">
        <v>87.963165031342996</v>
      </c>
      <c r="AM2823">
        <v>90.871494935732201</v>
      </c>
      <c r="AN2823">
        <v>1.00000001978199</v>
      </c>
    </row>
    <row r="2824" spans="1:40" x14ac:dyDescent="0.3">
      <c r="A2824" t="str">
        <f>"20200111160507781"</f>
        <v>20200111160507781</v>
      </c>
      <c r="B2824" t="str">
        <f>"1578729907773796"</f>
        <v>1578729907773796</v>
      </c>
      <c r="C2824" t="s">
        <v>40</v>
      </c>
      <c r="D2824">
        <v>5.6783199999999896</v>
      </c>
      <c r="E2824">
        <v>0.54135169999999999</v>
      </c>
      <c r="F2824" t="s">
        <v>42</v>
      </c>
      <c r="G2824">
        <v>-399.03960000000001</v>
      </c>
      <c r="H2824">
        <v>1.024602</v>
      </c>
      <c r="I2824">
        <v>213.8724</v>
      </c>
      <c r="J2824">
        <v>-399.45269999999999</v>
      </c>
      <c r="K2824">
        <v>1.111103</v>
      </c>
      <c r="L2824">
        <v>213.9306</v>
      </c>
      <c r="M2824">
        <v>0.99931720000000002</v>
      </c>
      <c r="N2824">
        <v>0</v>
      </c>
      <c r="O2824">
        <v>3.3950460000000002E-2</v>
      </c>
      <c r="P2824">
        <v>0.99859109999999995</v>
      </c>
      <c r="Q2824">
        <v>2.1198950000000001E-2</v>
      </c>
      <c r="R2824">
        <v>4.8647030000000001E-2</v>
      </c>
      <c r="S2824">
        <v>3.0185849999999999</v>
      </c>
      <c r="T2824">
        <v>-0.317841599999999</v>
      </c>
      <c r="U2824">
        <v>-0.1602478</v>
      </c>
      <c r="V2824">
        <v>-1.4786560000000001E-2</v>
      </c>
      <c r="W2824">
        <v>3.5744499999999998E-2</v>
      </c>
      <c r="X2824">
        <v>0.99925149999999996</v>
      </c>
      <c r="Y2824">
        <v>8.6225380000000004E-2</v>
      </c>
      <c r="Z2824">
        <v>-8.0870059999999903E-3</v>
      </c>
      <c r="AA2824">
        <v>0.99624279999999998</v>
      </c>
      <c r="AB2824">
        <v>39</v>
      </c>
      <c r="AC2824">
        <v>0.41309999999998498</v>
      </c>
      <c r="AD2824">
        <v>-8.6501000000000106E-2</v>
      </c>
      <c r="AE2824">
        <v>-5.8199999999999301E-2</v>
      </c>
      <c r="AF2824">
        <v>6.9217030805803603E-2</v>
      </c>
      <c r="AG2824">
        <v>-8.6501000000000106E-2</v>
      </c>
      <c r="AH2824">
        <v>0.39394870699186402</v>
      </c>
      <c r="AI2824">
        <v>102.202951168791</v>
      </c>
      <c r="AJ2824">
        <v>80.034809576890297</v>
      </c>
      <c r="AK2824">
        <v>0.409229769316863</v>
      </c>
      <c r="AL2824">
        <v>87.951554513961199</v>
      </c>
      <c r="AM2824">
        <v>90.847780215448097</v>
      </c>
      <c r="AN2824">
        <v>0.99999993594456404</v>
      </c>
    </row>
    <row r="2825" spans="1:40" x14ac:dyDescent="0.3">
      <c r="A2825" t="str">
        <f>"20200111160507803"</f>
        <v>20200111160507803</v>
      </c>
      <c r="B2825" t="str">
        <f>"1578729907794292"</f>
        <v>1578729907794292</v>
      </c>
      <c r="C2825" t="s">
        <v>40</v>
      </c>
      <c r="D2825">
        <v>5.6424899999999996</v>
      </c>
      <c r="E2825">
        <v>0.54155189999999997</v>
      </c>
      <c r="F2825" t="s">
        <v>42</v>
      </c>
      <c r="G2825">
        <v>-398.68779999999998</v>
      </c>
      <c r="H2825">
        <v>1.030594</v>
      </c>
      <c r="I2825">
        <v>213.8897</v>
      </c>
      <c r="J2825">
        <v>-399.08069999999998</v>
      </c>
      <c r="K2825">
        <v>1.1110949999999999</v>
      </c>
      <c r="L2825">
        <v>213.94390000000001</v>
      </c>
      <c r="M2825">
        <v>0.99929080000000003</v>
      </c>
      <c r="N2825">
        <v>0</v>
      </c>
      <c r="O2825">
        <v>3.4695950000000003E-2</v>
      </c>
      <c r="P2825">
        <v>0.99859540000000002</v>
      </c>
      <c r="Q2825">
        <v>2.1039309999999999E-2</v>
      </c>
      <c r="R2825">
        <v>4.863137E-2</v>
      </c>
      <c r="S2825">
        <v>3.0188290000000002</v>
      </c>
      <c r="T2825">
        <v>-0.31777719999999998</v>
      </c>
      <c r="U2825">
        <v>-0.161514299999999</v>
      </c>
      <c r="V2825">
        <v>-1.4023290000000001E-2</v>
      </c>
      <c r="W2825">
        <v>3.5643479999999998E-2</v>
      </c>
      <c r="X2825">
        <v>0.99926610000000005</v>
      </c>
      <c r="Y2825">
        <v>8.7371019999999994E-2</v>
      </c>
      <c r="Z2825">
        <v>-8.2229469999999995E-3</v>
      </c>
      <c r="AA2825">
        <v>0.99614190000000002</v>
      </c>
      <c r="AB2825">
        <v>39</v>
      </c>
      <c r="AC2825">
        <v>0.39289999999999697</v>
      </c>
      <c r="AD2825">
        <v>-8.05010000000001E-2</v>
      </c>
      <c r="AE2825">
        <v>-5.4200000000008602E-2</v>
      </c>
      <c r="AF2825">
        <v>6.51182673290088E-2</v>
      </c>
      <c r="AG2825">
        <v>-8.05010000000001E-2</v>
      </c>
      <c r="AH2825">
        <v>0.37532106416615502</v>
      </c>
      <c r="AI2825">
        <v>101.93266433991</v>
      </c>
      <c r="AJ2825">
        <v>80.157156242791501</v>
      </c>
      <c r="AK2825">
        <v>0.38934136814336501</v>
      </c>
      <c r="AL2825">
        <v>87.957346201202895</v>
      </c>
      <c r="AM2825">
        <v>90.804012657095797</v>
      </c>
      <c r="AN2825">
        <v>0.99999992446906905</v>
      </c>
    </row>
    <row r="2826" spans="1:40" x14ac:dyDescent="0.3">
      <c r="A2826" t="str">
        <f>"20200111160507825"</f>
        <v>20200111160507825</v>
      </c>
      <c r="B2826" t="str">
        <f>"1578729907813815"</f>
        <v>1578729907813815</v>
      </c>
      <c r="C2826" t="s">
        <v>40</v>
      </c>
      <c r="D2826">
        <v>5.6174770000000001</v>
      </c>
      <c r="E2826">
        <v>0.5416976</v>
      </c>
      <c r="F2826" t="s">
        <v>42</v>
      </c>
      <c r="G2826">
        <v>-398.33839999999998</v>
      </c>
      <c r="H2826">
        <v>1.032645</v>
      </c>
      <c r="I2826">
        <v>213.90369999999999</v>
      </c>
      <c r="J2826">
        <v>-398.69319999999999</v>
      </c>
      <c r="K2826">
        <v>1.1110799999999901</v>
      </c>
      <c r="L2826">
        <v>213.9581</v>
      </c>
      <c r="M2826">
        <v>0.99926349999999997</v>
      </c>
      <c r="N2826">
        <v>0</v>
      </c>
      <c r="O2826">
        <v>3.5449620000000001E-2</v>
      </c>
      <c r="P2826">
        <v>0.99855329999999998</v>
      </c>
      <c r="Q2826">
        <v>2.095491E-2</v>
      </c>
      <c r="R2826">
        <v>4.9520399999999999E-2</v>
      </c>
      <c r="S2826">
        <v>3.0188899999999999</v>
      </c>
      <c r="T2826">
        <v>-0.31922460000000003</v>
      </c>
      <c r="U2826">
        <v>-0.16297909999999999</v>
      </c>
      <c r="V2826">
        <v>-1.4157680000000001E-2</v>
      </c>
      <c r="W2826">
        <v>3.560965E-2</v>
      </c>
      <c r="X2826">
        <v>0.99926550000000003</v>
      </c>
      <c r="Y2826">
        <v>8.8586139999999994E-2</v>
      </c>
      <c r="Z2826">
        <v>-8.4033790000000008E-3</v>
      </c>
      <c r="AA2826">
        <v>0.9960331</v>
      </c>
      <c r="AB2826">
        <v>39</v>
      </c>
      <c r="AC2826">
        <v>0.354800000000011</v>
      </c>
      <c r="AD2826">
        <v>-7.8434999999999797E-2</v>
      </c>
      <c r="AE2826">
        <v>-5.4400000000015297E-2</v>
      </c>
      <c r="AF2826">
        <v>6.3893838858937194E-2</v>
      </c>
      <c r="AG2826">
        <v>-7.8434999999999797E-2</v>
      </c>
      <c r="AH2826">
        <v>0.33657717798815201</v>
      </c>
      <c r="AI2826">
        <v>102.895526070161</v>
      </c>
      <c r="AJ2826">
        <v>79.251205204433305</v>
      </c>
      <c r="AK2826">
        <v>0.35145222806463999</v>
      </c>
      <c r="AL2826">
        <v>87.959285930169699</v>
      </c>
      <c r="AM2826">
        <v>90.811717247547406</v>
      </c>
      <c r="AN2826">
        <v>1.0000000132831699</v>
      </c>
    </row>
    <row r="2827" spans="1:40" x14ac:dyDescent="0.3">
      <c r="A2827" t="str">
        <f>"20200111160507846"</f>
        <v>20200111160507846</v>
      </c>
      <c r="B2827" t="str">
        <f>"1578729907844068"</f>
        <v>1578729907844068</v>
      </c>
      <c r="C2827" t="s">
        <v>40</v>
      </c>
      <c r="D2827">
        <v>5.5759220000000003</v>
      </c>
      <c r="E2827">
        <v>0.54193970000000002</v>
      </c>
      <c r="F2827" t="s">
        <v>42</v>
      </c>
      <c r="G2827">
        <v>-397.65699999999998</v>
      </c>
      <c r="H2827">
        <v>1.001288</v>
      </c>
      <c r="I2827">
        <v>213.90260000000001</v>
      </c>
      <c r="J2827">
        <v>-398.32960000000003</v>
      </c>
      <c r="K2827">
        <v>1.111065</v>
      </c>
      <c r="L2827">
        <v>213.9717</v>
      </c>
      <c r="M2827">
        <v>0.99923859999999998</v>
      </c>
      <c r="N2827">
        <v>0</v>
      </c>
      <c r="O2827">
        <v>3.6133129999999999E-2</v>
      </c>
      <c r="P2827">
        <v>0.99851780000000001</v>
      </c>
      <c r="Q2827">
        <v>2.0358370000000001E-2</v>
      </c>
      <c r="R2827">
        <v>5.0475529999999998E-2</v>
      </c>
      <c r="S2827">
        <v>3.0190730000000001</v>
      </c>
      <c r="T2827">
        <v>-0.31992510000000002</v>
      </c>
      <c r="U2827">
        <v>-0.16160579999999999</v>
      </c>
      <c r="V2827">
        <v>-1.4426700000000001E-2</v>
      </c>
      <c r="W2827">
        <v>3.5054000000000002E-2</v>
      </c>
      <c r="X2827">
        <v>0.99928130000000004</v>
      </c>
      <c r="Y2827">
        <v>8.8804419999999995E-2</v>
      </c>
      <c r="Z2827">
        <v>-8.505014E-3</v>
      </c>
      <c r="AA2827">
        <v>0.99601269999999997</v>
      </c>
      <c r="AB2827">
        <v>39</v>
      </c>
      <c r="AC2827">
        <v>0.67260000000004505</v>
      </c>
      <c r="AD2827">
        <v>-0.109777</v>
      </c>
      <c r="AE2827">
        <v>-6.9099999999991696E-2</v>
      </c>
      <c r="AF2827">
        <v>9.0962841354978397E-2</v>
      </c>
      <c r="AG2827">
        <v>-0.109777</v>
      </c>
      <c r="AH2827">
        <v>0.65246450274810897</v>
      </c>
      <c r="AI2827">
        <v>99.460732058236502</v>
      </c>
      <c r="AJ2827">
        <v>82.063308786372303</v>
      </c>
      <c r="AK2827">
        <v>0.66785863443000304</v>
      </c>
      <c r="AL2827">
        <v>87.991142222524502</v>
      </c>
      <c r="AM2827">
        <v>90.827126056560104</v>
      </c>
      <c r="AN2827">
        <v>1.00000001455929</v>
      </c>
    </row>
    <row r="2828" spans="1:40" x14ac:dyDescent="0.3">
      <c r="A2828" t="str">
        <f>"20200111160507869"</f>
        <v>20200111160507869</v>
      </c>
      <c r="B2828" t="str">
        <f>"1578729907863588"</f>
        <v>1578729907863588</v>
      </c>
      <c r="C2828" t="s">
        <v>40</v>
      </c>
      <c r="D2828">
        <v>5.5830460000000004</v>
      </c>
      <c r="E2828">
        <v>0.54221119999999901</v>
      </c>
      <c r="F2828" t="s">
        <v>42</v>
      </c>
      <c r="G2828">
        <v>-397.30930000000001</v>
      </c>
      <c r="H2828">
        <v>1.0021450000000001</v>
      </c>
      <c r="I2828">
        <v>213.9171</v>
      </c>
      <c r="J2828">
        <v>-397.93209999999999</v>
      </c>
      <c r="K2828">
        <v>1.1110469999999999</v>
      </c>
      <c r="L2828">
        <v>213.98670000000001</v>
      </c>
      <c r="M2828">
        <v>0.99921139999999997</v>
      </c>
      <c r="N2828">
        <v>0</v>
      </c>
      <c r="O2828">
        <v>3.6856420000000001E-2</v>
      </c>
      <c r="P2828">
        <v>0.99848380000000003</v>
      </c>
      <c r="Q2828">
        <v>1.9584310000000001E-2</v>
      </c>
      <c r="R2828">
        <v>5.1445280000000003E-2</v>
      </c>
      <c r="S2828">
        <v>3.0191650000000001</v>
      </c>
      <c r="T2828">
        <v>-0.3224611</v>
      </c>
      <c r="U2828">
        <v>-0.16053770000000001</v>
      </c>
      <c r="V2828">
        <v>-1.466961E-2</v>
      </c>
      <c r="W2828">
        <v>3.4317729999999998E-2</v>
      </c>
      <c r="X2828">
        <v>0.99930330000000001</v>
      </c>
      <c r="Y2828">
        <v>8.915526E-2</v>
      </c>
      <c r="Z2828">
        <v>-8.6675269999999995E-3</v>
      </c>
      <c r="AA2828">
        <v>0.99597999999999998</v>
      </c>
      <c r="AB2828">
        <v>39</v>
      </c>
      <c r="AC2828">
        <v>0.62279999999998303</v>
      </c>
      <c r="AD2828">
        <v>-0.108901999999999</v>
      </c>
      <c r="AE2828">
        <v>-6.9600000000008294E-2</v>
      </c>
      <c r="AF2828">
        <v>8.9797637262841706E-2</v>
      </c>
      <c r="AG2828">
        <v>-0.108901999999999</v>
      </c>
      <c r="AH2828">
        <v>0.60164261437418098</v>
      </c>
      <c r="AI2828">
        <v>100.149839057848</v>
      </c>
      <c r="AJ2828">
        <v>81.511034494736705</v>
      </c>
      <c r="AK2828">
        <v>0.61797823318705003</v>
      </c>
      <c r="AL2828">
        <v>88.033352747018895</v>
      </c>
      <c r="AM2828">
        <v>90.841032319389001</v>
      </c>
      <c r="AN2828">
        <v>0.99999999472039702</v>
      </c>
    </row>
    <row r="2829" spans="1:40" x14ac:dyDescent="0.3">
      <c r="A2829" t="str">
        <f>"20200111160507891"</f>
        <v>20200111160507891</v>
      </c>
      <c r="B2829" t="str">
        <f>"1578729907884084"</f>
        <v>1578729907884084</v>
      </c>
      <c r="C2829" t="s">
        <v>40</v>
      </c>
      <c r="D2829">
        <v>5.7489980000000003</v>
      </c>
      <c r="E2829">
        <v>0.54223900000000003</v>
      </c>
      <c r="F2829" t="s">
        <v>42</v>
      </c>
      <c r="G2829">
        <v>-396.96039999999999</v>
      </c>
      <c r="H2829">
        <v>1.0065470000000001</v>
      </c>
      <c r="I2829">
        <v>213.9349</v>
      </c>
      <c r="J2829">
        <v>-397.53500000000003</v>
      </c>
      <c r="K2829">
        <v>1.1110260000000001</v>
      </c>
      <c r="L2829">
        <v>214.00210000000001</v>
      </c>
      <c r="M2829">
        <v>0.99918510000000005</v>
      </c>
      <c r="N2829">
        <v>0</v>
      </c>
      <c r="O2829">
        <v>3.755352E-2</v>
      </c>
      <c r="P2829">
        <v>0.99843660000000001</v>
      </c>
      <c r="Q2829">
        <v>1.940979E-2</v>
      </c>
      <c r="R2829">
        <v>5.2421620000000002E-2</v>
      </c>
      <c r="S2829">
        <v>3.0191650000000001</v>
      </c>
      <c r="T2829">
        <v>-0.32476749999999999</v>
      </c>
      <c r="U2829">
        <v>-0.15986629999999999</v>
      </c>
      <c r="V2829">
        <v>-1.4947480000000001E-2</v>
      </c>
      <c r="W2829">
        <v>3.417477E-2</v>
      </c>
      <c r="X2829">
        <v>0.99930410000000003</v>
      </c>
      <c r="Y2829">
        <v>8.9612360000000002E-2</v>
      </c>
      <c r="Z2829">
        <v>-8.8284369999999997E-3</v>
      </c>
      <c r="AA2829">
        <v>0.99593759999999998</v>
      </c>
      <c r="AB2829">
        <v>39</v>
      </c>
      <c r="AC2829">
        <v>0.57460000000003197</v>
      </c>
      <c r="AD2829">
        <v>-0.104479</v>
      </c>
      <c r="AE2829">
        <v>-6.7200000000013901E-2</v>
      </c>
      <c r="AF2829">
        <v>8.5930516735406998E-2</v>
      </c>
      <c r="AG2829">
        <v>-0.104479</v>
      </c>
      <c r="AH2829">
        <v>0.55361420067301903</v>
      </c>
      <c r="AI2829">
        <v>100.56366229311701</v>
      </c>
      <c r="AJ2829">
        <v>81.177107600946002</v>
      </c>
      <c r="AK2829">
        <v>0.569902270862505</v>
      </c>
      <c r="AL2829">
        <v>88.041548595312193</v>
      </c>
      <c r="AM2829">
        <v>90.856960013480901</v>
      </c>
      <c r="AN2829">
        <v>1.0000000131698501</v>
      </c>
    </row>
    <row r="2830" spans="1:40" x14ac:dyDescent="0.3">
      <c r="A2830" t="str">
        <f>"20200111160507916"</f>
        <v>20200111160507916</v>
      </c>
      <c r="B2830" t="str">
        <f>"1578729907903604"</f>
        <v>1578729907903604</v>
      </c>
      <c r="C2830" t="s">
        <v>40</v>
      </c>
      <c r="D2830">
        <v>5.6090039999999997</v>
      </c>
      <c r="E2830">
        <v>0.54238509999999995</v>
      </c>
      <c r="F2830" t="s">
        <v>42</v>
      </c>
      <c r="G2830">
        <v>-396.61169999999998</v>
      </c>
      <c r="H2830">
        <v>1.011339</v>
      </c>
      <c r="I2830">
        <v>213.95359999999999</v>
      </c>
      <c r="J2830">
        <v>-397.11779999999999</v>
      </c>
      <c r="K2830">
        <v>1.111008</v>
      </c>
      <c r="L2830">
        <v>214.01840000000001</v>
      </c>
      <c r="M2830">
        <v>0.99915799999999999</v>
      </c>
      <c r="N2830">
        <v>0</v>
      </c>
      <c r="O2830">
        <v>3.8256150000000003E-2</v>
      </c>
      <c r="P2830">
        <v>0.99840180000000001</v>
      </c>
      <c r="Q2830">
        <v>1.8801680000000001E-2</v>
      </c>
      <c r="R2830">
        <v>5.32971E-2</v>
      </c>
      <c r="S2830">
        <v>3.0192260000000002</v>
      </c>
      <c r="T2830">
        <v>-0.32614779999999999</v>
      </c>
      <c r="U2830">
        <v>-0.15699769999999999</v>
      </c>
      <c r="V2830">
        <v>-1.511789E-2</v>
      </c>
      <c r="W2830">
        <v>3.3594789999999999E-2</v>
      </c>
      <c r="X2830">
        <v>0.99932120000000002</v>
      </c>
      <c r="Y2830">
        <v>8.9359129999999995E-2</v>
      </c>
      <c r="Z2830">
        <v>-8.9277739999999994E-3</v>
      </c>
      <c r="AA2830">
        <v>0.9959595</v>
      </c>
      <c r="AB2830">
        <v>39</v>
      </c>
      <c r="AC2830">
        <v>0.50610000000000299</v>
      </c>
      <c r="AD2830">
        <v>-9.9668999999999994E-2</v>
      </c>
      <c r="AE2830">
        <v>-6.4800000000019495E-2</v>
      </c>
      <c r="AF2830">
        <v>8.1024390652292E-2</v>
      </c>
      <c r="AG2830">
        <v>-9.9668999999999994E-2</v>
      </c>
      <c r="AH2830">
        <v>0.48475296335901003</v>
      </c>
      <c r="AI2830">
        <v>101.463805802327</v>
      </c>
      <c r="AJ2830">
        <v>80.510973094498993</v>
      </c>
      <c r="AK2830">
        <v>0.50148210030560203</v>
      </c>
      <c r="AL2830">
        <v>88.0747980903338</v>
      </c>
      <c r="AM2830">
        <v>90.866713547179799</v>
      </c>
      <c r="AN2830">
        <v>1.0000000106413101</v>
      </c>
    </row>
    <row r="2831" spans="1:40" x14ac:dyDescent="0.3">
      <c r="A2831" t="str">
        <f>"20200111160507937"</f>
        <v>20200111160507937</v>
      </c>
      <c r="B2831" t="str">
        <f>"1578729907933860"</f>
        <v>1578729907933860</v>
      </c>
      <c r="C2831" t="s">
        <v>40</v>
      </c>
      <c r="D2831">
        <v>5.580972</v>
      </c>
      <c r="E2831">
        <v>0.54238629999999999</v>
      </c>
      <c r="F2831" t="s">
        <v>42</v>
      </c>
      <c r="G2831">
        <v>-396.26249999999999</v>
      </c>
      <c r="H2831">
        <v>1.018141</v>
      </c>
      <c r="I2831">
        <v>213.9742</v>
      </c>
      <c r="J2831">
        <v>-396.7561</v>
      </c>
      <c r="K2831">
        <v>1.1109899999999999</v>
      </c>
      <c r="L2831">
        <v>214.03290000000001</v>
      </c>
      <c r="M2831">
        <v>0.99913529999999995</v>
      </c>
      <c r="N2831">
        <v>0</v>
      </c>
      <c r="O2831">
        <v>3.8839609999999997E-2</v>
      </c>
      <c r="P2831">
        <v>0.9983689</v>
      </c>
      <c r="Q2831">
        <v>1.8879690000000001E-2</v>
      </c>
      <c r="R2831">
        <v>5.3882340000000001E-2</v>
      </c>
      <c r="S2831">
        <v>3.0193180000000002</v>
      </c>
      <c r="T2831">
        <v>-0.32790059999999999</v>
      </c>
      <c r="U2831">
        <v>-0.15580749999999999</v>
      </c>
      <c r="V2831">
        <v>-1.5118319999999999E-2</v>
      </c>
      <c r="W2831">
        <v>3.3693439999999998E-2</v>
      </c>
      <c r="X2831">
        <v>0.99931789999999998</v>
      </c>
      <c r="Y2831">
        <v>8.9535219999999999E-2</v>
      </c>
      <c r="Z2831">
        <v>-9.0479540000000004E-3</v>
      </c>
      <c r="AA2831">
        <v>0.99594249999999995</v>
      </c>
      <c r="AB2831">
        <v>39</v>
      </c>
      <c r="AC2831">
        <v>0.49360000000001403</v>
      </c>
      <c r="AD2831">
        <v>-9.2848999999999904E-2</v>
      </c>
      <c r="AE2831">
        <v>-5.8700000000015899E-2</v>
      </c>
      <c r="AF2831">
        <v>7.52051089130851E-2</v>
      </c>
      <c r="AG2831">
        <v>-9.2848999999999904E-2</v>
      </c>
      <c r="AH2831">
        <v>0.47439551962730497</v>
      </c>
      <c r="AI2831">
        <v>100.94071478824</v>
      </c>
      <c r="AJ2831">
        <v>80.991960083215602</v>
      </c>
      <c r="AK2831">
        <v>0.48921146169125002</v>
      </c>
      <c r="AL2831">
        <v>88.069142713649697</v>
      </c>
      <c r="AM2831">
        <v>90.866741057210604</v>
      </c>
      <c r="AN2831">
        <v>1.00000003837953</v>
      </c>
    </row>
    <row r="2832" spans="1:40" x14ac:dyDescent="0.3">
      <c r="A2832" t="str">
        <f>"20200111160507960"</f>
        <v>20200111160507960</v>
      </c>
      <c r="B2832" t="str">
        <f>"1578729907954357"</f>
        <v>1578729907954357</v>
      </c>
      <c r="C2832" t="s">
        <v>40</v>
      </c>
      <c r="D2832">
        <v>5.5802969999999998</v>
      </c>
      <c r="E2832">
        <v>0.54236859999999998</v>
      </c>
      <c r="F2832" t="s">
        <v>42</v>
      </c>
      <c r="G2832">
        <v>-395.91609999999997</v>
      </c>
      <c r="H2832">
        <v>1.0196449999999999</v>
      </c>
      <c r="I2832">
        <v>213.9896</v>
      </c>
      <c r="J2832">
        <v>-396.37</v>
      </c>
      <c r="K2832">
        <v>1.110965</v>
      </c>
      <c r="L2832">
        <v>214.04839999999999</v>
      </c>
      <c r="M2832">
        <v>0.99911170000000005</v>
      </c>
      <c r="N2832">
        <v>0</v>
      </c>
      <c r="O2832">
        <v>3.9436079999999998E-2</v>
      </c>
      <c r="P2832">
        <v>0.99835439999999998</v>
      </c>
      <c r="Q2832">
        <v>1.8042619999999999E-2</v>
      </c>
      <c r="R2832">
        <v>5.4433429999999998E-2</v>
      </c>
      <c r="S2832">
        <v>3.0194399999999999</v>
      </c>
      <c r="T2832">
        <v>-0.32854559999999999</v>
      </c>
      <c r="U2832">
        <v>-0.1540222</v>
      </c>
      <c r="V2832">
        <v>-1.5068689999999999E-2</v>
      </c>
      <c r="W2832">
        <v>3.2875639999999998E-2</v>
      </c>
      <c r="X2832">
        <v>0.99934579999999995</v>
      </c>
      <c r="Y2832">
        <v>8.9533970000000004E-2</v>
      </c>
      <c r="Z2832">
        <v>-9.1300140000000005E-3</v>
      </c>
      <c r="AA2832">
        <v>0.99594190000000005</v>
      </c>
      <c r="AB2832">
        <v>39</v>
      </c>
      <c r="AC2832">
        <v>0.453900000000032</v>
      </c>
      <c r="AD2832">
        <v>-9.1319999999999804E-2</v>
      </c>
      <c r="AE2832">
        <v>-5.8799999999990797E-2</v>
      </c>
      <c r="AF2832">
        <v>7.37214659876195E-2</v>
      </c>
      <c r="AG2832">
        <v>-9.1319999999999804E-2</v>
      </c>
      <c r="AH2832">
        <v>0.43395242317001997</v>
      </c>
      <c r="AI2832">
        <v>101.720616748016</v>
      </c>
      <c r="AJ2832">
        <v>80.358428226397507</v>
      </c>
      <c r="AK2832">
        <v>0.449542992963405</v>
      </c>
      <c r="AL2832">
        <v>88.116025012934202</v>
      </c>
      <c r="AM2832">
        <v>90.863872060899695</v>
      </c>
      <c r="AN2832">
        <v>0.99999995055068103</v>
      </c>
    </row>
    <row r="2833" spans="1:40" x14ac:dyDescent="0.3">
      <c r="A2833" t="str">
        <f>"20200111160507982"</f>
        <v>20200111160507982</v>
      </c>
      <c r="B2833" t="str">
        <f>"1578729907973878"</f>
        <v>1578729907973878</v>
      </c>
      <c r="C2833" t="s">
        <v>40</v>
      </c>
      <c r="D2833">
        <v>5.6442759999999996</v>
      </c>
      <c r="E2833">
        <v>0.54247599999999996</v>
      </c>
      <c r="F2833" t="s">
        <v>42</v>
      </c>
      <c r="G2833">
        <v>-395.56920000000002</v>
      </c>
      <c r="H2833">
        <v>1.023104</v>
      </c>
      <c r="I2833">
        <v>214.00790000000001</v>
      </c>
      <c r="J2833">
        <v>-395.97899999999998</v>
      </c>
      <c r="K2833">
        <v>1.110938</v>
      </c>
      <c r="L2833">
        <v>214.06440000000001</v>
      </c>
      <c r="M2833">
        <v>0.99908850000000005</v>
      </c>
      <c r="N2833">
        <v>0</v>
      </c>
      <c r="O2833">
        <v>4.001184E-2</v>
      </c>
      <c r="P2833">
        <v>0.99833669999999997</v>
      </c>
      <c r="Q2833">
        <v>1.6837209999999998E-2</v>
      </c>
      <c r="R2833">
        <v>5.5141349999999999E-2</v>
      </c>
      <c r="S2833">
        <v>3.0192260000000002</v>
      </c>
      <c r="T2833">
        <v>-0.33134760000000002</v>
      </c>
      <c r="U2833">
        <v>-0.1524963</v>
      </c>
      <c r="V2833">
        <v>-1.519651E-2</v>
      </c>
      <c r="W2833">
        <v>3.1686550000000001E-2</v>
      </c>
      <c r="X2833">
        <v>0.99938229999999995</v>
      </c>
      <c r="Y2833">
        <v>8.9592530000000004E-2</v>
      </c>
      <c r="Z2833">
        <v>-9.2743319999999997E-3</v>
      </c>
      <c r="AA2833">
        <v>0.99593529999999997</v>
      </c>
      <c r="AB2833">
        <v>39</v>
      </c>
      <c r="AC2833">
        <v>0.40980000000001798</v>
      </c>
      <c r="AD2833">
        <v>-8.7833999999999898E-2</v>
      </c>
      <c r="AE2833">
        <v>-5.6499999999999703E-2</v>
      </c>
      <c r="AF2833">
        <v>6.9710710424210606E-2</v>
      </c>
      <c r="AG2833">
        <v>-8.7833999999999898E-2</v>
      </c>
      <c r="AH2833">
        <v>0.38964485960399398</v>
      </c>
      <c r="AI2833">
        <v>102.511069250009</v>
      </c>
      <c r="AJ2833">
        <v>79.856623014648406</v>
      </c>
      <c r="AK2833">
        <v>0.40545962970395</v>
      </c>
      <c r="AL2833">
        <v>88.184190431632004</v>
      </c>
      <c r="AM2833">
        <v>90.871166908153498</v>
      </c>
      <c r="AN2833">
        <v>0.99999997646018601</v>
      </c>
    </row>
    <row r="2834" spans="1:40" x14ac:dyDescent="0.3">
      <c r="A2834" t="str">
        <f>"20200111160508005"</f>
        <v>20200111160508005</v>
      </c>
      <c r="B2834" t="str">
        <f>"1578729907994372"</f>
        <v>1578729907994372</v>
      </c>
      <c r="C2834" t="s">
        <v>40</v>
      </c>
      <c r="D2834">
        <v>5.6078049999999999</v>
      </c>
      <c r="E2834">
        <v>0.54255240000000005</v>
      </c>
      <c r="F2834" t="s">
        <v>42</v>
      </c>
      <c r="G2834">
        <v>-395.22250000000003</v>
      </c>
      <c r="H2834">
        <v>1.0270820000000001</v>
      </c>
      <c r="I2834">
        <v>214.02619999999999</v>
      </c>
      <c r="J2834">
        <v>-395.58800000000002</v>
      </c>
      <c r="K2834">
        <v>1.1109039999999999</v>
      </c>
      <c r="L2834">
        <v>214.0806</v>
      </c>
      <c r="M2834">
        <v>0.99906629999999996</v>
      </c>
      <c r="N2834">
        <v>0</v>
      </c>
      <c r="O2834">
        <v>4.0557379999999997E-2</v>
      </c>
      <c r="P2834">
        <v>0.99828600000000001</v>
      </c>
      <c r="Q2834">
        <v>1.6653879999999999E-2</v>
      </c>
      <c r="R2834">
        <v>5.6106099999999999E-2</v>
      </c>
      <c r="S2834">
        <v>3.019012</v>
      </c>
      <c r="T2834">
        <v>-0.33474969999999998</v>
      </c>
      <c r="U2834">
        <v>-0.151474</v>
      </c>
      <c r="V2834">
        <v>-1.561357E-2</v>
      </c>
      <c r="W2834">
        <v>3.151545E-2</v>
      </c>
      <c r="X2834">
        <v>0.99938130000000003</v>
      </c>
      <c r="Y2834">
        <v>8.9782879999999995E-2</v>
      </c>
      <c r="Z2834">
        <v>-9.4404899999999993E-3</v>
      </c>
      <c r="AA2834">
        <v>0.99591660000000004</v>
      </c>
      <c r="AB2834">
        <v>39</v>
      </c>
      <c r="AC2834">
        <v>0.36549999999999699</v>
      </c>
      <c r="AD2834">
        <v>-8.3821999999999994E-2</v>
      </c>
      <c r="AE2834">
        <v>-5.4400000000015297E-2</v>
      </c>
      <c r="AF2834">
        <v>6.5795123274352801E-2</v>
      </c>
      <c r="AG2834">
        <v>-8.3821999999999994E-2</v>
      </c>
      <c r="AH2834">
        <v>0.34522896374966899</v>
      </c>
      <c r="AI2834">
        <v>103.414889192193</v>
      </c>
      <c r="AJ2834">
        <v>79.209740451042094</v>
      </c>
      <c r="AK2834">
        <v>0.36130065505387299</v>
      </c>
      <c r="AL2834">
        <v>88.193998671770103</v>
      </c>
      <c r="AM2834">
        <v>90.895072670631293</v>
      </c>
      <c r="AN2834">
        <v>0.99999999497326797</v>
      </c>
    </row>
    <row r="2835" spans="1:40" x14ac:dyDescent="0.3">
      <c r="A2835" t="str">
        <f>"20200111160508026"</f>
        <v>20200111160508026</v>
      </c>
      <c r="B2835" t="str">
        <f>"1578729908023652"</f>
        <v>1578729908023652</v>
      </c>
      <c r="C2835" t="s">
        <v>40</v>
      </c>
      <c r="D2835">
        <v>5.557347</v>
      </c>
      <c r="E2835">
        <v>0.542678199999999</v>
      </c>
      <c r="F2835" t="s">
        <v>42</v>
      </c>
      <c r="G2835">
        <v>-394.54820000000001</v>
      </c>
      <c r="H2835">
        <v>0.99545510000000004</v>
      </c>
      <c r="I2835">
        <v>214.02889999999999</v>
      </c>
      <c r="J2835">
        <v>-395.21620000000001</v>
      </c>
      <c r="K2835">
        <v>1.1108789999999999</v>
      </c>
      <c r="L2835">
        <v>214.09620000000001</v>
      </c>
      <c r="M2835">
        <v>0.99904610000000005</v>
      </c>
      <c r="N2835">
        <v>0</v>
      </c>
      <c r="O2835">
        <v>4.1048550000000003E-2</v>
      </c>
      <c r="P2835">
        <v>0.99820540000000002</v>
      </c>
      <c r="Q2835">
        <v>1.7504019999999999E-2</v>
      </c>
      <c r="R2835">
        <v>5.7266419999999998E-2</v>
      </c>
      <c r="S2835">
        <v>3.0191349999999999</v>
      </c>
      <c r="T2835">
        <v>-0.33535409999999999</v>
      </c>
      <c r="U2835">
        <v>-0.14936830000000001</v>
      </c>
      <c r="V2835">
        <v>-1.6284090000000001E-2</v>
      </c>
      <c r="W2835">
        <v>3.2374739999999999E-2</v>
      </c>
      <c r="X2835">
        <v>0.99934319999999999</v>
      </c>
      <c r="Y2835">
        <v>8.9573029999999998E-2</v>
      </c>
      <c r="Z2835">
        <v>-9.4999439999999997E-3</v>
      </c>
      <c r="AA2835">
        <v>0.99593500000000001</v>
      </c>
      <c r="AB2835">
        <v>39</v>
      </c>
      <c r="AC2835">
        <v>0.66800000000000603</v>
      </c>
      <c r="AD2835">
        <v>-0.1154239</v>
      </c>
      <c r="AE2835">
        <v>-6.7300000000017193E-2</v>
      </c>
      <c r="AF2835">
        <v>9.1949048679812101E-2</v>
      </c>
      <c r="AG2835">
        <v>-0.1154239</v>
      </c>
      <c r="AH2835">
        <v>0.64559254180362002</v>
      </c>
      <c r="AI2835">
        <v>100.037466506062</v>
      </c>
      <c r="AJ2835">
        <v>81.894117693804105</v>
      </c>
      <c r="AK2835">
        <v>0.662243938648585</v>
      </c>
      <c r="AL2835">
        <v>88.1447399661172</v>
      </c>
      <c r="AM2835">
        <v>90.933540214924193</v>
      </c>
      <c r="AN2835">
        <v>1.0000000633817101</v>
      </c>
    </row>
    <row r="2836" spans="1:40" x14ac:dyDescent="0.3">
      <c r="A2836" t="str">
        <f>"20200111160508048"</f>
        <v>20200111160508048</v>
      </c>
      <c r="B2836" t="str">
        <f>"1578729908044148"</f>
        <v>1578729908044148</v>
      </c>
      <c r="C2836" t="s">
        <v>40</v>
      </c>
      <c r="D2836">
        <v>5.6665409999999996</v>
      </c>
      <c r="E2836">
        <v>0.54276409999999997</v>
      </c>
      <c r="F2836" t="s">
        <v>42</v>
      </c>
      <c r="G2836">
        <v>-394.20269999999999</v>
      </c>
      <c r="H2836">
        <v>0.99932100000000001</v>
      </c>
      <c r="I2836">
        <v>214.04660000000001</v>
      </c>
      <c r="J2836">
        <v>-394.84780000000001</v>
      </c>
      <c r="K2836">
        <v>1.1108629999999999</v>
      </c>
      <c r="L2836">
        <v>214.11179999999999</v>
      </c>
      <c r="M2836">
        <v>0.99902670000000005</v>
      </c>
      <c r="N2836">
        <v>0</v>
      </c>
      <c r="O2836">
        <v>4.1514500000000003E-2</v>
      </c>
      <c r="P2836">
        <v>0.99812909999999999</v>
      </c>
      <c r="Q2836">
        <v>1.7839250000000001E-2</v>
      </c>
      <c r="R2836">
        <v>5.8482520000000003E-2</v>
      </c>
      <c r="S2836">
        <v>3.019714</v>
      </c>
      <c r="T2836">
        <v>-0.33244629999999997</v>
      </c>
      <c r="U2836">
        <v>-0.14729310000000001</v>
      </c>
      <c r="V2836">
        <v>-1.7034420000000002E-2</v>
      </c>
      <c r="W2836">
        <v>3.271694E-2</v>
      </c>
      <c r="X2836">
        <v>0.99931950000000003</v>
      </c>
      <c r="Y2836">
        <v>8.9357859999999997E-2</v>
      </c>
      <c r="Z2836">
        <v>-9.4557259999999994E-3</v>
      </c>
      <c r="AA2836">
        <v>0.99595469999999997</v>
      </c>
      <c r="AB2836">
        <v>39</v>
      </c>
      <c r="AC2836">
        <v>0.645100000000013</v>
      </c>
      <c r="AD2836">
        <v>-0.111542</v>
      </c>
      <c r="AE2836">
        <v>-6.5199999999975902E-2</v>
      </c>
      <c r="AF2836">
        <v>8.9285413935676405E-2</v>
      </c>
      <c r="AG2836">
        <v>-0.111542</v>
      </c>
      <c r="AH2836">
        <v>0.62338792473181204</v>
      </c>
      <c r="AI2836">
        <v>100.044128922006</v>
      </c>
      <c r="AJ2836">
        <v>81.849182481864005</v>
      </c>
      <c r="AK2836">
        <v>0.63955141123063797</v>
      </c>
      <c r="AL2836">
        <v>88.125122871082596</v>
      </c>
      <c r="AM2836">
        <v>90.976570413998104</v>
      </c>
      <c r="AN2836">
        <v>1.00000001635397</v>
      </c>
    </row>
    <row r="2837" spans="1:40" x14ac:dyDescent="0.3">
      <c r="A2837" t="str">
        <f>"20200111160508070"</f>
        <v>20200111160508070</v>
      </c>
      <c r="B2837" t="str">
        <f>"1578729908064644"</f>
        <v>1578729908064644</v>
      </c>
      <c r="C2837" t="s">
        <v>40</v>
      </c>
      <c r="D2837">
        <v>5.609388</v>
      </c>
      <c r="E2837">
        <v>0.54287019999999997</v>
      </c>
      <c r="F2837" t="s">
        <v>42</v>
      </c>
      <c r="G2837">
        <v>-393.85789999999997</v>
      </c>
      <c r="H2837">
        <v>1.002424</v>
      </c>
      <c r="I2837">
        <v>214.0641</v>
      </c>
      <c r="J2837">
        <v>-394.4658</v>
      </c>
      <c r="K2837">
        <v>1.1108499999999999</v>
      </c>
      <c r="L2837">
        <v>214.12819999999999</v>
      </c>
      <c r="M2837">
        <v>0.99900730000000004</v>
      </c>
      <c r="N2837">
        <v>0</v>
      </c>
      <c r="O2837">
        <v>4.1976060000000003E-2</v>
      </c>
      <c r="P2837">
        <v>0.99807400000000002</v>
      </c>
      <c r="Q2837">
        <v>1.7528769999999999E-2</v>
      </c>
      <c r="R2837">
        <v>5.95078E-2</v>
      </c>
      <c r="S2837">
        <v>3.0200200000000001</v>
      </c>
      <c r="T2837">
        <v>-0.33097749999999998</v>
      </c>
      <c r="U2837">
        <v>-0.14419560000000001</v>
      </c>
      <c r="V2837">
        <v>-1.7596400000000002E-2</v>
      </c>
      <c r="W2837">
        <v>3.2412879999999998E-2</v>
      </c>
      <c r="X2837">
        <v>0.99931970000000003</v>
      </c>
      <c r="Y2837">
        <v>8.880159E-2</v>
      </c>
      <c r="Z2837">
        <v>-9.4334889999999998E-3</v>
      </c>
      <c r="AA2837">
        <v>0.99600460000000002</v>
      </c>
      <c r="AB2837">
        <v>38</v>
      </c>
      <c r="AC2837">
        <v>0.60790000000002897</v>
      </c>
      <c r="AD2837">
        <v>-0.108425999999999</v>
      </c>
      <c r="AE2837">
        <v>-6.4099999999996202E-2</v>
      </c>
      <c r="AF2837">
        <v>8.6831591457828095E-2</v>
      </c>
      <c r="AG2837">
        <v>-0.108425999999999</v>
      </c>
      <c r="AH2837">
        <v>0.58622859841965103</v>
      </c>
      <c r="AI2837">
        <v>100.36810896698699</v>
      </c>
      <c r="AJ2837">
        <v>81.574665405173803</v>
      </c>
      <c r="AK2837">
        <v>0.60246152769796602</v>
      </c>
      <c r="AL2837">
        <v>88.142553524433097</v>
      </c>
      <c r="AM2837">
        <v>91.008781548994506</v>
      </c>
      <c r="AN2837">
        <v>1.0000000454454701</v>
      </c>
    </row>
    <row r="2838" spans="1:40" x14ac:dyDescent="0.3">
      <c r="A2838" t="str">
        <f>"20200111160508092"</f>
        <v>20200111160508092</v>
      </c>
      <c r="B2838" t="str">
        <f>"1578729908084164"</f>
        <v>1578729908084164</v>
      </c>
      <c r="C2838" t="s">
        <v>40</v>
      </c>
      <c r="D2838">
        <v>5.5810890000000004</v>
      </c>
      <c r="E2838">
        <v>0.54294430000000005</v>
      </c>
      <c r="F2838" t="s">
        <v>42</v>
      </c>
      <c r="G2838">
        <v>-393.51319999999998</v>
      </c>
      <c r="H2838">
        <v>1.006197</v>
      </c>
      <c r="I2838">
        <v>214.08340000000001</v>
      </c>
      <c r="J2838">
        <v>-394.06470000000002</v>
      </c>
      <c r="K2838">
        <v>1.11083</v>
      </c>
      <c r="L2838">
        <v>214.1455</v>
      </c>
      <c r="M2838">
        <v>0.99898759999999998</v>
      </c>
      <c r="N2838">
        <v>0</v>
      </c>
      <c r="O2838">
        <v>4.2439020000000001E-2</v>
      </c>
      <c r="P2838">
        <v>0.99805639999999995</v>
      </c>
      <c r="Q2838">
        <v>1.7016219999999999E-2</v>
      </c>
      <c r="R2838">
        <v>5.9948120000000001E-2</v>
      </c>
      <c r="S2838">
        <v>3.0200499999999999</v>
      </c>
      <c r="T2838">
        <v>-0.33185829999999999</v>
      </c>
      <c r="U2838">
        <v>-0.14161679999999999</v>
      </c>
      <c r="V2838">
        <v>-1.7571429999999999E-2</v>
      </c>
      <c r="W2838">
        <v>3.190722E-2</v>
      </c>
      <c r="X2838">
        <v>0.99933640000000001</v>
      </c>
      <c r="Y2838">
        <v>8.8409479999999999E-2</v>
      </c>
      <c r="Z2838">
        <v>-9.4877390000000002E-3</v>
      </c>
      <c r="AA2838">
        <v>0.99603900000000001</v>
      </c>
      <c r="AB2838">
        <v>38</v>
      </c>
      <c r="AC2838">
        <v>0.55150000000003196</v>
      </c>
      <c r="AD2838">
        <v>-0.104632999999999</v>
      </c>
      <c r="AE2838">
        <v>-6.2099999999986701E-2</v>
      </c>
      <c r="AF2838">
        <v>8.2518666886878797E-2</v>
      </c>
      <c r="AG2838">
        <v>-0.104632999999999</v>
      </c>
      <c r="AH2838">
        <v>0.52954477200845795</v>
      </c>
      <c r="AI2838">
        <v>101.047139328938</v>
      </c>
      <c r="AJ2838">
        <v>81.142864231424596</v>
      </c>
      <c r="AK2838">
        <v>0.54605408215237905</v>
      </c>
      <c r="AL2838">
        <v>88.1715406788623</v>
      </c>
      <c r="AM2838">
        <v>91.007333512099194</v>
      </c>
      <c r="AN2838">
        <v>1.0000000331026599</v>
      </c>
    </row>
    <row r="2839" spans="1:40" x14ac:dyDescent="0.3">
      <c r="A2839" t="str">
        <f>"20200111160508116"</f>
        <v>20200111160508116</v>
      </c>
      <c r="B2839" t="str">
        <f>"1578729908114420"</f>
        <v>1578729908114420</v>
      </c>
      <c r="C2839" t="s">
        <v>40</v>
      </c>
      <c r="D2839">
        <v>5.6082919999999996</v>
      </c>
      <c r="E2839">
        <v>0.54301429999999995</v>
      </c>
      <c r="F2839" t="s">
        <v>42</v>
      </c>
      <c r="G2839">
        <v>-393.16789999999997</v>
      </c>
      <c r="H2839">
        <v>1.0119209999999901</v>
      </c>
      <c r="I2839">
        <v>214.10310000000001</v>
      </c>
      <c r="J2839">
        <v>-393.67469999999997</v>
      </c>
      <c r="K2839">
        <v>1.1108129999999901</v>
      </c>
      <c r="L2839">
        <v>214.16249999999999</v>
      </c>
      <c r="M2839">
        <v>0.99896929999999995</v>
      </c>
      <c r="N2839">
        <v>0</v>
      </c>
      <c r="O2839">
        <v>4.2870419999999999E-2</v>
      </c>
      <c r="P2839">
        <v>0.99806159999999999</v>
      </c>
      <c r="Q2839">
        <v>1.6369829999999998E-2</v>
      </c>
      <c r="R2839">
        <v>6.0047650000000001E-2</v>
      </c>
      <c r="S2839">
        <v>3.0200200000000001</v>
      </c>
      <c r="T2839">
        <v>-0.33327449999999997</v>
      </c>
      <c r="U2839">
        <v>-0.14114380000000001</v>
      </c>
      <c r="V2839">
        <v>-1.7236789999999998E-2</v>
      </c>
      <c r="W2839">
        <v>3.1265710000000002E-2</v>
      </c>
      <c r="X2839">
        <v>0.99936250000000004</v>
      </c>
      <c r="Y2839">
        <v>8.8673489999999994E-2</v>
      </c>
      <c r="Z2839">
        <v>-9.5900610000000004E-3</v>
      </c>
      <c r="AA2839">
        <v>0.99601459999999997</v>
      </c>
      <c r="AB2839">
        <v>38</v>
      </c>
      <c r="AC2839">
        <v>0.50679999999999803</v>
      </c>
      <c r="AD2839">
        <v>-9.8891999999999897E-2</v>
      </c>
      <c r="AE2839">
        <v>-5.93999999999823E-2</v>
      </c>
      <c r="AF2839">
        <v>7.8139612733066202E-2</v>
      </c>
      <c r="AG2839">
        <v>-9.8891999999999897E-2</v>
      </c>
      <c r="AH2839">
        <v>0.48554999976525398</v>
      </c>
      <c r="AI2839">
        <v>101.36957581434901</v>
      </c>
      <c r="AJ2839">
        <v>80.857769706659596</v>
      </c>
      <c r="AK2839">
        <v>0.50164153437899395</v>
      </c>
      <c r="AL2839">
        <v>88.208314835859099</v>
      </c>
      <c r="AM2839">
        <v>90.988127336045196</v>
      </c>
      <c r="AN2839">
        <v>1.0000000289787701</v>
      </c>
    </row>
    <row r="2840" spans="1:40" x14ac:dyDescent="0.3">
      <c r="A2840" t="str">
        <f>"20200111160508137"</f>
        <v>20200111160508137</v>
      </c>
      <c r="B2840" t="str">
        <f>"1578729908133942"</f>
        <v>1578729908133942</v>
      </c>
      <c r="C2840" t="s">
        <v>40</v>
      </c>
      <c r="D2840">
        <v>5.531377</v>
      </c>
      <c r="E2840">
        <v>0.54291499999999904</v>
      </c>
      <c r="F2840" t="s">
        <v>42</v>
      </c>
      <c r="G2840">
        <v>-392.82369999999997</v>
      </c>
      <c r="H2840">
        <v>1.0165329999999999</v>
      </c>
      <c r="I2840">
        <v>214.1225</v>
      </c>
      <c r="J2840">
        <v>-393.31229999999999</v>
      </c>
      <c r="K2840">
        <v>1.1107990000000001</v>
      </c>
      <c r="L2840">
        <v>214.17840000000001</v>
      </c>
      <c r="M2840">
        <v>0.99895259999999997</v>
      </c>
      <c r="N2840">
        <v>0</v>
      </c>
      <c r="O2840">
        <v>4.3256950000000002E-2</v>
      </c>
      <c r="P2840">
        <v>0.99806019999999895</v>
      </c>
      <c r="Q2840">
        <v>1.6290639999999999E-2</v>
      </c>
      <c r="R2840">
        <v>6.008894E-2</v>
      </c>
      <c r="S2840">
        <v>3.0198360000000002</v>
      </c>
      <c r="T2840">
        <v>-0.3345899</v>
      </c>
      <c r="U2840">
        <v>-0.14161679999999999</v>
      </c>
      <c r="V2840">
        <v>-1.688943E-2</v>
      </c>
      <c r="W2840">
        <v>3.11904E-2</v>
      </c>
      <c r="X2840">
        <v>0.9993708</v>
      </c>
      <c r="Y2840">
        <v>8.9205359999999997E-2</v>
      </c>
      <c r="Z2840">
        <v>-9.7002589999999993E-3</v>
      </c>
      <c r="AA2840">
        <v>0.99596600000000002</v>
      </c>
      <c r="AB2840">
        <v>38</v>
      </c>
      <c r="AC2840">
        <v>0.48860000000001902</v>
      </c>
      <c r="AD2840">
        <v>-9.4265999999999905E-2</v>
      </c>
      <c r="AE2840">
        <v>-5.59000000000082E-2</v>
      </c>
      <c r="AF2840">
        <v>7.4257055784799603E-2</v>
      </c>
      <c r="AG2840">
        <v>-9.4265999999999905E-2</v>
      </c>
      <c r="AH2840">
        <v>0.46851050236224701</v>
      </c>
      <c r="AI2840">
        <v>101.23956388225599</v>
      </c>
      <c r="AJ2840">
        <v>80.993762816232703</v>
      </c>
      <c r="AK2840">
        <v>0.48363444864231098</v>
      </c>
      <c r="AL2840">
        <v>88.212631914836606</v>
      </c>
      <c r="AM2840">
        <v>90.968210142690694</v>
      </c>
      <c r="AN2840">
        <v>1.00000004489526</v>
      </c>
    </row>
    <row r="2841" spans="1:40" x14ac:dyDescent="0.3">
      <c r="A2841" t="str">
        <f>"20200111160508160"</f>
        <v>20200111160508160</v>
      </c>
      <c r="B2841" t="str">
        <f>"1578729908154437"</f>
        <v>1578729908154437</v>
      </c>
      <c r="C2841" t="s">
        <v>40</v>
      </c>
      <c r="D2841">
        <v>5.4764650000000001</v>
      </c>
      <c r="E2841">
        <v>0.50433139999999999</v>
      </c>
      <c r="F2841" t="s">
        <v>42</v>
      </c>
      <c r="G2841">
        <v>-392.48070000000001</v>
      </c>
      <c r="H2841">
        <v>1.0189029999999999</v>
      </c>
      <c r="I2841">
        <v>214.13929999999999</v>
      </c>
      <c r="J2841">
        <v>-392.92189999999999</v>
      </c>
      <c r="K2841">
        <v>1.1107830000000001</v>
      </c>
      <c r="L2841">
        <v>214.19569999999999</v>
      </c>
      <c r="M2841">
        <v>0.99893500000000002</v>
      </c>
      <c r="N2841">
        <v>0</v>
      </c>
      <c r="O2841">
        <v>4.3659870000000003E-2</v>
      </c>
      <c r="P2841">
        <v>0.99806980000000001</v>
      </c>
      <c r="Q2841">
        <v>1.635383E-2</v>
      </c>
      <c r="R2841">
        <v>5.9915509999999998E-2</v>
      </c>
      <c r="S2841">
        <v>3.019806</v>
      </c>
      <c r="T2841">
        <v>-0.33376440000000002</v>
      </c>
      <c r="U2841">
        <v>-0.1411743</v>
      </c>
      <c r="V2841">
        <v>-1.631136E-2</v>
      </c>
      <c r="W2841">
        <v>3.1256649999999997E-2</v>
      </c>
      <c r="X2841">
        <v>0.99937830000000005</v>
      </c>
      <c r="Y2841">
        <v>8.9461860000000004E-2</v>
      </c>
      <c r="Z2841">
        <v>-9.7350909999999995E-3</v>
      </c>
      <c r="AA2841">
        <v>0.99594269999999996</v>
      </c>
      <c r="AB2841">
        <v>38</v>
      </c>
      <c r="AC2841">
        <v>0.44119999999998</v>
      </c>
      <c r="AD2841">
        <v>-9.1879999999999906E-2</v>
      </c>
      <c r="AE2841">
        <v>-5.6399999999996397E-2</v>
      </c>
      <c r="AF2841">
        <v>7.2516736305014096E-2</v>
      </c>
      <c r="AG2841">
        <v>-9.1879999999999906E-2</v>
      </c>
      <c r="AH2841">
        <v>0.420378594943777</v>
      </c>
      <c r="AI2841">
        <v>102.154894112024</v>
      </c>
      <c r="AJ2841">
        <v>80.212607239722701</v>
      </c>
      <c r="AK2841">
        <v>0.43636999728582998</v>
      </c>
      <c r="AL2841">
        <v>88.208834160044702</v>
      </c>
      <c r="AM2841">
        <v>90.935070445293704</v>
      </c>
      <c r="AN2841">
        <v>1.0000000125725801</v>
      </c>
    </row>
    <row r="2842" spans="1:40" x14ac:dyDescent="0.3">
      <c r="A2842" t="str">
        <f>"20200111160508182"</f>
        <v>20200111160508182</v>
      </c>
      <c r="B2842" t="str">
        <f>"1578729908173956"</f>
        <v>1578729908173956</v>
      </c>
      <c r="C2842" t="s">
        <v>40</v>
      </c>
      <c r="D2842">
        <v>5.4695039999999997</v>
      </c>
      <c r="E2842">
        <v>0.50254489999999996</v>
      </c>
      <c r="F2842" t="s">
        <v>57</v>
      </c>
      <c r="G2842">
        <v>-380.0224</v>
      </c>
      <c r="H2842" s="1">
        <v>-1.5369470000000001E-6</v>
      </c>
      <c r="I2842">
        <v>214.89240000000001</v>
      </c>
      <c r="J2842">
        <v>-392.541</v>
      </c>
      <c r="K2842">
        <v>1.110765</v>
      </c>
      <c r="L2842">
        <v>214.21279999999999</v>
      </c>
      <c r="M2842">
        <v>0.99891839999999998</v>
      </c>
      <c r="N2842">
        <v>0</v>
      </c>
      <c r="O2842">
        <v>4.4040709999999997E-2</v>
      </c>
      <c r="P2842">
        <v>0.99806799999999996</v>
      </c>
      <c r="Q2842">
        <v>1.639169E-2</v>
      </c>
      <c r="R2842">
        <v>5.9932140000000002E-2</v>
      </c>
      <c r="S2842">
        <v>3.000305</v>
      </c>
      <c r="T2842">
        <v>-0.25835829999999999</v>
      </c>
      <c r="U2842">
        <v>0.16203310000000001</v>
      </c>
      <c r="V2842">
        <v>-1.594535E-2</v>
      </c>
      <c r="W2842">
        <v>3.1296690000000002E-2</v>
      </c>
      <c r="X2842">
        <v>0.99938289999999996</v>
      </c>
      <c r="Y2842">
        <v>-1.001849E-2</v>
      </c>
      <c r="Z2842">
        <v>-3.3507699999999999E-3</v>
      </c>
      <c r="AA2842">
        <v>0.99994419999999995</v>
      </c>
      <c r="AB2842">
        <v>38</v>
      </c>
      <c r="AC2842">
        <v>12.5185999999999</v>
      </c>
      <c r="AD2842">
        <v>-1.1107665369469999</v>
      </c>
      <c r="AE2842">
        <v>0.67960000000002097</v>
      </c>
      <c r="AF2842">
        <v>-0.126557653450417</v>
      </c>
      <c r="AG2842">
        <v>-1.1107665369469999</v>
      </c>
      <c r="AH2842">
        <v>12.4387432913573</v>
      </c>
      <c r="AI2842">
        <v>95.102654077684406</v>
      </c>
      <c r="AJ2842">
        <v>90.582934227223106</v>
      </c>
      <c r="AK2842">
        <v>12.488881207199301</v>
      </c>
      <c r="AL2842">
        <v>88.206538817860206</v>
      </c>
      <c r="AM2842">
        <v>90.914087828664094</v>
      </c>
      <c r="AN2842">
        <v>0.999999958901993</v>
      </c>
    </row>
    <row r="2843" spans="1:40" x14ac:dyDescent="0.3">
      <c r="A2843" t="str">
        <f>"20200111160508204"</f>
        <v>20200111160508204</v>
      </c>
      <c r="B2843" t="str">
        <f>"1578729908193984"</f>
        <v>1578729908193984</v>
      </c>
      <c r="C2843" t="s">
        <v>40</v>
      </c>
      <c r="D2843">
        <v>5.413983</v>
      </c>
      <c r="E2843">
        <v>0.50196859999999999</v>
      </c>
      <c r="F2843" t="s">
        <v>57</v>
      </c>
      <c r="G2843">
        <v>-379.88310000000001</v>
      </c>
      <c r="H2843" s="1">
        <v>3.7224900000000001E-6</v>
      </c>
      <c r="I2843">
        <v>214.95769999999999</v>
      </c>
      <c r="J2843">
        <v>-392.16640000000001</v>
      </c>
      <c r="K2843">
        <v>1.1107499999999999</v>
      </c>
      <c r="L2843">
        <v>214.2296</v>
      </c>
      <c r="M2843">
        <v>0.99890210000000002</v>
      </c>
      <c r="N2843">
        <v>0</v>
      </c>
      <c r="O2843">
        <v>4.4404310000000002E-2</v>
      </c>
      <c r="P2843">
        <v>0.9980426</v>
      </c>
      <c r="Q2843">
        <v>1.6357940000000001E-2</v>
      </c>
      <c r="R2843">
        <v>6.0361379999999999E-2</v>
      </c>
      <c r="S2843">
        <v>2.9995419999999999</v>
      </c>
      <c r="T2843">
        <v>-0.26321679999999997</v>
      </c>
      <c r="U2843">
        <v>0.17652889999999999</v>
      </c>
      <c r="V2843">
        <v>-1.6010659999999999E-2</v>
      </c>
      <c r="W2843">
        <v>3.1263329999999999E-2</v>
      </c>
      <c r="X2843">
        <v>0.99938289999999996</v>
      </c>
      <c r="Y2843">
        <v>-1.4474269999999999E-2</v>
      </c>
      <c r="Z2843">
        <v>-3.2506599999999998E-3</v>
      </c>
      <c r="AA2843">
        <v>0.99988999999999995</v>
      </c>
      <c r="AB2843">
        <v>38</v>
      </c>
      <c r="AC2843">
        <v>12.283299999999899</v>
      </c>
      <c r="AD2843">
        <v>-1.1107462775100001</v>
      </c>
      <c r="AE2843">
        <v>0.72809999999998298</v>
      </c>
      <c r="AF2843">
        <v>-0.180419284233236</v>
      </c>
      <c r="AG2843">
        <v>-1.1107462775100001</v>
      </c>
      <c r="AH2843">
        <v>12.2040713759495</v>
      </c>
      <c r="AI2843">
        <v>95.199848289104494</v>
      </c>
      <c r="AJ2843">
        <v>90.846972311965104</v>
      </c>
      <c r="AK2843">
        <v>12.2558421399916</v>
      </c>
      <c r="AL2843">
        <v>88.208451140958303</v>
      </c>
      <c r="AM2843">
        <v>90.917831169785998</v>
      </c>
      <c r="AN2843">
        <v>0.99999995892436599</v>
      </c>
    </row>
    <row r="2844" spans="1:40" x14ac:dyDescent="0.3">
      <c r="A2844" t="str">
        <f>"20200111160508226"</f>
        <v>20200111160508226</v>
      </c>
      <c r="B2844" t="str">
        <f>"1578729908224238"</f>
        <v>1578729908224238</v>
      </c>
      <c r="C2844" t="s">
        <v>40</v>
      </c>
      <c r="D2844">
        <v>5.7970810000000004</v>
      </c>
      <c r="E2844">
        <v>0.4831395</v>
      </c>
      <c r="F2844" t="s">
        <v>42</v>
      </c>
      <c r="G2844">
        <v>-391.12020000000001</v>
      </c>
      <c r="H2844">
        <v>1.0187120000000001</v>
      </c>
      <c r="I2844">
        <v>214.29310000000001</v>
      </c>
      <c r="J2844">
        <v>-391.80040000000002</v>
      </c>
      <c r="K2844">
        <v>1.110738</v>
      </c>
      <c r="L2844">
        <v>214.24619999999999</v>
      </c>
      <c r="M2844">
        <v>0.99888690000000002</v>
      </c>
      <c r="N2844">
        <v>0</v>
      </c>
      <c r="O2844">
        <v>4.4748259999999998E-2</v>
      </c>
      <c r="P2844">
        <v>0.99802800000000003</v>
      </c>
      <c r="Q2844">
        <v>1.6206749999999999E-2</v>
      </c>
      <c r="R2844">
        <v>6.0644219999999999E-2</v>
      </c>
      <c r="S2844">
        <v>2.9992369999999999</v>
      </c>
      <c r="T2844">
        <v>-0.26389970000000001</v>
      </c>
      <c r="U2844">
        <v>0.18260190000000001</v>
      </c>
      <c r="V2844">
        <v>-1.594783E-2</v>
      </c>
      <c r="W2844">
        <v>3.1112250000000001E-2</v>
      </c>
      <c r="X2844">
        <v>0.99938859999999996</v>
      </c>
      <c r="Y2844">
        <v>-1.6148800000000001E-2</v>
      </c>
      <c r="Z2844">
        <v>-3.2158299999999998E-3</v>
      </c>
      <c r="AA2844">
        <v>0.99986439999999999</v>
      </c>
      <c r="AB2844">
        <v>38</v>
      </c>
      <c r="AC2844">
        <v>0.68020000000001302</v>
      </c>
      <c r="AD2844">
        <v>-9.20259999999999E-2</v>
      </c>
      <c r="AE2844">
        <v>4.6900000000022098E-2</v>
      </c>
      <c r="AF2844">
        <v>-1.61182223150871E-2</v>
      </c>
      <c r="AG2844">
        <v>-9.20259999999999E-2</v>
      </c>
      <c r="AH2844">
        <v>0.66942223685164703</v>
      </c>
      <c r="AI2844">
        <v>97.825193779446494</v>
      </c>
      <c r="AJ2844">
        <v>91.379290466235204</v>
      </c>
      <c r="AK2844">
        <v>0.67591028469617198</v>
      </c>
      <c r="AL2844">
        <v>88.217111566164604</v>
      </c>
      <c r="AM2844">
        <v>90.914224760332203</v>
      </c>
      <c r="AN2844">
        <v>0.99999993959586297</v>
      </c>
    </row>
    <row r="2845" spans="1:40" x14ac:dyDescent="0.3">
      <c r="A2845" t="str">
        <f>"20200111160508248"</f>
        <v>20200111160508248</v>
      </c>
      <c r="B2845" t="str">
        <f>"1578729908243759"</f>
        <v>1578729908243759</v>
      </c>
      <c r="C2845" t="s">
        <v>40</v>
      </c>
      <c r="D2845">
        <v>5.5482889999999996</v>
      </c>
      <c r="E2845">
        <v>0.49757200000000001</v>
      </c>
      <c r="F2845" t="s">
        <v>57</v>
      </c>
      <c r="G2845">
        <v>-368.85680000000002</v>
      </c>
      <c r="H2845" s="1">
        <v>3.1763369999999999E-6</v>
      </c>
      <c r="I2845">
        <v>216.75620000000001</v>
      </c>
      <c r="J2845">
        <v>-391.41770000000002</v>
      </c>
      <c r="K2845">
        <v>1.1107290000000001</v>
      </c>
      <c r="L2845">
        <v>214.2638</v>
      </c>
      <c r="M2845">
        <v>0.99887110000000001</v>
      </c>
      <c r="N2845">
        <v>0</v>
      </c>
      <c r="O2845">
        <v>4.5098300000000001E-2</v>
      </c>
      <c r="P2845">
        <v>0.99801300000000004</v>
      </c>
      <c r="Q2845">
        <v>1.650451E-2</v>
      </c>
      <c r="R2845">
        <v>6.0810389999999999E-2</v>
      </c>
      <c r="S2845">
        <v>2.9883730000000002</v>
      </c>
      <c r="T2845">
        <v>-0.1446711</v>
      </c>
      <c r="U2845">
        <v>0.32691959999999998</v>
      </c>
      <c r="V2845">
        <v>-1.5763260000000001E-2</v>
      </c>
      <c r="W2845">
        <v>3.1409649999999997E-2</v>
      </c>
      <c r="X2845">
        <v>0.99938229999999995</v>
      </c>
      <c r="Y2845">
        <v>-6.378027E-2</v>
      </c>
      <c r="Z2845">
        <v>-6.3550659999999997E-4</v>
      </c>
      <c r="AA2845">
        <v>0.99796379999999996</v>
      </c>
      <c r="AB2845">
        <v>38</v>
      </c>
      <c r="AC2845">
        <v>22.5609</v>
      </c>
      <c r="AD2845">
        <v>-1.110725823663</v>
      </c>
      <c r="AE2845">
        <v>2.4923999999999999</v>
      </c>
      <c r="AF2845">
        <v>-1.4687748938254199</v>
      </c>
      <c r="AG2845">
        <v>-1.110725823663</v>
      </c>
      <c r="AH2845">
        <v>22.596246982400601</v>
      </c>
      <c r="AI2845">
        <v>92.808210749616507</v>
      </c>
      <c r="AJ2845">
        <v>93.719041543410796</v>
      </c>
      <c r="AK2845">
        <v>22.671157650939101</v>
      </c>
      <c r="AL2845">
        <v>88.200063602102503</v>
      </c>
      <c r="AM2845">
        <v>90.903651567089696</v>
      </c>
      <c r="AN2845">
        <v>1.0000000140161101</v>
      </c>
    </row>
    <row r="2846" spans="1:40" x14ac:dyDescent="0.3">
      <c r="A2846" t="str">
        <f>"20200111160508271"</f>
        <v>20200111160508271</v>
      </c>
      <c r="B2846" t="str">
        <f>"1578729908264253"</f>
        <v>1578729908264253</v>
      </c>
      <c r="C2846" t="s">
        <v>40</v>
      </c>
      <c r="D2846">
        <v>6.6866640000000004</v>
      </c>
      <c r="E2846">
        <v>0.49858239999999998</v>
      </c>
      <c r="F2846" t="s">
        <v>57</v>
      </c>
      <c r="G2846">
        <v>-376.31950000000001</v>
      </c>
      <c r="H2846" s="1">
        <v>1.826138E-6</v>
      </c>
      <c r="I2846">
        <v>215.3554</v>
      </c>
      <c r="J2846">
        <v>-391.02940000000001</v>
      </c>
      <c r="K2846">
        <v>1.1107180000000001</v>
      </c>
      <c r="L2846">
        <v>214.2816</v>
      </c>
      <c r="M2846">
        <v>0.99885559999999995</v>
      </c>
      <c r="N2846">
        <v>0</v>
      </c>
      <c r="O2846">
        <v>4.5441139999999998E-2</v>
      </c>
      <c r="P2846">
        <v>0.99799720000000003</v>
      </c>
      <c r="Q2846">
        <v>1.6651079999999999E-2</v>
      </c>
      <c r="R2846">
        <v>6.1028579999999999E-2</v>
      </c>
      <c r="S2846">
        <v>2.996429</v>
      </c>
      <c r="T2846">
        <v>-0.22043850000000001</v>
      </c>
      <c r="U2846">
        <v>0.21664430000000001</v>
      </c>
      <c r="V2846">
        <v>-1.5638329999999999E-2</v>
      </c>
      <c r="W2846">
        <v>3.1555479999999997E-2</v>
      </c>
      <c r="X2846">
        <v>0.99937960000000003</v>
      </c>
      <c r="Y2846">
        <v>-2.6760329999999999E-2</v>
      </c>
      <c r="Z2846">
        <v>-2.350534E-3</v>
      </c>
      <c r="AA2846">
        <v>0.9996391</v>
      </c>
      <c r="AB2846">
        <v>38</v>
      </c>
      <c r="AC2846">
        <v>14.709899999999999</v>
      </c>
      <c r="AD2846">
        <v>-1.1107161738619999</v>
      </c>
      <c r="AE2846">
        <v>1.0738000000000001</v>
      </c>
      <c r="AF2846">
        <v>-0.40190221737266002</v>
      </c>
      <c r="AG2846">
        <v>-1.1107161738619999</v>
      </c>
      <c r="AH2846">
        <v>14.660359146806901</v>
      </c>
      <c r="AI2846">
        <v>94.331015181698206</v>
      </c>
      <c r="AJ2846">
        <v>91.570325430819395</v>
      </c>
      <c r="AK2846">
        <v>14.7078668108116</v>
      </c>
      <c r="AL2846">
        <v>88.191703890529496</v>
      </c>
      <c r="AM2846">
        <v>90.8964933701739</v>
      </c>
      <c r="AN2846">
        <v>0.99999994528968805</v>
      </c>
    </row>
    <row r="2847" spans="1:40" x14ac:dyDescent="0.3">
      <c r="A2847" t="str">
        <f>"20200111160508294"</f>
        <v>20200111160508294</v>
      </c>
      <c r="B2847" t="str">
        <f>"1578729908284279"</f>
        <v>1578729908284279</v>
      </c>
      <c r="C2847" t="s">
        <v>40</v>
      </c>
      <c r="D2847">
        <v>5.5577709999999998</v>
      </c>
      <c r="E2847">
        <v>0.4986524</v>
      </c>
      <c r="F2847" t="s">
        <v>57</v>
      </c>
      <c r="G2847">
        <v>-377.12369999999999</v>
      </c>
      <c r="H2847" s="1">
        <v>2.2540700000000002E-6</v>
      </c>
      <c r="I2847">
        <v>215.25829999999999</v>
      </c>
      <c r="J2847">
        <v>-390.64699999999999</v>
      </c>
      <c r="K2847">
        <v>1.1107039999999999</v>
      </c>
      <c r="L2847">
        <v>214.29929999999999</v>
      </c>
      <c r="M2847">
        <v>0.99884090000000003</v>
      </c>
      <c r="N2847">
        <v>0</v>
      </c>
      <c r="O2847">
        <v>4.5763310000000001E-2</v>
      </c>
      <c r="P2847">
        <v>0.99798240000000005</v>
      </c>
      <c r="Q2847">
        <v>1.6543390000000002E-2</v>
      </c>
      <c r="R2847">
        <v>6.1298940000000003E-2</v>
      </c>
      <c r="S2847">
        <v>2.997131</v>
      </c>
      <c r="T2847">
        <v>-0.23939440000000001</v>
      </c>
      <c r="U2847">
        <v>0.21051030000000001</v>
      </c>
      <c r="V2847">
        <v>-1.558501E-2</v>
      </c>
      <c r="W2847">
        <v>3.144682E-2</v>
      </c>
      <c r="X2847">
        <v>0.99938389999999999</v>
      </c>
      <c r="Y2847">
        <v>-2.440287E-2</v>
      </c>
      <c r="Z2847">
        <v>-2.671189E-3</v>
      </c>
      <c r="AA2847">
        <v>0.99969859999999999</v>
      </c>
      <c r="AB2847">
        <v>38</v>
      </c>
      <c r="AC2847">
        <v>13.523300000000001</v>
      </c>
      <c r="AD2847">
        <v>-1.1107017459299999</v>
      </c>
      <c r="AE2847">
        <v>0.95900000000000296</v>
      </c>
      <c r="AF2847">
        <v>-0.33679462723888598</v>
      </c>
      <c r="AG2847">
        <v>-1.1107017459299999</v>
      </c>
      <c r="AH2847">
        <v>13.4626593570603</v>
      </c>
      <c r="AI2847">
        <v>94.714889461038197</v>
      </c>
      <c r="AJ2847">
        <v>91.433066533214301</v>
      </c>
      <c r="AK2847">
        <v>13.512597305980499</v>
      </c>
      <c r="AL2847">
        <v>88.197932817290805</v>
      </c>
      <c r="AM2847">
        <v>90.8934333649661</v>
      </c>
      <c r="AN2847">
        <v>0.99999998730201101</v>
      </c>
    </row>
    <row r="2848" spans="1:40" x14ac:dyDescent="0.3">
      <c r="A2848" t="str">
        <f>"20200111160508315"</f>
        <v>20200111160508315</v>
      </c>
      <c r="B2848" t="str">
        <f>"1578729908303802"</f>
        <v>1578729908303802</v>
      </c>
      <c r="C2848" t="s">
        <v>40</v>
      </c>
      <c r="D2848">
        <v>5.5582539999999998</v>
      </c>
      <c r="E2848">
        <v>0.4989963</v>
      </c>
      <c r="F2848" t="s">
        <v>57</v>
      </c>
      <c r="G2848">
        <v>-372.97899999999998</v>
      </c>
      <c r="H2848" s="1">
        <v>4.8502300000000003E-8</v>
      </c>
      <c r="I2848">
        <v>215.52379999999999</v>
      </c>
      <c r="J2848">
        <v>-390.28230000000002</v>
      </c>
      <c r="K2848">
        <v>1.110687</v>
      </c>
      <c r="L2848">
        <v>214.31630000000001</v>
      </c>
      <c r="M2848">
        <v>0.99882789999999999</v>
      </c>
      <c r="N2848">
        <v>0</v>
      </c>
      <c r="O2848">
        <v>4.6049390000000003E-2</v>
      </c>
      <c r="P2848">
        <v>0.99794139999999998</v>
      </c>
      <c r="Q2848">
        <v>1.535943E-2</v>
      </c>
      <c r="R2848">
        <v>6.2265599999999997E-2</v>
      </c>
      <c r="S2848">
        <v>2.996429</v>
      </c>
      <c r="T2848">
        <v>-0.1883716</v>
      </c>
      <c r="U2848">
        <v>0.20765690000000001</v>
      </c>
      <c r="V2848">
        <v>-1.6263730000000001E-2</v>
      </c>
      <c r="W2848">
        <v>3.026102E-2</v>
      </c>
      <c r="X2848">
        <v>0.99940969999999996</v>
      </c>
      <c r="Y2848">
        <v>-2.3162840000000001E-2</v>
      </c>
      <c r="Z2848">
        <v>-2.160524E-3</v>
      </c>
      <c r="AA2848">
        <v>0.99972939999999999</v>
      </c>
      <c r="AB2848">
        <v>38</v>
      </c>
      <c r="AC2848">
        <v>17.303299999999901</v>
      </c>
      <c r="AD2848">
        <v>-1.1106869514977</v>
      </c>
      <c r="AE2848">
        <v>1.20749999999998</v>
      </c>
      <c r="AF2848">
        <v>-0.40765227733083198</v>
      </c>
      <c r="AG2848">
        <v>-1.1106869514977</v>
      </c>
      <c r="AH2848">
        <v>17.269739659841299</v>
      </c>
      <c r="AI2848">
        <v>93.678833766281002</v>
      </c>
      <c r="AJ2848">
        <v>91.352216003893901</v>
      </c>
      <c r="AK2848">
        <v>17.310219923563501</v>
      </c>
      <c r="AL2848">
        <v>88.265906529962194</v>
      </c>
      <c r="AM2848">
        <v>90.932311187149693</v>
      </c>
      <c r="AN2848">
        <v>0.99999999334952105</v>
      </c>
    </row>
    <row r="2849" spans="1:40" x14ac:dyDescent="0.3">
      <c r="A2849" t="str">
        <f>"20200111160508337"</f>
        <v>20200111160508337</v>
      </c>
      <c r="B2849" t="str">
        <f>"1578729908334056"</f>
        <v>1578729908334056</v>
      </c>
      <c r="C2849" t="s">
        <v>40</v>
      </c>
      <c r="D2849">
        <v>5.5417389999999997</v>
      </c>
      <c r="E2849">
        <v>0.49953180000000003</v>
      </c>
      <c r="F2849" t="s">
        <v>57</v>
      </c>
      <c r="G2849">
        <v>-367.82510000000002</v>
      </c>
      <c r="H2849" s="1">
        <v>2.627354E-6</v>
      </c>
      <c r="I2849">
        <v>215.85300000000001</v>
      </c>
      <c r="J2849">
        <v>-389.90899999999999</v>
      </c>
      <c r="K2849">
        <v>1.1106609999999999</v>
      </c>
      <c r="L2849">
        <v>214.3338</v>
      </c>
      <c r="M2849">
        <v>0.99881580000000003</v>
      </c>
      <c r="N2849">
        <v>0</v>
      </c>
      <c r="O2849">
        <v>4.6312220000000001E-2</v>
      </c>
      <c r="P2849">
        <v>0.99797179999999996</v>
      </c>
      <c r="Q2849">
        <v>1.280836E-2</v>
      </c>
      <c r="R2849">
        <v>6.235711E-2</v>
      </c>
      <c r="S2849">
        <v>2.9956969999999998</v>
      </c>
      <c r="T2849">
        <v>-0.14816109999999999</v>
      </c>
      <c r="U2849">
        <v>0.20498659999999999</v>
      </c>
      <c r="V2849">
        <v>-1.608716E-2</v>
      </c>
      <c r="W2849">
        <v>2.7709580000000001E-2</v>
      </c>
      <c r="X2849">
        <v>0.9994866</v>
      </c>
      <c r="Y2849">
        <v>-2.2014300000000001E-2</v>
      </c>
      <c r="Z2849">
        <v>-1.7417520000000001E-3</v>
      </c>
      <c r="AA2849">
        <v>0.99975619999999998</v>
      </c>
      <c r="AB2849">
        <v>38</v>
      </c>
      <c r="AC2849">
        <v>22.0838999999999</v>
      </c>
      <c r="AD2849">
        <v>-1.110658372646</v>
      </c>
      <c r="AE2849">
        <v>1.5191999999999799</v>
      </c>
      <c r="AF2849">
        <v>-0.49345923274565801</v>
      </c>
      <c r="AG2849">
        <v>-1.110658372646</v>
      </c>
      <c r="AH2849">
        <v>22.0749918884461</v>
      </c>
      <c r="AI2849">
        <v>92.879573858355101</v>
      </c>
      <c r="AJ2849">
        <v>91.280563258039706</v>
      </c>
      <c r="AK2849">
        <v>22.108422171427598</v>
      </c>
      <c r="AL2849">
        <v>88.412154837345</v>
      </c>
      <c r="AM2849">
        <v>90.922120206275196</v>
      </c>
      <c r="AN2849">
        <v>1.0000000405600999</v>
      </c>
    </row>
    <row r="2850" spans="1:40" x14ac:dyDescent="0.3">
      <c r="A2850" t="str">
        <f>"20200111160508360"</f>
        <v>20200111160508360</v>
      </c>
      <c r="B2850" t="str">
        <f>"1578729908354552"</f>
        <v>1578729908354552</v>
      </c>
      <c r="C2850" t="s">
        <v>40</v>
      </c>
      <c r="D2850">
        <v>6.4164830000000004</v>
      </c>
      <c r="E2850">
        <v>0.49929079999999898</v>
      </c>
      <c r="F2850" t="s">
        <v>57</v>
      </c>
      <c r="G2850">
        <v>-373.1096</v>
      </c>
      <c r="H2850" s="1">
        <v>1.1799330000000001E-7</v>
      </c>
      <c r="I2850">
        <v>215.47499999999999</v>
      </c>
      <c r="J2850">
        <v>-389.52300000000002</v>
      </c>
      <c r="K2850">
        <v>1.1106279999999999</v>
      </c>
      <c r="L2850">
        <v>214.352</v>
      </c>
      <c r="M2850">
        <v>0.99880519999999995</v>
      </c>
      <c r="N2850">
        <v>0</v>
      </c>
      <c r="O2850">
        <v>4.6537250000000002E-2</v>
      </c>
      <c r="P2850">
        <v>0.99812670000000003</v>
      </c>
      <c r="Q2850">
        <v>1.0903090000000001E-2</v>
      </c>
      <c r="R2850">
        <v>6.0201989999999997E-2</v>
      </c>
      <c r="S2850">
        <v>2.995911</v>
      </c>
      <c r="T2850">
        <v>-0.1980692</v>
      </c>
      <c r="U2850">
        <v>0.20350650000000001</v>
      </c>
      <c r="V2850">
        <v>-1.3698180000000001E-2</v>
      </c>
      <c r="W2850">
        <v>2.58053E-2</v>
      </c>
      <c r="X2850">
        <v>0.99957309999999999</v>
      </c>
      <c r="Y2850">
        <v>-2.1317760000000002E-2</v>
      </c>
      <c r="Z2850">
        <v>-2.365027E-3</v>
      </c>
      <c r="AA2850">
        <v>0.99976989999999999</v>
      </c>
      <c r="AB2850">
        <v>38</v>
      </c>
      <c r="AC2850">
        <v>16.413399999999999</v>
      </c>
      <c r="AD2850">
        <v>-1.1106278820066999</v>
      </c>
      <c r="AE2850">
        <v>1.12299999999999</v>
      </c>
      <c r="AF2850">
        <v>-0.35624003912901397</v>
      </c>
      <c r="AG2850">
        <v>-1.1106278820066999</v>
      </c>
      <c r="AH2850">
        <v>16.373261601936701</v>
      </c>
      <c r="AI2850">
        <v>93.879616401760501</v>
      </c>
      <c r="AJ2850">
        <v>91.246412069895499</v>
      </c>
      <c r="AK2850">
        <v>16.4147524118771</v>
      </c>
      <c r="AL2850">
        <v>88.521301028278998</v>
      </c>
      <c r="AM2850">
        <v>90.785133948633501</v>
      </c>
      <c r="AN2850">
        <v>0.99999996794350499</v>
      </c>
    </row>
    <row r="2851" spans="1:40" x14ac:dyDescent="0.3">
      <c r="A2851" t="str">
        <f>"20200111160508384"</f>
        <v>20200111160508384</v>
      </c>
      <c r="B2851" t="str">
        <f>"1578729908374071"</f>
        <v>1578729908374071</v>
      </c>
      <c r="C2851" t="s">
        <v>40</v>
      </c>
      <c r="D2851">
        <v>5.653187</v>
      </c>
      <c r="E2851">
        <v>0.499446</v>
      </c>
      <c r="F2851" t="s">
        <v>57</v>
      </c>
      <c r="G2851">
        <v>-373.84910000000002</v>
      </c>
      <c r="H2851" s="1">
        <v>5.1148379999999999E-7</v>
      </c>
      <c r="I2851">
        <v>215.39940000000001</v>
      </c>
      <c r="J2851">
        <v>-389.11759999999998</v>
      </c>
      <c r="K2851">
        <v>1.110582</v>
      </c>
      <c r="L2851">
        <v>214.37100000000001</v>
      </c>
      <c r="M2851">
        <v>0.99879739999999995</v>
      </c>
      <c r="N2851">
        <v>0</v>
      </c>
      <c r="O2851">
        <v>4.670904E-2</v>
      </c>
      <c r="P2851">
        <v>0.99835030000000002</v>
      </c>
      <c r="Q2851">
        <v>1.113275E-2</v>
      </c>
      <c r="R2851">
        <v>5.6329700000000003E-2</v>
      </c>
      <c r="S2851">
        <v>2.995911</v>
      </c>
      <c r="T2851">
        <v>-0.21228459999999999</v>
      </c>
      <c r="U2851">
        <v>0.20021059999999999</v>
      </c>
      <c r="V2851">
        <v>-9.6447289999999995E-3</v>
      </c>
      <c r="W2851">
        <v>2.6036009999999998E-2</v>
      </c>
      <c r="X2851">
        <v>0.99961449999999996</v>
      </c>
      <c r="Y2851">
        <v>-2.006258E-2</v>
      </c>
      <c r="Z2851">
        <v>-2.5909610000000001E-3</v>
      </c>
      <c r="AA2851">
        <v>0.9997954</v>
      </c>
      <c r="AB2851">
        <v>38</v>
      </c>
      <c r="AC2851">
        <v>15.2684999999999</v>
      </c>
      <c r="AD2851">
        <v>-1.1105814885162</v>
      </c>
      <c r="AE2851">
        <v>1.02840000000003</v>
      </c>
      <c r="AF2851">
        <v>-0.31237592569014999</v>
      </c>
      <c r="AG2851">
        <v>-1.1105814885162</v>
      </c>
      <c r="AH2851">
        <v>15.219713845033301</v>
      </c>
      <c r="AI2851">
        <v>94.172596606652903</v>
      </c>
      <c r="AJ2851">
        <v>91.175798035059103</v>
      </c>
      <c r="AK2851">
        <v>15.2633764117342</v>
      </c>
      <c r="AL2851">
        <v>88.508077955687099</v>
      </c>
      <c r="AM2851">
        <v>90.552798223200696</v>
      </c>
      <c r="AN2851">
        <v>1.00000002161222</v>
      </c>
    </row>
    <row r="2852" spans="1:40" x14ac:dyDescent="0.3">
      <c r="A2852" t="str">
        <f>"20200111160508406"</f>
        <v>20200111160508406</v>
      </c>
      <c r="B2852" t="str">
        <f>"1578729908404327"</f>
        <v>1578729908404327</v>
      </c>
      <c r="C2852" t="s">
        <v>40</v>
      </c>
      <c r="D2852">
        <v>5.5808109999999997</v>
      </c>
      <c r="E2852">
        <v>0.4992201</v>
      </c>
      <c r="F2852" t="s">
        <v>57</v>
      </c>
      <c r="G2852">
        <v>-373.06939999999997</v>
      </c>
      <c r="H2852" s="1">
        <v>9.6592470000000007E-8</v>
      </c>
      <c r="I2852">
        <v>215.37459999999999</v>
      </c>
      <c r="J2852">
        <v>-388.75380000000001</v>
      </c>
      <c r="K2852">
        <v>1.1105430000000001</v>
      </c>
      <c r="L2852">
        <v>214.38810000000001</v>
      </c>
      <c r="M2852">
        <v>0.9987935</v>
      </c>
      <c r="N2852">
        <v>0</v>
      </c>
      <c r="O2852">
        <v>4.6788870000000003E-2</v>
      </c>
      <c r="P2852">
        <v>0.99853769999999997</v>
      </c>
      <c r="Q2852">
        <v>1.3107509999999999E-2</v>
      </c>
      <c r="R2852">
        <v>5.2447880000000002E-2</v>
      </c>
      <c r="S2852">
        <v>2.9967039999999998</v>
      </c>
      <c r="T2852">
        <v>-0.2073808</v>
      </c>
      <c r="U2852">
        <v>0.18739320000000001</v>
      </c>
      <c r="V2852">
        <v>-5.6752670000000003E-3</v>
      </c>
      <c r="W2852">
        <v>2.8010340000000002E-2</v>
      </c>
      <c r="X2852">
        <v>0.99959149999999997</v>
      </c>
      <c r="Y2852">
        <v>-1.5713910000000001E-2</v>
      </c>
      <c r="Z2852">
        <v>-2.6866640000000001E-3</v>
      </c>
      <c r="AA2852">
        <v>0.99987289999999995</v>
      </c>
      <c r="AB2852">
        <v>38</v>
      </c>
      <c r="AC2852">
        <v>15.6844</v>
      </c>
      <c r="AD2852">
        <v>-1.11054290340753</v>
      </c>
      <c r="AE2852">
        <v>0.98649999999997795</v>
      </c>
      <c r="AF2852">
        <v>-0.25023281366646299</v>
      </c>
      <c r="AG2852">
        <v>-1.11054290340753</v>
      </c>
      <c r="AH2852">
        <v>15.6353033865652</v>
      </c>
      <c r="AI2852">
        <v>94.062257907702701</v>
      </c>
      <c r="AJ2852">
        <v>90.916903231063998</v>
      </c>
      <c r="AK2852">
        <v>15.6766907857265</v>
      </c>
      <c r="AL2852">
        <v>88.394915766280903</v>
      </c>
      <c r="AM2852">
        <v>90.325298237169505</v>
      </c>
      <c r="AN2852">
        <v>0.99999997733734303</v>
      </c>
    </row>
    <row r="2853" spans="1:40" x14ac:dyDescent="0.3">
      <c r="A2853" t="str">
        <f>"20200111160508426"</f>
        <v>20200111160508426</v>
      </c>
      <c r="B2853" t="str">
        <f>"1578729908423848"</f>
        <v>1578729908423848</v>
      </c>
      <c r="C2853" t="s">
        <v>40</v>
      </c>
      <c r="D2853">
        <v>5.5915059999999999</v>
      </c>
      <c r="E2853">
        <v>0.49916240000000001</v>
      </c>
      <c r="F2853" t="s">
        <v>57</v>
      </c>
      <c r="G2853">
        <v>-373.40280000000001</v>
      </c>
      <c r="H2853" s="1">
        <v>2.7400780000000002E-7</v>
      </c>
      <c r="I2853">
        <v>215.30029999999999</v>
      </c>
      <c r="J2853">
        <v>-388.41030000000001</v>
      </c>
      <c r="K2853">
        <v>1.1104940000000001</v>
      </c>
      <c r="L2853">
        <v>214.40430000000001</v>
      </c>
      <c r="M2853">
        <v>0.99879289999999998</v>
      </c>
      <c r="N2853">
        <v>0</v>
      </c>
      <c r="O2853">
        <v>4.6806E-2</v>
      </c>
      <c r="P2853">
        <v>0.99867269999999997</v>
      </c>
      <c r="Q2853">
        <v>1.5805900000000001E-2</v>
      </c>
      <c r="R2853">
        <v>4.9023450000000003E-2</v>
      </c>
      <c r="S2853">
        <v>2.997925</v>
      </c>
      <c r="T2853">
        <v>-0.21687999999999999</v>
      </c>
      <c r="U2853">
        <v>0.17814639999999901</v>
      </c>
      <c r="V2853">
        <v>-2.2279859999999999E-3</v>
      </c>
      <c r="W2853">
        <v>3.0706170000000001E-2</v>
      </c>
      <c r="X2853">
        <v>0.99952600000000003</v>
      </c>
      <c r="Y2853">
        <v>-1.261372E-2</v>
      </c>
      <c r="Z2853">
        <v>-2.9217290000000001E-3</v>
      </c>
      <c r="AA2853">
        <v>0.99991620000000003</v>
      </c>
      <c r="AB2853">
        <v>38</v>
      </c>
      <c r="AC2853">
        <v>15.007499999999901</v>
      </c>
      <c r="AD2853">
        <v>-1.1104937259921901</v>
      </c>
      <c r="AE2853">
        <v>0.89599999999998603</v>
      </c>
      <c r="AF2853">
        <v>-0.19145419217979301</v>
      </c>
      <c r="AG2853">
        <v>-1.1104937259921901</v>
      </c>
      <c r="AH2853">
        <v>14.9514167835392</v>
      </c>
      <c r="AI2853">
        <v>94.247410354816793</v>
      </c>
      <c r="AJ2853">
        <v>90.733637342975896</v>
      </c>
      <c r="AK2853">
        <v>14.993822556582099</v>
      </c>
      <c r="AL2853">
        <v>88.240389516997197</v>
      </c>
      <c r="AM2853">
        <v>90.127714519875099</v>
      </c>
      <c r="AN2853">
        <v>1.00000002873684</v>
      </c>
    </row>
    <row r="2854" spans="1:40" x14ac:dyDescent="0.3">
      <c r="A2854" t="str">
        <f>"20200111160508450"</f>
        <v>20200111160508450</v>
      </c>
      <c r="B2854" t="str">
        <f>"1578729908444345"</f>
        <v>1578729908444345</v>
      </c>
      <c r="C2854" t="s">
        <v>40</v>
      </c>
      <c r="D2854">
        <v>5.5935739999999896</v>
      </c>
      <c r="E2854">
        <v>0.49920809999999999</v>
      </c>
      <c r="F2854" t="s">
        <v>42</v>
      </c>
      <c r="G2854">
        <v>-387.38490000000002</v>
      </c>
      <c r="H2854">
        <v>1.036456</v>
      </c>
      <c r="I2854">
        <v>214.4615</v>
      </c>
      <c r="J2854">
        <v>-388.02350000000001</v>
      </c>
      <c r="K2854">
        <v>1.1104259999999999</v>
      </c>
      <c r="L2854">
        <v>214.42230000000001</v>
      </c>
      <c r="M2854">
        <v>0.99879649999999998</v>
      </c>
      <c r="N2854">
        <v>0</v>
      </c>
      <c r="O2854">
        <v>4.6725620000000002E-2</v>
      </c>
      <c r="P2854">
        <v>0.99878929999999999</v>
      </c>
      <c r="Q2854">
        <v>1.9860490000000001E-2</v>
      </c>
      <c r="R2854">
        <v>4.5003559999999998E-2</v>
      </c>
      <c r="S2854">
        <v>2.9992070000000002</v>
      </c>
      <c r="T2854">
        <v>-0.21663450000000001</v>
      </c>
      <c r="U2854">
        <v>0.1681213</v>
      </c>
      <c r="V2854">
        <v>1.718217E-3</v>
      </c>
      <c r="W2854">
        <v>3.4757120000000002E-2</v>
      </c>
      <c r="X2854">
        <v>0.99939429999999996</v>
      </c>
      <c r="Y2854">
        <v>-9.3456700000000004E-3</v>
      </c>
      <c r="Z2854">
        <v>-3.0295280000000001E-3</v>
      </c>
      <c r="AA2854">
        <v>0.9999517</v>
      </c>
      <c r="AB2854">
        <v>38</v>
      </c>
      <c r="AC2854">
        <v>0.63859999999999595</v>
      </c>
      <c r="AD2854">
        <v>-7.39699999999998E-2</v>
      </c>
      <c r="AE2854">
        <v>3.9199999999993899E-2</v>
      </c>
      <c r="AF2854">
        <v>-9.1920114402419695E-3</v>
      </c>
      <c r="AG2854">
        <v>-7.39699999999998E-2</v>
      </c>
      <c r="AH2854">
        <v>0.63129592677205104</v>
      </c>
      <c r="AI2854">
        <v>96.682267672081394</v>
      </c>
      <c r="AJ2854">
        <v>90.834198707704502</v>
      </c>
      <c r="AK2854">
        <v>0.63568121030379798</v>
      </c>
      <c r="AL2854">
        <v>88.008162512905997</v>
      </c>
      <c r="AM2854">
        <v>89.901493849434502</v>
      </c>
      <c r="AN2854">
        <v>0.999999988266421</v>
      </c>
    </row>
    <row r="2855" spans="1:40" x14ac:dyDescent="0.3">
      <c r="A2855" t="str">
        <f>"20200111160508484"</f>
        <v>20200111160508484</v>
      </c>
      <c r="B2855" t="str">
        <f>"1578729908474600"</f>
        <v>1578729908474600</v>
      </c>
      <c r="C2855" t="s">
        <v>40</v>
      </c>
      <c r="D2855">
        <v>5.6332139999999997</v>
      </c>
      <c r="E2855">
        <v>0.49889230000000001</v>
      </c>
      <c r="F2855" t="s">
        <v>57</v>
      </c>
      <c r="G2855">
        <v>-372.20580000000001</v>
      </c>
      <c r="H2855" s="1">
        <v>-3.6297210000000002E-7</v>
      </c>
      <c r="I2855">
        <v>215.24</v>
      </c>
      <c r="J2855">
        <v>-387.44970000000001</v>
      </c>
      <c r="K2855">
        <v>1.1102810000000001</v>
      </c>
      <c r="L2855">
        <v>214.44890000000001</v>
      </c>
      <c r="M2855">
        <v>0.99881330000000002</v>
      </c>
      <c r="N2855">
        <v>0</v>
      </c>
      <c r="O2855">
        <v>4.6370660000000001E-2</v>
      </c>
      <c r="P2855">
        <v>0.99872369999999999</v>
      </c>
      <c r="Q2855">
        <v>2.4195250000000001E-2</v>
      </c>
      <c r="R2855">
        <v>4.433488E-2</v>
      </c>
      <c r="S2855">
        <v>3.0008539999999999</v>
      </c>
      <c r="T2855">
        <v>-0.2106645</v>
      </c>
      <c r="U2855">
        <v>0.155120799999999</v>
      </c>
      <c r="V2855">
        <v>2.042028E-3</v>
      </c>
      <c r="W2855">
        <v>3.9083850000000003E-2</v>
      </c>
      <c r="X2855">
        <v>0.99923379999999995</v>
      </c>
      <c r="Y2855">
        <v>-5.3543640000000003E-3</v>
      </c>
      <c r="Z2855">
        <v>-3.0600549999999999E-3</v>
      </c>
      <c r="AA2855">
        <v>0.99998100000000001</v>
      </c>
      <c r="AB2855">
        <v>38</v>
      </c>
      <c r="AC2855">
        <v>15.243899999999901</v>
      </c>
      <c r="AD2855">
        <v>-1.11028136297209</v>
      </c>
      <c r="AE2855">
        <v>0.79110000000000003</v>
      </c>
      <c r="AF2855">
        <v>-8.2862341859037694E-2</v>
      </c>
      <c r="AG2855">
        <v>-1.11028136297209</v>
      </c>
      <c r="AH2855">
        <v>15.183854561075901</v>
      </c>
      <c r="AI2855">
        <v>94.182105146843895</v>
      </c>
      <c r="AJ2855">
        <v>90.312675238003095</v>
      </c>
      <c r="AK2855">
        <v>15.224619213779</v>
      </c>
      <c r="AL2855">
        <v>87.760089732140898</v>
      </c>
      <c r="AM2855">
        <v>89.882910863129496</v>
      </c>
      <c r="AN2855">
        <v>0.99999995213580595</v>
      </c>
    </row>
    <row r="2856" spans="1:40" x14ac:dyDescent="0.3">
      <c r="A2856" t="str">
        <f>"20200111160508505"</f>
        <v>20200111160508505</v>
      </c>
      <c r="B2856" t="str">
        <f>"1578729908494129"</f>
        <v>1578729908494129</v>
      </c>
      <c r="C2856" t="s">
        <v>40</v>
      </c>
      <c r="D2856">
        <v>5.6365759999999998</v>
      </c>
      <c r="E2856">
        <v>0.49865229999999999</v>
      </c>
      <c r="F2856" t="s">
        <v>57</v>
      </c>
      <c r="G2856">
        <v>-371.03710000000001</v>
      </c>
      <c r="H2856" s="1">
        <v>-9.8488750000000006E-7</v>
      </c>
      <c r="I2856">
        <v>215.3004</v>
      </c>
      <c r="J2856">
        <v>-387.0883</v>
      </c>
      <c r="K2856">
        <v>1.1101669999999999</v>
      </c>
      <c r="L2856">
        <v>214.46530000000001</v>
      </c>
      <c r="M2856">
        <v>0.99883290000000002</v>
      </c>
      <c r="N2856">
        <v>0</v>
      </c>
      <c r="O2856">
        <v>4.594753E-2</v>
      </c>
      <c r="P2856">
        <v>0.99860689999999996</v>
      </c>
      <c r="Q2856">
        <v>2.658334E-2</v>
      </c>
      <c r="R2856">
        <v>4.5584609999999998E-2</v>
      </c>
      <c r="S2856">
        <v>3.0018009999999999</v>
      </c>
      <c r="T2856">
        <v>-0.203066</v>
      </c>
      <c r="U2856">
        <v>0.15573119999999999</v>
      </c>
      <c r="V2856">
        <v>3.7816489999999999E-4</v>
      </c>
      <c r="W2856">
        <v>4.1467999999999998E-2</v>
      </c>
      <c r="X2856">
        <v>0.99913980000000002</v>
      </c>
      <c r="Y2856">
        <v>-5.9550139999999998E-3</v>
      </c>
      <c r="Z2856">
        <v>-2.9001769999999999E-3</v>
      </c>
      <c r="AA2856">
        <v>0.99997809999999998</v>
      </c>
      <c r="AB2856">
        <v>38</v>
      </c>
      <c r="AC2856">
        <v>16.051199999999898</v>
      </c>
      <c r="AD2856">
        <v>-1.1101679848874999</v>
      </c>
      <c r="AE2856">
        <v>0.83509999999998197</v>
      </c>
      <c r="AF2856">
        <v>-9.6164293046036395E-2</v>
      </c>
      <c r="AG2856">
        <v>-1.1101679848874999</v>
      </c>
      <c r="AH2856">
        <v>15.9963041969503</v>
      </c>
      <c r="AI2856">
        <v>93.969977407677405</v>
      </c>
      <c r="AJ2856">
        <v>90.3444384209091</v>
      </c>
      <c r="AK2856">
        <v>16.0350699557967</v>
      </c>
      <c r="AL2856">
        <v>87.623377237569201</v>
      </c>
      <c r="AM2856">
        <v>89.978314094088404</v>
      </c>
      <c r="AN2856">
        <v>1.0000000389883601</v>
      </c>
    </row>
    <row r="2857" spans="1:40" x14ac:dyDescent="0.3">
      <c r="A2857" t="str">
        <f>"20200111160508528"</f>
        <v>20200111160508528</v>
      </c>
      <c r="B2857" t="str">
        <f>"1578729908524376"</f>
        <v>1578729908524376</v>
      </c>
      <c r="C2857" t="s">
        <v>40</v>
      </c>
      <c r="D2857">
        <v>5.6101159999999997</v>
      </c>
      <c r="E2857">
        <v>0.49848579999999998</v>
      </c>
      <c r="F2857" t="s">
        <v>57</v>
      </c>
      <c r="G2857">
        <v>-370.4228</v>
      </c>
      <c r="H2857" s="1">
        <v>-1.3118169999999999E-6</v>
      </c>
      <c r="I2857">
        <v>215.36179999999999</v>
      </c>
      <c r="J2857">
        <v>-386.70979999999997</v>
      </c>
      <c r="K2857">
        <v>1.110028</v>
      </c>
      <c r="L2857">
        <v>214.48220000000001</v>
      </c>
      <c r="M2857">
        <v>0.99886180000000002</v>
      </c>
      <c r="N2857">
        <v>0</v>
      </c>
      <c r="O2857">
        <v>4.5316099999999998E-2</v>
      </c>
      <c r="P2857">
        <v>0.99856440000000002</v>
      </c>
      <c r="Q2857">
        <v>2.7654680000000001E-2</v>
      </c>
      <c r="R2857">
        <v>4.587753E-2</v>
      </c>
      <c r="S2857">
        <v>3.0021360000000001</v>
      </c>
      <c r="T2857">
        <v>-0.19998589999999999</v>
      </c>
      <c r="U2857">
        <v>0.16148379999999901</v>
      </c>
      <c r="V2857">
        <v>-5.310178E-4</v>
      </c>
      <c r="W2857">
        <v>4.2536589999999999E-2</v>
      </c>
      <c r="X2857">
        <v>0.99909479999999995</v>
      </c>
      <c r="Y2857">
        <v>-8.4823969999999992E-3</v>
      </c>
      <c r="Z2857">
        <v>-2.7298309999999998E-3</v>
      </c>
      <c r="AA2857">
        <v>0.99996030000000002</v>
      </c>
      <c r="AB2857">
        <v>38</v>
      </c>
      <c r="AC2857">
        <v>16.2869999999999</v>
      </c>
      <c r="AD2857">
        <v>-1.1100293118169999</v>
      </c>
      <c r="AE2857">
        <v>0.87959999999998195</v>
      </c>
      <c r="AF2857">
        <v>-0.13990312777647501</v>
      </c>
      <c r="AG2857">
        <v>-1.1100293118169999</v>
      </c>
      <c r="AH2857">
        <v>16.234936936689898</v>
      </c>
      <c r="AI2857">
        <v>93.911244919344</v>
      </c>
      <c r="AJ2857">
        <v>90.493729072292894</v>
      </c>
      <c r="AK2857">
        <v>16.273442023633301</v>
      </c>
      <c r="AL2857">
        <v>87.562097443022907</v>
      </c>
      <c r="AM2857">
        <v>90.030452641652602</v>
      </c>
      <c r="AN2857">
        <v>1.0000000314278801</v>
      </c>
    </row>
    <row r="2858" spans="1:40" x14ac:dyDescent="0.3">
      <c r="A2858" t="str">
        <f>"20200111160508550"</f>
        <v>20200111160508550</v>
      </c>
      <c r="B2858" t="str">
        <f>"1578729908543896"</f>
        <v>1578729908543896</v>
      </c>
      <c r="C2858" t="s">
        <v>40</v>
      </c>
      <c r="D2858">
        <v>5.5645030000000002</v>
      </c>
      <c r="E2858">
        <v>0.49829109999999999</v>
      </c>
      <c r="F2858" t="s">
        <v>57</v>
      </c>
      <c r="G2858">
        <v>-370.13440000000003</v>
      </c>
      <c r="H2858" s="1">
        <v>-1.4652819999999999E-6</v>
      </c>
      <c r="I2858">
        <v>215.387</v>
      </c>
      <c r="J2858">
        <v>-386.33640000000003</v>
      </c>
      <c r="K2858">
        <v>1.109888</v>
      </c>
      <c r="L2858">
        <v>214.4984</v>
      </c>
      <c r="M2858">
        <v>0.99889720000000004</v>
      </c>
      <c r="N2858">
        <v>0</v>
      </c>
      <c r="O2858">
        <v>4.4530500000000001E-2</v>
      </c>
      <c r="P2858">
        <v>0.99848219999999999</v>
      </c>
      <c r="Q2858">
        <v>2.9334229999999999E-2</v>
      </c>
      <c r="R2858">
        <v>4.661829E-2</v>
      </c>
      <c r="S2858">
        <v>3.0023499999999999</v>
      </c>
      <c r="T2858">
        <v>-0.20106209999999999</v>
      </c>
      <c r="U2858">
        <v>0.1638947</v>
      </c>
      <c r="V2858">
        <v>-2.0425019999999999E-3</v>
      </c>
      <c r="W2858">
        <v>4.421539E-2</v>
      </c>
      <c r="X2858">
        <v>0.99901989999999996</v>
      </c>
      <c r="Y2858">
        <v>-1.0061230000000001E-2</v>
      </c>
      <c r="Z2858">
        <v>-2.6390070000000001E-3</v>
      </c>
      <c r="AA2858">
        <v>0.99994590000000005</v>
      </c>
      <c r="AB2858">
        <v>37</v>
      </c>
      <c r="AC2858">
        <v>16.201999999999899</v>
      </c>
      <c r="AD2858">
        <v>-1.1098894652819999</v>
      </c>
      <c r="AE2858">
        <v>0.88859999999999595</v>
      </c>
      <c r="AF2858">
        <v>-0.165381529454388</v>
      </c>
      <c r="AG2858">
        <v>-1.1098894652819999</v>
      </c>
      <c r="AH2858">
        <v>16.149939212538101</v>
      </c>
      <c r="AI2858">
        <v>93.931211797336005</v>
      </c>
      <c r="AJ2858">
        <v>90.586710099660706</v>
      </c>
      <c r="AK2858">
        <v>16.188877114985601</v>
      </c>
      <c r="AL2858">
        <v>87.4658184997609</v>
      </c>
      <c r="AM2858">
        <v>90.117141391467797</v>
      </c>
      <c r="AN2858">
        <v>0.99999996656164003</v>
      </c>
    </row>
    <row r="2859" spans="1:40" x14ac:dyDescent="0.3">
      <c r="A2859" t="str">
        <f>"20200111160508573"</f>
        <v>20200111160508573</v>
      </c>
      <c r="B2859" t="str">
        <f>"1578729908564392"</f>
        <v>1578729908564392</v>
      </c>
      <c r="C2859" t="s">
        <v>40</v>
      </c>
      <c r="D2859">
        <v>5.5823619999999998</v>
      </c>
      <c r="E2859">
        <v>0.49846980000000002</v>
      </c>
      <c r="F2859" t="s">
        <v>57</v>
      </c>
      <c r="G2859">
        <v>-369.60160000000002</v>
      </c>
      <c r="H2859" s="1">
        <v>3.572696E-6</v>
      </c>
      <c r="I2859">
        <v>215.4358</v>
      </c>
      <c r="J2859">
        <v>-385.9502</v>
      </c>
      <c r="K2859">
        <v>1.1097520000000001</v>
      </c>
      <c r="L2859">
        <v>214.5147</v>
      </c>
      <c r="M2859">
        <v>0.9989403</v>
      </c>
      <c r="N2859">
        <v>0</v>
      </c>
      <c r="O2859">
        <v>4.3550310000000002E-2</v>
      </c>
      <c r="P2859">
        <v>0.99838059999999995</v>
      </c>
      <c r="Q2859">
        <v>3.1373079999999998E-2</v>
      </c>
      <c r="R2859">
        <v>4.7454419999999997E-2</v>
      </c>
      <c r="S2859">
        <v>3.0025629999999999</v>
      </c>
      <c r="T2859">
        <v>-0.19913529999999999</v>
      </c>
      <c r="U2859">
        <v>0.16818239999999901</v>
      </c>
      <c r="V2859">
        <v>-3.841868E-3</v>
      </c>
      <c r="W2859">
        <v>4.6255119999999997E-2</v>
      </c>
      <c r="X2859">
        <v>0.99892230000000004</v>
      </c>
      <c r="Y2859">
        <v>-1.2453250000000001E-2</v>
      </c>
      <c r="Z2859">
        <v>-2.4694840000000001E-3</v>
      </c>
      <c r="AA2859">
        <v>0.99991940000000001</v>
      </c>
      <c r="AB2859">
        <v>37</v>
      </c>
      <c r="AC2859">
        <v>16.348599999999902</v>
      </c>
      <c r="AD2859">
        <v>-1.1097484273039999</v>
      </c>
      <c r="AE2859">
        <v>0.92109999999999503</v>
      </c>
      <c r="AF2859">
        <v>-0.20720864032163999</v>
      </c>
      <c r="AG2859">
        <v>-1.1097484273039999</v>
      </c>
      <c r="AH2859">
        <v>16.2983433290558</v>
      </c>
      <c r="AI2859">
        <v>93.894923276592806</v>
      </c>
      <c r="AJ2859">
        <v>90.728389428781298</v>
      </c>
      <c r="AK2859">
        <v>16.337394904460901</v>
      </c>
      <c r="AL2859">
        <v>87.348830967019495</v>
      </c>
      <c r="AM2859">
        <v>90.220359217646106</v>
      </c>
      <c r="AN2859">
        <v>1.00000002875661</v>
      </c>
    </row>
    <row r="2860" spans="1:40" x14ac:dyDescent="0.3">
      <c r="A2860" t="str">
        <f>"20200111160508595"</f>
        <v>20200111160508595</v>
      </c>
      <c r="B2860" t="str">
        <f>"1578729908583916"</f>
        <v>1578729908583916</v>
      </c>
      <c r="C2860" t="s">
        <v>40</v>
      </c>
      <c r="D2860">
        <v>5.6432500000000001</v>
      </c>
      <c r="E2860">
        <v>0.49832759999999998</v>
      </c>
      <c r="F2860" t="s">
        <v>57</v>
      </c>
      <c r="G2860">
        <v>-369.1293</v>
      </c>
      <c r="H2860" s="1">
        <v>3.3213829999999998E-6</v>
      </c>
      <c r="I2860">
        <v>215.4682</v>
      </c>
      <c r="J2860">
        <v>-385.59089999999998</v>
      </c>
      <c r="K2860">
        <v>1.1096379999999999</v>
      </c>
      <c r="L2860">
        <v>214.52950000000001</v>
      </c>
      <c r="M2860">
        <v>0.99898609999999999</v>
      </c>
      <c r="N2860">
        <v>0</v>
      </c>
      <c r="O2860">
        <v>4.2491649999999999E-2</v>
      </c>
      <c r="P2860">
        <v>0.99828919999999999</v>
      </c>
      <c r="Q2860">
        <v>3.3735849999999998E-2</v>
      </c>
      <c r="R2860">
        <v>4.7759709999999997E-2</v>
      </c>
      <c r="S2860">
        <v>3.0029599999999999</v>
      </c>
      <c r="T2860">
        <v>-0.1981184</v>
      </c>
      <c r="U2860">
        <v>0.1702118</v>
      </c>
      <c r="V2860">
        <v>-5.1902290000000002E-3</v>
      </c>
      <c r="W2860">
        <v>4.861853E-2</v>
      </c>
      <c r="X2860">
        <v>0.99880389999999997</v>
      </c>
      <c r="Y2860">
        <v>-1.417243E-2</v>
      </c>
      <c r="Z2860">
        <v>-2.3302869999999999E-3</v>
      </c>
      <c r="AA2860">
        <v>0.99989680000000003</v>
      </c>
      <c r="AB2860">
        <v>37</v>
      </c>
      <c r="AC2860">
        <v>16.461599999999901</v>
      </c>
      <c r="AD2860">
        <v>-1.1096346786169999</v>
      </c>
      <c r="AE2860">
        <v>0.93869999999998199</v>
      </c>
      <c r="AF2860">
        <v>-0.23721968978282901</v>
      </c>
      <c r="AG2860">
        <v>-1.1096346786169999</v>
      </c>
      <c r="AH2860">
        <v>16.412288385257799</v>
      </c>
      <c r="AI2860">
        <v>93.8674780960107</v>
      </c>
      <c r="AJ2860">
        <v>90.828083223566793</v>
      </c>
      <c r="AK2860">
        <v>16.4514671790111</v>
      </c>
      <c r="AL2860">
        <v>87.213264729046003</v>
      </c>
      <c r="AM2860">
        <v>90.297731656579401</v>
      </c>
      <c r="AN2860">
        <v>0.99999996529582103</v>
      </c>
    </row>
    <row r="2861" spans="1:40" x14ac:dyDescent="0.3">
      <c r="A2861" t="str">
        <f>"20200111160508617"</f>
        <v>20200111160508617</v>
      </c>
      <c r="B2861" t="str">
        <f>"1578729908614168"</f>
        <v>1578729908614168</v>
      </c>
      <c r="C2861" t="s">
        <v>40</v>
      </c>
      <c r="D2861">
        <v>5.5442349999999996</v>
      </c>
      <c r="E2861">
        <v>0.49816670000000002</v>
      </c>
      <c r="F2861" t="s">
        <v>57</v>
      </c>
      <c r="G2861">
        <v>-368.51389999999998</v>
      </c>
      <c r="H2861" s="1">
        <v>2.993853E-6</v>
      </c>
      <c r="I2861">
        <v>215.51349999999999</v>
      </c>
      <c r="J2861">
        <v>-385.23020000000002</v>
      </c>
      <c r="K2861">
        <v>1.109523</v>
      </c>
      <c r="L2861">
        <v>214.5437</v>
      </c>
      <c r="M2861">
        <v>0.99903589999999998</v>
      </c>
      <c r="N2861">
        <v>0</v>
      </c>
      <c r="O2861">
        <v>4.1303220000000002E-2</v>
      </c>
      <c r="P2861">
        <v>0.99824860000000004</v>
      </c>
      <c r="Q2861">
        <v>3.5604129999999998E-2</v>
      </c>
      <c r="R2861">
        <v>4.7245959999999997E-2</v>
      </c>
      <c r="S2861">
        <v>3.0034179999999999</v>
      </c>
      <c r="T2861">
        <v>-0.19515589999999999</v>
      </c>
      <c r="U2861">
        <v>0.1730652</v>
      </c>
      <c r="V2861">
        <v>-5.8478849999999997E-3</v>
      </c>
      <c r="W2861">
        <v>5.0486379999999997E-2</v>
      </c>
      <c r="X2861">
        <v>0.99870769999999998</v>
      </c>
      <c r="Y2861">
        <v>-1.6291340000000001E-2</v>
      </c>
      <c r="Z2861">
        <v>-2.1493910000000001E-3</v>
      </c>
      <c r="AA2861">
        <v>0.999865</v>
      </c>
      <c r="AB2861">
        <v>37</v>
      </c>
      <c r="AC2861">
        <v>16.7163</v>
      </c>
      <c r="AD2861">
        <v>-1.1095200061470001</v>
      </c>
      <c r="AE2861">
        <v>0.969799999999992</v>
      </c>
      <c r="AF2861">
        <v>-0.277241538744534</v>
      </c>
      <c r="AG2861">
        <v>-1.1095200061470001</v>
      </c>
      <c r="AH2861">
        <v>16.668904773809299</v>
      </c>
      <c r="AI2861">
        <v>93.807594247360896</v>
      </c>
      <c r="AJ2861">
        <v>90.952870376845695</v>
      </c>
      <c r="AK2861">
        <v>16.7080903718279</v>
      </c>
      <c r="AL2861">
        <v>87.106113461235694</v>
      </c>
      <c r="AM2861">
        <v>90.335488852586195</v>
      </c>
      <c r="AN2861">
        <v>1.0000000711818799</v>
      </c>
    </row>
    <row r="2862" spans="1:40" x14ac:dyDescent="0.3">
      <c r="A2862" t="str">
        <f>"20200111160508639"</f>
        <v>20200111160508639</v>
      </c>
      <c r="B2862" t="str">
        <f>"1578729908633688"</f>
        <v>1578729908633688</v>
      </c>
      <c r="C2862" t="s">
        <v>40</v>
      </c>
      <c r="D2862">
        <v>5.6232829999999998</v>
      </c>
      <c r="E2862">
        <v>0.49827830000000001</v>
      </c>
      <c r="F2862" t="s">
        <v>57</v>
      </c>
      <c r="G2862">
        <v>-368.08609999999999</v>
      </c>
      <c r="H2862" s="1">
        <v>2.7662139999999998E-6</v>
      </c>
      <c r="I2862">
        <v>215.53110000000001</v>
      </c>
      <c r="J2862">
        <v>-384.8503</v>
      </c>
      <c r="K2862">
        <v>1.1094139999999999</v>
      </c>
      <c r="L2862">
        <v>214.5582</v>
      </c>
      <c r="M2862">
        <v>0.99909110000000001</v>
      </c>
      <c r="N2862">
        <v>0</v>
      </c>
      <c r="O2862">
        <v>3.994578E-2</v>
      </c>
      <c r="P2862">
        <v>0.99829829999999997</v>
      </c>
      <c r="Q2862">
        <v>3.6823149999999999E-2</v>
      </c>
      <c r="R2862">
        <v>4.5219769999999999E-2</v>
      </c>
      <c r="S2862">
        <v>3.0040279999999999</v>
      </c>
      <c r="T2862">
        <v>-0.194412</v>
      </c>
      <c r="U2862">
        <v>0.17301939999999999</v>
      </c>
      <c r="V2862">
        <v>-5.16228E-3</v>
      </c>
      <c r="W2862">
        <v>5.1702629999999999E-2</v>
      </c>
      <c r="X2862">
        <v>0.99864920000000001</v>
      </c>
      <c r="Y2862">
        <v>-1.7617009999999999E-2</v>
      </c>
      <c r="Z2862">
        <v>-2.0103759999999999E-3</v>
      </c>
      <c r="AA2862">
        <v>0.99984280000000003</v>
      </c>
      <c r="AB2862">
        <v>37</v>
      </c>
      <c r="AC2862">
        <v>16.764199999999999</v>
      </c>
      <c r="AD2862">
        <v>-1.10941123378599</v>
      </c>
      <c r="AE2862">
        <v>0.97290000000000998</v>
      </c>
      <c r="AF2862">
        <v>-0.30107602763360902</v>
      </c>
      <c r="AG2862">
        <v>-1.10941123378599</v>
      </c>
      <c r="AH2862">
        <v>16.716719945334098</v>
      </c>
      <c r="AI2862">
        <v>93.796273746434906</v>
      </c>
      <c r="AJ2862">
        <v>91.031812514962994</v>
      </c>
      <c r="AK2862">
        <v>16.756197832169399</v>
      </c>
      <c r="AL2862">
        <v>87.036336170598503</v>
      </c>
      <c r="AM2862">
        <v>90.296174294432205</v>
      </c>
      <c r="AN2862">
        <v>1.00000001787217</v>
      </c>
    </row>
    <row r="2863" spans="1:40" x14ac:dyDescent="0.3">
      <c r="A2863" t="str">
        <f>"20200111160508662"</f>
        <v>20200111160508662</v>
      </c>
      <c r="B2863" t="str">
        <f>"1578729908654184"</f>
        <v>1578729908654184</v>
      </c>
      <c r="C2863" t="s">
        <v>40</v>
      </c>
      <c r="D2863">
        <v>5.4904339999999996</v>
      </c>
      <c r="E2863">
        <v>0.49831300000000001</v>
      </c>
      <c r="F2863" t="s">
        <v>57</v>
      </c>
      <c r="G2863">
        <v>-367.61759999999998</v>
      </c>
      <c r="H2863" s="1">
        <v>2.5169509999999999E-6</v>
      </c>
      <c r="I2863">
        <v>215.51220000000001</v>
      </c>
      <c r="J2863">
        <v>-384.45479999999998</v>
      </c>
      <c r="K2863">
        <v>1.109316</v>
      </c>
      <c r="L2863">
        <v>214.57259999999999</v>
      </c>
      <c r="M2863">
        <v>0.99914970000000003</v>
      </c>
      <c r="N2863">
        <v>0</v>
      </c>
      <c r="O2863">
        <v>3.8454009999999997E-2</v>
      </c>
      <c r="P2863">
        <v>0.99839679999999997</v>
      </c>
      <c r="Q2863">
        <v>3.7687190000000002E-2</v>
      </c>
      <c r="R2863">
        <v>4.2231629999999999E-2</v>
      </c>
      <c r="S2863">
        <v>3.0047000000000001</v>
      </c>
      <c r="T2863">
        <v>-0.19343830000000001</v>
      </c>
      <c r="U2863">
        <v>0.16635129999999901</v>
      </c>
      <c r="V2863">
        <v>-3.6497220000000002E-3</v>
      </c>
      <c r="W2863">
        <v>5.2559759999999997E-2</v>
      </c>
      <c r="X2863">
        <v>0.99861109999999997</v>
      </c>
      <c r="Y2863">
        <v>-1.6883180000000001E-2</v>
      </c>
      <c r="Z2863">
        <v>-1.9278469999999999E-3</v>
      </c>
      <c r="AA2863">
        <v>0.99985559999999996</v>
      </c>
      <c r="AB2863">
        <v>37</v>
      </c>
      <c r="AC2863">
        <v>16.8371999999999</v>
      </c>
      <c r="AD2863">
        <v>-1.1093134830489999</v>
      </c>
      <c r="AE2863">
        <v>0.93960000000001198</v>
      </c>
      <c r="AF2863">
        <v>-0.29011998348969997</v>
      </c>
      <c r="AG2863">
        <v>-1.1093134830489999</v>
      </c>
      <c r="AH2863">
        <v>16.788231389397701</v>
      </c>
      <c r="AI2863">
        <v>93.779866440118894</v>
      </c>
      <c r="AJ2863">
        <v>90.990038545315301</v>
      </c>
      <c r="AK2863">
        <v>16.827342606378899</v>
      </c>
      <c r="AL2863">
        <v>86.987159282813195</v>
      </c>
      <c r="AM2863">
        <v>90.209403576548894</v>
      </c>
      <c r="AN2863">
        <v>0.99999998894257203</v>
      </c>
    </row>
    <row r="2864" spans="1:40" x14ac:dyDescent="0.3">
      <c r="A2864" t="str">
        <f>"20200111160508685"</f>
        <v>20200111160508685</v>
      </c>
      <c r="B2864" t="str">
        <f>"1578729908673703"</f>
        <v>1578729908673703</v>
      </c>
      <c r="C2864" t="s">
        <v>40</v>
      </c>
      <c r="D2864">
        <v>5.5417180000000004</v>
      </c>
      <c r="E2864">
        <v>0.49830219999999997</v>
      </c>
      <c r="F2864" t="s">
        <v>57</v>
      </c>
      <c r="G2864">
        <v>-367.25920000000002</v>
      </c>
      <c r="H2864" s="1">
        <v>2.3262109999999999E-6</v>
      </c>
      <c r="I2864">
        <v>215.47120000000001</v>
      </c>
      <c r="J2864">
        <v>-384.09879999999998</v>
      </c>
      <c r="K2864">
        <v>1.1092470000000001</v>
      </c>
      <c r="L2864">
        <v>214.58500000000001</v>
      </c>
      <c r="M2864">
        <v>0.99920220000000004</v>
      </c>
      <c r="N2864">
        <v>0</v>
      </c>
      <c r="O2864">
        <v>3.7064119999999999E-2</v>
      </c>
      <c r="P2864">
        <v>0.99855850000000002</v>
      </c>
      <c r="Q2864">
        <v>3.7187810000000002E-2</v>
      </c>
      <c r="R2864">
        <v>3.8703300000000003E-2</v>
      </c>
      <c r="S2864">
        <v>3.005493</v>
      </c>
      <c r="T2864">
        <v>-0.1938888</v>
      </c>
      <c r="U2864">
        <v>0.1570587</v>
      </c>
      <c r="V2864">
        <v>-1.501255E-3</v>
      </c>
      <c r="W2864">
        <v>5.205216E-2</v>
      </c>
      <c r="X2864">
        <v>0.99864319999999895</v>
      </c>
      <c r="Y2864">
        <v>-1.517777E-2</v>
      </c>
      <c r="Z2864">
        <v>-1.8975019999999999E-3</v>
      </c>
      <c r="AA2864">
        <v>0.99988299999999997</v>
      </c>
      <c r="AB2864">
        <v>37</v>
      </c>
      <c r="AC2864">
        <v>16.839599999999901</v>
      </c>
      <c r="AD2864">
        <v>-1.1092446737889901</v>
      </c>
      <c r="AE2864">
        <v>0.88620000000000199</v>
      </c>
      <c r="AF2864">
        <v>-0.260250832743254</v>
      </c>
      <c r="AG2864">
        <v>-1.1092446737889901</v>
      </c>
      <c r="AH2864">
        <v>16.788233415223001</v>
      </c>
      <c r="AI2864">
        <v>93.779742084390804</v>
      </c>
      <c r="AJ2864">
        <v>90.888126801966393</v>
      </c>
      <c r="AK2864">
        <v>16.8268516201422</v>
      </c>
      <c r="AL2864">
        <v>87.016282404304505</v>
      </c>
      <c r="AM2864">
        <v>90.086132375084105</v>
      </c>
      <c r="AN2864">
        <v>0.99999996101673905</v>
      </c>
    </row>
    <row r="2865" spans="1:40" x14ac:dyDescent="0.3">
      <c r="A2865" t="str">
        <f>"20200111160508705"</f>
        <v>20200111160508705</v>
      </c>
      <c r="B2865" t="str">
        <f>"1578729908703960"</f>
        <v>1578729908703960</v>
      </c>
      <c r="C2865" t="s">
        <v>40</v>
      </c>
      <c r="D2865">
        <v>5.4261119999999998</v>
      </c>
      <c r="E2865">
        <v>0.49836449999999999</v>
      </c>
      <c r="F2865" t="s">
        <v>57</v>
      </c>
      <c r="G2865">
        <v>-366.77510000000001</v>
      </c>
      <c r="H2865" s="1">
        <v>2.068609E-6</v>
      </c>
      <c r="I2865">
        <v>215.42760000000001</v>
      </c>
      <c r="J2865">
        <v>-383.74250000000001</v>
      </c>
      <c r="K2865">
        <v>1.1091869999999999</v>
      </c>
      <c r="L2865">
        <v>214.59690000000001</v>
      </c>
      <c r="M2865">
        <v>0.99925359999999996</v>
      </c>
      <c r="N2865">
        <v>0</v>
      </c>
      <c r="O2865">
        <v>3.565335E-2</v>
      </c>
      <c r="P2865">
        <v>0.9986872</v>
      </c>
      <c r="Q2865">
        <v>3.6611020000000001E-2</v>
      </c>
      <c r="R2865">
        <v>3.5831580000000002E-2</v>
      </c>
      <c r="S2865">
        <v>3.0058590000000001</v>
      </c>
      <c r="T2865">
        <v>-0.192467</v>
      </c>
      <c r="U2865">
        <v>0.14619450000000001</v>
      </c>
      <c r="V2865" s="1">
        <v>-3.3370220000000003E-5</v>
      </c>
      <c r="W2865">
        <v>5.1468340000000001E-2</v>
      </c>
      <c r="X2865">
        <v>0.99867459999999997</v>
      </c>
      <c r="Y2865">
        <v>-1.2979279999999999E-2</v>
      </c>
      <c r="Z2865">
        <v>-1.863757E-3</v>
      </c>
      <c r="AA2865">
        <v>0.99991410000000003</v>
      </c>
      <c r="AB2865">
        <v>37</v>
      </c>
      <c r="AC2865">
        <v>16.967399999999898</v>
      </c>
      <c r="AD2865">
        <v>-1.1091849313910001</v>
      </c>
      <c r="AE2865">
        <v>0.83070000000000699</v>
      </c>
      <c r="AF2865">
        <v>-0.22420437325510001</v>
      </c>
      <c r="AG2865">
        <v>-1.1091849313910001</v>
      </c>
      <c r="AH2865">
        <v>16.914121947579801</v>
      </c>
      <c r="AI2865">
        <v>93.751610166478301</v>
      </c>
      <c r="AJ2865">
        <v>90.759437118841404</v>
      </c>
      <c r="AK2865">
        <v>16.9519344049761</v>
      </c>
      <c r="AL2865">
        <v>87.049777765306601</v>
      </c>
      <c r="AM2865">
        <v>90.001914510258601</v>
      </c>
      <c r="AN2865">
        <v>0.99999997391054296</v>
      </c>
    </row>
    <row r="2866" spans="1:40" x14ac:dyDescent="0.3">
      <c r="A2866" t="str">
        <f>"20200111160508729"</f>
        <v>20200111160508729</v>
      </c>
      <c r="B2866" t="str">
        <f>"1578729908724456"</f>
        <v>1578729908724456</v>
      </c>
      <c r="C2866" t="s">
        <v>40</v>
      </c>
      <c r="D2866">
        <v>5.4313019999999996</v>
      </c>
      <c r="E2866">
        <v>0.49827909999999997</v>
      </c>
      <c r="F2866" t="s">
        <v>57</v>
      </c>
      <c r="G2866">
        <v>-366.88170000000002</v>
      </c>
      <c r="H2866" s="1">
        <v>2.1252890000000001E-6</v>
      </c>
      <c r="I2866">
        <v>215.3656</v>
      </c>
      <c r="J2866">
        <v>-383.36270000000002</v>
      </c>
      <c r="K2866">
        <v>1.1091500000000001</v>
      </c>
      <c r="L2866">
        <v>214.60900000000001</v>
      </c>
      <c r="M2866">
        <v>0.99930640000000004</v>
      </c>
      <c r="N2866">
        <v>0</v>
      </c>
      <c r="O2866">
        <v>3.4144319999999999E-2</v>
      </c>
      <c r="P2866">
        <v>0.99877939999999998</v>
      </c>
      <c r="Q2866">
        <v>3.5881549999999998E-2</v>
      </c>
      <c r="R2866">
        <v>3.39514E-2</v>
      </c>
      <c r="S2866">
        <v>3.0062869999999999</v>
      </c>
      <c r="T2866">
        <v>-0.19776730000000001</v>
      </c>
      <c r="U2866">
        <v>0.13705439999999999</v>
      </c>
      <c r="V2866">
        <v>3.4187490000000002E-4</v>
      </c>
      <c r="W2866">
        <v>5.073449E-2</v>
      </c>
      <c r="X2866">
        <v>0.99871209999999999</v>
      </c>
      <c r="Y2866">
        <v>-1.1451680000000001E-2</v>
      </c>
      <c r="Z2866">
        <v>-1.865998E-3</v>
      </c>
      <c r="AA2866">
        <v>0.99993270000000001</v>
      </c>
      <c r="AB2866">
        <v>37</v>
      </c>
      <c r="AC2866">
        <v>16.480999999999899</v>
      </c>
      <c r="AD2866">
        <v>-1.109147874711</v>
      </c>
      <c r="AE2866">
        <v>0.75659999999999095</v>
      </c>
      <c r="AF2866">
        <v>-0.19249404999108699</v>
      </c>
      <c r="AG2866">
        <v>-1.109147874711</v>
      </c>
      <c r="AH2866">
        <v>16.4229995035871</v>
      </c>
      <c r="AI2866">
        <v>93.863410646459499</v>
      </c>
      <c r="AJ2866">
        <v>90.671533334628606</v>
      </c>
      <c r="AK2866">
        <v>16.461536248542501</v>
      </c>
      <c r="AL2866">
        <v>87.091879305688806</v>
      </c>
      <c r="AM2866">
        <v>89.980386751971494</v>
      </c>
      <c r="AN2866">
        <v>0.99999998202020801</v>
      </c>
    </row>
    <row r="2867" spans="1:40" x14ac:dyDescent="0.3">
      <c r="A2867" t="str">
        <f>"20200111160508751"</f>
        <v>20200111160508751</v>
      </c>
      <c r="B2867" t="str">
        <f>"1578729908743976"</f>
        <v>1578729908743976</v>
      </c>
      <c r="C2867" t="s">
        <v>40</v>
      </c>
      <c r="D2867">
        <v>5.5136159999999999</v>
      </c>
      <c r="E2867">
        <v>0.49830150000000001</v>
      </c>
      <c r="F2867" t="s">
        <v>57</v>
      </c>
      <c r="G2867">
        <v>-366.84559999999999</v>
      </c>
      <c r="H2867" s="1">
        <v>2.1061250000000001E-6</v>
      </c>
      <c r="I2867">
        <v>215.33320000000001</v>
      </c>
      <c r="J2867">
        <v>-382.98649999999998</v>
      </c>
      <c r="K2867">
        <v>1.109129</v>
      </c>
      <c r="L2867">
        <v>214.62049999999999</v>
      </c>
      <c r="M2867">
        <v>0.99935620000000003</v>
      </c>
      <c r="N2867">
        <v>0</v>
      </c>
      <c r="O2867">
        <v>3.265759E-2</v>
      </c>
      <c r="P2867">
        <v>0.99880519999999995</v>
      </c>
      <c r="Q2867">
        <v>3.5981649999999997E-2</v>
      </c>
      <c r="R2867">
        <v>3.3072900000000002E-2</v>
      </c>
      <c r="S2867">
        <v>3.0064389999999999</v>
      </c>
      <c r="T2867">
        <v>-0.20188790000000001</v>
      </c>
      <c r="U2867">
        <v>0.13182070000000001</v>
      </c>
      <c r="V2867">
        <v>-2.6269919999999999E-4</v>
      </c>
      <c r="W2867">
        <v>5.0832120000000001E-2</v>
      </c>
      <c r="X2867">
        <v>0.99870720000000002</v>
      </c>
      <c r="Y2867">
        <v>-1.119903E-2</v>
      </c>
      <c r="Z2867">
        <v>-1.813645E-3</v>
      </c>
      <c r="AA2867">
        <v>0.99993560000000004</v>
      </c>
      <c r="AB2867">
        <v>37</v>
      </c>
      <c r="AC2867">
        <v>16.140899999999899</v>
      </c>
      <c r="AD2867">
        <v>-1.1091268938750001</v>
      </c>
      <c r="AE2867">
        <v>0.71270000000001199</v>
      </c>
      <c r="AF2867">
        <v>-0.184270304234249</v>
      </c>
      <c r="AG2867">
        <v>-1.1091268938750001</v>
      </c>
      <c r="AH2867">
        <v>16.0797884560582</v>
      </c>
      <c r="AI2867">
        <v>93.9455520155702</v>
      </c>
      <c r="AJ2867">
        <v>90.656566385318598</v>
      </c>
      <c r="AK2867">
        <v>16.119048197809999</v>
      </c>
      <c r="AL2867">
        <v>87.086278409326397</v>
      </c>
      <c r="AM2867">
        <v>90.015071038933399</v>
      </c>
      <c r="AN2867">
        <v>1.0000000223832</v>
      </c>
    </row>
    <row r="2868" spans="1:40" x14ac:dyDescent="0.3">
      <c r="A2868" t="str">
        <f>"20200111160508774"</f>
        <v>20200111160508774</v>
      </c>
      <c r="B2868" t="str">
        <f>"1578729908764471"</f>
        <v>1578729908764471</v>
      </c>
      <c r="C2868" t="s">
        <v>40</v>
      </c>
      <c r="D2868">
        <v>5.4140480000000002</v>
      </c>
      <c r="E2868">
        <v>0.49831120000000001</v>
      </c>
      <c r="F2868" t="s">
        <v>57</v>
      </c>
      <c r="G2868">
        <v>-366.60890000000001</v>
      </c>
      <c r="H2868" s="1">
        <v>1.9801260000000002E-6</v>
      </c>
      <c r="I2868">
        <v>215.3212</v>
      </c>
      <c r="J2868">
        <v>-382.61070000000001</v>
      </c>
      <c r="K2868">
        <v>1.109124</v>
      </c>
      <c r="L2868">
        <v>214.63140000000001</v>
      </c>
      <c r="M2868">
        <v>0.99940289999999998</v>
      </c>
      <c r="N2868">
        <v>0</v>
      </c>
      <c r="O2868">
        <v>3.1192330000000001E-2</v>
      </c>
      <c r="P2868">
        <v>0.99874969999999996</v>
      </c>
      <c r="Q2868">
        <v>3.750448E-2</v>
      </c>
      <c r="R2868">
        <v>3.3053680000000002E-2</v>
      </c>
      <c r="S2868">
        <v>3.0066830000000002</v>
      </c>
      <c r="T2868">
        <v>-0.20361940000000001</v>
      </c>
      <c r="U2868">
        <v>0.12864690000000001</v>
      </c>
      <c r="V2868">
        <v>-1.704084E-3</v>
      </c>
      <c r="W2868">
        <v>5.235501E-2</v>
      </c>
      <c r="X2868">
        <v>0.99862709999999999</v>
      </c>
      <c r="Y2868">
        <v>-1.160455E-2</v>
      </c>
      <c r="Z2868">
        <v>-1.716347E-3</v>
      </c>
      <c r="AA2868">
        <v>0.99993120000000002</v>
      </c>
      <c r="AB2868">
        <v>37</v>
      </c>
      <c r="AC2868">
        <v>16.001799999999999</v>
      </c>
      <c r="AD2868">
        <v>-1.1091220198739999</v>
      </c>
      <c r="AE2868">
        <v>0.68979999999999098</v>
      </c>
      <c r="AF2868">
        <v>-0.189367637277259</v>
      </c>
      <c r="AG2868">
        <v>-1.1091220198739999</v>
      </c>
      <c r="AH2868">
        <v>15.939098098333901</v>
      </c>
      <c r="AI2868">
        <v>93.980230024501694</v>
      </c>
      <c r="AJ2868">
        <v>90.680681922780295</v>
      </c>
      <c r="AK2868">
        <v>15.9787627789303</v>
      </c>
      <c r="AL2868">
        <v>86.998906855212198</v>
      </c>
      <c r="AM2868">
        <v>90.0977709561122</v>
      </c>
      <c r="AN2868">
        <v>1.00000001791439</v>
      </c>
    </row>
    <row r="2869" spans="1:40" x14ac:dyDescent="0.3">
      <c r="A2869" t="str">
        <f>"20200111160508795"</f>
        <v>20200111160508795</v>
      </c>
      <c r="B2869" t="str">
        <f>"1578729908783994"</f>
        <v>1578729908783994</v>
      </c>
      <c r="C2869" t="s">
        <v>40</v>
      </c>
      <c r="D2869">
        <v>5.4599520000000004</v>
      </c>
      <c r="E2869">
        <v>0.4982258</v>
      </c>
      <c r="F2869" t="s">
        <v>57</v>
      </c>
      <c r="G2869">
        <v>-365.98880000000003</v>
      </c>
      <c r="H2869" s="1">
        <v>1.6501389999999999E-6</v>
      </c>
      <c r="I2869">
        <v>215.34289999999999</v>
      </c>
      <c r="J2869">
        <v>-382.26850000000002</v>
      </c>
      <c r="K2869">
        <v>1.109137</v>
      </c>
      <c r="L2869">
        <v>214.64080000000001</v>
      </c>
      <c r="M2869">
        <v>0.99944319999999998</v>
      </c>
      <c r="N2869">
        <v>0</v>
      </c>
      <c r="O2869">
        <v>2.9878769999999999E-2</v>
      </c>
      <c r="P2869">
        <v>0.99867039999999996</v>
      </c>
      <c r="Q2869">
        <v>3.9622190000000002E-2</v>
      </c>
      <c r="R2869">
        <v>3.2978559999999997E-2</v>
      </c>
      <c r="S2869">
        <v>3.0070190000000001</v>
      </c>
      <c r="T2869">
        <v>-0.20064760000000001</v>
      </c>
      <c r="U2869">
        <v>0.12872310000000001</v>
      </c>
      <c r="V2869">
        <v>-2.9375389999999999E-3</v>
      </c>
      <c r="W2869">
        <v>5.4472E-2</v>
      </c>
      <c r="X2869">
        <v>0.99851100000000004</v>
      </c>
      <c r="Y2869">
        <v>-1.293216E-2</v>
      </c>
      <c r="Z2869">
        <v>-1.5594770000000001E-3</v>
      </c>
      <c r="AA2869">
        <v>0.9999152</v>
      </c>
      <c r="AB2869">
        <v>37</v>
      </c>
      <c r="AC2869">
        <v>16.279699999999899</v>
      </c>
      <c r="AD2869">
        <v>-1.1091353498609999</v>
      </c>
      <c r="AE2869">
        <v>0.70209999999997297</v>
      </c>
      <c r="AF2869">
        <v>-0.214322432089121</v>
      </c>
      <c r="AG2869">
        <v>-1.1091353498609999</v>
      </c>
      <c r="AH2869">
        <v>16.218269744121201</v>
      </c>
      <c r="AI2869">
        <v>93.911912883743199</v>
      </c>
      <c r="AJ2869">
        <v>90.757112581349404</v>
      </c>
      <c r="AK2869">
        <v>16.257564049459699</v>
      </c>
      <c r="AL2869">
        <v>86.877438858571097</v>
      </c>
      <c r="AM2869">
        <v>90.168559085772102</v>
      </c>
      <c r="AN2869">
        <v>1.0000000225201799</v>
      </c>
    </row>
    <row r="2870" spans="1:40" x14ac:dyDescent="0.3">
      <c r="A2870" t="str">
        <f>"20200111160508818"</f>
        <v>20200111160508818</v>
      </c>
      <c r="B2870" t="str">
        <f>"1578729908814247"</f>
        <v>1578729908814247</v>
      </c>
      <c r="C2870" t="s">
        <v>40</v>
      </c>
      <c r="D2870">
        <v>5.4214419999999999</v>
      </c>
      <c r="E2870">
        <v>0.4980463</v>
      </c>
      <c r="F2870" t="s">
        <v>57</v>
      </c>
      <c r="G2870">
        <v>-365.27</v>
      </c>
      <c r="H2870" s="1">
        <v>1.2676529999999999E-6</v>
      </c>
      <c r="I2870">
        <v>215.3724</v>
      </c>
      <c r="J2870">
        <v>-381.89789999999999</v>
      </c>
      <c r="K2870">
        <v>1.1091519999999999</v>
      </c>
      <c r="L2870">
        <v>214.6506</v>
      </c>
      <c r="M2870">
        <v>0.99948409999999999</v>
      </c>
      <c r="N2870">
        <v>0</v>
      </c>
      <c r="O2870">
        <v>2.8479290000000001E-2</v>
      </c>
      <c r="P2870">
        <v>0.99860380000000004</v>
      </c>
      <c r="Q2870">
        <v>4.0978220000000003E-2</v>
      </c>
      <c r="R2870">
        <v>3.3337980000000003E-2</v>
      </c>
      <c r="S2870">
        <v>3.0075379999999998</v>
      </c>
      <c r="T2870">
        <v>-0.19623959999999999</v>
      </c>
      <c r="U2870">
        <v>0.12944030000000001</v>
      </c>
      <c r="V2870">
        <v>-4.6940910000000001E-3</v>
      </c>
      <c r="W2870">
        <v>5.582844E-2</v>
      </c>
      <c r="X2870">
        <v>0.99842940000000002</v>
      </c>
      <c r="Y2870">
        <v>-1.4554839999999999E-2</v>
      </c>
      <c r="Z2870">
        <v>-1.3810319999999999E-3</v>
      </c>
      <c r="AA2870">
        <v>0.99989309999999998</v>
      </c>
      <c r="AB2870">
        <v>37</v>
      </c>
      <c r="AC2870">
        <v>16.6279</v>
      </c>
      <c r="AD2870">
        <v>-1.109150732347</v>
      </c>
      <c r="AE2870">
        <v>0.721800000000001</v>
      </c>
      <c r="AF2870">
        <v>-0.24680807089163001</v>
      </c>
      <c r="AG2870">
        <v>-1.109150732347</v>
      </c>
      <c r="AH2870">
        <v>16.5681321419375</v>
      </c>
      <c r="AI2870">
        <v>93.829517797367401</v>
      </c>
      <c r="AJ2870">
        <v>90.853446533885801</v>
      </c>
      <c r="AK2870">
        <v>16.607050678661299</v>
      </c>
      <c r="AL2870">
        <v>86.799602218571806</v>
      </c>
      <c r="AM2870">
        <v>90.269372698112605</v>
      </c>
      <c r="AN2870">
        <v>1.00000005799375</v>
      </c>
    </row>
    <row r="2871" spans="1:40" x14ac:dyDescent="0.3">
      <c r="A2871" t="str">
        <f>"20200111160508840"</f>
        <v>20200111160508840</v>
      </c>
      <c r="B2871" t="str">
        <f>"1578729908833767"</f>
        <v>1578729908833767</v>
      </c>
      <c r="C2871" t="s">
        <v>40</v>
      </c>
      <c r="D2871">
        <v>5.4452540000000003</v>
      </c>
      <c r="E2871">
        <v>0.49803760000000002</v>
      </c>
      <c r="F2871" t="s">
        <v>57</v>
      </c>
      <c r="G2871">
        <v>-364.7799</v>
      </c>
      <c r="H2871" s="1">
        <v>1.0068499999999999E-6</v>
      </c>
      <c r="I2871">
        <v>215.40389999999999</v>
      </c>
      <c r="J2871">
        <v>-381.52069999999998</v>
      </c>
      <c r="K2871">
        <v>1.1091679999999999</v>
      </c>
      <c r="L2871">
        <v>214.66</v>
      </c>
      <c r="M2871">
        <v>0.99952300000000005</v>
      </c>
      <c r="N2871">
        <v>0</v>
      </c>
      <c r="O2871">
        <v>2.7079490000000001E-2</v>
      </c>
      <c r="P2871">
        <v>0.99857810000000002</v>
      </c>
      <c r="Q2871">
        <v>4.1374269999999998E-2</v>
      </c>
      <c r="R2871">
        <v>3.3616159999999999E-2</v>
      </c>
      <c r="S2871">
        <v>3.0078130000000001</v>
      </c>
      <c r="T2871">
        <v>-0.19489029999999999</v>
      </c>
      <c r="U2871">
        <v>0.13236999999999999</v>
      </c>
      <c r="V2871">
        <v>-6.3716750000000003E-3</v>
      </c>
      <c r="W2871">
        <v>5.6225980000000002E-2</v>
      </c>
      <c r="X2871">
        <v>0.99839770000000005</v>
      </c>
      <c r="Y2871">
        <v>-1.6915019999999999E-2</v>
      </c>
      <c r="Z2871">
        <v>-1.2045319999999999E-3</v>
      </c>
      <c r="AA2871">
        <v>0.99985619999999997</v>
      </c>
      <c r="AB2871">
        <v>37</v>
      </c>
      <c r="AC2871">
        <v>16.740799999999901</v>
      </c>
      <c r="AD2871">
        <v>-1.1091669931499999</v>
      </c>
      <c r="AE2871">
        <v>0.74389999999999601</v>
      </c>
      <c r="AF2871">
        <v>-0.28897878138731098</v>
      </c>
      <c r="AG2871">
        <v>-1.1091669931499999</v>
      </c>
      <c r="AH2871">
        <v>16.6817216125587</v>
      </c>
      <c r="AI2871">
        <v>93.803425970837694</v>
      </c>
      <c r="AJ2871">
        <v>90.992440049472407</v>
      </c>
      <c r="AK2871">
        <v>16.721052482236001</v>
      </c>
      <c r="AL2871">
        <v>86.776788715743706</v>
      </c>
      <c r="AM2871">
        <v>90.365651012395801</v>
      </c>
      <c r="AN2871">
        <v>0.99999996321727702</v>
      </c>
    </row>
    <row r="2872" spans="1:40" x14ac:dyDescent="0.3">
      <c r="A2872" t="str">
        <f>"20200111160508865"</f>
        <v>20200111160508865</v>
      </c>
      <c r="B2872" t="str">
        <f>"1578729908854263"</f>
        <v>1578729908854263</v>
      </c>
      <c r="C2872" t="s">
        <v>40</v>
      </c>
      <c r="D2872">
        <v>5.4684419999999996</v>
      </c>
      <c r="E2872">
        <v>0.49800949999999999</v>
      </c>
      <c r="F2872" t="s">
        <v>57</v>
      </c>
      <c r="G2872">
        <v>-364.47050000000002</v>
      </c>
      <c r="H2872" s="1">
        <v>8.4219439999999997E-7</v>
      </c>
      <c r="I2872">
        <v>215.41550000000001</v>
      </c>
      <c r="J2872">
        <v>-381.13159999999999</v>
      </c>
      <c r="K2872">
        <v>1.109181</v>
      </c>
      <c r="L2872">
        <v>214.66919999999999</v>
      </c>
      <c r="M2872">
        <v>0.99956049999999996</v>
      </c>
      <c r="N2872">
        <v>0</v>
      </c>
      <c r="O2872">
        <v>2.5660349999999998E-2</v>
      </c>
      <c r="P2872">
        <v>0.99853130000000001</v>
      </c>
      <c r="Q2872">
        <v>4.2245959999999999E-2</v>
      </c>
      <c r="R2872">
        <v>3.3921720000000002E-2</v>
      </c>
      <c r="S2872">
        <v>3.0078429999999998</v>
      </c>
      <c r="T2872">
        <v>-0.1956698</v>
      </c>
      <c r="U2872">
        <v>0.1332855</v>
      </c>
      <c r="V2872">
        <v>-8.0960770000000001E-3</v>
      </c>
      <c r="W2872">
        <v>5.7098139999999999E-2</v>
      </c>
      <c r="X2872">
        <v>0.99833570000000005</v>
      </c>
      <c r="Y2872">
        <v>-1.8631450000000001E-2</v>
      </c>
      <c r="Z2872">
        <v>-1.0614380000000001E-3</v>
      </c>
      <c r="AA2872">
        <v>0.99982579999999999</v>
      </c>
      <c r="AB2872">
        <v>37</v>
      </c>
      <c r="AC2872">
        <v>16.661099999999902</v>
      </c>
      <c r="AD2872">
        <v>-1.1091801578056</v>
      </c>
      <c r="AE2872">
        <v>0.74630000000001895</v>
      </c>
      <c r="AF2872">
        <v>-0.31707498146473401</v>
      </c>
      <c r="AG2872">
        <v>-1.1091801578056</v>
      </c>
      <c r="AH2872">
        <v>16.601335738787899</v>
      </c>
      <c r="AI2872">
        <v>93.821710222690697</v>
      </c>
      <c r="AJ2872">
        <v>91.094180008657204</v>
      </c>
      <c r="AK2872">
        <v>16.641369098673799</v>
      </c>
      <c r="AL2872">
        <v>86.726737192781201</v>
      </c>
      <c r="AM2872">
        <v>90.464634164899493</v>
      </c>
      <c r="AN2872">
        <v>0.99999995697436805</v>
      </c>
    </row>
    <row r="2873" spans="1:40" x14ac:dyDescent="0.3">
      <c r="A2873" t="str">
        <f>"20200111160508885"</f>
        <v>20200111160508885</v>
      </c>
      <c r="B2873" t="str">
        <f>"1578729908873786"</f>
        <v>1578729908873786</v>
      </c>
      <c r="C2873" t="s">
        <v>40</v>
      </c>
      <c r="D2873">
        <v>5.7016559999999998</v>
      </c>
      <c r="E2873">
        <v>0.49816969999999999</v>
      </c>
      <c r="F2873" t="s">
        <v>57</v>
      </c>
      <c r="G2873">
        <v>-364.0093</v>
      </c>
      <c r="H2873" s="1">
        <v>5.9677709999999999E-7</v>
      </c>
      <c r="I2873">
        <v>215.43360000000001</v>
      </c>
      <c r="J2873">
        <v>-380.78590000000003</v>
      </c>
      <c r="K2873">
        <v>1.109197</v>
      </c>
      <c r="L2873">
        <v>214.67679999999999</v>
      </c>
      <c r="M2873">
        <v>0.99959160000000002</v>
      </c>
      <c r="N2873">
        <v>0</v>
      </c>
      <c r="O2873">
        <v>2.4421149999999999E-2</v>
      </c>
      <c r="P2873">
        <v>0.99848910000000002</v>
      </c>
      <c r="Q2873">
        <v>4.2520629999999997E-2</v>
      </c>
      <c r="R2873">
        <v>3.4812490000000001E-2</v>
      </c>
      <c r="S2873">
        <v>3.0080870000000002</v>
      </c>
      <c r="T2873">
        <v>-0.1948636</v>
      </c>
      <c r="U2873">
        <v>0.13429260000000001</v>
      </c>
      <c r="V2873">
        <v>-1.022762E-2</v>
      </c>
      <c r="W2873">
        <v>5.7375679999999998E-2</v>
      </c>
      <c r="X2873">
        <v>0.99830030000000003</v>
      </c>
      <c r="Y2873">
        <v>-2.019543E-2</v>
      </c>
      <c r="Z2873">
        <v>-9.2628009999999995E-4</v>
      </c>
      <c r="AA2873">
        <v>0.99979560000000001</v>
      </c>
      <c r="AB2873">
        <v>37</v>
      </c>
      <c r="AC2873">
        <v>16.776599999999998</v>
      </c>
      <c r="AD2873">
        <v>-1.10919640322289</v>
      </c>
      <c r="AE2873">
        <v>0.75680000000002601</v>
      </c>
      <c r="AF2873">
        <v>-0.34531883127705199</v>
      </c>
      <c r="AG2873">
        <v>-1.10919640322289</v>
      </c>
      <c r="AH2873">
        <v>16.7171523789386</v>
      </c>
      <c r="AI2873">
        <v>93.795249353234098</v>
      </c>
      <c r="AJ2873">
        <v>91.183365312649997</v>
      </c>
      <c r="AK2873">
        <v>16.757468347480401</v>
      </c>
      <c r="AL2873">
        <v>86.710809452947402</v>
      </c>
      <c r="AM2873">
        <v>90.586976643649095</v>
      </c>
      <c r="AN2873">
        <v>1.0000000309232</v>
      </c>
    </row>
    <row r="2874" spans="1:40" x14ac:dyDescent="0.3">
      <c r="A2874" t="str">
        <f>"20200111160508907"</f>
        <v>20200111160508907</v>
      </c>
      <c r="B2874" t="str">
        <f>"1578729908903937"</f>
        <v>1578729908903937</v>
      </c>
      <c r="C2874" t="s">
        <v>40</v>
      </c>
      <c r="D2874">
        <v>5.5269940000000002</v>
      </c>
      <c r="E2874">
        <v>0.49808829999999998</v>
      </c>
      <c r="F2874" t="s">
        <v>57</v>
      </c>
      <c r="G2874">
        <v>-363.73090000000002</v>
      </c>
      <c r="H2874" s="1">
        <v>4.4859449999999999E-7</v>
      </c>
      <c r="I2874">
        <v>215.44579999999999</v>
      </c>
      <c r="J2874">
        <v>-380.41829999999999</v>
      </c>
      <c r="K2874">
        <v>1.1092139999999999</v>
      </c>
      <c r="L2874">
        <v>214.68450000000001</v>
      </c>
      <c r="M2874">
        <v>0.99962260000000003</v>
      </c>
      <c r="N2874">
        <v>0</v>
      </c>
      <c r="O2874">
        <v>2.312005E-2</v>
      </c>
      <c r="P2874">
        <v>0.9984653</v>
      </c>
      <c r="Q2874">
        <v>4.3025729999999998E-2</v>
      </c>
      <c r="R2874">
        <v>3.4873679999999997E-2</v>
      </c>
      <c r="S2874">
        <v>3.0081479999999998</v>
      </c>
      <c r="T2874">
        <v>-0.19563900000000001</v>
      </c>
      <c r="U2874">
        <v>0.13562009999999999</v>
      </c>
      <c r="V2874">
        <v>-1.158966E-2</v>
      </c>
      <c r="W2874">
        <v>5.7880290000000001E-2</v>
      </c>
      <c r="X2874">
        <v>0.99825629999999999</v>
      </c>
      <c r="Y2874">
        <v>-2.1929850000000001E-2</v>
      </c>
      <c r="Z2874">
        <v>-7.8916070000000004E-4</v>
      </c>
      <c r="AA2874">
        <v>0.99975919999999896</v>
      </c>
      <c r="AB2874">
        <v>37</v>
      </c>
      <c r="AC2874">
        <v>16.687399999999901</v>
      </c>
      <c r="AD2874">
        <v>-1.1092135514054999</v>
      </c>
      <c r="AE2874">
        <v>0.761299999999977</v>
      </c>
      <c r="AF2874">
        <v>-0.37359325410704602</v>
      </c>
      <c r="AG2874">
        <v>-1.1092135514054999</v>
      </c>
      <c r="AH2874">
        <v>16.627230504510301</v>
      </c>
      <c r="AI2874">
        <v>93.815624228231201</v>
      </c>
      <c r="AJ2874">
        <v>91.287148552858895</v>
      </c>
      <c r="AK2874">
        <v>16.668374871962001</v>
      </c>
      <c r="AL2874">
        <v>86.6818493467011</v>
      </c>
      <c r="AM2874">
        <v>90.665168625709995</v>
      </c>
      <c r="AN2874">
        <v>1.00000004433954</v>
      </c>
    </row>
    <row r="2875" spans="1:40" x14ac:dyDescent="0.3">
      <c r="A2875" t="str">
        <f>"20200111160508931"</f>
        <v>20200111160508931</v>
      </c>
      <c r="B2875" t="str">
        <f>"1578729908924433"</f>
        <v>1578729908924433</v>
      </c>
      <c r="C2875" t="s">
        <v>40</v>
      </c>
      <c r="D2875">
        <v>5.4847460000000003</v>
      </c>
      <c r="E2875">
        <v>0.47607329999999998</v>
      </c>
      <c r="F2875" t="s">
        <v>57</v>
      </c>
      <c r="G2875">
        <v>-363.38819999999998</v>
      </c>
      <c r="H2875" s="1">
        <v>2.662485E-7</v>
      </c>
      <c r="I2875">
        <v>215.45740000000001</v>
      </c>
      <c r="J2875">
        <v>-380.03730000000002</v>
      </c>
      <c r="K2875">
        <v>1.1092280000000001</v>
      </c>
      <c r="L2875">
        <v>214.69200000000001</v>
      </c>
      <c r="M2875">
        <v>0.99965269999999995</v>
      </c>
      <c r="N2875">
        <v>0</v>
      </c>
      <c r="O2875">
        <v>2.178774E-2</v>
      </c>
      <c r="P2875">
        <v>0.99844580000000005</v>
      </c>
      <c r="Q2875">
        <v>4.2908149999999999E-2</v>
      </c>
      <c r="R2875">
        <v>3.556848E-2</v>
      </c>
      <c r="S2875">
        <v>3.00827</v>
      </c>
      <c r="T2875">
        <v>-0.19593640000000001</v>
      </c>
      <c r="U2875">
        <v>0.13652039999999999</v>
      </c>
      <c r="V2875">
        <v>-1.3618460000000001E-2</v>
      </c>
      <c r="W2875">
        <v>5.7764139999999999E-2</v>
      </c>
      <c r="X2875">
        <v>0.99823740000000005</v>
      </c>
      <c r="Y2875">
        <v>-2.355281E-2</v>
      </c>
      <c r="Z2875">
        <v>-6.5093669999999998E-4</v>
      </c>
      <c r="AA2875">
        <v>0.99972240000000001</v>
      </c>
      <c r="AB2875">
        <v>37</v>
      </c>
      <c r="AC2875">
        <v>16.649100000000001</v>
      </c>
      <c r="AD2875">
        <v>-1.1092277337515</v>
      </c>
      <c r="AE2875">
        <v>0.76539999999999897</v>
      </c>
      <c r="AF2875">
        <v>-0.40065747447140398</v>
      </c>
      <c r="AG2875">
        <v>-1.1092277337515</v>
      </c>
      <c r="AH2875">
        <v>16.588349006093999</v>
      </c>
      <c r="AI2875">
        <v>93.8244403064446</v>
      </c>
      <c r="AJ2875">
        <v>91.3835927835527</v>
      </c>
      <c r="AK2875">
        <v>16.630220543491099</v>
      </c>
      <c r="AL2875">
        <v>86.688515365091007</v>
      </c>
      <c r="AM2875">
        <v>90.781609543792001</v>
      </c>
      <c r="AN2875">
        <v>1.0000000325407301</v>
      </c>
    </row>
    <row r="2876" spans="1:40" x14ac:dyDescent="0.3">
      <c r="A2876" t="str">
        <f>"20200111160508954"</f>
        <v>20200111160508954</v>
      </c>
      <c r="B2876" t="str">
        <f>"1578729908943954"</f>
        <v>1578729908943954</v>
      </c>
      <c r="C2876" t="s">
        <v>40</v>
      </c>
      <c r="D2876">
        <v>5.6196789999999996</v>
      </c>
      <c r="E2876">
        <v>0.47413339999999998</v>
      </c>
      <c r="F2876" t="s">
        <v>57</v>
      </c>
      <c r="G2876">
        <v>-366.815</v>
      </c>
      <c r="H2876" s="1">
        <v>2.0898389999999999E-6</v>
      </c>
      <c r="I2876">
        <v>216.08860000000001</v>
      </c>
      <c r="J2876">
        <v>-379.66109999999998</v>
      </c>
      <c r="K2876">
        <v>1.1092489999999999</v>
      </c>
      <c r="L2876">
        <v>214.69890000000001</v>
      </c>
      <c r="M2876">
        <v>0.99968000000000001</v>
      </c>
      <c r="N2876">
        <v>0</v>
      </c>
      <c r="O2876">
        <v>2.049279E-2</v>
      </c>
      <c r="P2876">
        <v>0.99847750000000002</v>
      </c>
      <c r="Q2876">
        <v>4.143314E-2</v>
      </c>
      <c r="R2876">
        <v>3.6418480000000003E-2</v>
      </c>
      <c r="S2876">
        <v>3.004181</v>
      </c>
      <c r="T2876">
        <v>-0.25202400000000003</v>
      </c>
      <c r="U2876">
        <v>0.31730649999999999</v>
      </c>
      <c r="V2876">
        <v>-1.5769350000000001E-2</v>
      </c>
      <c r="W2876">
        <v>5.6291679999999997E-2</v>
      </c>
      <c r="X2876">
        <v>0.9982898</v>
      </c>
      <c r="Y2876">
        <v>-8.4411699999999895E-2</v>
      </c>
      <c r="Z2876">
        <v>1.813685E-3</v>
      </c>
      <c r="AA2876">
        <v>0.99642929999999996</v>
      </c>
      <c r="AB2876">
        <v>37</v>
      </c>
      <c r="AC2876">
        <v>12.8460999999999</v>
      </c>
      <c r="AD2876">
        <v>-1.1092469101610001</v>
      </c>
      <c r="AE2876">
        <v>1.3896999999999999</v>
      </c>
      <c r="AF2876">
        <v>-1.1178880074974999</v>
      </c>
      <c r="AG2876">
        <v>-1.1092469101610001</v>
      </c>
      <c r="AH2876">
        <v>12.777713401220799</v>
      </c>
      <c r="AI2876">
        <v>94.942683505965107</v>
      </c>
      <c r="AJ2876">
        <v>94.999924079380904</v>
      </c>
      <c r="AK2876">
        <v>12.8743956001338</v>
      </c>
      <c r="AL2876">
        <v>86.7730184502919</v>
      </c>
      <c r="AM2876">
        <v>90.904989775340496</v>
      </c>
      <c r="AN2876">
        <v>0.99999997521034201</v>
      </c>
    </row>
    <row r="2877" spans="1:40" x14ac:dyDescent="0.3">
      <c r="A2877" t="str">
        <f>"20200111160508975"</f>
        <v>20200111160508975</v>
      </c>
      <c r="B2877" t="str">
        <f>"1578729908964448"</f>
        <v>1578729908964448</v>
      </c>
      <c r="C2877" t="s">
        <v>40</v>
      </c>
      <c r="D2877">
        <v>5.5323589999999996</v>
      </c>
      <c r="E2877">
        <v>0.47247109999999898</v>
      </c>
      <c r="F2877" t="s">
        <v>57</v>
      </c>
      <c r="G2877">
        <v>-366.69470000000001</v>
      </c>
      <c r="H2877" s="1">
        <v>2.0257820000000001E-6</v>
      </c>
      <c r="I2877">
        <v>216.1472</v>
      </c>
      <c r="J2877">
        <v>-379.31720000000001</v>
      </c>
      <c r="K2877">
        <v>1.109267</v>
      </c>
      <c r="L2877">
        <v>214.70480000000001</v>
      </c>
      <c r="M2877">
        <v>0.99970329999999996</v>
      </c>
      <c r="N2877">
        <v>0</v>
      </c>
      <c r="O2877">
        <v>1.93346E-2</v>
      </c>
      <c r="P2877">
        <v>0.99852189999999996</v>
      </c>
      <c r="Q2877">
        <v>4.0046230000000002E-2</v>
      </c>
      <c r="R2877">
        <v>3.675113E-2</v>
      </c>
      <c r="S2877">
        <v>3.0030209999999999</v>
      </c>
      <c r="T2877">
        <v>-0.2569013</v>
      </c>
      <c r="U2877">
        <v>0.33541870000000001</v>
      </c>
      <c r="V2877">
        <v>-1.726538E-2</v>
      </c>
      <c r="W2877">
        <v>5.4905269999999999E-2</v>
      </c>
      <c r="X2877">
        <v>0.99834230000000002</v>
      </c>
      <c r="Y2877">
        <v>-9.1505290000000003E-2</v>
      </c>
      <c r="Z2877">
        <v>2.2492649999999999E-3</v>
      </c>
      <c r="AA2877">
        <v>0.99580199999999996</v>
      </c>
      <c r="AB2877">
        <v>37</v>
      </c>
      <c r="AC2877">
        <v>12.6225</v>
      </c>
      <c r="AD2877">
        <v>-1.1092649742180001</v>
      </c>
      <c r="AE2877">
        <v>1.4423999999999899</v>
      </c>
      <c r="AF2877">
        <v>-1.1889884687315699</v>
      </c>
      <c r="AG2877">
        <v>-1.1092649742180001</v>
      </c>
      <c r="AH2877">
        <v>12.552340434657999</v>
      </c>
      <c r="AI2877">
        <v>95.027786764004702</v>
      </c>
      <c r="AJ2877">
        <v>95.411052012971496</v>
      </c>
      <c r="AK2877">
        <v>12.6572276881374</v>
      </c>
      <c r="AL2877">
        <v>86.852577086154795</v>
      </c>
      <c r="AM2877">
        <v>90.990777213439799</v>
      </c>
      <c r="AN2877">
        <v>1.0000000149948001</v>
      </c>
    </row>
    <row r="2878" spans="1:40" x14ac:dyDescent="0.3">
      <c r="A2878" t="str">
        <f>"20200111160508997"</f>
        <v>20200111160508997</v>
      </c>
      <c r="B2878" t="str">
        <f>"1578729908994235"</f>
        <v>1578729908994235</v>
      </c>
      <c r="C2878" t="s">
        <v>40</v>
      </c>
      <c r="D2878">
        <v>5.6653890000000002</v>
      </c>
      <c r="E2878">
        <v>0.47188439999999998</v>
      </c>
      <c r="F2878" t="s">
        <v>57</v>
      </c>
      <c r="G2878">
        <v>-366.6284</v>
      </c>
      <c r="H2878" s="1">
        <v>1.9905089999999999E-6</v>
      </c>
      <c r="I2878">
        <v>216.1814</v>
      </c>
      <c r="J2878">
        <v>-378.95690000000002</v>
      </c>
      <c r="K2878">
        <v>1.1093029999999999</v>
      </c>
      <c r="L2878">
        <v>214.7106</v>
      </c>
      <c r="M2878">
        <v>0.99972519999999998</v>
      </c>
      <c r="N2878">
        <v>0</v>
      </c>
      <c r="O2878">
        <v>1.816771E-2</v>
      </c>
      <c r="P2878">
        <v>0.99850139999999998</v>
      </c>
      <c r="Q2878">
        <v>3.9146090000000001E-2</v>
      </c>
      <c r="R2878">
        <v>3.8243449999999998E-2</v>
      </c>
      <c r="S2878">
        <v>3.0020449999999999</v>
      </c>
      <c r="T2878">
        <v>-0.26244149999999999</v>
      </c>
      <c r="U2878">
        <v>0.3493347</v>
      </c>
      <c r="V2878">
        <v>-1.9932149999999999E-2</v>
      </c>
      <c r="W2878">
        <v>5.4007300000000001E-2</v>
      </c>
      <c r="X2878">
        <v>0.99834160000000005</v>
      </c>
      <c r="Y2878">
        <v>-9.722132E-2</v>
      </c>
      <c r="Z2878">
        <v>2.6477100000000002E-3</v>
      </c>
      <c r="AA2878">
        <v>0.99525929999999996</v>
      </c>
      <c r="AB2878">
        <v>37</v>
      </c>
      <c r="AC2878">
        <v>12.3285</v>
      </c>
      <c r="AD2878">
        <v>-1.1093010094910001</v>
      </c>
      <c r="AE2878">
        <v>1.4707999999999899</v>
      </c>
      <c r="AF2878">
        <v>-1.2366801618191801</v>
      </c>
      <c r="AG2878">
        <v>-1.1093010094910001</v>
      </c>
      <c r="AH2878">
        <v>12.2553599600353</v>
      </c>
      <c r="AI2878">
        <v>95.146073684602499</v>
      </c>
      <c r="AJ2878">
        <v>95.762173398580202</v>
      </c>
      <c r="AK2878">
        <v>12.3674481726155</v>
      </c>
      <c r="AL2878">
        <v>86.904103434348599</v>
      </c>
      <c r="AM2878">
        <v>91.143773199489502</v>
      </c>
      <c r="AN2878">
        <v>1.00000001467373</v>
      </c>
    </row>
    <row r="2879" spans="1:40" x14ac:dyDescent="0.3">
      <c r="A2879" t="str">
        <f>"20200111160509021"</f>
        <v>20200111160509021</v>
      </c>
      <c r="B2879" t="str">
        <f>"1578729909014731"</f>
        <v>1578729909014731</v>
      </c>
      <c r="C2879" t="s">
        <v>40</v>
      </c>
      <c r="D2879">
        <v>5.7037060000000004</v>
      </c>
      <c r="E2879">
        <v>0.47208470000000002</v>
      </c>
      <c r="F2879" t="s">
        <v>57</v>
      </c>
      <c r="G2879">
        <v>-366.43650000000002</v>
      </c>
      <c r="H2879" s="1">
        <v>1.8883969999999999E-6</v>
      </c>
      <c r="I2879">
        <v>216.20689999999999</v>
      </c>
      <c r="J2879">
        <v>-378.56599999999997</v>
      </c>
      <c r="K2879">
        <v>1.1093740000000001</v>
      </c>
      <c r="L2879">
        <v>214.7165</v>
      </c>
      <c r="M2879">
        <v>0.99974600000000002</v>
      </c>
      <c r="N2879">
        <v>0</v>
      </c>
      <c r="O2879">
        <v>1.698651E-2</v>
      </c>
      <c r="P2879">
        <v>0.99847260000000004</v>
      </c>
      <c r="Q2879">
        <v>3.862848E-2</v>
      </c>
      <c r="R2879">
        <v>3.950095E-2</v>
      </c>
      <c r="S2879">
        <v>3.0011899999999998</v>
      </c>
      <c r="T2879">
        <v>-0.26590439999999999</v>
      </c>
      <c r="U2879">
        <v>0.35867310000000002</v>
      </c>
      <c r="V2879">
        <v>-2.2379599999999999E-2</v>
      </c>
      <c r="W2879">
        <v>5.3488290000000001E-2</v>
      </c>
      <c r="X2879">
        <v>0.99831769999999997</v>
      </c>
      <c r="Y2879">
        <v>-0.1014543</v>
      </c>
      <c r="Z2879">
        <v>2.9733170000000001E-3</v>
      </c>
      <c r="AA2879">
        <v>0.99483569999999999</v>
      </c>
      <c r="AB2879">
        <v>36</v>
      </c>
      <c r="AC2879">
        <v>12.129499999999901</v>
      </c>
      <c r="AD2879">
        <v>-1.109372111603</v>
      </c>
      <c r="AE2879">
        <v>1.49039999999999</v>
      </c>
      <c r="AF2879">
        <v>-1.2736289257604001</v>
      </c>
      <c r="AG2879">
        <v>-1.109372111603</v>
      </c>
      <c r="AH2879">
        <v>12.053738562233599</v>
      </c>
      <c r="AI2879">
        <v>95.229484356221803</v>
      </c>
      <c r="AJ2879">
        <v>96.031638529079999</v>
      </c>
      <c r="AK2879">
        <v>12.1715015692072</v>
      </c>
      <c r="AL2879">
        <v>86.933883630889</v>
      </c>
      <c r="AM2879">
        <v>91.2842023121502</v>
      </c>
      <c r="AN2879">
        <v>1.00000003689828</v>
      </c>
    </row>
    <row r="2880" spans="1:40" x14ac:dyDescent="0.3">
      <c r="A2880" t="str">
        <f>"20200111160509043"</f>
        <v>20200111160509043</v>
      </c>
      <c r="B2880" t="str">
        <f>"1578729909034251"</f>
        <v>1578729909034251</v>
      </c>
      <c r="C2880" t="s">
        <v>40</v>
      </c>
      <c r="D2880">
        <v>5.652164</v>
      </c>
      <c r="E2880">
        <v>0.47213250000000001</v>
      </c>
      <c r="F2880" t="s">
        <v>57</v>
      </c>
      <c r="G2880">
        <v>-366.14519999999999</v>
      </c>
      <c r="H2880" s="1">
        <v>1.7334049999999999E-6</v>
      </c>
      <c r="I2880">
        <v>216.21129999999999</v>
      </c>
      <c r="J2880">
        <v>-378.2056</v>
      </c>
      <c r="K2880">
        <v>1.1094649999999999</v>
      </c>
      <c r="L2880">
        <v>214.7216</v>
      </c>
      <c r="M2880">
        <v>0.99976200000000004</v>
      </c>
      <c r="N2880">
        <v>0</v>
      </c>
      <c r="O2880">
        <v>1.6020369999999999E-2</v>
      </c>
      <c r="P2880">
        <v>0.99847859999999999</v>
      </c>
      <c r="Q2880">
        <v>3.7921070000000001E-2</v>
      </c>
      <c r="R2880">
        <v>4.002969E-2</v>
      </c>
      <c r="S2880">
        <v>3.0006710000000001</v>
      </c>
      <c r="T2880">
        <v>-0.26800780000000002</v>
      </c>
      <c r="U2880">
        <v>0.3611145</v>
      </c>
      <c r="V2880">
        <v>-2.388761E-2</v>
      </c>
      <c r="W2880">
        <v>5.2775000000000002E-2</v>
      </c>
      <c r="X2880">
        <v>0.99832069999999995</v>
      </c>
      <c r="Y2880">
        <v>-0.1032178</v>
      </c>
      <c r="Z2880">
        <v>3.161203E-3</v>
      </c>
      <c r="AA2880">
        <v>0.99465380000000003</v>
      </c>
      <c r="AB2880">
        <v>36</v>
      </c>
      <c r="AC2880">
        <v>12.0604</v>
      </c>
      <c r="AD2880">
        <v>-1.1094632665949999</v>
      </c>
      <c r="AE2880">
        <v>1.48969999999999</v>
      </c>
      <c r="AF2880">
        <v>-1.28555986602837</v>
      </c>
      <c r="AG2880">
        <v>-1.1094632665949999</v>
      </c>
      <c r="AH2880">
        <v>11.982838327611701</v>
      </c>
      <c r="AI2880">
        <v>95.259790390293105</v>
      </c>
      <c r="AJ2880">
        <v>96.123465650410907</v>
      </c>
      <c r="AK2880">
        <v>12.102561187399401</v>
      </c>
      <c r="AL2880">
        <v>86.974809891250302</v>
      </c>
      <c r="AM2880">
        <v>91.370699938052994</v>
      </c>
      <c r="AN2880">
        <v>1.0000000192925</v>
      </c>
    </row>
    <row r="2881" spans="1:40" x14ac:dyDescent="0.3">
      <c r="A2881" t="str">
        <f>"20200111160509064"</f>
        <v>20200111160509064</v>
      </c>
      <c r="B2881" t="str">
        <f>"1578729909053771"</f>
        <v>1578729909053771</v>
      </c>
      <c r="C2881" t="s">
        <v>40</v>
      </c>
      <c r="D2881">
        <v>5.8151970000000004</v>
      </c>
      <c r="E2881">
        <v>0.47226780000000002</v>
      </c>
      <c r="F2881" t="s">
        <v>57</v>
      </c>
      <c r="G2881">
        <v>-365.88339999999999</v>
      </c>
      <c r="H2881" s="1">
        <v>1.5940819999999901E-6</v>
      </c>
      <c r="I2881">
        <v>216.21029999999999</v>
      </c>
      <c r="J2881">
        <v>-377.85890000000001</v>
      </c>
      <c r="K2881">
        <v>1.109583</v>
      </c>
      <c r="L2881">
        <v>214.72640000000001</v>
      </c>
      <c r="M2881">
        <v>0.99977400000000005</v>
      </c>
      <c r="N2881">
        <v>0</v>
      </c>
      <c r="O2881">
        <v>1.525927E-2</v>
      </c>
      <c r="P2881">
        <v>0.99854940000000003</v>
      </c>
      <c r="Q2881">
        <v>3.6467260000000001E-2</v>
      </c>
      <c r="R2881">
        <v>3.9615820000000003E-2</v>
      </c>
      <c r="S2881">
        <v>3.000305</v>
      </c>
      <c r="T2881">
        <v>-0.2701423</v>
      </c>
      <c r="U2881">
        <v>0.36247249999999998</v>
      </c>
      <c r="V2881">
        <v>-2.425267E-2</v>
      </c>
      <c r="W2881">
        <v>5.131024E-2</v>
      </c>
      <c r="X2881">
        <v>0.99838819999999995</v>
      </c>
      <c r="Y2881">
        <v>-0.1044197</v>
      </c>
      <c r="Z2881">
        <v>3.308498E-3</v>
      </c>
      <c r="AA2881">
        <v>0.99452779999999996</v>
      </c>
      <c r="AB2881">
        <v>36</v>
      </c>
      <c r="AC2881">
        <v>11.9755</v>
      </c>
      <c r="AD2881">
        <v>-1.109581405918</v>
      </c>
      <c r="AE2881">
        <v>1.48389999999997</v>
      </c>
      <c r="AF2881">
        <v>-1.2900623071057</v>
      </c>
      <c r="AG2881">
        <v>-1.109581405918</v>
      </c>
      <c r="AH2881">
        <v>11.8961690130972</v>
      </c>
      <c r="AI2881">
        <v>95.297802545475093</v>
      </c>
      <c r="AJ2881">
        <v>96.189169446407107</v>
      </c>
      <c r="AK2881">
        <v>12.017248804978101</v>
      </c>
      <c r="AL2881">
        <v>87.058848187796599</v>
      </c>
      <c r="AM2881">
        <v>91.391545296221906</v>
      </c>
      <c r="AN2881">
        <v>0.99999996531511204</v>
      </c>
    </row>
    <row r="2882" spans="1:40" x14ac:dyDescent="0.3">
      <c r="A2882" t="str">
        <f>"20200111160509244"</f>
        <v>20200111160509244</v>
      </c>
      <c r="B2882" t="str">
        <f>"1578729909233778"</f>
        <v>1578729909233778</v>
      </c>
      <c r="C2882" t="s">
        <v>40</v>
      </c>
      <c r="D2882">
        <v>5.7367309999999998</v>
      </c>
      <c r="E2882">
        <v>0.48146329999999998</v>
      </c>
      <c r="F2882" t="s">
        <v>57</v>
      </c>
      <c r="G2882">
        <v>-365.69869999999997</v>
      </c>
      <c r="H2882" s="1">
        <v>1.495755E-6</v>
      </c>
      <c r="I2882">
        <v>216.18889999999999</v>
      </c>
      <c r="J2882">
        <v>-374.95760000000001</v>
      </c>
      <c r="K2882">
        <v>1.1111839999999999</v>
      </c>
      <c r="L2882">
        <v>214.7704</v>
      </c>
      <c r="M2882">
        <v>0.99974189999999996</v>
      </c>
      <c r="N2882">
        <v>0</v>
      </c>
      <c r="O2882">
        <v>1.7258829999999999E-2</v>
      </c>
      <c r="P2882">
        <v>0.99957949999999995</v>
      </c>
      <c r="Q2882">
        <v>1.6507270000000001E-2</v>
      </c>
      <c r="R2882">
        <v>2.3843969999999999E-2</v>
      </c>
      <c r="S2882">
        <v>3.0000309999999999</v>
      </c>
      <c r="T2882">
        <v>-0.2737425</v>
      </c>
      <c r="U2882">
        <v>0.3608093</v>
      </c>
      <c r="V2882">
        <v>-6.6417289999999999E-3</v>
      </c>
      <c r="W2882">
        <v>3.1267620000000003E-2</v>
      </c>
      <c r="X2882">
        <v>0.99948899999999996</v>
      </c>
      <c r="Y2882">
        <v>-0.1019066</v>
      </c>
      <c r="Z2882">
        <v>3.057475E-3</v>
      </c>
      <c r="AA2882">
        <v>0.99478929999999999</v>
      </c>
      <c r="AB2882">
        <v>36</v>
      </c>
      <c r="AC2882">
        <v>9.2589000000000397</v>
      </c>
      <c r="AD2882">
        <v>-1.1111825042450001</v>
      </c>
      <c r="AE2882">
        <v>1.4184999999999901</v>
      </c>
      <c r="AF2882">
        <v>-1.2410091497923601</v>
      </c>
      <c r="AG2882">
        <v>-1.1111825042450001</v>
      </c>
      <c r="AH2882">
        <v>9.1531951319973999</v>
      </c>
      <c r="AI2882">
        <v>96.859585861850405</v>
      </c>
      <c r="AJ2882">
        <v>97.721198506762804</v>
      </c>
      <c r="AK2882">
        <v>9.3035375740644692</v>
      </c>
      <c r="AL2882">
        <v>88.2082053292783</v>
      </c>
      <c r="AM2882">
        <v>90.380731993267105</v>
      </c>
      <c r="AN2882">
        <v>1.00000001887278</v>
      </c>
    </row>
    <row r="2883" spans="1:40" x14ac:dyDescent="0.3">
      <c r="A2883" t="str">
        <f>"20200111160509265"</f>
        <v>20200111160509265</v>
      </c>
      <c r="B2883" t="str">
        <f>"1578729909254274"</f>
        <v>1578729909254274</v>
      </c>
      <c r="C2883" t="s">
        <v>40</v>
      </c>
      <c r="D2883">
        <v>5.0332319999999999</v>
      </c>
      <c r="E2883">
        <v>0.5534481</v>
      </c>
      <c r="F2883" t="s">
        <v>57</v>
      </c>
      <c r="G2883">
        <v>-361.7672</v>
      </c>
      <c r="H2883" s="1">
        <v>-5.9635529999999997E-7</v>
      </c>
      <c r="I2883">
        <v>215.8125</v>
      </c>
      <c r="J2883">
        <v>-374.60969999999998</v>
      </c>
      <c r="K2883">
        <v>1.1113759999999999</v>
      </c>
      <c r="L2883">
        <v>214.77770000000001</v>
      </c>
      <c r="M2883">
        <v>0.99971920000000003</v>
      </c>
      <c r="N2883">
        <v>0</v>
      </c>
      <c r="O2883">
        <v>1.8525369999999999E-2</v>
      </c>
      <c r="P2883">
        <v>0.99954030000000005</v>
      </c>
      <c r="Q2883">
        <v>1.6528040000000001E-2</v>
      </c>
      <c r="R2883">
        <v>2.5420390000000001E-2</v>
      </c>
      <c r="S2883">
        <v>2.9998170000000002</v>
      </c>
      <c r="T2883">
        <v>-0.2527103</v>
      </c>
      <c r="U2883">
        <v>0.23698430000000001</v>
      </c>
      <c r="V2883">
        <v>-6.9672400000000004E-3</v>
      </c>
      <c r="W2883">
        <v>3.1282869999999997E-2</v>
      </c>
      <c r="X2883">
        <v>0.99948630000000005</v>
      </c>
      <c r="Y2883">
        <v>-6.0124459999999998E-2</v>
      </c>
      <c r="Z2883">
        <v>9.6884810000000005E-4</v>
      </c>
      <c r="AA2883">
        <v>0.99819040000000003</v>
      </c>
      <c r="AB2883">
        <v>36</v>
      </c>
      <c r="AC2883">
        <v>12.8424999999999</v>
      </c>
      <c r="AD2883">
        <v>-1.1113765963553</v>
      </c>
      <c r="AE2883">
        <v>1.03479999999999</v>
      </c>
      <c r="AF2883">
        <v>-0.79080024566141005</v>
      </c>
      <c r="AG2883">
        <v>-1.1113765963553</v>
      </c>
      <c r="AH2883">
        <v>12.7644912404895</v>
      </c>
      <c r="AI2883">
        <v>94.966596012570704</v>
      </c>
      <c r="AJ2883">
        <v>93.545122162420796</v>
      </c>
      <c r="AK2883">
        <v>12.837163222300999</v>
      </c>
      <c r="AL2883">
        <v>88.207331128936104</v>
      </c>
      <c r="AM2883">
        <v>90.399392148874995</v>
      </c>
      <c r="AN2883">
        <v>1.00000001213817</v>
      </c>
    </row>
    <row r="2884" spans="1:40" x14ac:dyDescent="0.3">
      <c r="A2884" t="str">
        <f>"20200111160509287"</f>
        <v>20200111160509287</v>
      </c>
      <c r="B2884" t="str">
        <f>"1578729909284531"</f>
        <v>1578729909284531</v>
      </c>
      <c r="C2884" t="s">
        <v>40</v>
      </c>
      <c r="D2884">
        <v>5.2603910000000003</v>
      </c>
      <c r="E2884">
        <v>0.55730150000000001</v>
      </c>
      <c r="F2884" t="s">
        <v>42</v>
      </c>
      <c r="G2884">
        <v>-373.62020000000001</v>
      </c>
      <c r="H2884">
        <v>0.97613019999999995</v>
      </c>
      <c r="I2884">
        <v>214.67140000000001</v>
      </c>
      <c r="J2884">
        <v>-374.26859999999999</v>
      </c>
      <c r="K2884">
        <v>1.111524</v>
      </c>
      <c r="L2884">
        <v>214.78530000000001</v>
      </c>
      <c r="M2884">
        <v>0.9996929</v>
      </c>
      <c r="N2884">
        <v>0</v>
      </c>
      <c r="O2884">
        <v>1.9901200000000001E-2</v>
      </c>
      <c r="P2884">
        <v>0.99948380000000003</v>
      </c>
      <c r="Q2884">
        <v>1.5736719999999999E-2</v>
      </c>
      <c r="R2884">
        <v>2.8010690000000001E-2</v>
      </c>
      <c r="S2884">
        <v>3.0164490000000002</v>
      </c>
      <c r="T2884">
        <v>-0.4122556</v>
      </c>
      <c r="U2884">
        <v>-0.3241425</v>
      </c>
      <c r="V2884">
        <v>-8.191327E-3</v>
      </c>
      <c r="W2884">
        <v>3.0483590000000001E-2</v>
      </c>
      <c r="X2884">
        <v>0.99950170000000005</v>
      </c>
      <c r="Y2884">
        <v>0.12527650000000001</v>
      </c>
      <c r="Z2884">
        <v>-1.1197510000000001E-2</v>
      </c>
      <c r="AA2884">
        <v>0.99205869999999996</v>
      </c>
      <c r="AB2884">
        <v>36</v>
      </c>
      <c r="AC2884">
        <v>0.64839999999997999</v>
      </c>
      <c r="AD2884">
        <v>-0.13539379999999901</v>
      </c>
      <c r="AE2884">
        <v>-0.1139</v>
      </c>
      <c r="AF2884">
        <v>0.121637827948962</v>
      </c>
      <c r="AG2884">
        <v>-0.13539379999999901</v>
      </c>
      <c r="AH2884">
        <v>0.61978914168300303</v>
      </c>
      <c r="AI2884">
        <v>102.09894314884799</v>
      </c>
      <c r="AJ2884">
        <v>78.896436425214901</v>
      </c>
      <c r="AK2884">
        <v>0.64596116169219897</v>
      </c>
      <c r="AL2884">
        <v>88.253148329873099</v>
      </c>
      <c r="AM2884">
        <v>90.469551936420601</v>
      </c>
      <c r="AN2884">
        <v>0.99999999770009895</v>
      </c>
    </row>
    <row r="2885" spans="1:40" x14ac:dyDescent="0.3">
      <c r="A2885" t="str">
        <f>"20200111160509310"</f>
        <v>20200111160509310</v>
      </c>
      <c r="B2885" t="str">
        <f>"1578729909304051"</f>
        <v>1578729909304051</v>
      </c>
      <c r="C2885" t="s">
        <v>40</v>
      </c>
      <c r="D2885">
        <v>5.6603110000000001</v>
      </c>
      <c r="E2885">
        <v>0.54037519999999895</v>
      </c>
      <c r="F2885" t="s">
        <v>61</v>
      </c>
      <c r="G2885">
        <v>-293.09190000000001</v>
      </c>
      <c r="H2885" s="1">
        <v>2.4261949999999998E-6</v>
      </c>
      <c r="I2885">
        <v>204.8563</v>
      </c>
      <c r="J2885">
        <v>-373.89870000000002</v>
      </c>
      <c r="K2885">
        <v>1.1116490000000001</v>
      </c>
      <c r="L2885">
        <v>214.79419999999999</v>
      </c>
      <c r="M2885">
        <v>0.99965979999999999</v>
      </c>
      <c r="N2885">
        <v>0</v>
      </c>
      <c r="O2885">
        <v>2.1502799999999999E-2</v>
      </c>
      <c r="P2885">
        <v>0.99935940000000001</v>
      </c>
      <c r="Q2885">
        <v>1.626064E-2</v>
      </c>
      <c r="R2885">
        <v>3.1886499999999998E-2</v>
      </c>
      <c r="S2885">
        <v>3.0125120000000001</v>
      </c>
      <c r="T2885">
        <v>-4.124916E-2</v>
      </c>
      <c r="U2885">
        <v>-0.3684692</v>
      </c>
      <c r="V2885">
        <v>-1.047739E-2</v>
      </c>
      <c r="W2885">
        <v>3.0994049999999999E-2</v>
      </c>
      <c r="X2885">
        <v>0.99946460000000004</v>
      </c>
      <c r="Y2885">
        <v>0.14271099999999901</v>
      </c>
      <c r="Z2885">
        <v>-1.266805E-3</v>
      </c>
      <c r="AA2885">
        <v>0.98976359999999997</v>
      </c>
      <c r="AB2885">
        <v>36</v>
      </c>
      <c r="AC2885">
        <v>80.806799999999996</v>
      </c>
      <c r="AD2885">
        <v>-1.1116465738050001</v>
      </c>
      <c r="AE2885">
        <v>-9.9378999999999795</v>
      </c>
      <c r="AF2885">
        <v>11.6711876772676</v>
      </c>
      <c r="AG2885">
        <v>-1.1116465738050001</v>
      </c>
      <c r="AH2885">
        <v>80.559377701301898</v>
      </c>
      <c r="AI2885">
        <v>90.782412305260905</v>
      </c>
      <c r="AJ2885">
        <v>81.756524407517901</v>
      </c>
      <c r="AK2885">
        <v>81.408019970541503</v>
      </c>
      <c r="AL2885">
        <v>88.2238872080693</v>
      </c>
      <c r="AM2885">
        <v>90.600609805219406</v>
      </c>
      <c r="AN2885">
        <v>0.99999994674488502</v>
      </c>
    </row>
    <row r="2886" spans="1:40" x14ac:dyDescent="0.3">
      <c r="A2886" t="str">
        <f>"20200111160509332"</f>
        <v>20200111160509332</v>
      </c>
      <c r="B2886" t="str">
        <f>"1578729909324547"</f>
        <v>1578729909324547</v>
      </c>
      <c r="C2886" t="s">
        <v>40</v>
      </c>
      <c r="D2886">
        <v>5.7081039999999996</v>
      </c>
      <c r="E2886">
        <v>0.53430500000000003</v>
      </c>
      <c r="F2886" t="s">
        <v>70</v>
      </c>
      <c r="G2886">
        <v>-168.41290000000001</v>
      </c>
      <c r="H2886">
        <v>0.25425910000000002</v>
      </c>
      <c r="I2886">
        <v>199.55179999999999</v>
      </c>
      <c r="J2886">
        <v>-373.54939999999999</v>
      </c>
      <c r="K2886">
        <v>1.1117319999999999</v>
      </c>
      <c r="L2886">
        <v>214.8032</v>
      </c>
      <c r="M2886">
        <v>0.99962479999999998</v>
      </c>
      <c r="N2886">
        <v>0</v>
      </c>
      <c r="O2886">
        <v>2.307027E-2</v>
      </c>
      <c r="P2886">
        <v>0.99920339999999996</v>
      </c>
      <c r="Q2886">
        <v>1.7298460000000002E-2</v>
      </c>
      <c r="R2886">
        <v>3.5967109999999997E-2</v>
      </c>
      <c r="S2886">
        <v>3.009277</v>
      </c>
      <c r="T2886">
        <v>-1.2555719999999999E-2</v>
      </c>
      <c r="U2886">
        <v>-0.2232208</v>
      </c>
      <c r="V2886">
        <v>-1.3001860000000001E-2</v>
      </c>
      <c r="W2886">
        <v>3.2018270000000001E-2</v>
      </c>
      <c r="X2886">
        <v>0.99940269999999998</v>
      </c>
      <c r="Y2886">
        <v>9.6963170000000001E-2</v>
      </c>
      <c r="Z2886">
        <v>-2.9815229999999998E-4</v>
      </c>
      <c r="AA2886">
        <v>0.99528799999999995</v>
      </c>
      <c r="AB2886">
        <v>36</v>
      </c>
      <c r="AC2886">
        <v>205.13650000000001</v>
      </c>
      <c r="AD2886">
        <v>-0.85747289999999898</v>
      </c>
      <c r="AE2886">
        <v>-15.2514</v>
      </c>
      <c r="AF2886">
        <v>19.980063136006699</v>
      </c>
      <c r="AG2886">
        <v>-0.85747289999999898</v>
      </c>
      <c r="AH2886">
        <v>204.726440476237</v>
      </c>
      <c r="AI2886">
        <v>90.2388405902107</v>
      </c>
      <c r="AJ2886">
        <v>84.425930405455105</v>
      </c>
      <c r="AK2886">
        <v>205.70088384050101</v>
      </c>
      <c r="AL2886">
        <v>88.165174646207007</v>
      </c>
      <c r="AM2886">
        <v>90.745354880744102</v>
      </c>
      <c r="AN2886">
        <v>0.99999998737227103</v>
      </c>
    </row>
    <row r="2887" spans="1:40" x14ac:dyDescent="0.3">
      <c r="A2887" t="str">
        <f>"20200111160509376"</f>
        <v>20200111160509376</v>
      </c>
      <c r="B2887" t="str">
        <f>"1578729909374323"</f>
        <v>1578729909374323</v>
      </c>
      <c r="C2887" t="s">
        <v>40</v>
      </c>
      <c r="D2887">
        <v>5.2433120000000004</v>
      </c>
      <c r="E2887">
        <v>0.53787479999999999</v>
      </c>
      <c r="F2887" t="s">
        <v>70</v>
      </c>
      <c r="G2887">
        <v>-168.41139999999999</v>
      </c>
      <c r="H2887">
        <v>0.1230335</v>
      </c>
      <c r="I2887">
        <v>203.75059999999999</v>
      </c>
      <c r="J2887">
        <v>-372.84809999999999</v>
      </c>
      <c r="K2887">
        <v>1.1117889999999999</v>
      </c>
      <c r="L2887">
        <v>214.8229</v>
      </c>
      <c r="M2887">
        <v>0.9995484</v>
      </c>
      <c r="N2887">
        <v>0</v>
      </c>
      <c r="O2887">
        <v>2.6179399999999999E-2</v>
      </c>
      <c r="P2887">
        <v>0.99895339999999999</v>
      </c>
      <c r="Q2887">
        <v>1.714369E-2</v>
      </c>
      <c r="R2887">
        <v>4.2410589999999998E-2</v>
      </c>
      <c r="S2887">
        <v>3.0084840000000002</v>
      </c>
      <c r="T2887">
        <v>-1.4499430000000001E-2</v>
      </c>
      <c r="U2887">
        <v>-0.16209409999999999</v>
      </c>
      <c r="V2887">
        <v>-1.634441E-2</v>
      </c>
      <c r="W2887">
        <v>3.1840970000000003E-2</v>
      </c>
      <c r="X2887">
        <v>0.99935929999999995</v>
      </c>
      <c r="Y2887">
        <v>7.9925620000000003E-2</v>
      </c>
      <c r="Z2887">
        <v>-3.1856549999999999E-4</v>
      </c>
      <c r="AA2887">
        <v>0.99680080000000004</v>
      </c>
      <c r="AB2887">
        <v>36</v>
      </c>
      <c r="AC2887">
        <v>204.4367</v>
      </c>
      <c r="AD2887">
        <v>-0.98875550000000001</v>
      </c>
      <c r="AE2887">
        <v>-11.0723</v>
      </c>
      <c r="AF2887">
        <v>16.4207339120412</v>
      </c>
      <c r="AG2887">
        <v>-0.98875550000000001</v>
      </c>
      <c r="AH2887">
        <v>204.07195893971999</v>
      </c>
      <c r="AI2887">
        <v>90.276709078092793</v>
      </c>
      <c r="AJ2887">
        <v>85.399583252223394</v>
      </c>
      <c r="AK2887">
        <v>204.73393115246901</v>
      </c>
      <c r="AL2887">
        <v>88.175338391202899</v>
      </c>
      <c r="AM2887">
        <v>90.936982553725301</v>
      </c>
      <c r="AN2887">
        <v>0.99999999880263901</v>
      </c>
    </row>
    <row r="2888" spans="1:40" x14ac:dyDescent="0.3">
      <c r="A2888" t="str">
        <f>"20200111160509398"</f>
        <v>20200111160509398</v>
      </c>
      <c r="B2888" t="str">
        <f>"1578729909393845"</f>
        <v>1578729909393845</v>
      </c>
      <c r="C2888" t="s">
        <v>40</v>
      </c>
      <c r="D2888">
        <v>5.306908</v>
      </c>
      <c r="E2888">
        <v>0.54041949999999905</v>
      </c>
      <c r="F2888" t="s">
        <v>45</v>
      </c>
      <c r="G2888">
        <v>-234.73259999999999</v>
      </c>
      <c r="H2888">
        <v>0.53801209999999999</v>
      </c>
      <c r="I2888">
        <v>206.97069999999999</v>
      </c>
      <c r="J2888">
        <v>-372.48770000000002</v>
      </c>
      <c r="K2888">
        <v>1.1117729999999999</v>
      </c>
      <c r="L2888">
        <v>214.8338</v>
      </c>
      <c r="M2888">
        <v>0.99950799999999995</v>
      </c>
      <c r="N2888">
        <v>0</v>
      </c>
      <c r="O2888">
        <v>2.7678830000000001E-2</v>
      </c>
      <c r="P2888">
        <v>0.99889119999999998</v>
      </c>
      <c r="Q2888">
        <v>1.6439990000000002E-2</v>
      </c>
      <c r="R2888">
        <v>4.4117339999999998E-2</v>
      </c>
      <c r="S2888">
        <v>3.0105900000000001</v>
      </c>
      <c r="T2888">
        <v>-1.250589E-2</v>
      </c>
      <c r="U2888">
        <v>-0.1711578</v>
      </c>
      <c r="V2888">
        <v>-1.654922E-2</v>
      </c>
      <c r="W2888">
        <v>3.1131789999999999E-2</v>
      </c>
      <c r="X2888">
        <v>0.99937830000000005</v>
      </c>
      <c r="Y2888">
        <v>8.4374790000000005E-2</v>
      </c>
      <c r="Z2888">
        <v>-2.9001070000000002E-4</v>
      </c>
      <c r="AA2888">
        <v>0.99643400000000004</v>
      </c>
      <c r="AB2888">
        <v>36</v>
      </c>
      <c r="AC2888">
        <v>137.7551</v>
      </c>
      <c r="AD2888">
        <v>-0.57376089999999902</v>
      </c>
      <c r="AE2888">
        <v>-7.8631000000000002</v>
      </c>
      <c r="AF2888">
        <v>11.673199872144799</v>
      </c>
      <c r="AG2888">
        <v>-0.57376089999999902</v>
      </c>
      <c r="AH2888">
        <v>137.48226771588</v>
      </c>
      <c r="AI2888">
        <v>90.238256386807194</v>
      </c>
      <c r="AJ2888">
        <v>85.146830317601299</v>
      </c>
      <c r="AK2888">
        <v>137.978138605818</v>
      </c>
      <c r="AL2888">
        <v>88.215991617766505</v>
      </c>
      <c r="AM2888">
        <v>90.948703612461102</v>
      </c>
      <c r="AN2888">
        <v>1.00000002577105</v>
      </c>
    </row>
    <row r="2889" spans="1:40" x14ac:dyDescent="0.3">
      <c r="A2889" t="str">
        <f>"20200111160509423"</f>
        <v>20200111160509423</v>
      </c>
      <c r="B2889" t="str">
        <f>"1578729909414339"</f>
        <v>1578729909414339</v>
      </c>
      <c r="C2889" t="s">
        <v>40</v>
      </c>
      <c r="D2889">
        <v>6.5479699999999896</v>
      </c>
      <c r="E2889">
        <v>0.53982089999999905</v>
      </c>
      <c r="F2889" t="s">
        <v>70</v>
      </c>
      <c r="G2889">
        <v>-168.4128</v>
      </c>
      <c r="H2889">
        <v>2.6642510000000001</v>
      </c>
      <c r="I2889">
        <v>202.0513</v>
      </c>
      <c r="J2889">
        <v>-372.10770000000002</v>
      </c>
      <c r="K2889">
        <v>1.1117360000000001</v>
      </c>
      <c r="L2889">
        <v>214.84569999999999</v>
      </c>
      <c r="M2889">
        <v>0.99946630000000003</v>
      </c>
      <c r="N2889">
        <v>0</v>
      </c>
      <c r="O2889">
        <v>2.915365E-2</v>
      </c>
      <c r="P2889">
        <v>0.99880610000000003</v>
      </c>
      <c r="Q2889">
        <v>1.727913E-2</v>
      </c>
      <c r="R2889">
        <v>4.5695930000000003E-2</v>
      </c>
      <c r="S2889">
        <v>3.0112610000000002</v>
      </c>
      <c r="T2889">
        <v>2.2908330000000001E-2</v>
      </c>
      <c r="U2889">
        <v>-0.1886139</v>
      </c>
      <c r="V2889">
        <v>-1.6653609999999999E-2</v>
      </c>
      <c r="W2889">
        <v>3.1965830000000001E-2</v>
      </c>
      <c r="X2889">
        <v>0.99935019999999997</v>
      </c>
      <c r="Y2889">
        <v>9.1583399999999995E-2</v>
      </c>
      <c r="Z2889">
        <v>5.6963550000000004E-4</v>
      </c>
      <c r="AA2889">
        <v>0.99579720000000005</v>
      </c>
      <c r="AB2889">
        <v>36</v>
      </c>
      <c r="AC2889">
        <v>203.69489999999999</v>
      </c>
      <c r="AD2889">
        <v>1.5525149999999901</v>
      </c>
      <c r="AE2889">
        <v>-12.7943999999999</v>
      </c>
      <c r="AF2889">
        <v>18.726971639188701</v>
      </c>
      <c r="AG2889">
        <v>1.5525149999999901</v>
      </c>
      <c r="AH2889">
        <v>203.22349594304899</v>
      </c>
      <c r="AI2889">
        <v>89.564147030805202</v>
      </c>
      <c r="AJ2889">
        <v>84.7350834915744</v>
      </c>
      <c r="AK2889">
        <v>204.09041886603799</v>
      </c>
      <c r="AL2889">
        <v>88.168180779821796</v>
      </c>
      <c r="AM2889">
        <v>90.954713627762203</v>
      </c>
      <c r="AN2889">
        <v>0.99999998962683001</v>
      </c>
    </row>
    <row r="2890" spans="1:40" x14ac:dyDescent="0.3">
      <c r="A2890" t="str">
        <f>"20200111160509445"</f>
        <v>20200111160509445</v>
      </c>
      <c r="B2890" t="str">
        <f>"1578729909433858"</f>
        <v>1578729909433858</v>
      </c>
      <c r="C2890" t="s">
        <v>40</v>
      </c>
      <c r="D2890">
        <v>5.7395649999999998</v>
      </c>
      <c r="E2890">
        <v>0.53889469999999995</v>
      </c>
      <c r="F2890" t="s">
        <v>70</v>
      </c>
      <c r="G2890">
        <v>-168.41290000000001</v>
      </c>
      <c r="H2890">
        <v>3.390787</v>
      </c>
      <c r="I2890">
        <v>202.68790000000001</v>
      </c>
      <c r="J2890">
        <v>-371.76150000000001</v>
      </c>
      <c r="K2890">
        <v>1.1116820000000001</v>
      </c>
      <c r="L2890">
        <v>214.857</v>
      </c>
      <c r="M2890">
        <v>0.99942980000000003</v>
      </c>
      <c r="N2890">
        <v>0</v>
      </c>
      <c r="O2890">
        <v>3.0384080000000001E-2</v>
      </c>
      <c r="P2890">
        <v>0.99869790000000003</v>
      </c>
      <c r="Q2890">
        <v>1.853633E-2</v>
      </c>
      <c r="R2890">
        <v>4.7529160000000001E-2</v>
      </c>
      <c r="S2890">
        <v>3.0112920000000001</v>
      </c>
      <c r="T2890">
        <v>3.3692479999999997E-2</v>
      </c>
      <c r="U2890">
        <v>-0.17973329999999901</v>
      </c>
      <c r="V2890">
        <v>-1.7258099999999998E-2</v>
      </c>
      <c r="W2890">
        <v>3.3217820000000002E-2</v>
      </c>
      <c r="X2890">
        <v>0.9992991</v>
      </c>
      <c r="Y2890">
        <v>8.9878799999999995E-2</v>
      </c>
      <c r="Z2890">
        <v>8.4207200000000002E-4</v>
      </c>
      <c r="AA2890">
        <v>0.99595239999999996</v>
      </c>
      <c r="AB2890">
        <v>36</v>
      </c>
      <c r="AC2890">
        <v>203.3486</v>
      </c>
      <c r="AD2890">
        <v>2.2791049999999999</v>
      </c>
      <c r="AE2890">
        <v>-12.169099999999901</v>
      </c>
      <c r="AF2890">
        <v>18.340414888895602</v>
      </c>
      <c r="AG2890">
        <v>2.2791049999999999</v>
      </c>
      <c r="AH2890">
        <v>202.85951446613299</v>
      </c>
      <c r="AI2890">
        <v>89.358929572676104</v>
      </c>
      <c r="AJ2890">
        <v>84.833965662202601</v>
      </c>
      <c r="AK2890">
        <v>203.699650827715</v>
      </c>
      <c r="AL2890">
        <v>88.096408880896902</v>
      </c>
      <c r="AM2890">
        <v>90.989411480404499</v>
      </c>
      <c r="AN2890">
        <v>0.99999997842098598</v>
      </c>
    </row>
    <row r="2891" spans="1:40" x14ac:dyDescent="0.3">
      <c r="A2891" t="str">
        <f>"20200111160509522"</f>
        <v>20200111160509522</v>
      </c>
      <c r="B2891" t="str">
        <f>"1578729909513891"</f>
        <v>1578729909513891</v>
      </c>
      <c r="C2891" t="s">
        <v>40</v>
      </c>
      <c r="D2891">
        <v>5.3935969999999998</v>
      </c>
      <c r="E2891">
        <v>0.53291369999999905</v>
      </c>
      <c r="F2891" t="s">
        <v>70</v>
      </c>
      <c r="G2891">
        <v>-168.4127</v>
      </c>
      <c r="H2891">
        <v>3.884773</v>
      </c>
      <c r="I2891">
        <v>203.58359999999999</v>
      </c>
      <c r="J2891">
        <v>-370.52960000000002</v>
      </c>
      <c r="K2891">
        <v>1.1114280000000001</v>
      </c>
      <c r="L2891">
        <v>214.8997</v>
      </c>
      <c r="M2891">
        <v>0.99931539999999996</v>
      </c>
      <c r="N2891">
        <v>0</v>
      </c>
      <c r="O2891">
        <v>3.3945709999999997E-2</v>
      </c>
      <c r="P2891">
        <v>0.99830189999999996</v>
      </c>
      <c r="Q2891">
        <v>1.9369129999999998E-2</v>
      </c>
      <c r="R2891">
        <v>5.4941770000000001E-2</v>
      </c>
      <c r="S2891">
        <v>3.0111080000000001</v>
      </c>
      <c r="T2891">
        <v>4.1063309999999999E-2</v>
      </c>
      <c r="U2891">
        <v>-0.1669312</v>
      </c>
      <c r="V2891">
        <v>-2.1098950000000002E-2</v>
      </c>
      <c r="W2891">
        <v>3.4034189999999999E-2</v>
      </c>
      <c r="X2891">
        <v>0.99919800000000003</v>
      </c>
      <c r="Y2891">
        <v>8.9207460000000002E-2</v>
      </c>
      <c r="Z2891">
        <v>1.070421E-3</v>
      </c>
      <c r="AA2891">
        <v>0.99601249999999997</v>
      </c>
      <c r="AB2891">
        <v>35</v>
      </c>
      <c r="AC2891">
        <v>202.11689999999999</v>
      </c>
      <c r="AD2891">
        <v>2.7733449999999999</v>
      </c>
      <c r="AE2891">
        <v>-11.3161</v>
      </c>
      <c r="AF2891">
        <v>18.1679111450328</v>
      </c>
      <c r="AG2891">
        <v>2.7733449999999999</v>
      </c>
      <c r="AH2891">
        <v>201.57838136622399</v>
      </c>
      <c r="AI2891">
        <v>89.214947657082504</v>
      </c>
      <c r="AJ2891">
        <v>84.849945144882895</v>
      </c>
      <c r="AK2891">
        <v>202.41444679688601</v>
      </c>
      <c r="AL2891">
        <v>88.049608030216106</v>
      </c>
      <c r="AM2891">
        <v>91.209671319445505</v>
      </c>
      <c r="AN2891">
        <v>1.00000006749202</v>
      </c>
    </row>
    <row r="2892" spans="1:40" x14ac:dyDescent="0.3">
      <c r="A2892" t="str">
        <f>"20200111160509589"</f>
        <v>20200111160509589</v>
      </c>
      <c r="B2892" t="str">
        <f>"1578729909584163"</f>
        <v>1578729909584163</v>
      </c>
      <c r="C2892" t="s">
        <v>40</v>
      </c>
      <c r="D2892">
        <v>5.8560610000000004</v>
      </c>
      <c r="E2892">
        <v>0.53301350000000003</v>
      </c>
      <c r="F2892" t="s">
        <v>70</v>
      </c>
      <c r="G2892">
        <v>-169.393</v>
      </c>
      <c r="H2892">
        <v>1.8122309999999999</v>
      </c>
      <c r="I2892">
        <v>208.58330000000001</v>
      </c>
      <c r="J2892">
        <v>-369.48469999999998</v>
      </c>
      <c r="K2892">
        <v>1.111245</v>
      </c>
      <c r="L2892">
        <v>214.9384</v>
      </c>
      <c r="M2892">
        <v>0.99923830000000002</v>
      </c>
      <c r="N2892">
        <v>0</v>
      </c>
      <c r="O2892">
        <v>3.6148039999999999E-2</v>
      </c>
      <c r="P2892">
        <v>0.99776319999999996</v>
      </c>
      <c r="Q2892">
        <v>2.228745E-2</v>
      </c>
      <c r="R2892">
        <v>6.3025369999999997E-2</v>
      </c>
      <c r="S2892">
        <v>3.0101010000000001</v>
      </c>
      <c r="T2892">
        <v>1.048839E-2</v>
      </c>
      <c r="U2892">
        <v>-9.4528200000000007E-2</v>
      </c>
      <c r="V2892">
        <v>-2.6981410000000001E-2</v>
      </c>
      <c r="W2892">
        <v>3.693486E-2</v>
      </c>
      <c r="X2892">
        <v>0.99895330000000004</v>
      </c>
      <c r="Y2892">
        <v>6.7501179999999994E-2</v>
      </c>
      <c r="Z2892">
        <v>2.4350479999999999E-4</v>
      </c>
      <c r="AA2892">
        <v>0.99771920000000003</v>
      </c>
      <c r="AB2892">
        <v>35</v>
      </c>
      <c r="AC2892">
        <v>200.0917</v>
      </c>
      <c r="AD2892">
        <v>0.700986</v>
      </c>
      <c r="AE2892">
        <v>-6.3550999999999904</v>
      </c>
      <c r="AF2892">
        <v>13.584483703296501</v>
      </c>
      <c r="AG2892">
        <v>0.700986</v>
      </c>
      <c r="AH2892">
        <v>199.72870290157201</v>
      </c>
      <c r="AI2892">
        <v>89.799373861552795</v>
      </c>
      <c r="AJ2892">
        <v>86.1090383978826</v>
      </c>
      <c r="AK2892">
        <v>200.19136929848301</v>
      </c>
      <c r="AL2892">
        <v>87.883306827843597</v>
      </c>
      <c r="AM2892">
        <v>91.547164571710994</v>
      </c>
      <c r="AN2892">
        <v>0.99999993797484699</v>
      </c>
    </row>
    <row r="2893" spans="1:40" x14ac:dyDescent="0.3">
      <c r="A2893" t="str">
        <f>"20200111160509612"</f>
        <v>20200111160509612</v>
      </c>
      <c r="B2893" t="str">
        <f>"1578729909604659"</f>
        <v>1578729909604659</v>
      </c>
      <c r="C2893" t="s">
        <v>40</v>
      </c>
      <c r="D2893">
        <v>5.88368</v>
      </c>
      <c r="E2893">
        <v>0.5333097</v>
      </c>
      <c r="F2893" t="s">
        <v>70</v>
      </c>
      <c r="G2893">
        <v>-151.66839999999999</v>
      </c>
      <c r="H2893">
        <v>0.49603079999999999</v>
      </c>
      <c r="I2893">
        <v>209.923</v>
      </c>
      <c r="J2893">
        <v>-369.12240000000003</v>
      </c>
      <c r="K2893">
        <v>1.111186</v>
      </c>
      <c r="L2893">
        <v>214.9522</v>
      </c>
      <c r="M2893">
        <v>0.99921479999999996</v>
      </c>
      <c r="N2893">
        <v>0</v>
      </c>
      <c r="O2893">
        <v>3.6792749999999999E-2</v>
      </c>
      <c r="P2893">
        <v>0.99752949999999996</v>
      </c>
      <c r="Q2893">
        <v>2.3333650000000001E-2</v>
      </c>
      <c r="R2893">
        <v>6.6263390000000005E-2</v>
      </c>
      <c r="S2893">
        <v>3.0112610000000002</v>
      </c>
      <c r="T2893">
        <v>-8.5047479999999995E-3</v>
      </c>
      <c r="U2893">
        <v>-6.9335939999999999E-2</v>
      </c>
      <c r="V2893">
        <v>-2.9577160000000002E-2</v>
      </c>
      <c r="W2893">
        <v>3.7974590000000003E-2</v>
      </c>
      <c r="X2893">
        <v>0.99884090000000003</v>
      </c>
      <c r="Y2893">
        <v>5.9790450000000002E-2</v>
      </c>
      <c r="Z2893">
        <v>-1.8832709999999999E-4</v>
      </c>
      <c r="AA2893">
        <v>0.99821090000000001</v>
      </c>
      <c r="AB2893">
        <v>35</v>
      </c>
      <c r="AC2893">
        <v>217.45400000000001</v>
      </c>
      <c r="AD2893">
        <v>-0.61515520000000001</v>
      </c>
      <c r="AE2893">
        <v>-5.0292000000000003</v>
      </c>
      <c r="AF2893">
        <v>13.0272850690932</v>
      </c>
      <c r="AG2893">
        <v>-0.61515520000000001</v>
      </c>
      <c r="AH2893">
        <v>217.119939180187</v>
      </c>
      <c r="AI2893">
        <v>90.162041452871307</v>
      </c>
      <c r="AJ2893">
        <v>86.566346309663501</v>
      </c>
      <c r="AK2893">
        <v>217.511279159955</v>
      </c>
      <c r="AL2893">
        <v>87.823693009351203</v>
      </c>
      <c r="AM2893">
        <v>91.696117356825795</v>
      </c>
      <c r="AN2893">
        <v>1.00000001069607</v>
      </c>
    </row>
    <row r="2894" spans="1:40" x14ac:dyDescent="0.3">
      <c r="A2894" t="str">
        <f>"20200111160509633"</f>
        <v>20200111160509633</v>
      </c>
      <c r="B2894" t="str">
        <f>"1578729909624178"</f>
        <v>1578729909624178</v>
      </c>
      <c r="C2894" t="s">
        <v>40</v>
      </c>
      <c r="D2894">
        <v>11.10267</v>
      </c>
      <c r="E2894">
        <v>0.53381449999999997</v>
      </c>
      <c r="F2894" t="s">
        <v>57</v>
      </c>
      <c r="G2894">
        <v>-270.91969999999998</v>
      </c>
      <c r="H2894" s="1">
        <v>-9.7676220000000001E-7</v>
      </c>
      <c r="I2894">
        <v>213.00110000000001</v>
      </c>
      <c r="J2894">
        <v>-368.7758</v>
      </c>
      <c r="K2894">
        <v>1.111135</v>
      </c>
      <c r="L2894">
        <v>214.96549999999999</v>
      </c>
      <c r="M2894">
        <v>0.99919349999999996</v>
      </c>
      <c r="N2894">
        <v>0</v>
      </c>
      <c r="O2894">
        <v>3.7366919999999998E-2</v>
      </c>
      <c r="P2894">
        <v>0.99730339999999995</v>
      </c>
      <c r="Q2894">
        <v>2.3478490000000001E-2</v>
      </c>
      <c r="R2894">
        <v>6.9532949999999996E-2</v>
      </c>
      <c r="S2894">
        <v>3.0122070000000001</v>
      </c>
      <c r="T2894">
        <v>-3.4083839999999997E-2</v>
      </c>
      <c r="U2894">
        <v>-5.9844969999999997E-2</v>
      </c>
      <c r="V2894">
        <v>-3.2274079999999997E-2</v>
      </c>
      <c r="W2894">
        <v>3.811324E-2</v>
      </c>
      <c r="X2894">
        <v>0.99875210000000003</v>
      </c>
      <c r="Y2894">
        <v>5.7207229999999998E-2</v>
      </c>
      <c r="Z2894">
        <v>-7.4638609999999996E-4</v>
      </c>
      <c r="AA2894">
        <v>0.99836210000000003</v>
      </c>
      <c r="AB2894">
        <v>35</v>
      </c>
      <c r="AC2894">
        <v>97.856099999999998</v>
      </c>
      <c r="AD2894">
        <v>-1.1111359767622</v>
      </c>
      <c r="AE2894">
        <v>-1.9643999999999799</v>
      </c>
      <c r="AF2894">
        <v>5.6192797318202299</v>
      </c>
      <c r="AG2894">
        <v>-1.1111359767622</v>
      </c>
      <c r="AH2894">
        <v>97.701740520926506</v>
      </c>
      <c r="AI2894">
        <v>90.650506675027501</v>
      </c>
      <c r="AJ2894">
        <v>86.708280678694294</v>
      </c>
      <c r="AK2894">
        <v>97.869510209675397</v>
      </c>
      <c r="AL2894">
        <v>87.815743162970506</v>
      </c>
      <c r="AM2894">
        <v>91.850834984860796</v>
      </c>
      <c r="AN2894">
        <v>0.999999996278777</v>
      </c>
    </row>
    <row r="2895" spans="1:40" x14ac:dyDescent="0.3">
      <c r="A2895" t="str">
        <f>"20200111160509655"</f>
        <v>20200111160509655</v>
      </c>
      <c r="B2895" t="str">
        <f>"1578729909643698"</f>
        <v>1578729909643698</v>
      </c>
      <c r="C2895" t="s">
        <v>40</v>
      </c>
      <c r="D2895">
        <v>5.8957680000000003</v>
      </c>
      <c r="E2895">
        <v>0.53405449999999999</v>
      </c>
      <c r="F2895" t="s">
        <v>61</v>
      </c>
      <c r="G2895">
        <v>-297.57400000000001</v>
      </c>
      <c r="H2895" s="1">
        <v>2.2379059999999999E-6</v>
      </c>
      <c r="I2895">
        <v>213.7099</v>
      </c>
      <c r="J2895">
        <v>-368.43639999999999</v>
      </c>
      <c r="K2895">
        <v>1.111092</v>
      </c>
      <c r="L2895">
        <v>214.97880000000001</v>
      </c>
      <c r="M2895">
        <v>0.9991738</v>
      </c>
      <c r="N2895">
        <v>0</v>
      </c>
      <c r="O2895">
        <v>3.7894789999999998E-2</v>
      </c>
      <c r="P2895">
        <v>0.99714150000000001</v>
      </c>
      <c r="Q2895">
        <v>2.33516E-2</v>
      </c>
      <c r="R2895">
        <v>7.1859110000000004E-2</v>
      </c>
      <c r="S2895">
        <v>3.0129090000000001</v>
      </c>
      <c r="T2895">
        <v>-4.7017690000000001E-2</v>
      </c>
      <c r="U2895">
        <v>-5.3131100000000001E-2</v>
      </c>
      <c r="V2895">
        <v>-3.4072959999999999E-2</v>
      </c>
      <c r="W2895">
        <v>3.798174E-2</v>
      </c>
      <c r="X2895">
        <v>0.99869730000000001</v>
      </c>
      <c r="Y2895">
        <v>5.5500699999999903E-2</v>
      </c>
      <c r="Z2895">
        <v>-1.024285E-3</v>
      </c>
      <c r="AA2895">
        <v>0.99845810000000002</v>
      </c>
      <c r="AB2895">
        <v>35</v>
      </c>
      <c r="AC2895">
        <v>70.862399999999894</v>
      </c>
      <c r="AD2895">
        <v>-1.1110897620939999</v>
      </c>
      <c r="AE2895">
        <v>-1.2688999999999999</v>
      </c>
      <c r="AF2895">
        <v>3.9526223917247401</v>
      </c>
      <c r="AG2895">
        <v>-1.1110897620939999</v>
      </c>
      <c r="AH2895">
        <v>70.746013924478206</v>
      </c>
      <c r="AI2895">
        <v>90.898374541103095</v>
      </c>
      <c r="AJ2895">
        <v>86.802174900354601</v>
      </c>
      <c r="AK2895">
        <v>70.865056483668099</v>
      </c>
      <c r="AL2895">
        <v>87.8232828906809</v>
      </c>
      <c r="AM2895">
        <v>91.954025374820603</v>
      </c>
      <c r="AN2895">
        <v>0.99999993810193699</v>
      </c>
    </row>
    <row r="2896" spans="1:40" x14ac:dyDescent="0.3">
      <c r="A2896" t="str">
        <f>"20200111160509902"</f>
        <v>20200111160509902</v>
      </c>
      <c r="B2896" t="str">
        <f>"1578729909894531"</f>
        <v>1578729909894531</v>
      </c>
      <c r="C2896" t="s">
        <v>40</v>
      </c>
      <c r="D2896">
        <v>5.5676209999999999</v>
      </c>
      <c r="E2896">
        <v>0.53299219999999903</v>
      </c>
      <c r="F2896" t="s">
        <v>61</v>
      </c>
      <c r="G2896">
        <v>-312.37520000000001</v>
      </c>
      <c r="H2896" s="1">
        <v>1.9589539999999998E-6</v>
      </c>
      <c r="I2896">
        <v>214.10159999999999</v>
      </c>
      <c r="J2896">
        <v>-364.59859999999998</v>
      </c>
      <c r="K2896">
        <v>1.1107750000000001</v>
      </c>
      <c r="L2896">
        <v>215.1387</v>
      </c>
      <c r="M2896">
        <v>0.99897250000000004</v>
      </c>
      <c r="N2896">
        <v>0</v>
      </c>
      <c r="O2896">
        <v>4.2889450000000003E-2</v>
      </c>
      <c r="P2896">
        <v>0.99739370000000005</v>
      </c>
      <c r="Q2896">
        <v>1.039352E-2</v>
      </c>
      <c r="R2896">
        <v>7.139885E-2</v>
      </c>
      <c r="S2896">
        <v>3.0133969999999999</v>
      </c>
      <c r="T2896">
        <v>-5.972326E-2</v>
      </c>
      <c r="U2896">
        <v>-4.7149660000000003E-2</v>
      </c>
      <c r="V2896">
        <v>-2.857291E-2</v>
      </c>
      <c r="W2896">
        <v>2.5010190000000002E-2</v>
      </c>
      <c r="X2896">
        <v>0.99927880000000002</v>
      </c>
      <c r="Y2896">
        <v>5.8499250000000003E-2</v>
      </c>
      <c r="Z2896">
        <v>-1.429481E-3</v>
      </c>
      <c r="AA2896">
        <v>0.99828640000000002</v>
      </c>
      <c r="AB2896">
        <v>35</v>
      </c>
      <c r="AC2896">
        <v>52.223399999999899</v>
      </c>
      <c r="AD2896">
        <v>-1.1107730410459999</v>
      </c>
      <c r="AE2896">
        <v>-1.0370999999999999</v>
      </c>
      <c r="AF2896">
        <v>3.2747376770433498</v>
      </c>
      <c r="AG2896">
        <v>-1.1107730410459999</v>
      </c>
      <c r="AH2896">
        <v>52.107285637210097</v>
      </c>
      <c r="AI2896">
        <v>91.2187876342539</v>
      </c>
      <c r="AJ2896">
        <v>86.403915339894596</v>
      </c>
      <c r="AK2896">
        <v>52.2219009619524</v>
      </c>
      <c r="AL2896">
        <v>88.566872265156206</v>
      </c>
      <c r="AM2896">
        <v>91.637842421258995</v>
      </c>
      <c r="AN2896">
        <v>1.00000002045957</v>
      </c>
    </row>
    <row r="2897" spans="1:40" x14ac:dyDescent="0.3">
      <c r="A2897" t="str">
        <f>"20200111160509925"</f>
        <v>20200111160509925</v>
      </c>
      <c r="B2897" t="str">
        <f>"1578729909914050"</f>
        <v>1578729909914050</v>
      </c>
      <c r="C2897" t="s">
        <v>40</v>
      </c>
      <c r="D2897">
        <v>6.640657</v>
      </c>
      <c r="E2897">
        <v>0.53300199999999998</v>
      </c>
      <c r="F2897" t="s">
        <v>57</v>
      </c>
      <c r="G2897">
        <v>-327.73750000000001</v>
      </c>
      <c r="H2897" s="1">
        <v>2.5807239999999999E-6</v>
      </c>
      <c r="I2897">
        <v>214.65029999999999</v>
      </c>
      <c r="J2897">
        <v>-364.24259999999998</v>
      </c>
      <c r="K2897">
        <v>1.110738</v>
      </c>
      <c r="L2897">
        <v>215.15440000000001</v>
      </c>
      <c r="M2897">
        <v>0.99895789999999995</v>
      </c>
      <c r="N2897">
        <v>0</v>
      </c>
      <c r="O2897">
        <v>4.3228599999999999E-2</v>
      </c>
      <c r="P2897">
        <v>0.99743630000000005</v>
      </c>
      <c r="Q2897">
        <v>9.4364059999999996E-3</v>
      </c>
      <c r="R2897">
        <v>7.0936260000000001E-2</v>
      </c>
      <c r="S2897">
        <v>3.0115970000000001</v>
      </c>
      <c r="T2897">
        <v>-9.0751410000000005E-2</v>
      </c>
      <c r="U2897">
        <v>-3.9901730000000003E-2</v>
      </c>
      <c r="V2897">
        <v>-2.7766840000000001E-2</v>
      </c>
      <c r="W2897">
        <v>2.4052509999999999E-2</v>
      </c>
      <c r="X2897">
        <v>0.99932500000000002</v>
      </c>
      <c r="Y2897">
        <v>5.6420030000000003E-2</v>
      </c>
      <c r="Z2897">
        <v>-2.1520760000000002E-3</v>
      </c>
      <c r="AA2897">
        <v>0.99840479999999998</v>
      </c>
      <c r="AB2897">
        <v>35</v>
      </c>
      <c r="AC2897">
        <v>36.505099999999899</v>
      </c>
      <c r="AD2897">
        <v>-1.1107354192759999</v>
      </c>
      <c r="AE2897">
        <v>-0.50410000000002197</v>
      </c>
      <c r="AF2897">
        <v>2.0799370079295501</v>
      </c>
      <c r="AG2897">
        <v>-1.1107354192759999</v>
      </c>
      <c r="AH2897">
        <v>36.415467320768698</v>
      </c>
      <c r="AI2897">
        <v>91.7442387099276</v>
      </c>
      <c r="AJ2897">
        <v>86.730996978565003</v>
      </c>
      <c r="AK2897">
        <v>36.491726888687602</v>
      </c>
      <c r="AL2897">
        <v>88.621759761489898</v>
      </c>
      <c r="AM2897">
        <v>91.591587835455599</v>
      </c>
      <c r="AN2897">
        <v>0.999999988132942</v>
      </c>
    </row>
    <row r="2898" spans="1:40" x14ac:dyDescent="0.3">
      <c r="A2898" t="str">
        <f>"20200111160509946"</f>
        <v>20200111160509946</v>
      </c>
      <c r="B2898" t="str">
        <f>"1578729909944307"</f>
        <v>1578729909944307</v>
      </c>
      <c r="C2898" t="s">
        <v>40</v>
      </c>
      <c r="D2898">
        <v>5.6340579999999996</v>
      </c>
      <c r="E2898">
        <v>0.53411799999999998</v>
      </c>
      <c r="F2898" t="s">
        <v>57</v>
      </c>
      <c r="G2898">
        <v>-326.06479999999999</v>
      </c>
      <c r="H2898" s="1">
        <v>1.6905660000000001E-6</v>
      </c>
      <c r="I2898">
        <v>214.6223</v>
      </c>
      <c r="J2898">
        <v>-363.91849999999999</v>
      </c>
      <c r="K2898">
        <v>1.1107070000000001</v>
      </c>
      <c r="L2898">
        <v>215.1687</v>
      </c>
      <c r="M2898">
        <v>0.99894629999999995</v>
      </c>
      <c r="N2898">
        <v>0</v>
      </c>
      <c r="O2898">
        <v>4.3495850000000003E-2</v>
      </c>
      <c r="P2898">
        <v>0.9974537</v>
      </c>
      <c r="Q2898">
        <v>8.8836219999999903E-3</v>
      </c>
      <c r="R2898">
        <v>7.0763279999999998E-2</v>
      </c>
      <c r="S2898">
        <v>3.0115660000000002</v>
      </c>
      <c r="T2898">
        <v>-8.7617639999999997E-2</v>
      </c>
      <c r="U2898">
        <v>-4.1976930000000003E-2</v>
      </c>
      <c r="V2898">
        <v>-2.7323569999999998E-2</v>
      </c>
      <c r="W2898">
        <v>2.349859E-2</v>
      </c>
      <c r="X2898">
        <v>0.99935039999999997</v>
      </c>
      <c r="Y2898">
        <v>5.7377640000000001E-2</v>
      </c>
      <c r="Z2898">
        <v>-2.0995060000000001E-3</v>
      </c>
      <c r="AA2898">
        <v>0.99835030000000002</v>
      </c>
      <c r="AB2898">
        <v>35</v>
      </c>
      <c r="AC2898">
        <v>37.853700000000003</v>
      </c>
      <c r="AD2898">
        <v>-1.11070530943399</v>
      </c>
      <c r="AE2898">
        <v>-0.54640000000000499</v>
      </c>
      <c r="AF2898">
        <v>2.1906525061553999</v>
      </c>
      <c r="AG2898">
        <v>-1.11070530943399</v>
      </c>
      <c r="AH2898">
        <v>37.761594878394803</v>
      </c>
      <c r="AI2898">
        <v>91.681964390408297</v>
      </c>
      <c r="AJ2898">
        <v>86.679837781750905</v>
      </c>
      <c r="AK2898">
        <v>37.841388352532</v>
      </c>
      <c r="AL2898">
        <v>88.653506019101698</v>
      </c>
      <c r="AM2898">
        <v>91.566152687943699</v>
      </c>
      <c r="AN2898">
        <v>0.99999999159484598</v>
      </c>
    </row>
    <row r="2899" spans="1:40" x14ac:dyDescent="0.3">
      <c r="A2899" t="str">
        <f>"20200111160509968"</f>
        <v>20200111160509968</v>
      </c>
      <c r="B2899" t="str">
        <f>"1578729909963826"</f>
        <v>1578729909963826</v>
      </c>
      <c r="C2899" t="s">
        <v>40</v>
      </c>
      <c r="D2899">
        <v>5.5991809999999997</v>
      </c>
      <c r="E2899">
        <v>0.59390929999999997</v>
      </c>
      <c r="F2899" t="s">
        <v>57</v>
      </c>
      <c r="G2899">
        <v>-324.09070000000003</v>
      </c>
      <c r="H2899" s="1">
        <v>6.4006299999999995E-7</v>
      </c>
      <c r="I2899">
        <v>214.48699999999999</v>
      </c>
      <c r="J2899">
        <v>-363.57310000000001</v>
      </c>
      <c r="K2899">
        <v>1.110668</v>
      </c>
      <c r="L2899">
        <v>215.1841</v>
      </c>
      <c r="M2899">
        <v>0.99893569999999998</v>
      </c>
      <c r="N2899">
        <v>0</v>
      </c>
      <c r="O2899">
        <v>4.3742679999999999E-2</v>
      </c>
      <c r="P2899">
        <v>0.9974788</v>
      </c>
      <c r="Q2899">
        <v>8.7621769999999995E-3</v>
      </c>
      <c r="R2899">
        <v>7.0424239999999999E-2</v>
      </c>
      <c r="S2899">
        <v>3.0120239999999998</v>
      </c>
      <c r="T2899">
        <v>-8.3998439999999994E-2</v>
      </c>
      <c r="U2899">
        <v>-5.155945E-2</v>
      </c>
      <c r="V2899">
        <v>-2.6734649999999999E-2</v>
      </c>
      <c r="W2899">
        <v>2.3376069999999999E-2</v>
      </c>
      <c r="X2899">
        <v>0.99936919999999996</v>
      </c>
      <c r="Y2899">
        <v>6.0799319999999997E-2</v>
      </c>
      <c r="Z2899">
        <v>-2.067059E-3</v>
      </c>
      <c r="AA2899">
        <v>0.99814780000000003</v>
      </c>
      <c r="AB2899">
        <v>35</v>
      </c>
      <c r="AC2899">
        <v>39.482399999999899</v>
      </c>
      <c r="AD2899">
        <v>-1.1106673599370001</v>
      </c>
      <c r="AE2899">
        <v>-0.69710000000000505</v>
      </c>
      <c r="AF2899">
        <v>2.4217676333925602</v>
      </c>
      <c r="AG2899">
        <v>-1.1106673599370001</v>
      </c>
      <c r="AH2899">
        <v>39.3829488518437</v>
      </c>
      <c r="AI2899">
        <v>91.612368043755495</v>
      </c>
      <c r="AJ2899">
        <v>86.481153210988793</v>
      </c>
      <c r="AK2899">
        <v>39.472967974570999</v>
      </c>
      <c r="AL2899">
        <v>88.660527824813997</v>
      </c>
      <c r="AM2899">
        <v>91.532383992680593</v>
      </c>
      <c r="AN2899">
        <v>0.99999999003395301</v>
      </c>
    </row>
    <row r="2900" spans="1:40" x14ac:dyDescent="0.3">
      <c r="A2900" t="str">
        <f>"20200111160509991"</f>
        <v>20200111160509991</v>
      </c>
      <c r="B2900" t="str">
        <f>"1578729909984323"</f>
        <v>1578729909984323</v>
      </c>
      <c r="C2900" t="s">
        <v>40</v>
      </c>
      <c r="D2900">
        <v>5.524483</v>
      </c>
      <c r="E2900">
        <v>0.58787500000000004</v>
      </c>
      <c r="F2900" t="s">
        <v>71</v>
      </c>
      <c r="G2900">
        <v>-239.98500000000001</v>
      </c>
      <c r="H2900">
        <v>1.5904149999999999</v>
      </c>
      <c r="I2900">
        <v>193.4025</v>
      </c>
      <c r="J2900">
        <v>-363.21940000000001</v>
      </c>
      <c r="K2900">
        <v>1.1106259999999999</v>
      </c>
      <c r="L2900">
        <v>215.19980000000001</v>
      </c>
      <c r="M2900">
        <v>0.99892650000000005</v>
      </c>
      <c r="N2900">
        <v>0</v>
      </c>
      <c r="O2900">
        <v>4.3954760000000002E-2</v>
      </c>
      <c r="P2900">
        <v>0.99745609999999996</v>
      </c>
      <c r="Q2900">
        <v>7.356189E-3</v>
      </c>
      <c r="R2900">
        <v>7.0904930000000005E-2</v>
      </c>
      <c r="S2900">
        <v>3.0453800000000002</v>
      </c>
      <c r="T2900">
        <v>1.182163E-2</v>
      </c>
      <c r="U2900">
        <v>-0.53672790000000004</v>
      </c>
      <c r="V2900">
        <v>-2.700046E-2</v>
      </c>
      <c r="W2900">
        <v>2.1968809999999998E-2</v>
      </c>
      <c r="X2900">
        <v>0.999394</v>
      </c>
      <c r="Y2900">
        <v>0.21669079999999999</v>
      </c>
      <c r="Z2900">
        <v>5.8681949999999999E-4</v>
      </c>
      <c r="AA2900">
        <v>0.97624010000000006</v>
      </c>
      <c r="AB2900">
        <v>35</v>
      </c>
      <c r="AC2900">
        <v>123.23439999999999</v>
      </c>
      <c r="AD2900">
        <v>0.47978899999999902</v>
      </c>
      <c r="AE2900">
        <v>-21.7973</v>
      </c>
      <c r="AF2900">
        <v>27.193146897932301</v>
      </c>
      <c r="AG2900">
        <v>0.47978899999999902</v>
      </c>
      <c r="AH2900">
        <v>122.15527826344</v>
      </c>
      <c r="AI2900">
        <v>89.7803375676679</v>
      </c>
      <c r="AJ2900">
        <v>77.449949871072306</v>
      </c>
      <c r="AK2900">
        <v>125.146352097516</v>
      </c>
      <c r="AL2900">
        <v>88.741178648047807</v>
      </c>
      <c r="AM2900">
        <v>91.547574004639003</v>
      </c>
      <c r="AN2900">
        <v>1.0000000103445099</v>
      </c>
    </row>
    <row r="2901" spans="1:40" x14ac:dyDescent="0.3">
      <c r="A2901" t="str">
        <f>"20200111160510013"</f>
        <v>20200111160510013</v>
      </c>
      <c r="B2901" t="str">
        <f>"1578729910003845"</f>
        <v>1578729910003845</v>
      </c>
      <c r="C2901" t="s">
        <v>40</v>
      </c>
      <c r="D2901">
        <v>5.5041539999999998</v>
      </c>
      <c r="E2901">
        <v>0.58817540000000001</v>
      </c>
      <c r="F2901" t="s">
        <v>57</v>
      </c>
      <c r="G2901">
        <v>-350.7081</v>
      </c>
      <c r="H2901" s="1">
        <v>-1.1015749999999999E-6</v>
      </c>
      <c r="I2901">
        <v>213.28020000000001</v>
      </c>
      <c r="J2901">
        <v>-362.88319999999999</v>
      </c>
      <c r="K2901">
        <v>1.11059</v>
      </c>
      <c r="L2901">
        <v>215.21469999999999</v>
      </c>
      <c r="M2901">
        <v>0.99891929999999995</v>
      </c>
      <c r="N2901">
        <v>0</v>
      </c>
      <c r="O2901">
        <v>4.41159E-2</v>
      </c>
      <c r="P2901">
        <v>0.99741599999999997</v>
      </c>
      <c r="Q2901">
        <v>5.9016569999999898E-3</v>
      </c>
      <c r="R2901">
        <v>7.1599350000000006E-2</v>
      </c>
      <c r="S2901">
        <v>3.0428160000000002</v>
      </c>
      <c r="T2901">
        <v>-0.27011069999999998</v>
      </c>
      <c r="U2901">
        <v>-0.4668427</v>
      </c>
      <c r="V2901">
        <v>-2.7532669999999999E-2</v>
      </c>
      <c r="W2901">
        <v>2.05124E-2</v>
      </c>
      <c r="X2901">
        <v>0.99941049999999998</v>
      </c>
      <c r="Y2901">
        <v>0.1941956</v>
      </c>
      <c r="Z2901">
        <v>-1.244133E-2</v>
      </c>
      <c r="AA2901">
        <v>0.98088399999999998</v>
      </c>
      <c r="AB2901">
        <v>34</v>
      </c>
      <c r="AC2901">
        <v>12.175099999999899</v>
      </c>
      <c r="AD2901">
        <v>-1.1105911015750001</v>
      </c>
      <c r="AE2901">
        <v>-1.9344999999999799</v>
      </c>
      <c r="AF2901">
        <v>2.4499060598627</v>
      </c>
      <c r="AG2901">
        <v>-1.1105911015750001</v>
      </c>
      <c r="AH2901">
        <v>11.980659177403201</v>
      </c>
      <c r="AI2901">
        <v>95.189325390919194</v>
      </c>
      <c r="AJ2901">
        <v>78.443005874651405</v>
      </c>
      <c r="AK2901">
        <v>12.278910644765901</v>
      </c>
      <c r="AL2901">
        <v>88.824643709449902</v>
      </c>
      <c r="AM2901">
        <v>91.578037145550695</v>
      </c>
      <c r="AN2901">
        <v>1.0000000769906601</v>
      </c>
    </row>
    <row r="2902" spans="1:40" x14ac:dyDescent="0.3">
      <c r="A2902" t="str">
        <f>"20200111160510035"</f>
        <v>20200111160510035</v>
      </c>
      <c r="B2902" t="str">
        <f>"1578729910024338"</f>
        <v>1578729910024338</v>
      </c>
      <c r="C2902" t="s">
        <v>40</v>
      </c>
      <c r="D2902">
        <v>5.5080479999999996</v>
      </c>
      <c r="E2902">
        <v>0.5885648</v>
      </c>
      <c r="F2902" t="s">
        <v>57</v>
      </c>
      <c r="G2902">
        <v>-350.45170000000002</v>
      </c>
      <c r="H2902" s="1">
        <v>-1.2391210000000001E-6</v>
      </c>
      <c r="I2902">
        <v>213.30529999999999</v>
      </c>
      <c r="J2902">
        <v>-362.55829999999997</v>
      </c>
      <c r="K2902">
        <v>1.1105499999999999</v>
      </c>
      <c r="L2902">
        <v>215.22929999999999</v>
      </c>
      <c r="M2902">
        <v>0.99891419999999997</v>
      </c>
      <c r="N2902">
        <v>0</v>
      </c>
      <c r="O2902">
        <v>4.4232510000000003E-2</v>
      </c>
      <c r="P2902">
        <v>0.99739350000000004</v>
      </c>
      <c r="Q2902">
        <v>4.5421419999999999E-3</v>
      </c>
      <c r="R2902">
        <v>7.201333E-2</v>
      </c>
      <c r="S2902">
        <v>3.0429379999999999</v>
      </c>
      <c r="T2902">
        <v>-0.27184530000000001</v>
      </c>
      <c r="U2902">
        <v>-0.46737669999999998</v>
      </c>
      <c r="V2902">
        <v>-2.78284E-2</v>
      </c>
      <c r="W2902">
        <v>1.9151769999999999E-2</v>
      </c>
      <c r="X2902">
        <v>0.99942920000000002</v>
      </c>
      <c r="Y2902">
        <v>0.1944592</v>
      </c>
      <c r="Z2902">
        <v>-1.2542289999999999E-2</v>
      </c>
      <c r="AA2902">
        <v>0.98083039999999999</v>
      </c>
      <c r="AB2902">
        <v>34</v>
      </c>
      <c r="AC2902">
        <v>12.106599999999901</v>
      </c>
      <c r="AD2902">
        <v>-1.110551239121</v>
      </c>
      <c r="AE2902">
        <v>-1.9239999999999999</v>
      </c>
      <c r="AF2902">
        <v>2.43767238089591</v>
      </c>
      <c r="AG2902">
        <v>-1.110551239121</v>
      </c>
      <c r="AH2902">
        <v>11.9118715018472</v>
      </c>
      <c r="AI2902">
        <v>95.218784174653294</v>
      </c>
      <c r="AJ2902">
        <v>78.434545154193302</v>
      </c>
      <c r="AK2902">
        <v>12.2093510625183</v>
      </c>
      <c r="AL2902">
        <v>88.902617281789304</v>
      </c>
      <c r="AM2902">
        <v>91.594948397241595</v>
      </c>
      <c r="AN2902">
        <v>0.99999996797666502</v>
      </c>
    </row>
    <row r="2903" spans="1:40" x14ac:dyDescent="0.3">
      <c r="A2903" t="str">
        <f>"20200111160510057"</f>
        <v>20200111160510057</v>
      </c>
      <c r="B2903" t="str">
        <f>"1578729910054594"</f>
        <v>1578729910054594</v>
      </c>
      <c r="C2903" t="s">
        <v>40</v>
      </c>
      <c r="D2903">
        <v>5.8244049999999996</v>
      </c>
      <c r="E2903">
        <v>0.58871329999999999</v>
      </c>
      <c r="F2903" t="s">
        <v>57</v>
      </c>
      <c r="G2903">
        <v>-350.24619999999999</v>
      </c>
      <c r="H2903" s="1">
        <v>-1.349557E-6</v>
      </c>
      <c r="I2903">
        <v>213.3297</v>
      </c>
      <c r="J2903">
        <v>-362.20929999999998</v>
      </c>
      <c r="K2903">
        <v>1.1105130000000001</v>
      </c>
      <c r="L2903">
        <v>215.2448</v>
      </c>
      <c r="M2903">
        <v>0.99891050000000003</v>
      </c>
      <c r="N2903">
        <v>0</v>
      </c>
      <c r="O2903">
        <v>4.4317889999999999E-2</v>
      </c>
      <c r="P2903">
        <v>0.99737699999999996</v>
      </c>
      <c r="Q2903">
        <v>4.6337319999999998E-3</v>
      </c>
      <c r="R2903">
        <v>7.2234399999999893E-2</v>
      </c>
      <c r="S2903">
        <v>3.0430299999999999</v>
      </c>
      <c r="T2903">
        <v>-0.2744799</v>
      </c>
      <c r="U2903">
        <v>-0.46948240000000002</v>
      </c>
      <c r="V2903">
        <v>-2.7962270000000001E-2</v>
      </c>
      <c r="W2903">
        <v>1.9241879999999999E-2</v>
      </c>
      <c r="X2903">
        <v>0.99942370000000003</v>
      </c>
      <c r="Y2903">
        <v>0.1951804</v>
      </c>
      <c r="Z2903">
        <v>-1.270226E-2</v>
      </c>
      <c r="AA2903">
        <v>0.98068509999999998</v>
      </c>
      <c r="AB2903">
        <v>34</v>
      </c>
      <c r="AC2903">
        <v>11.963099999999899</v>
      </c>
      <c r="AD2903">
        <v>-1.11051434955699</v>
      </c>
      <c r="AE2903">
        <v>-1.91509999999999</v>
      </c>
      <c r="AF2903">
        <v>2.4230956657394902</v>
      </c>
      <c r="AG2903">
        <v>-1.11051434955699</v>
      </c>
      <c r="AH2903">
        <v>11.7675924673055</v>
      </c>
      <c r="AI2903">
        <v>95.280921771961502</v>
      </c>
      <c r="AJ2903">
        <v>78.364702963183007</v>
      </c>
      <c r="AK2903">
        <v>12.0656896695748</v>
      </c>
      <c r="AL2903">
        <v>88.897453371326193</v>
      </c>
      <c r="AM2903">
        <v>91.602625804621795</v>
      </c>
      <c r="AN2903">
        <v>0.99999993530558595</v>
      </c>
    </row>
    <row r="2904" spans="1:40" x14ac:dyDescent="0.3">
      <c r="A2904" t="str">
        <f>"20200111160510080"</f>
        <v>20200111160510080</v>
      </c>
      <c r="B2904" t="str">
        <f>"1578729910074114"</f>
        <v>1578729910074114</v>
      </c>
      <c r="C2904" t="s">
        <v>40</v>
      </c>
      <c r="D2904">
        <v>5.5641590000000001</v>
      </c>
      <c r="E2904">
        <v>0.58960999999999997</v>
      </c>
      <c r="F2904" t="s">
        <v>57</v>
      </c>
      <c r="G2904">
        <v>-349.88889999999998</v>
      </c>
      <c r="H2904" s="1">
        <v>3.7255799999999998E-6</v>
      </c>
      <c r="I2904">
        <v>213.3424</v>
      </c>
      <c r="J2904">
        <v>-361.8546</v>
      </c>
      <c r="K2904">
        <v>1.1104799999999999</v>
      </c>
      <c r="L2904">
        <v>215.26070000000001</v>
      </c>
      <c r="M2904">
        <v>0.99890829999999997</v>
      </c>
      <c r="N2904">
        <v>0</v>
      </c>
      <c r="O2904">
        <v>4.4370510000000002E-2</v>
      </c>
      <c r="P2904">
        <v>0.99735410000000002</v>
      </c>
      <c r="Q2904">
        <v>5.1306299999999997E-3</v>
      </c>
      <c r="R2904">
        <v>7.2517620000000005E-2</v>
      </c>
      <c r="S2904">
        <v>3.0432130000000002</v>
      </c>
      <c r="T2904">
        <v>-0.2743022</v>
      </c>
      <c r="U2904">
        <v>-0.46992489999999998</v>
      </c>
      <c r="V2904">
        <v>-2.8192180000000001E-2</v>
      </c>
      <c r="W2904">
        <v>1.9736739999999999E-2</v>
      </c>
      <c r="X2904">
        <v>0.99940759999999995</v>
      </c>
      <c r="Y2904">
        <v>0.19536290000000001</v>
      </c>
      <c r="Z2904">
        <v>-1.270605E-2</v>
      </c>
      <c r="AA2904">
        <v>0.98064870000000004</v>
      </c>
      <c r="AB2904">
        <v>34</v>
      </c>
      <c r="AC2904">
        <v>11.9657</v>
      </c>
      <c r="AD2904">
        <v>-1.1104762744200001</v>
      </c>
      <c r="AE2904">
        <v>-1.9183000000000101</v>
      </c>
      <c r="AF2904">
        <v>2.4270117464219001</v>
      </c>
      <c r="AG2904">
        <v>-1.1104762744200001</v>
      </c>
      <c r="AH2904">
        <v>11.769956259317301</v>
      </c>
      <c r="AI2904">
        <v>95.279384837812302</v>
      </c>
      <c r="AJ2904">
        <v>78.348688968086506</v>
      </c>
      <c r="AK2904">
        <v>12.068778476696099</v>
      </c>
      <c r="AL2904">
        <v>88.869094603755698</v>
      </c>
      <c r="AM2904">
        <v>91.615821894721407</v>
      </c>
      <c r="AN2904">
        <v>0.99999994442836804</v>
      </c>
    </row>
    <row r="2905" spans="1:40" x14ac:dyDescent="0.3">
      <c r="A2905" t="str">
        <f>"20200111160510103"</f>
        <v>20200111160510103</v>
      </c>
      <c r="B2905" t="str">
        <f>"1578729910094610"</f>
        <v>1578729910094610</v>
      </c>
      <c r="C2905" t="s">
        <v>40</v>
      </c>
      <c r="D2905">
        <v>5.5535969999999999</v>
      </c>
      <c r="E2905">
        <v>0.59028849999999999</v>
      </c>
      <c r="F2905" t="s">
        <v>57</v>
      </c>
      <c r="G2905">
        <v>-349.5729</v>
      </c>
      <c r="H2905" s="1">
        <v>3.5574360000000002E-6</v>
      </c>
      <c r="I2905">
        <v>213.33940000000001</v>
      </c>
      <c r="J2905">
        <v>-361.51510000000002</v>
      </c>
      <c r="K2905">
        <v>1.1104579999999999</v>
      </c>
      <c r="L2905">
        <v>215.2758</v>
      </c>
      <c r="M2905">
        <v>0.99890710000000005</v>
      </c>
      <c r="N2905">
        <v>0</v>
      </c>
      <c r="O2905">
        <v>4.4397409999999998E-2</v>
      </c>
      <c r="P2905">
        <v>0.99731170000000002</v>
      </c>
      <c r="Q2905">
        <v>6.1324279999999997E-3</v>
      </c>
      <c r="R2905">
        <v>7.3022660000000003E-2</v>
      </c>
      <c r="S2905">
        <v>3.044006</v>
      </c>
      <c r="T2905">
        <v>-0.2752309</v>
      </c>
      <c r="U2905">
        <v>-0.47619630000000002</v>
      </c>
      <c r="V2905">
        <v>-2.867053E-2</v>
      </c>
      <c r="W2905">
        <v>2.0735989999999999E-2</v>
      </c>
      <c r="X2905">
        <v>0.99937379999999998</v>
      </c>
      <c r="Y2905">
        <v>0.1973097</v>
      </c>
      <c r="Z2905">
        <v>-1.28334E-2</v>
      </c>
      <c r="AA2905">
        <v>0.98025720000000005</v>
      </c>
      <c r="AB2905">
        <v>34</v>
      </c>
      <c r="AC2905">
        <v>11.9422</v>
      </c>
      <c r="AD2905">
        <v>-1.1104544425639999</v>
      </c>
      <c r="AE2905">
        <v>-1.9363999999999899</v>
      </c>
      <c r="AF2905">
        <v>2.4441579024171398</v>
      </c>
      <c r="AG2905">
        <v>-1.1104544425639999</v>
      </c>
      <c r="AH2905">
        <v>11.7454876281931</v>
      </c>
      <c r="AI2905">
        <v>95.288243612084202</v>
      </c>
      <c r="AJ2905">
        <v>78.244889605420099</v>
      </c>
      <c r="AK2905">
        <v>12.0483814906814</v>
      </c>
      <c r="AL2905">
        <v>88.811830113909593</v>
      </c>
      <c r="AM2905">
        <v>91.643278945347603</v>
      </c>
      <c r="AN2905">
        <v>0.99999998634910003</v>
      </c>
    </row>
    <row r="2906" spans="1:40" x14ac:dyDescent="0.3">
      <c r="A2906" t="str">
        <f>"20200111160510125"</f>
        <v>20200111160510125</v>
      </c>
      <c r="B2906" t="str">
        <f>"1578729910114131"</f>
        <v>1578729910114131</v>
      </c>
      <c r="C2906" t="s">
        <v>40</v>
      </c>
      <c r="D2906">
        <v>5.5767530000000001</v>
      </c>
      <c r="E2906">
        <v>0.58935280000000001</v>
      </c>
      <c r="F2906" t="s">
        <v>57</v>
      </c>
      <c r="G2906">
        <v>-349.12430000000001</v>
      </c>
      <c r="H2906" s="1">
        <v>3.3187320000000001E-6</v>
      </c>
      <c r="I2906">
        <v>213.32159999999999</v>
      </c>
      <c r="J2906">
        <v>-361.16609999999997</v>
      </c>
      <c r="K2906">
        <v>1.1104419999999999</v>
      </c>
      <c r="L2906">
        <v>215.29130000000001</v>
      </c>
      <c r="M2906">
        <v>0.99890670000000004</v>
      </c>
      <c r="N2906">
        <v>0</v>
      </c>
      <c r="O2906">
        <v>4.4407330000000002E-2</v>
      </c>
      <c r="P2906">
        <v>0.99725810000000004</v>
      </c>
      <c r="Q2906">
        <v>6.8597719999999897E-3</v>
      </c>
      <c r="R2906">
        <v>7.3684600000000003E-2</v>
      </c>
      <c r="S2906">
        <v>3.0449830000000002</v>
      </c>
      <c r="T2906">
        <v>-0.2728893</v>
      </c>
      <c r="U2906">
        <v>-0.4802246</v>
      </c>
      <c r="V2906">
        <v>-2.9323410000000001E-2</v>
      </c>
      <c r="W2906">
        <v>2.1460139999999999E-2</v>
      </c>
      <c r="X2906">
        <v>0.99933959999999999</v>
      </c>
      <c r="Y2906">
        <v>0.198549</v>
      </c>
      <c r="Z2906">
        <v>-1.277533E-2</v>
      </c>
      <c r="AA2906">
        <v>0.98000770000000004</v>
      </c>
      <c r="AB2906">
        <v>34</v>
      </c>
      <c r="AC2906">
        <v>12.041799999999901</v>
      </c>
      <c r="AD2906">
        <v>-1.1104386812679901</v>
      </c>
      <c r="AE2906">
        <v>-1.96970000000001</v>
      </c>
      <c r="AF2906">
        <v>2.4820016174879602</v>
      </c>
      <c r="AG2906">
        <v>-1.1104386812679901</v>
      </c>
      <c r="AH2906">
        <v>11.844344116806701</v>
      </c>
      <c r="AI2906">
        <v>95.242757927822296</v>
      </c>
      <c r="AJ2906">
        <v>78.164827733378999</v>
      </c>
      <c r="AK2906">
        <v>12.152443937389799</v>
      </c>
      <c r="AL2906">
        <v>88.770330175258493</v>
      </c>
      <c r="AM2906">
        <v>91.680735650254903</v>
      </c>
      <c r="AN2906">
        <v>1.0000000180555</v>
      </c>
    </row>
    <row r="2907" spans="1:40" x14ac:dyDescent="0.3">
      <c r="A2907" t="str">
        <f>"20200111160510146"</f>
        <v>20200111160510146</v>
      </c>
      <c r="B2907" t="str">
        <f>"1578729910144386"</f>
        <v>1578729910144386</v>
      </c>
      <c r="C2907" t="s">
        <v>40</v>
      </c>
      <c r="D2907">
        <v>5.5650110000000002</v>
      </c>
      <c r="E2907">
        <v>0.58856330000000001</v>
      </c>
      <c r="F2907" t="s">
        <v>57</v>
      </c>
      <c r="G2907">
        <v>-348.69450000000001</v>
      </c>
      <c r="H2907" s="1">
        <v>3.0899770000000001E-6</v>
      </c>
      <c r="I2907">
        <v>213.36369999999999</v>
      </c>
      <c r="J2907">
        <v>-360.85120000000001</v>
      </c>
      <c r="K2907">
        <v>1.1104369999999999</v>
      </c>
      <c r="L2907">
        <v>215.30539999999999</v>
      </c>
      <c r="M2907">
        <v>0.99890699999999999</v>
      </c>
      <c r="N2907">
        <v>0</v>
      </c>
      <c r="O2907">
        <v>4.4406479999999998E-2</v>
      </c>
      <c r="P2907">
        <v>0.99722040000000001</v>
      </c>
      <c r="Q2907">
        <v>8.1955180000000006E-3</v>
      </c>
      <c r="R2907">
        <v>7.4059970000000003E-2</v>
      </c>
      <c r="S2907">
        <v>3.044861</v>
      </c>
      <c r="T2907">
        <v>-0.27110509999999999</v>
      </c>
      <c r="U2907">
        <v>-0.47062680000000001</v>
      </c>
      <c r="V2907">
        <v>-2.970041E-2</v>
      </c>
      <c r="W2907">
        <v>2.2793049999999999E-2</v>
      </c>
      <c r="X2907">
        <v>0.99929889999999999</v>
      </c>
      <c r="Y2907">
        <v>0.19556109999999999</v>
      </c>
      <c r="Z2907">
        <v>-1.256356E-2</v>
      </c>
      <c r="AA2907">
        <v>0.98061100000000001</v>
      </c>
      <c r="AB2907">
        <v>34</v>
      </c>
      <c r="AC2907">
        <v>12.156700000000001</v>
      </c>
      <c r="AD2907">
        <v>-1.1104339100229901</v>
      </c>
      <c r="AE2907">
        <v>-1.94169999999999</v>
      </c>
      <c r="AF2907">
        <v>2.45966595210822</v>
      </c>
      <c r="AG2907">
        <v>-1.1104339100229901</v>
      </c>
      <c r="AH2907">
        <v>11.9611556230606</v>
      </c>
      <c r="AI2907">
        <v>95.195840075668798</v>
      </c>
      <c r="AJ2907">
        <v>78.379807694034298</v>
      </c>
      <c r="AK2907">
        <v>12.261821394212401</v>
      </c>
      <c r="AL2907">
        <v>88.693941281812997</v>
      </c>
      <c r="AM2907">
        <v>91.702400892065597</v>
      </c>
      <c r="AN2907">
        <v>0.99999996451183903</v>
      </c>
    </row>
    <row r="2908" spans="1:40" x14ac:dyDescent="0.3">
      <c r="A2908" t="str">
        <f>"20200111160510169"</f>
        <v>20200111160510169</v>
      </c>
      <c r="B2908" t="str">
        <f>"1578729910163906"</f>
        <v>1578729910163906</v>
      </c>
      <c r="C2908" t="s">
        <v>40</v>
      </c>
      <c r="D2908">
        <v>5.5348189999999997</v>
      </c>
      <c r="E2908">
        <v>0.58819009999999905</v>
      </c>
      <c r="F2908" t="s">
        <v>57</v>
      </c>
      <c r="G2908">
        <v>-348.17169999999999</v>
      </c>
      <c r="H2908" s="1">
        <v>2.8117679999999999E-6</v>
      </c>
      <c r="I2908">
        <v>213.37610000000001</v>
      </c>
      <c r="J2908">
        <v>-360.49900000000002</v>
      </c>
      <c r="K2908">
        <v>1.110436</v>
      </c>
      <c r="L2908">
        <v>215.321</v>
      </c>
      <c r="M2908">
        <v>0.99890699999999999</v>
      </c>
      <c r="N2908">
        <v>0</v>
      </c>
      <c r="O2908">
        <v>4.4401210000000003E-2</v>
      </c>
      <c r="P2908">
        <v>0.9971932</v>
      </c>
      <c r="Q2908">
        <v>9.7557470000000004E-3</v>
      </c>
      <c r="R2908">
        <v>7.4232820000000005E-2</v>
      </c>
      <c r="S2908">
        <v>3.0449830000000002</v>
      </c>
      <c r="T2908">
        <v>-0.26667099999999999</v>
      </c>
      <c r="U2908">
        <v>-0.46330260000000001</v>
      </c>
      <c r="V2908">
        <v>-2.9878479999999999E-2</v>
      </c>
      <c r="W2908">
        <v>2.4349490000000001E-2</v>
      </c>
      <c r="X2908">
        <v>0.9992569</v>
      </c>
      <c r="Y2908">
        <v>0.19328319999999999</v>
      </c>
      <c r="Z2908">
        <v>-1.2261090000000001E-2</v>
      </c>
      <c r="AA2908">
        <v>0.98106640000000001</v>
      </c>
      <c r="AB2908">
        <v>34</v>
      </c>
      <c r="AC2908">
        <v>12.327299999999999</v>
      </c>
      <c r="AD2908">
        <v>-1.110433188232</v>
      </c>
      <c r="AE2908">
        <v>-1.9448999999999801</v>
      </c>
      <c r="AF2908">
        <v>2.4708249402288902</v>
      </c>
      <c r="AG2908">
        <v>-1.110433188232</v>
      </c>
      <c r="AH2908">
        <v>12.132717860953401</v>
      </c>
      <c r="AI2908">
        <v>95.124749028106095</v>
      </c>
      <c r="AJ2908">
        <v>78.489137088187405</v>
      </c>
      <c r="AK2908">
        <v>12.431447238526999</v>
      </c>
      <c r="AL2908">
        <v>88.604739073505897</v>
      </c>
      <c r="AM2908">
        <v>91.712673584522307</v>
      </c>
      <c r="AN2908">
        <v>0.99999998671399004</v>
      </c>
    </row>
    <row r="2909" spans="1:40" x14ac:dyDescent="0.3">
      <c r="A2909" t="str">
        <f>"20200111160510192"</f>
        <v>20200111160510192</v>
      </c>
      <c r="B2909" t="str">
        <f>"1578729910184403"</f>
        <v>1578729910184403</v>
      </c>
      <c r="C2909" t="s">
        <v>40</v>
      </c>
      <c r="D2909">
        <v>5.5483089999999997</v>
      </c>
      <c r="E2909">
        <v>0.58781689999999998</v>
      </c>
      <c r="F2909" t="s">
        <v>57</v>
      </c>
      <c r="G2909">
        <v>-347.6343</v>
      </c>
      <c r="H2909" s="1">
        <v>2.525807E-6</v>
      </c>
      <c r="I2909">
        <v>213.37880000000001</v>
      </c>
      <c r="J2909">
        <v>-360.1515</v>
      </c>
      <c r="K2909">
        <v>1.1104369999999999</v>
      </c>
      <c r="L2909">
        <v>215.3365</v>
      </c>
      <c r="M2909">
        <v>0.99890760000000001</v>
      </c>
      <c r="N2909">
        <v>0</v>
      </c>
      <c r="O2909">
        <v>4.4395039999999997E-2</v>
      </c>
      <c r="P2909">
        <v>0.99717880000000003</v>
      </c>
      <c r="Q2909">
        <v>1.1663099999999999E-2</v>
      </c>
      <c r="R2909">
        <v>7.4153399999999994E-2</v>
      </c>
      <c r="S2909">
        <v>3.0452270000000001</v>
      </c>
      <c r="T2909">
        <v>-0.26285360000000002</v>
      </c>
      <c r="U2909">
        <v>-0.45976260000000002</v>
      </c>
      <c r="V2909">
        <v>-2.980652E-2</v>
      </c>
      <c r="W2909">
        <v>2.6253370000000002E-2</v>
      </c>
      <c r="X2909">
        <v>0.99921079999999995</v>
      </c>
      <c r="Y2909">
        <v>0.19217980000000001</v>
      </c>
      <c r="Z2909">
        <v>-1.2038490000000001E-2</v>
      </c>
      <c r="AA2909">
        <v>0.98128590000000004</v>
      </c>
      <c r="AB2909">
        <v>34</v>
      </c>
      <c r="AC2909">
        <v>12.517200000000001</v>
      </c>
      <c r="AD2909">
        <v>-1.1104344741929999</v>
      </c>
      <c r="AE2909">
        <v>-1.95769999999998</v>
      </c>
      <c r="AF2909">
        <v>2.4923835385086002</v>
      </c>
      <c r="AG2909">
        <v>-1.1104344741929999</v>
      </c>
      <c r="AH2909">
        <v>12.3232669776327</v>
      </c>
      <c r="AI2909">
        <v>95.047295029382298</v>
      </c>
      <c r="AJ2909">
        <v>78.566151643713596</v>
      </c>
      <c r="AK2909">
        <v>12.621725295161401</v>
      </c>
      <c r="AL2909">
        <v>88.495619772147094</v>
      </c>
      <c r="AM2909">
        <v>91.708629970604903</v>
      </c>
      <c r="AN2909">
        <v>0.99999994545375204</v>
      </c>
    </row>
    <row r="2910" spans="1:40" x14ac:dyDescent="0.3">
      <c r="A2910" t="str">
        <f>"20200111160510213"</f>
        <v>20200111160510213</v>
      </c>
      <c r="B2910" t="str">
        <f>"1578729910203925"</f>
        <v>1578729910203925</v>
      </c>
      <c r="C2910" t="s">
        <v>40</v>
      </c>
      <c r="D2910">
        <v>5.7567820000000003</v>
      </c>
      <c r="E2910">
        <v>0.58756940000000002</v>
      </c>
      <c r="F2910" t="s">
        <v>57</v>
      </c>
      <c r="G2910">
        <v>-347.03800000000001</v>
      </c>
      <c r="H2910" s="1">
        <v>2.2084689999999999E-6</v>
      </c>
      <c r="I2910">
        <v>213.37</v>
      </c>
      <c r="J2910">
        <v>-359.82510000000002</v>
      </c>
      <c r="K2910">
        <v>1.11043799999999</v>
      </c>
      <c r="L2910">
        <v>215.351</v>
      </c>
      <c r="M2910">
        <v>0.99890760000000001</v>
      </c>
      <c r="N2910">
        <v>0</v>
      </c>
      <c r="O2910">
        <v>4.4390989999999998E-2</v>
      </c>
      <c r="P2910">
        <v>0.99721210000000005</v>
      </c>
      <c r="Q2910">
        <v>1.2540910000000001E-2</v>
      </c>
      <c r="R2910">
        <v>7.3559340000000001E-2</v>
      </c>
      <c r="S2910">
        <v>3.0455019999999999</v>
      </c>
      <c r="T2910">
        <v>-0.25788899999999998</v>
      </c>
      <c r="U2910">
        <v>-0.45669559999999998</v>
      </c>
      <c r="V2910">
        <v>-2.9215020000000001E-2</v>
      </c>
      <c r="W2910">
        <v>2.7127579999999998E-2</v>
      </c>
      <c r="X2910">
        <v>0.99920500000000001</v>
      </c>
      <c r="Y2910">
        <v>0.19123180000000001</v>
      </c>
      <c r="Z2910">
        <v>-1.177154E-2</v>
      </c>
      <c r="AA2910">
        <v>0.98147430000000002</v>
      </c>
      <c r="AB2910">
        <v>34</v>
      </c>
      <c r="AC2910">
        <v>12.787100000000001</v>
      </c>
      <c r="AD2910">
        <v>-1.1104357915309999</v>
      </c>
      <c r="AE2910">
        <v>-1.9809999999999901</v>
      </c>
      <c r="AF2910">
        <v>2.5281209712004502</v>
      </c>
      <c r="AG2910">
        <v>-1.1104357915309999</v>
      </c>
      <c r="AH2910">
        <v>12.5937974471167</v>
      </c>
      <c r="AI2910">
        <v>94.940855237094098</v>
      </c>
      <c r="AJ2910">
        <v>78.649121191157604</v>
      </c>
      <c r="AK2910">
        <v>12.892951463149901</v>
      </c>
      <c r="AL2910">
        <v>88.445513501374194</v>
      </c>
      <c r="AM2910">
        <v>91.674752025147498</v>
      </c>
      <c r="AN2910">
        <v>1.00000002750762</v>
      </c>
    </row>
    <row r="2911" spans="1:40" x14ac:dyDescent="0.3">
      <c r="A2911" t="str">
        <f>"20200111160510236"</f>
        <v>20200111160510236</v>
      </c>
      <c r="B2911" t="str">
        <f>"1578729910224418"</f>
        <v>1578729910224418</v>
      </c>
      <c r="C2911" t="s">
        <v>40</v>
      </c>
      <c r="D2911">
        <v>5.4985710000000001</v>
      </c>
      <c r="E2911">
        <v>0.58750369999999996</v>
      </c>
      <c r="F2911" t="s">
        <v>57</v>
      </c>
      <c r="G2911">
        <v>-346.62270000000001</v>
      </c>
      <c r="H2911" s="1">
        <v>1.9874880000000001E-6</v>
      </c>
      <c r="I2911">
        <v>213.3723</v>
      </c>
      <c r="J2911">
        <v>-359.4973</v>
      </c>
      <c r="K2911">
        <v>1.1104350000000001</v>
      </c>
      <c r="L2911">
        <v>215.3656</v>
      </c>
      <c r="M2911">
        <v>0.99890789999999996</v>
      </c>
      <c r="N2911">
        <v>0</v>
      </c>
      <c r="O2911">
        <v>4.4388690000000001E-2</v>
      </c>
      <c r="P2911">
        <v>0.99725220000000003</v>
      </c>
      <c r="Q2911">
        <v>1.2804599999999999E-2</v>
      </c>
      <c r="R2911">
        <v>7.2967110000000002E-2</v>
      </c>
      <c r="S2911">
        <v>3.0453489999999999</v>
      </c>
      <c r="T2911">
        <v>-0.25613979999999997</v>
      </c>
      <c r="U2911">
        <v>-0.45642090000000002</v>
      </c>
      <c r="V2911">
        <v>-2.8623530000000001E-2</v>
      </c>
      <c r="W2911">
        <v>2.7387359999999999E-2</v>
      </c>
      <c r="X2911">
        <v>0.99921499999999996</v>
      </c>
      <c r="Y2911">
        <v>0.19116150000000001</v>
      </c>
      <c r="Z2911">
        <v>-1.16895E-2</v>
      </c>
      <c r="AA2911">
        <v>0.98148899999999994</v>
      </c>
      <c r="AB2911">
        <v>34</v>
      </c>
      <c r="AC2911">
        <v>12.8745999999999</v>
      </c>
      <c r="AD2911">
        <v>-1.1104330125120001</v>
      </c>
      <c r="AE2911">
        <v>-1.9933000000000001</v>
      </c>
      <c r="AF2911">
        <v>2.5443974613195199</v>
      </c>
      <c r="AG2911">
        <v>-1.1104330125120001</v>
      </c>
      <c r="AH2911">
        <v>12.681289559707301</v>
      </c>
      <c r="AI2911">
        <v>94.907017154540199</v>
      </c>
      <c r="AJ2911">
        <v>78.654710756444302</v>
      </c>
      <c r="AK2911">
        <v>12.981607173751099</v>
      </c>
      <c r="AL2911">
        <v>88.430623620879999</v>
      </c>
      <c r="AM2911">
        <v>91.640847155931496</v>
      </c>
      <c r="AN2911">
        <v>0.99999999509121495</v>
      </c>
    </row>
    <row r="2912" spans="1:40" x14ac:dyDescent="0.3">
      <c r="A2912" t="str">
        <f>"20200111160510258"</f>
        <v>20200111160510258</v>
      </c>
      <c r="B2912" t="str">
        <f>"1578729910253699"</f>
        <v>1578729910253699</v>
      </c>
      <c r="C2912" t="s">
        <v>40</v>
      </c>
      <c r="D2912">
        <v>5.4985679999999997</v>
      </c>
      <c r="E2912">
        <v>0.58752340000000003</v>
      </c>
      <c r="F2912" t="s">
        <v>57</v>
      </c>
      <c r="G2912">
        <v>-346.24869999999999</v>
      </c>
      <c r="H2912" s="1">
        <v>1.7884610000000001E-6</v>
      </c>
      <c r="I2912">
        <v>213.3749</v>
      </c>
      <c r="J2912">
        <v>-359.14429999999999</v>
      </c>
      <c r="K2912">
        <v>1.1104290000000001</v>
      </c>
      <c r="L2912">
        <v>215.38130000000001</v>
      </c>
      <c r="M2912">
        <v>0.99890800000000002</v>
      </c>
      <c r="N2912">
        <v>0</v>
      </c>
      <c r="O2912">
        <v>4.4387830000000003E-2</v>
      </c>
      <c r="P2912">
        <v>0.99737419999999999</v>
      </c>
      <c r="Q2912">
        <v>1.188407E-2</v>
      </c>
      <c r="R2912">
        <v>7.1442569999999997E-2</v>
      </c>
      <c r="S2912">
        <v>3.045013</v>
      </c>
      <c r="T2912">
        <v>-0.25521860000000002</v>
      </c>
      <c r="U2912">
        <v>-0.45751950000000002</v>
      </c>
      <c r="V2912">
        <v>-2.709568E-2</v>
      </c>
      <c r="W2912">
        <v>2.6464060000000001E-2</v>
      </c>
      <c r="X2912">
        <v>0.99928249999999996</v>
      </c>
      <c r="Y2912">
        <v>0.19152730000000001</v>
      </c>
      <c r="Z2912">
        <v>-1.1663710000000001E-2</v>
      </c>
      <c r="AA2912">
        <v>0.98141800000000001</v>
      </c>
      <c r="AB2912">
        <v>34</v>
      </c>
      <c r="AC2912">
        <v>12.8956</v>
      </c>
      <c r="AD2912">
        <v>-1.1104272115389999</v>
      </c>
      <c r="AE2912">
        <v>-2.00640000000001</v>
      </c>
      <c r="AF2912">
        <v>2.55836922123838</v>
      </c>
      <c r="AG2912">
        <v>-1.1104272115389999</v>
      </c>
      <c r="AH2912">
        <v>12.7018626146511</v>
      </c>
      <c r="AI2912">
        <v>94.898352568166302</v>
      </c>
      <c r="AJ2912">
        <v>78.612031322436195</v>
      </c>
      <c r="AK2912">
        <v>13.004445991497599</v>
      </c>
      <c r="AL2912">
        <v>88.483544038825599</v>
      </c>
      <c r="AM2912">
        <v>91.553202223391395</v>
      </c>
      <c r="AN2912">
        <v>1.0000000185762901</v>
      </c>
    </row>
    <row r="2913" spans="1:40" x14ac:dyDescent="0.3">
      <c r="A2913" t="str">
        <f>"20200111160510281"</f>
        <v>20200111160510281</v>
      </c>
      <c r="B2913" t="str">
        <f>"1578729910274195"</f>
        <v>1578729910274195</v>
      </c>
      <c r="C2913" t="s">
        <v>40</v>
      </c>
      <c r="D2913">
        <v>5.5296110000000001</v>
      </c>
      <c r="E2913">
        <v>0.58735950000000003</v>
      </c>
      <c r="F2913" t="s">
        <v>57</v>
      </c>
      <c r="G2913">
        <v>-346.02820000000003</v>
      </c>
      <c r="H2913" s="1">
        <v>1.6711019999999901E-6</v>
      </c>
      <c r="I2913">
        <v>213.38730000000001</v>
      </c>
      <c r="J2913">
        <v>-358.79689999999999</v>
      </c>
      <c r="K2913">
        <v>1.1104240000000001</v>
      </c>
      <c r="L2913">
        <v>215.39670000000001</v>
      </c>
      <c r="M2913">
        <v>0.99890800000000002</v>
      </c>
      <c r="N2913">
        <v>0</v>
      </c>
      <c r="O2913">
        <v>4.4387999999999997E-2</v>
      </c>
      <c r="P2913">
        <v>0.99749019999999999</v>
      </c>
      <c r="Q2913">
        <v>1.068271E-2</v>
      </c>
      <c r="R2913">
        <v>6.9995710000000003E-2</v>
      </c>
      <c r="S2913">
        <v>3.0441590000000001</v>
      </c>
      <c r="T2913">
        <v>-0.25772240000000002</v>
      </c>
      <c r="U2913">
        <v>-0.46279910000000002</v>
      </c>
      <c r="V2913">
        <v>-2.5645049999999999E-2</v>
      </c>
      <c r="W2913">
        <v>2.5259489999999999E-2</v>
      </c>
      <c r="X2913">
        <v>0.99935189999999996</v>
      </c>
      <c r="Y2913">
        <v>0.19320960000000001</v>
      </c>
      <c r="Z2913">
        <v>-1.185022E-2</v>
      </c>
      <c r="AA2913">
        <v>0.98108600000000001</v>
      </c>
      <c r="AB2913">
        <v>34</v>
      </c>
      <c r="AC2913">
        <v>12.7686999999999</v>
      </c>
      <c r="AD2913">
        <v>-1.110422328898</v>
      </c>
      <c r="AE2913">
        <v>-2.0093999999999901</v>
      </c>
      <c r="AF2913">
        <v>2.5553974026376198</v>
      </c>
      <c r="AG2913">
        <v>-1.110422328898</v>
      </c>
      <c r="AH2913">
        <v>12.5741119009183</v>
      </c>
      <c r="AI2913">
        <v>94.946119745615405</v>
      </c>
      <c r="AJ2913">
        <v>78.512403323639603</v>
      </c>
      <c r="AK2913">
        <v>12.879106480293499</v>
      </c>
      <c r="AL2913">
        <v>88.5525838335016</v>
      </c>
      <c r="AM2913">
        <v>91.469983420301006</v>
      </c>
      <c r="AN2913">
        <v>0.99999996522908496</v>
      </c>
    </row>
    <row r="2914" spans="1:40" x14ac:dyDescent="0.3">
      <c r="A2914" t="str">
        <f>"20200111160510304"</f>
        <v>20200111160510304</v>
      </c>
      <c r="B2914" t="str">
        <f>"1578729910294691"</f>
        <v>1578729910294691</v>
      </c>
      <c r="C2914" t="s">
        <v>40</v>
      </c>
      <c r="D2914">
        <v>5.5021550000000001</v>
      </c>
      <c r="E2914">
        <v>0.54227190000000003</v>
      </c>
      <c r="F2914" t="s">
        <v>57</v>
      </c>
      <c r="G2914">
        <v>-345.88900000000001</v>
      </c>
      <c r="H2914" s="1">
        <v>1.597048E-6</v>
      </c>
      <c r="I2914">
        <v>213.4211</v>
      </c>
      <c r="J2914">
        <v>-358.45429999999999</v>
      </c>
      <c r="K2914">
        <v>1.110411</v>
      </c>
      <c r="L2914">
        <v>215.4119</v>
      </c>
      <c r="M2914">
        <v>0.99890829999999997</v>
      </c>
      <c r="N2914">
        <v>0</v>
      </c>
      <c r="O2914">
        <v>4.4384159999999999E-2</v>
      </c>
      <c r="P2914">
        <v>0.99759699999999996</v>
      </c>
      <c r="Q2914">
        <v>9.6388830000000009E-3</v>
      </c>
      <c r="R2914">
        <v>6.8611060000000001E-2</v>
      </c>
      <c r="S2914">
        <v>3.0430299999999999</v>
      </c>
      <c r="T2914">
        <v>-0.26178210000000002</v>
      </c>
      <c r="U2914">
        <v>-0.46574399999999999</v>
      </c>
      <c r="V2914">
        <v>-2.4260380000000002E-2</v>
      </c>
      <c r="W2914">
        <v>2.421268E-2</v>
      </c>
      <c r="X2914">
        <v>0.99941239999999998</v>
      </c>
      <c r="Y2914">
        <v>0.19415740000000001</v>
      </c>
      <c r="Z2914">
        <v>-1.2079889999999999E-2</v>
      </c>
      <c r="AA2914">
        <v>0.98089599999999999</v>
      </c>
      <c r="AB2914">
        <v>34</v>
      </c>
      <c r="AC2914">
        <v>12.565299999999899</v>
      </c>
      <c r="AD2914">
        <v>-1.110409402952</v>
      </c>
      <c r="AE2914">
        <v>-1.9907999999999999</v>
      </c>
      <c r="AF2914">
        <v>2.52734335303749</v>
      </c>
      <c r="AG2914">
        <v>-1.110409402952</v>
      </c>
      <c r="AH2914">
        <v>12.370305682473999</v>
      </c>
      <c r="AI2914">
        <v>95.026079744172705</v>
      </c>
      <c r="AJ2914">
        <v>78.452968876895895</v>
      </c>
      <c r="AK2914">
        <v>12.674578341868299</v>
      </c>
      <c r="AL2914">
        <v>88.612580015230293</v>
      </c>
      <c r="AM2914">
        <v>91.390561547397098</v>
      </c>
      <c r="AN2914">
        <v>0.99999998259214296</v>
      </c>
    </row>
    <row r="2915" spans="1:40" x14ac:dyDescent="0.3">
      <c r="A2915" t="str">
        <f>"20200111160510505"</f>
        <v>20200111160510505</v>
      </c>
      <c r="B2915" t="str">
        <f>"1578729910494302"</f>
        <v>1578729910494302</v>
      </c>
      <c r="C2915" t="s">
        <v>40</v>
      </c>
      <c r="D2915">
        <v>5.1802229999999998</v>
      </c>
      <c r="E2915">
        <v>0.54038310000000001</v>
      </c>
      <c r="F2915" t="s">
        <v>57</v>
      </c>
      <c r="G2915">
        <v>-321.08620000000002</v>
      </c>
      <c r="H2915" s="1">
        <v>-9.5874280000000007E-7</v>
      </c>
      <c r="I2915">
        <v>214.48050000000001</v>
      </c>
      <c r="J2915">
        <v>-355.4402</v>
      </c>
      <c r="K2915">
        <v>1.1101529999999999</v>
      </c>
      <c r="L2915">
        <v>215.54349999999999</v>
      </c>
      <c r="M2915">
        <v>0.99897440000000004</v>
      </c>
      <c r="N2915">
        <v>0</v>
      </c>
      <c r="O2915">
        <v>4.2878689999999997E-2</v>
      </c>
      <c r="P2915">
        <v>0.99714700000000001</v>
      </c>
      <c r="Q2915">
        <v>2.0022789999999999E-2</v>
      </c>
      <c r="R2915">
        <v>7.2781680000000001E-2</v>
      </c>
      <c r="S2915">
        <v>3.0169980000000001</v>
      </c>
      <c r="T2915">
        <v>-9.6570249999999996E-2</v>
      </c>
      <c r="U2915">
        <v>-9.1247560000000005E-2</v>
      </c>
      <c r="V2915">
        <v>-2.9926629999999999E-2</v>
      </c>
      <c r="W2915">
        <v>3.458174E-2</v>
      </c>
      <c r="X2915">
        <v>0.99895369999999994</v>
      </c>
      <c r="Y2915">
        <v>7.3007160000000001E-2</v>
      </c>
      <c r="Z2915">
        <v>-2.5397449999999999E-3</v>
      </c>
      <c r="AA2915">
        <v>0.9973282</v>
      </c>
      <c r="AB2915">
        <v>34</v>
      </c>
      <c r="AC2915">
        <v>34.3539999999999</v>
      </c>
      <c r="AD2915">
        <v>-1.1101539587428</v>
      </c>
      <c r="AE2915">
        <v>-1.06299999999998</v>
      </c>
      <c r="AF2915">
        <v>2.5325903299700698</v>
      </c>
      <c r="AG2915">
        <v>-1.1101539587428</v>
      </c>
      <c r="AH2915">
        <v>34.241089929231102</v>
      </c>
      <c r="AI2915">
        <v>91.851920337887194</v>
      </c>
      <c r="AJ2915">
        <v>85.769906981140196</v>
      </c>
      <c r="AK2915">
        <v>34.352564607802798</v>
      </c>
      <c r="AL2915">
        <v>88.018217109289907</v>
      </c>
      <c r="AM2915">
        <v>91.715952310289296</v>
      </c>
      <c r="AN2915">
        <v>0.99999999733413703</v>
      </c>
    </row>
    <row r="2916" spans="1:40" x14ac:dyDescent="0.3">
      <c r="A2916" t="str">
        <f>"20200111160510526"</f>
        <v>20200111160510526</v>
      </c>
      <c r="B2916" t="str">
        <f>"1578729910513822"</f>
        <v>1578729910513822</v>
      </c>
      <c r="C2916" t="s">
        <v>40</v>
      </c>
      <c r="D2916">
        <v>5.20892</v>
      </c>
      <c r="E2916">
        <v>0.54046070000000002</v>
      </c>
      <c r="F2916" t="s">
        <v>61</v>
      </c>
      <c r="G2916">
        <v>-312.42869999999999</v>
      </c>
      <c r="H2916" s="1">
        <v>1.9826619999999999E-6</v>
      </c>
      <c r="I2916">
        <v>214.1994</v>
      </c>
      <c r="J2916">
        <v>-355.12369999999999</v>
      </c>
      <c r="K2916">
        <v>1.110088</v>
      </c>
      <c r="L2916">
        <v>215.5566</v>
      </c>
      <c r="M2916">
        <v>0.99899499999999997</v>
      </c>
      <c r="N2916">
        <v>0</v>
      </c>
      <c r="O2916">
        <v>4.2395820000000001E-2</v>
      </c>
      <c r="P2916">
        <v>0.99709080000000005</v>
      </c>
      <c r="Q2916">
        <v>2.1679420000000001E-2</v>
      </c>
      <c r="R2916">
        <v>7.3074749999999994E-2</v>
      </c>
      <c r="S2916">
        <v>3.017029</v>
      </c>
      <c r="T2916">
        <v>-7.7871079999999995E-2</v>
      </c>
      <c r="U2916">
        <v>-9.4284060000000003E-2</v>
      </c>
      <c r="V2916">
        <v>-3.0697430000000001E-2</v>
      </c>
      <c r="W2916">
        <v>3.6240090000000003E-2</v>
      </c>
      <c r="X2916">
        <v>0.99887150000000002</v>
      </c>
      <c r="Y2916">
        <v>7.354832E-2</v>
      </c>
      <c r="Z2916">
        <v>-2.042631E-3</v>
      </c>
      <c r="AA2916">
        <v>0.99728950000000005</v>
      </c>
      <c r="AB2916">
        <v>33</v>
      </c>
      <c r="AC2916">
        <v>42.694999999999901</v>
      </c>
      <c r="AD2916">
        <v>-1.1100860173379901</v>
      </c>
      <c r="AE2916">
        <v>-1.3572</v>
      </c>
      <c r="AF2916">
        <v>3.1641236822596901</v>
      </c>
      <c r="AG2916">
        <v>-1.1100860173379901</v>
      </c>
      <c r="AH2916">
        <v>42.570309496417202</v>
      </c>
      <c r="AI2916">
        <v>91.489629483059005</v>
      </c>
      <c r="AJ2916">
        <v>85.749192576755505</v>
      </c>
      <c r="AK2916">
        <v>42.702168800463397</v>
      </c>
      <c r="AL2916">
        <v>87.923140967350704</v>
      </c>
      <c r="AM2916">
        <v>91.760266237494605</v>
      </c>
      <c r="AN2916">
        <v>0.99999997492203097</v>
      </c>
    </row>
    <row r="2917" spans="1:40" x14ac:dyDescent="0.3">
      <c r="A2917" t="str">
        <f>"20200111160510583"</f>
        <v>20200111160510583</v>
      </c>
      <c r="B2917" t="str">
        <f>"1578729910574334"</f>
        <v>1578729910574334</v>
      </c>
      <c r="C2917" t="s">
        <v>40</v>
      </c>
      <c r="D2917">
        <v>5.2725989999999996</v>
      </c>
      <c r="E2917">
        <v>0.54107109999999903</v>
      </c>
      <c r="F2917" t="s">
        <v>61</v>
      </c>
      <c r="G2917">
        <v>-309.89150000000001</v>
      </c>
      <c r="H2917" s="1">
        <v>8.9866209999999896E-7</v>
      </c>
      <c r="I2917">
        <v>214.1464</v>
      </c>
      <c r="J2917">
        <v>-354.274</v>
      </c>
      <c r="K2917">
        <v>1.109934</v>
      </c>
      <c r="L2917">
        <v>215.5907</v>
      </c>
      <c r="M2917">
        <v>0.99906269999999997</v>
      </c>
      <c r="N2917">
        <v>0</v>
      </c>
      <c r="O2917">
        <v>4.0773999999999998E-2</v>
      </c>
      <c r="P2917">
        <v>0.99733689999999997</v>
      </c>
      <c r="Q2917">
        <v>2.172899E-2</v>
      </c>
      <c r="R2917">
        <v>6.9620360000000006E-2</v>
      </c>
      <c r="S2917">
        <v>3.017242</v>
      </c>
      <c r="T2917">
        <v>-7.4049119999999996E-2</v>
      </c>
      <c r="U2917">
        <v>-9.4070429999999997E-2</v>
      </c>
      <c r="V2917">
        <v>-2.8843569999999999E-2</v>
      </c>
      <c r="W2917">
        <v>3.629251E-2</v>
      </c>
      <c r="X2917">
        <v>0.9989249</v>
      </c>
      <c r="Y2917">
        <v>7.1861159999999993E-2</v>
      </c>
      <c r="Z2917">
        <v>-1.8817980000000001E-3</v>
      </c>
      <c r="AA2917">
        <v>0.99741290000000005</v>
      </c>
      <c r="AB2917">
        <v>33</v>
      </c>
      <c r="AC2917">
        <v>44.382499999999901</v>
      </c>
      <c r="AD2917">
        <v>-1.1099331013378999</v>
      </c>
      <c r="AE2917">
        <v>-1.4442999999999899</v>
      </c>
      <c r="AF2917">
        <v>3.2509108193622298</v>
      </c>
      <c r="AG2917">
        <v>-1.1099331013378999</v>
      </c>
      <c r="AH2917">
        <v>44.259036271600799</v>
      </c>
      <c r="AI2917">
        <v>91.432710855496893</v>
      </c>
      <c r="AJ2917">
        <v>85.799059577701499</v>
      </c>
      <c r="AK2917">
        <v>44.392146426319201</v>
      </c>
      <c r="AL2917">
        <v>87.920135653431402</v>
      </c>
      <c r="AM2917">
        <v>91.653933915558696</v>
      </c>
      <c r="AN2917">
        <v>1.0000000268262199</v>
      </c>
    </row>
    <row r="2918" spans="1:40" x14ac:dyDescent="0.3">
      <c r="A2918" t="str">
        <f>"20200111160510605"</f>
        <v>20200111160510605</v>
      </c>
      <c r="B2918" t="str">
        <f>"1578729910593854"</f>
        <v>1578729910593854</v>
      </c>
      <c r="C2918" t="s">
        <v>40</v>
      </c>
      <c r="D2918">
        <v>5.164974</v>
      </c>
      <c r="E2918">
        <v>0.54120769999999996</v>
      </c>
      <c r="F2918" t="s">
        <v>61</v>
      </c>
      <c r="G2918">
        <v>-310.22070000000002</v>
      </c>
      <c r="H2918" s="1">
        <v>1.0035330000000001E-6</v>
      </c>
      <c r="I2918">
        <v>213.99760000000001</v>
      </c>
      <c r="J2918">
        <v>-353.95839999999998</v>
      </c>
      <c r="K2918">
        <v>1.1098730000000001</v>
      </c>
      <c r="L2918">
        <v>215.60290000000001</v>
      </c>
      <c r="M2918">
        <v>0.9990926</v>
      </c>
      <c r="N2918">
        <v>0</v>
      </c>
      <c r="O2918">
        <v>4.0033970000000002E-2</v>
      </c>
      <c r="P2918">
        <v>0.99748859999999995</v>
      </c>
      <c r="Q2918">
        <v>2.105284E-2</v>
      </c>
      <c r="R2918">
        <v>6.7628010000000002E-2</v>
      </c>
      <c r="S2918">
        <v>3.0172729999999999</v>
      </c>
      <c r="T2918">
        <v>-7.6020959999999999E-2</v>
      </c>
      <c r="U2918">
        <v>-0.10911559999999999</v>
      </c>
      <c r="V2918">
        <v>-2.7581959999999999E-2</v>
      </c>
      <c r="W2918">
        <v>3.5617269999999999E-2</v>
      </c>
      <c r="X2918">
        <v>0.99898480000000001</v>
      </c>
      <c r="Y2918">
        <v>7.6086280000000006E-2</v>
      </c>
      <c r="Z2918">
        <v>-1.9663049999999998E-3</v>
      </c>
      <c r="AA2918">
        <v>0.99709930000000002</v>
      </c>
      <c r="AB2918">
        <v>33</v>
      </c>
      <c r="AC2918">
        <v>43.737699999999897</v>
      </c>
      <c r="AD2918">
        <v>-1.1098719964670001</v>
      </c>
      <c r="AE2918">
        <v>-1.60529999999999</v>
      </c>
      <c r="AF2918">
        <v>3.35303535267228</v>
      </c>
      <c r="AG2918">
        <v>-1.1098719964670001</v>
      </c>
      <c r="AH2918">
        <v>43.610311692912703</v>
      </c>
      <c r="AI2918">
        <v>91.453561001549204</v>
      </c>
      <c r="AJ2918">
        <v>85.603389621058099</v>
      </c>
      <c r="AK2918">
        <v>43.753102151479702</v>
      </c>
      <c r="AL2918">
        <v>87.958849016834606</v>
      </c>
      <c r="AM2918">
        <v>91.581534087776006</v>
      </c>
      <c r="AN2918">
        <v>0.99999999253536698</v>
      </c>
    </row>
    <row r="2919" spans="1:40" x14ac:dyDescent="0.3">
      <c r="A2919" t="str">
        <f>"20200111160510627"</f>
        <v>20200111160510627</v>
      </c>
      <c r="B2919" t="str">
        <f>"1578729910624110"</f>
        <v>1578729910624110</v>
      </c>
      <c r="C2919" t="s">
        <v>40</v>
      </c>
      <c r="D2919">
        <v>5.2470759999999999</v>
      </c>
      <c r="E2919">
        <v>0.54152019999999901</v>
      </c>
      <c r="F2919" t="s">
        <v>61</v>
      </c>
      <c r="G2919">
        <v>-311.36739999999998</v>
      </c>
      <c r="H2919" s="1">
        <v>1.5120220000000001E-6</v>
      </c>
      <c r="I2919">
        <v>213.96260000000001</v>
      </c>
      <c r="J2919">
        <v>-353.62740000000002</v>
      </c>
      <c r="K2919">
        <v>1.109796</v>
      </c>
      <c r="L2919">
        <v>215.61529999999999</v>
      </c>
      <c r="M2919">
        <v>0.99912679999999998</v>
      </c>
      <c r="N2919">
        <v>0</v>
      </c>
      <c r="O2919">
        <v>3.9173550000000001E-2</v>
      </c>
      <c r="P2919">
        <v>0.99764830000000004</v>
      </c>
      <c r="Q2919">
        <v>2.0148369999999999E-2</v>
      </c>
      <c r="R2919">
        <v>6.5512000000000001E-2</v>
      </c>
      <c r="S2919">
        <v>3.0170590000000002</v>
      </c>
      <c r="T2919">
        <v>-7.8621029999999995E-2</v>
      </c>
      <c r="U2919">
        <v>-0.1161957</v>
      </c>
      <c r="V2919">
        <v>-2.6317110000000001E-2</v>
      </c>
      <c r="W2919">
        <v>3.4713750000000002E-2</v>
      </c>
      <c r="X2919">
        <v>0.99905069999999996</v>
      </c>
      <c r="Y2919">
        <v>7.7563899999999894E-2</v>
      </c>
      <c r="Z2919">
        <v>-2.030436E-3</v>
      </c>
      <c r="AA2919">
        <v>0.99698529999999996</v>
      </c>
      <c r="AB2919">
        <v>33</v>
      </c>
      <c r="AC2919">
        <v>42.26</v>
      </c>
      <c r="AD2919">
        <v>-1.109794487978</v>
      </c>
      <c r="AE2919">
        <v>-1.6526999999999801</v>
      </c>
      <c r="AF2919">
        <v>3.3048044530225398</v>
      </c>
      <c r="AG2919">
        <v>-1.109794487978</v>
      </c>
      <c r="AH2919">
        <v>42.133793315758901</v>
      </c>
      <c r="AI2919">
        <v>91.504191060673307</v>
      </c>
      <c r="AJ2919">
        <v>85.515132856152206</v>
      </c>
      <c r="AK2919">
        <v>42.277770937613901</v>
      </c>
      <c r="AL2919">
        <v>88.010648890895794</v>
      </c>
      <c r="AM2919">
        <v>91.508943145411706</v>
      </c>
      <c r="AN2919">
        <v>0.99999996794415102</v>
      </c>
    </row>
    <row r="2920" spans="1:40" x14ac:dyDescent="0.3">
      <c r="A2920" t="str">
        <f>"20200111160510715"</f>
        <v>20200111160510715</v>
      </c>
      <c r="B2920" t="str">
        <f>"1578729910704145"</f>
        <v>1578729910704145</v>
      </c>
      <c r="C2920" t="s">
        <v>40</v>
      </c>
      <c r="D2920">
        <v>5.3982789999999996</v>
      </c>
      <c r="E2920">
        <v>0.51264600000000005</v>
      </c>
      <c r="F2920" t="s">
        <v>61</v>
      </c>
      <c r="G2920">
        <v>-312.50420000000003</v>
      </c>
      <c r="H2920" s="1">
        <v>2.0161270000000002E-6</v>
      </c>
      <c r="I2920">
        <v>213.90770000000001</v>
      </c>
      <c r="J2920">
        <v>-352.31220000000002</v>
      </c>
      <c r="K2920">
        <v>1.1095469999999901</v>
      </c>
      <c r="L2920">
        <v>215.6609</v>
      </c>
      <c r="M2920">
        <v>0.99927719999999998</v>
      </c>
      <c r="N2920">
        <v>0</v>
      </c>
      <c r="O2920">
        <v>3.513463E-2</v>
      </c>
      <c r="P2920">
        <v>0.99800080000000002</v>
      </c>
      <c r="Q2920">
        <v>1.6128610000000002E-2</v>
      </c>
      <c r="R2920">
        <v>6.1110209999999998E-2</v>
      </c>
      <c r="S2920">
        <v>3.0169069999999998</v>
      </c>
      <c r="T2920">
        <v>-8.1417199999999995E-2</v>
      </c>
      <c r="U2920">
        <v>-0.12527469999999999</v>
      </c>
      <c r="V2920">
        <v>-2.5935110000000001E-2</v>
      </c>
      <c r="W2920">
        <v>3.0699500000000001E-2</v>
      </c>
      <c r="X2920">
        <v>0.99919210000000003</v>
      </c>
      <c r="Y2920">
        <v>7.6530299999999996E-2</v>
      </c>
      <c r="Z2920">
        <v>-1.979752E-3</v>
      </c>
      <c r="AA2920">
        <v>0.99706530000000004</v>
      </c>
      <c r="AB2920">
        <v>33</v>
      </c>
      <c r="AC2920">
        <v>39.8079999999999</v>
      </c>
      <c r="AD2920">
        <v>-1.1095449838729901</v>
      </c>
      <c r="AE2920">
        <v>-1.7531999999999901</v>
      </c>
      <c r="AF2920">
        <v>3.1484627859392802</v>
      </c>
      <c r="AG2920">
        <v>-1.1095449838729901</v>
      </c>
      <c r="AH2920">
        <v>39.691037235966199</v>
      </c>
      <c r="AI2920">
        <v>91.596248979410205</v>
      </c>
      <c r="AJ2920">
        <v>85.464550735912198</v>
      </c>
      <c r="AK2920">
        <v>39.831173028829298</v>
      </c>
      <c r="AL2920">
        <v>88.240771758425794</v>
      </c>
      <c r="AM2920">
        <v>91.486839988250694</v>
      </c>
      <c r="AN2920">
        <v>0.99999997096668503</v>
      </c>
    </row>
    <row r="2921" spans="1:40" x14ac:dyDescent="0.3">
      <c r="A2921" t="str">
        <f>"20200111160510783"</f>
        <v>20200111160510783</v>
      </c>
      <c r="B2921" t="str">
        <f>"1578729910774414"</f>
        <v>1578729910774414</v>
      </c>
      <c r="C2921" t="s">
        <v>40</v>
      </c>
      <c r="D2921">
        <v>6.9892179999999904</v>
      </c>
      <c r="E2921">
        <v>0.51442929999999998</v>
      </c>
      <c r="F2921" t="s">
        <v>57</v>
      </c>
      <c r="G2921">
        <v>-337.78609999999998</v>
      </c>
      <c r="H2921" s="1">
        <v>2.5397809999999999E-6</v>
      </c>
      <c r="I2921">
        <v>216.14429999999999</v>
      </c>
      <c r="J2921">
        <v>-351.30549999999999</v>
      </c>
      <c r="K2921">
        <v>1.1094090000000001</v>
      </c>
      <c r="L2921">
        <v>215.69139999999999</v>
      </c>
      <c r="M2921">
        <v>0.99939920000000004</v>
      </c>
      <c r="N2921">
        <v>0</v>
      </c>
      <c r="O2921">
        <v>3.1480010000000003E-2</v>
      </c>
      <c r="P2921">
        <v>0.99800979999999995</v>
      </c>
      <c r="Q2921">
        <v>1.3600050000000001E-2</v>
      </c>
      <c r="R2921">
        <v>6.1579269999999998E-2</v>
      </c>
      <c r="S2921">
        <v>3.0036320000000001</v>
      </c>
      <c r="T2921">
        <v>-0.2294254</v>
      </c>
      <c r="U2921">
        <v>9.996033E-2</v>
      </c>
      <c r="V2921">
        <v>-3.0055559999999999E-2</v>
      </c>
      <c r="W2921">
        <v>2.8180029999999998E-2</v>
      </c>
      <c r="X2921">
        <v>0.99915089999999995</v>
      </c>
      <c r="Y2921">
        <v>-1.8651519999999999E-3</v>
      </c>
      <c r="Z2921">
        <v>-2.3289000000000001E-3</v>
      </c>
      <c r="AA2921">
        <v>0.99999550000000004</v>
      </c>
      <c r="AB2921">
        <v>33</v>
      </c>
      <c r="AC2921">
        <v>13.519399999999999</v>
      </c>
      <c r="AD2921">
        <v>-1.1094064602189999</v>
      </c>
      <c r="AE2921">
        <v>0.45289999999999903</v>
      </c>
      <c r="AF2921">
        <v>-2.6859228617411801E-2</v>
      </c>
      <c r="AG2921">
        <v>-1.1094064602189999</v>
      </c>
      <c r="AH2921">
        <v>13.436577804799899</v>
      </c>
      <c r="AI2921">
        <v>94.7199761578958</v>
      </c>
      <c r="AJ2921">
        <v>90.114532019487996</v>
      </c>
      <c r="AK2921">
        <v>13.4823264764127</v>
      </c>
      <c r="AL2921">
        <v>88.385189419554493</v>
      </c>
      <c r="AM2921">
        <v>91.723000606499696</v>
      </c>
      <c r="AN2921">
        <v>0.99999998587426198</v>
      </c>
    </row>
    <row r="2922" spans="1:40" x14ac:dyDescent="0.3">
      <c r="A2922" t="str">
        <f>"20200111160510805"</f>
        <v>20200111160510805</v>
      </c>
      <c r="B2922" t="str">
        <f>"1578729910793934"</f>
        <v>1578729910793934</v>
      </c>
      <c r="C2922" t="s">
        <v>40</v>
      </c>
      <c r="D2922">
        <v>5.4313060000000002</v>
      </c>
      <c r="E2922">
        <v>0.50996079999999999</v>
      </c>
      <c r="F2922" t="s">
        <v>57</v>
      </c>
      <c r="G2922">
        <v>-337.07319999999999</v>
      </c>
      <c r="H2922" s="1">
        <v>2.1622210000000002E-6</v>
      </c>
      <c r="I2922">
        <v>216.1028</v>
      </c>
      <c r="J2922">
        <v>-350.99560000000002</v>
      </c>
      <c r="K2922">
        <v>1.1093729999999999</v>
      </c>
      <c r="L2922">
        <v>215.69990000000001</v>
      </c>
      <c r="M2922">
        <v>0.99943579999999999</v>
      </c>
      <c r="N2922">
        <v>0</v>
      </c>
      <c r="O2922">
        <v>3.0289050000000001E-2</v>
      </c>
      <c r="P2922">
        <v>0.99804590000000004</v>
      </c>
      <c r="Q2922">
        <v>1.24277E-2</v>
      </c>
      <c r="R2922">
        <v>6.123663E-2</v>
      </c>
      <c r="S2922">
        <v>3.0038149999999999</v>
      </c>
      <c r="T2922">
        <v>-0.2341473</v>
      </c>
      <c r="U2922">
        <v>8.6822510000000006E-2</v>
      </c>
      <c r="V2922">
        <v>-3.0903650000000001E-2</v>
      </c>
      <c r="W2922">
        <v>2.700984E-2</v>
      </c>
      <c r="X2922">
        <v>0.99915739999999997</v>
      </c>
      <c r="Y2922">
        <v>1.3051079999999999E-3</v>
      </c>
      <c r="Z2922">
        <v>-2.4074639999999998E-3</v>
      </c>
      <c r="AA2922">
        <v>0.9999962</v>
      </c>
      <c r="AB2922">
        <v>33</v>
      </c>
      <c r="AC2922">
        <v>13.9224</v>
      </c>
      <c r="AD2922">
        <v>-1.1093708377789999</v>
      </c>
      <c r="AE2922">
        <v>0.40289999999998799</v>
      </c>
      <c r="AF2922">
        <v>1.8905652863815601E-2</v>
      </c>
      <c r="AG2922">
        <v>-1.1093708377789999</v>
      </c>
      <c r="AH2922">
        <v>13.840412260617301</v>
      </c>
      <c r="AI2922">
        <v>94.582710796540297</v>
      </c>
      <c r="AJ2922">
        <v>89.921735463949901</v>
      </c>
      <c r="AK2922">
        <v>13.884814461247601</v>
      </c>
      <c r="AL2922">
        <v>88.452261996109897</v>
      </c>
      <c r="AM2922">
        <v>91.771577142697495</v>
      </c>
      <c r="AN2922">
        <v>1.0000000385074499</v>
      </c>
    </row>
    <row r="2923" spans="1:40" x14ac:dyDescent="0.3">
      <c r="A2923" t="str">
        <f>"20200111160510828"</f>
        <v>20200111160510828</v>
      </c>
      <c r="B2923" t="str">
        <f>"1578729910824190"</f>
        <v>1578729910824190</v>
      </c>
      <c r="C2923" t="s">
        <v>40</v>
      </c>
      <c r="D2923">
        <v>5.3747550000000004</v>
      </c>
      <c r="E2923">
        <v>0.50813750000000002</v>
      </c>
      <c r="F2923" t="s">
        <v>42</v>
      </c>
      <c r="G2923">
        <v>-349.98840000000001</v>
      </c>
      <c r="H2923">
        <v>1.0298320000000001</v>
      </c>
      <c r="I2923">
        <v>215.74039999999999</v>
      </c>
      <c r="J2923">
        <v>-350.66140000000001</v>
      </c>
      <c r="K2923">
        <v>1.1093420000000001</v>
      </c>
      <c r="L2923">
        <v>215.70869999999999</v>
      </c>
      <c r="M2923">
        <v>0.9994748</v>
      </c>
      <c r="N2923">
        <v>0</v>
      </c>
      <c r="O2923">
        <v>2.8981929999999999E-2</v>
      </c>
      <c r="P2923">
        <v>0.99812120000000004</v>
      </c>
      <c r="Q2923">
        <v>1.146811E-2</v>
      </c>
      <c r="R2923">
        <v>6.0191210000000002E-2</v>
      </c>
      <c r="S2923">
        <v>3.0013730000000001</v>
      </c>
      <c r="T2923">
        <v>-0.23703089999999999</v>
      </c>
      <c r="U2923">
        <v>0.1212616</v>
      </c>
      <c r="V2923">
        <v>-3.1165060000000001E-2</v>
      </c>
      <c r="W2923">
        <v>2.604983E-2</v>
      </c>
      <c r="X2923">
        <v>0.99917469999999997</v>
      </c>
      <c r="Y2923">
        <v>-1.144528E-2</v>
      </c>
      <c r="Z2923">
        <v>-1.8329489999999999E-3</v>
      </c>
      <c r="AA2923">
        <v>0.99993279999999995</v>
      </c>
      <c r="AB2923">
        <v>33</v>
      </c>
      <c r="AC2923">
        <v>0.67300000000000104</v>
      </c>
      <c r="AD2923">
        <v>-7.95099999999999E-2</v>
      </c>
      <c r="AE2923">
        <v>3.17000000000007E-2</v>
      </c>
      <c r="AF2923">
        <v>-1.20124967913206E-2</v>
      </c>
      <c r="AG2923">
        <v>-7.95099999999999E-2</v>
      </c>
      <c r="AH2923">
        <v>0.66438333650103198</v>
      </c>
      <c r="AI2923">
        <v>96.823304775031403</v>
      </c>
      <c r="AJ2923">
        <v>91.035833296868006</v>
      </c>
      <c r="AK2923">
        <v>0.66923191645303703</v>
      </c>
      <c r="AL2923">
        <v>88.507285779123606</v>
      </c>
      <c r="AM2923">
        <v>91.786522102261202</v>
      </c>
      <c r="AN2923">
        <v>0.99999996786395995</v>
      </c>
    </row>
    <row r="2924" spans="1:40" x14ac:dyDescent="0.3">
      <c r="A2924" t="str">
        <f>"20200111160510849"</f>
        <v>20200111160510849</v>
      </c>
      <c r="B2924" t="str">
        <f>"1578729910844686"</f>
        <v>1578729910844686</v>
      </c>
      <c r="C2924" t="s">
        <v>40</v>
      </c>
      <c r="D2924">
        <v>5.3675249999999997</v>
      </c>
      <c r="E2924">
        <v>0.50767229999999997</v>
      </c>
      <c r="F2924" t="s">
        <v>42</v>
      </c>
      <c r="G2924">
        <v>-349.70310000000001</v>
      </c>
      <c r="H2924">
        <v>1.0170060000000001</v>
      </c>
      <c r="I2924">
        <v>215.75219999999999</v>
      </c>
      <c r="J2924">
        <v>-350.33499999999998</v>
      </c>
      <c r="K2924">
        <v>1.1093200000000001</v>
      </c>
      <c r="L2924">
        <v>215.71680000000001</v>
      </c>
      <c r="M2924">
        <v>0.99951140000000005</v>
      </c>
      <c r="N2924">
        <v>0</v>
      </c>
      <c r="O2924">
        <v>2.7692129999999999E-2</v>
      </c>
      <c r="P2924">
        <v>0.99819590000000002</v>
      </c>
      <c r="Q2924">
        <v>1.0948370000000001E-2</v>
      </c>
      <c r="R2924">
        <v>5.903771E-2</v>
      </c>
      <c r="S2924">
        <v>3.0007630000000001</v>
      </c>
      <c r="T2924">
        <v>-0.28916510000000001</v>
      </c>
      <c r="U2924">
        <v>0.13603209999999999</v>
      </c>
      <c r="V2924">
        <v>-3.1299830000000001E-2</v>
      </c>
      <c r="W2924">
        <v>2.552834E-2</v>
      </c>
      <c r="X2924">
        <v>0.99918399999999996</v>
      </c>
      <c r="Y2924">
        <v>-1.7648400000000002E-2</v>
      </c>
      <c r="Z2924">
        <v>-1.8126679999999999E-3</v>
      </c>
      <c r="AA2924">
        <v>0.99984260000000003</v>
      </c>
      <c r="AB2924">
        <v>33</v>
      </c>
      <c r="AC2924">
        <v>0.63189999999997304</v>
      </c>
      <c r="AD2924">
        <v>-9.2314000000000201E-2</v>
      </c>
      <c r="AE2924">
        <v>3.5399999999981398E-2</v>
      </c>
      <c r="AF2924">
        <v>-1.7513322885278799E-2</v>
      </c>
      <c r="AG2924">
        <v>-9.2314000000000201E-2</v>
      </c>
      <c r="AH2924">
        <v>0.61945879093165102</v>
      </c>
      <c r="AI2924">
        <v>98.472710821790798</v>
      </c>
      <c r="AJ2924">
        <v>91.619433412144801</v>
      </c>
      <c r="AK2924">
        <v>0.62654431985054904</v>
      </c>
      <c r="AL2924">
        <v>88.537174974691794</v>
      </c>
      <c r="AM2924">
        <v>91.794225999698696</v>
      </c>
      <c r="AN2924">
        <v>1.00000002067859</v>
      </c>
    </row>
    <row r="2925" spans="1:40" x14ac:dyDescent="0.3">
      <c r="A2925" t="str">
        <f>"20200111160510872"</f>
        <v>20200111160510872</v>
      </c>
      <c r="B2925" t="str">
        <f>"1578729910864209"</f>
        <v>1578729910864209</v>
      </c>
      <c r="C2925" t="s">
        <v>40</v>
      </c>
      <c r="D2925">
        <v>6.2308890000000003</v>
      </c>
      <c r="E2925">
        <v>0.50758499999999995</v>
      </c>
      <c r="F2925" t="s">
        <v>42</v>
      </c>
      <c r="G2925">
        <v>-349.41039999999998</v>
      </c>
      <c r="H2925">
        <v>1.0157050000000001</v>
      </c>
      <c r="I2925">
        <v>215.75880000000001</v>
      </c>
      <c r="J2925">
        <v>-349.99160000000001</v>
      </c>
      <c r="K2925">
        <v>1.1093029999999999</v>
      </c>
      <c r="L2925">
        <v>215.72489999999999</v>
      </c>
      <c r="M2925">
        <v>0.9995484</v>
      </c>
      <c r="N2925">
        <v>0</v>
      </c>
      <c r="O2925">
        <v>2.6326639999999998E-2</v>
      </c>
      <c r="P2925">
        <v>0.9982799</v>
      </c>
      <c r="Q2925">
        <v>1.061894E-2</v>
      </c>
      <c r="R2925">
        <v>5.7660589999999998E-2</v>
      </c>
      <c r="S2925">
        <v>3.0006409999999999</v>
      </c>
      <c r="T2925">
        <v>-0.30389559999999999</v>
      </c>
      <c r="U2925">
        <v>0.13705439999999999</v>
      </c>
      <c r="V2925">
        <v>-3.1286759999999997E-2</v>
      </c>
      <c r="W2925">
        <v>2.5196099999999999E-2</v>
      </c>
      <c r="X2925">
        <v>0.99919279999999999</v>
      </c>
      <c r="Y2925">
        <v>-1.9345299999999999E-2</v>
      </c>
      <c r="Z2925">
        <v>-1.6811420000000001E-3</v>
      </c>
      <c r="AA2925">
        <v>0.99981149999999996</v>
      </c>
      <c r="AB2925">
        <v>33</v>
      </c>
      <c r="AC2925">
        <v>0.58120000000002303</v>
      </c>
      <c r="AD2925">
        <v>-9.3598000000000195E-2</v>
      </c>
      <c r="AE2925">
        <v>3.3900000000016903E-2</v>
      </c>
      <c r="AF2925">
        <v>-1.81173233133777E-2</v>
      </c>
      <c r="AG2925">
        <v>-9.3598000000000195E-2</v>
      </c>
      <c r="AH2925">
        <v>0.56722999232358595</v>
      </c>
      <c r="AI2925">
        <v>99.365190679438598</v>
      </c>
      <c r="AJ2925">
        <v>91.829405002700895</v>
      </c>
      <c r="AK2925">
        <v>0.57518578494209804</v>
      </c>
      <c r="AL2925">
        <v>88.556216988130899</v>
      </c>
      <c r="AM2925">
        <v>91.793461481670704</v>
      </c>
      <c r="AN2925">
        <v>0.99999997818917297</v>
      </c>
    </row>
    <row r="2926" spans="1:40" x14ac:dyDescent="0.3">
      <c r="A2926" t="str">
        <f>"20200111160510894"</f>
        <v>20200111160510894</v>
      </c>
      <c r="B2926" t="str">
        <f>"1578729910884702"</f>
        <v>1578729910884702</v>
      </c>
      <c r="C2926" t="s">
        <v>40</v>
      </c>
      <c r="D2926">
        <v>5.3959549999999998</v>
      </c>
      <c r="E2926">
        <v>0.49478470000000002</v>
      </c>
      <c r="F2926" t="s">
        <v>42</v>
      </c>
      <c r="G2926">
        <v>-349.11579999999998</v>
      </c>
      <c r="H2926">
        <v>1.0190699999999999</v>
      </c>
      <c r="I2926">
        <v>215.76390000000001</v>
      </c>
      <c r="J2926">
        <v>-349.68400000000003</v>
      </c>
      <c r="K2926">
        <v>1.1092930000000001</v>
      </c>
      <c r="L2926">
        <v>215.73169999999999</v>
      </c>
      <c r="M2926">
        <v>0.99957989999999997</v>
      </c>
      <c r="N2926">
        <v>0</v>
      </c>
      <c r="O2926">
        <v>2.510072E-2</v>
      </c>
      <c r="P2926">
        <v>0.99837770000000003</v>
      </c>
      <c r="Q2926">
        <v>1.025966E-2</v>
      </c>
      <c r="R2926">
        <v>5.6011890000000002E-2</v>
      </c>
      <c r="S2926">
        <v>3.0007320000000002</v>
      </c>
      <c r="T2926">
        <v>-0.30924699999999999</v>
      </c>
      <c r="U2926">
        <v>0.1339264</v>
      </c>
      <c r="V2926">
        <v>-3.086299E-2</v>
      </c>
      <c r="W2926">
        <v>2.4833810000000001E-2</v>
      </c>
      <c r="X2926">
        <v>0.99921510000000002</v>
      </c>
      <c r="Y2926">
        <v>-1.952388E-2</v>
      </c>
      <c r="Z2926">
        <v>-1.5755249999999999E-3</v>
      </c>
      <c r="AA2926">
        <v>0.99980809999999998</v>
      </c>
      <c r="AB2926">
        <v>33</v>
      </c>
      <c r="AC2926">
        <v>0.568200000000047</v>
      </c>
      <c r="AD2926">
        <v>-9.0222999999999901E-2</v>
      </c>
      <c r="AE2926">
        <v>3.2200000000017298E-2</v>
      </c>
      <c r="AF2926">
        <v>-1.7486638944528898E-2</v>
      </c>
      <c r="AG2926">
        <v>-9.0222999999999901E-2</v>
      </c>
      <c r="AH2926">
        <v>0.55488353147493197</v>
      </c>
      <c r="AI2926">
        <v>99.230857802891506</v>
      </c>
      <c r="AJ2926">
        <v>91.805025869439405</v>
      </c>
      <c r="AK2926">
        <v>0.56244262442729898</v>
      </c>
      <c r="AL2926">
        <v>88.5769812468086</v>
      </c>
      <c r="AM2926">
        <v>91.769145656297795</v>
      </c>
      <c r="AN2926">
        <v>1.00000002916943</v>
      </c>
    </row>
    <row r="2927" spans="1:40" x14ac:dyDescent="0.3">
      <c r="A2927" t="str">
        <f>"20200111160510916"</f>
        <v>20200111160510916</v>
      </c>
      <c r="B2927" t="str">
        <f>"1578729910913982"</f>
        <v>1578729910913982</v>
      </c>
      <c r="C2927" t="s">
        <v>40</v>
      </c>
      <c r="D2927">
        <v>5.4019360000000001</v>
      </c>
      <c r="E2927">
        <v>0.50373239999999997</v>
      </c>
      <c r="F2927" t="s">
        <v>69</v>
      </c>
      <c r="G2927">
        <v>-157.25</v>
      </c>
      <c r="H2927">
        <v>1.6486670000000001</v>
      </c>
      <c r="I2927">
        <v>229.3</v>
      </c>
      <c r="J2927">
        <v>-349.3494</v>
      </c>
      <c r="K2927">
        <v>1.109299</v>
      </c>
      <c r="L2927">
        <v>215.73869999999999</v>
      </c>
      <c r="M2927">
        <v>0.99961250000000001</v>
      </c>
      <c r="N2927">
        <v>0</v>
      </c>
      <c r="O2927">
        <v>2.3766840000000001E-2</v>
      </c>
      <c r="P2927">
        <v>0.99849390000000005</v>
      </c>
      <c r="Q2927">
        <v>9.9837199999999997E-3</v>
      </c>
      <c r="R2927">
        <v>5.394724E-2</v>
      </c>
      <c r="S2927">
        <v>2.99295</v>
      </c>
      <c r="T2927">
        <v>8.3898310000000004E-3</v>
      </c>
      <c r="U2927">
        <v>0.2110291</v>
      </c>
      <c r="V2927">
        <v>-3.0129429999999999E-2</v>
      </c>
      <c r="W2927">
        <v>2.4552560000000001E-2</v>
      </c>
      <c r="X2927">
        <v>0.99924440000000003</v>
      </c>
      <c r="Y2927">
        <v>-4.6603659999999998E-2</v>
      </c>
      <c r="Z2927" s="1">
        <v>1.2902459999999999E-6</v>
      </c>
      <c r="AA2927">
        <v>0.99891350000000001</v>
      </c>
      <c r="AB2927">
        <v>33</v>
      </c>
      <c r="AC2927">
        <v>192.0994</v>
      </c>
      <c r="AD2927">
        <v>0.53936799999999896</v>
      </c>
      <c r="AE2927">
        <v>13.561299999999999</v>
      </c>
      <c r="AF2927">
        <v>-8.9913228490321302</v>
      </c>
      <c r="AG2927">
        <v>0.53936799999999896</v>
      </c>
      <c r="AH2927">
        <v>192.365960145348</v>
      </c>
      <c r="AI2927">
        <v>89.839526041364905</v>
      </c>
      <c r="AJ2927">
        <v>92.676098114289701</v>
      </c>
      <c r="AK2927">
        <v>192.576731271087</v>
      </c>
      <c r="AL2927">
        <v>88.593100545611705</v>
      </c>
      <c r="AM2927">
        <v>91.72707128303</v>
      </c>
      <c r="AN2927">
        <v>0.99999999084301905</v>
      </c>
    </row>
    <row r="2928" spans="1:40" x14ac:dyDescent="0.3">
      <c r="A2928" t="str">
        <f>"20200111160510940"</f>
        <v>20200111160510940</v>
      </c>
      <c r="B2928" t="str">
        <f>"1578729910934479"</f>
        <v>1578729910934479</v>
      </c>
      <c r="C2928" t="s">
        <v>40</v>
      </c>
      <c r="D2928">
        <v>5.323569</v>
      </c>
      <c r="E2928">
        <v>0.50398869999999996</v>
      </c>
      <c r="F2928" t="s">
        <v>42</v>
      </c>
      <c r="G2928">
        <v>-348.53320000000002</v>
      </c>
      <c r="H2928">
        <v>1.014027</v>
      </c>
      <c r="I2928">
        <v>215.78129999999999</v>
      </c>
      <c r="J2928">
        <v>-349.0172</v>
      </c>
      <c r="K2928">
        <v>1.1093</v>
      </c>
      <c r="L2928">
        <v>215.74529999999999</v>
      </c>
      <c r="M2928">
        <v>0.99964310000000001</v>
      </c>
      <c r="N2928">
        <v>0</v>
      </c>
      <c r="O2928">
        <v>2.2443910000000001E-2</v>
      </c>
      <c r="P2928">
        <v>0.99862169999999895</v>
      </c>
      <c r="Q2928">
        <v>1.091464E-2</v>
      </c>
      <c r="R2928">
        <v>5.1337359999999999E-2</v>
      </c>
      <c r="S2928">
        <v>2.999603</v>
      </c>
      <c r="T2928">
        <v>-0.35016009999999997</v>
      </c>
      <c r="U2928">
        <v>0.1561737</v>
      </c>
      <c r="V2928">
        <v>-2.8837970000000001E-2</v>
      </c>
      <c r="W2928">
        <v>2.547686E-2</v>
      </c>
      <c r="X2928">
        <v>0.99925940000000002</v>
      </c>
      <c r="Y2928">
        <v>-2.9517470000000001E-2</v>
      </c>
      <c r="Z2928">
        <v>-8.9322730000000001E-4</v>
      </c>
      <c r="AA2928">
        <v>0.99956389999999995</v>
      </c>
      <c r="AB2928">
        <v>33</v>
      </c>
      <c r="AC2928">
        <v>0.48399999999998</v>
      </c>
      <c r="AD2928">
        <v>-9.5272999999999899E-2</v>
      </c>
      <c r="AE2928">
        <v>3.6000000000001302E-2</v>
      </c>
      <c r="AF2928">
        <v>-2.41946032025987E-2</v>
      </c>
      <c r="AG2928">
        <v>-9.5272999999999899E-2</v>
      </c>
      <c r="AH2928">
        <v>0.46670186830638899</v>
      </c>
      <c r="AI2928">
        <v>101.522828675329</v>
      </c>
      <c r="AJ2928">
        <v>92.967652089052194</v>
      </c>
      <c r="AK2928">
        <v>0.47694125134423498</v>
      </c>
      <c r="AL2928">
        <v>88.540125525418503</v>
      </c>
      <c r="AM2928">
        <v>91.653059745077499</v>
      </c>
      <c r="AN2928">
        <v>1.0000000236987701</v>
      </c>
    </row>
    <row r="2929" spans="1:40" x14ac:dyDescent="0.3">
      <c r="A2929" t="str">
        <f>"20200111160510962"</f>
        <v>20200111160510962</v>
      </c>
      <c r="B2929" t="str">
        <f>"1578729910954001"</f>
        <v>1578729910954001</v>
      </c>
      <c r="C2929" t="s">
        <v>40</v>
      </c>
      <c r="D2929">
        <v>5.3679389999999998</v>
      </c>
      <c r="E2929">
        <v>0.50390290000000004</v>
      </c>
      <c r="F2929" t="s">
        <v>42</v>
      </c>
      <c r="G2929">
        <v>-348.23840000000001</v>
      </c>
      <c r="H2929">
        <v>1.0198179999999999</v>
      </c>
      <c r="I2929">
        <v>215.78290000000001</v>
      </c>
      <c r="J2929">
        <v>-348.68209999999999</v>
      </c>
      <c r="K2929">
        <v>1.1093010000000001</v>
      </c>
      <c r="L2929">
        <v>215.75139999999999</v>
      </c>
      <c r="M2929">
        <v>0.99967229999999996</v>
      </c>
      <c r="N2929">
        <v>0</v>
      </c>
      <c r="O2929">
        <v>2.1110629999999998E-2</v>
      </c>
      <c r="P2929">
        <v>0.99874969999999996</v>
      </c>
      <c r="Q2929">
        <v>1.18265E-2</v>
      </c>
      <c r="R2929">
        <v>4.8574340000000001E-2</v>
      </c>
      <c r="S2929">
        <v>3.0003660000000001</v>
      </c>
      <c r="T2929">
        <v>-0.3448021</v>
      </c>
      <c r="U2929">
        <v>0.14617920000000001</v>
      </c>
      <c r="V2929">
        <v>-2.740308E-2</v>
      </c>
      <c r="W2929">
        <v>2.638159E-2</v>
      </c>
      <c r="X2929">
        <v>0.99927630000000001</v>
      </c>
      <c r="Y2929">
        <v>-2.752197E-2</v>
      </c>
      <c r="Z2929">
        <v>-8.411661E-4</v>
      </c>
      <c r="AA2929">
        <v>0.99962090000000003</v>
      </c>
      <c r="AB2929">
        <v>33</v>
      </c>
      <c r="AC2929">
        <v>0.443699999999978</v>
      </c>
      <c r="AD2929">
        <v>-8.9482999999999896E-2</v>
      </c>
      <c r="AE2929">
        <v>3.1500000000022503E-2</v>
      </c>
      <c r="AF2929">
        <v>-2.12646579558705E-2</v>
      </c>
      <c r="AG2929">
        <v>-8.9482999999999896E-2</v>
      </c>
      <c r="AH2929">
        <v>0.42698657933918799</v>
      </c>
      <c r="AI2929">
        <v>101.821868046372</v>
      </c>
      <c r="AJ2929">
        <v>92.8510717518745</v>
      </c>
      <c r="AK2929">
        <v>0.43678018716828398</v>
      </c>
      <c r="AL2929">
        <v>88.488270874797294</v>
      </c>
      <c r="AM2929">
        <v>91.570824236893102</v>
      </c>
      <c r="AN2929">
        <v>1.0000000204130499</v>
      </c>
    </row>
    <row r="2930" spans="1:40" x14ac:dyDescent="0.3">
      <c r="A2930" t="str">
        <f>"20200111160510984"</f>
        <v>20200111160510984</v>
      </c>
      <c r="B2930" t="str">
        <f>"1578729910974495"</f>
        <v>1578729910974495</v>
      </c>
      <c r="C2930" t="s">
        <v>40</v>
      </c>
      <c r="D2930">
        <v>5.482037</v>
      </c>
      <c r="E2930">
        <v>0.50431009999999998</v>
      </c>
      <c r="F2930" t="s">
        <v>42</v>
      </c>
      <c r="G2930">
        <v>-347.94209999999998</v>
      </c>
      <c r="H2930">
        <v>1.026071</v>
      </c>
      <c r="I2930">
        <v>215.78540000000001</v>
      </c>
      <c r="J2930">
        <v>-348.37180000000001</v>
      </c>
      <c r="K2930">
        <v>1.109305</v>
      </c>
      <c r="L2930">
        <v>215.7567</v>
      </c>
      <c r="M2930">
        <v>0.99969759999999996</v>
      </c>
      <c r="N2930">
        <v>0</v>
      </c>
      <c r="O2930">
        <v>1.9877200000000001E-2</v>
      </c>
      <c r="P2930">
        <v>0.99887349999999997</v>
      </c>
      <c r="Q2930">
        <v>1.173036E-2</v>
      </c>
      <c r="R2930">
        <v>4.5982670000000003E-2</v>
      </c>
      <c r="S2930">
        <v>3.001007</v>
      </c>
      <c r="T2930">
        <v>-0.3375513</v>
      </c>
      <c r="U2930">
        <v>0.13858029999999999</v>
      </c>
      <c r="V2930">
        <v>-2.6042740000000002E-2</v>
      </c>
      <c r="W2930">
        <v>2.6278639999999999E-2</v>
      </c>
      <c r="X2930">
        <v>0.99931539999999996</v>
      </c>
      <c r="Y2930">
        <v>-2.6221629999999999E-2</v>
      </c>
      <c r="Z2930">
        <v>-7.5815490000000001E-4</v>
      </c>
      <c r="AA2930">
        <v>0.99965579999999998</v>
      </c>
      <c r="AB2930">
        <v>33</v>
      </c>
      <c r="AC2930">
        <v>0.42970000000002501</v>
      </c>
      <c r="AD2930">
        <v>-8.3234000000000002E-2</v>
      </c>
      <c r="AE2930">
        <v>2.87000000000148E-2</v>
      </c>
      <c r="AF2930">
        <v>-1.9426540359394302E-2</v>
      </c>
      <c r="AG2930">
        <v>-8.3234000000000002E-2</v>
      </c>
      <c r="AH2930">
        <v>0.41469507899101599</v>
      </c>
      <c r="AI2930">
        <v>101.337005501181</v>
      </c>
      <c r="AJ2930">
        <v>92.6820806464697</v>
      </c>
      <c r="AK2930">
        <v>0.423411499330971</v>
      </c>
      <c r="AL2930">
        <v>88.494171535287407</v>
      </c>
      <c r="AM2930">
        <v>91.492823416096698</v>
      </c>
      <c r="AN2930">
        <v>1.00000002995205</v>
      </c>
    </row>
    <row r="2931" spans="1:40" x14ac:dyDescent="0.3">
      <c r="A2931" t="str">
        <f>"20200111160511006"</f>
        <v>20200111160511006</v>
      </c>
      <c r="B2931" t="str">
        <f>"1578729910994014"</f>
        <v>1578729910994014</v>
      </c>
      <c r="C2931" t="s">
        <v>40</v>
      </c>
      <c r="D2931">
        <v>5.2327199999999996</v>
      </c>
      <c r="E2931">
        <v>0.50392570000000003</v>
      </c>
      <c r="F2931" t="s">
        <v>42</v>
      </c>
      <c r="G2931">
        <v>-347.37529999999998</v>
      </c>
      <c r="H2931">
        <v>0.99744840000000001</v>
      </c>
      <c r="I2931">
        <v>215.79910000000001</v>
      </c>
      <c r="J2931">
        <v>-348.05130000000003</v>
      </c>
      <c r="K2931">
        <v>1.1093010000000001</v>
      </c>
      <c r="L2931">
        <v>215.76169999999999</v>
      </c>
      <c r="M2931">
        <v>0.99972209999999995</v>
      </c>
      <c r="N2931">
        <v>0</v>
      </c>
      <c r="O2931">
        <v>1.8603680000000001E-2</v>
      </c>
      <c r="P2931">
        <v>0.99896050000000003</v>
      </c>
      <c r="Q2931">
        <v>1.12785E-2</v>
      </c>
      <c r="R2931">
        <v>4.4168779999999998E-2</v>
      </c>
      <c r="S2931">
        <v>3.0014949999999998</v>
      </c>
      <c r="T2931">
        <v>-0.33687440000000002</v>
      </c>
      <c r="U2931">
        <v>0.1277924</v>
      </c>
      <c r="V2931">
        <v>-2.5502199999999999E-2</v>
      </c>
      <c r="W2931">
        <v>2.5822459999999998E-2</v>
      </c>
      <c r="X2931">
        <v>0.99934120000000004</v>
      </c>
      <c r="Y2931">
        <v>-2.3908309999999999E-2</v>
      </c>
      <c r="Z2931">
        <v>-7.435667E-4</v>
      </c>
      <c r="AA2931">
        <v>0.99971390000000004</v>
      </c>
      <c r="AB2931">
        <v>33</v>
      </c>
      <c r="AC2931">
        <v>0.67600000000004401</v>
      </c>
      <c r="AD2931">
        <v>-0.1118526</v>
      </c>
      <c r="AE2931">
        <v>3.7400000000019397E-2</v>
      </c>
      <c r="AF2931">
        <v>-2.4156778431382201E-2</v>
      </c>
      <c r="AG2931">
        <v>-0.1118526</v>
      </c>
      <c r="AH2931">
        <v>0.65860275424225401</v>
      </c>
      <c r="AI2931">
        <v>99.632399683918706</v>
      </c>
      <c r="AJ2931">
        <v>92.1006004867847</v>
      </c>
      <c r="AK2931">
        <v>0.66847000079766195</v>
      </c>
      <c r="AL2931">
        <v>88.520317549162201</v>
      </c>
      <c r="AM2931">
        <v>91.461814414823493</v>
      </c>
      <c r="AN2931">
        <v>0.99999999783136495</v>
      </c>
    </row>
    <row r="2932" spans="1:40" x14ac:dyDescent="0.3">
      <c r="A2932" t="str">
        <f>"20200111160511029"</f>
        <v>20200111160511029</v>
      </c>
      <c r="B2932" t="str">
        <f>"1578729911024271"</f>
        <v>1578729911024271</v>
      </c>
      <c r="C2932" t="s">
        <v>40</v>
      </c>
      <c r="D2932">
        <v>7.1787219999999996</v>
      </c>
      <c r="E2932">
        <v>0.55780469999999904</v>
      </c>
      <c r="F2932" t="s">
        <v>42</v>
      </c>
      <c r="G2932">
        <v>-347.08069999999998</v>
      </c>
      <c r="H2932">
        <v>1.0056210000000001</v>
      </c>
      <c r="I2932">
        <v>215.8015</v>
      </c>
      <c r="J2932">
        <v>-347.7208</v>
      </c>
      <c r="K2932">
        <v>1.1093</v>
      </c>
      <c r="L2932">
        <v>215.7664</v>
      </c>
      <c r="M2932">
        <v>0.99974569999999996</v>
      </c>
      <c r="N2932">
        <v>0</v>
      </c>
      <c r="O2932">
        <v>1.7290179999999999E-2</v>
      </c>
      <c r="P2932">
        <v>0.99903710000000001</v>
      </c>
      <c r="Q2932">
        <v>1.1089299999999899E-2</v>
      </c>
      <c r="R2932">
        <v>4.2450769999999999E-2</v>
      </c>
      <c r="S2932">
        <v>3.0012509999999999</v>
      </c>
      <c r="T2932">
        <v>-0.32063829999999999</v>
      </c>
      <c r="U2932">
        <v>0.1241913</v>
      </c>
      <c r="V2932">
        <v>-2.509728E-2</v>
      </c>
      <c r="W2932">
        <v>2.5628450000000001E-2</v>
      </c>
      <c r="X2932">
        <v>0.99935640000000003</v>
      </c>
      <c r="Y2932">
        <v>-2.4022829999999998E-2</v>
      </c>
      <c r="Z2932">
        <v>-5.6207769999999896E-4</v>
      </c>
      <c r="AA2932">
        <v>0.99971129999999997</v>
      </c>
      <c r="AB2932">
        <v>32</v>
      </c>
      <c r="AC2932">
        <v>0.64010000000001799</v>
      </c>
      <c r="AD2932">
        <v>-0.10367899999999999</v>
      </c>
      <c r="AE2932">
        <v>3.5099999999999902E-2</v>
      </c>
      <c r="AF2932">
        <v>-2.3413723313017901E-2</v>
      </c>
      <c r="AG2932">
        <v>-0.10367899999999999</v>
      </c>
      <c r="AH2932">
        <v>0.62428211740973205</v>
      </c>
      <c r="AI2932">
        <v>99.422949574489706</v>
      </c>
      <c r="AJ2932">
        <v>92.147873566926805</v>
      </c>
      <c r="AK2932">
        <v>0.63326589960139001</v>
      </c>
      <c r="AL2932">
        <v>88.531437116989395</v>
      </c>
      <c r="AM2932">
        <v>91.438591911683105</v>
      </c>
      <c r="AN2932">
        <v>0.99999995256687901</v>
      </c>
    </row>
    <row r="2933" spans="1:40" x14ac:dyDescent="0.3">
      <c r="A2933" t="str">
        <f>"20200111160511051"</f>
        <v>20200111160511051</v>
      </c>
      <c r="B2933" t="str">
        <f>"1578729911043790"</f>
        <v>1578729911043790</v>
      </c>
      <c r="C2933" t="s">
        <v>40</v>
      </c>
      <c r="D2933">
        <v>5.4090939999999996</v>
      </c>
      <c r="E2933">
        <v>0.54227219999999998</v>
      </c>
      <c r="F2933" t="s">
        <v>70</v>
      </c>
      <c r="G2933">
        <v>-168.41480000000001</v>
      </c>
      <c r="H2933">
        <v>2.3740139999999998</v>
      </c>
      <c r="I2933">
        <v>195.9503</v>
      </c>
      <c r="J2933">
        <v>-347.3997</v>
      </c>
      <c r="K2933">
        <v>1.1093</v>
      </c>
      <c r="L2933">
        <v>215.7706</v>
      </c>
      <c r="M2933">
        <v>0.99976719999999997</v>
      </c>
      <c r="N2933">
        <v>0</v>
      </c>
      <c r="O2933">
        <v>1.6013639999999999E-2</v>
      </c>
      <c r="P2933">
        <v>0.99908810000000003</v>
      </c>
      <c r="Q2933">
        <v>1.087778E-2</v>
      </c>
      <c r="R2933">
        <v>4.1289399999999997E-2</v>
      </c>
      <c r="S2933">
        <v>3.0168149999999998</v>
      </c>
      <c r="T2933">
        <v>2.1279340000000001E-2</v>
      </c>
      <c r="U2933">
        <v>-0.33340449999999999</v>
      </c>
      <c r="V2933">
        <v>-2.5212729999999999E-2</v>
      </c>
      <c r="W2933">
        <v>2.5413939999999999E-2</v>
      </c>
      <c r="X2933">
        <v>0.999359</v>
      </c>
      <c r="Y2933">
        <v>0.12574739999999901</v>
      </c>
      <c r="Z2933">
        <v>5.5477550000000004E-4</v>
      </c>
      <c r="AA2933">
        <v>0.99206220000000001</v>
      </c>
      <c r="AB2933">
        <v>32</v>
      </c>
      <c r="AC2933">
        <v>178.98489999999899</v>
      </c>
      <c r="AD2933">
        <v>1.2647139999999999</v>
      </c>
      <c r="AE2933">
        <v>-19.8203</v>
      </c>
      <c r="AF2933">
        <v>22.683138630997298</v>
      </c>
      <c r="AG2933">
        <v>1.2647139999999999</v>
      </c>
      <c r="AH2933">
        <v>178.63570520925899</v>
      </c>
      <c r="AI2933">
        <v>89.597592359329596</v>
      </c>
      <c r="AJ2933">
        <v>82.763318008853602</v>
      </c>
      <c r="AK2933">
        <v>180.074538609055</v>
      </c>
      <c r="AL2933">
        <v>88.5437316804896</v>
      </c>
      <c r="AM2933">
        <v>91.445203019982401</v>
      </c>
      <c r="AN2933">
        <v>0.99999998049068795</v>
      </c>
    </row>
    <row r="2934" spans="1:40" x14ac:dyDescent="0.3">
      <c r="A2934" t="str">
        <f>"20200111160511074"</f>
        <v>20200111160511074</v>
      </c>
      <c r="B2934" t="str">
        <f>"1578729911064286"</f>
        <v>1578729911064286</v>
      </c>
      <c r="C2934" t="s">
        <v>40</v>
      </c>
      <c r="D2934">
        <v>5.4953799999999999</v>
      </c>
      <c r="E2934">
        <v>0.53674750000000004</v>
      </c>
      <c r="F2934" t="s">
        <v>61</v>
      </c>
      <c r="G2934">
        <v>-316.88400000000001</v>
      </c>
      <c r="H2934" s="1">
        <v>3.9584229999999997E-6</v>
      </c>
      <c r="I2934">
        <v>213.6986</v>
      </c>
      <c r="J2934">
        <v>-347.07209999999998</v>
      </c>
      <c r="K2934">
        <v>1.1093029999999999</v>
      </c>
      <c r="L2934">
        <v>215.77449999999999</v>
      </c>
      <c r="M2934">
        <v>0.99978719999999999</v>
      </c>
      <c r="N2934">
        <v>0</v>
      </c>
      <c r="O2934">
        <v>1.471047E-2</v>
      </c>
      <c r="P2934">
        <v>0.99912330000000005</v>
      </c>
      <c r="Q2934">
        <v>1.060994E-2</v>
      </c>
      <c r="R2934">
        <v>4.0497409999999998E-2</v>
      </c>
      <c r="S2934">
        <v>3.012451</v>
      </c>
      <c r="T2934">
        <v>-0.1095076</v>
      </c>
      <c r="U2934">
        <v>-0.20454410000000001</v>
      </c>
      <c r="V2934">
        <v>-2.572375E-2</v>
      </c>
      <c r="W2934">
        <v>2.5144139999999999E-2</v>
      </c>
      <c r="X2934">
        <v>0.99935280000000004</v>
      </c>
      <c r="Y2934">
        <v>8.2350619999999999E-2</v>
      </c>
      <c r="Z2934">
        <v>-2.0286449999999999E-3</v>
      </c>
      <c r="AA2934">
        <v>0.99660130000000002</v>
      </c>
      <c r="AB2934">
        <v>32</v>
      </c>
      <c r="AC2934">
        <v>30.188099999999899</v>
      </c>
      <c r="AD2934">
        <v>-1.1092990415770001</v>
      </c>
      <c r="AE2934">
        <v>-2.0758999999999901</v>
      </c>
      <c r="AF2934">
        <v>2.5164210228716599</v>
      </c>
      <c r="AG2934">
        <v>-1.1092990415770001</v>
      </c>
      <c r="AH2934">
        <v>30.113821267858398</v>
      </c>
      <c r="AI2934">
        <v>92.102322768480207</v>
      </c>
      <c r="AJ2934">
        <v>85.223253012228099</v>
      </c>
      <c r="AK2934">
        <v>30.239132766673599</v>
      </c>
      <c r="AL2934">
        <v>88.559195021531295</v>
      </c>
      <c r="AM2934">
        <v>91.474491216647294</v>
      </c>
      <c r="AN2934">
        <v>0.99999997897912096</v>
      </c>
    </row>
    <row r="2935" spans="1:40" x14ac:dyDescent="0.3">
      <c r="A2935" t="str">
        <f>"20200111160511095"</f>
        <v>20200111160511095</v>
      </c>
      <c r="B2935" t="str">
        <f>"1578729911083806"</f>
        <v>1578729911083806</v>
      </c>
      <c r="C2935" t="s">
        <v>40</v>
      </c>
      <c r="D2935">
        <v>5.4371049999999999</v>
      </c>
      <c r="E2935">
        <v>0.53427789999999997</v>
      </c>
      <c r="F2935" t="s">
        <v>57</v>
      </c>
      <c r="G2935">
        <v>-325.1986</v>
      </c>
      <c r="H2935" s="1">
        <v>1.2296470000000001E-6</v>
      </c>
      <c r="I2935">
        <v>214.61170000000001</v>
      </c>
      <c r="J2935">
        <v>-346.75659999999999</v>
      </c>
      <c r="K2935">
        <v>1.109302</v>
      </c>
      <c r="L2935">
        <v>215.77780000000001</v>
      </c>
      <c r="M2935">
        <v>0.9998049</v>
      </c>
      <c r="N2935">
        <v>0</v>
      </c>
      <c r="O2935">
        <v>1.345521E-2</v>
      </c>
      <c r="P2935">
        <v>0.99916939999999999</v>
      </c>
      <c r="Q2935">
        <v>1.0285310000000001E-2</v>
      </c>
      <c r="R2935">
        <v>3.9433719999999998E-2</v>
      </c>
      <c r="S2935">
        <v>3.010742</v>
      </c>
      <c r="T2935">
        <v>-0.152688299999999</v>
      </c>
      <c r="U2935">
        <v>-0.16004939999999901</v>
      </c>
      <c r="V2935">
        <v>-2.5915529999999999E-2</v>
      </c>
      <c r="W2935">
        <v>2.4816649999999999E-2</v>
      </c>
      <c r="X2935">
        <v>0.99935600000000002</v>
      </c>
      <c r="Y2935">
        <v>6.6414970000000004E-2</v>
      </c>
      <c r="Z2935">
        <v>-2.363408E-3</v>
      </c>
      <c r="AA2935">
        <v>0.99778929999999999</v>
      </c>
      <c r="AB2935">
        <v>32</v>
      </c>
      <c r="AC2935">
        <v>21.558</v>
      </c>
      <c r="AD2935">
        <v>-1.109300770353</v>
      </c>
      <c r="AE2935">
        <v>-1.1660999999999999</v>
      </c>
      <c r="AF2935">
        <v>1.45225812715958</v>
      </c>
      <c r="AG2935">
        <v>-1.109300770353</v>
      </c>
      <c r="AH2935">
        <v>21.4836383113254</v>
      </c>
      <c r="AI2935">
        <v>92.949105755281593</v>
      </c>
      <c r="AJ2935">
        <v>86.132784140413605</v>
      </c>
      <c r="AK2935">
        <v>21.561222529319998</v>
      </c>
      <c r="AL2935">
        <v>88.577964629693597</v>
      </c>
      <c r="AM2935">
        <v>91.485474428241503</v>
      </c>
      <c r="AN2935">
        <v>0.99999994777419998</v>
      </c>
    </row>
    <row r="2936" spans="1:40" x14ac:dyDescent="0.3">
      <c r="A2936" t="str">
        <f>"20200111160511118"</f>
        <v>20200111160511118</v>
      </c>
      <c r="B2936" t="str">
        <f>"1578729911114388"</f>
        <v>1578729911114388</v>
      </c>
      <c r="C2936" t="s">
        <v>40</v>
      </c>
      <c r="D2936">
        <v>6.3724730000000003</v>
      </c>
      <c r="E2936">
        <v>0.53200729999999996</v>
      </c>
      <c r="F2936" t="s">
        <v>57</v>
      </c>
      <c r="G2936">
        <v>-328.26659999999998</v>
      </c>
      <c r="H2936" s="1">
        <v>2.8622809999999998E-6</v>
      </c>
      <c r="I2936">
        <v>214.90780000000001</v>
      </c>
      <c r="J2936">
        <v>-346.43209999999999</v>
      </c>
      <c r="K2936">
        <v>1.109302</v>
      </c>
      <c r="L2936">
        <v>215.7808</v>
      </c>
      <c r="M2936">
        <v>0.99982170000000004</v>
      </c>
      <c r="N2936">
        <v>0</v>
      </c>
      <c r="O2936">
        <v>1.216189E-2</v>
      </c>
      <c r="P2936">
        <v>0.99920050000000005</v>
      </c>
      <c r="Q2936">
        <v>1.016295E-2</v>
      </c>
      <c r="R2936">
        <v>3.866907E-2</v>
      </c>
      <c r="S2936">
        <v>3.009979</v>
      </c>
      <c r="T2936">
        <v>-0.18058260000000001</v>
      </c>
      <c r="U2936">
        <v>-0.14163210000000001</v>
      </c>
      <c r="V2936">
        <v>-2.644409E-2</v>
      </c>
      <c r="W2936">
        <v>2.467507E-2</v>
      </c>
      <c r="X2936">
        <v>0.9993457</v>
      </c>
      <c r="Y2936">
        <v>5.9020679999999999E-2</v>
      </c>
      <c r="Z2936">
        <v>-2.4966020000000001E-3</v>
      </c>
      <c r="AA2936">
        <v>0.99825359999999996</v>
      </c>
      <c r="AB2936">
        <v>32</v>
      </c>
      <c r="AC2936">
        <v>18.165500000000002</v>
      </c>
      <c r="AD2936">
        <v>-1.109299137719</v>
      </c>
      <c r="AE2936">
        <v>-0.87299999999999001</v>
      </c>
      <c r="AF2936">
        <v>1.0898305765712299</v>
      </c>
      <c r="AG2936">
        <v>-1.109299137719</v>
      </c>
      <c r="AH2936">
        <v>18.086247988416901</v>
      </c>
      <c r="AI2936">
        <v>93.503435042451002</v>
      </c>
      <c r="AJ2936">
        <v>86.551673894895401</v>
      </c>
      <c r="AK2936">
        <v>18.152978861913699</v>
      </c>
      <c r="AL2936">
        <v>88.586079109086199</v>
      </c>
      <c r="AM2936">
        <v>91.515773033433007</v>
      </c>
      <c r="AN2936">
        <v>0.99999998854196104</v>
      </c>
    </row>
    <row r="2937" spans="1:40" x14ac:dyDescent="0.3">
      <c r="A2937" t="str">
        <f>"20200111160511141"</f>
        <v>20200111160511141</v>
      </c>
      <c r="B2937" t="str">
        <f>"1578729911133909"</f>
        <v>1578729911133909</v>
      </c>
      <c r="C2937" t="s">
        <v>40</v>
      </c>
      <c r="D2937">
        <v>5.4022180000000004</v>
      </c>
      <c r="E2937">
        <v>0.52168239999999999</v>
      </c>
      <c r="F2937" t="s">
        <v>57</v>
      </c>
      <c r="G2937">
        <v>-329.37099999999998</v>
      </c>
      <c r="H2937" s="1">
        <v>3.4499729999999999E-6</v>
      </c>
      <c r="I2937">
        <v>215.07249999999999</v>
      </c>
      <c r="J2937">
        <v>-346.09230000000002</v>
      </c>
      <c r="K2937">
        <v>1.1092839999999999</v>
      </c>
      <c r="L2937">
        <v>215.7835</v>
      </c>
      <c r="M2937">
        <v>0.99983860000000002</v>
      </c>
      <c r="N2937">
        <v>0</v>
      </c>
      <c r="O2937">
        <v>1.079895E-2</v>
      </c>
      <c r="P2937">
        <v>0.99923569999999995</v>
      </c>
      <c r="Q2937">
        <v>9.9538560000000005E-3</v>
      </c>
      <c r="R2937">
        <v>3.7804079999999997E-2</v>
      </c>
      <c r="S2937">
        <v>3.0092469999999998</v>
      </c>
      <c r="T2937">
        <v>-0.19565840000000001</v>
      </c>
      <c r="U2937">
        <v>-0.1249237</v>
      </c>
      <c r="V2937">
        <v>-2.6942250000000001E-2</v>
      </c>
      <c r="W2937">
        <v>2.4382379999999999E-2</v>
      </c>
      <c r="X2937">
        <v>0.99933959999999999</v>
      </c>
      <c r="Y2937">
        <v>5.2133239999999997E-2</v>
      </c>
      <c r="Z2937">
        <v>-2.3935110000000001E-3</v>
      </c>
      <c r="AA2937">
        <v>0.99863729999999995</v>
      </c>
      <c r="AB2937">
        <v>32</v>
      </c>
      <c r="AC2937">
        <v>16.721299999999999</v>
      </c>
      <c r="AD2937">
        <v>-1.109280550027</v>
      </c>
      <c r="AE2937">
        <v>-0.71100000000001196</v>
      </c>
      <c r="AF2937">
        <v>0.88765021079488704</v>
      </c>
      <c r="AG2937">
        <v>-1.109280550027</v>
      </c>
      <c r="AH2937">
        <v>16.6395488923546</v>
      </c>
      <c r="AI2937">
        <v>93.808597598931399</v>
      </c>
      <c r="AJ2937">
        <v>86.946404662916805</v>
      </c>
      <c r="AK2937">
        <v>16.700090226596199</v>
      </c>
      <c r="AL2937">
        <v>88.602854089174102</v>
      </c>
      <c r="AM2937">
        <v>91.544323245229705</v>
      </c>
      <c r="AN2937">
        <v>1.00000001070884</v>
      </c>
    </row>
    <row r="2938" spans="1:40" x14ac:dyDescent="0.3">
      <c r="A2938" t="str">
        <f>"20200111160511163"</f>
        <v>20200111160511163</v>
      </c>
      <c r="B2938" t="str">
        <f>"1578729911154404"</f>
        <v>1578729911154404</v>
      </c>
      <c r="C2938" t="s">
        <v>40</v>
      </c>
      <c r="D2938">
        <v>5.5013310000000004</v>
      </c>
      <c r="E2938">
        <v>0.52189439999999998</v>
      </c>
      <c r="F2938" t="s">
        <v>61</v>
      </c>
      <c r="G2938">
        <v>-318.68860000000001</v>
      </c>
      <c r="H2938" s="1">
        <v>4.7586800000000002E-6</v>
      </c>
      <c r="I2938">
        <v>215.32769999999999</v>
      </c>
      <c r="J2938">
        <v>-345.77319999999997</v>
      </c>
      <c r="K2938">
        <v>1.10924</v>
      </c>
      <c r="L2938">
        <v>215.78559999999999</v>
      </c>
      <c r="M2938">
        <v>0.99985380000000001</v>
      </c>
      <c r="N2938">
        <v>0</v>
      </c>
      <c r="O2938">
        <v>9.5174209999999999E-3</v>
      </c>
      <c r="P2938">
        <v>0.99927319999999997</v>
      </c>
      <c r="Q2938">
        <v>9.7845940000000006E-3</v>
      </c>
      <c r="R2938">
        <v>3.6838839999999998E-2</v>
      </c>
      <c r="S2938">
        <v>3.0054319999999999</v>
      </c>
      <c r="T2938">
        <v>-0.1216576</v>
      </c>
      <c r="U2938">
        <v>-4.9987789999999997E-2</v>
      </c>
      <c r="V2938">
        <v>-2.7258399999999999E-2</v>
      </c>
      <c r="W2938">
        <v>2.405347E-2</v>
      </c>
      <c r="X2938">
        <v>0.99933899999999998</v>
      </c>
      <c r="Y2938">
        <v>2.6117319999999999E-2</v>
      </c>
      <c r="Z2938">
        <v>-9.1346750000000001E-4</v>
      </c>
      <c r="AA2938">
        <v>0.99965850000000001</v>
      </c>
      <c r="AB2938">
        <v>32</v>
      </c>
      <c r="AC2938">
        <v>27.084599999999899</v>
      </c>
      <c r="AD2938">
        <v>-1.10923524132</v>
      </c>
      <c r="AE2938">
        <v>-0.45789999999999498</v>
      </c>
      <c r="AF2938">
        <v>0.71448277403562999</v>
      </c>
      <c r="AG2938">
        <v>-1.10923524132</v>
      </c>
      <c r="AH2938">
        <v>27.033684799940001</v>
      </c>
      <c r="AI2938">
        <v>92.348800017740004</v>
      </c>
      <c r="AJ2938">
        <v>88.486062104567907</v>
      </c>
      <c r="AK2938">
        <v>27.0658641524243</v>
      </c>
      <c r="AL2938">
        <v>88.6217047763934</v>
      </c>
      <c r="AM2938">
        <v>91.562436893757294</v>
      </c>
      <c r="AN2938">
        <v>1.0000000133553</v>
      </c>
    </row>
    <row r="2939" spans="1:40" x14ac:dyDescent="0.3">
      <c r="A2939" t="str">
        <f>"20200111160511184"</f>
        <v>20200111160511184</v>
      </c>
      <c r="B2939" t="str">
        <f>"1578729911173927"</f>
        <v>1578729911173927</v>
      </c>
      <c r="C2939" t="s">
        <v>40</v>
      </c>
      <c r="D2939">
        <v>5.4591799999999999</v>
      </c>
      <c r="E2939">
        <v>0.52181670000000002</v>
      </c>
      <c r="F2939" t="s">
        <v>57</v>
      </c>
      <c r="G2939">
        <v>-326.79899999999998</v>
      </c>
      <c r="H2939" s="1">
        <v>2.081297E-6</v>
      </c>
      <c r="I2939">
        <v>215.4632</v>
      </c>
      <c r="J2939">
        <v>-345.46839999999997</v>
      </c>
      <c r="K2939">
        <v>1.1091839999999999</v>
      </c>
      <c r="L2939">
        <v>215.78729999999999</v>
      </c>
      <c r="M2939">
        <v>0.99986810000000004</v>
      </c>
      <c r="N2939">
        <v>0</v>
      </c>
      <c r="O2939">
        <v>8.2935769999999999E-3</v>
      </c>
      <c r="P2939">
        <v>0.99931009999999998</v>
      </c>
      <c r="Q2939">
        <v>9.5640499999999993E-3</v>
      </c>
      <c r="R2939">
        <v>3.5886510000000003E-2</v>
      </c>
      <c r="S2939">
        <v>3.005798</v>
      </c>
      <c r="T2939">
        <v>-0.17571999999999999</v>
      </c>
      <c r="U2939">
        <v>-5.1071169999999999E-2</v>
      </c>
      <c r="V2939">
        <v>-2.7530309999999999E-2</v>
      </c>
      <c r="W2939">
        <v>2.360489E-2</v>
      </c>
      <c r="X2939">
        <v>0.99934219999999896</v>
      </c>
      <c r="Y2939">
        <v>2.5223820000000001E-2</v>
      </c>
      <c r="Z2939">
        <v>-1.2210630000000001E-3</v>
      </c>
      <c r="AA2939">
        <v>0.99968109999999999</v>
      </c>
      <c r="AB2939">
        <v>32</v>
      </c>
      <c r="AC2939">
        <v>18.6693999999999</v>
      </c>
      <c r="AD2939">
        <v>-1.1091819187030001</v>
      </c>
      <c r="AE2939">
        <v>-0.32409999999998701</v>
      </c>
      <c r="AF2939">
        <v>0.47725596620598398</v>
      </c>
      <c r="AG2939">
        <v>-1.1091819187030001</v>
      </c>
      <c r="AH2939">
        <v>18.600434342782201</v>
      </c>
      <c r="AI2939">
        <v>93.411503055306198</v>
      </c>
      <c r="AJ2939">
        <v>88.530208828763094</v>
      </c>
      <c r="AK2939">
        <v>18.639587321778599</v>
      </c>
      <c r="AL2939">
        <v>88.647413759619297</v>
      </c>
      <c r="AM2939">
        <v>91.5780097374669</v>
      </c>
      <c r="AN2939">
        <v>0.999999970750723</v>
      </c>
    </row>
    <row r="2940" spans="1:40" x14ac:dyDescent="0.3">
      <c r="A2940" t="str">
        <f>"20200111160511208"</f>
        <v>20200111160511208</v>
      </c>
      <c r="B2940" t="str">
        <f>"1578729911204689"</f>
        <v>1578729911204689</v>
      </c>
      <c r="C2940" t="s">
        <v>40</v>
      </c>
      <c r="D2940">
        <v>5.5343710000000002</v>
      </c>
      <c r="E2940">
        <v>0.52210579999999995</v>
      </c>
      <c r="F2940" t="s">
        <v>42</v>
      </c>
      <c r="G2940">
        <v>-344.45569999999998</v>
      </c>
      <c r="H2940">
        <v>1.0434239999999999</v>
      </c>
      <c r="I2940">
        <v>215.7698</v>
      </c>
      <c r="J2940">
        <v>-345.12830000000002</v>
      </c>
      <c r="K2940">
        <v>1.1091279999999999</v>
      </c>
      <c r="L2940">
        <v>215.7886</v>
      </c>
      <c r="M2940">
        <v>0.99988290000000002</v>
      </c>
      <c r="N2940">
        <v>0</v>
      </c>
      <c r="O2940">
        <v>6.921183E-3</v>
      </c>
      <c r="P2940">
        <v>0.99933590000000005</v>
      </c>
      <c r="Q2940">
        <v>9.3988160000000008E-3</v>
      </c>
      <c r="R2940">
        <v>3.5205380000000001E-2</v>
      </c>
      <c r="S2940">
        <v>3.005798</v>
      </c>
      <c r="T2940">
        <v>-0.19521630000000001</v>
      </c>
      <c r="U2940">
        <v>-5.2032469999999997E-2</v>
      </c>
      <c r="V2940">
        <v>-2.822301E-2</v>
      </c>
      <c r="W2940">
        <v>2.3121510000000001E-2</v>
      </c>
      <c r="X2940">
        <v>0.99933419999999895</v>
      </c>
      <c r="Y2940">
        <v>2.4163009999999999E-2</v>
      </c>
      <c r="Z2940">
        <v>-1.232815E-3</v>
      </c>
      <c r="AA2940">
        <v>0.99970729999999997</v>
      </c>
      <c r="AB2940">
        <v>32</v>
      </c>
      <c r="AC2940">
        <v>0.67260000000004505</v>
      </c>
      <c r="AD2940">
        <v>-6.5704000000000207E-2</v>
      </c>
      <c r="AE2940">
        <v>-1.87999999999988E-2</v>
      </c>
      <c r="AF2940">
        <v>2.32336331564818E-2</v>
      </c>
      <c r="AG2940">
        <v>-6.5704000000000207E-2</v>
      </c>
      <c r="AH2940">
        <v>0.666102324438967</v>
      </c>
      <c r="AI2940">
        <v>95.630001940722295</v>
      </c>
      <c r="AJ2940">
        <v>88.002334445748701</v>
      </c>
      <c r="AK2940">
        <v>0.66973810101310904</v>
      </c>
      <c r="AL2940">
        <v>88.675116985732799</v>
      </c>
      <c r="AM2940">
        <v>91.617706710715595</v>
      </c>
      <c r="AN2940">
        <v>0.99999999290388997</v>
      </c>
    </row>
    <row r="2941" spans="1:40" x14ac:dyDescent="0.3">
      <c r="A2941" t="str">
        <f>"20200111160511230"</f>
        <v>20200111160511230</v>
      </c>
      <c r="B2941" t="str">
        <f>"1578729911224208"</f>
        <v>1578729911224208</v>
      </c>
      <c r="C2941" t="s">
        <v>40</v>
      </c>
      <c r="D2941">
        <v>5.6091959999999998</v>
      </c>
      <c r="E2941">
        <v>0.52182609999999996</v>
      </c>
      <c r="F2941" t="s">
        <v>42</v>
      </c>
      <c r="G2941">
        <v>-344.16879999999998</v>
      </c>
      <c r="H2941">
        <v>1.040475</v>
      </c>
      <c r="I2941">
        <v>215.7706</v>
      </c>
      <c r="J2941">
        <v>-344.81220000000002</v>
      </c>
      <c r="K2941">
        <v>1.1090799999999901</v>
      </c>
      <c r="L2941">
        <v>215.7895</v>
      </c>
      <c r="M2941">
        <v>0.99989530000000004</v>
      </c>
      <c r="N2941">
        <v>0</v>
      </c>
      <c r="O2941">
        <v>5.6373710000000004E-3</v>
      </c>
      <c r="P2941">
        <v>0.99935909999999994</v>
      </c>
      <c r="Q2941">
        <v>9.6264609999999994E-3</v>
      </c>
      <c r="R2941">
        <v>3.4485099999999998E-2</v>
      </c>
      <c r="S2941">
        <v>3.005951</v>
      </c>
      <c r="T2941">
        <v>-0.21507319999999999</v>
      </c>
      <c r="U2941">
        <v>-5.5587770000000002E-2</v>
      </c>
      <c r="V2941">
        <v>-2.878679E-2</v>
      </c>
      <c r="W2941">
        <v>2.3033319999999999E-2</v>
      </c>
      <c r="X2941">
        <v>0.99932010000000004</v>
      </c>
      <c r="Y2941">
        <v>2.4050160000000001E-2</v>
      </c>
      <c r="Z2941">
        <v>-1.2620520000000001E-3</v>
      </c>
      <c r="AA2941">
        <v>0.99970999999999999</v>
      </c>
      <c r="AB2941">
        <v>32</v>
      </c>
      <c r="AC2941">
        <v>0.64340000000004205</v>
      </c>
      <c r="AD2941">
        <v>-6.8604999999999805E-2</v>
      </c>
      <c r="AE2941">
        <v>-1.8900000000002099E-2</v>
      </c>
      <c r="AF2941">
        <v>2.22740748183941E-2</v>
      </c>
      <c r="AG2941">
        <v>-6.8604999999999805E-2</v>
      </c>
      <c r="AH2941">
        <v>0.63605766189554303</v>
      </c>
      <c r="AI2941">
        <v>96.152365120710698</v>
      </c>
      <c r="AJ2941">
        <v>87.994381239774697</v>
      </c>
      <c r="AK2941">
        <v>0.64013446219528003</v>
      </c>
      <c r="AL2941">
        <v>88.680171173720794</v>
      </c>
      <c r="AM2941">
        <v>91.650027435985805</v>
      </c>
      <c r="AN2941">
        <v>0.99999993768636597</v>
      </c>
    </row>
    <row r="2942" spans="1:40" x14ac:dyDescent="0.3">
      <c r="A2942" t="str">
        <f>"20200111160511253"</f>
        <v>20200111160511253</v>
      </c>
      <c r="B2942" t="str">
        <f>"1578729911244704"</f>
        <v>1578729911244704</v>
      </c>
      <c r="C2942" t="s">
        <v>40</v>
      </c>
      <c r="D2942">
        <v>5.4880209999999998</v>
      </c>
      <c r="E2942">
        <v>0.52197459999999996</v>
      </c>
      <c r="F2942" t="s">
        <v>42</v>
      </c>
      <c r="G2942">
        <v>-343.87799999999999</v>
      </c>
      <c r="H2942">
        <v>1.041337</v>
      </c>
      <c r="I2942">
        <v>215.7724</v>
      </c>
      <c r="J2942">
        <v>-344.47559999999999</v>
      </c>
      <c r="K2942">
        <v>1.1090230000000001</v>
      </c>
      <c r="L2942">
        <v>215.79</v>
      </c>
      <c r="M2942">
        <v>0.99990679999999998</v>
      </c>
      <c r="N2942">
        <v>0</v>
      </c>
      <c r="O2942">
        <v>4.2667390000000003E-3</v>
      </c>
      <c r="P2942">
        <v>0.99938179999999999</v>
      </c>
      <c r="Q2942">
        <v>1.006231E-2</v>
      </c>
      <c r="R2942">
        <v>3.3687099999999998E-2</v>
      </c>
      <c r="S2942">
        <v>3.0059200000000001</v>
      </c>
      <c r="T2942">
        <v>-0.21796309999999999</v>
      </c>
      <c r="U2942">
        <v>-5.5145260000000001E-2</v>
      </c>
      <c r="V2942">
        <v>-2.935902E-2</v>
      </c>
      <c r="W2942">
        <v>2.3109109999999999E-2</v>
      </c>
      <c r="X2942">
        <v>0.99930180000000002</v>
      </c>
      <c r="Y2942">
        <v>2.2538320000000001E-2</v>
      </c>
      <c r="Z2942">
        <v>-1.124985E-3</v>
      </c>
      <c r="AA2942">
        <v>0.99974540000000001</v>
      </c>
      <c r="AB2942">
        <v>32</v>
      </c>
      <c r="AC2942">
        <v>0.59759999999994295</v>
      </c>
      <c r="AD2942">
        <v>-6.7685999999999594E-2</v>
      </c>
      <c r="AE2942">
        <v>-1.75999999999874E-2</v>
      </c>
      <c r="AF2942">
        <v>1.9894857069855498E-2</v>
      </c>
      <c r="AG2942">
        <v>-6.7685999999999594E-2</v>
      </c>
      <c r="AH2942">
        <v>0.58995773328741596</v>
      </c>
      <c r="AI2942">
        <v>96.541256224327398</v>
      </c>
      <c r="AJ2942">
        <v>88.068574278084398</v>
      </c>
      <c r="AK2942">
        <v>0.594161027836272</v>
      </c>
      <c r="AL2942">
        <v>88.6758276993735</v>
      </c>
      <c r="AM2942">
        <v>91.682839159547896</v>
      </c>
      <c r="AN2942">
        <v>1.0000000352517899</v>
      </c>
    </row>
    <row r="2943" spans="1:40" x14ac:dyDescent="0.3">
      <c r="A2943" t="str">
        <f>"20200111160511273"</f>
        <v>20200111160511273</v>
      </c>
      <c r="B2943" t="str">
        <f>"1578729911264224"</f>
        <v>1578729911264224</v>
      </c>
      <c r="C2943" t="s">
        <v>40</v>
      </c>
      <c r="D2943">
        <v>5.5579229999999997</v>
      </c>
      <c r="E2943">
        <v>0.52207219999999999</v>
      </c>
      <c r="F2943" t="s">
        <v>42</v>
      </c>
      <c r="G2943">
        <v>-343.58539999999999</v>
      </c>
      <c r="H2943">
        <v>1.0438430000000001</v>
      </c>
      <c r="I2943">
        <v>215.7723</v>
      </c>
      <c r="J2943">
        <v>-344.16649999999998</v>
      </c>
      <c r="K2943">
        <v>1.1089719999999901</v>
      </c>
      <c r="L2943">
        <v>215.79</v>
      </c>
      <c r="M2943">
        <v>0.99991600000000003</v>
      </c>
      <c r="N2943">
        <v>0</v>
      </c>
      <c r="O2943">
        <v>3.0092209999999999E-3</v>
      </c>
      <c r="P2943">
        <v>0.99940600000000002</v>
      </c>
      <c r="Q2943">
        <v>1.0518E-2</v>
      </c>
      <c r="R2943">
        <v>3.282521E-2</v>
      </c>
      <c r="S2943">
        <v>3.0060120000000001</v>
      </c>
      <c r="T2943">
        <v>-0.22024360000000001</v>
      </c>
      <c r="U2943">
        <v>-5.8639530000000002E-2</v>
      </c>
      <c r="V2943">
        <v>-2.9753979999999999E-2</v>
      </c>
      <c r="W2943">
        <v>2.3206839999999999E-2</v>
      </c>
      <c r="X2943">
        <v>0.99928779999999995</v>
      </c>
      <c r="Y2943">
        <v>2.24443E-2</v>
      </c>
      <c r="Z2943">
        <v>-1.041225E-3</v>
      </c>
      <c r="AA2943">
        <v>0.99974759999999996</v>
      </c>
      <c r="AB2943">
        <v>32</v>
      </c>
      <c r="AC2943">
        <v>0.58109999999999196</v>
      </c>
      <c r="AD2943">
        <v>-6.5128999999999701E-2</v>
      </c>
      <c r="AE2943">
        <v>-1.7699999999990699E-2</v>
      </c>
      <c r="AF2943">
        <v>1.9207660675236202E-2</v>
      </c>
      <c r="AG2943">
        <v>-6.5128999999999701E-2</v>
      </c>
      <c r="AH2943">
        <v>0.57384236938602795</v>
      </c>
      <c r="AI2943">
        <v>96.471558728072296</v>
      </c>
      <c r="AJ2943">
        <v>88.082910520581905</v>
      </c>
      <c r="AK2943">
        <v>0.57784581487814402</v>
      </c>
      <c r="AL2943">
        <v>88.670226610104905</v>
      </c>
      <c r="AM2943">
        <v>91.705488597711295</v>
      </c>
      <c r="AN2943">
        <v>0.99999998198873197</v>
      </c>
    </row>
    <row r="2944" spans="1:40" x14ac:dyDescent="0.3">
      <c r="A2944" t="str">
        <f>"20200111160511296"</f>
        <v>20200111160511296</v>
      </c>
      <c r="B2944" t="str">
        <f>"1578729911284720"</f>
        <v>1578729911284720</v>
      </c>
      <c r="C2944" t="s">
        <v>40</v>
      </c>
      <c r="D2944">
        <v>5.455775</v>
      </c>
      <c r="E2944">
        <v>0.52199470000000003</v>
      </c>
      <c r="F2944" t="s">
        <v>42</v>
      </c>
      <c r="G2944">
        <v>-343.29410000000001</v>
      </c>
      <c r="H2944">
        <v>1.044462</v>
      </c>
      <c r="I2944">
        <v>215.77189999999999</v>
      </c>
      <c r="J2944">
        <v>-343.85050000000001</v>
      </c>
      <c r="K2944">
        <v>1.1089169999999999</v>
      </c>
      <c r="L2944">
        <v>215.78970000000001</v>
      </c>
      <c r="M2944">
        <v>0.99992389999999998</v>
      </c>
      <c r="N2944">
        <v>0</v>
      </c>
      <c r="O2944">
        <v>1.7275299999999999E-3</v>
      </c>
      <c r="P2944">
        <v>0.99944319999999998</v>
      </c>
      <c r="Q2944">
        <v>1.101805E-2</v>
      </c>
      <c r="R2944">
        <v>3.1496700000000002E-2</v>
      </c>
      <c r="S2944">
        <v>3.006195</v>
      </c>
      <c r="T2944">
        <v>-0.22234619999999999</v>
      </c>
      <c r="U2944">
        <v>-6.190491E-2</v>
      </c>
      <c r="V2944">
        <v>-2.9705760000000001E-2</v>
      </c>
      <c r="W2944">
        <v>2.3326019999999999E-2</v>
      </c>
      <c r="X2944">
        <v>0.99928649999999997</v>
      </c>
      <c r="Y2944">
        <v>2.224988E-2</v>
      </c>
      <c r="Z2944">
        <v>-9.4921619999999997E-4</v>
      </c>
      <c r="AA2944">
        <v>0.99975199999999997</v>
      </c>
      <c r="AB2944">
        <v>32</v>
      </c>
      <c r="AC2944">
        <v>0.55639999999999601</v>
      </c>
      <c r="AD2944">
        <v>-6.4454999999999901E-2</v>
      </c>
      <c r="AE2944">
        <v>-1.7800000000022399E-2</v>
      </c>
      <c r="AF2944">
        <v>1.8513059333642199E-2</v>
      </c>
      <c r="AG2944">
        <v>-6.4454999999999901E-2</v>
      </c>
      <c r="AH2944">
        <v>0.54900848550994796</v>
      </c>
      <c r="AI2944">
        <v>96.692249476800697</v>
      </c>
      <c r="AJ2944">
        <v>88.068666660324894</v>
      </c>
      <c r="AK2944">
        <v>0.55308905029192001</v>
      </c>
      <c r="AL2944">
        <v>88.663396303798905</v>
      </c>
      <c r="AM2944">
        <v>91.702728484979701</v>
      </c>
      <c r="AN2944">
        <v>1.00000002223423</v>
      </c>
    </row>
    <row r="2945" spans="1:40" x14ac:dyDescent="0.3">
      <c r="A2945" t="str">
        <f>"20200111160511341"</f>
        <v>20200111160511341</v>
      </c>
      <c r="B2945" t="str">
        <f>"1578729911334497"</f>
        <v>1578729911334497</v>
      </c>
      <c r="C2945" t="s">
        <v>40</v>
      </c>
      <c r="D2945">
        <v>5.4156399999999998</v>
      </c>
      <c r="E2945">
        <v>0.44541170000000002</v>
      </c>
      <c r="F2945" t="s">
        <v>42</v>
      </c>
      <c r="G2945">
        <v>-343.00170000000003</v>
      </c>
      <c r="H2945">
        <v>1.04569</v>
      </c>
      <c r="I2945">
        <v>215.77119999999999</v>
      </c>
      <c r="J2945">
        <v>-343.18650000000002</v>
      </c>
      <c r="K2945">
        <v>1.1087940000000001</v>
      </c>
      <c r="L2945">
        <v>215.78790000000001</v>
      </c>
      <c r="M2945">
        <v>0.9999342</v>
      </c>
      <c r="N2945">
        <v>0</v>
      </c>
      <c r="O2945">
        <v>-9.5687680000000001E-4</v>
      </c>
      <c r="P2945">
        <v>0.99954779999999999</v>
      </c>
      <c r="Q2945">
        <v>1.097326E-2</v>
      </c>
      <c r="R2945">
        <v>2.8002639999999999E-2</v>
      </c>
      <c r="S2945">
        <v>3.006195</v>
      </c>
      <c r="T2945">
        <v>-0.22399160000000001</v>
      </c>
      <c r="U2945">
        <v>-6.480408E-2</v>
      </c>
      <c r="V2945">
        <v>-2.8896740000000001E-2</v>
      </c>
      <c r="W2945">
        <v>2.2491770000000001E-2</v>
      </c>
      <c r="X2945">
        <v>0.99932929999999998</v>
      </c>
      <c r="Y2945">
        <v>2.0540849999999999E-2</v>
      </c>
      <c r="Z2945">
        <v>-6.9290750000000005E-4</v>
      </c>
      <c r="AA2945">
        <v>0.99978880000000003</v>
      </c>
      <c r="AB2945">
        <v>33</v>
      </c>
      <c r="AC2945">
        <v>0.184799999999995</v>
      </c>
      <c r="AD2945">
        <v>-6.3103999999999993E-2</v>
      </c>
      <c r="AE2945">
        <v>-1.6700000000014301E-2</v>
      </c>
      <c r="AF2945">
        <v>1.48102216225397E-2</v>
      </c>
      <c r="AG2945">
        <v>-6.3103999999999993E-2</v>
      </c>
      <c r="AH2945">
        <v>0.16565632998839</v>
      </c>
      <c r="AI2945">
        <v>110.77774204945899</v>
      </c>
      <c r="AJ2945">
        <v>84.891151259644801</v>
      </c>
      <c r="AK2945">
        <v>0.17788613533868</v>
      </c>
      <c r="AL2945">
        <v>88.7112077958474</v>
      </c>
      <c r="AM2945">
        <v>91.656310906365604</v>
      </c>
      <c r="AN2945">
        <v>0.99999997556942399</v>
      </c>
    </row>
    <row r="2946" spans="1:40" x14ac:dyDescent="0.3">
      <c r="A2946" t="str">
        <f>"20200111160511363"</f>
        <v>20200111160511363</v>
      </c>
      <c r="B2946" t="str">
        <f>"1578729911354019"</f>
        <v>1578729911354019</v>
      </c>
      <c r="C2946" t="s">
        <v>40</v>
      </c>
      <c r="D2946">
        <v>5.4345499999999998</v>
      </c>
      <c r="E2946">
        <v>0.43434850000000003</v>
      </c>
      <c r="F2946" t="s">
        <v>61</v>
      </c>
      <c r="G2946">
        <v>-285.43439999999998</v>
      </c>
      <c r="H2946">
        <v>7.9999310000000004E-2</v>
      </c>
      <c r="I2946">
        <v>225.94749999999999</v>
      </c>
      <c r="J2946">
        <v>-342.8664</v>
      </c>
      <c r="K2946">
        <v>1.108751</v>
      </c>
      <c r="L2946">
        <v>215.78630000000001</v>
      </c>
      <c r="M2946">
        <v>0.99993600000000005</v>
      </c>
      <c r="N2946">
        <v>0</v>
      </c>
      <c r="O2946">
        <v>-2.2493370000000001E-3</v>
      </c>
      <c r="P2946">
        <v>0.99959390000000004</v>
      </c>
      <c r="Q2946">
        <v>1.109741E-2</v>
      </c>
      <c r="R2946">
        <v>2.6246530000000001E-2</v>
      </c>
      <c r="S2946">
        <v>2.9871829999999999</v>
      </c>
      <c r="T2946">
        <v>-5.32136E-2</v>
      </c>
      <c r="U2946">
        <v>0.5254974</v>
      </c>
      <c r="V2946">
        <v>-2.843323E-2</v>
      </c>
      <c r="W2946">
        <v>2.2264369999999999E-2</v>
      </c>
      <c r="X2946">
        <v>0.99934769999999995</v>
      </c>
      <c r="Y2946">
        <v>-0.17544470000000001</v>
      </c>
      <c r="Z2946">
        <v>1.590422E-3</v>
      </c>
      <c r="AA2946">
        <v>0.98448800000000003</v>
      </c>
      <c r="AB2946">
        <v>33</v>
      </c>
      <c r="AC2946">
        <v>57.432000000000002</v>
      </c>
      <c r="AD2946">
        <v>-1.02875169</v>
      </c>
      <c r="AE2946">
        <v>10.1611999999999</v>
      </c>
      <c r="AF2946">
        <v>-10.287165618754599</v>
      </c>
      <c r="AG2946">
        <v>-1.02875169</v>
      </c>
      <c r="AH2946">
        <v>57.391141827675298</v>
      </c>
      <c r="AI2946">
        <v>91.010825540863905</v>
      </c>
      <c r="AJ2946">
        <v>100.162154925194</v>
      </c>
      <c r="AK2946">
        <v>58.314897468757501</v>
      </c>
      <c r="AL2946">
        <v>88.724240136025699</v>
      </c>
      <c r="AM2946">
        <v>91.629727772816906</v>
      </c>
      <c r="AN2946">
        <v>0.99999998811750901</v>
      </c>
    </row>
    <row r="2947" spans="1:40" x14ac:dyDescent="0.3">
      <c r="A2947" t="str">
        <f>"20200111160511385"</f>
        <v>20200111160511385</v>
      </c>
      <c r="B2947" t="str">
        <f>"1578729911374512"</f>
        <v>1578729911374512</v>
      </c>
      <c r="C2947" t="s">
        <v>40</v>
      </c>
      <c r="D2947">
        <v>5.3425099999999999</v>
      </c>
      <c r="E2947">
        <v>0.43231770000000003</v>
      </c>
      <c r="F2947" t="s">
        <v>61</v>
      </c>
      <c r="G2947">
        <v>-304.84070000000003</v>
      </c>
      <c r="H2947" s="1">
        <v>9.9090610000000001E-7</v>
      </c>
      <c r="I2947">
        <v>223.5609</v>
      </c>
      <c r="J2947">
        <v>-342.54700000000003</v>
      </c>
      <c r="K2947">
        <v>1.1087129999999901</v>
      </c>
      <c r="L2947">
        <v>215.7843</v>
      </c>
      <c r="M2947">
        <v>0.99993580000000004</v>
      </c>
      <c r="N2947">
        <v>0</v>
      </c>
      <c r="O2947">
        <v>-3.5396669999999998E-3</v>
      </c>
      <c r="P2947">
        <v>0.99963809999999997</v>
      </c>
      <c r="Q2947">
        <v>1.1297639999999999E-2</v>
      </c>
      <c r="R2947">
        <v>2.4417020000000001E-2</v>
      </c>
      <c r="S2947">
        <v>2.986145</v>
      </c>
      <c r="T2947">
        <v>-8.7069750000000001E-2</v>
      </c>
      <c r="U2947">
        <v>0.61053469999999999</v>
      </c>
      <c r="V2947">
        <v>-2.7892920000000002E-2</v>
      </c>
      <c r="W2947">
        <v>2.2141379999999999E-2</v>
      </c>
      <c r="X2947">
        <v>0.99936570000000002</v>
      </c>
      <c r="Y2947">
        <v>-0.20369429999999999</v>
      </c>
      <c r="Z2947">
        <v>3.040788E-3</v>
      </c>
      <c r="AA2947">
        <v>0.97902979999999995</v>
      </c>
      <c r="AB2947">
        <v>33</v>
      </c>
      <c r="AC2947">
        <v>37.706299999999899</v>
      </c>
      <c r="AD2947">
        <v>-1.10871200909389</v>
      </c>
      <c r="AE2947">
        <v>7.7766000000000002</v>
      </c>
      <c r="AF2947">
        <v>-7.9034722980774896</v>
      </c>
      <c r="AG2947">
        <v>-1.10871200909389</v>
      </c>
      <c r="AH2947">
        <v>37.647314155851298</v>
      </c>
      <c r="AI2947">
        <v>91.650904084874298</v>
      </c>
      <c r="AJ2947">
        <v>101.85618795388299</v>
      </c>
      <c r="AK2947">
        <v>38.483949639232101</v>
      </c>
      <c r="AL2947">
        <v>88.731288733498999</v>
      </c>
      <c r="AM2947">
        <v>91.598745885716795</v>
      </c>
      <c r="AN2947">
        <v>1.00000002901546</v>
      </c>
    </row>
    <row r="2948" spans="1:40" x14ac:dyDescent="0.3">
      <c r="A2948" t="str">
        <f>"20200111160511408"</f>
        <v>20200111160511408</v>
      </c>
      <c r="B2948" t="str">
        <f>"1578729911403792"</f>
        <v>1578729911403792</v>
      </c>
      <c r="C2948" t="s">
        <v>40</v>
      </c>
      <c r="D2948">
        <v>5.2495029999999998</v>
      </c>
      <c r="E2948">
        <v>0.42811589999999999</v>
      </c>
      <c r="F2948" t="s">
        <v>61</v>
      </c>
      <c r="G2948">
        <v>-316.24340000000001</v>
      </c>
      <c r="H2948">
        <v>7.9999429999999996E-2</v>
      </c>
      <c r="I2948">
        <v>221.27209999999999</v>
      </c>
      <c r="J2948">
        <v>-342.2022</v>
      </c>
      <c r="K2948">
        <v>1.108681</v>
      </c>
      <c r="L2948">
        <v>215.7818</v>
      </c>
      <c r="M2948">
        <v>0.99993319999999997</v>
      </c>
      <c r="N2948">
        <v>0</v>
      </c>
      <c r="O2948">
        <v>-4.9313200000000003E-3</v>
      </c>
      <c r="P2948">
        <v>0.99966189999999999</v>
      </c>
      <c r="Q2948">
        <v>1.1906699999999999E-2</v>
      </c>
      <c r="R2948">
        <v>2.3111360000000001E-2</v>
      </c>
      <c r="S2948">
        <v>2.9871829999999999</v>
      </c>
      <c r="T2948">
        <v>-0.11682629999999999</v>
      </c>
      <c r="U2948">
        <v>0.62321470000000001</v>
      </c>
      <c r="V2948">
        <v>-2.797757E-2</v>
      </c>
      <c r="W2948">
        <v>2.243552E-2</v>
      </c>
      <c r="X2948">
        <v>0.99935669999999999</v>
      </c>
      <c r="Y2948">
        <v>-0.20890069999999999</v>
      </c>
      <c r="Z2948">
        <v>4.2307330000000004E-3</v>
      </c>
      <c r="AA2948">
        <v>0.97792769999999996</v>
      </c>
      <c r="AB2948">
        <v>33</v>
      </c>
      <c r="AC2948">
        <v>25.9588</v>
      </c>
      <c r="AD2948">
        <v>-1.02868157</v>
      </c>
      <c r="AE2948">
        <v>5.4902999999999897</v>
      </c>
      <c r="AF2948">
        <v>-5.6098192665594704</v>
      </c>
      <c r="AG2948">
        <v>-1.02868157</v>
      </c>
      <c r="AH2948">
        <v>25.8924894498493</v>
      </c>
      <c r="AI2948">
        <v>92.223569053543301</v>
      </c>
      <c r="AJ2948">
        <v>102.224657438899</v>
      </c>
      <c r="AK2948">
        <v>26.513190450914799</v>
      </c>
      <c r="AL2948">
        <v>88.714431471067996</v>
      </c>
      <c r="AM2948">
        <v>91.603609696767904</v>
      </c>
      <c r="AN2948">
        <v>0.99999995540783104</v>
      </c>
    </row>
    <row r="2949" spans="1:40" x14ac:dyDescent="0.3">
      <c r="A2949" t="str">
        <f>"20200111160511431"</f>
        <v>20200111160511431</v>
      </c>
      <c r="B2949" t="str">
        <f>"1578729911424289"</f>
        <v>1578729911424289</v>
      </c>
      <c r="C2949" t="s">
        <v>40</v>
      </c>
      <c r="D2949">
        <v>5.2263489999999999</v>
      </c>
      <c r="E2949">
        <v>0.42618739999999999</v>
      </c>
      <c r="F2949" t="s">
        <v>61</v>
      </c>
      <c r="G2949">
        <v>-318.65199999999999</v>
      </c>
      <c r="H2949">
        <v>7.9999799999999996E-2</v>
      </c>
      <c r="I2949">
        <v>220.9358</v>
      </c>
      <c r="J2949">
        <v>-341.86810000000003</v>
      </c>
      <c r="K2949">
        <v>1.108657</v>
      </c>
      <c r="L2949">
        <v>215.77879999999999</v>
      </c>
      <c r="M2949">
        <v>0.99992859999999995</v>
      </c>
      <c r="N2949">
        <v>0</v>
      </c>
      <c r="O2949">
        <v>-6.2794239999999996E-3</v>
      </c>
      <c r="P2949">
        <v>0.99967609999999996</v>
      </c>
      <c r="Q2949">
        <v>1.263821E-2</v>
      </c>
      <c r="R2949">
        <v>2.2095739999999999E-2</v>
      </c>
      <c r="S2949">
        <v>2.987457</v>
      </c>
      <c r="T2949">
        <v>-0.1304929</v>
      </c>
      <c r="U2949">
        <v>0.65380859999999996</v>
      </c>
      <c r="V2949">
        <v>-2.830798E-2</v>
      </c>
      <c r="W2949">
        <v>2.289507E-2</v>
      </c>
      <c r="X2949">
        <v>0.99933700000000003</v>
      </c>
      <c r="Y2949">
        <v>-0.21971589999999999</v>
      </c>
      <c r="Z2949">
        <v>5.0113329999999998E-3</v>
      </c>
      <c r="AA2949">
        <v>0.97555099999999995</v>
      </c>
      <c r="AB2949">
        <v>33</v>
      </c>
      <c r="AC2949">
        <v>23.216100000000001</v>
      </c>
      <c r="AD2949">
        <v>-1.0286572</v>
      </c>
      <c r="AE2949">
        <v>5.1570000000000098</v>
      </c>
      <c r="AF2949">
        <v>-5.2927874185828596</v>
      </c>
      <c r="AG2949">
        <v>-1.0286572</v>
      </c>
      <c r="AH2949">
        <v>23.139965480396199</v>
      </c>
      <c r="AI2949">
        <v>92.481336451254094</v>
      </c>
      <c r="AJ2949">
        <v>102.883595902511</v>
      </c>
      <c r="AK2949">
        <v>23.7598345265144</v>
      </c>
      <c r="AL2949">
        <v>88.688094464338903</v>
      </c>
      <c r="AM2949">
        <v>91.622569938628004</v>
      </c>
      <c r="AN2949">
        <v>0.99999998276549196</v>
      </c>
    </row>
    <row r="2950" spans="1:40" x14ac:dyDescent="0.3">
      <c r="A2950" t="str">
        <f>"20200111160511454"</f>
        <v>20200111160511454</v>
      </c>
      <c r="B2950" t="str">
        <f>"1578729911443808"</f>
        <v>1578729911443808</v>
      </c>
      <c r="C2950" t="s">
        <v>40</v>
      </c>
      <c r="D2950">
        <v>5.3169329999999997</v>
      </c>
      <c r="E2950">
        <v>0.42401689999999997</v>
      </c>
      <c r="F2950" t="s">
        <v>61</v>
      </c>
      <c r="G2950">
        <v>-318.85809999999998</v>
      </c>
      <c r="H2950">
        <v>7.9999840000000003E-2</v>
      </c>
      <c r="I2950">
        <v>220.9136</v>
      </c>
      <c r="J2950">
        <v>-341.52980000000002</v>
      </c>
      <c r="K2950">
        <v>1.10863</v>
      </c>
      <c r="L2950">
        <v>215.77539999999999</v>
      </c>
      <c r="M2950">
        <v>0.99992150000000002</v>
      </c>
      <c r="N2950">
        <v>0</v>
      </c>
      <c r="O2950">
        <v>-7.6434819999999896E-3</v>
      </c>
      <c r="P2950">
        <v>0.99969450000000004</v>
      </c>
      <c r="Q2950">
        <v>1.3144629999999999E-2</v>
      </c>
      <c r="R2950">
        <v>2.0945100000000001E-2</v>
      </c>
      <c r="S2950">
        <v>2.9878849999999999</v>
      </c>
      <c r="T2950">
        <v>-0.13357269999999999</v>
      </c>
      <c r="U2950">
        <v>0.66676329999999995</v>
      </c>
      <c r="V2950">
        <v>-2.8519860000000001E-2</v>
      </c>
      <c r="W2950">
        <v>2.3156779999999998E-2</v>
      </c>
      <c r="X2950">
        <v>0.99932500000000002</v>
      </c>
      <c r="Y2950">
        <v>-0.22503110000000001</v>
      </c>
      <c r="Z2950">
        <v>5.3039519999999998E-3</v>
      </c>
      <c r="AA2950">
        <v>0.97433720000000001</v>
      </c>
      <c r="AB2950">
        <v>33</v>
      </c>
      <c r="AC2950">
        <v>22.671700000000001</v>
      </c>
      <c r="AD2950">
        <v>-1.0286301600000001</v>
      </c>
      <c r="AE2950">
        <v>5.1382000000000101</v>
      </c>
      <c r="AF2950">
        <v>-5.3009702249625201</v>
      </c>
      <c r="AG2950">
        <v>-1.0286301600000001</v>
      </c>
      <c r="AH2950">
        <v>22.5875371289405</v>
      </c>
      <c r="AI2950">
        <v>92.538554841729805</v>
      </c>
      <c r="AJ2950">
        <v>103.207480206117</v>
      </c>
      <c r="AK2950">
        <v>23.224022022105999</v>
      </c>
      <c r="AL2950">
        <v>88.673095681216495</v>
      </c>
      <c r="AM2950">
        <v>91.634727628798601</v>
      </c>
      <c r="AN2950">
        <v>1.00000003724969</v>
      </c>
    </row>
    <row r="2951" spans="1:40" x14ac:dyDescent="0.3">
      <c r="A2951" t="str">
        <f>"20200111160511475"</f>
        <v>20200111160511475</v>
      </c>
      <c r="B2951" t="str">
        <f>"1578729911464304"</f>
        <v>1578729911464304</v>
      </c>
      <c r="C2951" t="s">
        <v>40</v>
      </c>
      <c r="D2951">
        <v>5.228612</v>
      </c>
      <c r="E2951">
        <v>0.42267979999999999</v>
      </c>
      <c r="F2951" t="s">
        <v>61</v>
      </c>
      <c r="G2951">
        <v>-316.94819999999999</v>
      </c>
      <c r="H2951">
        <v>7.9999550000000003E-2</v>
      </c>
      <c r="I2951">
        <v>221.37010000000001</v>
      </c>
      <c r="J2951">
        <v>-341.22269999999997</v>
      </c>
      <c r="K2951">
        <v>1.1086100000000001</v>
      </c>
      <c r="L2951">
        <v>215.77189999999999</v>
      </c>
      <c r="M2951">
        <v>0.9999133</v>
      </c>
      <c r="N2951">
        <v>0</v>
      </c>
      <c r="O2951">
        <v>-8.8810209999999994E-3</v>
      </c>
      <c r="P2951">
        <v>0.99970590000000004</v>
      </c>
      <c r="Q2951">
        <v>1.3863479999999999E-2</v>
      </c>
      <c r="R2951">
        <v>1.9904970000000001E-2</v>
      </c>
      <c r="S2951">
        <v>2.9883120000000001</v>
      </c>
      <c r="T2951">
        <v>-0.12504769999999901</v>
      </c>
      <c r="U2951">
        <v>0.68013000000000001</v>
      </c>
      <c r="V2951">
        <v>-2.8714880000000002E-2</v>
      </c>
      <c r="W2951">
        <v>2.368021E-2</v>
      </c>
      <c r="X2951">
        <v>0.9993071</v>
      </c>
      <c r="Y2951">
        <v>-0.23037360000000001</v>
      </c>
      <c r="Z2951">
        <v>5.1240929999999997E-3</v>
      </c>
      <c r="AA2951">
        <v>0.97308879999999998</v>
      </c>
      <c r="AB2951">
        <v>33</v>
      </c>
      <c r="AC2951">
        <v>24.2744999999999</v>
      </c>
      <c r="AD2951">
        <v>-1.02861045</v>
      </c>
      <c r="AE2951">
        <v>5.5982000000000101</v>
      </c>
      <c r="AF2951">
        <v>-5.8036771074561004</v>
      </c>
      <c r="AG2951">
        <v>-1.02861045</v>
      </c>
      <c r="AH2951">
        <v>24.182593861138798</v>
      </c>
      <c r="AI2951">
        <v>92.368443817108897</v>
      </c>
      <c r="AJ2951">
        <v>103.495407503583</v>
      </c>
      <c r="AK2951">
        <v>24.890531398068799</v>
      </c>
      <c r="AL2951">
        <v>88.643097058695901</v>
      </c>
      <c r="AM2951">
        <v>91.645929303039495</v>
      </c>
      <c r="AN2951">
        <v>0.99999998839473403</v>
      </c>
    </row>
    <row r="2952" spans="1:40" x14ac:dyDescent="0.3">
      <c r="A2952" t="str">
        <f>"20200111160511497"</f>
        <v>20200111160511497</v>
      </c>
      <c r="B2952" t="str">
        <f>"1578729911494562"</f>
        <v>1578729911494562</v>
      </c>
      <c r="C2952" t="s">
        <v>40</v>
      </c>
      <c r="D2952">
        <v>5.339677</v>
      </c>
      <c r="E2952">
        <v>0.42128589999999999</v>
      </c>
      <c r="F2952" t="s">
        <v>61</v>
      </c>
      <c r="G2952">
        <v>-316.67540000000002</v>
      </c>
      <c r="H2952">
        <v>7.9999509999999996E-2</v>
      </c>
      <c r="I2952">
        <v>221.4196</v>
      </c>
      <c r="J2952">
        <v>-340.88459999999998</v>
      </c>
      <c r="K2952">
        <v>1.108592</v>
      </c>
      <c r="L2952">
        <v>215.76759999999999</v>
      </c>
      <c r="M2952">
        <v>0.99990210000000002</v>
      </c>
      <c r="N2952">
        <v>0</v>
      </c>
      <c r="O2952">
        <v>-1.024365E-2</v>
      </c>
      <c r="P2952">
        <v>0.99972470000000002</v>
      </c>
      <c r="Q2952">
        <v>1.449336E-2</v>
      </c>
      <c r="R2952">
        <v>1.846329E-2</v>
      </c>
      <c r="S2952">
        <v>2.9888919999999999</v>
      </c>
      <c r="T2952">
        <v>-0.1252441</v>
      </c>
      <c r="U2952">
        <v>0.68766780000000005</v>
      </c>
      <c r="V2952">
        <v>-2.8634050000000001E-2</v>
      </c>
      <c r="W2952">
        <v>2.4117820000000002E-2</v>
      </c>
      <c r="X2952">
        <v>0.99929900000000005</v>
      </c>
      <c r="Y2952">
        <v>-0.23398459999999999</v>
      </c>
      <c r="Z2952">
        <v>5.2607599999999997E-3</v>
      </c>
      <c r="AA2952">
        <v>0.97222609999999998</v>
      </c>
      <c r="AB2952">
        <v>33</v>
      </c>
      <c r="AC2952">
        <v>24.2091999999999</v>
      </c>
      <c r="AD2952">
        <v>-1.0285924900000001</v>
      </c>
      <c r="AE2952">
        <v>5.6520000000000099</v>
      </c>
      <c r="AF2952">
        <v>-5.8896228560372696</v>
      </c>
      <c r="AG2952">
        <v>-1.0285924900000001</v>
      </c>
      <c r="AH2952">
        <v>24.108758313538999</v>
      </c>
      <c r="AI2952">
        <v>92.373314991270703</v>
      </c>
      <c r="AJ2952">
        <v>103.728129396006</v>
      </c>
      <c r="AK2952">
        <v>24.8390395812213</v>
      </c>
      <c r="AL2952">
        <v>88.618016752668098</v>
      </c>
      <c r="AM2952">
        <v>91.641311983246595</v>
      </c>
      <c r="AN2952">
        <v>1.0000000347309701</v>
      </c>
    </row>
    <row r="2953" spans="1:40" x14ac:dyDescent="0.3">
      <c r="A2953" t="str">
        <f>"20200111160511521"</f>
        <v>20200111160511521</v>
      </c>
      <c r="B2953" t="str">
        <f>"1578729911514081"</f>
        <v>1578729911514081</v>
      </c>
      <c r="C2953" t="s">
        <v>40</v>
      </c>
      <c r="D2953">
        <v>5.3937290000000004</v>
      </c>
      <c r="E2953">
        <v>0.42046450000000002</v>
      </c>
      <c r="F2953" t="s">
        <v>61</v>
      </c>
      <c r="G2953">
        <v>-315.8193</v>
      </c>
      <c r="H2953">
        <v>7.9999340000000002E-2</v>
      </c>
      <c r="I2953">
        <v>221.5926</v>
      </c>
      <c r="J2953">
        <v>-340.53120000000001</v>
      </c>
      <c r="K2953">
        <v>1.108576</v>
      </c>
      <c r="L2953">
        <v>215.76259999999999</v>
      </c>
      <c r="M2953">
        <v>0.99988809999999995</v>
      </c>
      <c r="N2953">
        <v>0</v>
      </c>
      <c r="O2953">
        <v>-1.1667179999999999E-2</v>
      </c>
      <c r="P2953">
        <v>0.99974169999999996</v>
      </c>
      <c r="Q2953">
        <v>1.54016E-2</v>
      </c>
      <c r="R2953">
        <v>1.671067E-2</v>
      </c>
      <c r="S2953">
        <v>2.9897770000000001</v>
      </c>
      <c r="T2953">
        <v>-0.1226902</v>
      </c>
      <c r="U2953">
        <v>0.69480900000000001</v>
      </c>
      <c r="V2953">
        <v>-2.830189E-2</v>
      </c>
      <c r="W2953">
        <v>2.4846210000000001E-2</v>
      </c>
      <c r="X2953">
        <v>0.99929060000000003</v>
      </c>
      <c r="Y2953">
        <v>-0.237513</v>
      </c>
      <c r="Z2953">
        <v>5.2798009999999998E-3</v>
      </c>
      <c r="AA2953">
        <v>0.97136999999999996</v>
      </c>
      <c r="AB2953">
        <v>33</v>
      </c>
      <c r="AC2953">
        <v>24.7119</v>
      </c>
      <c r="AD2953">
        <v>-1.0285766599999999</v>
      </c>
      <c r="AE2953">
        <v>5.8300000000000098</v>
      </c>
      <c r="AF2953">
        <v>-6.1079102181278202</v>
      </c>
      <c r="AG2953">
        <v>-1.0285766599999999</v>
      </c>
      <c r="AH2953">
        <v>24.601820905178801</v>
      </c>
      <c r="AI2953">
        <v>92.3236224650135</v>
      </c>
      <c r="AJ2953">
        <v>103.942949960505</v>
      </c>
      <c r="AK2953">
        <v>25.369551218511901</v>
      </c>
      <c r="AL2953">
        <v>88.576270542812495</v>
      </c>
      <c r="AM2953">
        <v>91.622296339961906</v>
      </c>
      <c r="AN2953">
        <v>1.0000000171886401</v>
      </c>
    </row>
    <row r="2954" spans="1:40" x14ac:dyDescent="0.3">
      <c r="A2954" t="str">
        <f>"20200111160511544"</f>
        <v>20200111160511544</v>
      </c>
      <c r="B2954" t="str">
        <f>"1578729911534576"</f>
        <v>1578729911534576</v>
      </c>
      <c r="C2954" t="s">
        <v>40</v>
      </c>
      <c r="D2954">
        <v>5.3386950000000004</v>
      </c>
      <c r="E2954">
        <v>0.41983239999999999</v>
      </c>
      <c r="F2954" t="s">
        <v>61</v>
      </c>
      <c r="G2954">
        <v>-315.27190000000002</v>
      </c>
      <c r="H2954">
        <v>7.9999230000000005E-2</v>
      </c>
      <c r="I2954">
        <v>221.64519999999999</v>
      </c>
      <c r="J2954">
        <v>-340.1961</v>
      </c>
      <c r="K2954">
        <v>1.1085670000000001</v>
      </c>
      <c r="L2954">
        <v>215.75739999999999</v>
      </c>
      <c r="M2954">
        <v>0.99987289999999995</v>
      </c>
      <c r="N2954">
        <v>0</v>
      </c>
      <c r="O2954">
        <v>-1.301647E-2</v>
      </c>
      <c r="P2954">
        <v>0.99976100000000001</v>
      </c>
      <c r="Q2954">
        <v>1.554317E-2</v>
      </c>
      <c r="R2954">
        <v>1.537911E-2</v>
      </c>
      <c r="S2954">
        <v>2.991028</v>
      </c>
      <c r="T2954">
        <v>-0.12179669999999999</v>
      </c>
      <c r="U2954">
        <v>0.69657899999999995</v>
      </c>
      <c r="V2954">
        <v>-2.8319529999999999E-2</v>
      </c>
      <c r="W2954">
        <v>2.4834760000000001E-2</v>
      </c>
      <c r="X2954">
        <v>0.99929029999999996</v>
      </c>
      <c r="Y2954">
        <v>-0.23927979999999999</v>
      </c>
      <c r="Z2954">
        <v>5.3286169999999999E-3</v>
      </c>
      <c r="AA2954">
        <v>0.97093609999999997</v>
      </c>
      <c r="AB2954">
        <v>33</v>
      </c>
      <c r="AC2954">
        <v>24.9241999999999</v>
      </c>
      <c r="AD2954">
        <v>-1.02856777</v>
      </c>
      <c r="AE2954">
        <v>5.8877999999999897</v>
      </c>
      <c r="AF2954">
        <v>-6.2017364726574797</v>
      </c>
      <c r="AG2954">
        <v>-1.02856777</v>
      </c>
      <c r="AH2954">
        <v>24.805434976970499</v>
      </c>
      <c r="AI2954">
        <v>92.303607972903094</v>
      </c>
      <c r="AJ2954">
        <v>104.037064622557</v>
      </c>
      <c r="AK2954">
        <v>25.589628589146901</v>
      </c>
      <c r="AL2954">
        <v>88.576926661258597</v>
      </c>
      <c r="AM2954">
        <v>91.623307430941793</v>
      </c>
      <c r="AN2954">
        <v>0.99999993237888096</v>
      </c>
    </row>
    <row r="2955" spans="1:40" x14ac:dyDescent="0.3">
      <c r="A2955" t="str">
        <f>"20200111160511564"</f>
        <v>20200111160511564</v>
      </c>
      <c r="B2955" t="str">
        <f>"1578729911554099"</f>
        <v>1578729911554099</v>
      </c>
      <c r="C2955" t="s">
        <v>40</v>
      </c>
      <c r="D2955">
        <v>5.358625</v>
      </c>
      <c r="E2955">
        <v>0.41926770000000002</v>
      </c>
      <c r="F2955" t="s">
        <v>61</v>
      </c>
      <c r="G2955">
        <v>-315.20370000000003</v>
      </c>
      <c r="H2955">
        <v>7.9999219999999996E-2</v>
      </c>
      <c r="I2955">
        <v>221.58750000000001</v>
      </c>
      <c r="J2955">
        <v>-339.88330000000002</v>
      </c>
      <c r="K2955">
        <v>1.108552</v>
      </c>
      <c r="L2955">
        <v>215.75210000000001</v>
      </c>
      <c r="M2955">
        <v>0.999857</v>
      </c>
      <c r="N2955">
        <v>0</v>
      </c>
      <c r="O2955">
        <v>-1.427616E-2</v>
      </c>
      <c r="P2955">
        <v>0.99977649999999996</v>
      </c>
      <c r="Q2955">
        <v>1.5786330000000001E-2</v>
      </c>
      <c r="R2955">
        <v>1.407102E-2</v>
      </c>
      <c r="S2955">
        <v>2.9918520000000002</v>
      </c>
      <c r="T2955">
        <v>-0.1231302</v>
      </c>
      <c r="U2955">
        <v>0.69792180000000004</v>
      </c>
      <c r="V2955">
        <v>-2.8269889999999999E-2</v>
      </c>
      <c r="W2955">
        <v>2.494917E-2</v>
      </c>
      <c r="X2955">
        <v>0.99928890000000004</v>
      </c>
      <c r="Y2955">
        <v>-0.24085029999999999</v>
      </c>
      <c r="Z2955">
        <v>5.4682460000000004E-3</v>
      </c>
      <c r="AA2955">
        <v>0.97054689999999999</v>
      </c>
      <c r="AB2955">
        <v>33</v>
      </c>
      <c r="AC2955">
        <v>24.679599999999901</v>
      </c>
      <c r="AD2955">
        <v>-1.0285527800000001</v>
      </c>
      <c r="AE2955">
        <v>5.8353999999999902</v>
      </c>
      <c r="AF2955">
        <v>-6.1769888573061396</v>
      </c>
      <c r="AG2955">
        <v>-1.0285527800000001</v>
      </c>
      <c r="AH2955">
        <v>24.553385216125498</v>
      </c>
      <c r="AI2955">
        <v>92.326340890640694</v>
      </c>
      <c r="AJ2955">
        <v>104.12108080327</v>
      </c>
      <c r="AK2955">
        <v>25.339333806080599</v>
      </c>
      <c r="AL2955">
        <v>88.570369482291994</v>
      </c>
      <c r="AM2955">
        <v>91.620465797601298</v>
      </c>
      <c r="AN2955">
        <v>0.99999997671375496</v>
      </c>
    </row>
    <row r="2956" spans="1:40" x14ac:dyDescent="0.3">
      <c r="A2956" t="str">
        <f>"20200111160511598"</f>
        <v>20200111160511598</v>
      </c>
      <c r="B2956" t="str">
        <f>"1578729911594112"</f>
        <v>1578729911594112</v>
      </c>
      <c r="C2956" t="s">
        <v>40</v>
      </c>
      <c r="D2956">
        <v>5.3316470000000002</v>
      </c>
      <c r="E2956">
        <v>0.4045783</v>
      </c>
      <c r="F2956" t="s">
        <v>61</v>
      </c>
      <c r="G2956">
        <v>-315.19150000000002</v>
      </c>
      <c r="H2956">
        <v>7.9999219999999996E-2</v>
      </c>
      <c r="I2956">
        <v>221.51480000000001</v>
      </c>
      <c r="J2956">
        <v>-339.37869999999998</v>
      </c>
      <c r="K2956">
        <v>1.1085179999999999</v>
      </c>
      <c r="L2956">
        <v>215.74279999999999</v>
      </c>
      <c r="M2956">
        <v>0.99982749999999998</v>
      </c>
      <c r="N2956">
        <v>0</v>
      </c>
      <c r="O2956">
        <v>-1.6306580000000001E-2</v>
      </c>
      <c r="P2956">
        <v>0.99980670000000005</v>
      </c>
      <c r="Q2956">
        <v>1.5159189999999999E-2</v>
      </c>
      <c r="R2956">
        <v>1.25398E-2</v>
      </c>
      <c r="S2956">
        <v>2.9927980000000001</v>
      </c>
      <c r="T2956">
        <v>-0.1246666</v>
      </c>
      <c r="U2956">
        <v>0.69847109999999901</v>
      </c>
      <c r="V2956">
        <v>-2.877126E-2</v>
      </c>
      <c r="W2956">
        <v>2.4138799999999998E-2</v>
      </c>
      <c r="X2956">
        <v>0.99929449999999997</v>
      </c>
      <c r="Y2956">
        <v>-0.2429133</v>
      </c>
      <c r="Z2956">
        <v>5.6604759999999898E-3</v>
      </c>
      <c r="AA2956">
        <v>0.97003150000000005</v>
      </c>
      <c r="AB2956">
        <v>33</v>
      </c>
      <c r="AC2956">
        <v>24.187199999999901</v>
      </c>
      <c r="AD2956">
        <v>-1.02851878</v>
      </c>
      <c r="AE2956">
        <v>5.77200000000001</v>
      </c>
      <c r="AF2956">
        <v>-6.1551283932194503</v>
      </c>
      <c r="AG2956">
        <v>-1.02851878</v>
      </c>
      <c r="AH2956">
        <v>24.048715922060602</v>
      </c>
      <c r="AI2956">
        <v>92.372555613024304</v>
      </c>
      <c r="AJ2956">
        <v>104.35633388147301</v>
      </c>
      <c r="AK2956">
        <v>24.845204646325602</v>
      </c>
      <c r="AL2956">
        <v>88.616814264797299</v>
      </c>
      <c r="AM2956">
        <v>91.649179989400196</v>
      </c>
      <c r="AN2956">
        <v>0.99999998239883803</v>
      </c>
    </row>
    <row r="2957" spans="1:40" x14ac:dyDescent="0.3">
      <c r="A2957" t="str">
        <f>"20200111160511621"</f>
        <v>20200111160511621</v>
      </c>
      <c r="B2957" t="str">
        <f>"1578729911614608"</f>
        <v>1578729911614608</v>
      </c>
      <c r="C2957" t="s">
        <v>40</v>
      </c>
      <c r="D2957">
        <v>6.8355410000000001</v>
      </c>
      <c r="E2957">
        <v>0.4040434</v>
      </c>
      <c r="F2957" t="s">
        <v>72</v>
      </c>
      <c r="G2957">
        <v>-274.65660000000003</v>
      </c>
      <c r="H2957">
        <v>3.6518169999999999</v>
      </c>
      <c r="I2957">
        <v>232.96860000000001</v>
      </c>
      <c r="J2957">
        <v>-339.02800000000002</v>
      </c>
      <c r="K2957">
        <v>1.108495</v>
      </c>
      <c r="L2957">
        <v>215.73580000000001</v>
      </c>
      <c r="M2957">
        <v>0.99980460000000004</v>
      </c>
      <c r="N2957">
        <v>0</v>
      </c>
      <c r="O2957">
        <v>-1.7717420000000001E-2</v>
      </c>
      <c r="P2957">
        <v>0.99983290000000002</v>
      </c>
      <c r="Q2957">
        <v>1.434742E-2</v>
      </c>
      <c r="R2957">
        <v>1.134186E-2</v>
      </c>
      <c r="S2957">
        <v>2.9887999999999999</v>
      </c>
      <c r="T2957">
        <v>0.1174482</v>
      </c>
      <c r="U2957">
        <v>0.79547119999999905</v>
      </c>
      <c r="V2957">
        <v>-2.8986319999999999E-2</v>
      </c>
      <c r="W2957">
        <v>2.3215889999999999E-2</v>
      </c>
      <c r="X2957">
        <v>0.99931020000000004</v>
      </c>
      <c r="Y2957">
        <v>-0.27406829999999999</v>
      </c>
      <c r="Z2957">
        <v>-5.9753030000000004E-3</v>
      </c>
      <c r="AA2957">
        <v>0.96169170000000004</v>
      </c>
      <c r="AB2957">
        <v>33</v>
      </c>
      <c r="AC2957">
        <v>64.371399999999994</v>
      </c>
      <c r="AD2957">
        <v>2.5433219999999999</v>
      </c>
      <c r="AE2957">
        <v>17.232799999999902</v>
      </c>
      <c r="AF2957">
        <v>-18.343913050835699</v>
      </c>
      <c r="AG2957">
        <v>2.5433219999999999</v>
      </c>
      <c r="AH2957">
        <v>63.962790952540303</v>
      </c>
      <c r="AI2957">
        <v>87.811121372031494</v>
      </c>
      <c r="AJ2957">
        <v>106.00238202738301</v>
      </c>
      <c r="AK2957">
        <v>66.5898360055848</v>
      </c>
      <c r="AL2957">
        <v>88.6697080075119</v>
      </c>
      <c r="AM2957">
        <v>91.661474340523299</v>
      </c>
      <c r="AN2957">
        <v>1.00000003005983</v>
      </c>
    </row>
    <row r="2958" spans="1:40" x14ac:dyDescent="0.3">
      <c r="A2958" t="str">
        <f>"20200111160511643"</f>
        <v>20200111160511643</v>
      </c>
      <c r="B2958" t="str">
        <f>"1578729911634127"</f>
        <v>1578729911634127</v>
      </c>
      <c r="C2958" t="s">
        <v>40</v>
      </c>
      <c r="D2958">
        <v>5.2999700000000001</v>
      </c>
      <c r="E2958">
        <v>0.4017308</v>
      </c>
      <c r="F2958" t="s">
        <v>72</v>
      </c>
      <c r="G2958">
        <v>-273.90989999999999</v>
      </c>
      <c r="H2958">
        <v>4.1091170000000004</v>
      </c>
      <c r="I2958">
        <v>233.04660000000001</v>
      </c>
      <c r="J2958">
        <v>-338.7004</v>
      </c>
      <c r="K2958">
        <v>1.1084719999999999</v>
      </c>
      <c r="L2958">
        <v>215.7287</v>
      </c>
      <c r="M2958">
        <v>0.99978109999999998</v>
      </c>
      <c r="N2958">
        <v>0</v>
      </c>
      <c r="O2958">
        <v>-1.903444E-2</v>
      </c>
      <c r="P2958">
        <v>0.99985069999999998</v>
      </c>
      <c r="Q2958">
        <v>1.373043E-2</v>
      </c>
      <c r="R2958">
        <v>1.051771E-2</v>
      </c>
      <c r="S2958">
        <v>2.9895019999999999</v>
      </c>
      <c r="T2958">
        <v>0.13775660000000001</v>
      </c>
      <c r="U2958">
        <v>0.79472349999999903</v>
      </c>
      <c r="V2958">
        <v>-2.948141E-2</v>
      </c>
      <c r="W2958">
        <v>2.250893E-2</v>
      </c>
      <c r="X2958">
        <v>0.99931190000000003</v>
      </c>
      <c r="Y2958">
        <v>-0.27497290000000002</v>
      </c>
      <c r="Z2958">
        <v>-7.0863460000000003E-3</v>
      </c>
      <c r="AA2958">
        <v>0.9614258</v>
      </c>
      <c r="AB2958">
        <v>34</v>
      </c>
      <c r="AC2958">
        <v>64.790499999999994</v>
      </c>
      <c r="AD2958">
        <v>3.000645</v>
      </c>
      <c r="AE2958">
        <v>17.317900000000002</v>
      </c>
      <c r="AF2958">
        <v>-18.511002948295801</v>
      </c>
      <c r="AG2958">
        <v>3.000645</v>
      </c>
      <c r="AH2958">
        <v>64.320350664265504</v>
      </c>
      <c r="AI2958">
        <v>87.433040968482501</v>
      </c>
      <c r="AJ2958">
        <v>106.055494385476</v>
      </c>
      <c r="AK2958">
        <v>66.998273187761498</v>
      </c>
      <c r="AL2958">
        <v>88.710224433709101</v>
      </c>
      <c r="AM2958">
        <v>91.689833343088395</v>
      </c>
      <c r="AN2958">
        <v>1.00000003947347</v>
      </c>
    </row>
    <row r="2959" spans="1:40" x14ac:dyDescent="0.3">
      <c r="A2959" t="str">
        <f>"20200111160511689"</f>
        <v>20200111160511689</v>
      </c>
      <c r="B2959" t="str">
        <f>"1578729911683904"</f>
        <v>1578729911683904</v>
      </c>
      <c r="C2959" t="s">
        <v>40</v>
      </c>
      <c r="D2959">
        <v>5.5662289999999999</v>
      </c>
      <c r="E2959">
        <v>0.40403739999999999</v>
      </c>
      <c r="F2959" t="s">
        <v>72</v>
      </c>
      <c r="G2959">
        <v>-273.90989999999999</v>
      </c>
      <c r="H2959">
        <v>2.6445479999999999</v>
      </c>
      <c r="I2959">
        <v>233.38409999999999</v>
      </c>
      <c r="J2959">
        <v>-338.0179</v>
      </c>
      <c r="K2959">
        <v>1.1084290000000001</v>
      </c>
      <c r="L2959">
        <v>215.71270000000001</v>
      </c>
      <c r="M2959">
        <v>0.99972649999999996</v>
      </c>
      <c r="N2959">
        <v>0</v>
      </c>
      <c r="O2959">
        <v>-2.1775240000000001E-2</v>
      </c>
      <c r="P2959">
        <v>0.99990250000000003</v>
      </c>
      <c r="Q2959">
        <v>1.168956E-2</v>
      </c>
      <c r="R2959">
        <v>7.6453210000000001E-3</v>
      </c>
      <c r="S2959">
        <v>2.9908450000000002</v>
      </c>
      <c r="T2959">
        <v>7.0909260000000002E-2</v>
      </c>
      <c r="U2959">
        <v>0.81500240000000002</v>
      </c>
      <c r="V2959">
        <v>-2.9356520000000001E-2</v>
      </c>
      <c r="W2959">
        <v>2.0315980000000001E-2</v>
      </c>
      <c r="X2959">
        <v>0.99936250000000004</v>
      </c>
      <c r="Y2959">
        <v>-0.28377999999999998</v>
      </c>
      <c r="Z2959">
        <v>-3.8106770000000002E-3</v>
      </c>
      <c r="AA2959">
        <v>0.95888189999999995</v>
      </c>
      <c r="AB2959">
        <v>34</v>
      </c>
      <c r="AC2959">
        <v>64.108000000000004</v>
      </c>
      <c r="AD2959">
        <v>1.53611899999999</v>
      </c>
      <c r="AE2959">
        <v>17.671399999999899</v>
      </c>
      <c r="AF2959">
        <v>-19.0530607241678</v>
      </c>
      <c r="AG2959">
        <v>1.53611899999999</v>
      </c>
      <c r="AH2959">
        <v>63.674008594809401</v>
      </c>
      <c r="AI2959">
        <v>88.676003331949303</v>
      </c>
      <c r="AJ2959">
        <v>106.658667445603</v>
      </c>
      <c r="AK2959">
        <v>66.481261683822197</v>
      </c>
      <c r="AL2959">
        <v>88.8358999730183</v>
      </c>
      <c r="AM2959">
        <v>91.682593797580694</v>
      </c>
      <c r="AN2959">
        <v>0.99999997535805996</v>
      </c>
    </row>
    <row r="2960" spans="1:40" x14ac:dyDescent="0.3">
      <c r="A2960" t="str">
        <f>"20200111160511711"</f>
        <v>20200111160511711</v>
      </c>
      <c r="B2960" t="str">
        <f>"1578729911704400"</f>
        <v>1578729911704400</v>
      </c>
      <c r="C2960" t="s">
        <v>40</v>
      </c>
      <c r="D2960">
        <v>5.6706519999999996</v>
      </c>
      <c r="E2960">
        <v>0.40900120000000001</v>
      </c>
      <c r="F2960" t="s">
        <v>72</v>
      </c>
      <c r="G2960">
        <v>-273.90989999999999</v>
      </c>
      <c r="H2960">
        <v>1.6497980000000001</v>
      </c>
      <c r="I2960">
        <v>232.63980000000001</v>
      </c>
      <c r="J2960">
        <v>-337.67469999999997</v>
      </c>
      <c r="K2960">
        <v>1.1084080000000001</v>
      </c>
      <c r="L2960">
        <v>215.7039</v>
      </c>
      <c r="M2960">
        <v>0.99969600000000003</v>
      </c>
      <c r="N2960">
        <v>0</v>
      </c>
      <c r="O2960">
        <v>-2.3152180000000001E-2</v>
      </c>
      <c r="P2960">
        <v>0.99992539999999996</v>
      </c>
      <c r="Q2960">
        <v>1.0672060000000001E-2</v>
      </c>
      <c r="R2960">
        <v>5.9182490000000004E-3</v>
      </c>
      <c r="S2960">
        <v>2.9938959999999999</v>
      </c>
      <c r="T2960">
        <v>2.5283690000000001E-2</v>
      </c>
      <c r="U2960">
        <v>0.79051210000000005</v>
      </c>
      <c r="V2960">
        <v>-2.901022E-2</v>
      </c>
      <c r="W2960">
        <v>1.9237110000000002E-2</v>
      </c>
      <c r="X2960">
        <v>0.999394</v>
      </c>
      <c r="Y2960">
        <v>-0.27759929999999999</v>
      </c>
      <c r="Z2960">
        <v>-1.3447699999999999E-3</v>
      </c>
      <c r="AA2960">
        <v>0.96069599999999999</v>
      </c>
      <c r="AB2960">
        <v>34</v>
      </c>
      <c r="AC2960">
        <v>63.764799999999902</v>
      </c>
      <c r="AD2960">
        <v>0.54138999999999904</v>
      </c>
      <c r="AE2960">
        <v>16.9359</v>
      </c>
      <c r="AF2960">
        <v>-18.406467798858198</v>
      </c>
      <c r="AG2960">
        <v>0.54138999999999904</v>
      </c>
      <c r="AH2960">
        <v>63.351323774331703</v>
      </c>
      <c r="AI2960">
        <v>89.529814452820204</v>
      </c>
      <c r="AJ2960">
        <v>106.201006514434</v>
      </c>
      <c r="AK2960">
        <v>65.973338432450902</v>
      </c>
      <c r="AL2960">
        <v>88.897726808735996</v>
      </c>
      <c r="AM2960">
        <v>91.662704149468894</v>
      </c>
      <c r="AN2960">
        <v>1.0000000132508</v>
      </c>
    </row>
    <row r="2961" spans="1:40" x14ac:dyDescent="0.3">
      <c r="A2961" t="str">
        <f>"20200111160511733"</f>
        <v>20200111160511733</v>
      </c>
      <c r="B2961" t="str">
        <f>"1578729911723920"</f>
        <v>1578729911723920</v>
      </c>
      <c r="C2961" t="s">
        <v>40</v>
      </c>
      <c r="D2961">
        <v>5.6029249999999999</v>
      </c>
      <c r="E2961">
        <v>0.49082559999999897</v>
      </c>
      <c r="F2961" t="s">
        <v>73</v>
      </c>
      <c r="G2961">
        <v>-280.18</v>
      </c>
      <c r="H2961">
        <v>1.2881640000000001</v>
      </c>
      <c r="I2961">
        <v>230.0292</v>
      </c>
      <c r="J2961">
        <v>-337.32920000000001</v>
      </c>
      <c r="K2961">
        <v>1.108387</v>
      </c>
      <c r="L2961">
        <v>215.69460000000001</v>
      </c>
      <c r="M2961">
        <v>0.99966339999999998</v>
      </c>
      <c r="N2961">
        <v>0</v>
      </c>
      <c r="O2961">
        <v>-2.4537759999999999E-2</v>
      </c>
      <c r="P2961">
        <v>0.99994490000000003</v>
      </c>
      <c r="Q2961">
        <v>9.6222500000000006E-3</v>
      </c>
      <c r="R2961">
        <v>4.2227480000000001E-3</v>
      </c>
      <c r="S2961">
        <v>2.9956670000000001</v>
      </c>
      <c r="T2961">
        <v>9.3653199999999999E-3</v>
      </c>
      <c r="U2961">
        <v>0.74639889999999998</v>
      </c>
      <c r="V2961">
        <v>-2.8703909999999999E-2</v>
      </c>
      <c r="W2961">
        <v>1.8136289999999999E-2</v>
      </c>
      <c r="X2961">
        <v>0.99942339999999996</v>
      </c>
      <c r="Y2961">
        <v>-0.26550449999999998</v>
      </c>
      <c r="Z2961">
        <v>-4.8438319999999997E-4</v>
      </c>
      <c r="AA2961">
        <v>0.96410949999999995</v>
      </c>
      <c r="AB2961">
        <v>34</v>
      </c>
      <c r="AC2961">
        <v>57.1492</v>
      </c>
      <c r="AD2961">
        <v>0.17977699999999899</v>
      </c>
      <c r="AE2961">
        <v>14.334599999999901</v>
      </c>
      <c r="AF2961">
        <v>-15.732500259024601</v>
      </c>
      <c r="AG2961">
        <v>0.17977699999999899</v>
      </c>
      <c r="AH2961">
        <v>56.779711295171303</v>
      </c>
      <c r="AI2961">
        <v>89.825176370314793</v>
      </c>
      <c r="AJ2961">
        <v>105.48696772269101</v>
      </c>
      <c r="AK2961">
        <v>58.919262545732401</v>
      </c>
      <c r="AL2961">
        <v>88.960810137822705</v>
      </c>
      <c r="AM2961">
        <v>91.645109497563496</v>
      </c>
      <c r="AN2961">
        <v>0.999999985965905</v>
      </c>
    </row>
    <row r="2962" spans="1:40" x14ac:dyDescent="0.3">
      <c r="A2962" t="str">
        <f>"20200111160511755"</f>
        <v>20200111160511755</v>
      </c>
      <c r="B2962" t="str">
        <f>"1578729911744416"</f>
        <v>1578729911744416</v>
      </c>
      <c r="C2962" t="s">
        <v>40</v>
      </c>
      <c r="D2962">
        <v>5.5286770000000001</v>
      </c>
      <c r="E2962">
        <v>0.49572060000000001</v>
      </c>
      <c r="F2962" t="s">
        <v>57</v>
      </c>
      <c r="G2962">
        <v>-325.56580000000002</v>
      </c>
      <c r="H2962" s="1">
        <v>1.4250600000000001E-6</v>
      </c>
      <c r="I2962">
        <v>216.1103</v>
      </c>
      <c r="J2962">
        <v>-337.0009</v>
      </c>
      <c r="K2962">
        <v>1.108368</v>
      </c>
      <c r="L2962">
        <v>215.68530000000001</v>
      </c>
      <c r="M2962">
        <v>0.99963060000000004</v>
      </c>
      <c r="N2962">
        <v>0</v>
      </c>
      <c r="O2962">
        <v>-2.5853569999999999E-2</v>
      </c>
      <c r="P2962">
        <v>0.99996779999999996</v>
      </c>
      <c r="Q2962">
        <v>7.4364790000000002E-3</v>
      </c>
      <c r="R2962">
        <v>3.0315339999999998E-3</v>
      </c>
      <c r="S2962">
        <v>3.0024410000000001</v>
      </c>
      <c r="T2962">
        <v>-0.28290090000000001</v>
      </c>
      <c r="U2962">
        <v>0.1061096</v>
      </c>
      <c r="V2962">
        <v>-2.883558E-2</v>
      </c>
      <c r="W2962">
        <v>1.5918359999999999E-2</v>
      </c>
      <c r="X2962">
        <v>0.99945740000000005</v>
      </c>
      <c r="Y2962">
        <v>-6.0762370000000003E-2</v>
      </c>
      <c r="Z2962">
        <v>5.2854540000000002E-3</v>
      </c>
      <c r="AA2962">
        <v>0.99813819999999998</v>
      </c>
      <c r="AB2962">
        <v>34</v>
      </c>
      <c r="AC2962">
        <v>11.435099999999901</v>
      </c>
      <c r="AD2962">
        <v>-1.10836657494</v>
      </c>
      <c r="AE2962">
        <v>0.424999999999982</v>
      </c>
      <c r="AF2962">
        <v>-0.71380963542426001</v>
      </c>
      <c r="AG2962">
        <v>-1.10836657494</v>
      </c>
      <c r="AH2962">
        <v>11.314141966865799</v>
      </c>
      <c r="AI2962">
        <v>95.583978764440005</v>
      </c>
      <c r="AJ2962">
        <v>93.610008221262802</v>
      </c>
      <c r="AK2962">
        <v>11.390689579936</v>
      </c>
      <c r="AL2962">
        <v>89.087906623151994</v>
      </c>
      <c r="AM2962">
        <v>91.652595545909193</v>
      </c>
      <c r="AN2962">
        <v>0.99999998963689296</v>
      </c>
    </row>
    <row r="2963" spans="1:40" x14ac:dyDescent="0.3">
      <c r="A2963" t="str">
        <f>"20200111160511776"</f>
        <v>20200111160511776</v>
      </c>
      <c r="B2963" t="str">
        <f>"1578729911774672"</f>
        <v>1578729911774672</v>
      </c>
      <c r="C2963" t="s">
        <v>40</v>
      </c>
      <c r="D2963">
        <v>5.4374419999999999</v>
      </c>
      <c r="E2963">
        <v>0.49757879999999899</v>
      </c>
      <c r="F2963" t="s">
        <v>57</v>
      </c>
      <c r="G2963">
        <v>-325.6651</v>
      </c>
      <c r="H2963" s="1">
        <v>1.477883E-6</v>
      </c>
      <c r="I2963">
        <v>215.92519999999999</v>
      </c>
      <c r="J2963">
        <v>-336.68279999999999</v>
      </c>
      <c r="K2963">
        <v>1.108352</v>
      </c>
      <c r="L2963">
        <v>215.67590000000001</v>
      </c>
      <c r="M2963">
        <v>0.99959699999999996</v>
      </c>
      <c r="N2963">
        <v>0</v>
      </c>
      <c r="O2963">
        <v>-2.7127490000000001E-2</v>
      </c>
      <c r="P2963">
        <v>0.99998640000000005</v>
      </c>
      <c r="Q2963">
        <v>4.8725679999999999E-3</v>
      </c>
      <c r="R2963">
        <v>1.8845719999999999E-3</v>
      </c>
      <c r="S2963">
        <v>3.0020449999999999</v>
      </c>
      <c r="T2963">
        <v>-0.2935277</v>
      </c>
      <c r="U2963">
        <v>6.35376E-2</v>
      </c>
      <c r="V2963">
        <v>-2.8971070000000002E-2</v>
      </c>
      <c r="W2963">
        <v>1.333466E-2</v>
      </c>
      <c r="X2963">
        <v>0.99949129999999997</v>
      </c>
      <c r="Y2963">
        <v>-4.7916880000000002E-2</v>
      </c>
      <c r="Z2963">
        <v>4.9825779999999997E-3</v>
      </c>
      <c r="AA2963">
        <v>0.99883889999999997</v>
      </c>
      <c r="AB2963">
        <v>34</v>
      </c>
      <c r="AC2963">
        <v>11.0176999999999</v>
      </c>
      <c r="AD2963">
        <v>-1.108350522117</v>
      </c>
      <c r="AE2963">
        <v>0.24929999999997601</v>
      </c>
      <c r="AF2963">
        <v>-0.54261291541991397</v>
      </c>
      <c r="AG2963">
        <v>-1.108350522117</v>
      </c>
      <c r="AH2963">
        <v>10.896666118540301</v>
      </c>
      <c r="AI2963">
        <v>95.800707394857298</v>
      </c>
      <c r="AJ2963">
        <v>92.850759183447195</v>
      </c>
      <c r="AK2963">
        <v>10.9663212680827</v>
      </c>
      <c r="AL2963">
        <v>89.235957614843898</v>
      </c>
      <c r="AM2963">
        <v>91.660299991980693</v>
      </c>
      <c r="AN2963">
        <v>0.99999999741497503</v>
      </c>
    </row>
    <row r="2964" spans="1:40" x14ac:dyDescent="0.3">
      <c r="A2964" t="str">
        <f>"20200111160511800"</f>
        <v>20200111160511800</v>
      </c>
      <c r="B2964" t="str">
        <f>"1578729911794192"</f>
        <v>1578729911794192</v>
      </c>
      <c r="C2964" t="s">
        <v>40</v>
      </c>
      <c r="D2964">
        <v>5.5039600000000002</v>
      </c>
      <c r="E2964">
        <v>0.49684519999999999</v>
      </c>
      <c r="F2964" t="s">
        <v>42</v>
      </c>
      <c r="G2964">
        <v>-335.84019999999998</v>
      </c>
      <c r="H2964">
        <v>1.023865</v>
      </c>
      <c r="I2964">
        <v>215.68819999999999</v>
      </c>
      <c r="J2964">
        <v>-336.32639999999998</v>
      </c>
      <c r="K2964">
        <v>1.108331</v>
      </c>
      <c r="L2964">
        <v>215.66489999999999</v>
      </c>
      <c r="M2964">
        <v>0.99955729999999998</v>
      </c>
      <c r="N2964">
        <v>0</v>
      </c>
      <c r="O2964">
        <v>-2.855394E-2</v>
      </c>
      <c r="P2964">
        <v>0.99999740000000004</v>
      </c>
      <c r="Q2964">
        <v>2.1842849999999998E-3</v>
      </c>
      <c r="R2964">
        <v>7.9392709999999997E-4</v>
      </c>
      <c r="S2964">
        <v>3.0014340000000002</v>
      </c>
      <c r="T2964">
        <v>-0.30096830000000002</v>
      </c>
      <c r="U2964">
        <v>4.5120239999999999E-2</v>
      </c>
      <c r="V2964">
        <v>-2.9316109999999999E-2</v>
      </c>
      <c r="W2964">
        <v>1.0636909999999999E-2</v>
      </c>
      <c r="X2964">
        <v>0.9995136</v>
      </c>
      <c r="Y2964">
        <v>-4.3216919999999999E-2</v>
      </c>
      <c r="Z2964">
        <v>5.0171249999999999E-3</v>
      </c>
      <c r="AA2964">
        <v>0.99905310000000003</v>
      </c>
      <c r="AB2964">
        <v>34</v>
      </c>
      <c r="AC2964">
        <v>0.48619999999999602</v>
      </c>
      <c r="AD2964">
        <v>-8.4465999999999902E-2</v>
      </c>
      <c r="AE2964">
        <v>2.3300000000006E-2</v>
      </c>
      <c r="AF2964">
        <v>-3.60872548774612E-2</v>
      </c>
      <c r="AG2964">
        <v>-8.4465999999999902E-2</v>
      </c>
      <c r="AH2964">
        <v>0.47114922625970201</v>
      </c>
      <c r="AI2964">
        <v>100.13475085308001</v>
      </c>
      <c r="AJ2964">
        <v>94.379967246113097</v>
      </c>
      <c r="AK2964">
        <v>0.48001915433210202</v>
      </c>
      <c r="AL2964">
        <v>89.390538461259695</v>
      </c>
      <c r="AM2964">
        <v>91.680025124754195</v>
      </c>
      <c r="AN2964">
        <v>1.00000000737242</v>
      </c>
    </row>
    <row r="2965" spans="1:40" x14ac:dyDescent="0.3">
      <c r="A2965" t="str">
        <f>"20200111160511822"</f>
        <v>20200111160511822</v>
      </c>
      <c r="B2965" t="str">
        <f>"1578729911814690"</f>
        <v>1578729911814690</v>
      </c>
      <c r="C2965" t="s">
        <v>40</v>
      </c>
      <c r="D2965">
        <v>6.4477989999999998</v>
      </c>
      <c r="E2965">
        <v>0.49701390000000001</v>
      </c>
      <c r="F2965" t="s">
        <v>57</v>
      </c>
      <c r="G2965">
        <v>-325.2919</v>
      </c>
      <c r="H2965" s="1">
        <v>1.279284E-6</v>
      </c>
      <c r="I2965">
        <v>215.83789999999999</v>
      </c>
      <c r="J2965">
        <v>-335.97469999999998</v>
      </c>
      <c r="K2965">
        <v>1.108317</v>
      </c>
      <c r="L2965">
        <v>215.65350000000001</v>
      </c>
      <c r="M2965">
        <v>0.99951619999999997</v>
      </c>
      <c r="N2965">
        <v>0</v>
      </c>
      <c r="O2965">
        <v>-2.9960199999999999E-2</v>
      </c>
      <c r="P2965">
        <v>0.99999970000000005</v>
      </c>
      <c r="Q2965">
        <v>8.7510979999999995E-4</v>
      </c>
      <c r="R2965">
        <v>-5.5731260000000001E-4</v>
      </c>
      <c r="S2965">
        <v>3.00061</v>
      </c>
      <c r="T2965">
        <v>-0.30138860000000001</v>
      </c>
      <c r="U2965">
        <v>4.705811E-2</v>
      </c>
      <c r="V2965">
        <v>-2.9375600000000002E-2</v>
      </c>
      <c r="W2965">
        <v>9.3313960000000005E-3</v>
      </c>
      <c r="X2965">
        <v>0.99952490000000005</v>
      </c>
      <c r="Y2965">
        <v>-4.5253059999999998E-2</v>
      </c>
      <c r="Z2965">
        <v>5.2683060000000004E-3</v>
      </c>
      <c r="AA2965">
        <v>0.99896169999999995</v>
      </c>
      <c r="AB2965">
        <v>34</v>
      </c>
      <c r="AC2965">
        <v>10.682799999999901</v>
      </c>
      <c r="AD2965">
        <v>-1.1083157207159999</v>
      </c>
      <c r="AE2965">
        <v>0.18439999999998199</v>
      </c>
      <c r="AF2965">
        <v>-0.49901758683603498</v>
      </c>
      <c r="AG2965">
        <v>-1.1083157207159999</v>
      </c>
      <c r="AH2965">
        <v>10.5588619076541</v>
      </c>
      <c r="AI2965">
        <v>95.985502936992901</v>
      </c>
      <c r="AJ2965">
        <v>92.705816530990901</v>
      </c>
      <c r="AK2965">
        <v>10.6285910201525</v>
      </c>
      <c r="AL2965">
        <v>89.465342639929403</v>
      </c>
      <c r="AM2965">
        <v>91.683413351406202</v>
      </c>
      <c r="AN2965">
        <v>1.00000001327333</v>
      </c>
    </row>
    <row r="2966" spans="1:40" x14ac:dyDescent="0.3">
      <c r="A2966" t="str">
        <f>"20200111160511843"</f>
        <v>20200111160511843</v>
      </c>
      <c r="B2966" t="str">
        <f>"1578729911834208"</f>
        <v>1578729911834208</v>
      </c>
      <c r="C2966" t="s">
        <v>40</v>
      </c>
      <c r="D2966">
        <v>5.4907120000000003</v>
      </c>
      <c r="E2966">
        <v>0.4972048</v>
      </c>
      <c r="F2966" t="s">
        <v>57</v>
      </c>
      <c r="G2966">
        <v>-325.15289999999999</v>
      </c>
      <c r="H2966" s="1">
        <v>1.2053389999999999E-6</v>
      </c>
      <c r="I2966">
        <v>215.80420000000001</v>
      </c>
      <c r="J2966">
        <v>-335.64580000000001</v>
      </c>
      <c r="K2966">
        <v>1.1083000000000001</v>
      </c>
      <c r="L2966">
        <v>215.64250000000001</v>
      </c>
      <c r="M2966">
        <v>0.99947580000000003</v>
      </c>
      <c r="N2966">
        <v>0</v>
      </c>
      <c r="O2966">
        <v>-3.1274240000000002E-2</v>
      </c>
      <c r="P2966">
        <v>0.99999859999999896</v>
      </c>
      <c r="Q2966">
        <v>5.1254220000000001E-4</v>
      </c>
      <c r="R2966">
        <v>-1.6319959999999999E-3</v>
      </c>
      <c r="S2966">
        <v>3.0002749999999998</v>
      </c>
      <c r="T2966">
        <v>-0.30727480000000001</v>
      </c>
      <c r="U2966">
        <v>4.1763309999999998E-2</v>
      </c>
      <c r="V2966">
        <v>-2.9616380000000001E-2</v>
      </c>
      <c r="W2966">
        <v>8.9823630000000002E-3</v>
      </c>
      <c r="X2966">
        <v>0.99952099999999999</v>
      </c>
      <c r="Y2966">
        <v>-4.4786189999999997E-2</v>
      </c>
      <c r="Z2966">
        <v>5.4816630000000003E-3</v>
      </c>
      <c r="AA2966">
        <v>0.99898149999999997</v>
      </c>
      <c r="AB2966">
        <v>34</v>
      </c>
      <c r="AC2966">
        <v>10.492900000000001</v>
      </c>
      <c r="AD2966">
        <v>-1.1082987946609999</v>
      </c>
      <c r="AE2966">
        <v>0.16169999999999601</v>
      </c>
      <c r="AF2966">
        <v>-0.48438714821266199</v>
      </c>
      <c r="AG2966">
        <v>-1.1082987946609999</v>
      </c>
      <c r="AH2966">
        <v>10.3670782924869</v>
      </c>
      <c r="AI2966">
        <v>96.095464340512706</v>
      </c>
      <c r="AJ2966">
        <v>92.675119143732502</v>
      </c>
      <c r="AK2966">
        <v>10.4373976378288</v>
      </c>
      <c r="AL2966">
        <v>89.485341600075699</v>
      </c>
      <c r="AM2966">
        <v>91.697210195875599</v>
      </c>
      <c r="AN2966">
        <v>1.00000002112518</v>
      </c>
    </row>
    <row r="2967" spans="1:40" x14ac:dyDescent="0.3">
      <c r="A2967" t="str">
        <f>"20200111160511865"</f>
        <v>20200111160511865</v>
      </c>
      <c r="B2967" t="str">
        <f>"1578729911854705"</f>
        <v>1578729911854705</v>
      </c>
      <c r="C2967" t="s">
        <v>40</v>
      </c>
      <c r="D2967">
        <v>5.491085</v>
      </c>
      <c r="E2967">
        <v>0.49732320000000002</v>
      </c>
      <c r="F2967" t="s">
        <v>42</v>
      </c>
      <c r="G2967">
        <v>-334.62470000000002</v>
      </c>
      <c r="H2967">
        <v>1.004108</v>
      </c>
      <c r="I2967">
        <v>215.65450000000001</v>
      </c>
      <c r="J2967">
        <v>-335.31290000000001</v>
      </c>
      <c r="K2967">
        <v>1.1082959999999999</v>
      </c>
      <c r="L2967">
        <v>215.63079999999999</v>
      </c>
      <c r="M2967">
        <v>0.99943300000000002</v>
      </c>
      <c r="N2967">
        <v>0</v>
      </c>
      <c r="O2967">
        <v>-3.260383E-2</v>
      </c>
      <c r="P2967">
        <v>0.99999680000000002</v>
      </c>
      <c r="Q2967">
        <v>-4.5484859999999998E-4</v>
      </c>
      <c r="R2967">
        <v>-2.5139670000000002E-3</v>
      </c>
      <c r="S2967">
        <v>3.0002140000000002</v>
      </c>
      <c r="T2967">
        <v>-0.30620190000000003</v>
      </c>
      <c r="U2967">
        <v>3.6483759999999997E-2</v>
      </c>
      <c r="V2967">
        <v>-3.0067489999999999E-2</v>
      </c>
      <c r="W2967">
        <v>8.0377820000000003E-3</v>
      </c>
      <c r="X2967">
        <v>0.9995155</v>
      </c>
      <c r="Y2967">
        <v>-4.4355869999999999E-2</v>
      </c>
      <c r="Z2967">
        <v>5.5761780000000002E-3</v>
      </c>
      <c r="AA2967">
        <v>0.99900029999999995</v>
      </c>
      <c r="AB2967">
        <v>34</v>
      </c>
      <c r="AC2967">
        <v>0.68819999999999404</v>
      </c>
      <c r="AD2967">
        <v>-0.104187999999999</v>
      </c>
      <c r="AE2967">
        <v>2.3700000000019299E-2</v>
      </c>
      <c r="AF2967">
        <v>-4.5093841533125199E-2</v>
      </c>
      <c r="AG2967">
        <v>-0.104187999999999</v>
      </c>
      <c r="AH2967">
        <v>0.67168487849163605</v>
      </c>
      <c r="AI2967">
        <v>98.797640914393398</v>
      </c>
      <c r="AJ2967">
        <v>93.840812333802006</v>
      </c>
      <c r="AK2967">
        <v>0.681211545617467</v>
      </c>
      <c r="AL2967">
        <v>89.539464031507293</v>
      </c>
      <c r="AM2967">
        <v>91.723055726543294</v>
      </c>
      <c r="AN2967">
        <v>0.99999994731731301</v>
      </c>
    </row>
    <row r="2968" spans="1:40" x14ac:dyDescent="0.3">
      <c r="A2968" t="str">
        <f>"20200111160511887"</f>
        <v>20200111160511887</v>
      </c>
      <c r="B2968" t="str">
        <f>"1578729911883985"</f>
        <v>1578729911883985</v>
      </c>
      <c r="C2968" t="s">
        <v>40</v>
      </c>
      <c r="D2968">
        <v>5.4231160000000003</v>
      </c>
      <c r="E2968">
        <v>0.49715330000000002</v>
      </c>
      <c r="F2968" t="s">
        <v>42</v>
      </c>
      <c r="G2968">
        <v>-334.31549999999999</v>
      </c>
      <c r="H2968">
        <v>1.0062530000000001</v>
      </c>
      <c r="I2968">
        <v>215.64160000000001</v>
      </c>
      <c r="J2968">
        <v>-334.96199999999999</v>
      </c>
      <c r="K2968">
        <v>1.108282</v>
      </c>
      <c r="L2968">
        <v>215.61799999999999</v>
      </c>
      <c r="M2968">
        <v>0.99938610000000005</v>
      </c>
      <c r="N2968">
        <v>0</v>
      </c>
      <c r="O2968">
        <v>-3.40045E-2</v>
      </c>
      <c r="P2968">
        <v>0.99998750000000003</v>
      </c>
      <c r="Q2968">
        <v>-2.798708E-3</v>
      </c>
      <c r="R2968">
        <v>-4.1605260000000003E-3</v>
      </c>
      <c r="S2968">
        <v>2.9999389999999999</v>
      </c>
      <c r="T2968">
        <v>-0.30694080000000001</v>
      </c>
      <c r="U2968">
        <v>3.2669070000000001E-2</v>
      </c>
      <c r="V2968">
        <v>-2.9829660000000001E-2</v>
      </c>
      <c r="W2968">
        <v>5.7213630000000001E-3</v>
      </c>
      <c r="X2968">
        <v>0.99953860000000005</v>
      </c>
      <c r="Y2968">
        <v>-4.4476990000000001E-2</v>
      </c>
      <c r="Z2968">
        <v>5.7391689999999997E-3</v>
      </c>
      <c r="AA2968">
        <v>0.99899389999999999</v>
      </c>
      <c r="AB2968">
        <v>34</v>
      </c>
      <c r="AC2968">
        <v>0.64650000000000296</v>
      </c>
      <c r="AD2968">
        <v>-0.102028999999999</v>
      </c>
      <c r="AE2968">
        <v>2.3600000000016001E-2</v>
      </c>
      <c r="AF2968">
        <v>-4.4465053009796897E-2</v>
      </c>
      <c r="AG2968">
        <v>-0.102028999999999</v>
      </c>
      <c r="AH2968">
        <v>0.62966184242892498</v>
      </c>
      <c r="AI2968">
        <v>99.181607672495801</v>
      </c>
      <c r="AJ2968">
        <v>94.039370705044206</v>
      </c>
      <c r="AK2968">
        <v>0.639422468788166</v>
      </c>
      <c r="AL2968">
        <v>89.672188251295907</v>
      </c>
      <c r="AM2968">
        <v>91.709395212104198</v>
      </c>
      <c r="AN2968">
        <v>0.99999997775012595</v>
      </c>
    </row>
    <row r="2969" spans="1:40" x14ac:dyDescent="0.3">
      <c r="A2969" t="str">
        <f>"20200111160511912"</f>
        <v>20200111160511912</v>
      </c>
      <c r="B2969" t="str">
        <f>"1578729911904481"</f>
        <v>1578729911904481</v>
      </c>
      <c r="C2969" t="s">
        <v>40</v>
      </c>
      <c r="D2969">
        <v>5.4572729999999998</v>
      </c>
      <c r="E2969">
        <v>0.49714399999999997</v>
      </c>
      <c r="F2969" t="s">
        <v>42</v>
      </c>
      <c r="G2969">
        <v>-334.00450000000001</v>
      </c>
      <c r="H2969">
        <v>1.009857</v>
      </c>
      <c r="I2969">
        <v>215.62700000000001</v>
      </c>
      <c r="J2969">
        <v>-334.59550000000002</v>
      </c>
      <c r="K2969">
        <v>1.1082730000000001</v>
      </c>
      <c r="L2969">
        <v>215.60419999999999</v>
      </c>
      <c r="M2969">
        <v>0.99933519999999998</v>
      </c>
      <c r="N2969">
        <v>0</v>
      </c>
      <c r="O2969">
        <v>-3.5466829999999998E-2</v>
      </c>
      <c r="P2969">
        <v>0.99997469999999999</v>
      </c>
      <c r="Q2969">
        <v>-4.4850519999999998E-3</v>
      </c>
      <c r="R2969">
        <v>-5.5805350000000002E-3</v>
      </c>
      <c r="S2969">
        <v>2.9993289999999999</v>
      </c>
      <c r="T2969">
        <v>-0.30834980000000001</v>
      </c>
      <c r="U2969">
        <v>2.894592E-2</v>
      </c>
      <c r="V2969">
        <v>-2.9877569999999999E-2</v>
      </c>
      <c r="W2969">
        <v>4.0677120000000002E-3</v>
      </c>
      <c r="X2969">
        <v>0.99954529999999997</v>
      </c>
      <c r="Y2969">
        <v>-4.4688310000000002E-2</v>
      </c>
      <c r="Z2969">
        <v>5.9272839999999997E-3</v>
      </c>
      <c r="AA2969">
        <v>0.99898339999999997</v>
      </c>
      <c r="AB2969">
        <v>34</v>
      </c>
      <c r="AC2969">
        <v>0.59100000000000796</v>
      </c>
      <c r="AD2969">
        <v>-9.8416000000000003E-2</v>
      </c>
      <c r="AE2969">
        <v>2.28000000000179E-2</v>
      </c>
      <c r="AF2969">
        <v>-4.2568606768841201E-2</v>
      </c>
      <c r="AG2969">
        <v>-9.8416000000000003E-2</v>
      </c>
      <c r="AH2969">
        <v>0.57392786626918202</v>
      </c>
      <c r="AI2969">
        <v>99.704182237294006</v>
      </c>
      <c r="AJ2969">
        <v>94.2418983416608</v>
      </c>
      <c r="AK2969">
        <v>0.58385870809514895</v>
      </c>
      <c r="AL2969">
        <v>89.7669366299898</v>
      </c>
      <c r="AM2969">
        <v>91.712127602635604</v>
      </c>
      <c r="AN2969">
        <v>1.0000000111110501</v>
      </c>
    </row>
    <row r="2970" spans="1:40" x14ac:dyDescent="0.3">
      <c r="A2970" t="str">
        <f>"20200111160511933"</f>
        <v>20200111160511933</v>
      </c>
      <c r="B2970" t="str">
        <f>"1578729911924000"</f>
        <v>1578729911924000</v>
      </c>
      <c r="C2970" t="s">
        <v>40</v>
      </c>
      <c r="D2970">
        <v>5.6149509999999996</v>
      </c>
      <c r="E2970">
        <v>0.49738719999999997</v>
      </c>
      <c r="F2970" t="s">
        <v>42</v>
      </c>
      <c r="G2970">
        <v>-333.69139999999999</v>
      </c>
      <c r="H2970">
        <v>1.0155540000000001</v>
      </c>
      <c r="I2970">
        <v>215.6113</v>
      </c>
      <c r="J2970">
        <v>-334.25880000000001</v>
      </c>
      <c r="K2970">
        <v>1.108268</v>
      </c>
      <c r="L2970">
        <v>215.5909</v>
      </c>
      <c r="M2970">
        <v>0.99928620000000001</v>
      </c>
      <c r="N2970">
        <v>0</v>
      </c>
      <c r="O2970">
        <v>-3.6809719999999997E-2</v>
      </c>
      <c r="P2970">
        <v>0.99996569999999996</v>
      </c>
      <c r="Q2970">
        <v>-4.9527829999999997E-3</v>
      </c>
      <c r="R2970">
        <v>-6.6534180000000004E-3</v>
      </c>
      <c r="S2970">
        <v>2.99884</v>
      </c>
      <c r="T2970">
        <v>-0.307552299999999</v>
      </c>
      <c r="U2970">
        <v>2.4291989999999999E-2</v>
      </c>
      <c r="V2970">
        <v>-3.0149760000000001E-2</v>
      </c>
      <c r="W2970">
        <v>3.6366549999999999E-3</v>
      </c>
      <c r="X2970">
        <v>0.99953879999999995</v>
      </c>
      <c r="Y2970">
        <v>-4.4478230000000001E-2</v>
      </c>
      <c r="Z2970">
        <v>6.0395739999999998E-3</v>
      </c>
      <c r="AA2970">
        <v>0.99899210000000005</v>
      </c>
      <c r="AB2970">
        <v>34</v>
      </c>
      <c r="AC2970">
        <v>0.56740000000002</v>
      </c>
      <c r="AD2970">
        <v>-9.2713999999999894E-2</v>
      </c>
      <c r="AE2970">
        <v>2.0399999999994999E-2</v>
      </c>
      <c r="AF2970">
        <v>-4.0200785207473902E-2</v>
      </c>
      <c r="AG2970">
        <v>-9.2713999999999894E-2</v>
      </c>
      <c r="AH2970">
        <v>0.55155691373348303</v>
      </c>
      <c r="AI2970">
        <v>99.517151247345694</v>
      </c>
      <c r="AJ2970">
        <v>94.168689568975097</v>
      </c>
      <c r="AK2970">
        <v>0.56073792275402801</v>
      </c>
      <c r="AL2970">
        <v>89.791634562463599</v>
      </c>
      <c r="AM2970">
        <v>91.727727208615093</v>
      </c>
      <c r="AN2970">
        <v>1.00000002299654</v>
      </c>
    </row>
    <row r="2971" spans="1:40" x14ac:dyDescent="0.3">
      <c r="A2971" t="str">
        <f>"20200111160511956"</f>
        <v>20200111160511956</v>
      </c>
      <c r="B2971" t="str">
        <f>"1578729911944496"</f>
        <v>1578729911944496</v>
      </c>
      <c r="C2971" t="s">
        <v>40</v>
      </c>
      <c r="D2971">
        <v>5.4504950000000001</v>
      </c>
      <c r="E2971">
        <v>0.49728660000000002</v>
      </c>
      <c r="F2971" t="s">
        <v>42</v>
      </c>
      <c r="G2971">
        <v>-333.37900000000002</v>
      </c>
      <c r="H2971">
        <v>1.0196270000000001</v>
      </c>
      <c r="I2971">
        <v>215.59610000000001</v>
      </c>
      <c r="J2971">
        <v>-333.92070000000001</v>
      </c>
      <c r="K2971">
        <v>1.108268</v>
      </c>
      <c r="L2971">
        <v>215.57730000000001</v>
      </c>
      <c r="M2971">
        <v>0.99923519999999999</v>
      </c>
      <c r="N2971">
        <v>0</v>
      </c>
      <c r="O2971">
        <v>-3.8157900000000002E-2</v>
      </c>
      <c r="P2971">
        <v>0.99995630000000002</v>
      </c>
      <c r="Q2971">
        <v>-4.9775059999999996E-3</v>
      </c>
      <c r="R2971">
        <v>-7.9200820000000002E-3</v>
      </c>
      <c r="S2971">
        <v>2.998688</v>
      </c>
      <c r="T2971">
        <v>-0.30218089999999997</v>
      </c>
      <c r="U2971">
        <v>1.850891E-2</v>
      </c>
      <c r="V2971">
        <v>-3.0232220000000001E-2</v>
      </c>
      <c r="W2971">
        <v>3.6542969999999999E-3</v>
      </c>
      <c r="X2971">
        <v>0.99953619999999999</v>
      </c>
      <c r="Y2971">
        <v>-4.3910699999999997E-2</v>
      </c>
      <c r="Z2971">
        <v>6.0418700000000004E-3</v>
      </c>
      <c r="AA2971">
        <v>0.99901719999999905</v>
      </c>
      <c r="AB2971">
        <v>35</v>
      </c>
      <c r="AC2971">
        <v>0.54169999999999097</v>
      </c>
      <c r="AD2971">
        <v>-8.86409999999999E-2</v>
      </c>
      <c r="AE2971">
        <v>1.87999999999988E-2</v>
      </c>
      <c r="AF2971">
        <v>-3.8429433569281697E-2</v>
      </c>
      <c r="AG2971">
        <v>-8.86409999999999E-2</v>
      </c>
      <c r="AH2971">
        <v>0.526507082655292</v>
      </c>
      <c r="AI2971">
        <v>99.531622692272606</v>
      </c>
      <c r="AJ2971">
        <v>94.174581506765406</v>
      </c>
      <c r="AK2971">
        <v>0.53529782021940098</v>
      </c>
      <c r="AL2971">
        <v>89.790623734219693</v>
      </c>
      <c r="AM2971">
        <v>91.732454193804003</v>
      </c>
      <c r="AN2971">
        <v>0.99999997806156604</v>
      </c>
    </row>
    <row r="2972" spans="1:40" x14ac:dyDescent="0.3">
      <c r="A2972" t="str">
        <f>"20200111160511977"</f>
        <v>20200111160511977</v>
      </c>
      <c r="B2972" t="str">
        <f>"1578729911974752"</f>
        <v>1578729911974752</v>
      </c>
      <c r="C2972" t="s">
        <v>40</v>
      </c>
      <c r="D2972">
        <v>5.6060019999999904</v>
      </c>
      <c r="E2972">
        <v>0.4972895</v>
      </c>
      <c r="F2972" t="s">
        <v>42</v>
      </c>
      <c r="G2972">
        <v>-333.06169999999997</v>
      </c>
      <c r="H2972">
        <v>1.023568</v>
      </c>
      <c r="I2972">
        <v>215.5813</v>
      </c>
      <c r="J2972">
        <v>-333.57889999999998</v>
      </c>
      <c r="K2972">
        <v>1.1082650000000001</v>
      </c>
      <c r="L2972">
        <v>215.56290000000001</v>
      </c>
      <c r="M2972">
        <v>0.99918200000000001</v>
      </c>
      <c r="N2972">
        <v>0</v>
      </c>
      <c r="O2972">
        <v>-3.9520279999999998E-2</v>
      </c>
      <c r="P2972">
        <v>0.99994859999999997</v>
      </c>
      <c r="Q2972">
        <v>-5.1509069999999997E-3</v>
      </c>
      <c r="R2972">
        <v>-8.7425060000000006E-3</v>
      </c>
      <c r="S2972">
        <v>2.9987789999999999</v>
      </c>
      <c r="T2972">
        <v>-0.29569269999999998</v>
      </c>
      <c r="U2972">
        <v>1.461792E-2</v>
      </c>
      <c r="V2972">
        <v>-3.0773180000000001E-2</v>
      </c>
      <c r="W2972">
        <v>3.529843E-3</v>
      </c>
      <c r="X2972">
        <v>0.99952019999999997</v>
      </c>
      <c r="Y2972">
        <v>-4.3987100000000001E-2</v>
      </c>
      <c r="Z2972">
        <v>6.0502990000000003E-3</v>
      </c>
      <c r="AA2972">
        <v>0.99901379999999995</v>
      </c>
      <c r="AB2972">
        <v>35</v>
      </c>
      <c r="AC2972">
        <v>0.51720000000000199</v>
      </c>
      <c r="AD2972">
        <v>-8.4696999999999995E-2</v>
      </c>
      <c r="AE2972">
        <v>1.8399999999985501E-2</v>
      </c>
      <c r="AF2972">
        <v>-3.7813481185448201E-2</v>
      </c>
      <c r="AG2972">
        <v>-8.4696999999999995E-2</v>
      </c>
      <c r="AH2972">
        <v>0.502607067657586</v>
      </c>
      <c r="AI2972">
        <v>99.538888809834305</v>
      </c>
      <c r="AJ2972">
        <v>94.302523975323197</v>
      </c>
      <c r="AK2972">
        <v>0.51109422382543102</v>
      </c>
      <c r="AL2972">
        <v>89.797754481714193</v>
      </c>
      <c r="AM2972">
        <v>91.763462659390299</v>
      </c>
      <c r="AN2972">
        <v>1.00000003930347</v>
      </c>
    </row>
    <row r="2973" spans="1:40" x14ac:dyDescent="0.3">
      <c r="A2973" t="str">
        <f>"20200111160512000"</f>
        <v>20200111160512000</v>
      </c>
      <c r="B2973" t="str">
        <f>"1578729911994272"</f>
        <v>1578729911994272</v>
      </c>
      <c r="C2973" t="s">
        <v>40</v>
      </c>
      <c r="D2973">
        <v>5.6391229999999997</v>
      </c>
      <c r="E2973">
        <v>0.49741439999999998</v>
      </c>
      <c r="F2973" t="s">
        <v>57</v>
      </c>
      <c r="G2973">
        <v>-322.04790000000003</v>
      </c>
      <c r="H2973" s="1">
        <v>-4.4700729999999998E-7</v>
      </c>
      <c r="I2973">
        <v>215.60759999999999</v>
      </c>
      <c r="J2973">
        <v>-333.22699999999998</v>
      </c>
      <c r="K2973">
        <v>1.1082559999999999</v>
      </c>
      <c r="L2973">
        <v>215.54769999999999</v>
      </c>
      <c r="M2973">
        <v>0.99912509999999999</v>
      </c>
      <c r="N2973">
        <v>0</v>
      </c>
      <c r="O2973">
        <v>-4.0922149999999997E-2</v>
      </c>
      <c r="P2973">
        <v>0.99994700000000003</v>
      </c>
      <c r="Q2973">
        <v>-5.2817869999999996E-3</v>
      </c>
      <c r="R2973">
        <v>-8.8699580000000007E-3</v>
      </c>
      <c r="S2973">
        <v>2.9987789999999999</v>
      </c>
      <c r="T2973">
        <v>-0.28821720000000001</v>
      </c>
      <c r="U2973">
        <v>1.1611939999999999E-2</v>
      </c>
      <c r="V2973">
        <v>-3.2048090000000001E-2</v>
      </c>
      <c r="W2973">
        <v>3.4535500000000001E-3</v>
      </c>
      <c r="X2973">
        <v>0.99948040000000005</v>
      </c>
      <c r="Y2973">
        <v>-4.4399210000000001E-2</v>
      </c>
      <c r="Z2973">
        <v>6.05216E-3</v>
      </c>
      <c r="AA2973">
        <v>0.99899550000000004</v>
      </c>
      <c r="AB2973">
        <v>35</v>
      </c>
      <c r="AC2973">
        <v>11.179099999999901</v>
      </c>
      <c r="AD2973">
        <v>-1.1082564470073</v>
      </c>
      <c r="AE2973">
        <v>5.9899999999998899E-2</v>
      </c>
      <c r="AF2973">
        <v>-0.51230484192436498</v>
      </c>
      <c r="AG2973">
        <v>-1.1082564470073</v>
      </c>
      <c r="AH2973">
        <v>11.058602416955001</v>
      </c>
      <c r="AI2973">
        <v>95.7167944105842</v>
      </c>
      <c r="AJ2973">
        <v>92.652408754296403</v>
      </c>
      <c r="AK2973">
        <v>11.1257977700332</v>
      </c>
      <c r="AL2973">
        <v>89.8021257749445</v>
      </c>
      <c r="AM2973">
        <v>91.836545653274698</v>
      </c>
      <c r="AN2973">
        <v>1.0000000385322001</v>
      </c>
    </row>
    <row r="2974" spans="1:40" x14ac:dyDescent="0.3">
      <c r="A2974" t="str">
        <f>"20200111160512022"</f>
        <v>20200111160512022</v>
      </c>
      <c r="B2974" t="str">
        <f>"1578729912014768"</f>
        <v>1578729912014768</v>
      </c>
      <c r="C2974" t="s">
        <v>40</v>
      </c>
      <c r="D2974">
        <v>5.5296890000000003</v>
      </c>
      <c r="E2974">
        <v>0.49735269999999998</v>
      </c>
      <c r="F2974" t="s">
        <v>57</v>
      </c>
      <c r="G2974">
        <v>-321.5847</v>
      </c>
      <c r="H2974" s="1">
        <v>-6.9348690000000003E-7</v>
      </c>
      <c r="I2974">
        <v>215.58590000000001</v>
      </c>
      <c r="J2974">
        <v>-332.87209999999999</v>
      </c>
      <c r="K2974">
        <v>1.108258</v>
      </c>
      <c r="L2974">
        <v>215.53190000000001</v>
      </c>
      <c r="M2974">
        <v>0.9990656</v>
      </c>
      <c r="N2974">
        <v>0</v>
      </c>
      <c r="O2974">
        <v>-4.2335369999999997E-2</v>
      </c>
      <c r="P2974">
        <v>0.99994059999999996</v>
      </c>
      <c r="Q2974">
        <v>-5.4923929999999999E-3</v>
      </c>
      <c r="R2974">
        <v>-9.4185190000000002E-3</v>
      </c>
      <c r="S2974">
        <v>2.9987490000000001</v>
      </c>
      <c r="T2974">
        <v>-0.28545720000000002</v>
      </c>
      <c r="U2974">
        <v>9.8266599999999992E-3</v>
      </c>
      <c r="V2974">
        <v>-3.2914539999999999E-2</v>
      </c>
      <c r="W2974">
        <v>3.2995329999999999E-3</v>
      </c>
      <c r="X2974">
        <v>0.99945269999999997</v>
      </c>
      <c r="Y2974">
        <v>-4.521501E-2</v>
      </c>
      <c r="Z2974">
        <v>6.1674090000000004E-3</v>
      </c>
      <c r="AA2974">
        <v>0.99895820000000002</v>
      </c>
      <c r="AB2974">
        <v>35</v>
      </c>
      <c r="AC2974">
        <v>11.2873999999999</v>
      </c>
      <c r="AD2974">
        <v>-1.1082586934869001</v>
      </c>
      <c r="AE2974">
        <v>5.4000000000001998E-2</v>
      </c>
      <c r="AF2974">
        <v>-0.52674797463368905</v>
      </c>
      <c r="AG2974">
        <v>-1.1082586934869001</v>
      </c>
      <c r="AH2974">
        <v>11.1673383923229</v>
      </c>
      <c r="AI2974">
        <v>95.661283991252304</v>
      </c>
      <c r="AJ2974">
        <v>92.700561403256401</v>
      </c>
      <c r="AK2974">
        <v>11.2345515054727</v>
      </c>
      <c r="AL2974">
        <v>89.810950337301804</v>
      </c>
      <c r="AM2974">
        <v>91.886215221794501</v>
      </c>
      <c r="AN2974">
        <v>0.99999997669935903</v>
      </c>
    </row>
    <row r="2975" spans="1:40" x14ac:dyDescent="0.3">
      <c r="A2975" t="str">
        <f>"20200111160512045"</f>
        <v>20200111160512045</v>
      </c>
      <c r="B2975" t="str">
        <f>"1578729912034288"</f>
        <v>1578729912034288</v>
      </c>
      <c r="C2975" t="s">
        <v>40</v>
      </c>
      <c r="D2975">
        <v>5.5502820000000002</v>
      </c>
      <c r="E2975">
        <v>0.49723709999999999</v>
      </c>
      <c r="F2975" t="s">
        <v>57</v>
      </c>
      <c r="G2975">
        <v>-320.97539999999998</v>
      </c>
      <c r="H2975" s="1">
        <v>-1.017739E-6</v>
      </c>
      <c r="I2975">
        <v>215.5642</v>
      </c>
      <c r="J2975">
        <v>-332.53480000000002</v>
      </c>
      <c r="K2975">
        <v>1.1082620000000001</v>
      </c>
      <c r="L2975">
        <v>215.5163</v>
      </c>
      <c r="M2975">
        <v>0.99900730000000004</v>
      </c>
      <c r="N2975">
        <v>0</v>
      </c>
      <c r="O2975">
        <v>-4.3678120000000001E-2</v>
      </c>
      <c r="P2975">
        <v>0.99993589999999999</v>
      </c>
      <c r="Q2975">
        <v>-5.4004359999999998E-3</v>
      </c>
      <c r="R2975">
        <v>-9.958873E-3</v>
      </c>
      <c r="S2975">
        <v>2.998688</v>
      </c>
      <c r="T2975">
        <v>-0.27934700000000001</v>
      </c>
      <c r="U2975">
        <v>8.1481929999999998E-3</v>
      </c>
      <c r="V2975">
        <v>-3.3717070000000002E-2</v>
      </c>
      <c r="W2975">
        <v>3.4468749999999999E-3</v>
      </c>
      <c r="X2975">
        <v>0.99942549999999997</v>
      </c>
      <c r="Y2975">
        <v>-4.6006060000000001E-2</v>
      </c>
      <c r="Z2975">
        <v>6.1975930000000004E-3</v>
      </c>
      <c r="AA2975">
        <v>0.99892190000000003</v>
      </c>
      <c r="AB2975">
        <v>35</v>
      </c>
      <c r="AC2975">
        <v>11.5594</v>
      </c>
      <c r="AD2975">
        <v>-1.108263017739</v>
      </c>
      <c r="AE2975">
        <v>4.7899999999998499E-2</v>
      </c>
      <c r="AF2975">
        <v>-0.54773176853189498</v>
      </c>
      <c r="AG2975">
        <v>-1.108263017739</v>
      </c>
      <c r="AH2975">
        <v>11.441109142393699</v>
      </c>
      <c r="AI2975">
        <v>95.526503513308</v>
      </c>
      <c r="AJ2975">
        <v>92.740886010224798</v>
      </c>
      <c r="AK2975">
        <v>11.5077033075637</v>
      </c>
      <c r="AL2975">
        <v>89.802508224040295</v>
      </c>
      <c r="AM2975">
        <v>91.932223462093603</v>
      </c>
      <c r="AN2975">
        <v>1.0000000259034401</v>
      </c>
    </row>
    <row r="2976" spans="1:40" x14ac:dyDescent="0.3">
      <c r="A2976" t="str">
        <f>"20200111160512066"</f>
        <v>20200111160512066</v>
      </c>
      <c r="B2976" t="str">
        <f>"1578729912064544"</f>
        <v>1578729912064544</v>
      </c>
      <c r="C2976" t="s">
        <v>40</v>
      </c>
      <c r="D2976">
        <v>5.5088679999999997</v>
      </c>
      <c r="E2976">
        <v>0.49732140000000002</v>
      </c>
      <c r="F2976" t="s">
        <v>42</v>
      </c>
      <c r="G2976">
        <v>-331.51280000000003</v>
      </c>
      <c r="H2976">
        <v>1.013987</v>
      </c>
      <c r="I2976">
        <v>215.51849999999999</v>
      </c>
      <c r="J2976">
        <v>-332.19510000000002</v>
      </c>
      <c r="K2976">
        <v>1.108266</v>
      </c>
      <c r="L2976">
        <v>215.50020000000001</v>
      </c>
      <c r="M2976">
        <v>0.99894709999999998</v>
      </c>
      <c r="N2976">
        <v>0</v>
      </c>
      <c r="O2976">
        <v>-4.5028119999999998E-2</v>
      </c>
      <c r="P2976">
        <v>0.99993010000000004</v>
      </c>
      <c r="Q2976">
        <v>-5.0161700000000004E-3</v>
      </c>
      <c r="R2976">
        <v>-1.072744E-2</v>
      </c>
      <c r="S2976">
        <v>2.9987789999999999</v>
      </c>
      <c r="T2976">
        <v>-0.27666849999999998</v>
      </c>
      <c r="U2976">
        <v>7.1868899999999996E-3</v>
      </c>
      <c r="V2976">
        <v>-3.4298410000000001E-2</v>
      </c>
      <c r="W2976">
        <v>3.8841309999999999E-3</v>
      </c>
      <c r="X2976">
        <v>0.99940410000000002</v>
      </c>
      <c r="Y2976">
        <v>-4.7032999999999998E-2</v>
      </c>
      <c r="Z2976">
        <v>6.309706E-3</v>
      </c>
      <c r="AA2976">
        <v>0.99887340000000002</v>
      </c>
      <c r="AB2976">
        <v>35</v>
      </c>
      <c r="AC2976">
        <v>0.68229999999999702</v>
      </c>
      <c r="AD2976">
        <v>-9.4279000000000002E-2</v>
      </c>
      <c r="AE2976">
        <v>1.8299999999982199E-2</v>
      </c>
      <c r="AF2976">
        <v>-4.8087817564115197E-2</v>
      </c>
      <c r="AG2976">
        <v>-9.4279000000000002E-2</v>
      </c>
      <c r="AH2976">
        <v>0.66803802826747805</v>
      </c>
      <c r="AI2976">
        <v>98.012536694984405</v>
      </c>
      <c r="AJ2976">
        <v>94.1172579145925</v>
      </c>
      <c r="AK2976">
        <v>0.67636955523632103</v>
      </c>
      <c r="AL2976">
        <v>89.777455129555605</v>
      </c>
      <c r="AM2976">
        <v>91.965554446488298</v>
      </c>
      <c r="AN2976">
        <v>1.00000001124948</v>
      </c>
    </row>
    <row r="2977" spans="1:40" x14ac:dyDescent="0.3">
      <c r="A2977" t="str">
        <f>"20200111160512089"</f>
        <v>20200111160512089</v>
      </c>
      <c r="B2977" t="str">
        <f>"1578729912084065"</f>
        <v>1578729912084065</v>
      </c>
      <c r="C2977" t="s">
        <v>40</v>
      </c>
      <c r="D2977">
        <v>5.6207260000000003</v>
      </c>
      <c r="E2977">
        <v>0.49790830000000003</v>
      </c>
      <c r="F2977" t="s">
        <v>61</v>
      </c>
      <c r="G2977">
        <v>-319.79579999999999</v>
      </c>
      <c r="H2977" s="1">
        <v>5.2496709999999997E-6</v>
      </c>
      <c r="I2977">
        <v>215.5146</v>
      </c>
      <c r="J2977">
        <v>-331.84100000000001</v>
      </c>
      <c r="K2977">
        <v>1.108266</v>
      </c>
      <c r="L2977">
        <v>215.483</v>
      </c>
      <c r="M2977">
        <v>0.99888239999999995</v>
      </c>
      <c r="N2977">
        <v>0</v>
      </c>
      <c r="O2977">
        <v>-4.6432580000000001E-2</v>
      </c>
      <c r="P2977">
        <v>0.99991390000000002</v>
      </c>
      <c r="Q2977">
        <v>-4.9424320000000001E-3</v>
      </c>
      <c r="R2977">
        <v>-1.215607E-2</v>
      </c>
      <c r="S2977">
        <v>2.9988709999999998</v>
      </c>
      <c r="T2977">
        <v>-0.26804159999999999</v>
      </c>
      <c r="U2977">
        <v>3.479004E-3</v>
      </c>
      <c r="V2977">
        <v>-3.427504E-2</v>
      </c>
      <c r="W2977">
        <v>4.0076309999999898E-3</v>
      </c>
      <c r="X2977">
        <v>0.99940439999999997</v>
      </c>
      <c r="Y2977">
        <v>-4.721997E-2</v>
      </c>
      <c r="Z2977">
        <v>6.2470759999999998E-3</v>
      </c>
      <c r="AA2977">
        <v>0.998865</v>
      </c>
      <c r="AB2977">
        <v>35</v>
      </c>
      <c r="AC2977">
        <v>12.045199999999999</v>
      </c>
      <c r="AD2977">
        <v>-1.1082607503290001</v>
      </c>
      <c r="AE2977">
        <v>3.1599999999997401E-2</v>
      </c>
      <c r="AF2977">
        <v>-0.585917344840302</v>
      </c>
      <c r="AG2977">
        <v>-1.1082607503290001</v>
      </c>
      <c r="AH2977">
        <v>11.929748670855201</v>
      </c>
      <c r="AI2977">
        <v>95.301129381870794</v>
      </c>
      <c r="AJ2977">
        <v>92.811763946861007</v>
      </c>
      <c r="AK2977">
        <v>11.995434313749399</v>
      </c>
      <c r="AL2977">
        <v>89.770379042525803</v>
      </c>
      <c r="AM2977">
        <v>91.964215631646994</v>
      </c>
      <c r="AN2977">
        <v>0.99999999710629595</v>
      </c>
    </row>
    <row r="2978" spans="1:40" x14ac:dyDescent="0.3">
      <c r="A2978" t="str">
        <f>"20200111160512113"</f>
        <v>20200111160512113</v>
      </c>
      <c r="B2978" t="str">
        <f>"1578729912104560"</f>
        <v>1578729912104560</v>
      </c>
      <c r="C2978" t="s">
        <v>40</v>
      </c>
      <c r="D2978">
        <v>5.6292429999999998</v>
      </c>
      <c r="E2978">
        <v>0.4979673</v>
      </c>
      <c r="F2978" t="s">
        <v>61</v>
      </c>
      <c r="G2978">
        <v>-319.40120000000002</v>
      </c>
      <c r="H2978" s="1">
        <v>5.0746849999999997E-6</v>
      </c>
      <c r="I2978">
        <v>215.46039999999999</v>
      </c>
      <c r="J2978">
        <v>-331.47489999999999</v>
      </c>
      <c r="K2978">
        <v>1.1082700000000001</v>
      </c>
      <c r="L2978">
        <v>215.46459999999999</v>
      </c>
      <c r="M2978">
        <v>0.99881359999999997</v>
      </c>
      <c r="N2978">
        <v>0</v>
      </c>
      <c r="O2978">
        <v>-4.7880649999999997E-2</v>
      </c>
      <c r="P2978">
        <v>0.99990029999999996</v>
      </c>
      <c r="Q2978">
        <v>-4.9407890000000001E-3</v>
      </c>
      <c r="R2978">
        <v>-1.3238959999999999E-2</v>
      </c>
      <c r="S2978">
        <v>2.9988709999999998</v>
      </c>
      <c r="T2978">
        <v>-0.26716970000000001</v>
      </c>
      <c r="U2978">
        <v>-5.432129E-3</v>
      </c>
      <c r="V2978">
        <v>-3.4641030000000003E-2</v>
      </c>
      <c r="W2978">
        <v>4.0576989999999997E-3</v>
      </c>
      <c r="X2978">
        <v>0.99939160000000005</v>
      </c>
      <c r="Y2978">
        <v>-4.5702609999999998E-2</v>
      </c>
      <c r="Z2978">
        <v>6.2879549999999996E-3</v>
      </c>
      <c r="AA2978">
        <v>0.99893529999999997</v>
      </c>
      <c r="AB2978">
        <v>35</v>
      </c>
      <c r="AC2978">
        <v>12.073699999999899</v>
      </c>
      <c r="AD2978">
        <v>-1.1082649253149901</v>
      </c>
      <c r="AE2978">
        <v>-4.1999999999973101E-3</v>
      </c>
      <c r="AF2978">
        <v>-0.56912889666879696</v>
      </c>
      <c r="AG2978">
        <v>-1.1082649253149901</v>
      </c>
      <c r="AH2978">
        <v>11.959286803284501</v>
      </c>
      <c r="AI2978">
        <v>95.288517149872803</v>
      </c>
      <c r="AJ2978">
        <v>92.724585622200706</v>
      </c>
      <c r="AK2978">
        <v>12.024005143417099</v>
      </c>
      <c r="AL2978">
        <v>89.767510338963703</v>
      </c>
      <c r="AM2978">
        <v>91.985198302675101</v>
      </c>
      <c r="AN2978">
        <v>1.0000000180155899</v>
      </c>
    </row>
    <row r="2979" spans="1:40" x14ac:dyDescent="0.3">
      <c r="A2979" t="str">
        <f>"20200111160512529"</f>
        <v>20200111160512529</v>
      </c>
      <c r="B2979" t="str">
        <f>"1578729912524747"</f>
        <v>1578729912524747</v>
      </c>
      <c r="C2979" t="s">
        <v>40</v>
      </c>
      <c r="D2979">
        <v>5.290591</v>
      </c>
      <c r="E2979">
        <v>0.49832710000000002</v>
      </c>
      <c r="F2979" t="s">
        <v>61</v>
      </c>
      <c r="G2979">
        <v>-318.83819999999997</v>
      </c>
      <c r="H2979" s="1">
        <v>4.8250280000000003E-6</v>
      </c>
      <c r="I2979">
        <v>215.4246</v>
      </c>
      <c r="J2979">
        <v>-324.86340000000001</v>
      </c>
      <c r="K2979">
        <v>1.1092850000000001</v>
      </c>
      <c r="L2979">
        <v>215.05719999999999</v>
      </c>
      <c r="M2979">
        <v>0.99771469999999995</v>
      </c>
      <c r="N2979">
        <v>0</v>
      </c>
      <c r="O2979">
        <v>-6.691743E-2</v>
      </c>
      <c r="P2979">
        <v>0.99994810000000001</v>
      </c>
      <c r="Q2979">
        <v>-8.8568779999999997E-4</v>
      </c>
      <c r="R2979">
        <v>-1.014992E-2</v>
      </c>
      <c r="S2979">
        <v>2.9988100000000002</v>
      </c>
      <c r="T2979">
        <v>-0.26300119999999999</v>
      </c>
      <c r="U2979">
        <v>-9.4909669999999995E-3</v>
      </c>
      <c r="V2979">
        <v>-5.6782369999999999E-2</v>
      </c>
      <c r="W2979">
        <v>8.5012539999999998E-3</v>
      </c>
      <c r="X2979">
        <v>0.99835039999999997</v>
      </c>
      <c r="Y2979">
        <v>-6.3262840000000001E-2</v>
      </c>
      <c r="Z2979">
        <v>8.6231490000000001E-3</v>
      </c>
      <c r="AA2979">
        <v>0.99795970000000001</v>
      </c>
      <c r="AB2979">
        <v>36</v>
      </c>
      <c r="AC2979">
        <v>6.0252000000000399</v>
      </c>
      <c r="AD2979">
        <v>-1.109280174972</v>
      </c>
      <c r="AE2979">
        <v>0.367400000000003</v>
      </c>
      <c r="AF2979">
        <v>-0.74463867686061702</v>
      </c>
      <c r="AG2979">
        <v>-1.109280174972</v>
      </c>
      <c r="AH2979">
        <v>5.7915284642126901</v>
      </c>
      <c r="AI2979">
        <v>100.75637277179899</v>
      </c>
      <c r="AJ2979">
        <v>97.326538906524704</v>
      </c>
      <c r="AK2979">
        <v>5.9436345124383596</v>
      </c>
      <c r="AL2979">
        <v>89.512908165299606</v>
      </c>
      <c r="AM2979">
        <v>93.255258687825204</v>
      </c>
      <c r="AN2979">
        <v>1.00000001502127</v>
      </c>
    </row>
    <row r="2980" spans="1:40" x14ac:dyDescent="0.3">
      <c r="A2980" t="str">
        <f>"20200111160512603"</f>
        <v>20200111160512603</v>
      </c>
      <c r="B2980" t="str">
        <f>"1578729912594045"</f>
        <v>1578729912594045</v>
      </c>
      <c r="C2980" t="s">
        <v>40</v>
      </c>
      <c r="D2980">
        <v>5.6462529999999997</v>
      </c>
      <c r="E2980">
        <v>0.4985752</v>
      </c>
      <c r="F2980" t="s">
        <v>61</v>
      </c>
      <c r="G2980">
        <v>-311.47649999999999</v>
      </c>
      <c r="H2980" s="1">
        <v>1.560427E-6</v>
      </c>
      <c r="I2980">
        <v>215.02099999999999</v>
      </c>
      <c r="J2980">
        <v>-323.65820000000002</v>
      </c>
      <c r="K2980">
        <v>1.109728</v>
      </c>
      <c r="L2980">
        <v>214.9769</v>
      </c>
      <c r="M2980">
        <v>0.99775389999999997</v>
      </c>
      <c r="N2980">
        <v>0</v>
      </c>
      <c r="O2980">
        <v>-6.6327159999999996E-2</v>
      </c>
      <c r="P2980">
        <v>0.99995080000000003</v>
      </c>
      <c r="Q2980">
        <v>2.260976E-3</v>
      </c>
      <c r="R2980">
        <v>-9.6584759999999992E-3</v>
      </c>
      <c r="S2980">
        <v>2.9998469999999999</v>
      </c>
      <c r="T2980">
        <v>-0.24857850000000001</v>
      </c>
      <c r="U2980">
        <v>-8.1024169999999902E-3</v>
      </c>
      <c r="V2980">
        <v>-5.6691560000000002E-2</v>
      </c>
      <c r="W2980">
        <v>1.162724E-2</v>
      </c>
      <c r="X2980">
        <v>0.99832399999999999</v>
      </c>
      <c r="Y2980">
        <v>-6.3191239999999996E-2</v>
      </c>
      <c r="Z2980">
        <v>8.0974419999999998E-3</v>
      </c>
      <c r="AA2980">
        <v>0.99796859999999998</v>
      </c>
      <c r="AB2980">
        <v>36</v>
      </c>
      <c r="AC2980">
        <v>12.181699999999999</v>
      </c>
      <c r="AD2980">
        <v>-1.109726439573</v>
      </c>
      <c r="AE2980">
        <v>4.4099999999985998E-2</v>
      </c>
      <c r="AF2980">
        <v>-0.84500350745560804</v>
      </c>
      <c r="AG2980">
        <v>-1.109726439573</v>
      </c>
      <c r="AH2980">
        <v>12.051932079967299</v>
      </c>
      <c r="AI2980">
        <v>95.248075682337301</v>
      </c>
      <c r="AJ2980">
        <v>94.010645989714007</v>
      </c>
      <c r="AK2980">
        <v>12.132377778425999</v>
      </c>
      <c r="AL2980">
        <v>89.333793187223407</v>
      </c>
      <c r="AM2980">
        <v>93.250149600430106</v>
      </c>
      <c r="AN2980">
        <v>0.99999996733062502</v>
      </c>
    </row>
    <row r="2981" spans="1:40" x14ac:dyDescent="0.3">
      <c r="A2981" t="str">
        <f>"20200111160512624"</f>
        <v>20200111160512624</v>
      </c>
      <c r="B2981" t="str">
        <f>"1578729912614538"</f>
        <v>1578729912614538</v>
      </c>
      <c r="C2981" t="s">
        <v>40</v>
      </c>
      <c r="D2981">
        <v>5.5131379999999996</v>
      </c>
      <c r="E2981">
        <v>0.49937100000000001</v>
      </c>
      <c r="F2981" t="s">
        <v>61</v>
      </c>
      <c r="G2981">
        <v>-309.49720000000002</v>
      </c>
      <c r="H2981" s="1">
        <v>9.686111999999999E-7</v>
      </c>
      <c r="I2981">
        <v>214.93450000000001</v>
      </c>
      <c r="J2981">
        <v>-323.31709999999998</v>
      </c>
      <c r="K2981">
        <v>1.1098520000000001</v>
      </c>
      <c r="L2981">
        <v>214.9546</v>
      </c>
      <c r="M2981">
        <v>0.99778259999999996</v>
      </c>
      <c r="N2981">
        <v>0</v>
      </c>
      <c r="O2981">
        <v>-6.5889009999999998E-2</v>
      </c>
      <c r="P2981">
        <v>0.99995670000000003</v>
      </c>
      <c r="Q2981">
        <v>2.3009940000000002E-3</v>
      </c>
      <c r="R2981">
        <v>-9.0249979999999994E-3</v>
      </c>
      <c r="S2981">
        <v>3.00061</v>
      </c>
      <c r="T2981">
        <v>-0.23514360000000001</v>
      </c>
      <c r="U2981">
        <v>-8.9721680000000009E-3</v>
      </c>
      <c r="V2981">
        <v>-5.6889559999999999E-2</v>
      </c>
      <c r="W2981">
        <v>1.1661090000000001E-2</v>
      </c>
      <c r="X2981">
        <v>0.99831239999999999</v>
      </c>
      <c r="Y2981">
        <v>-6.2514599999999906E-2</v>
      </c>
      <c r="Z2981">
        <v>7.5985189999999998E-3</v>
      </c>
      <c r="AA2981">
        <v>0.99801510000000004</v>
      </c>
      <c r="AB2981">
        <v>36</v>
      </c>
      <c r="AC2981">
        <v>13.819899999999899</v>
      </c>
      <c r="AD2981">
        <v>-1.1098510313887999</v>
      </c>
      <c r="AE2981">
        <v>-2.0099999999985099E-2</v>
      </c>
      <c r="AF2981">
        <v>-0.88485673050353097</v>
      </c>
      <c r="AG2981">
        <v>-1.1098510313887999</v>
      </c>
      <c r="AH2981">
        <v>13.7028157378472</v>
      </c>
      <c r="AI2981">
        <v>94.620945470166205</v>
      </c>
      <c r="AJ2981">
        <v>93.694734241491503</v>
      </c>
      <c r="AK2981">
        <v>13.7761351579747</v>
      </c>
      <c r="AL2981">
        <v>89.331853632411907</v>
      </c>
      <c r="AM2981">
        <v>93.261514371323798</v>
      </c>
      <c r="AN2981">
        <v>1.00000002552537</v>
      </c>
    </row>
    <row r="2982" spans="1:40" x14ac:dyDescent="0.3">
      <c r="A2982" t="str">
        <f>"20200111160512647"</f>
        <v>20200111160512647</v>
      </c>
      <c r="B2982" t="str">
        <f>"1578729912643819"</f>
        <v>1578729912643819</v>
      </c>
      <c r="C2982" t="s">
        <v>40</v>
      </c>
      <c r="D2982">
        <v>5.5673550000000001</v>
      </c>
      <c r="E2982">
        <v>0.5005714</v>
      </c>
      <c r="F2982" t="s">
        <v>61</v>
      </c>
      <c r="G2982">
        <v>-309.22710000000001</v>
      </c>
      <c r="H2982" s="1">
        <v>1.016524E-6</v>
      </c>
      <c r="I2982">
        <v>214.89</v>
      </c>
      <c r="J2982">
        <v>-322.95209999999997</v>
      </c>
      <c r="K2982">
        <v>1.109966</v>
      </c>
      <c r="L2982">
        <v>214.93100000000001</v>
      </c>
      <c r="M2982">
        <v>0.99782000000000004</v>
      </c>
      <c r="N2982">
        <v>0</v>
      </c>
      <c r="O2982">
        <v>-6.5321749999999998E-2</v>
      </c>
      <c r="P2982">
        <v>0.99997250000000004</v>
      </c>
      <c r="Q2982">
        <v>1.7953520000000001E-3</v>
      </c>
      <c r="R2982">
        <v>-7.2193580000000004E-3</v>
      </c>
      <c r="S2982">
        <v>3.0005190000000002</v>
      </c>
      <c r="T2982">
        <v>-0.2363468</v>
      </c>
      <c r="U2982">
        <v>-1.3748170000000001E-2</v>
      </c>
      <c r="V2982">
        <v>-5.8127539999999998E-2</v>
      </c>
      <c r="W2982">
        <v>1.114948E-2</v>
      </c>
      <c r="X2982">
        <v>0.99824690000000005</v>
      </c>
      <c r="Y2982">
        <v>-6.036279E-2</v>
      </c>
      <c r="Z2982">
        <v>7.50826599999999E-3</v>
      </c>
      <c r="AA2982">
        <v>0.99814829999999999</v>
      </c>
      <c r="AB2982">
        <v>36</v>
      </c>
      <c r="AC2982">
        <v>13.7249999999999</v>
      </c>
      <c r="AD2982">
        <v>-1.1099649834759999</v>
      </c>
      <c r="AE2982">
        <v>-4.0999999999996803E-2</v>
      </c>
      <c r="AF2982">
        <v>-0.85010831949862997</v>
      </c>
      <c r="AG2982">
        <v>-1.1099649834759999</v>
      </c>
      <c r="AH2982">
        <v>13.6093549145106</v>
      </c>
      <c r="AI2982">
        <v>94.653634464534406</v>
      </c>
      <c r="AJ2982">
        <v>93.574336673520506</v>
      </c>
      <c r="AK2982">
        <v>13.680981237050799</v>
      </c>
      <c r="AL2982">
        <v>89.361168614607607</v>
      </c>
      <c r="AM2982">
        <v>93.332548457919998</v>
      </c>
      <c r="AN2982">
        <v>0.999999997585166</v>
      </c>
    </row>
    <row r="2983" spans="1:40" x14ac:dyDescent="0.3">
      <c r="A2983" t="str">
        <f>"20200111160512671"</f>
        <v>20200111160512671</v>
      </c>
      <c r="B2983" t="str">
        <f>"1578729912664315"</f>
        <v>1578729912664315</v>
      </c>
      <c r="C2983" t="s">
        <v>40</v>
      </c>
      <c r="D2983">
        <v>6.3210480000000002</v>
      </c>
      <c r="E2983">
        <v>0.50114170000000002</v>
      </c>
      <c r="F2983" t="s">
        <v>61</v>
      </c>
      <c r="G2983">
        <v>-309.08870000000002</v>
      </c>
      <c r="H2983" s="1">
        <v>1.0410700000000001E-6</v>
      </c>
      <c r="I2983">
        <v>214.84630000000001</v>
      </c>
      <c r="J2983">
        <v>-322.55799999999999</v>
      </c>
      <c r="K2983">
        <v>1.110058</v>
      </c>
      <c r="L2983">
        <v>214.9058</v>
      </c>
      <c r="M2983">
        <v>0.99786490000000005</v>
      </c>
      <c r="N2983">
        <v>0</v>
      </c>
      <c r="O2983">
        <v>-6.4630119999999999E-2</v>
      </c>
      <c r="P2983">
        <v>0.99998989999999999</v>
      </c>
      <c r="Q2983">
        <v>2.7197879999999998E-4</v>
      </c>
      <c r="R2983">
        <v>-4.4906410000000001E-3</v>
      </c>
      <c r="S2983">
        <v>3.0004270000000002</v>
      </c>
      <c r="T2983">
        <v>-0.240227</v>
      </c>
      <c r="U2983">
        <v>-1.8325810000000001E-2</v>
      </c>
      <c r="V2983">
        <v>-6.0160430000000001E-2</v>
      </c>
      <c r="W2983">
        <v>9.6198659999999995E-3</v>
      </c>
      <c r="X2983">
        <v>0.99814239999999999</v>
      </c>
      <c r="Y2983">
        <v>-5.8144319999999999E-2</v>
      </c>
      <c r="Z2983">
        <v>7.487418E-3</v>
      </c>
      <c r="AA2983">
        <v>0.9982801</v>
      </c>
      <c r="AB2983">
        <v>36</v>
      </c>
      <c r="AC2983">
        <v>13.469299999999899</v>
      </c>
      <c r="AD2983">
        <v>-1.11005695893</v>
      </c>
      <c r="AE2983">
        <v>-5.9499999999985599E-2</v>
      </c>
      <c r="AF2983">
        <v>-0.80571311364848996</v>
      </c>
      <c r="AG2983">
        <v>-1.11005695893</v>
      </c>
      <c r="AH2983">
        <v>13.3542816458395</v>
      </c>
      <c r="AI2983">
        <v>94.743126199449193</v>
      </c>
      <c r="AJ2983">
        <v>93.452680534164202</v>
      </c>
      <c r="AK2983">
        <v>13.4245386643258</v>
      </c>
      <c r="AL2983">
        <v>89.4488137964467</v>
      </c>
      <c r="AM2983">
        <v>93.449181037193298</v>
      </c>
      <c r="AN2983">
        <v>1.0000000349186999</v>
      </c>
    </row>
    <row r="2984" spans="1:40" x14ac:dyDescent="0.3">
      <c r="A2984" t="str">
        <f>"20200111160512693"</f>
        <v>20200111160512693</v>
      </c>
      <c r="B2984" t="str">
        <f>"1578729912684811"</f>
        <v>1578729912684811</v>
      </c>
      <c r="C2984" t="s">
        <v>40</v>
      </c>
      <c r="D2984">
        <v>5.6186259999999999</v>
      </c>
      <c r="E2984">
        <v>0.50171980000000005</v>
      </c>
      <c r="F2984" t="s">
        <v>61</v>
      </c>
      <c r="G2984">
        <v>-308.8467</v>
      </c>
      <c r="H2984" s="1">
        <v>1.0840009999999999E-6</v>
      </c>
      <c r="I2984">
        <v>214.8365</v>
      </c>
      <c r="J2984">
        <v>-322.20249999999999</v>
      </c>
      <c r="K2984">
        <v>1.11012</v>
      </c>
      <c r="L2984">
        <v>214.88329999999999</v>
      </c>
      <c r="M2984">
        <v>0.99790800000000002</v>
      </c>
      <c r="N2984">
        <v>0</v>
      </c>
      <c r="O2984">
        <v>-6.3960619999999996E-2</v>
      </c>
      <c r="P2984">
        <v>0.99999890000000002</v>
      </c>
      <c r="Q2984">
        <v>-1.181444E-3</v>
      </c>
      <c r="R2984">
        <v>-1.1372789999999999E-3</v>
      </c>
      <c r="S2984">
        <v>3</v>
      </c>
      <c r="T2984">
        <v>-0.24287810000000001</v>
      </c>
      <c r="U2984">
        <v>-1.516724E-2</v>
      </c>
      <c r="V2984">
        <v>-6.2838249999999998E-2</v>
      </c>
      <c r="W2984">
        <v>8.1612799999999999E-3</v>
      </c>
      <c r="X2984">
        <v>0.99799040000000006</v>
      </c>
      <c r="Y2984">
        <v>-5.8516840000000001E-2</v>
      </c>
      <c r="Z2984">
        <v>7.5319469999999998E-3</v>
      </c>
      <c r="AA2984">
        <v>0.99825799999999998</v>
      </c>
      <c r="AB2984">
        <v>36</v>
      </c>
      <c r="AC2984">
        <v>13.355799999999901</v>
      </c>
      <c r="AD2984">
        <v>-1.1101189159989999</v>
      </c>
      <c r="AE2984">
        <v>-4.6799999999990398E-2</v>
      </c>
      <c r="AF2984">
        <v>-0.80203794803251105</v>
      </c>
      <c r="AG2984">
        <v>-1.1101189159989999</v>
      </c>
      <c r="AH2984">
        <v>13.239973552953099</v>
      </c>
      <c r="AI2984">
        <v>94.784082993271397</v>
      </c>
      <c r="AJ2984">
        <v>93.466570601746795</v>
      </c>
      <c r="AK2984">
        <v>13.310617136731199</v>
      </c>
      <c r="AL2984">
        <v>89.532387930671504</v>
      </c>
      <c r="AM2984">
        <v>93.602860149544</v>
      </c>
      <c r="AN2984">
        <v>1.0000000453232201</v>
      </c>
    </row>
    <row r="2985" spans="1:40" x14ac:dyDescent="0.3">
      <c r="A2985" t="str">
        <f>"20200111160512714"</f>
        <v>20200111160512714</v>
      </c>
      <c r="B2985" t="str">
        <f>"1578729912704330"</f>
        <v>1578729912704330</v>
      </c>
      <c r="C2985" t="s">
        <v>40</v>
      </c>
      <c r="D2985">
        <v>6.3804410000000003</v>
      </c>
      <c r="E2985">
        <v>0.50223229999999996</v>
      </c>
      <c r="F2985" t="s">
        <v>61</v>
      </c>
      <c r="G2985">
        <v>-308.36739999999998</v>
      </c>
      <c r="H2985" s="1">
        <v>1.169026E-6</v>
      </c>
      <c r="I2985">
        <v>214.8364</v>
      </c>
      <c r="J2985">
        <v>-321.86829999999998</v>
      </c>
      <c r="K2985">
        <v>1.1101570000000001</v>
      </c>
      <c r="L2985">
        <v>214.86250000000001</v>
      </c>
      <c r="M2985">
        <v>0.99794950000000004</v>
      </c>
      <c r="N2985">
        <v>0</v>
      </c>
      <c r="O2985">
        <v>-6.330645E-2</v>
      </c>
      <c r="P2985">
        <v>0.99999479999999996</v>
      </c>
      <c r="Q2985">
        <v>-2.497399E-3</v>
      </c>
      <c r="R2985">
        <v>2.1419159999999998E-3</v>
      </c>
      <c r="S2985">
        <v>2.999695</v>
      </c>
      <c r="T2985">
        <v>-0.24069280000000001</v>
      </c>
      <c r="U2985">
        <v>-1.017761E-2</v>
      </c>
      <c r="V2985">
        <v>-6.5455550000000001E-2</v>
      </c>
      <c r="W2985">
        <v>6.8414309999999898E-3</v>
      </c>
      <c r="X2985">
        <v>0.9978321</v>
      </c>
      <c r="Y2985">
        <v>-5.9528280000000003E-2</v>
      </c>
      <c r="Z2985">
        <v>7.4534359999999999E-3</v>
      </c>
      <c r="AA2985">
        <v>0.99819880000000005</v>
      </c>
      <c r="AB2985">
        <v>36</v>
      </c>
      <c r="AC2985">
        <v>13.5009</v>
      </c>
      <c r="AD2985">
        <v>-1.1101558309740001</v>
      </c>
      <c r="AE2985">
        <v>-2.6100000000013699E-2</v>
      </c>
      <c r="AF2985">
        <v>-0.82311899242716802</v>
      </c>
      <c r="AG2985">
        <v>-1.1101558309740001</v>
      </c>
      <c r="AH2985">
        <v>13.3849669831787</v>
      </c>
      <c r="AI2985">
        <v>94.732389250760605</v>
      </c>
      <c r="AJ2985">
        <v>93.519017156631094</v>
      </c>
      <c r="AK2985">
        <v>13.4561254447751</v>
      </c>
      <c r="AL2985">
        <v>89.608011846245901</v>
      </c>
      <c r="AM2985">
        <v>93.753097645805397</v>
      </c>
      <c r="AN2985">
        <v>1.00000006699716</v>
      </c>
    </row>
    <row r="2986" spans="1:40" x14ac:dyDescent="0.3">
      <c r="A2986" t="str">
        <f>"20200111160512736"</f>
        <v>20200111160512736</v>
      </c>
      <c r="B2986" t="str">
        <f>"1578729912734587"</f>
        <v>1578729912734587</v>
      </c>
      <c r="C2986" t="s">
        <v>40</v>
      </c>
      <c r="D2986">
        <v>6.4413589999999896</v>
      </c>
      <c r="E2986">
        <v>0.50235429999999903</v>
      </c>
      <c r="F2986" t="s">
        <v>61</v>
      </c>
      <c r="G2986">
        <v>-308.18310000000002</v>
      </c>
      <c r="H2986" s="1">
        <v>1.201705E-6</v>
      </c>
      <c r="I2986">
        <v>214.8426</v>
      </c>
      <c r="J2986">
        <v>-321.5009</v>
      </c>
      <c r="K2986">
        <v>1.1101810000000001</v>
      </c>
      <c r="L2986">
        <v>214.8398</v>
      </c>
      <c r="M2986">
        <v>0.99799530000000003</v>
      </c>
      <c r="N2986">
        <v>0</v>
      </c>
      <c r="O2986">
        <v>-6.2578960000000003E-2</v>
      </c>
      <c r="P2986">
        <v>0.99997820000000004</v>
      </c>
      <c r="Q2986">
        <v>-4.183806E-3</v>
      </c>
      <c r="R2986">
        <v>5.1591379999999997E-3</v>
      </c>
      <c r="S2986">
        <v>2.9994200000000002</v>
      </c>
      <c r="T2986">
        <v>-0.24331720000000001</v>
      </c>
      <c r="U2986">
        <v>-4.3487550000000002E-3</v>
      </c>
      <c r="V2986">
        <v>-6.7736569999999996E-2</v>
      </c>
      <c r="W2986">
        <v>5.153459E-3</v>
      </c>
      <c r="X2986">
        <v>0.99768990000000002</v>
      </c>
      <c r="Y2986">
        <v>-6.0729810000000002E-2</v>
      </c>
      <c r="Z2986">
        <v>7.5250489999999998E-3</v>
      </c>
      <c r="AA2986">
        <v>0.99812590000000001</v>
      </c>
      <c r="AB2986">
        <v>36</v>
      </c>
      <c r="AC2986">
        <v>13.317799999999901</v>
      </c>
      <c r="AD2986">
        <v>-1.1101797982949999</v>
      </c>
      <c r="AE2986">
        <v>2.80000000000768E-3</v>
      </c>
      <c r="AF2986">
        <v>-0.83047482004032103</v>
      </c>
      <c r="AG2986">
        <v>-1.1101797982949999</v>
      </c>
      <c r="AH2986">
        <v>13.199794534160301</v>
      </c>
      <c r="AI2986">
        <v>94.798152278452093</v>
      </c>
      <c r="AJ2986">
        <v>93.600061131036597</v>
      </c>
      <c r="AK2986">
        <v>13.272406087643301</v>
      </c>
      <c r="AL2986">
        <v>89.704727233203798</v>
      </c>
      <c r="AM2986">
        <v>93.884045344983903</v>
      </c>
      <c r="AN2986">
        <v>0.99999996880851905</v>
      </c>
    </row>
    <row r="2987" spans="1:40" x14ac:dyDescent="0.3">
      <c r="A2987" t="str">
        <f>"20200111160513050"</f>
        <v>20200111160513050</v>
      </c>
      <c r="B2987" t="str">
        <f>"1578729913044589"</f>
        <v>1578729913044589</v>
      </c>
      <c r="C2987" t="s">
        <v>40</v>
      </c>
      <c r="D2987">
        <v>5.2581369999999996</v>
      </c>
      <c r="E2987">
        <v>0.50235429999999903</v>
      </c>
      <c r="F2987" t="s">
        <v>61</v>
      </c>
      <c r="G2987">
        <v>-307.94720000000001</v>
      </c>
      <c r="H2987" s="1">
        <v>1.2435550000000001E-6</v>
      </c>
      <c r="I2987">
        <v>214.85810000000001</v>
      </c>
      <c r="J2987">
        <v>-316.351</v>
      </c>
      <c r="K2987">
        <v>1.110231</v>
      </c>
      <c r="L2987">
        <v>214.5462</v>
      </c>
      <c r="M2987">
        <v>0.99849140000000003</v>
      </c>
      <c r="N2987">
        <v>0</v>
      </c>
      <c r="O2987">
        <v>-5.3969830000000003E-2</v>
      </c>
      <c r="P2987">
        <v>0.99973769999999995</v>
      </c>
      <c r="Q2987">
        <v>-2.1910019999999999E-2</v>
      </c>
      <c r="R2987">
        <v>6.6984189999999997E-3</v>
      </c>
      <c r="S2987">
        <v>2.998993</v>
      </c>
      <c r="T2987">
        <v>-0.2456467</v>
      </c>
      <c r="U2987">
        <v>4.0435790000000003E-3</v>
      </c>
      <c r="V2987">
        <v>-6.0630610000000001E-2</v>
      </c>
      <c r="W2987">
        <v>-1.188757E-2</v>
      </c>
      <c r="X2987">
        <v>0.99808949999999996</v>
      </c>
      <c r="Y2987">
        <v>-5.4954219999999998E-2</v>
      </c>
      <c r="Z2987">
        <v>6.6587950000000003E-3</v>
      </c>
      <c r="AA2987">
        <v>0.99846670000000004</v>
      </c>
      <c r="AB2987">
        <v>37</v>
      </c>
      <c r="AC2987">
        <v>8.4037999999999897</v>
      </c>
      <c r="AD2987">
        <v>-1.1102297564450001</v>
      </c>
      <c r="AE2987">
        <v>0.311900000000008</v>
      </c>
      <c r="AF2987">
        <v>-0.75191496404452796</v>
      </c>
      <c r="AG2987">
        <v>-1.1102297564450001</v>
      </c>
      <c r="AH2987">
        <v>8.2312528821073094</v>
      </c>
      <c r="AI2987">
        <v>97.650210962612405</v>
      </c>
      <c r="AJ2987">
        <v>95.219414132738194</v>
      </c>
      <c r="AK2987">
        <v>8.3397548066145202</v>
      </c>
      <c r="AL2987">
        <v>90.681123620407604</v>
      </c>
      <c r="AM2987">
        <v>93.476255832762305</v>
      </c>
      <c r="AN2987">
        <v>1.00000001759986</v>
      </c>
    </row>
    <row r="2988" spans="1:40" x14ac:dyDescent="0.3">
      <c r="A2988" t="str">
        <f>"20200111160513072"</f>
        <v>20200111160513072</v>
      </c>
      <c r="B2988" t="str">
        <f>"1578729913064109"</f>
        <v>1578729913064109</v>
      </c>
      <c r="C2988" t="s">
        <v>40</v>
      </c>
      <c r="D2988">
        <v>4.1848910000000004</v>
      </c>
      <c r="E2988">
        <v>0.50235429999999903</v>
      </c>
      <c r="F2988" t="s">
        <v>61</v>
      </c>
      <c r="G2988">
        <v>-305.22770000000003</v>
      </c>
      <c r="H2988" s="1">
        <v>1.7259540000000001E-6</v>
      </c>
      <c r="I2988">
        <v>214.584</v>
      </c>
      <c r="J2988">
        <v>-315.97120000000001</v>
      </c>
      <c r="K2988">
        <v>1.1102860000000001</v>
      </c>
      <c r="L2988">
        <v>214.52619999999999</v>
      </c>
      <c r="M2988">
        <v>0.99851849999999998</v>
      </c>
      <c r="N2988">
        <v>0</v>
      </c>
      <c r="O2988">
        <v>-5.3405569999999999E-2</v>
      </c>
      <c r="P2988">
        <v>0.99970029999999999</v>
      </c>
      <c r="Q2988">
        <v>-2.387767E-2</v>
      </c>
      <c r="R2988">
        <v>5.451834E-3</v>
      </c>
      <c r="S2988">
        <v>2.9941710000000001</v>
      </c>
      <c r="T2988">
        <v>-0.2988518</v>
      </c>
      <c r="U2988">
        <v>1.019287E-2</v>
      </c>
      <c r="V2988">
        <v>-5.8817420000000002E-2</v>
      </c>
      <c r="W2988">
        <v>-1.354528E-2</v>
      </c>
      <c r="X2988">
        <v>0.99817690000000003</v>
      </c>
      <c r="Y2988">
        <v>-5.6262760000000002E-2</v>
      </c>
      <c r="Z2988">
        <v>8.1166150000000006E-3</v>
      </c>
      <c r="AA2988">
        <v>0.99838300000000002</v>
      </c>
      <c r="AB2988">
        <v>37</v>
      </c>
      <c r="AC2988">
        <v>10.7434999999999</v>
      </c>
      <c r="AD2988">
        <v>-1.1102842740459999</v>
      </c>
      <c r="AE2988">
        <v>5.78000000000145E-2</v>
      </c>
      <c r="AF2988">
        <v>-0.62483825381254399</v>
      </c>
      <c r="AG2988">
        <v>-1.1102842740459999</v>
      </c>
      <c r="AH2988">
        <v>10.611747687086799</v>
      </c>
      <c r="AI2988">
        <v>95.962748587731596</v>
      </c>
      <c r="AJ2988">
        <v>93.369784832695203</v>
      </c>
      <c r="AK2988">
        <v>10.6879531710713</v>
      </c>
      <c r="AL2988">
        <v>90.776111076497102</v>
      </c>
      <c r="AM2988">
        <v>93.372245618187904</v>
      </c>
      <c r="AN2988">
        <v>1.0000000435996701</v>
      </c>
    </row>
    <row r="2989" spans="1:40" x14ac:dyDescent="0.3">
      <c r="A2989" t="str">
        <f>"20200111160513094"</f>
        <v>20200111160513094</v>
      </c>
      <c r="B2989" t="str">
        <f>"1578729913084605"</f>
        <v>1578729913084605</v>
      </c>
      <c r="C2989" t="s">
        <v>40</v>
      </c>
      <c r="D2989">
        <v>5.07111</v>
      </c>
      <c r="E2989">
        <v>0.33997149999999998</v>
      </c>
      <c r="F2989" t="s">
        <v>61</v>
      </c>
      <c r="G2989">
        <v>-305.06529999999998</v>
      </c>
      <c r="H2989" s="1">
        <v>1.7547619999999999E-6</v>
      </c>
      <c r="I2989">
        <v>214.5488</v>
      </c>
      <c r="J2989">
        <v>-315.6232</v>
      </c>
      <c r="K2989">
        <v>1.1103419999999999</v>
      </c>
      <c r="L2989">
        <v>214.50810000000001</v>
      </c>
      <c r="M2989">
        <v>0.99854219999999905</v>
      </c>
      <c r="N2989">
        <v>0</v>
      </c>
      <c r="O2989">
        <v>-5.2890699999999902E-2</v>
      </c>
      <c r="P2989">
        <v>0.99968330000000005</v>
      </c>
      <c r="Q2989">
        <v>-2.456697E-2</v>
      </c>
      <c r="R2989">
        <v>5.4692569999999999E-3</v>
      </c>
      <c r="S2989">
        <v>2.9936219999999998</v>
      </c>
      <c r="T2989">
        <v>-0.30476890000000001</v>
      </c>
      <c r="U2989">
        <v>6.1950679999999998E-3</v>
      </c>
      <c r="V2989">
        <v>-5.8319749999999997E-2</v>
      </c>
      <c r="W2989">
        <v>-1.389116E-2</v>
      </c>
      <c r="X2989">
        <v>0.99820129999999996</v>
      </c>
      <c r="Y2989">
        <v>-5.4405740000000001E-2</v>
      </c>
      <c r="Z2989">
        <v>8.1314850000000008E-3</v>
      </c>
      <c r="AA2989">
        <v>0.99848579999999998</v>
      </c>
      <c r="AB2989">
        <v>37</v>
      </c>
      <c r="AC2989">
        <v>10.5579</v>
      </c>
      <c r="AD2989">
        <v>-1.110340245238</v>
      </c>
      <c r="AE2989">
        <v>4.0699999999986802E-2</v>
      </c>
      <c r="AF2989">
        <v>-0.59253676328376503</v>
      </c>
      <c r="AG2989">
        <v>-1.110340245238</v>
      </c>
      <c r="AH2989">
        <v>10.425661077210201</v>
      </c>
      <c r="AI2989">
        <v>96.069404635599298</v>
      </c>
      <c r="AJ2989">
        <v>93.252874972555205</v>
      </c>
      <c r="AK2989">
        <v>10.501350588038299</v>
      </c>
      <c r="AL2989">
        <v>90.795930442467906</v>
      </c>
      <c r="AM2989">
        <v>93.343695610723401</v>
      </c>
      <c r="AN2989">
        <v>0.99999999644394899</v>
      </c>
    </row>
    <row r="2990" spans="1:40" x14ac:dyDescent="0.3">
      <c r="A2990" t="str">
        <f>"20200111160513116"</f>
        <v>20200111160513116</v>
      </c>
      <c r="B2990" t="str">
        <f>"1578729913104525"</f>
        <v>1578729913104525</v>
      </c>
      <c r="C2990" t="s">
        <v>40</v>
      </c>
      <c r="D2990">
        <v>4.1594179999999996</v>
      </c>
      <c r="E2990">
        <v>0.33997149999999998</v>
      </c>
      <c r="F2990" t="s">
        <v>74</v>
      </c>
      <c r="G2990">
        <v>-251.17609999999999</v>
      </c>
      <c r="H2990">
        <v>78.746619999999993</v>
      </c>
      <c r="I2990">
        <v>238.5369</v>
      </c>
      <c r="J2990">
        <v>-315.25760000000002</v>
      </c>
      <c r="K2990">
        <v>1.110398</v>
      </c>
      <c r="L2990">
        <v>214.48929999999999</v>
      </c>
      <c r="M2990">
        <v>0.99856670000000003</v>
      </c>
      <c r="N2990">
        <v>0</v>
      </c>
      <c r="O2990">
        <v>-5.2342130000000001E-2</v>
      </c>
      <c r="P2990">
        <v>0.99966739999999998</v>
      </c>
      <c r="Q2990">
        <v>-2.5290199999999999E-2</v>
      </c>
      <c r="R2990">
        <v>5.0666690000000002E-3</v>
      </c>
      <c r="S2990">
        <v>3.0860599999999998</v>
      </c>
      <c r="T2990">
        <v>3.7176260000000001</v>
      </c>
      <c r="U2990">
        <v>1.15062</v>
      </c>
      <c r="V2990">
        <v>-5.7368929999999999E-2</v>
      </c>
      <c r="W2990">
        <v>-1.421388E-2</v>
      </c>
      <c r="X2990">
        <v>0.99825189999999997</v>
      </c>
      <c r="Y2990">
        <v>-0.2456633</v>
      </c>
      <c r="Z2990">
        <v>-0.16181389999999901</v>
      </c>
      <c r="AA2990">
        <v>0.95575399999999999</v>
      </c>
      <c r="AB2990">
        <v>37</v>
      </c>
      <c r="AC2990">
        <v>64.081500000000005</v>
      </c>
      <c r="AD2990">
        <v>77.636221999999904</v>
      </c>
      <c r="AE2990">
        <v>24.047599999999999</v>
      </c>
      <c r="AF2990">
        <v>-11.9692842247643</v>
      </c>
      <c r="AG2990">
        <v>77.636221999999904</v>
      </c>
      <c r="AH2990">
        <v>27.435834228522499</v>
      </c>
      <c r="AI2990">
        <v>21.084418939359701</v>
      </c>
      <c r="AJ2990">
        <v>113.569941027878</v>
      </c>
      <c r="AK2990">
        <v>83.206800990672804</v>
      </c>
      <c r="AL2990">
        <v>90.814422725284402</v>
      </c>
      <c r="AM2990">
        <v>93.2891357668437</v>
      </c>
      <c r="AN2990">
        <v>1.0000000421838</v>
      </c>
    </row>
    <row r="2991" spans="1:40" x14ac:dyDescent="0.3">
      <c r="A2991" t="str">
        <f>"20200111160513139"</f>
        <v>20200111160513139</v>
      </c>
      <c r="B2991" t="str">
        <f>"1578729913134781"</f>
        <v>1578729913134781</v>
      </c>
      <c r="C2991" t="s">
        <v>40</v>
      </c>
      <c r="D2991">
        <v>4.802378</v>
      </c>
      <c r="E2991">
        <v>0.4825024</v>
      </c>
      <c r="F2991" t="s">
        <v>74</v>
      </c>
      <c r="G2991">
        <v>-251.17590000000001</v>
      </c>
      <c r="H2991">
        <v>78.197220000000002</v>
      </c>
      <c r="I2991">
        <v>238.309</v>
      </c>
      <c r="J2991">
        <v>-314.8809</v>
      </c>
      <c r="K2991">
        <v>1.1104510000000001</v>
      </c>
      <c r="L2991">
        <v>214.4701</v>
      </c>
      <c r="M2991">
        <v>0.99859200000000004</v>
      </c>
      <c r="N2991">
        <v>0</v>
      </c>
      <c r="O2991">
        <v>-5.1769280000000001E-2</v>
      </c>
      <c r="P2991">
        <v>0.99967720000000004</v>
      </c>
      <c r="Q2991">
        <v>-2.4868149999999999E-2</v>
      </c>
      <c r="R2991">
        <v>5.2198399999999999E-3</v>
      </c>
      <c r="S2991">
        <v>3.089172</v>
      </c>
      <c r="T2991">
        <v>3.7161080000000002</v>
      </c>
      <c r="U2991">
        <v>1.1482699999999999</v>
      </c>
      <c r="V2991">
        <v>-5.6951170000000002E-2</v>
      </c>
      <c r="W2991">
        <v>-1.338022E-2</v>
      </c>
      <c r="X2991">
        <v>0.99828729999999999</v>
      </c>
      <c r="Y2991">
        <v>-0.24508469999999999</v>
      </c>
      <c r="Z2991">
        <v>-0.16088350000000001</v>
      </c>
      <c r="AA2991">
        <v>0.95605960000000001</v>
      </c>
      <c r="AB2991">
        <v>37</v>
      </c>
      <c r="AC2991">
        <v>63.704999999999899</v>
      </c>
      <c r="AD2991">
        <v>77.086768999999904</v>
      </c>
      <c r="AE2991">
        <v>23.838899999999999</v>
      </c>
      <c r="AF2991">
        <v>-11.8653776950181</v>
      </c>
      <c r="AG2991">
        <v>77.086768999999904</v>
      </c>
      <c r="AH2991">
        <v>27.3094551883744</v>
      </c>
      <c r="AI2991">
        <v>21.1196720153158</v>
      </c>
      <c r="AJ2991">
        <v>113.483921629401</v>
      </c>
      <c r="AK2991">
        <v>82.637542832483902</v>
      </c>
      <c r="AL2991">
        <v>90.766653012034496</v>
      </c>
      <c r="AM2991">
        <v>93.265120789272203</v>
      </c>
      <c r="AN2991">
        <v>0.99999999969645303</v>
      </c>
    </row>
    <row r="2992" spans="1:40" x14ac:dyDescent="0.3">
      <c r="A2992" t="str">
        <f>"20200111160513154"</f>
        <v>20200111160513154</v>
      </c>
      <c r="B2992" t="str">
        <f>"1578729913144541"</f>
        <v>1578729913144541</v>
      </c>
      <c r="C2992" t="s">
        <v>40</v>
      </c>
      <c r="D2992">
        <v>4.8498060000000001</v>
      </c>
      <c r="E2992">
        <v>0.48168080000000002</v>
      </c>
      <c r="F2992" t="s">
        <v>61</v>
      </c>
      <c r="G2992">
        <v>-284.41329999999999</v>
      </c>
      <c r="H2992" s="1">
        <v>4.961469E-6</v>
      </c>
      <c r="I2992">
        <v>216.06190000000001</v>
      </c>
      <c r="J2992">
        <v>-314.63380000000001</v>
      </c>
      <c r="K2992">
        <v>1.1104860000000001</v>
      </c>
      <c r="L2992">
        <v>214.45769999999999</v>
      </c>
      <c r="M2992">
        <v>0.99860839999999995</v>
      </c>
      <c r="N2992">
        <v>0</v>
      </c>
      <c r="O2992">
        <v>-5.1393300000000003E-2</v>
      </c>
      <c r="P2992">
        <v>0.99969379999999997</v>
      </c>
      <c r="Q2992">
        <v>-2.4028089999999998E-2</v>
      </c>
      <c r="R2992">
        <v>5.9164200000000004E-3</v>
      </c>
      <c r="S2992">
        <v>2.9974370000000001</v>
      </c>
      <c r="T2992">
        <v>-0.109247</v>
      </c>
      <c r="U2992">
        <v>0.15660099999999999</v>
      </c>
      <c r="V2992">
        <v>-5.7273289999999998E-2</v>
      </c>
      <c r="W2992">
        <v>-1.228608E-2</v>
      </c>
      <c r="X2992">
        <v>0.99828289999999997</v>
      </c>
      <c r="Y2992">
        <v>-0.1033292</v>
      </c>
      <c r="Z2992">
        <v>3.752469E-3</v>
      </c>
      <c r="AA2992">
        <v>0.99464010000000003</v>
      </c>
      <c r="AB2992">
        <v>37</v>
      </c>
      <c r="AC2992">
        <v>30.220500000000001</v>
      </c>
      <c r="AD2992">
        <v>-1.110481038531</v>
      </c>
      <c r="AE2992">
        <v>1.6042000000000201</v>
      </c>
      <c r="AF2992">
        <v>-3.15107685251018</v>
      </c>
      <c r="AG2992">
        <v>-1.110481038531</v>
      </c>
      <c r="AH2992">
        <v>30.057635113773699</v>
      </c>
      <c r="AI2992">
        <v>92.104312093717496</v>
      </c>
      <c r="AJ2992">
        <v>95.984713182701498</v>
      </c>
      <c r="AK2992">
        <v>30.242749248375699</v>
      </c>
      <c r="AL2992">
        <v>90.703958267739395</v>
      </c>
      <c r="AM2992">
        <v>93.283562697170694</v>
      </c>
      <c r="AN2992">
        <v>0.99999996297079896</v>
      </c>
    </row>
    <row r="2993" spans="1:40" x14ac:dyDescent="0.3">
      <c r="A2993" t="str">
        <f>"20200111160513172"</f>
        <v>20200111160513172</v>
      </c>
      <c r="B2993" t="str">
        <f>"1578729913164060"</f>
        <v>1578729913164060</v>
      </c>
      <c r="C2993" t="s">
        <v>40</v>
      </c>
      <c r="D2993">
        <v>4.8429349999999998</v>
      </c>
      <c r="E2993">
        <v>0.48210520000000001</v>
      </c>
      <c r="F2993" t="s">
        <v>61</v>
      </c>
      <c r="G2993">
        <v>-285.36430000000001</v>
      </c>
      <c r="H2993" s="1">
        <v>4.5380340000000001E-6</v>
      </c>
      <c r="I2993">
        <v>216.07640000000001</v>
      </c>
      <c r="J2993">
        <v>-314.31330000000003</v>
      </c>
      <c r="K2993">
        <v>1.110528</v>
      </c>
      <c r="L2993">
        <v>214.44159999999999</v>
      </c>
      <c r="M2993">
        <v>0.9986294</v>
      </c>
      <c r="N2993">
        <v>0</v>
      </c>
      <c r="O2993">
        <v>-5.0909250000000003E-2</v>
      </c>
      <c r="P2993">
        <v>0.9997277</v>
      </c>
      <c r="Q2993">
        <v>-2.227436E-2</v>
      </c>
      <c r="R2993">
        <v>6.949396E-3</v>
      </c>
      <c r="S2993">
        <v>2.997131</v>
      </c>
      <c r="T2993">
        <v>-0.1137106</v>
      </c>
      <c r="U2993">
        <v>0.16575619999999999</v>
      </c>
      <c r="V2993">
        <v>-5.7826330000000002E-2</v>
      </c>
      <c r="W2993">
        <v>-1.022312E-2</v>
      </c>
      <c r="X2993">
        <v>0.99827429999999995</v>
      </c>
      <c r="Y2993">
        <v>-0.1058718</v>
      </c>
      <c r="Z2993">
        <v>3.9356410000000001E-3</v>
      </c>
      <c r="AA2993">
        <v>0.99437200000000003</v>
      </c>
      <c r="AB2993">
        <v>37</v>
      </c>
      <c r="AC2993">
        <v>28.949000000000002</v>
      </c>
      <c r="AD2993">
        <v>-1.110523461966</v>
      </c>
      <c r="AE2993">
        <v>1.63480000000001</v>
      </c>
      <c r="AF2993">
        <v>-3.1020100554941399</v>
      </c>
      <c r="AG2993">
        <v>-1.110523461966</v>
      </c>
      <c r="AH2993">
        <v>28.7859965542536</v>
      </c>
      <c r="AI2993">
        <v>92.196590864061903</v>
      </c>
      <c r="AJ2993">
        <v>96.150520775718405</v>
      </c>
      <c r="AK2993">
        <v>28.973942195798301</v>
      </c>
      <c r="AL2993">
        <v>90.585751840212097</v>
      </c>
      <c r="AM2993">
        <v>93.315227414349295</v>
      </c>
      <c r="AN2993">
        <v>0.99999998733214601</v>
      </c>
    </row>
    <row r="2994" spans="1:40" x14ac:dyDescent="0.3">
      <c r="A2994" t="str">
        <f>"20200111160513194"</f>
        <v>20200111160513194</v>
      </c>
      <c r="B2994" t="str">
        <f>"1578729913184557"</f>
        <v>1578729913184557</v>
      </c>
      <c r="C2994" t="s">
        <v>40</v>
      </c>
      <c r="D2994">
        <v>4.9644969999999997</v>
      </c>
      <c r="E2994">
        <v>0.48084189999999999</v>
      </c>
      <c r="F2994" t="s">
        <v>61</v>
      </c>
      <c r="G2994">
        <v>-287.2063</v>
      </c>
      <c r="H2994" s="1">
        <v>3.7372220000000002E-6</v>
      </c>
      <c r="I2994">
        <v>215.9417</v>
      </c>
      <c r="J2994">
        <v>-313.97190000000001</v>
      </c>
      <c r="K2994">
        <v>1.1105689999999999</v>
      </c>
      <c r="L2994">
        <v>214.4247</v>
      </c>
      <c r="M2994">
        <v>0.99865159999999997</v>
      </c>
      <c r="N2994">
        <v>0</v>
      </c>
      <c r="O2994">
        <v>-5.0399569999999998E-2</v>
      </c>
      <c r="P2994">
        <v>0.99974810000000003</v>
      </c>
      <c r="Q2994">
        <v>-2.057517E-2</v>
      </c>
      <c r="R2994">
        <v>8.9906989999999996E-3</v>
      </c>
      <c r="S2994">
        <v>2.996918</v>
      </c>
      <c r="T2994">
        <v>-0.1227781</v>
      </c>
      <c r="U2994">
        <v>0.16584779999999999</v>
      </c>
      <c r="V2994">
        <v>-5.9359639999999998E-2</v>
      </c>
      <c r="W2994">
        <v>-8.2237600000000001E-3</v>
      </c>
      <c r="X2994">
        <v>0.99820279999999995</v>
      </c>
      <c r="Y2994">
        <v>-0.1053808</v>
      </c>
      <c r="Z2994">
        <v>4.2186319999999999E-3</v>
      </c>
      <c r="AA2994">
        <v>0.99442299999999995</v>
      </c>
      <c r="AB2994">
        <v>37</v>
      </c>
      <c r="AC2994">
        <v>26.765599999999999</v>
      </c>
      <c r="AD2994">
        <v>-1.1105652627779901</v>
      </c>
      <c r="AE2994">
        <v>1.5169999999999899</v>
      </c>
      <c r="AF2994">
        <v>-2.8592442601114398</v>
      </c>
      <c r="AG2994">
        <v>-1.1105652627779901</v>
      </c>
      <c r="AH2994">
        <v>26.609452820040701</v>
      </c>
      <c r="AI2994">
        <v>92.376232121992302</v>
      </c>
      <c r="AJ2994">
        <v>96.133025905526196</v>
      </c>
      <c r="AK2994">
        <v>26.7856605728483</v>
      </c>
      <c r="AL2994">
        <v>90.471192044602603</v>
      </c>
      <c r="AM2994">
        <v>93.4031724976508</v>
      </c>
      <c r="AN2994">
        <v>1.00000001350865</v>
      </c>
    </row>
    <row r="2995" spans="1:40" x14ac:dyDescent="0.3">
      <c r="A2995" t="str">
        <f>"20200111160513217"</f>
        <v>20200111160513217</v>
      </c>
      <c r="B2995" t="str">
        <f>"1578729913204382"</f>
        <v>1578729913204382</v>
      </c>
      <c r="C2995" t="s">
        <v>40</v>
      </c>
      <c r="D2995">
        <v>4.9923109999999999</v>
      </c>
      <c r="E2995">
        <v>0.48061470000000001</v>
      </c>
      <c r="F2995" t="s">
        <v>61</v>
      </c>
      <c r="G2995">
        <v>-288.92149999999998</v>
      </c>
      <c r="H2995" s="1">
        <v>2.975418E-6</v>
      </c>
      <c r="I2995">
        <v>215.95140000000001</v>
      </c>
      <c r="J2995">
        <v>-313.60700000000003</v>
      </c>
      <c r="K2995">
        <v>1.110598</v>
      </c>
      <c r="L2995">
        <v>214.4068</v>
      </c>
      <c r="M2995">
        <v>0.99867499999999998</v>
      </c>
      <c r="N2995">
        <v>0</v>
      </c>
      <c r="O2995">
        <v>-4.985887E-2</v>
      </c>
      <c r="P2995">
        <v>0.9997587</v>
      </c>
      <c r="Q2995">
        <v>-1.920819E-2</v>
      </c>
      <c r="R2995">
        <v>1.066574E-2</v>
      </c>
      <c r="S2995">
        <v>2.9963679999999999</v>
      </c>
      <c r="T2995">
        <v>-0.13283900000000001</v>
      </c>
      <c r="U2995">
        <v>0.18261720000000001</v>
      </c>
      <c r="V2995">
        <v>-6.049508E-2</v>
      </c>
      <c r="W2995">
        <v>-6.5655779999999999E-3</v>
      </c>
      <c r="X2995">
        <v>0.99814689999999995</v>
      </c>
      <c r="Y2995">
        <v>-0.11037130000000001</v>
      </c>
      <c r="Z2995">
        <v>4.6507090000000003E-3</v>
      </c>
      <c r="AA2995">
        <v>0.99387959999999997</v>
      </c>
      <c r="AB2995">
        <v>37</v>
      </c>
      <c r="AC2995">
        <v>24.685500000000001</v>
      </c>
      <c r="AD2995">
        <v>-1.110595024582</v>
      </c>
      <c r="AE2995">
        <v>1.5446</v>
      </c>
      <c r="AF2995">
        <v>-2.7679888963338501</v>
      </c>
      <c r="AG2995">
        <v>-1.110595024582</v>
      </c>
      <c r="AH2995">
        <v>24.5283210733554</v>
      </c>
      <c r="AI2995">
        <v>92.576142406820594</v>
      </c>
      <c r="AJ2995">
        <v>96.438514727496297</v>
      </c>
      <c r="AK2995">
        <v>24.708980523616599</v>
      </c>
      <c r="AL2995">
        <v>90.376182613015999</v>
      </c>
      <c r="AM2995">
        <v>93.468305237722106</v>
      </c>
      <c r="AN2995">
        <v>0.99999999774914505</v>
      </c>
    </row>
    <row r="2996" spans="1:40" x14ac:dyDescent="0.3">
      <c r="A2996" t="str">
        <f>"20200111160513231"</f>
        <v>20200111160513231</v>
      </c>
      <c r="B2996" t="str">
        <f>"1578729913224878"</f>
        <v>1578729913224878</v>
      </c>
      <c r="C2996" t="s">
        <v>40</v>
      </c>
      <c r="D2996">
        <v>4.969303</v>
      </c>
      <c r="E2996">
        <v>0.48025709999999999</v>
      </c>
      <c r="F2996" t="s">
        <v>61</v>
      </c>
      <c r="G2996">
        <v>-289.20440000000002</v>
      </c>
      <c r="H2996" s="1">
        <v>2.8500050000000002E-6</v>
      </c>
      <c r="I2996">
        <v>215.9513</v>
      </c>
      <c r="J2996">
        <v>-313.36079999999998</v>
      </c>
      <c r="K2996">
        <v>1.1106119999999999</v>
      </c>
      <c r="L2996">
        <v>214.39490000000001</v>
      </c>
      <c r="M2996">
        <v>0.99869079999999999</v>
      </c>
      <c r="N2996">
        <v>0</v>
      </c>
      <c r="O2996">
        <v>-4.9494139999999999E-2</v>
      </c>
      <c r="P2996">
        <v>0.9997547</v>
      </c>
      <c r="Q2996">
        <v>-1.8875510000000002E-2</v>
      </c>
      <c r="R2996">
        <v>1.1592089999999999E-2</v>
      </c>
      <c r="S2996">
        <v>2.9960939999999998</v>
      </c>
      <c r="T2996">
        <v>-0.13635620000000001</v>
      </c>
      <c r="U2996">
        <v>0.18962100000000001</v>
      </c>
      <c r="V2996">
        <v>-6.1055949999999998E-2</v>
      </c>
      <c r="W2996">
        <v>-6.0538959999999996E-3</v>
      </c>
      <c r="X2996">
        <v>0.998116</v>
      </c>
      <c r="Y2996">
        <v>-0.1123181</v>
      </c>
      <c r="Z2996">
        <v>4.8015139999999998E-3</v>
      </c>
      <c r="AA2996">
        <v>0.99366069999999995</v>
      </c>
      <c r="AB2996">
        <v>37</v>
      </c>
      <c r="AC2996">
        <v>24.156399999999898</v>
      </c>
      <c r="AD2996">
        <v>-1.1106091499949999</v>
      </c>
      <c r="AE2996">
        <v>1.55639999999999</v>
      </c>
      <c r="AF2996">
        <v>-2.7444151924376001</v>
      </c>
      <c r="AG2996">
        <v>-1.1106091499949999</v>
      </c>
      <c r="AH2996">
        <v>23.999231016318799</v>
      </c>
      <c r="AI2996">
        <v>92.632446821631504</v>
      </c>
      <c r="AJ2996">
        <v>96.523680561764493</v>
      </c>
      <c r="AK2996">
        <v>24.181157060967401</v>
      </c>
      <c r="AL2996">
        <v>90.346864804298093</v>
      </c>
      <c r="AM2996">
        <v>93.500489558963096</v>
      </c>
      <c r="AN2996">
        <v>1.0000000140715899</v>
      </c>
    </row>
    <row r="2997" spans="1:40" x14ac:dyDescent="0.3">
      <c r="A2997" t="str">
        <f>"20200111160513246"</f>
        <v>20200111160513246</v>
      </c>
      <c r="B2997" t="str">
        <f>"1578729913234638"</f>
        <v>1578729913234638</v>
      </c>
      <c r="C2997" t="s">
        <v>40</v>
      </c>
      <c r="D2997">
        <v>4.8957810000000004</v>
      </c>
      <c r="E2997">
        <v>0.48025709999999999</v>
      </c>
      <c r="F2997" t="s">
        <v>61</v>
      </c>
      <c r="G2997">
        <v>-291.91430000000003</v>
      </c>
      <c r="H2997" s="1">
        <v>1.2339820000000001E-6</v>
      </c>
      <c r="I2997">
        <v>215.7997</v>
      </c>
      <c r="J2997">
        <v>-313.12630000000001</v>
      </c>
      <c r="K2997">
        <v>1.110622</v>
      </c>
      <c r="L2997">
        <v>214.3836</v>
      </c>
      <c r="M2997">
        <v>0.99870590000000004</v>
      </c>
      <c r="N2997">
        <v>0</v>
      </c>
      <c r="O2997">
        <v>-4.9146130000000003E-2</v>
      </c>
      <c r="P2997">
        <v>0.99975040000000004</v>
      </c>
      <c r="Q2997">
        <v>-1.8723389999999999E-2</v>
      </c>
      <c r="R2997">
        <v>1.2204130000000001E-2</v>
      </c>
      <c r="S2997">
        <v>2.995514</v>
      </c>
      <c r="T2997">
        <v>-0.15512329999999999</v>
      </c>
      <c r="U2997">
        <v>0.19621279999999999</v>
      </c>
      <c r="V2997">
        <v>-6.1320199999999998E-2</v>
      </c>
      <c r="W2997">
        <v>-5.7417040000000003E-3</v>
      </c>
      <c r="X2997">
        <v>0.99810169999999998</v>
      </c>
      <c r="Y2997">
        <v>-0.1141104</v>
      </c>
      <c r="Z2997">
        <v>5.4905750000000001E-3</v>
      </c>
      <c r="AA2997">
        <v>0.99345289999999997</v>
      </c>
      <c r="AB2997">
        <v>37</v>
      </c>
      <c r="AC2997">
        <v>21.2119999999999</v>
      </c>
      <c r="AD2997">
        <v>-1.1106207660179901</v>
      </c>
      <c r="AE2997">
        <v>1.4160999999999999</v>
      </c>
      <c r="AF2997">
        <v>-2.4502781138113501</v>
      </c>
      <c r="AG2997">
        <v>-1.1106207660179901</v>
      </c>
      <c r="AH2997">
        <v>21.059285981381802</v>
      </c>
      <c r="AI2997">
        <v>92.998665710871293</v>
      </c>
      <c r="AJ2997">
        <v>96.636605410049896</v>
      </c>
      <c r="AK2997">
        <v>21.230423155617</v>
      </c>
      <c r="AL2997">
        <v>90.3289771913648</v>
      </c>
      <c r="AM2997">
        <v>93.515651995817905</v>
      </c>
      <c r="AN2997">
        <v>1.0000000688178701</v>
      </c>
    </row>
    <row r="2998" spans="1:40" x14ac:dyDescent="0.3">
      <c r="A2998" t="str">
        <f>"20200111160513262"</f>
        <v>20200111160513262</v>
      </c>
      <c r="B2998" t="str">
        <f>"1578729913254161"</f>
        <v>1578729913254161</v>
      </c>
      <c r="C2998" t="s">
        <v>40</v>
      </c>
      <c r="D2998">
        <v>4.891394</v>
      </c>
      <c r="E2998">
        <v>0.48089270000000001</v>
      </c>
      <c r="F2998" t="s">
        <v>61</v>
      </c>
      <c r="G2998">
        <v>-291.61450000000002</v>
      </c>
      <c r="H2998" s="1">
        <v>1.1807890000000001E-6</v>
      </c>
      <c r="I2998">
        <v>215.8047</v>
      </c>
      <c r="J2998">
        <v>-312.84750000000003</v>
      </c>
      <c r="K2998">
        <v>1.1106309999999999</v>
      </c>
      <c r="L2998">
        <v>214.37029999999999</v>
      </c>
      <c r="M2998">
        <v>0.9987239</v>
      </c>
      <c r="N2998">
        <v>0</v>
      </c>
      <c r="O2998">
        <v>-4.8730870000000003E-2</v>
      </c>
      <c r="P2998">
        <v>0.99975309999999995</v>
      </c>
      <c r="Q2998">
        <v>-1.811188E-2</v>
      </c>
      <c r="R2998">
        <v>1.287953E-2</v>
      </c>
      <c r="S2998">
        <v>2.995422</v>
      </c>
      <c r="T2998">
        <v>-0.15464849999999999</v>
      </c>
      <c r="U2998">
        <v>0.197876</v>
      </c>
      <c r="V2998">
        <v>-6.158127E-2</v>
      </c>
      <c r="W2998">
        <v>-4.9569770000000004E-3</v>
      </c>
      <c r="X2998">
        <v>0.99808980000000003</v>
      </c>
      <c r="Y2998">
        <v>-0.1142504</v>
      </c>
      <c r="Z2998">
        <v>5.4560779999999996E-3</v>
      </c>
      <c r="AA2998">
        <v>0.99343700000000001</v>
      </c>
      <c r="AB2998">
        <v>37</v>
      </c>
      <c r="AC2998">
        <v>21.233000000000001</v>
      </c>
      <c r="AD2998">
        <v>-1.110629819211</v>
      </c>
      <c r="AE2998">
        <v>1.4344000000000099</v>
      </c>
      <c r="AF2998">
        <v>-2.4607869935503701</v>
      </c>
      <c r="AG2998">
        <v>-1.110629819211</v>
      </c>
      <c r="AH2998">
        <v>21.080449820241</v>
      </c>
      <c r="AI2998">
        <v>92.995553810896098</v>
      </c>
      <c r="AJ2998">
        <v>96.658182229201003</v>
      </c>
      <c r="AK2998">
        <v>21.252631268778099</v>
      </c>
      <c r="AL2998">
        <v>90.284015013960499</v>
      </c>
      <c r="AM2998">
        <v>93.530624048460297</v>
      </c>
      <c r="AN2998">
        <v>1.00000003664991</v>
      </c>
    </row>
    <row r="2999" spans="1:40" x14ac:dyDescent="0.3">
      <c r="A2999" t="str">
        <f>"20200111160513283"</f>
        <v>20200111160513283</v>
      </c>
      <c r="B2999" t="str">
        <f>"1578729913274653"</f>
        <v>1578729913274653</v>
      </c>
      <c r="C2999" t="s">
        <v>40</v>
      </c>
      <c r="D2999">
        <v>4.9559739999999897</v>
      </c>
      <c r="E2999">
        <v>0.48094959999999998</v>
      </c>
      <c r="F2999" t="s">
        <v>61</v>
      </c>
      <c r="G2999">
        <v>-290.80619999999999</v>
      </c>
      <c r="H2999" s="1">
        <v>1.0374119999999999E-6</v>
      </c>
      <c r="I2999">
        <v>215.80439999999999</v>
      </c>
      <c r="J2999">
        <v>-312.50760000000002</v>
      </c>
      <c r="K2999">
        <v>1.1106320000000001</v>
      </c>
      <c r="L2999">
        <v>214.35419999999999</v>
      </c>
      <c r="M2999">
        <v>0.99874620000000003</v>
      </c>
      <c r="N2999">
        <v>0</v>
      </c>
      <c r="O2999">
        <v>-4.8222399999999999E-2</v>
      </c>
      <c r="P2999">
        <v>0.99975170000000002</v>
      </c>
      <c r="Q2999">
        <v>-1.7823829999999999E-2</v>
      </c>
      <c r="R2999">
        <v>1.3379790000000001E-2</v>
      </c>
      <c r="S2999">
        <v>2.9954830000000001</v>
      </c>
      <c r="T2999">
        <v>-0.15093819999999999</v>
      </c>
      <c r="U2999">
        <v>0.1949005</v>
      </c>
      <c r="V2999">
        <v>-6.1573320000000001E-2</v>
      </c>
      <c r="W2999">
        <v>-4.479032E-3</v>
      </c>
      <c r="X2999">
        <v>0.99809250000000005</v>
      </c>
      <c r="Y2999">
        <v>-0.1127734</v>
      </c>
      <c r="Z2999">
        <v>5.262676E-3</v>
      </c>
      <c r="AA2999">
        <v>0.99360680000000001</v>
      </c>
      <c r="AB2999">
        <v>37</v>
      </c>
      <c r="AC2999">
        <v>21.7014</v>
      </c>
      <c r="AD2999">
        <v>-1.110630962588</v>
      </c>
      <c r="AE2999">
        <v>1.4501999999999899</v>
      </c>
      <c r="AF2999">
        <v>-2.4886115591508999</v>
      </c>
      <c r="AG2999">
        <v>-1.110630962588</v>
      </c>
      <c r="AH2999">
        <v>21.550017818216901</v>
      </c>
      <c r="AI2999">
        <v>92.930819443775405</v>
      </c>
      <c r="AJ2999">
        <v>96.587378599764804</v>
      </c>
      <c r="AK2999">
        <v>21.7216471887577</v>
      </c>
      <c r="AL2999">
        <v>90.256630491317694</v>
      </c>
      <c r="AM2999">
        <v>93.530159880227799</v>
      </c>
      <c r="AN2999">
        <v>0.99999998700986403</v>
      </c>
    </row>
    <row r="3000" spans="1:40" x14ac:dyDescent="0.3">
      <c r="A3000" t="str">
        <f>"20200111160513299"</f>
        <v>20200111160513299</v>
      </c>
      <c r="B3000" t="str">
        <f>"1578729913294174"</f>
        <v>1578729913294174</v>
      </c>
      <c r="C3000" t="s">
        <v>40</v>
      </c>
      <c r="D3000">
        <v>6.999784</v>
      </c>
      <c r="E3000">
        <v>0.48061510000000002</v>
      </c>
      <c r="F3000" t="s">
        <v>61</v>
      </c>
      <c r="G3000">
        <v>-288.16660000000002</v>
      </c>
      <c r="H3000" s="1">
        <v>3.3113169999999998E-6</v>
      </c>
      <c r="I3000">
        <v>215.94200000000001</v>
      </c>
      <c r="J3000">
        <v>-312.2559</v>
      </c>
      <c r="K3000">
        <v>1.1106339999999999</v>
      </c>
      <c r="L3000">
        <v>214.3424</v>
      </c>
      <c r="M3000">
        <v>0.99876259999999994</v>
      </c>
      <c r="N3000">
        <v>0</v>
      </c>
      <c r="O3000">
        <v>-4.7844680000000001E-2</v>
      </c>
      <c r="P3000">
        <v>0.99974600000000002</v>
      </c>
      <c r="Q3000">
        <v>-1.7972990000000001E-2</v>
      </c>
      <c r="R3000">
        <v>1.359177E-2</v>
      </c>
      <c r="S3000">
        <v>2.9957280000000002</v>
      </c>
      <c r="T3000">
        <v>-0.1366888</v>
      </c>
      <c r="U3000">
        <v>0.19541929999999999</v>
      </c>
      <c r="V3000">
        <v>-6.1407209999999997E-2</v>
      </c>
      <c r="W3000">
        <v>-4.5037799999999998E-3</v>
      </c>
      <c r="X3000">
        <v>0.99810270000000001</v>
      </c>
      <c r="Y3000">
        <v>-0.11260100000000001</v>
      </c>
      <c r="Z3000">
        <v>4.7448500000000001E-3</v>
      </c>
      <c r="AA3000">
        <v>0.99362899999999998</v>
      </c>
      <c r="AB3000">
        <v>37</v>
      </c>
      <c r="AC3000">
        <v>24.089299999999898</v>
      </c>
      <c r="AD3000">
        <v>-1.110630688683</v>
      </c>
      <c r="AE3000">
        <v>1.5995999999999999</v>
      </c>
      <c r="AF3000">
        <v>-2.7446103098992598</v>
      </c>
      <c r="AG3000">
        <v>-1.110630688683</v>
      </c>
      <c r="AH3000">
        <v>23.934515186839899</v>
      </c>
      <c r="AI3000">
        <v>92.639511133525701</v>
      </c>
      <c r="AJ3000">
        <v>96.541628104371995</v>
      </c>
      <c r="AK3000">
        <v>24.116952616550002</v>
      </c>
      <c r="AL3000">
        <v>90.258048441564895</v>
      </c>
      <c r="AM3000">
        <v>93.520624456336293</v>
      </c>
      <c r="AN3000">
        <v>1.0000000646107701</v>
      </c>
    </row>
    <row r="3001" spans="1:40" x14ac:dyDescent="0.3">
      <c r="A3001" t="str">
        <f>"20200111160513317"</f>
        <v>20200111160513317</v>
      </c>
      <c r="B3001" t="str">
        <f>"1578729913314200"</f>
        <v>1578729913314200</v>
      </c>
      <c r="C3001" t="s">
        <v>40</v>
      </c>
      <c r="D3001">
        <v>5.0600230000000002</v>
      </c>
      <c r="E3001">
        <v>0.4805893</v>
      </c>
      <c r="F3001" t="s">
        <v>61</v>
      </c>
      <c r="G3001">
        <v>-287.91239999999999</v>
      </c>
      <c r="H3001" s="1">
        <v>3.4225179999999999E-6</v>
      </c>
      <c r="I3001">
        <v>215.95490000000001</v>
      </c>
      <c r="J3001">
        <v>-311.9699</v>
      </c>
      <c r="K3001">
        <v>1.11063</v>
      </c>
      <c r="L3001">
        <v>214.32919999999999</v>
      </c>
      <c r="M3001">
        <v>0.99878129999999998</v>
      </c>
      <c r="N3001">
        <v>0</v>
      </c>
      <c r="O3001">
        <v>-4.7415489999999998E-2</v>
      </c>
      <c r="P3001">
        <v>0.99973900000000004</v>
      </c>
      <c r="Q3001">
        <v>-1.8990389999999999E-2</v>
      </c>
      <c r="R3001">
        <v>1.2711709999999999E-2</v>
      </c>
      <c r="S3001">
        <v>2.9956049999999999</v>
      </c>
      <c r="T3001">
        <v>-0.13666919999999999</v>
      </c>
      <c r="U3001">
        <v>0.1984253</v>
      </c>
      <c r="V3001">
        <v>-6.0098079999999998E-2</v>
      </c>
      <c r="W3001">
        <v>-5.3895799999999997E-3</v>
      </c>
      <c r="X3001">
        <v>0.99817789999999995</v>
      </c>
      <c r="Y3001">
        <v>-0.1131694</v>
      </c>
      <c r="Z3001">
        <v>4.7376190000000002E-3</v>
      </c>
      <c r="AA3001">
        <v>0.99356440000000001</v>
      </c>
      <c r="AB3001">
        <v>37</v>
      </c>
      <c r="AC3001">
        <v>24.057500000000001</v>
      </c>
      <c r="AD3001">
        <v>-1.1106265774819899</v>
      </c>
      <c r="AE3001">
        <v>1.6257000000000199</v>
      </c>
      <c r="AF3001">
        <v>-2.7588233432537601</v>
      </c>
      <c r="AG3001">
        <v>-1.1106265774819899</v>
      </c>
      <c r="AH3001">
        <v>23.902634715882499</v>
      </c>
      <c r="AI3001">
        <v>92.642792846011702</v>
      </c>
      <c r="AJ3001">
        <v>96.583901031838494</v>
      </c>
      <c r="AK3001">
        <v>24.0869372066023</v>
      </c>
      <c r="AL3001">
        <v>90.308801690558198</v>
      </c>
      <c r="AM3001">
        <v>93.445492690885203</v>
      </c>
      <c r="AN3001">
        <v>0.99999997342033597</v>
      </c>
    </row>
    <row r="3002" spans="1:40" x14ac:dyDescent="0.3">
      <c r="A3002" t="str">
        <f>"20200111160513340"</f>
        <v>20200111160513340</v>
      </c>
      <c r="B3002" t="str">
        <f>"1578729913334696"</f>
        <v>1578729913334696</v>
      </c>
      <c r="C3002" t="s">
        <v>40</v>
      </c>
      <c r="D3002">
        <v>5.0628820000000001</v>
      </c>
      <c r="E3002">
        <v>0.48064440000000003</v>
      </c>
      <c r="F3002" t="s">
        <v>61</v>
      </c>
      <c r="G3002">
        <v>-289.08330000000001</v>
      </c>
      <c r="H3002" s="1">
        <v>2.9182280000000002E-6</v>
      </c>
      <c r="I3002">
        <v>215.82929999999999</v>
      </c>
      <c r="J3002">
        <v>-311.57650000000001</v>
      </c>
      <c r="K3002">
        <v>1.1106320000000001</v>
      </c>
      <c r="L3002">
        <v>214.31110000000001</v>
      </c>
      <c r="M3002">
        <v>0.998807</v>
      </c>
      <c r="N3002">
        <v>0</v>
      </c>
      <c r="O3002">
        <v>-4.6825449999999998E-2</v>
      </c>
      <c r="P3002">
        <v>0.99973869999999998</v>
      </c>
      <c r="Q3002">
        <v>-1.9658330000000002E-2</v>
      </c>
      <c r="R3002">
        <v>1.1666050000000001E-2</v>
      </c>
      <c r="S3002">
        <v>2.995514</v>
      </c>
      <c r="T3002">
        <v>-0.14536459999999901</v>
      </c>
      <c r="U3002">
        <v>0.1963501</v>
      </c>
      <c r="V3002">
        <v>-5.8463830000000001E-2</v>
      </c>
      <c r="W3002">
        <v>-5.8970259999999997E-3</v>
      </c>
      <c r="X3002">
        <v>0.9982721</v>
      </c>
      <c r="Y3002">
        <v>-0.11187950000000001</v>
      </c>
      <c r="Z3002">
        <v>4.9791330000000002E-3</v>
      </c>
      <c r="AA3002">
        <v>0.99370930000000002</v>
      </c>
      <c r="AB3002">
        <v>37</v>
      </c>
      <c r="AC3002">
        <v>22.493200000000002</v>
      </c>
      <c r="AD3002">
        <v>-1.1106290817719999</v>
      </c>
      <c r="AE3002">
        <v>1.51819999999997</v>
      </c>
      <c r="AF3002">
        <v>-2.5636677573926399</v>
      </c>
      <c r="AG3002">
        <v>-1.1106290817719999</v>
      </c>
      <c r="AH3002">
        <v>22.343199035567</v>
      </c>
      <c r="AI3002">
        <v>92.827180132412494</v>
      </c>
      <c r="AJ3002">
        <v>96.5455165368964</v>
      </c>
      <c r="AK3002">
        <v>22.517203033914701</v>
      </c>
      <c r="AL3002">
        <v>90.337876663153693</v>
      </c>
      <c r="AM3002">
        <v>93.351700273230193</v>
      </c>
      <c r="AN3002">
        <v>0.99999998998616102</v>
      </c>
    </row>
    <row r="3003" spans="1:40" x14ac:dyDescent="0.3">
      <c r="A3003" t="str">
        <f>"20200111160513363"</f>
        <v>20200111160513363</v>
      </c>
      <c r="B3003" t="str">
        <f>"1578729913354215"</f>
        <v>1578729913354215</v>
      </c>
      <c r="C3003" t="s">
        <v>40</v>
      </c>
      <c r="D3003">
        <v>5.006462</v>
      </c>
      <c r="E3003">
        <v>0.48091410000000001</v>
      </c>
      <c r="F3003" t="s">
        <v>61</v>
      </c>
      <c r="G3003">
        <v>-290.4135</v>
      </c>
      <c r="H3003" s="1">
        <v>9.6775179999999993E-7</v>
      </c>
      <c r="I3003">
        <v>215.67519999999999</v>
      </c>
      <c r="J3003">
        <v>-311.22340000000003</v>
      </c>
      <c r="K3003">
        <v>1.1106309999999999</v>
      </c>
      <c r="L3003">
        <v>214.29499999999999</v>
      </c>
      <c r="M3003">
        <v>0.99883</v>
      </c>
      <c r="N3003">
        <v>0</v>
      </c>
      <c r="O3003">
        <v>-4.6296469999999999E-2</v>
      </c>
      <c r="P3003">
        <v>0.99975320000000001</v>
      </c>
      <c r="Q3003">
        <v>-1.963606E-2</v>
      </c>
      <c r="R3003">
        <v>1.040169E-2</v>
      </c>
      <c r="S3003">
        <v>2.9954529999999999</v>
      </c>
      <c r="T3003">
        <v>-0.1572007</v>
      </c>
      <c r="U3003">
        <v>0.1930847</v>
      </c>
      <c r="V3003">
        <v>-5.6672550000000002E-2</v>
      </c>
      <c r="W3003">
        <v>-5.7494099999999999E-3</v>
      </c>
      <c r="X3003">
        <v>0.99837629999999999</v>
      </c>
      <c r="Y3003">
        <v>-0.1102472</v>
      </c>
      <c r="Z3003">
        <v>5.3138300000000003E-3</v>
      </c>
      <c r="AA3003">
        <v>0.99389000000000005</v>
      </c>
      <c r="AB3003">
        <v>36</v>
      </c>
      <c r="AC3003">
        <v>20.809899999999999</v>
      </c>
      <c r="AD3003">
        <v>-1.1106300322481999</v>
      </c>
      <c r="AE3003">
        <v>1.3802000000000001</v>
      </c>
      <c r="AF3003">
        <v>-2.3356151733433799</v>
      </c>
      <c r="AG3003">
        <v>-1.1106300322481999</v>
      </c>
      <c r="AH3003">
        <v>20.665073152909699</v>
      </c>
      <c r="AI3003">
        <v>93.056936748519504</v>
      </c>
      <c r="AJ3003">
        <v>96.448339532039796</v>
      </c>
      <c r="AK3003">
        <v>20.826277769241202</v>
      </c>
      <c r="AL3003">
        <v>90.329418731032803</v>
      </c>
      <c r="AM3003">
        <v>93.248892247189502</v>
      </c>
      <c r="AN3003">
        <v>1.00000003502026</v>
      </c>
    </row>
    <row r="3004" spans="1:40" x14ac:dyDescent="0.3">
      <c r="A3004" t="str">
        <f>"20200111160513384"</f>
        <v>20200111160513384</v>
      </c>
      <c r="B3004" t="str">
        <f>"1578729913374712"</f>
        <v>1578729913374712</v>
      </c>
      <c r="C3004" t="s">
        <v>40</v>
      </c>
      <c r="D3004">
        <v>5.079771</v>
      </c>
      <c r="E3004">
        <v>0.4811242</v>
      </c>
      <c r="F3004" t="s">
        <v>61</v>
      </c>
      <c r="G3004">
        <v>-289.9846</v>
      </c>
      <c r="H3004" s="1">
        <v>8.9168669999999895E-7</v>
      </c>
      <c r="I3004">
        <v>215.61969999999999</v>
      </c>
      <c r="J3004">
        <v>-310.88040000000001</v>
      </c>
      <c r="K3004">
        <v>1.1106419999999999</v>
      </c>
      <c r="L3004">
        <v>214.27959999999999</v>
      </c>
      <c r="M3004">
        <v>0.99885219999999997</v>
      </c>
      <c r="N3004">
        <v>0</v>
      </c>
      <c r="O3004">
        <v>-4.5782749999999997E-2</v>
      </c>
      <c r="P3004">
        <v>0.99975860000000005</v>
      </c>
      <c r="Q3004">
        <v>-1.9939539999999999E-2</v>
      </c>
      <c r="R3004">
        <v>9.2408720000000007E-3</v>
      </c>
      <c r="S3004">
        <v>2.9957280000000002</v>
      </c>
      <c r="T3004">
        <v>-0.1566546</v>
      </c>
      <c r="U3004">
        <v>0.18684390000000001</v>
      </c>
      <c r="V3004">
        <v>-5.5000010000000002E-2</v>
      </c>
      <c r="W3004">
        <v>-5.9469589999999999E-3</v>
      </c>
      <c r="X3004">
        <v>0.99846860000000004</v>
      </c>
      <c r="Y3004">
        <v>-0.1076734</v>
      </c>
      <c r="Z3004">
        <v>5.2012289999999999E-3</v>
      </c>
      <c r="AA3004">
        <v>0.99417270000000002</v>
      </c>
      <c r="AB3004">
        <v>36</v>
      </c>
      <c r="AC3004">
        <v>20.895800000000001</v>
      </c>
      <c r="AD3004">
        <v>-1.1106411083133001</v>
      </c>
      <c r="AE3004">
        <v>1.3401000000000001</v>
      </c>
      <c r="AF3004">
        <v>-2.28901638999502</v>
      </c>
      <c r="AG3004">
        <v>-1.1106411083133001</v>
      </c>
      <c r="AH3004">
        <v>20.754133441538599</v>
      </c>
      <c r="AI3004">
        <v>93.044788745166699</v>
      </c>
      <c r="AJ3004">
        <v>96.293832418364801</v>
      </c>
      <c r="AK3004">
        <v>20.9094996261109</v>
      </c>
      <c r="AL3004">
        <v>90.340737674986201</v>
      </c>
      <c r="AM3004">
        <v>93.152915326130696</v>
      </c>
      <c r="AN3004">
        <v>0.99999995630365301</v>
      </c>
    </row>
    <row r="3005" spans="1:40" x14ac:dyDescent="0.3">
      <c r="A3005" t="str">
        <f>"20200111160513406"</f>
        <v>20200111160513406</v>
      </c>
      <c r="B3005" t="str">
        <f>"1578729913403992"</f>
        <v>1578729913403992</v>
      </c>
      <c r="C3005" t="s">
        <v>40</v>
      </c>
      <c r="D3005">
        <v>5.1758139999999999</v>
      </c>
      <c r="E3005">
        <v>0.4811783</v>
      </c>
      <c r="F3005" t="s">
        <v>61</v>
      </c>
      <c r="G3005">
        <v>-289.73320000000001</v>
      </c>
      <c r="H3005" s="1">
        <v>2.6618839999999999E-6</v>
      </c>
      <c r="I3005">
        <v>215.56200000000001</v>
      </c>
      <c r="J3005">
        <v>-310.51220000000001</v>
      </c>
      <c r="K3005">
        <v>1.110649</v>
      </c>
      <c r="L3005">
        <v>214.26339999999999</v>
      </c>
      <c r="M3005">
        <v>0.99887599999999999</v>
      </c>
      <c r="N3005">
        <v>0</v>
      </c>
      <c r="O3005">
        <v>-4.5231420000000001E-2</v>
      </c>
      <c r="P3005">
        <v>0.99975519999999996</v>
      </c>
      <c r="Q3005">
        <v>-2.061319E-2</v>
      </c>
      <c r="R3005">
        <v>8.0622699999999999E-3</v>
      </c>
      <c r="S3005">
        <v>2.995911</v>
      </c>
      <c r="T3005">
        <v>-0.15734400000000001</v>
      </c>
      <c r="U3005">
        <v>0.1816711</v>
      </c>
      <c r="V3005">
        <v>-5.3270989999999997E-2</v>
      </c>
      <c r="W3005">
        <v>-6.5247309999999998E-3</v>
      </c>
      <c r="X3005">
        <v>0.99855879999999997</v>
      </c>
      <c r="Y3005">
        <v>-0.1054126</v>
      </c>
      <c r="Z3005">
        <v>5.1358430000000002E-3</v>
      </c>
      <c r="AA3005">
        <v>0.9944153</v>
      </c>
      <c r="AB3005">
        <v>36</v>
      </c>
      <c r="AC3005">
        <v>20.779</v>
      </c>
      <c r="AD3005">
        <v>-1.1106463381160001</v>
      </c>
      <c r="AE3005">
        <v>1.29860000000002</v>
      </c>
      <c r="AF3005">
        <v>-2.2308800293700402</v>
      </c>
      <c r="AG3005">
        <v>-1.1106463381160001</v>
      </c>
      <c r="AH3005">
        <v>20.640247047071199</v>
      </c>
      <c r="AI3005">
        <v>93.062299586094497</v>
      </c>
      <c r="AJ3005">
        <v>96.168808569209801</v>
      </c>
      <c r="AK3005">
        <v>20.7901457223835</v>
      </c>
      <c r="AL3005">
        <v>90.373842192444499</v>
      </c>
      <c r="AM3005">
        <v>93.053713324641194</v>
      </c>
      <c r="AN3005">
        <v>1.00000002377382</v>
      </c>
    </row>
    <row r="3006" spans="1:40" x14ac:dyDescent="0.3">
      <c r="A3006" t="str">
        <f>"20200111160513429"</f>
        <v>20200111160513429</v>
      </c>
      <c r="B3006" t="str">
        <f>"1578729913424489"</f>
        <v>1578729913424489</v>
      </c>
      <c r="C3006" t="s">
        <v>40</v>
      </c>
      <c r="D3006">
        <v>5.2253379999999998</v>
      </c>
      <c r="E3006">
        <v>0.48122930000000003</v>
      </c>
      <c r="F3006" t="s">
        <v>61</v>
      </c>
      <c r="G3006">
        <v>-290.5926</v>
      </c>
      <c r="H3006" s="1">
        <v>9.9952879999999999E-7</v>
      </c>
      <c r="I3006">
        <v>215.44820000000001</v>
      </c>
      <c r="J3006">
        <v>-310.14550000000003</v>
      </c>
      <c r="K3006">
        <v>1.1106480000000001</v>
      </c>
      <c r="L3006">
        <v>214.2473</v>
      </c>
      <c r="M3006">
        <v>0.9988998</v>
      </c>
      <c r="N3006">
        <v>0</v>
      </c>
      <c r="O3006">
        <v>-4.4681529999999997E-2</v>
      </c>
      <c r="P3006">
        <v>0.99975539999999996</v>
      </c>
      <c r="Q3006">
        <v>-2.0941620000000001E-2</v>
      </c>
      <c r="R3006">
        <v>7.1085080000000004E-3</v>
      </c>
      <c r="S3006">
        <v>2.9958499999999999</v>
      </c>
      <c r="T3006">
        <v>-0.16703799999999999</v>
      </c>
      <c r="U3006">
        <v>0.17819209999999999</v>
      </c>
      <c r="V3006">
        <v>-5.1767630000000002E-2</v>
      </c>
      <c r="W3006">
        <v>-6.7769409999999999E-3</v>
      </c>
      <c r="X3006">
        <v>0.99863619999999997</v>
      </c>
      <c r="Y3006">
        <v>-0.1036929</v>
      </c>
      <c r="Z3006">
        <v>5.3736019999999999E-3</v>
      </c>
      <c r="AA3006">
        <v>0.99459489999999995</v>
      </c>
      <c r="AB3006">
        <v>36</v>
      </c>
      <c r="AC3006">
        <v>19.552900000000001</v>
      </c>
      <c r="AD3006">
        <v>-1.1106470004711999</v>
      </c>
      <c r="AE3006">
        <v>1.2009000000000101</v>
      </c>
      <c r="AF3006">
        <v>-2.0667990268740999</v>
      </c>
      <c r="AG3006">
        <v>-1.1106470004711999</v>
      </c>
      <c r="AH3006">
        <v>19.417290537114301</v>
      </c>
      <c r="AI3006">
        <v>93.255337332536996</v>
      </c>
      <c r="AJ3006">
        <v>96.075752910068701</v>
      </c>
      <c r="AK3006">
        <v>19.558536928406799</v>
      </c>
      <c r="AL3006">
        <v>90.388293075088797</v>
      </c>
      <c r="AM3006">
        <v>92.967461196582803</v>
      </c>
      <c r="AN3006">
        <v>1.00000003719778</v>
      </c>
    </row>
    <row r="3007" spans="1:40" x14ac:dyDescent="0.3">
      <c r="A3007" t="str">
        <f>"20200111160513452"</f>
        <v>20200111160513452</v>
      </c>
      <c r="B3007" t="str">
        <f>"1578729913444007"</f>
        <v>1578729913444007</v>
      </c>
      <c r="C3007" t="s">
        <v>40</v>
      </c>
      <c r="D3007">
        <v>5.1480639999999998</v>
      </c>
      <c r="E3007">
        <v>0.48097020000000001</v>
      </c>
      <c r="F3007" t="s">
        <v>61</v>
      </c>
      <c r="G3007">
        <v>-290.37</v>
      </c>
      <c r="H3007" s="1">
        <v>9.600450000000001E-7</v>
      </c>
      <c r="I3007">
        <v>215.4025</v>
      </c>
      <c r="J3007">
        <v>-309.76960000000003</v>
      </c>
      <c r="K3007">
        <v>1.110644</v>
      </c>
      <c r="L3007">
        <v>214.2311</v>
      </c>
      <c r="M3007">
        <v>0.99892429999999999</v>
      </c>
      <c r="N3007">
        <v>0</v>
      </c>
      <c r="O3007">
        <v>-4.4116269999999999E-2</v>
      </c>
      <c r="P3007">
        <v>0.99976160000000003</v>
      </c>
      <c r="Q3007">
        <v>-2.0639520000000001E-2</v>
      </c>
      <c r="R3007">
        <v>7.108334E-3</v>
      </c>
      <c r="S3007">
        <v>2.9959720000000001</v>
      </c>
      <c r="T3007">
        <v>-0.16826199999999999</v>
      </c>
      <c r="U3007">
        <v>0.17500309999999999</v>
      </c>
      <c r="V3007">
        <v>-5.1203459999999999E-2</v>
      </c>
      <c r="W3007">
        <v>-6.4375169999999898E-3</v>
      </c>
      <c r="X3007">
        <v>0.99866750000000004</v>
      </c>
      <c r="Y3007">
        <v>-0.1020726</v>
      </c>
      <c r="Z3007">
        <v>5.3357309999999998E-3</v>
      </c>
      <c r="AA3007">
        <v>0.9947627</v>
      </c>
      <c r="AB3007">
        <v>36</v>
      </c>
      <c r="AC3007">
        <v>19.3996</v>
      </c>
      <c r="AD3007">
        <v>-1.110643039955</v>
      </c>
      <c r="AE3007">
        <v>1.1714</v>
      </c>
      <c r="AF3007">
        <v>-2.0195891234057899</v>
      </c>
      <c r="AG3007">
        <v>-1.110643039955</v>
      </c>
      <c r="AH3007">
        <v>19.2661074101396</v>
      </c>
      <c r="AI3007">
        <v>93.281367455570205</v>
      </c>
      <c r="AJ3007">
        <v>95.984232455599496</v>
      </c>
      <c r="AK3007">
        <v>19.403483267924202</v>
      </c>
      <c r="AL3007">
        <v>90.368845100143304</v>
      </c>
      <c r="AM3007">
        <v>92.935086468402702</v>
      </c>
      <c r="AN3007">
        <v>1.00000000574867</v>
      </c>
    </row>
    <row r="3008" spans="1:40" x14ac:dyDescent="0.3">
      <c r="A3008" t="str">
        <f>"20200111160513475"</f>
        <v>20200111160513475</v>
      </c>
      <c r="B3008" t="str">
        <f>"1578729913464503"</f>
        <v>1578729913464503</v>
      </c>
      <c r="C3008" t="s">
        <v>40</v>
      </c>
      <c r="D3008">
        <v>5.1732769999999997</v>
      </c>
      <c r="E3008">
        <v>0.48096309999999898</v>
      </c>
      <c r="F3008" t="s">
        <v>61</v>
      </c>
      <c r="G3008">
        <v>-290.27379999999999</v>
      </c>
      <c r="H3008" s="1">
        <v>9.4298080000000003E-7</v>
      </c>
      <c r="I3008">
        <v>215.38380000000001</v>
      </c>
      <c r="J3008">
        <v>-309.40989999999999</v>
      </c>
      <c r="K3008">
        <v>1.11063</v>
      </c>
      <c r="L3008">
        <v>214.2157</v>
      </c>
      <c r="M3008">
        <v>0.99894819999999995</v>
      </c>
      <c r="N3008">
        <v>0</v>
      </c>
      <c r="O3008">
        <v>-4.3574519999999999E-2</v>
      </c>
      <c r="P3008">
        <v>0.99977249999999995</v>
      </c>
      <c r="Q3008">
        <v>-1.995102E-2</v>
      </c>
      <c r="R3008">
        <v>7.53666699999999E-3</v>
      </c>
      <c r="S3008">
        <v>2.9959410000000002</v>
      </c>
      <c r="T3008">
        <v>-0.17067379999999999</v>
      </c>
      <c r="U3008">
        <v>0.177139299999999</v>
      </c>
      <c r="V3008">
        <v>-5.109176E-2</v>
      </c>
      <c r="W3008">
        <v>-5.76093E-3</v>
      </c>
      <c r="X3008">
        <v>0.99867740000000005</v>
      </c>
      <c r="Y3008">
        <v>-0.10223450000000001</v>
      </c>
      <c r="Z3008">
        <v>5.3858329999999996E-3</v>
      </c>
      <c r="AA3008">
        <v>0.99474569999999995</v>
      </c>
      <c r="AB3008">
        <v>36</v>
      </c>
      <c r="AC3008">
        <v>19.136099999999999</v>
      </c>
      <c r="AD3008">
        <v>-1.1106290570191999</v>
      </c>
      <c r="AE3008">
        <v>1.1680999999999999</v>
      </c>
      <c r="AF3008">
        <v>-1.9942290829131799</v>
      </c>
      <c r="AG3008">
        <v>-1.1106290570191999</v>
      </c>
      <c r="AH3008">
        <v>19.003241847643</v>
      </c>
      <c r="AI3008">
        <v>93.326574715984904</v>
      </c>
      <c r="AJ3008">
        <v>95.990778805468693</v>
      </c>
      <c r="AK3008">
        <v>19.139844494076801</v>
      </c>
      <c r="AL3008">
        <v>90.3300787834646</v>
      </c>
      <c r="AM3008">
        <v>92.928665774476102</v>
      </c>
      <c r="AN3008">
        <v>1.0000000527625501</v>
      </c>
    </row>
    <row r="3009" spans="1:40" x14ac:dyDescent="0.3">
      <c r="A3009" t="str">
        <f>"20200111160513495"</f>
        <v>20200111160513495</v>
      </c>
      <c r="B3009" t="str">
        <f>"1578729913484023"</f>
        <v>1578729913484023</v>
      </c>
      <c r="C3009" t="s">
        <v>40</v>
      </c>
      <c r="D3009">
        <v>5.2674949999999896</v>
      </c>
      <c r="E3009">
        <v>0.4810065</v>
      </c>
      <c r="F3009" t="s">
        <v>61</v>
      </c>
      <c r="G3009">
        <v>-289.54169999999999</v>
      </c>
      <c r="H3009" s="1">
        <v>2.7662019999999999E-6</v>
      </c>
      <c r="I3009">
        <v>215.3997</v>
      </c>
      <c r="J3009">
        <v>-309.07619999999997</v>
      </c>
      <c r="K3009">
        <v>1.1106199999999999</v>
      </c>
      <c r="L3009">
        <v>214.20169999999999</v>
      </c>
      <c r="M3009">
        <v>0.99897069999999999</v>
      </c>
      <c r="N3009">
        <v>0</v>
      </c>
      <c r="O3009">
        <v>-4.3072930000000002E-2</v>
      </c>
      <c r="P3009">
        <v>0.99976940000000003</v>
      </c>
      <c r="Q3009">
        <v>-1.975381E-2</v>
      </c>
      <c r="R3009">
        <v>8.4424419999999997E-3</v>
      </c>
      <c r="S3009">
        <v>2.9960019999999998</v>
      </c>
      <c r="T3009">
        <v>-0.16747500000000001</v>
      </c>
      <c r="U3009">
        <v>0.17852779999999999</v>
      </c>
      <c r="V3009">
        <v>-5.1494669999999999E-2</v>
      </c>
      <c r="W3009">
        <v>-5.6119150000000003E-3</v>
      </c>
      <c r="X3009">
        <v>0.99865749999999998</v>
      </c>
      <c r="Y3009">
        <v>-0.1022028</v>
      </c>
      <c r="Z3009">
        <v>5.2559969999999897E-3</v>
      </c>
      <c r="AA3009">
        <v>0.99474969999999996</v>
      </c>
      <c r="AB3009">
        <v>36</v>
      </c>
      <c r="AC3009">
        <v>19.534499999999898</v>
      </c>
      <c r="AD3009">
        <v>-1.110617233798</v>
      </c>
      <c r="AE3009">
        <v>1.198</v>
      </c>
      <c r="AF3009">
        <v>-2.03183811359705</v>
      </c>
      <c r="AG3009">
        <v>-1.110617233798</v>
      </c>
      <c r="AH3009">
        <v>19.402279563469801</v>
      </c>
      <c r="AI3009">
        <v>93.258347067455404</v>
      </c>
      <c r="AJ3009">
        <v>95.978316326175005</v>
      </c>
      <c r="AK3009">
        <v>19.539966453883999</v>
      </c>
      <c r="AL3009">
        <v>90.321540732739294</v>
      </c>
      <c r="AM3009">
        <v>92.951779285788305</v>
      </c>
      <c r="AN3009">
        <v>0.99999999846731302</v>
      </c>
    </row>
    <row r="3010" spans="1:40" x14ac:dyDescent="0.3">
      <c r="A3010" t="str">
        <f>"20200111160513517"</f>
        <v>20200111160513517</v>
      </c>
      <c r="B3010" t="str">
        <f>"1578729913514788"</f>
        <v>1578729913514788</v>
      </c>
      <c r="C3010" t="s">
        <v>40</v>
      </c>
      <c r="D3010">
        <v>5.211271</v>
      </c>
      <c r="E3010">
        <v>0.4809466</v>
      </c>
      <c r="F3010" t="s">
        <v>61</v>
      </c>
      <c r="G3010">
        <v>-289.07089999999999</v>
      </c>
      <c r="H3010" s="1">
        <v>2.9738709999999999E-6</v>
      </c>
      <c r="I3010">
        <v>215.40899999999999</v>
      </c>
      <c r="J3010">
        <v>-308.71260000000001</v>
      </c>
      <c r="K3010">
        <v>1.1106069999999999</v>
      </c>
      <c r="L3010">
        <v>214.1866</v>
      </c>
      <c r="M3010">
        <v>0.99899519999999997</v>
      </c>
      <c r="N3010">
        <v>0</v>
      </c>
      <c r="O3010">
        <v>-4.2528339999999998E-2</v>
      </c>
      <c r="P3010">
        <v>0.99976299999999996</v>
      </c>
      <c r="Q3010">
        <v>-1.9212190000000001E-2</v>
      </c>
      <c r="R3010">
        <v>1.025206E-2</v>
      </c>
      <c r="S3010">
        <v>2.9958800000000001</v>
      </c>
      <c r="T3010">
        <v>-0.1663192</v>
      </c>
      <c r="U3010">
        <v>0.1808014</v>
      </c>
      <c r="V3010">
        <v>-5.2758590000000001E-2</v>
      </c>
      <c r="W3010">
        <v>-5.1528290000000003E-3</v>
      </c>
      <c r="X3010">
        <v>0.99859399999999998</v>
      </c>
      <c r="Y3010">
        <v>-0.1024187</v>
      </c>
      <c r="Z3010">
        <v>5.1956770000000001E-3</v>
      </c>
      <c r="AA3010">
        <v>0.99472780000000005</v>
      </c>
      <c r="AB3010">
        <v>36</v>
      </c>
      <c r="AC3010">
        <v>19.6417</v>
      </c>
      <c r="AD3010">
        <v>-1.110604026129</v>
      </c>
      <c r="AE3010">
        <v>1.2224000000000199</v>
      </c>
      <c r="AF3010">
        <v>-2.0501768448659101</v>
      </c>
      <c r="AG3010">
        <v>-1.110604026129</v>
      </c>
      <c r="AH3010">
        <v>19.5097992782574</v>
      </c>
      <c r="AI3010">
        <v>93.240268296463199</v>
      </c>
      <c r="AJ3010">
        <v>95.998879695530107</v>
      </c>
      <c r="AK3010">
        <v>19.648636957203198</v>
      </c>
      <c r="AL3010">
        <v>90.295236661163997</v>
      </c>
      <c r="AM3010">
        <v>93.024288823340797</v>
      </c>
      <c r="AN3010">
        <v>0.99999999865074496</v>
      </c>
    </row>
    <row r="3011" spans="1:40" x14ac:dyDescent="0.3">
      <c r="A3011" t="str">
        <f>"20200111160513542"</f>
        <v>20200111160513542</v>
      </c>
      <c r="B3011" t="str">
        <f>"1578729913534307"</f>
        <v>1578729913534307</v>
      </c>
      <c r="C3011" t="s">
        <v>40</v>
      </c>
      <c r="D3011">
        <v>5.2858830000000001</v>
      </c>
      <c r="E3011">
        <v>0.48078120000000002</v>
      </c>
      <c r="F3011" t="s">
        <v>61</v>
      </c>
      <c r="G3011">
        <v>-288.3689</v>
      </c>
      <c r="H3011" s="1">
        <v>3.2797699999999999E-6</v>
      </c>
      <c r="I3011">
        <v>215.45429999999999</v>
      </c>
      <c r="J3011">
        <v>-308.32600000000002</v>
      </c>
      <c r="K3011">
        <v>1.1105940000000001</v>
      </c>
      <c r="L3011">
        <v>214.17070000000001</v>
      </c>
      <c r="M3011">
        <v>0.9990211</v>
      </c>
      <c r="N3011">
        <v>0</v>
      </c>
      <c r="O3011">
        <v>-4.1950000000000001E-2</v>
      </c>
      <c r="P3011">
        <v>0.99974399999999997</v>
      </c>
      <c r="Q3011">
        <v>-1.9028429999999999E-2</v>
      </c>
      <c r="R3011">
        <v>1.224048E-2</v>
      </c>
      <c r="S3011">
        <v>2.9956670000000001</v>
      </c>
      <c r="T3011">
        <v>-0.16353909999999999</v>
      </c>
      <c r="U3011">
        <v>0.18667600000000001</v>
      </c>
      <c r="V3011">
        <v>-5.4166569999999997E-2</v>
      </c>
      <c r="W3011">
        <v>-5.0742850000000004E-3</v>
      </c>
      <c r="X3011">
        <v>0.99851900000000005</v>
      </c>
      <c r="Y3011">
        <v>-0.1037966</v>
      </c>
      <c r="Z3011">
        <v>5.1150620000000001E-3</v>
      </c>
      <c r="AA3011">
        <v>0.99458539999999995</v>
      </c>
      <c r="AB3011">
        <v>36</v>
      </c>
      <c r="AC3011">
        <v>19.957099999999901</v>
      </c>
      <c r="AD3011">
        <v>-1.1105907202299901</v>
      </c>
      <c r="AE3011">
        <v>1.2835999999999701</v>
      </c>
      <c r="AF3011">
        <v>-2.1132353691649102</v>
      </c>
      <c r="AG3011">
        <v>-1.1105907202299901</v>
      </c>
      <c r="AH3011">
        <v>19.8245364910671</v>
      </c>
      <c r="AI3011">
        <v>93.188390473638606</v>
      </c>
      <c r="AJ3011">
        <v>96.084579288742802</v>
      </c>
      <c r="AK3011">
        <v>19.967759577854601</v>
      </c>
      <c r="AL3011">
        <v>90.290736368175203</v>
      </c>
      <c r="AM3011">
        <v>93.105075565561407</v>
      </c>
      <c r="AN3011">
        <v>0.99999997951741204</v>
      </c>
    </row>
    <row r="3012" spans="1:40" x14ac:dyDescent="0.3">
      <c r="A3012" t="str">
        <f>"20200111160513562"</f>
        <v>20200111160513562</v>
      </c>
      <c r="B3012" t="str">
        <f>"1578729913554803"</f>
        <v>1578729913554803</v>
      </c>
      <c r="C3012" t="s">
        <v>40</v>
      </c>
      <c r="D3012">
        <v>5.2119839999999904</v>
      </c>
      <c r="E3012">
        <v>0.48074919999999999</v>
      </c>
      <c r="F3012" t="s">
        <v>61</v>
      </c>
      <c r="G3012">
        <v>-288.14150000000001</v>
      </c>
      <c r="H3012" s="1">
        <v>3.3777260000000002E-6</v>
      </c>
      <c r="I3012">
        <v>215.47819999999999</v>
      </c>
      <c r="J3012">
        <v>-307.98649999999998</v>
      </c>
      <c r="K3012">
        <v>1.1105849999999999</v>
      </c>
      <c r="L3012">
        <v>214.15700000000001</v>
      </c>
      <c r="M3012">
        <v>0.99904349999999997</v>
      </c>
      <c r="N3012">
        <v>0</v>
      </c>
      <c r="O3012">
        <v>-4.1440680000000001E-2</v>
      </c>
      <c r="P3012">
        <v>0.99972079999999997</v>
      </c>
      <c r="Q3012">
        <v>-1.8421509999999999E-2</v>
      </c>
      <c r="R3012">
        <v>1.480917E-2</v>
      </c>
      <c r="S3012">
        <v>2.9952390000000002</v>
      </c>
      <c r="T3012">
        <v>-0.1648039</v>
      </c>
      <c r="U3012">
        <v>0.19401550000000001</v>
      </c>
      <c r="V3012">
        <v>-5.6224429999999999E-2</v>
      </c>
      <c r="W3012">
        <v>-4.56406E-3</v>
      </c>
      <c r="X3012">
        <v>0.99840770000000001</v>
      </c>
      <c r="Y3012">
        <v>-0.10571989999999901</v>
      </c>
      <c r="Z3012">
        <v>5.1797650000000002E-3</v>
      </c>
      <c r="AA3012">
        <v>0.9943824</v>
      </c>
      <c r="AB3012">
        <v>36</v>
      </c>
      <c r="AC3012">
        <v>19.844999999999899</v>
      </c>
      <c r="AD3012">
        <v>-1.1105816222739999</v>
      </c>
      <c r="AE3012">
        <v>1.32119999999997</v>
      </c>
      <c r="AF3012">
        <v>-2.1358755220273</v>
      </c>
      <c r="AG3012">
        <v>-1.1105816222739999</v>
      </c>
      <c r="AH3012">
        <v>19.7117309370161</v>
      </c>
      <c r="AI3012">
        <v>93.205974855616006</v>
      </c>
      <c r="AJ3012">
        <v>96.184188533508006</v>
      </c>
      <c r="AK3012">
        <v>19.8581895528934</v>
      </c>
      <c r="AL3012">
        <v>90.261502289525296</v>
      </c>
      <c r="AM3012">
        <v>93.223155898727498</v>
      </c>
      <c r="AN3012">
        <v>0.99999997629589898</v>
      </c>
    </row>
    <row r="3013" spans="1:40" x14ac:dyDescent="0.3">
      <c r="A3013" t="str">
        <f>"20200111160513579"</f>
        <v>20200111160513579</v>
      </c>
      <c r="B3013" t="str">
        <f>"1578729913574323"</f>
        <v>1578729913574323</v>
      </c>
      <c r="C3013" t="s">
        <v>40</v>
      </c>
      <c r="D3013">
        <v>5.3214259999999998</v>
      </c>
      <c r="E3013">
        <v>0.48046739999999999</v>
      </c>
      <c r="F3013" t="s">
        <v>61</v>
      </c>
      <c r="G3013">
        <v>-287.50110000000001</v>
      </c>
      <c r="H3013" s="1">
        <v>3.6547969999999998E-6</v>
      </c>
      <c r="I3013">
        <v>215.53639999999999</v>
      </c>
      <c r="J3013">
        <v>-307.72730000000001</v>
      </c>
      <c r="K3013">
        <v>1.1105750000000001</v>
      </c>
      <c r="L3013">
        <v>214.14670000000001</v>
      </c>
      <c r="M3013">
        <v>0.99906070000000002</v>
      </c>
      <c r="N3013">
        <v>0</v>
      </c>
      <c r="O3013">
        <v>-4.105002E-2</v>
      </c>
      <c r="P3013">
        <v>0.99971209999999999</v>
      </c>
      <c r="Q3013">
        <v>-1.810952E-2</v>
      </c>
      <c r="R3013">
        <v>1.574091E-2</v>
      </c>
      <c r="S3013">
        <v>2.9948730000000001</v>
      </c>
      <c r="T3013">
        <v>-0.16236239999999999</v>
      </c>
      <c r="U3013">
        <v>0.20166020000000001</v>
      </c>
      <c r="V3013">
        <v>-5.6763889999999997E-2</v>
      </c>
      <c r="W3013">
        <v>-4.3210389999999996E-3</v>
      </c>
      <c r="X3013">
        <v>0.99837830000000005</v>
      </c>
      <c r="Y3013">
        <v>-0.1078698</v>
      </c>
      <c r="Z3013">
        <v>5.1403869999999997E-3</v>
      </c>
      <c r="AA3013">
        <v>0.99415180000000003</v>
      </c>
      <c r="AB3013">
        <v>36</v>
      </c>
      <c r="AC3013">
        <v>20.226199999999999</v>
      </c>
      <c r="AD3013">
        <v>-1.1105713452029999</v>
      </c>
      <c r="AE3013">
        <v>1.38969999999997</v>
      </c>
      <c r="AF3013">
        <v>-2.2122560130341902</v>
      </c>
      <c r="AG3013">
        <v>-1.1105713452029999</v>
      </c>
      <c r="AH3013">
        <v>20.091806215412799</v>
      </c>
      <c r="AI3013">
        <v>93.144828016654401</v>
      </c>
      <c r="AJ3013">
        <v>96.283376922216107</v>
      </c>
      <c r="AK3013">
        <v>20.243718096676101</v>
      </c>
      <c r="AL3013">
        <v>90.2475780632397</v>
      </c>
      <c r="AM3013">
        <v>93.254110786717305</v>
      </c>
      <c r="AN3013">
        <v>1.00000002024843</v>
      </c>
    </row>
    <row r="3014" spans="1:40" x14ac:dyDescent="0.3">
      <c r="A3014" t="str">
        <f>"20200111160513596"</f>
        <v>20200111160513596</v>
      </c>
      <c r="B3014" t="str">
        <f>"1578729913584083"</f>
        <v>1578729913584083</v>
      </c>
      <c r="C3014" t="s">
        <v>40</v>
      </c>
      <c r="D3014">
        <v>5.2315259999999997</v>
      </c>
      <c r="E3014">
        <v>0.48043940000000002</v>
      </c>
      <c r="F3014" t="s">
        <v>61</v>
      </c>
      <c r="G3014">
        <v>-287.49790000000002</v>
      </c>
      <c r="H3014" s="1">
        <v>3.6551980000000001E-6</v>
      </c>
      <c r="I3014">
        <v>215.54490000000001</v>
      </c>
      <c r="J3014">
        <v>-307.44349999999997</v>
      </c>
      <c r="K3014">
        <v>1.110568</v>
      </c>
      <c r="L3014">
        <v>214.13550000000001</v>
      </c>
      <c r="M3014">
        <v>0.99907919999999995</v>
      </c>
      <c r="N3014">
        <v>0</v>
      </c>
      <c r="O3014">
        <v>-4.0620740000000002E-2</v>
      </c>
      <c r="P3014">
        <v>0.99968429999999997</v>
      </c>
      <c r="Q3014">
        <v>-1.8531550000000001E-2</v>
      </c>
      <c r="R3014">
        <v>1.6969999999999999E-2</v>
      </c>
      <c r="S3014">
        <v>2.9946290000000002</v>
      </c>
      <c r="T3014">
        <v>-0.1644021</v>
      </c>
      <c r="U3014">
        <v>0.20698549999999999</v>
      </c>
      <c r="V3014">
        <v>-5.7561620000000001E-2</v>
      </c>
      <c r="W3014">
        <v>-4.8158719999999997E-3</v>
      </c>
      <c r="X3014">
        <v>0.99833039999999995</v>
      </c>
      <c r="Y3014">
        <v>-0.1092007</v>
      </c>
      <c r="Z3014">
        <v>5.2179330000000001E-3</v>
      </c>
      <c r="AA3014">
        <v>0.99400599999999995</v>
      </c>
      <c r="AB3014">
        <v>36</v>
      </c>
      <c r="AC3014">
        <v>19.945599999999899</v>
      </c>
      <c r="AD3014">
        <v>-1.1105643448019999</v>
      </c>
      <c r="AE3014">
        <v>1.4094</v>
      </c>
      <c r="AF3014">
        <v>-2.21169612116292</v>
      </c>
      <c r="AG3014">
        <v>-1.1105643448019999</v>
      </c>
      <c r="AH3014">
        <v>19.8107654803866</v>
      </c>
      <c r="AI3014">
        <v>93.188795234646193</v>
      </c>
      <c r="AJ3014">
        <v>96.3701871520298</v>
      </c>
      <c r="AK3014">
        <v>19.9647534874636</v>
      </c>
      <c r="AL3014">
        <v>90.275930190277904</v>
      </c>
      <c r="AM3014">
        <v>93.299899972899198</v>
      </c>
      <c r="AN3014">
        <v>1.0000000601421499</v>
      </c>
    </row>
    <row r="3015" spans="1:40" x14ac:dyDescent="0.3">
      <c r="A3015" t="str">
        <f>"20200111160513619"</f>
        <v>20200111160513619</v>
      </c>
      <c r="B3015" t="str">
        <f>"1578729913614847"</f>
        <v>1578729913614847</v>
      </c>
      <c r="C3015" t="s">
        <v>40</v>
      </c>
      <c r="D3015">
        <v>5.1453639999999998</v>
      </c>
      <c r="E3015">
        <v>0.48033730000000002</v>
      </c>
      <c r="F3015" t="s">
        <v>61</v>
      </c>
      <c r="G3015">
        <v>-287.30650000000003</v>
      </c>
      <c r="H3015" s="1">
        <v>3.7391369999999999E-6</v>
      </c>
      <c r="I3015">
        <v>215.5531</v>
      </c>
      <c r="J3015">
        <v>-307.07420000000002</v>
      </c>
      <c r="K3015">
        <v>1.110555</v>
      </c>
      <c r="L3015">
        <v>214.12110000000001</v>
      </c>
      <c r="M3015">
        <v>0.99910299999999996</v>
      </c>
      <c r="N3015">
        <v>0</v>
      </c>
      <c r="O3015">
        <v>-4.006063E-2</v>
      </c>
      <c r="P3015">
        <v>0.99966180000000004</v>
      </c>
      <c r="Q3015">
        <v>-1.9429419999999999E-2</v>
      </c>
      <c r="R3015">
        <v>1.7292080000000001E-2</v>
      </c>
      <c r="S3015">
        <v>2.9942630000000001</v>
      </c>
      <c r="T3015">
        <v>-0.16513449999999999</v>
      </c>
      <c r="U3015">
        <v>0.2107849</v>
      </c>
      <c r="V3015">
        <v>-5.7321869999999997E-2</v>
      </c>
      <c r="W3015">
        <v>-5.8000019999999899E-3</v>
      </c>
      <c r="X3015">
        <v>0.99833890000000003</v>
      </c>
      <c r="Y3015">
        <v>-0.10990469999999999</v>
      </c>
      <c r="Z3015">
        <v>5.2301020000000004E-3</v>
      </c>
      <c r="AA3015">
        <v>0.99392840000000005</v>
      </c>
      <c r="AB3015">
        <v>36</v>
      </c>
      <c r="AC3015">
        <v>19.767699999999898</v>
      </c>
      <c r="AD3015">
        <v>-1.1105512608629999</v>
      </c>
      <c r="AE3015">
        <v>1.43199999999998</v>
      </c>
      <c r="AF3015">
        <v>-2.2158741082649298</v>
      </c>
      <c r="AG3015">
        <v>-1.1105512608629999</v>
      </c>
      <c r="AH3015">
        <v>19.6328146092156</v>
      </c>
      <c r="AI3015">
        <v>93.217164132203393</v>
      </c>
      <c r="AJ3015">
        <v>96.439484990899601</v>
      </c>
      <c r="AK3015">
        <v>19.788654114075399</v>
      </c>
      <c r="AL3015">
        <v>90.332317499635096</v>
      </c>
      <c r="AM3015">
        <v>93.286157821337696</v>
      </c>
      <c r="AN3015">
        <v>0.99999999802835304</v>
      </c>
    </row>
    <row r="3016" spans="1:40" x14ac:dyDescent="0.3">
      <c r="A3016" t="str">
        <f>"20200111160513662"</f>
        <v>20200111160513662</v>
      </c>
      <c r="B3016" t="str">
        <f>"1578729913653886"</f>
        <v>1578729913653886</v>
      </c>
      <c r="C3016" t="s">
        <v>40</v>
      </c>
      <c r="D3016">
        <v>5.5040930000000001</v>
      </c>
      <c r="E3016">
        <v>0.55241560000000001</v>
      </c>
      <c r="F3016" t="s">
        <v>61</v>
      </c>
      <c r="G3016">
        <v>-287.42419999999998</v>
      </c>
      <c r="H3016" s="1">
        <v>3.6912630000000002E-6</v>
      </c>
      <c r="I3016">
        <v>215.51669999999999</v>
      </c>
      <c r="J3016">
        <v>-306.37139999999999</v>
      </c>
      <c r="K3016">
        <v>1.1105370000000001</v>
      </c>
      <c r="L3016">
        <v>214.0942</v>
      </c>
      <c r="M3016">
        <v>0.99914720000000001</v>
      </c>
      <c r="N3016">
        <v>0</v>
      </c>
      <c r="O3016">
        <v>-3.8994889999999997E-2</v>
      </c>
      <c r="P3016">
        <v>0.99962010000000001</v>
      </c>
      <c r="Q3016">
        <v>-2.1003999999999998E-2</v>
      </c>
      <c r="R3016">
        <v>1.7851720000000001E-2</v>
      </c>
      <c r="S3016">
        <v>2.994049</v>
      </c>
      <c r="T3016">
        <v>-0.16921349999999999</v>
      </c>
      <c r="U3016">
        <v>0.21264649999999999</v>
      </c>
      <c r="V3016">
        <v>-5.6812330000000001E-2</v>
      </c>
      <c r="W3016">
        <v>-7.5183869999999996E-3</v>
      </c>
      <c r="X3016">
        <v>0.99835660000000004</v>
      </c>
      <c r="Y3016">
        <v>-0.10945530000000001</v>
      </c>
      <c r="Z3016">
        <v>5.2865589999999997E-3</v>
      </c>
      <c r="AA3016">
        <v>0.99397769999999996</v>
      </c>
      <c r="AB3016">
        <v>36</v>
      </c>
      <c r="AC3016">
        <v>18.947199999999999</v>
      </c>
      <c r="AD3016">
        <v>-1.110533308737</v>
      </c>
      <c r="AE3016">
        <v>1.4224999999999799</v>
      </c>
      <c r="AF3016">
        <v>-2.1529751211876902</v>
      </c>
      <c r="AG3016">
        <v>-1.110533308737</v>
      </c>
      <c r="AH3016">
        <v>18.813043494964699</v>
      </c>
      <c r="AI3016">
        <v>93.356390997534504</v>
      </c>
      <c r="AJ3016">
        <v>96.528558883534203</v>
      </c>
      <c r="AK3016">
        <v>18.968373458093399</v>
      </c>
      <c r="AL3016">
        <v>90.430775887668901</v>
      </c>
      <c r="AM3016">
        <v>93.256952375676406</v>
      </c>
      <c r="AN3016">
        <v>1.0000000338733299</v>
      </c>
    </row>
    <row r="3017" spans="1:40" x14ac:dyDescent="0.3">
      <c r="A3017" t="str">
        <f>"20200111160513686"</f>
        <v>20200111160513686</v>
      </c>
      <c r="B3017" t="str">
        <f>"1578729913674382"</f>
        <v>1578729913674382</v>
      </c>
      <c r="C3017" t="s">
        <v>40</v>
      </c>
      <c r="D3017">
        <v>5.256011</v>
      </c>
      <c r="E3017">
        <v>0.55602680000000004</v>
      </c>
      <c r="F3017" t="s">
        <v>61</v>
      </c>
      <c r="G3017">
        <v>-291.11660000000001</v>
      </c>
      <c r="H3017" s="1">
        <v>1.092474E-6</v>
      </c>
      <c r="I3017">
        <v>212.2672</v>
      </c>
      <c r="J3017">
        <v>-306.01429999999999</v>
      </c>
      <c r="K3017">
        <v>1.110535</v>
      </c>
      <c r="L3017">
        <v>214.08080000000001</v>
      </c>
      <c r="M3017">
        <v>0.99916890000000003</v>
      </c>
      <c r="N3017">
        <v>0</v>
      </c>
      <c r="O3017">
        <v>-3.8455490000000002E-2</v>
      </c>
      <c r="P3017">
        <v>0.99960570000000004</v>
      </c>
      <c r="Q3017">
        <v>-2.1733639999999999E-2</v>
      </c>
      <c r="R3017">
        <v>1.777318E-2</v>
      </c>
      <c r="S3017">
        <v>3.0028990000000002</v>
      </c>
      <c r="T3017">
        <v>-0.21860830000000001</v>
      </c>
      <c r="U3017">
        <v>-0.35964970000000002</v>
      </c>
      <c r="V3017">
        <v>-5.619358E-2</v>
      </c>
      <c r="W3017">
        <v>-8.3094280000000006E-3</v>
      </c>
      <c r="X3017">
        <v>0.99838530000000003</v>
      </c>
      <c r="Y3017">
        <v>8.0533869999999994E-2</v>
      </c>
      <c r="Z3017">
        <v>-1.3308600000000001E-4</v>
      </c>
      <c r="AA3017">
        <v>0.99675179999999997</v>
      </c>
      <c r="AB3017">
        <v>36</v>
      </c>
      <c r="AC3017">
        <v>14.897699999999899</v>
      </c>
      <c r="AD3017">
        <v>-1.1105339075259999</v>
      </c>
      <c r="AE3017">
        <v>-1.8136000000000001</v>
      </c>
      <c r="AF3017">
        <v>1.23255850246868</v>
      </c>
      <c r="AG3017">
        <v>-1.1105339075259999</v>
      </c>
      <c r="AH3017">
        <v>14.874977341519299</v>
      </c>
      <c r="AI3017">
        <v>94.255130051442706</v>
      </c>
      <c r="AJ3017">
        <v>85.263223929392396</v>
      </c>
      <c r="AK3017">
        <v>14.967212062788599</v>
      </c>
      <c r="AL3017">
        <v>90.476100640127697</v>
      </c>
      <c r="AM3017">
        <v>93.221463222173</v>
      </c>
      <c r="AN3017">
        <v>0.99999998614149599</v>
      </c>
    </row>
    <row r="3018" spans="1:40" x14ac:dyDescent="0.3">
      <c r="A3018" t="str">
        <f>"20200111160513708"</f>
        <v>20200111160513708</v>
      </c>
      <c r="B3018" t="str">
        <f>"1578729913704639"</f>
        <v>1578729913704639</v>
      </c>
      <c r="C3018" t="s">
        <v>40</v>
      </c>
      <c r="D3018">
        <v>5.1902790000000003</v>
      </c>
      <c r="E3018">
        <v>0.55585459999999998</v>
      </c>
      <c r="F3018" t="s">
        <v>42</v>
      </c>
      <c r="G3018">
        <v>-304.99509999999998</v>
      </c>
      <c r="H3018">
        <v>1.0369759999999999</v>
      </c>
      <c r="I3018">
        <v>213.9487</v>
      </c>
      <c r="J3018">
        <v>-305.65120000000002</v>
      </c>
      <c r="K3018">
        <v>1.1105259999999999</v>
      </c>
      <c r="L3018">
        <v>214.06739999999999</v>
      </c>
      <c r="M3018">
        <v>0.99919060000000004</v>
      </c>
      <c r="N3018">
        <v>0</v>
      </c>
      <c r="O3018">
        <v>-3.7908259999999999E-2</v>
      </c>
      <c r="P3018">
        <v>0.99957470000000004</v>
      </c>
      <c r="Q3018">
        <v>-2.2317790000000001E-2</v>
      </c>
      <c r="R3018">
        <v>1.8774349999999999E-2</v>
      </c>
      <c r="S3018">
        <v>3.003387</v>
      </c>
      <c r="T3018">
        <v>-0.21690209999999999</v>
      </c>
      <c r="U3018">
        <v>-0.38883970000000001</v>
      </c>
      <c r="V3018">
        <v>-5.6645519999999998E-2</v>
      </c>
      <c r="W3018">
        <v>-8.9511669999999995E-3</v>
      </c>
      <c r="X3018">
        <v>0.99835430000000003</v>
      </c>
      <c r="Y3018">
        <v>9.0570510000000007E-2</v>
      </c>
      <c r="Z3018">
        <v>-5.3176799999999995E-4</v>
      </c>
      <c r="AA3018">
        <v>0.99588989999999999</v>
      </c>
      <c r="AB3018">
        <v>36</v>
      </c>
      <c r="AC3018">
        <v>0.65610000000003699</v>
      </c>
      <c r="AD3018">
        <v>-7.3550000000000004E-2</v>
      </c>
      <c r="AE3018">
        <v>-0.11869999999998899</v>
      </c>
      <c r="AF3018">
        <v>9.2613829994162997E-2</v>
      </c>
      <c r="AG3018">
        <v>-7.3550000000000004E-2</v>
      </c>
      <c r="AH3018">
        <v>0.652192224838683</v>
      </c>
      <c r="AI3018">
        <v>96.370880060052897</v>
      </c>
      <c r="AJ3018">
        <v>81.917813645247705</v>
      </c>
      <c r="AK3018">
        <v>0.66282850130800697</v>
      </c>
      <c r="AL3018">
        <v>90.512870902190102</v>
      </c>
      <c r="AM3018">
        <v>93.247417409754703</v>
      </c>
      <c r="AN3018">
        <v>1.0000000733276</v>
      </c>
    </row>
    <row r="3019" spans="1:40" x14ac:dyDescent="0.3">
      <c r="A3019" t="str">
        <f>"20200111160513730"</f>
        <v>20200111160513730</v>
      </c>
      <c r="B3019" t="str">
        <f>"1578729913724161"</f>
        <v>1578729913724161</v>
      </c>
      <c r="C3019" t="s">
        <v>40</v>
      </c>
      <c r="D3019">
        <v>5.181025</v>
      </c>
      <c r="E3019">
        <v>0.55648140000000001</v>
      </c>
      <c r="F3019" t="s">
        <v>42</v>
      </c>
      <c r="G3019">
        <v>-304.66559999999998</v>
      </c>
      <c r="H3019">
        <v>1.0483070000000001</v>
      </c>
      <c r="I3019">
        <v>213.941</v>
      </c>
      <c r="J3019">
        <v>-305.27699999999999</v>
      </c>
      <c r="K3019">
        <v>1.1105320000000001</v>
      </c>
      <c r="L3019">
        <v>214.0539</v>
      </c>
      <c r="M3019">
        <v>0.99921260000000001</v>
      </c>
      <c r="N3019">
        <v>0</v>
      </c>
      <c r="O3019">
        <v>-3.734473E-2</v>
      </c>
      <c r="P3019">
        <v>0.99954710000000002</v>
      </c>
      <c r="Q3019">
        <v>-2.278324E-2</v>
      </c>
      <c r="R3019">
        <v>1.9661709999999999E-2</v>
      </c>
      <c r="S3019">
        <v>3.0042420000000001</v>
      </c>
      <c r="T3019">
        <v>-0.18968589999999999</v>
      </c>
      <c r="U3019">
        <v>-0.38508609999999999</v>
      </c>
      <c r="V3019">
        <v>-5.6967530000000002E-2</v>
      </c>
      <c r="W3019">
        <v>-9.4687339999999995E-3</v>
      </c>
      <c r="X3019">
        <v>0.99833110000000003</v>
      </c>
      <c r="Y3019">
        <v>8.9903979999999994E-2</v>
      </c>
      <c r="Z3019">
        <v>-4.7948469999999999E-4</v>
      </c>
      <c r="AA3019">
        <v>0.99595029999999996</v>
      </c>
      <c r="AB3019">
        <v>36</v>
      </c>
      <c r="AC3019">
        <v>0.61140000000000305</v>
      </c>
      <c r="AD3019">
        <v>-6.2225000000000197E-2</v>
      </c>
      <c r="AE3019">
        <v>-0.112900000000024</v>
      </c>
      <c r="AF3019">
        <v>8.90941995153407E-2</v>
      </c>
      <c r="AG3019">
        <v>-6.2225000000000197E-2</v>
      </c>
      <c r="AH3019">
        <v>0.60908908061799605</v>
      </c>
      <c r="AI3019">
        <v>95.772140233157003</v>
      </c>
      <c r="AJ3019">
        <v>81.678106094083006</v>
      </c>
      <c r="AK3019">
        <v>0.61870771381998702</v>
      </c>
      <c r="AL3019">
        <v>90.542526618451106</v>
      </c>
      <c r="AM3019">
        <v>93.265913727259203</v>
      </c>
      <c r="AN3019">
        <v>0.999999970812536</v>
      </c>
    </row>
    <row r="3020" spans="1:40" x14ac:dyDescent="0.3">
      <c r="A3020" t="str">
        <f>"20200111160513753"</f>
        <v>20200111160513753</v>
      </c>
      <c r="B3020" t="str">
        <f>"1578729913744654"</f>
        <v>1578729913744654</v>
      </c>
      <c r="C3020" t="s">
        <v>40</v>
      </c>
      <c r="D3020">
        <v>5.1654780000000002</v>
      </c>
      <c r="E3020">
        <v>0.55649609999999905</v>
      </c>
      <c r="F3020" t="s">
        <v>42</v>
      </c>
      <c r="G3020">
        <v>-304.34269999999998</v>
      </c>
      <c r="H3020">
        <v>1.0497459999999901</v>
      </c>
      <c r="I3020">
        <v>213.9332</v>
      </c>
      <c r="J3020">
        <v>-304.92099999999999</v>
      </c>
      <c r="K3020">
        <v>1.110533</v>
      </c>
      <c r="L3020">
        <v>214.0411</v>
      </c>
      <c r="M3020">
        <v>0.99923309999999999</v>
      </c>
      <c r="N3020">
        <v>0</v>
      </c>
      <c r="O3020">
        <v>-3.6808540000000001E-2</v>
      </c>
      <c r="P3020">
        <v>0.99952960000000002</v>
      </c>
      <c r="Q3020">
        <v>-2.257139E-2</v>
      </c>
      <c r="R3020">
        <v>2.0778499999999998E-2</v>
      </c>
      <c r="S3020">
        <v>3.0045169999999999</v>
      </c>
      <c r="T3020">
        <v>-0.19561429999999999</v>
      </c>
      <c r="U3020">
        <v>-0.38731379999999999</v>
      </c>
      <c r="V3020">
        <v>-5.7547429999999997E-2</v>
      </c>
      <c r="W3020">
        <v>-9.3010920000000004E-3</v>
      </c>
      <c r="X3020">
        <v>0.99829939999999995</v>
      </c>
      <c r="Y3020">
        <v>9.1143180000000004E-2</v>
      </c>
      <c r="Z3020">
        <v>-5.6918589999999905E-4</v>
      </c>
      <c r="AA3020">
        <v>0.99583759999999999</v>
      </c>
      <c r="AB3020">
        <v>36</v>
      </c>
      <c r="AC3020">
        <v>0.57830000000001203</v>
      </c>
      <c r="AD3020">
        <v>-6.0787000000000098E-2</v>
      </c>
      <c r="AE3020">
        <v>-0.1079</v>
      </c>
      <c r="AF3020">
        <v>8.5624369944300796E-2</v>
      </c>
      <c r="AG3020">
        <v>-6.0787000000000098E-2</v>
      </c>
      <c r="AH3020">
        <v>0.57573287498857895</v>
      </c>
      <c r="AI3020">
        <v>95.961976807723005</v>
      </c>
      <c r="AJ3020">
        <v>81.540838564136706</v>
      </c>
      <c r="AK3020">
        <v>0.58523066857434303</v>
      </c>
      <c r="AL3020">
        <v>90.532921024746202</v>
      </c>
      <c r="AM3020">
        <v>93.299190503487097</v>
      </c>
      <c r="AN3020">
        <v>0.99999995452617696</v>
      </c>
    </row>
    <row r="3021" spans="1:40" x14ac:dyDescent="0.3">
      <c r="A3021" t="str">
        <f>"20200111160513774"</f>
        <v>20200111160513774</v>
      </c>
      <c r="B3021" t="str">
        <f>"1578729913764174"</f>
        <v>1578729913764174</v>
      </c>
      <c r="C3021" t="s">
        <v>40</v>
      </c>
      <c r="D3021">
        <v>5.1741060000000001</v>
      </c>
      <c r="E3021">
        <v>0.55711219999999995</v>
      </c>
      <c r="F3021" t="s">
        <v>42</v>
      </c>
      <c r="G3021">
        <v>-304.01929999999999</v>
      </c>
      <c r="H3021">
        <v>1.051903</v>
      </c>
      <c r="I3021">
        <v>213.92590000000001</v>
      </c>
      <c r="J3021">
        <v>-304.57470000000001</v>
      </c>
      <c r="K3021">
        <v>1.11053</v>
      </c>
      <c r="L3021">
        <v>214.02889999999999</v>
      </c>
      <c r="M3021">
        <v>0.99925269999999999</v>
      </c>
      <c r="N3021">
        <v>0</v>
      </c>
      <c r="O3021">
        <v>-3.6286810000000003E-2</v>
      </c>
      <c r="P3021">
        <v>0.99953590000000003</v>
      </c>
      <c r="Q3021">
        <v>-2.230238E-2</v>
      </c>
      <c r="R3021">
        <v>2.0758849999999999E-2</v>
      </c>
      <c r="S3021">
        <v>3.0049739999999998</v>
      </c>
      <c r="T3021">
        <v>-0.19545309999999999</v>
      </c>
      <c r="U3021">
        <v>-0.38406370000000001</v>
      </c>
      <c r="V3021">
        <v>-5.7006769999999998E-2</v>
      </c>
      <c r="W3021">
        <v>-9.0678870000000002E-3</v>
      </c>
      <c r="X3021">
        <v>0.99833260000000001</v>
      </c>
      <c r="Y3021">
        <v>9.0584570000000003E-2</v>
      </c>
      <c r="Z3021">
        <v>-5.8429619999999995E-4</v>
      </c>
      <c r="AA3021">
        <v>0.99588860000000001</v>
      </c>
      <c r="AB3021">
        <v>36</v>
      </c>
      <c r="AC3021">
        <v>0.55540000000001999</v>
      </c>
      <c r="AD3021">
        <v>-5.8626999999999901E-2</v>
      </c>
      <c r="AE3021">
        <v>-0.10299999999998</v>
      </c>
      <c r="AF3021">
        <v>8.1894501208742296E-2</v>
      </c>
      <c r="AG3021">
        <v>-5.8626999999999901E-2</v>
      </c>
      <c r="AH3021">
        <v>0.55281705917282098</v>
      </c>
      <c r="AI3021">
        <v>95.988793576718294</v>
      </c>
      <c r="AJ3021">
        <v>81.573469342767396</v>
      </c>
      <c r="AK3021">
        <v>0.56191684026171995</v>
      </c>
      <c r="AL3021">
        <v>90.519558780177206</v>
      </c>
      <c r="AM3021">
        <v>93.268153558068505</v>
      </c>
      <c r="AN3021">
        <v>0.99999998931161804</v>
      </c>
    </row>
    <row r="3022" spans="1:40" x14ac:dyDescent="0.3">
      <c r="A3022" t="str">
        <f>"20200111160513797"</f>
        <v>20200111160513797</v>
      </c>
      <c r="B3022" t="str">
        <f>"1578729913794430"</f>
        <v>1578729913794430</v>
      </c>
      <c r="C3022" t="s">
        <v>40</v>
      </c>
      <c r="D3022">
        <v>5.1502999999999997</v>
      </c>
      <c r="E3022">
        <v>0.5577278</v>
      </c>
      <c r="F3022" t="s">
        <v>42</v>
      </c>
      <c r="G3022">
        <v>-303.69290000000001</v>
      </c>
      <c r="H3022">
        <v>1.0531250000000001</v>
      </c>
      <c r="I3022">
        <v>213.9144</v>
      </c>
      <c r="J3022">
        <v>-304.22289999999998</v>
      </c>
      <c r="K3022">
        <v>1.110535</v>
      </c>
      <c r="L3022">
        <v>214.01660000000001</v>
      </c>
      <c r="M3022">
        <v>0.99927220000000005</v>
      </c>
      <c r="N3022">
        <v>0</v>
      </c>
      <c r="O3022">
        <v>-3.5756040000000003E-2</v>
      </c>
      <c r="P3022">
        <v>0.99955729999999998</v>
      </c>
      <c r="Q3022">
        <v>-2.1767140000000001E-2</v>
      </c>
      <c r="R3022">
        <v>2.029121E-2</v>
      </c>
      <c r="S3022">
        <v>3.0051269999999999</v>
      </c>
      <c r="T3022">
        <v>-0.1958444</v>
      </c>
      <c r="U3022">
        <v>-0.3888855</v>
      </c>
      <c r="V3022">
        <v>-5.6011100000000001E-2</v>
      </c>
      <c r="W3022">
        <v>-8.5634649999999993E-3</v>
      </c>
      <c r="X3022">
        <v>0.99839339999999999</v>
      </c>
      <c r="Y3022">
        <v>9.2673019999999995E-2</v>
      </c>
      <c r="Z3022">
        <v>-6.8744740000000002E-4</v>
      </c>
      <c r="AA3022">
        <v>0.99569640000000004</v>
      </c>
      <c r="AB3022">
        <v>36</v>
      </c>
      <c r="AC3022">
        <v>0.52999999999997205</v>
      </c>
      <c r="AD3022">
        <v>-5.7409999999999899E-2</v>
      </c>
      <c r="AE3022">
        <v>-0.10220000000001001</v>
      </c>
      <c r="AF3022">
        <v>8.2251769168742606E-2</v>
      </c>
      <c r="AG3022">
        <v>-5.7409999999999899E-2</v>
      </c>
      <c r="AH3022">
        <v>0.52734984956397801</v>
      </c>
      <c r="AI3022">
        <v>96.139392236448202</v>
      </c>
      <c r="AJ3022">
        <v>81.134894539089601</v>
      </c>
      <c r="AK3022">
        <v>0.53680455052704101</v>
      </c>
      <c r="AL3022">
        <v>90.490656409957793</v>
      </c>
      <c r="AM3022">
        <v>93.210997945903202</v>
      </c>
      <c r="AN3022">
        <v>0.99999997870978696</v>
      </c>
    </row>
    <row r="3023" spans="1:40" x14ac:dyDescent="0.3">
      <c r="A3023" t="str">
        <f>"20200111160513819"</f>
        <v>20200111160513819</v>
      </c>
      <c r="B3023" t="str">
        <f>"1578729913813950"</f>
        <v>1578729913813950</v>
      </c>
      <c r="C3023" t="s">
        <v>40</v>
      </c>
      <c r="D3023">
        <v>5.1726169999999998</v>
      </c>
      <c r="E3023">
        <v>0.55790989999999996</v>
      </c>
      <c r="F3023" t="s">
        <v>61</v>
      </c>
      <c r="G3023">
        <v>-287.1628</v>
      </c>
      <c r="H3023" s="1">
        <v>4.2534179999999999E-6</v>
      </c>
      <c r="I3023">
        <v>211.77350000000001</v>
      </c>
      <c r="J3023">
        <v>-303.85759999999999</v>
      </c>
      <c r="K3023">
        <v>1.110544</v>
      </c>
      <c r="L3023">
        <v>214.0042</v>
      </c>
      <c r="M3023">
        <v>0.99929219999999996</v>
      </c>
      <c r="N3023">
        <v>0</v>
      </c>
      <c r="O3023">
        <v>-3.5202509999999999E-2</v>
      </c>
      <c r="P3023">
        <v>0.99957629999999997</v>
      </c>
      <c r="Q3023">
        <v>-2.1609710000000001E-2</v>
      </c>
      <c r="R3023">
        <v>1.9495930000000002E-2</v>
      </c>
      <c r="S3023">
        <v>3.005096</v>
      </c>
      <c r="T3023">
        <v>-0.19561729999999999</v>
      </c>
      <c r="U3023">
        <v>-0.39512629999999999</v>
      </c>
      <c r="V3023">
        <v>-5.4664310000000001E-2</v>
      </c>
      <c r="W3023">
        <v>-8.4332669999999995E-3</v>
      </c>
      <c r="X3023">
        <v>0.99846919999999995</v>
      </c>
      <c r="Y3023">
        <v>9.5252569999999995E-2</v>
      </c>
      <c r="Z3023">
        <v>-8.0588509999999895E-4</v>
      </c>
      <c r="AA3023">
        <v>0.99545280000000003</v>
      </c>
      <c r="AB3023">
        <v>36</v>
      </c>
      <c r="AC3023">
        <v>16.694799999999901</v>
      </c>
      <c r="AD3023">
        <v>-1.1105397465819999</v>
      </c>
      <c r="AE3023">
        <v>-2.2306999999999801</v>
      </c>
      <c r="AF3023">
        <v>1.6344611059354299</v>
      </c>
      <c r="AG3023">
        <v>-1.1105397465819999</v>
      </c>
      <c r="AH3023">
        <v>16.6904254357989</v>
      </c>
      <c r="AI3023">
        <v>93.788638899829294</v>
      </c>
      <c r="AJ3023">
        <v>84.406968435253603</v>
      </c>
      <c r="AK3023">
        <v>16.806994462530099</v>
      </c>
      <c r="AL3023">
        <v>90.483196322097598</v>
      </c>
      <c r="AM3023">
        <v>93.133707674033801</v>
      </c>
      <c r="AN3023">
        <v>1.0000000250643499</v>
      </c>
    </row>
    <row r="3024" spans="1:40" x14ac:dyDescent="0.3">
      <c r="A3024" t="str">
        <f>"20200111160513843"</f>
        <v>20200111160513843</v>
      </c>
      <c r="B3024" t="str">
        <f>"1578729913834446"</f>
        <v>1578729913834446</v>
      </c>
      <c r="C3024" t="s">
        <v>40</v>
      </c>
      <c r="D3024">
        <v>5.0717480000000004</v>
      </c>
      <c r="E3024">
        <v>0.55792219999999904</v>
      </c>
      <c r="F3024" t="s">
        <v>61</v>
      </c>
      <c r="G3024">
        <v>-286.80939999999998</v>
      </c>
      <c r="H3024" s="1">
        <v>4.41403E-6</v>
      </c>
      <c r="I3024">
        <v>211.74080000000001</v>
      </c>
      <c r="J3024">
        <v>-303.47980000000001</v>
      </c>
      <c r="K3024">
        <v>1.1105510000000001</v>
      </c>
      <c r="L3024">
        <v>213.9914</v>
      </c>
      <c r="M3024">
        <v>0.9993128</v>
      </c>
      <c r="N3024">
        <v>0</v>
      </c>
      <c r="O3024">
        <v>-3.4623460000000002E-2</v>
      </c>
      <c r="P3024">
        <v>0.99958999999999998</v>
      </c>
      <c r="Q3024">
        <v>-2.126482E-2</v>
      </c>
      <c r="R3024">
        <v>1.9174900000000002E-2</v>
      </c>
      <c r="S3024">
        <v>3.0048219999999999</v>
      </c>
      <c r="T3024">
        <v>-0.19573750000000001</v>
      </c>
      <c r="U3024">
        <v>-0.3989258</v>
      </c>
      <c r="V3024">
        <v>-5.3765550000000002E-2</v>
      </c>
      <c r="W3024">
        <v>-8.1139599999999999E-3</v>
      </c>
      <c r="X3024">
        <v>0.99852059999999998</v>
      </c>
      <c r="Y3024">
        <v>9.7072950000000005E-2</v>
      </c>
      <c r="Z3024">
        <v>-9.028285E-4</v>
      </c>
      <c r="AA3024">
        <v>0.99527690000000002</v>
      </c>
      <c r="AB3024">
        <v>36</v>
      </c>
      <c r="AC3024">
        <v>16.670400000000001</v>
      </c>
      <c r="AD3024">
        <v>-1.1105465859700001</v>
      </c>
      <c r="AE3024">
        <v>-2.2505999999999902</v>
      </c>
      <c r="AF3024">
        <v>1.6647570433896399</v>
      </c>
      <c r="AG3024">
        <v>-1.1105465859700001</v>
      </c>
      <c r="AH3024">
        <v>16.6656960867507</v>
      </c>
      <c r="AI3024">
        <v>93.793540132426301</v>
      </c>
      <c r="AJ3024">
        <v>84.295576734210002</v>
      </c>
      <c r="AK3024">
        <v>16.785414972203199</v>
      </c>
      <c r="AL3024">
        <v>90.4649007739132</v>
      </c>
      <c r="AM3024">
        <v>93.082126822575802</v>
      </c>
      <c r="AN3024">
        <v>0.99999997966902099</v>
      </c>
    </row>
    <row r="3025" spans="1:40" x14ac:dyDescent="0.3">
      <c r="A3025" t="str">
        <f>"20200111160513864"</f>
        <v>20200111160513864</v>
      </c>
      <c r="B3025" t="str">
        <f>"1578729913853966"</f>
        <v>1578729913853966</v>
      </c>
      <c r="C3025" t="s">
        <v>40</v>
      </c>
      <c r="D3025">
        <v>5.0880960000000002</v>
      </c>
      <c r="E3025">
        <v>0.55798389999999998</v>
      </c>
      <c r="F3025" t="s">
        <v>61</v>
      </c>
      <c r="G3025">
        <v>-286.38819999999998</v>
      </c>
      <c r="H3025" s="1">
        <v>4.603521E-6</v>
      </c>
      <c r="I3025">
        <v>211.71809999999999</v>
      </c>
      <c r="J3025">
        <v>-303.14609999999999</v>
      </c>
      <c r="K3025">
        <v>1.11056</v>
      </c>
      <c r="L3025">
        <v>213.9804</v>
      </c>
      <c r="M3025">
        <v>0.99933099999999997</v>
      </c>
      <c r="N3025">
        <v>0</v>
      </c>
      <c r="O3025">
        <v>-3.4103290000000001E-2</v>
      </c>
      <c r="P3025">
        <v>0.99960930000000003</v>
      </c>
      <c r="Q3025">
        <v>-2.0680540000000001E-2</v>
      </c>
      <c r="R3025">
        <v>1.881211E-2</v>
      </c>
      <c r="S3025">
        <v>3.0047000000000001</v>
      </c>
      <c r="T3025">
        <v>-0.1952335</v>
      </c>
      <c r="U3025">
        <v>-0.39965820000000002</v>
      </c>
      <c r="V3025">
        <v>-5.2884430000000003E-2</v>
      </c>
      <c r="W3025">
        <v>-7.549465E-3</v>
      </c>
      <c r="X3025">
        <v>0.99857209999999996</v>
      </c>
      <c r="Y3025">
        <v>9.7832669999999997E-2</v>
      </c>
      <c r="Z3025">
        <v>-9.5864729999999997E-4</v>
      </c>
      <c r="AA3025">
        <v>0.99520240000000004</v>
      </c>
      <c r="AB3025">
        <v>36</v>
      </c>
      <c r="AC3025">
        <v>16.757899999999999</v>
      </c>
      <c r="AD3025">
        <v>-1.110555396479</v>
      </c>
      <c r="AE3025">
        <v>-2.26230000000001</v>
      </c>
      <c r="AF3025">
        <v>1.68217888167533</v>
      </c>
      <c r="AG3025">
        <v>-1.110555396479</v>
      </c>
      <c r="AH3025">
        <v>16.753050134661901</v>
      </c>
      <c r="AI3025">
        <v>93.773653281357795</v>
      </c>
      <c r="AJ3025">
        <v>84.266131797350496</v>
      </c>
      <c r="AK3025">
        <v>16.873877678029402</v>
      </c>
      <c r="AL3025">
        <v>90.432556591843095</v>
      </c>
      <c r="AM3025">
        <v>93.031555290714394</v>
      </c>
      <c r="AN3025">
        <v>0.99999999812830997</v>
      </c>
    </row>
    <row r="3026" spans="1:40" x14ac:dyDescent="0.3">
      <c r="A3026" t="str">
        <f>"20200111160513887"</f>
        <v>20200111160513887</v>
      </c>
      <c r="B3026" t="str">
        <f>"1578729913884222"</f>
        <v>1578729913884222</v>
      </c>
      <c r="C3026" t="s">
        <v>40</v>
      </c>
      <c r="D3026">
        <v>5.0432090000000001</v>
      </c>
      <c r="E3026">
        <v>0.55816659999999996</v>
      </c>
      <c r="F3026" t="s">
        <v>42</v>
      </c>
      <c r="G3026">
        <v>-302.10059999999999</v>
      </c>
      <c r="H3026">
        <v>1.0430459999999999</v>
      </c>
      <c r="I3026">
        <v>213.84059999999999</v>
      </c>
      <c r="J3026">
        <v>-302.78359999999998</v>
      </c>
      <c r="K3026">
        <v>1.110574</v>
      </c>
      <c r="L3026">
        <v>213.96860000000001</v>
      </c>
      <c r="M3026">
        <v>0.99935099999999999</v>
      </c>
      <c r="N3026">
        <v>0</v>
      </c>
      <c r="O3026">
        <v>-3.3524180000000001E-2</v>
      </c>
      <c r="P3026">
        <v>0.99961820000000001</v>
      </c>
      <c r="Q3026">
        <v>-2.01957E-2</v>
      </c>
      <c r="R3026">
        <v>1.8857519999999999E-2</v>
      </c>
      <c r="S3026">
        <v>3.0047299999999999</v>
      </c>
      <c r="T3026">
        <v>-0.19408529999999999</v>
      </c>
      <c r="U3026">
        <v>-0.40122989999999997</v>
      </c>
      <c r="V3026">
        <v>-5.2352259999999998E-2</v>
      </c>
      <c r="W3026">
        <v>-7.084361E-3</v>
      </c>
      <c r="X3026">
        <v>0.99860349999999998</v>
      </c>
      <c r="Y3026">
        <v>9.8917630000000006E-2</v>
      </c>
      <c r="Z3026">
        <v>-1.0249829999999999E-3</v>
      </c>
      <c r="AA3026">
        <v>0.99509510000000001</v>
      </c>
      <c r="AB3026">
        <v>36</v>
      </c>
      <c r="AC3026">
        <v>0.68299999999999195</v>
      </c>
      <c r="AD3026">
        <v>-6.7528000000000005E-2</v>
      </c>
      <c r="AE3026">
        <v>-0.12800000000001399</v>
      </c>
      <c r="AF3026">
        <v>0.10404646860477899</v>
      </c>
      <c r="AG3026">
        <v>-6.7528000000000005E-2</v>
      </c>
      <c r="AH3026">
        <v>0.68048133819712298</v>
      </c>
      <c r="AI3026">
        <v>95.602538268955399</v>
      </c>
      <c r="AJ3026">
        <v>81.306730707419803</v>
      </c>
      <c r="AK3026">
        <v>0.69169397138306199</v>
      </c>
      <c r="AL3026">
        <v>90.405907401987903</v>
      </c>
      <c r="AM3026">
        <v>93.001010950269702</v>
      </c>
      <c r="AN3026">
        <v>0.99999994875506604</v>
      </c>
    </row>
    <row r="3027" spans="1:40" x14ac:dyDescent="0.3">
      <c r="A3027" t="str">
        <f>"20200111160513909"</f>
        <v>20200111160513909</v>
      </c>
      <c r="B3027" t="str">
        <f>"1578729913904718"</f>
        <v>1578729913904718</v>
      </c>
      <c r="C3027" t="s">
        <v>40</v>
      </c>
      <c r="D3027">
        <v>5.0146449999999998</v>
      </c>
      <c r="E3027">
        <v>0.55827640000000001</v>
      </c>
      <c r="F3027" t="s">
        <v>42</v>
      </c>
      <c r="G3027">
        <v>-301.77760000000001</v>
      </c>
      <c r="H3027">
        <v>1.0458989999999999</v>
      </c>
      <c r="I3027">
        <v>213.83359999999999</v>
      </c>
      <c r="J3027">
        <v>-302.41890000000001</v>
      </c>
      <c r="K3027">
        <v>1.11059</v>
      </c>
      <c r="L3027">
        <v>213.95699999999999</v>
      </c>
      <c r="M3027">
        <v>0.99937089999999995</v>
      </c>
      <c r="N3027">
        <v>0</v>
      </c>
      <c r="O3027">
        <v>-3.2928869999999999E-2</v>
      </c>
      <c r="P3027">
        <v>0.99962410000000002</v>
      </c>
      <c r="Q3027">
        <v>-2.0165220000000001E-2</v>
      </c>
      <c r="R3027">
        <v>1.858309E-2</v>
      </c>
      <c r="S3027">
        <v>3.0048219999999999</v>
      </c>
      <c r="T3027">
        <v>-0.19332350000000001</v>
      </c>
      <c r="U3027">
        <v>-0.40254210000000001</v>
      </c>
      <c r="V3027">
        <v>-5.148324E-2</v>
      </c>
      <c r="W3027">
        <v>-7.0696580000000004E-3</v>
      </c>
      <c r="X3027">
        <v>0.9986488</v>
      </c>
      <c r="Y3027">
        <v>9.9931140000000002E-2</v>
      </c>
      <c r="Z3027">
        <v>-1.0913749999999999E-3</v>
      </c>
      <c r="AA3027">
        <v>0.99499369999999998</v>
      </c>
      <c r="AB3027">
        <v>36</v>
      </c>
      <c r="AC3027">
        <v>0.64130000000000098</v>
      </c>
      <c r="AD3027">
        <v>-6.4690999999999999E-2</v>
      </c>
      <c r="AE3027">
        <v>-0.12340000000000299</v>
      </c>
      <c r="AF3027">
        <v>0.10122073279699501</v>
      </c>
      <c r="AG3027">
        <v>-6.4690999999999999E-2</v>
      </c>
      <c r="AH3027">
        <v>0.63874827800517897</v>
      </c>
      <c r="AI3027">
        <v>95.712271692712505</v>
      </c>
      <c r="AJ3027">
        <v>80.995367171725903</v>
      </c>
      <c r="AK3027">
        <v>0.64994609382897395</v>
      </c>
      <c r="AL3027">
        <v>90.405064954460599</v>
      </c>
      <c r="AM3027">
        <v>92.951150917315601</v>
      </c>
      <c r="AN3027">
        <v>0.99999996490328602</v>
      </c>
    </row>
    <row r="3028" spans="1:40" x14ac:dyDescent="0.3">
      <c r="A3028" t="str">
        <f>"20200111160513933"</f>
        <v>20200111160513933</v>
      </c>
      <c r="B3028" t="str">
        <f>"1578729913924238"</f>
        <v>1578729913924238</v>
      </c>
      <c r="C3028" t="s">
        <v>40</v>
      </c>
      <c r="D3028">
        <v>5.2694710000000002</v>
      </c>
      <c r="E3028">
        <v>0.55828959999999905</v>
      </c>
      <c r="F3028" t="s">
        <v>42</v>
      </c>
      <c r="G3028">
        <v>-301.45510000000002</v>
      </c>
      <c r="H3028">
        <v>1.04847</v>
      </c>
      <c r="I3028">
        <v>213.8272</v>
      </c>
      <c r="J3028">
        <v>-302.04640000000001</v>
      </c>
      <c r="K3028">
        <v>1.110598</v>
      </c>
      <c r="L3028">
        <v>213.94540000000001</v>
      </c>
      <c r="M3028">
        <v>0.99939129999999998</v>
      </c>
      <c r="N3028">
        <v>0</v>
      </c>
      <c r="O3028">
        <v>-3.2309409999999997E-2</v>
      </c>
      <c r="P3028">
        <v>0.99962899999999999</v>
      </c>
      <c r="Q3028">
        <v>-1.97687E-2</v>
      </c>
      <c r="R3028">
        <v>1.8747860000000002E-2</v>
      </c>
      <c r="S3028">
        <v>3.0047000000000001</v>
      </c>
      <c r="T3028">
        <v>-0.19378799999999999</v>
      </c>
      <c r="U3028">
        <v>-0.40409850000000003</v>
      </c>
      <c r="V3028">
        <v>-5.1029560000000002E-2</v>
      </c>
      <c r="W3028">
        <v>-6.6826469999999999E-3</v>
      </c>
      <c r="X3028">
        <v>0.99867479999999997</v>
      </c>
      <c r="Y3028">
        <v>0.1010552</v>
      </c>
      <c r="Z3028">
        <v>-1.169727E-3</v>
      </c>
      <c r="AA3028">
        <v>0.99488010000000004</v>
      </c>
      <c r="AB3028">
        <v>36</v>
      </c>
      <c r="AC3028">
        <v>0.59129999999998895</v>
      </c>
      <c r="AD3028">
        <v>-6.2127999999999899E-2</v>
      </c>
      <c r="AE3028">
        <v>-0.118200000000001</v>
      </c>
      <c r="AF3028">
        <v>9.7991833252655106E-2</v>
      </c>
      <c r="AG3028">
        <v>-6.2127999999999899E-2</v>
      </c>
      <c r="AH3028">
        <v>0.58856262309384599</v>
      </c>
      <c r="AI3028">
        <v>95.944532060480697</v>
      </c>
      <c r="AJ3028">
        <v>80.547333316977003</v>
      </c>
      <c r="AK3028">
        <v>0.59989019751228201</v>
      </c>
      <c r="AL3028">
        <v>90.382890313221694</v>
      </c>
      <c r="AM3028">
        <v>92.925114163557396</v>
      </c>
      <c r="AN3028">
        <v>1.00000001495987</v>
      </c>
    </row>
    <row r="3029" spans="1:40" x14ac:dyDescent="0.3">
      <c r="A3029" t="str">
        <f>"20200111160513954"</f>
        <v>20200111160513954</v>
      </c>
      <c r="B3029" t="str">
        <f>"1578729913944735"</f>
        <v>1578729913944735</v>
      </c>
      <c r="C3029" t="s">
        <v>40</v>
      </c>
      <c r="D3029">
        <v>4.9715280000000002</v>
      </c>
      <c r="E3029">
        <v>0.55841929999999995</v>
      </c>
      <c r="F3029" t="s">
        <v>42</v>
      </c>
      <c r="G3029">
        <v>-301.13170000000002</v>
      </c>
      <c r="H3029">
        <v>1.051774</v>
      </c>
      <c r="I3029">
        <v>213.82239999999999</v>
      </c>
      <c r="J3029">
        <v>-301.70530000000002</v>
      </c>
      <c r="K3029">
        <v>1.110609</v>
      </c>
      <c r="L3029">
        <v>213.9349</v>
      </c>
      <c r="M3029">
        <v>0.99940989999999996</v>
      </c>
      <c r="N3029">
        <v>0</v>
      </c>
      <c r="O3029">
        <v>-3.173161E-2</v>
      </c>
      <c r="P3029">
        <v>0.99963190000000002</v>
      </c>
      <c r="Q3029">
        <v>-1.9630020000000001E-2</v>
      </c>
      <c r="R3029">
        <v>1.873315E-2</v>
      </c>
      <c r="S3029">
        <v>3.0048219999999999</v>
      </c>
      <c r="T3029">
        <v>-0.19332959999999999</v>
      </c>
      <c r="U3029">
        <v>-0.40362550000000003</v>
      </c>
      <c r="V3029">
        <v>-5.0437669999999997E-2</v>
      </c>
      <c r="W3029">
        <v>-6.5477720000000003E-3</v>
      </c>
      <c r="X3029">
        <v>0.99870570000000003</v>
      </c>
      <c r="Y3029">
        <v>0.1014698</v>
      </c>
      <c r="Z3029">
        <v>-1.217117E-3</v>
      </c>
      <c r="AA3029">
        <v>0.99483790000000005</v>
      </c>
      <c r="AB3029">
        <v>36</v>
      </c>
      <c r="AC3029">
        <v>0.573599999999999</v>
      </c>
      <c r="AD3029">
        <v>-5.8834999999999901E-2</v>
      </c>
      <c r="AE3029">
        <v>-0.11250000000001099</v>
      </c>
      <c r="AF3029">
        <v>9.3295319485459105E-2</v>
      </c>
      <c r="AG3029">
        <v>-5.8834999999999901E-2</v>
      </c>
      <c r="AH3029">
        <v>0.57109533758802</v>
      </c>
      <c r="AI3029">
        <v>95.805516472414695</v>
      </c>
      <c r="AJ3029">
        <v>80.721997799705704</v>
      </c>
      <c r="AK3029">
        <v>0.58164891341570302</v>
      </c>
      <c r="AL3029">
        <v>90.375162399018393</v>
      </c>
      <c r="AM3029">
        <v>92.891154471787004</v>
      </c>
      <c r="AN3029">
        <v>0.99999995354283999</v>
      </c>
    </row>
    <row r="3030" spans="1:40" x14ac:dyDescent="0.3">
      <c r="A3030" t="str">
        <f>"20200111160513975"</f>
        <v>20200111160513975</v>
      </c>
      <c r="B3030" t="str">
        <f>"1578729913964254"</f>
        <v>1578729913964254</v>
      </c>
      <c r="C3030" t="s">
        <v>40</v>
      </c>
      <c r="D3030">
        <v>5.0767769999999999</v>
      </c>
      <c r="E3030">
        <v>0.55842979999999998</v>
      </c>
      <c r="F3030" t="s">
        <v>42</v>
      </c>
      <c r="G3030">
        <v>-300.80529999999999</v>
      </c>
      <c r="H3030">
        <v>1.0527230000000001</v>
      </c>
      <c r="I3030">
        <v>213.81360000000001</v>
      </c>
      <c r="J3030">
        <v>-301.3578</v>
      </c>
      <c r="K3030">
        <v>1.110617</v>
      </c>
      <c r="L3030">
        <v>213.92449999999999</v>
      </c>
      <c r="M3030">
        <v>0.99942850000000005</v>
      </c>
      <c r="N3030">
        <v>0</v>
      </c>
      <c r="O3030">
        <v>-3.11343E-2</v>
      </c>
      <c r="P3030">
        <v>0.99963190000000002</v>
      </c>
      <c r="Q3030">
        <v>-1.9397129999999999E-2</v>
      </c>
      <c r="R3030">
        <v>1.8969030000000001E-2</v>
      </c>
      <c r="S3030">
        <v>3.004883</v>
      </c>
      <c r="T3030">
        <v>-0.1933648</v>
      </c>
      <c r="U3030">
        <v>-0.4044952</v>
      </c>
      <c r="V3030">
        <v>-5.007677E-2</v>
      </c>
      <c r="W3030">
        <v>-6.3170589999999999E-3</v>
      </c>
      <c r="X3030">
        <v>0.99872539999999999</v>
      </c>
      <c r="Y3030">
        <v>0.1023415</v>
      </c>
      <c r="Z3030">
        <v>-1.2833580000000001E-3</v>
      </c>
      <c r="AA3030">
        <v>0.99474850000000004</v>
      </c>
      <c r="AB3030">
        <v>36</v>
      </c>
      <c r="AC3030">
        <v>0.55250000000000898</v>
      </c>
      <c r="AD3030">
        <v>-5.7894000000000098E-2</v>
      </c>
      <c r="AE3030">
        <v>-0.110899999999986</v>
      </c>
      <c r="AF3030">
        <v>9.2664979789452206E-2</v>
      </c>
      <c r="AG3030">
        <v>-5.7894000000000098E-2</v>
      </c>
      <c r="AH3030">
        <v>0.54988133858593802</v>
      </c>
      <c r="AI3030">
        <v>95.927251816244507</v>
      </c>
      <c r="AJ3030">
        <v>80.434494407625493</v>
      </c>
      <c r="AK3030">
        <v>0.56063178668395397</v>
      </c>
      <c r="AL3030">
        <v>90.361943224596203</v>
      </c>
      <c r="AM3030">
        <v>92.870445399789403</v>
      </c>
      <c r="AN3030">
        <v>1.0000000063665999</v>
      </c>
    </row>
    <row r="3031" spans="1:40" x14ac:dyDescent="0.3">
      <c r="A3031" t="str">
        <f>"20200111160513998"</f>
        <v>20200111160513998</v>
      </c>
      <c r="B3031" t="str">
        <f>"1578729913994511"</f>
        <v>1578729913994511</v>
      </c>
      <c r="C3031" t="s">
        <v>40</v>
      </c>
      <c r="D3031">
        <v>4.971616</v>
      </c>
      <c r="E3031">
        <v>0.53367500000000001</v>
      </c>
      <c r="F3031" t="s">
        <v>61</v>
      </c>
      <c r="G3031">
        <v>-284.02760000000001</v>
      </c>
      <c r="H3031" s="1">
        <v>5.6650370000000004E-6</v>
      </c>
      <c r="I3031">
        <v>211.59479999999999</v>
      </c>
      <c r="J3031">
        <v>-300.9957</v>
      </c>
      <c r="K3031">
        <v>1.1106240000000001</v>
      </c>
      <c r="L3031">
        <v>213.91380000000001</v>
      </c>
      <c r="M3031">
        <v>0.999448</v>
      </c>
      <c r="N3031">
        <v>0</v>
      </c>
      <c r="O3031">
        <v>-3.0505890000000001E-2</v>
      </c>
      <c r="P3031">
        <v>0.99962430000000002</v>
      </c>
      <c r="Q3031">
        <v>-1.940948E-2</v>
      </c>
      <c r="R3031">
        <v>1.9364309999999999E-2</v>
      </c>
      <c r="S3031">
        <v>3.0050349999999999</v>
      </c>
      <c r="T3031">
        <v>-0.19257779999999999</v>
      </c>
      <c r="U3031">
        <v>-0.40396120000000002</v>
      </c>
      <c r="V3031">
        <v>-4.9843890000000002E-2</v>
      </c>
      <c r="W3031">
        <v>-6.3308799999999997E-3</v>
      </c>
      <c r="X3031">
        <v>0.99873699999999999</v>
      </c>
      <c r="Y3031">
        <v>0.1027856</v>
      </c>
      <c r="Z3031">
        <v>-1.3322480000000001E-3</v>
      </c>
      <c r="AA3031">
        <v>0.99470259999999999</v>
      </c>
      <c r="AB3031">
        <v>36</v>
      </c>
      <c r="AC3031">
        <v>16.9680999999999</v>
      </c>
      <c r="AD3031">
        <v>-1.1106183349629899</v>
      </c>
      <c r="AE3031">
        <v>-2.3190000000000102</v>
      </c>
      <c r="AF3031">
        <v>1.79270933716582</v>
      </c>
      <c r="AG3031">
        <v>-1.1106183349629899</v>
      </c>
      <c r="AH3031">
        <v>16.959625623309702</v>
      </c>
      <c r="AI3031">
        <v>93.726023199278401</v>
      </c>
      <c r="AJ3031">
        <v>83.965983298720005</v>
      </c>
      <c r="AK3031">
        <v>17.090236427163401</v>
      </c>
      <c r="AL3031">
        <v>90.3627351116385</v>
      </c>
      <c r="AM3031">
        <v>92.857085549380898</v>
      </c>
      <c r="AN3031">
        <v>1.00000004429045</v>
      </c>
    </row>
    <row r="3032" spans="1:40" x14ac:dyDescent="0.3">
      <c r="A3032" t="str">
        <f>"20200111160514021"</f>
        <v>20200111160514021</v>
      </c>
      <c r="B3032" t="str">
        <f>"1578729914014030"</f>
        <v>1578729914014030</v>
      </c>
      <c r="C3032" t="s">
        <v>40</v>
      </c>
      <c r="D3032">
        <v>5.040521</v>
      </c>
      <c r="E3032">
        <v>0.53213290000000002</v>
      </c>
      <c r="F3032" t="s">
        <v>42</v>
      </c>
      <c r="G3032">
        <v>-300.1798</v>
      </c>
      <c r="H3032">
        <v>1.0376890000000001</v>
      </c>
      <c r="I3032">
        <v>213.8587</v>
      </c>
      <c r="J3032">
        <v>-300.61860000000001</v>
      </c>
      <c r="K3032">
        <v>1.1106309999999999</v>
      </c>
      <c r="L3032">
        <v>213.90299999999999</v>
      </c>
      <c r="M3032">
        <v>0.99946780000000002</v>
      </c>
      <c r="N3032">
        <v>0</v>
      </c>
      <c r="O3032">
        <v>-2.984794E-2</v>
      </c>
      <c r="P3032">
        <v>0.99961480000000003</v>
      </c>
      <c r="Q3032">
        <v>-1.925004E-2</v>
      </c>
      <c r="R3032">
        <v>1.9995809999999999E-2</v>
      </c>
      <c r="S3032">
        <v>2.9997560000000001</v>
      </c>
      <c r="T3032">
        <v>-0.26832879999999998</v>
      </c>
      <c r="U3032">
        <v>-0.2019348</v>
      </c>
      <c r="V3032">
        <v>-4.9817260000000002E-2</v>
      </c>
      <c r="W3032">
        <v>-6.1725850000000004E-3</v>
      </c>
      <c r="X3032">
        <v>0.9987393</v>
      </c>
      <c r="Y3032">
        <v>3.7322309999999997E-2</v>
      </c>
      <c r="Z3032">
        <v>9.9681170000000003E-4</v>
      </c>
      <c r="AA3032">
        <v>0.99930280000000005</v>
      </c>
      <c r="AB3032">
        <v>36</v>
      </c>
      <c r="AC3032">
        <v>0.43880000000001401</v>
      </c>
      <c r="AD3032">
        <v>-7.2942000000000007E-2</v>
      </c>
      <c r="AE3032">
        <v>-4.4299999999992602E-2</v>
      </c>
      <c r="AF3032">
        <v>3.0351615503124998E-2</v>
      </c>
      <c r="AG3032">
        <v>-7.2942000000000007E-2</v>
      </c>
      <c r="AH3032">
        <v>0.42821355984237103</v>
      </c>
      <c r="AI3032">
        <v>99.643253780427898</v>
      </c>
      <c r="AJ3032">
        <v>85.945677233101605</v>
      </c>
      <c r="AK3032">
        <v>0.43544070636600501</v>
      </c>
      <c r="AL3032">
        <v>90.353665306267601</v>
      </c>
      <c r="AM3032">
        <v>92.855555061676597</v>
      </c>
      <c r="AN3032">
        <v>1.00000002478198</v>
      </c>
    </row>
    <row r="3033" spans="1:40" x14ac:dyDescent="0.3">
      <c r="A3033" t="str">
        <f>"20200111160514043"</f>
        <v>20200111160514043</v>
      </c>
      <c r="B3033" t="str">
        <f>"1578729914034526"</f>
        <v>1578729914034526</v>
      </c>
      <c r="C3033" t="s">
        <v>40</v>
      </c>
      <c r="D3033">
        <v>5.0846850000000003</v>
      </c>
      <c r="E3033">
        <v>0.53186060000000002</v>
      </c>
      <c r="F3033" t="s">
        <v>42</v>
      </c>
      <c r="G3033">
        <v>-299.8571</v>
      </c>
      <c r="H3033">
        <v>1.041755</v>
      </c>
      <c r="I3033">
        <v>213.85499999999999</v>
      </c>
      <c r="J3033">
        <v>-300.2722</v>
      </c>
      <c r="K3033">
        <v>1.1106339999999999</v>
      </c>
      <c r="L3033">
        <v>213.89320000000001</v>
      </c>
      <c r="M3033">
        <v>0.99948570000000003</v>
      </c>
      <c r="N3033">
        <v>0</v>
      </c>
      <c r="O3033">
        <v>-2.9242460000000001E-2</v>
      </c>
      <c r="P3033">
        <v>0.9996157</v>
      </c>
      <c r="Q3033">
        <v>-1.887084E-2</v>
      </c>
      <c r="R3033">
        <v>2.030539E-2</v>
      </c>
      <c r="S3033">
        <v>2.999695</v>
      </c>
      <c r="T3033">
        <v>-0.2716518</v>
      </c>
      <c r="U3033">
        <v>-0.1874084</v>
      </c>
      <c r="V3033">
        <v>-4.9522110000000001E-2</v>
      </c>
      <c r="W3033">
        <v>-5.7933129999999996E-3</v>
      </c>
      <c r="X3033">
        <v>0.99875619999999998</v>
      </c>
      <c r="Y3033">
        <v>3.3123689999999997E-2</v>
      </c>
      <c r="Z3033">
        <v>1.1442449999999999E-3</v>
      </c>
      <c r="AA3033">
        <v>0.99945059999999997</v>
      </c>
      <c r="AB3033">
        <v>36</v>
      </c>
      <c r="AC3033">
        <v>0.41509999999999497</v>
      </c>
      <c r="AD3033">
        <v>-6.8879000000000107E-2</v>
      </c>
      <c r="AE3033">
        <v>-3.8200000000017498E-2</v>
      </c>
      <c r="AF3033">
        <v>2.5351889044023398E-2</v>
      </c>
      <c r="AG3033">
        <v>-6.8879000000000107E-2</v>
      </c>
      <c r="AH3033">
        <v>0.40498249050783602</v>
      </c>
      <c r="AI3033">
        <v>99.633938534579798</v>
      </c>
      <c r="AJ3033">
        <v>86.417960471072703</v>
      </c>
      <c r="AK3033">
        <v>0.41157970374768199</v>
      </c>
      <c r="AL3033">
        <v>90.331934249553896</v>
      </c>
      <c r="AM3033">
        <v>92.838616686684702</v>
      </c>
      <c r="AN3033">
        <v>0.99999997444640298</v>
      </c>
    </row>
    <row r="3034" spans="1:40" x14ac:dyDescent="0.3">
      <c r="A3034" t="str">
        <f>"20200111160514065"</f>
        <v>20200111160514065</v>
      </c>
      <c r="B3034" t="str">
        <f>"1578729914054046"</f>
        <v>1578729914054046</v>
      </c>
      <c r="C3034" t="s">
        <v>40</v>
      </c>
      <c r="D3034">
        <v>4.9204129999999999</v>
      </c>
      <c r="E3034">
        <v>0.53224969999999905</v>
      </c>
      <c r="F3034" t="s">
        <v>42</v>
      </c>
      <c r="G3034">
        <v>-299.53519999999997</v>
      </c>
      <c r="H3034">
        <v>1.044006</v>
      </c>
      <c r="I3034">
        <v>213.84790000000001</v>
      </c>
      <c r="J3034">
        <v>-299.93200000000002</v>
      </c>
      <c r="K3034">
        <v>1.110638</v>
      </c>
      <c r="L3034">
        <v>213.88390000000001</v>
      </c>
      <c r="M3034">
        <v>0.99950289999999997</v>
      </c>
      <c r="N3034">
        <v>0</v>
      </c>
      <c r="O3034">
        <v>-2.8647599999999999E-2</v>
      </c>
      <c r="P3034">
        <v>0.9996043</v>
      </c>
      <c r="Q3034">
        <v>-1.8720480000000001E-2</v>
      </c>
      <c r="R3034">
        <v>2.0999650000000002E-2</v>
      </c>
      <c r="S3034">
        <v>2.9997560000000001</v>
      </c>
      <c r="T3034">
        <v>-0.2712656</v>
      </c>
      <c r="U3034">
        <v>-0.18402099999999999</v>
      </c>
      <c r="V3034">
        <v>-4.9621690000000003E-2</v>
      </c>
      <c r="W3034">
        <v>-5.6434190000000002E-3</v>
      </c>
      <c r="X3034">
        <v>0.99875210000000003</v>
      </c>
      <c r="Y3034">
        <v>3.2592719999999999E-2</v>
      </c>
      <c r="Z3034">
        <v>1.112991E-3</v>
      </c>
      <c r="AA3034">
        <v>0.99946809999999997</v>
      </c>
      <c r="AB3034">
        <v>36</v>
      </c>
      <c r="AC3034">
        <v>0.39680000000004101</v>
      </c>
      <c r="AD3034">
        <v>-6.6631999999999997E-2</v>
      </c>
      <c r="AE3034">
        <v>-3.6000000000001302E-2</v>
      </c>
      <c r="AF3034">
        <v>2.3947115254791599E-2</v>
      </c>
      <c r="AG3034">
        <v>-6.6631999999999997E-2</v>
      </c>
      <c r="AH3034">
        <v>0.386849100838289</v>
      </c>
      <c r="AI3034">
        <v>99.754584295195301</v>
      </c>
      <c r="AJ3034">
        <v>86.457740055917</v>
      </c>
      <c r="AK3034">
        <v>0.39327536736035001</v>
      </c>
      <c r="AL3034">
        <v>90.323345820398501</v>
      </c>
      <c r="AM3034">
        <v>92.844326924409003</v>
      </c>
      <c r="AN3034">
        <v>0.99999995877543701</v>
      </c>
    </row>
    <row r="3035" spans="1:40" x14ac:dyDescent="0.3">
      <c r="A3035" t="str">
        <f>"20200111160514088"</f>
        <v>20200111160514088</v>
      </c>
      <c r="B3035" t="str">
        <f>"1578729914084302"</f>
        <v>1578729914084302</v>
      </c>
      <c r="C3035" t="s">
        <v>40</v>
      </c>
      <c r="D3035">
        <v>4.9172459999999996</v>
      </c>
      <c r="E3035">
        <v>0.53198690000000004</v>
      </c>
      <c r="F3035" t="s">
        <v>42</v>
      </c>
      <c r="G3035">
        <v>-298.91109999999998</v>
      </c>
      <c r="H3035">
        <v>1.018159</v>
      </c>
      <c r="I3035">
        <v>213.82069999999999</v>
      </c>
      <c r="J3035">
        <v>-299.56790000000001</v>
      </c>
      <c r="K3035">
        <v>1.1106400000000001</v>
      </c>
      <c r="L3035">
        <v>213.8741</v>
      </c>
      <c r="M3035">
        <v>0.99952090000000005</v>
      </c>
      <c r="N3035">
        <v>0</v>
      </c>
      <c r="O3035">
        <v>-2.8011379999999999E-2</v>
      </c>
      <c r="P3035">
        <v>0.99960179999999998</v>
      </c>
      <c r="Q3035">
        <v>-1.8455619999999999E-2</v>
      </c>
      <c r="R3035">
        <v>2.1338300000000001E-2</v>
      </c>
      <c r="S3035">
        <v>2.9999690000000001</v>
      </c>
      <c r="T3035">
        <v>-0.271978</v>
      </c>
      <c r="U3035">
        <v>-0.1849518</v>
      </c>
      <c r="V3035">
        <v>-4.9325059999999997E-2</v>
      </c>
      <c r="W3035">
        <v>-5.3779509999999997E-3</v>
      </c>
      <c r="X3035">
        <v>0.99876830000000005</v>
      </c>
      <c r="Y3035">
        <v>3.3526979999999998E-2</v>
      </c>
      <c r="Z3035">
        <v>1.0161160000000001E-3</v>
      </c>
      <c r="AA3035">
        <v>0.99943729999999997</v>
      </c>
      <c r="AB3035">
        <v>36</v>
      </c>
      <c r="AC3035">
        <v>0.65680000000003202</v>
      </c>
      <c r="AD3035">
        <v>-9.2480999999999994E-2</v>
      </c>
      <c r="AE3035">
        <v>-5.3400000000010502E-2</v>
      </c>
      <c r="AF3035">
        <v>3.4303924248966403E-2</v>
      </c>
      <c r="AG3035">
        <v>-9.2480999999999994E-2</v>
      </c>
      <c r="AH3035">
        <v>0.64532780899040698</v>
      </c>
      <c r="AI3035">
        <v>98.144104117049096</v>
      </c>
      <c r="AJ3035">
        <v>86.957171370019395</v>
      </c>
      <c r="AK3035">
        <v>0.65282269846891705</v>
      </c>
      <c r="AL3035">
        <v>90.308135379922007</v>
      </c>
      <c r="AM3035">
        <v>92.827305909630994</v>
      </c>
      <c r="AN3035">
        <v>1.0000000004929199</v>
      </c>
    </row>
    <row r="3036" spans="1:40" x14ac:dyDescent="0.3">
      <c r="A3036" t="str">
        <f>"20200111160514101"</f>
        <v>20200111160514101</v>
      </c>
      <c r="B3036" t="str">
        <f>"1578729914094063"</f>
        <v>1578729914094063</v>
      </c>
      <c r="C3036" t="s">
        <v>40</v>
      </c>
      <c r="D3036">
        <v>5.0142340000000001</v>
      </c>
      <c r="E3036">
        <v>0.532308</v>
      </c>
      <c r="F3036" t="s">
        <v>42</v>
      </c>
      <c r="G3036">
        <v>-298.58980000000003</v>
      </c>
      <c r="H3036">
        <v>1.022162</v>
      </c>
      <c r="I3036">
        <v>213.81440000000001</v>
      </c>
      <c r="J3036">
        <v>-299.3252</v>
      </c>
      <c r="K3036">
        <v>1.1106389999999999</v>
      </c>
      <c r="L3036">
        <v>213.86770000000001</v>
      </c>
      <c r="M3036">
        <v>0.99953270000000005</v>
      </c>
      <c r="N3036">
        <v>0</v>
      </c>
      <c r="O3036">
        <v>-2.7587359999999998E-2</v>
      </c>
      <c r="P3036">
        <v>0.99960199999999999</v>
      </c>
      <c r="Q3036">
        <v>-1.815348E-2</v>
      </c>
      <c r="R3036">
        <v>2.1590600000000001E-2</v>
      </c>
      <c r="S3036">
        <v>3.0000610000000001</v>
      </c>
      <c r="T3036">
        <v>-0.27163300000000001</v>
      </c>
      <c r="U3036">
        <v>-0.18202209999999999</v>
      </c>
      <c r="V3036">
        <v>-4.9153679999999998E-2</v>
      </c>
      <c r="W3036">
        <v>-5.0755870000000003E-3</v>
      </c>
      <c r="X3036">
        <v>0.99877830000000001</v>
      </c>
      <c r="Y3036">
        <v>3.2977300000000001E-2</v>
      </c>
      <c r="Z3036">
        <v>1.001397E-3</v>
      </c>
      <c r="AA3036">
        <v>0.9994556</v>
      </c>
      <c r="AB3036">
        <v>36</v>
      </c>
      <c r="AC3036">
        <v>0.73539999999996997</v>
      </c>
      <c r="AD3036">
        <v>-8.8476999999999903E-2</v>
      </c>
      <c r="AE3036">
        <v>-5.3300000000007203E-2</v>
      </c>
      <c r="AF3036">
        <v>3.2521918037227003E-2</v>
      </c>
      <c r="AG3036">
        <v>-8.8476999999999903E-2</v>
      </c>
      <c r="AH3036">
        <v>0.72613483374740695</v>
      </c>
      <c r="AI3036">
        <v>96.940156938352004</v>
      </c>
      <c r="AJ3036">
        <v>87.435566892874206</v>
      </c>
      <c r="AK3036">
        <v>0.73222786853765298</v>
      </c>
      <c r="AL3036">
        <v>90.2908109712439</v>
      </c>
      <c r="AM3036">
        <v>92.817470122978406</v>
      </c>
      <c r="AN3036">
        <v>0.99999996919591305</v>
      </c>
    </row>
    <row r="3037" spans="1:40" x14ac:dyDescent="0.3">
      <c r="A3037" t="str">
        <f>"20200111160514117"</f>
        <v>20200111160514117</v>
      </c>
      <c r="B3037" t="str">
        <f>"1578729914114558"</f>
        <v>1578729914114558</v>
      </c>
      <c r="C3037" t="s">
        <v>40</v>
      </c>
      <c r="D3037">
        <v>4.9622580000000003</v>
      </c>
      <c r="E3037">
        <v>0.53233180000000002</v>
      </c>
      <c r="F3037" t="s">
        <v>42</v>
      </c>
      <c r="G3037">
        <v>-298.5779</v>
      </c>
      <c r="H3037">
        <v>1.0432140000000001</v>
      </c>
      <c r="I3037">
        <v>213.82159999999999</v>
      </c>
      <c r="J3037">
        <v>-299.0949</v>
      </c>
      <c r="K3037">
        <v>1.1106400000000001</v>
      </c>
      <c r="L3037">
        <v>213.86179999999999</v>
      </c>
      <c r="M3037">
        <v>0.99954390000000004</v>
      </c>
      <c r="N3037">
        <v>0</v>
      </c>
      <c r="O3037">
        <v>-2.7185029999999999E-2</v>
      </c>
      <c r="P3037">
        <v>0.99959679999999995</v>
      </c>
      <c r="Q3037">
        <v>-1.799593E-2</v>
      </c>
      <c r="R3037">
        <v>2.196217E-2</v>
      </c>
      <c r="S3037">
        <v>3.0002749999999998</v>
      </c>
      <c r="T3037">
        <v>-0.27105380000000001</v>
      </c>
      <c r="U3037">
        <v>-0.18360899999999999</v>
      </c>
      <c r="V3037">
        <v>-4.9123729999999997E-2</v>
      </c>
      <c r="W3037">
        <v>-4.918047E-3</v>
      </c>
      <c r="X3037">
        <v>0.99878060000000002</v>
      </c>
      <c r="Y3037">
        <v>3.3896700000000002E-2</v>
      </c>
      <c r="Z3037">
        <v>9.2155310000000001E-4</v>
      </c>
      <c r="AA3037">
        <v>0.99942489999999995</v>
      </c>
      <c r="AB3037">
        <v>36</v>
      </c>
      <c r="AC3037">
        <v>0.51699999999999502</v>
      </c>
      <c r="AD3037">
        <v>-6.7426000000000194E-2</v>
      </c>
      <c r="AE3037">
        <v>-4.0199999999998598E-2</v>
      </c>
      <c r="AF3037">
        <v>2.5694851949855099E-2</v>
      </c>
      <c r="AG3037">
        <v>-6.7426000000000194E-2</v>
      </c>
      <c r="AH3037">
        <v>0.50929144785657499</v>
      </c>
      <c r="AI3037">
        <v>97.532162009577604</v>
      </c>
      <c r="AJ3037">
        <v>87.111753291112905</v>
      </c>
      <c r="AK3037">
        <v>0.51437755564621102</v>
      </c>
      <c r="AL3037">
        <v>90.281784470374205</v>
      </c>
      <c r="AM3037">
        <v>92.815749690336204</v>
      </c>
      <c r="AN3037">
        <v>1.0000000074858799</v>
      </c>
    </row>
    <row r="3038" spans="1:40" x14ac:dyDescent="0.3">
      <c r="A3038" t="str">
        <f>"20200111160514133"</f>
        <v>20200111160514133</v>
      </c>
      <c r="B3038" t="str">
        <f>"1578729914124320"</f>
        <v>1578729914124320</v>
      </c>
      <c r="C3038" t="s">
        <v>40</v>
      </c>
      <c r="D3038">
        <v>4.9369230000000002</v>
      </c>
      <c r="E3038">
        <v>0.53240759999999998</v>
      </c>
      <c r="F3038" t="s">
        <v>42</v>
      </c>
      <c r="G3038">
        <v>-298.2638</v>
      </c>
      <c r="H3038">
        <v>1.0357879999999999</v>
      </c>
      <c r="I3038">
        <v>213.81100000000001</v>
      </c>
      <c r="J3038">
        <v>-298.84039999999999</v>
      </c>
      <c r="K3038">
        <v>1.110644</v>
      </c>
      <c r="L3038">
        <v>213.8553</v>
      </c>
      <c r="M3038">
        <v>0.99955590000000005</v>
      </c>
      <c r="N3038">
        <v>0</v>
      </c>
      <c r="O3038">
        <v>-2.6740389999999999E-2</v>
      </c>
      <c r="P3038">
        <v>0.99958999999999998</v>
      </c>
      <c r="Q3038">
        <v>-1.7923330000000001E-2</v>
      </c>
      <c r="R3038">
        <v>2.2336120000000001E-2</v>
      </c>
      <c r="S3038">
        <v>3.0003660000000001</v>
      </c>
      <c r="T3038">
        <v>-0.27036100000000002</v>
      </c>
      <c r="U3038">
        <v>-0.1826477</v>
      </c>
      <c r="V3038">
        <v>-4.9052779999999997E-2</v>
      </c>
      <c r="W3038">
        <v>-4.8454279999999997E-3</v>
      </c>
      <c r="X3038">
        <v>0.99878440000000002</v>
      </c>
      <c r="Y3038">
        <v>3.4018239999999998E-2</v>
      </c>
      <c r="Z3038">
        <v>8.7380649999999895E-4</v>
      </c>
      <c r="AA3038">
        <v>0.9994208</v>
      </c>
      <c r="AB3038">
        <v>36</v>
      </c>
      <c r="AC3038">
        <v>0.57659999999998401</v>
      </c>
      <c r="AD3038">
        <v>-7.4856000000000006E-2</v>
      </c>
      <c r="AE3038">
        <v>-4.43000000000211E-2</v>
      </c>
      <c r="AF3038">
        <v>2.83886579036528E-2</v>
      </c>
      <c r="AG3038">
        <v>-7.4856000000000006E-2</v>
      </c>
      <c r="AH3038">
        <v>0.56806054936000105</v>
      </c>
      <c r="AI3038">
        <v>97.497631372124005</v>
      </c>
      <c r="AJ3038">
        <v>87.139040505812105</v>
      </c>
      <c r="AK3038">
        <v>0.57367423192327205</v>
      </c>
      <c r="AL3038">
        <v>90.277623670257796</v>
      </c>
      <c r="AM3038">
        <v>92.8116787192576</v>
      </c>
      <c r="AN3038">
        <v>0.99999996554079496</v>
      </c>
    </row>
    <row r="3039" spans="1:40" x14ac:dyDescent="0.3">
      <c r="A3039" t="str">
        <f>"20200111160514154"</f>
        <v>20200111160514154</v>
      </c>
      <c r="B3039" t="str">
        <f>"1578729914144814"</f>
        <v>1578729914144814</v>
      </c>
      <c r="C3039" t="s">
        <v>40</v>
      </c>
      <c r="D3039">
        <v>5.2014899999999997</v>
      </c>
      <c r="E3039">
        <v>0.53225559999999905</v>
      </c>
      <c r="F3039" t="s">
        <v>42</v>
      </c>
      <c r="G3039">
        <v>-297.94760000000002</v>
      </c>
      <c r="H3039">
        <v>1.0303070000000001</v>
      </c>
      <c r="I3039">
        <v>213.80080000000001</v>
      </c>
      <c r="J3039">
        <v>-298.49400000000003</v>
      </c>
      <c r="K3039">
        <v>1.110646</v>
      </c>
      <c r="L3039">
        <v>213.8466</v>
      </c>
      <c r="M3039">
        <v>0.99957180000000001</v>
      </c>
      <c r="N3039">
        <v>0</v>
      </c>
      <c r="O3039">
        <v>-2.613507E-2</v>
      </c>
      <c r="P3039">
        <v>0.99958990000000003</v>
      </c>
      <c r="Q3039">
        <v>-1.7430339999999999E-2</v>
      </c>
      <c r="R3039">
        <v>2.2720730000000001E-2</v>
      </c>
      <c r="S3039">
        <v>3.0004580000000001</v>
      </c>
      <c r="T3039">
        <v>-0.27015289999999997</v>
      </c>
      <c r="U3039">
        <v>-0.18211359999999999</v>
      </c>
      <c r="V3039">
        <v>-4.8833809999999998E-2</v>
      </c>
      <c r="W3039">
        <v>-4.352206E-3</v>
      </c>
      <c r="X3039">
        <v>0.99879739999999995</v>
      </c>
      <c r="Y3039">
        <v>3.4440320000000003E-2</v>
      </c>
      <c r="Z3039">
        <v>7.9986049999999996E-4</v>
      </c>
      <c r="AA3039">
        <v>0.99940649999999998</v>
      </c>
      <c r="AB3039">
        <v>36</v>
      </c>
      <c r="AC3039">
        <v>0.54640000000000499</v>
      </c>
      <c r="AD3039">
        <v>-8.0339000000000105E-2</v>
      </c>
      <c r="AE3039">
        <v>-4.5799999999985602E-2</v>
      </c>
      <c r="AF3039">
        <v>3.0840824492055299E-2</v>
      </c>
      <c r="AG3039">
        <v>-8.0339000000000105E-2</v>
      </c>
      <c r="AH3039">
        <v>0.53590561846978901</v>
      </c>
      <c r="AI3039">
        <v>98.511990702940594</v>
      </c>
      <c r="AJ3039">
        <v>86.706318926938096</v>
      </c>
      <c r="AK3039">
        <v>0.54277098603723894</v>
      </c>
      <c r="AL3039">
        <v>90.249363831464294</v>
      </c>
      <c r="AM3039">
        <v>92.799111109141293</v>
      </c>
      <c r="AN3039">
        <v>0.99999996447146999</v>
      </c>
    </row>
    <row r="3040" spans="1:40" x14ac:dyDescent="0.3">
      <c r="A3040" t="str">
        <f>"20200111160514177"</f>
        <v>20200111160514177</v>
      </c>
      <c r="B3040" t="str">
        <f>"1578729914174094"</f>
        <v>1578729914174094</v>
      </c>
      <c r="C3040" t="s">
        <v>40</v>
      </c>
      <c r="D3040">
        <v>4.9852749999999997</v>
      </c>
      <c r="E3040">
        <v>0.53255949999999996</v>
      </c>
      <c r="F3040" t="s">
        <v>42</v>
      </c>
      <c r="G3040">
        <v>-297.62729999999999</v>
      </c>
      <c r="H3040">
        <v>1.032877</v>
      </c>
      <c r="I3040">
        <v>213.7946</v>
      </c>
      <c r="J3040">
        <v>-298.1472</v>
      </c>
      <c r="K3040">
        <v>1.110654</v>
      </c>
      <c r="L3040">
        <v>213.8382</v>
      </c>
      <c r="M3040">
        <v>0.99958740000000001</v>
      </c>
      <c r="N3040">
        <v>0</v>
      </c>
      <c r="O3040">
        <v>-2.552915E-2</v>
      </c>
      <c r="P3040">
        <v>0.99958559999999996</v>
      </c>
      <c r="Q3040">
        <v>-1.6883229999999999E-2</v>
      </c>
      <c r="R3040">
        <v>2.3314359999999999E-2</v>
      </c>
      <c r="S3040">
        <v>3.0005799999999998</v>
      </c>
      <c r="T3040">
        <v>-0.26932440000000002</v>
      </c>
      <c r="U3040">
        <v>-0.17973329999999901</v>
      </c>
      <c r="V3040">
        <v>-4.8822009999999999E-2</v>
      </c>
      <c r="W3040">
        <v>-3.8055200000000002E-3</v>
      </c>
      <c r="X3040">
        <v>0.99880020000000003</v>
      </c>
      <c r="Y3040">
        <v>3.4252240000000003E-2</v>
      </c>
      <c r="Z3040">
        <v>7.5162779999999999E-4</v>
      </c>
      <c r="AA3040">
        <v>0.999413</v>
      </c>
      <c r="AB3040">
        <v>36</v>
      </c>
      <c r="AC3040">
        <v>0.51990000000000602</v>
      </c>
      <c r="AD3040">
        <v>-7.7776999999999902E-2</v>
      </c>
      <c r="AE3040">
        <v>-4.35999999999978E-2</v>
      </c>
      <c r="AF3040">
        <v>2.96530279598845E-2</v>
      </c>
      <c r="AG3040">
        <v>-7.7776999999999902E-2</v>
      </c>
      <c r="AH3040">
        <v>0.50952019626567602</v>
      </c>
      <c r="AI3040">
        <v>98.6646239875475</v>
      </c>
      <c r="AJ3040">
        <v>86.669260435379101</v>
      </c>
      <c r="AK3040">
        <v>0.51627453375002197</v>
      </c>
      <c r="AL3040">
        <v>90.218040770925896</v>
      </c>
      <c r="AM3040">
        <v>92.798427986218499</v>
      </c>
      <c r="AN3040">
        <v>0.99999995508147399</v>
      </c>
    </row>
    <row r="3041" spans="1:40" x14ac:dyDescent="0.3">
      <c r="A3041" t="str">
        <f>"20200111160514199"</f>
        <v>20200111160514199</v>
      </c>
      <c r="B3041" t="str">
        <f>"1578729914194590"</f>
        <v>1578729914194590</v>
      </c>
      <c r="C3041" t="s">
        <v>40</v>
      </c>
      <c r="D3041">
        <v>5.2556580000000004</v>
      </c>
      <c r="E3041">
        <v>0.53251780000000004</v>
      </c>
      <c r="F3041" t="s">
        <v>42</v>
      </c>
      <c r="G3041">
        <v>-297.30709999999999</v>
      </c>
      <c r="H3041">
        <v>1.035836</v>
      </c>
      <c r="I3041">
        <v>213.78729999999999</v>
      </c>
      <c r="J3041">
        <v>-297.78800000000001</v>
      </c>
      <c r="K3041">
        <v>1.11066</v>
      </c>
      <c r="L3041">
        <v>213.8297</v>
      </c>
      <c r="M3041">
        <v>0.99960329999999997</v>
      </c>
      <c r="N3041">
        <v>0</v>
      </c>
      <c r="O3041">
        <v>-2.4901889999999999E-2</v>
      </c>
      <c r="P3041">
        <v>0.99958029999999998</v>
      </c>
      <c r="Q3041">
        <v>-1.7047929999999999E-2</v>
      </c>
      <c r="R3041">
        <v>2.342754E-2</v>
      </c>
      <c r="S3041">
        <v>3.0008849999999998</v>
      </c>
      <c r="T3041">
        <v>-0.26762129999999901</v>
      </c>
      <c r="U3041">
        <v>-0.1802521</v>
      </c>
      <c r="V3041">
        <v>-4.8308080000000003E-2</v>
      </c>
      <c r="W3041">
        <v>-3.9697889999999996E-3</v>
      </c>
      <c r="X3041">
        <v>0.99882459999999995</v>
      </c>
      <c r="Y3041">
        <v>3.504032E-2</v>
      </c>
      <c r="Z3041">
        <v>6.5602420000000002E-4</v>
      </c>
      <c r="AA3041">
        <v>0.99938570000000004</v>
      </c>
      <c r="AB3041">
        <v>36</v>
      </c>
      <c r="AC3041">
        <v>0.48090000000001898</v>
      </c>
      <c r="AD3041">
        <v>-7.4824000000000002E-2</v>
      </c>
      <c r="AE3041">
        <v>-4.2400000000014801E-2</v>
      </c>
      <c r="AF3041">
        <v>2.96971095367928E-2</v>
      </c>
      <c r="AG3041">
        <v>-7.4824000000000002E-2</v>
      </c>
      <c r="AH3041">
        <v>0.47050431991587599</v>
      </c>
      <c r="AI3041">
        <v>99.018392992009893</v>
      </c>
      <c r="AJ3041">
        <v>86.388418062742403</v>
      </c>
      <c r="AK3041">
        <v>0.47734145467405298</v>
      </c>
      <c r="AL3041">
        <v>90.227452751378706</v>
      </c>
      <c r="AM3041">
        <v>92.768948593383897</v>
      </c>
      <c r="AN3041">
        <v>1.0000000056915701</v>
      </c>
    </row>
    <row r="3042" spans="1:40" x14ac:dyDescent="0.3">
      <c r="A3042" t="str">
        <f>"20200111160514215"</f>
        <v>20200111160514215</v>
      </c>
      <c r="B3042" t="str">
        <f>"1578729914204350"</f>
        <v>1578729914204350</v>
      </c>
      <c r="C3042" t="s">
        <v>40</v>
      </c>
      <c r="D3042">
        <v>4.9697979999999999</v>
      </c>
      <c r="E3042">
        <v>0.53262779999999998</v>
      </c>
      <c r="F3042" t="s">
        <v>42</v>
      </c>
      <c r="G3042">
        <v>-296.98680000000002</v>
      </c>
      <c r="H3042">
        <v>1.0390969999999999</v>
      </c>
      <c r="I3042">
        <v>213.78190000000001</v>
      </c>
      <c r="J3042">
        <v>-297.54349999999999</v>
      </c>
      <c r="K3042">
        <v>1.11066</v>
      </c>
      <c r="L3042">
        <v>213.82400000000001</v>
      </c>
      <c r="M3042">
        <v>0.9996138</v>
      </c>
      <c r="N3042">
        <v>0</v>
      </c>
      <c r="O3042">
        <v>-2.4474429999999998E-2</v>
      </c>
      <c r="P3042">
        <v>0.9995771</v>
      </c>
      <c r="Q3042">
        <v>-1.736499E-2</v>
      </c>
      <c r="R3042">
        <v>2.332826E-2</v>
      </c>
      <c r="S3042">
        <v>3.0009160000000001</v>
      </c>
      <c r="T3042">
        <v>-0.26805780000000001</v>
      </c>
      <c r="U3042">
        <v>-0.1792908</v>
      </c>
      <c r="V3042">
        <v>-4.7781249999999997E-2</v>
      </c>
      <c r="W3042">
        <v>-4.2861710000000001E-3</v>
      </c>
      <c r="X3042">
        <v>0.99884859999999998</v>
      </c>
      <c r="Y3042">
        <v>3.5145839999999998E-2</v>
      </c>
      <c r="Z3042">
        <v>6.1433790000000005E-4</v>
      </c>
      <c r="AA3042">
        <v>0.99938199999999999</v>
      </c>
      <c r="AB3042">
        <v>36</v>
      </c>
      <c r="AC3042">
        <v>0.55669999999997799</v>
      </c>
      <c r="AD3042">
        <v>-7.1563000000000002E-2</v>
      </c>
      <c r="AE3042">
        <v>-4.2100000000004897E-2</v>
      </c>
      <c r="AF3042">
        <v>2.8001209913180499E-2</v>
      </c>
      <c r="AG3042">
        <v>-7.1563000000000002E-2</v>
      </c>
      <c r="AH3042">
        <v>0.54855056854491402</v>
      </c>
      <c r="AI3042">
        <v>97.423178573406602</v>
      </c>
      <c r="AJ3042">
        <v>87.077826652404795</v>
      </c>
      <c r="AK3042">
        <v>0.55390708334209804</v>
      </c>
      <c r="AL3042">
        <v>90.245580267285504</v>
      </c>
      <c r="AM3042">
        <v>92.738731991377094</v>
      </c>
      <c r="AN3042">
        <v>0.99999997241768102</v>
      </c>
    </row>
    <row r="3043" spans="1:40" x14ac:dyDescent="0.3">
      <c r="A3043" t="str">
        <f>"20200111160514230"</f>
        <v>20200111160514230</v>
      </c>
      <c r="B3043" t="str">
        <f>"1578729914224846"</f>
        <v>1578729914224846</v>
      </c>
      <c r="C3043" t="s">
        <v>40</v>
      </c>
      <c r="D3043">
        <v>4.9679320000000002</v>
      </c>
      <c r="E3043">
        <v>0.53272039999999998</v>
      </c>
      <c r="F3043" t="s">
        <v>42</v>
      </c>
      <c r="G3043">
        <v>-296.67180000000002</v>
      </c>
      <c r="H3043">
        <v>1.0324279999999999</v>
      </c>
      <c r="I3043">
        <v>213.7714</v>
      </c>
      <c r="J3043">
        <v>-297.29680000000002</v>
      </c>
      <c r="K3043">
        <v>1.1106549999999999</v>
      </c>
      <c r="L3043">
        <v>213.8184</v>
      </c>
      <c r="M3043">
        <v>0.99962439999999997</v>
      </c>
      <c r="N3043">
        <v>0</v>
      </c>
      <c r="O3043">
        <v>-2.404303E-2</v>
      </c>
      <c r="P3043">
        <v>0.99956860000000003</v>
      </c>
      <c r="Q3043">
        <v>-1.7180810000000001E-2</v>
      </c>
      <c r="R3043">
        <v>2.3822610000000001E-2</v>
      </c>
      <c r="S3043">
        <v>3.0007929999999998</v>
      </c>
      <c r="T3043">
        <v>-0.26946120000000001</v>
      </c>
      <c r="U3043">
        <v>-0.18045040000000001</v>
      </c>
      <c r="V3043">
        <v>-4.7844640000000001E-2</v>
      </c>
      <c r="W3043">
        <v>-4.1024989999999999E-3</v>
      </c>
      <c r="X3043">
        <v>0.99884640000000002</v>
      </c>
      <c r="Y3043">
        <v>3.5958950000000003E-2</v>
      </c>
      <c r="Z3043">
        <v>5.4254870000000003E-4</v>
      </c>
      <c r="AA3043">
        <v>0.99935309999999999</v>
      </c>
      <c r="AB3043">
        <v>36</v>
      </c>
      <c r="AC3043">
        <v>0.625</v>
      </c>
      <c r="AD3043">
        <v>-7.8226999999999797E-2</v>
      </c>
      <c r="AE3043">
        <v>-4.6999999999997003E-2</v>
      </c>
      <c r="AF3043">
        <v>3.1468017025274499E-2</v>
      </c>
      <c r="AG3043">
        <v>-7.8226999999999797E-2</v>
      </c>
      <c r="AH3043">
        <v>0.61634810989602096</v>
      </c>
      <c r="AI3043">
        <v>97.224005462627602</v>
      </c>
      <c r="AJ3043">
        <v>87.077267887099097</v>
      </c>
      <c r="AK3043">
        <v>0.62208897450195999</v>
      </c>
      <c r="AL3043">
        <v>90.235056529183794</v>
      </c>
      <c r="AM3043">
        <v>92.742365875773402</v>
      </c>
      <c r="AN3043">
        <v>1.0000000354338601</v>
      </c>
    </row>
    <row r="3044" spans="1:40" x14ac:dyDescent="0.3">
      <c r="A3044" t="str">
        <f>"20200111160514266"</f>
        <v>20200111160514266</v>
      </c>
      <c r="B3044" t="str">
        <f>"1578729914264862"</f>
        <v>1578729914264862</v>
      </c>
      <c r="C3044" t="s">
        <v>40</v>
      </c>
      <c r="D3044">
        <v>4.9873209999999997</v>
      </c>
      <c r="E3044">
        <v>0.48640539999999999</v>
      </c>
      <c r="F3044" t="s">
        <v>42</v>
      </c>
      <c r="G3044">
        <v>-296.35660000000001</v>
      </c>
      <c r="H3044">
        <v>1.0260659999999999</v>
      </c>
      <c r="I3044">
        <v>213.7621</v>
      </c>
      <c r="J3044">
        <v>-296.72120000000001</v>
      </c>
      <c r="K3044">
        <v>1.110638</v>
      </c>
      <c r="L3044">
        <v>213.8057</v>
      </c>
      <c r="M3044">
        <v>0.99964810000000004</v>
      </c>
      <c r="N3044">
        <v>0</v>
      </c>
      <c r="O3044">
        <v>-2.3036939999999999E-2</v>
      </c>
      <c r="P3044">
        <v>0.99956650000000002</v>
      </c>
      <c r="Q3044">
        <v>-1.769865E-2</v>
      </c>
      <c r="R3044">
        <v>2.3535529999999999E-2</v>
      </c>
      <c r="S3044">
        <v>3.0009160000000001</v>
      </c>
      <c r="T3044">
        <v>-0.27000990000000002</v>
      </c>
      <c r="U3044">
        <v>-0.17955019999999999</v>
      </c>
      <c r="V3044">
        <v>-4.6551849999999999E-2</v>
      </c>
      <c r="W3044">
        <v>-4.619265E-3</v>
      </c>
      <c r="X3044">
        <v>0.99890520000000005</v>
      </c>
      <c r="Y3044">
        <v>3.6656519999999998E-2</v>
      </c>
      <c r="Z3044">
        <v>4.2212420000000003E-4</v>
      </c>
      <c r="AA3044">
        <v>0.99932779999999999</v>
      </c>
      <c r="AB3044">
        <v>36</v>
      </c>
      <c r="AC3044">
        <v>0.36459999999999498</v>
      </c>
      <c r="AD3044">
        <v>-8.4571999999999994E-2</v>
      </c>
      <c r="AE3044">
        <v>-4.35999999999978E-2</v>
      </c>
      <c r="AF3044">
        <v>3.3415851967015103E-2</v>
      </c>
      <c r="AG3044">
        <v>-8.4571999999999994E-2</v>
      </c>
      <c r="AH3044">
        <v>0.34709565308828</v>
      </c>
      <c r="AI3044">
        <v>103.632978110031</v>
      </c>
      <c r="AJ3044">
        <v>84.500925415753699</v>
      </c>
      <c r="AK3044">
        <v>0.35880974727487702</v>
      </c>
      <c r="AL3044">
        <v>90.264665328731994</v>
      </c>
      <c r="AM3044">
        <v>92.668217292834896</v>
      </c>
      <c r="AN3044">
        <v>1.0000000054672999</v>
      </c>
    </row>
    <row r="3045" spans="1:40" x14ac:dyDescent="0.3">
      <c r="A3045" t="str">
        <f>"20200111160514289"</f>
        <v>20200111160514289</v>
      </c>
      <c r="B3045" t="str">
        <f>"1578729914284382"</f>
        <v>1578729914284382</v>
      </c>
      <c r="C3045" t="s">
        <v>40</v>
      </c>
      <c r="D3045">
        <v>5.1133160000000002</v>
      </c>
      <c r="E3045">
        <v>0.48300399999999999</v>
      </c>
      <c r="F3045" t="s">
        <v>57</v>
      </c>
      <c r="G3045">
        <v>-279.71350000000001</v>
      </c>
      <c r="H3045" s="1">
        <v>3.6215669999999999E-6</v>
      </c>
      <c r="I3045">
        <v>214.86099999999999</v>
      </c>
      <c r="J3045">
        <v>-296.36500000000001</v>
      </c>
      <c r="K3045">
        <v>1.1106370000000001</v>
      </c>
      <c r="L3045">
        <v>213.79820000000001</v>
      </c>
      <c r="M3045">
        <v>0.99966219999999995</v>
      </c>
      <c r="N3045">
        <v>0</v>
      </c>
      <c r="O3045">
        <v>-2.2414340000000001E-2</v>
      </c>
      <c r="P3045">
        <v>0.99956109999999998</v>
      </c>
      <c r="Q3045">
        <v>-1.7814920000000001E-2</v>
      </c>
      <c r="R3045">
        <v>2.3674290000000001E-2</v>
      </c>
      <c r="S3045">
        <v>2.9934690000000002</v>
      </c>
      <c r="T3045">
        <v>-0.1954795</v>
      </c>
      <c r="U3045">
        <v>0.1857452</v>
      </c>
      <c r="V3045">
        <v>-4.6068829999999998E-2</v>
      </c>
      <c r="W3045">
        <v>-4.7354399999999996E-3</v>
      </c>
      <c r="X3045">
        <v>0.99892709999999996</v>
      </c>
      <c r="Y3045">
        <v>-8.4062739999999997E-2</v>
      </c>
      <c r="Z3045">
        <v>4.2002180000000004E-3</v>
      </c>
      <c r="AA3045">
        <v>0.99645159999999999</v>
      </c>
      <c r="AB3045">
        <v>36</v>
      </c>
      <c r="AC3045">
        <v>16.651499999999999</v>
      </c>
      <c r="AD3045">
        <v>-1.110633378433</v>
      </c>
      <c r="AE3045">
        <v>1.06279999999998</v>
      </c>
      <c r="AF3045">
        <v>-1.42946415085126</v>
      </c>
      <c r="AG3045">
        <v>-1.110633378433</v>
      </c>
      <c r="AH3045">
        <v>16.550163587490701</v>
      </c>
      <c r="AI3045">
        <v>93.824998721981601</v>
      </c>
      <c r="AJ3045">
        <v>94.936477157195199</v>
      </c>
      <c r="AK3045">
        <v>16.6488675000002</v>
      </c>
      <c r="AL3045">
        <v>90.271321724905306</v>
      </c>
      <c r="AM3045">
        <v>92.640513566241907</v>
      </c>
      <c r="AN3045">
        <v>1.00000005630198</v>
      </c>
    </row>
    <row r="3046" spans="1:40" x14ac:dyDescent="0.3">
      <c r="A3046" t="str">
        <f>"20200111160514304"</f>
        <v>20200111160514304</v>
      </c>
      <c r="B3046" t="str">
        <f>"1578729914294142"</f>
        <v>1578729914294142</v>
      </c>
      <c r="C3046" t="s">
        <v>40</v>
      </c>
      <c r="D3046">
        <v>5.0401439999999997</v>
      </c>
      <c r="E3046">
        <v>0.48248609999999997</v>
      </c>
      <c r="F3046" t="s">
        <v>61</v>
      </c>
      <c r="G3046">
        <v>-280.16269999999997</v>
      </c>
      <c r="H3046" s="1">
        <v>6.9783399999999898E-6</v>
      </c>
      <c r="I3046">
        <v>214.9554</v>
      </c>
      <c r="J3046">
        <v>-296.11180000000002</v>
      </c>
      <c r="K3046">
        <v>1.1106400000000001</v>
      </c>
      <c r="L3046">
        <v>213.7929</v>
      </c>
      <c r="M3046">
        <v>0.99967209999999995</v>
      </c>
      <c r="N3046">
        <v>0</v>
      </c>
      <c r="O3046">
        <v>-2.197197E-2</v>
      </c>
      <c r="P3046">
        <v>0.99955729999999998</v>
      </c>
      <c r="Q3046">
        <v>-1.7453550000000002E-2</v>
      </c>
      <c r="R3046">
        <v>2.4105189999999999E-2</v>
      </c>
      <c r="S3046">
        <v>2.9925839999999999</v>
      </c>
      <c r="T3046">
        <v>-0.20513429999999999</v>
      </c>
      <c r="U3046">
        <v>0.21374509999999999</v>
      </c>
      <c r="V3046">
        <v>-4.605749E-2</v>
      </c>
      <c r="W3046">
        <v>-4.3747760000000004E-3</v>
      </c>
      <c r="X3046">
        <v>0.99892919999999996</v>
      </c>
      <c r="Y3046">
        <v>-9.2876020000000004E-2</v>
      </c>
      <c r="Z3046">
        <v>4.6782350000000002E-3</v>
      </c>
      <c r="AA3046">
        <v>0.99566670000000002</v>
      </c>
      <c r="AB3046">
        <v>36</v>
      </c>
      <c r="AC3046">
        <v>15.9491</v>
      </c>
      <c r="AD3046">
        <v>-1.11063302166</v>
      </c>
      <c r="AE3046">
        <v>1.1624999999999901</v>
      </c>
      <c r="AF3046">
        <v>-1.5054212698787399</v>
      </c>
      <c r="AG3046">
        <v>-1.11063302166</v>
      </c>
      <c r="AH3046">
        <v>15.8432833717268</v>
      </c>
      <c r="AI3046">
        <v>93.992020028899205</v>
      </c>
      <c r="AJ3046">
        <v>95.427921224558901</v>
      </c>
      <c r="AK3046">
        <v>15.9533515884732</v>
      </c>
      <c r="AL3046">
        <v>90.250657003458997</v>
      </c>
      <c r="AM3046">
        <v>92.639858972574004</v>
      </c>
      <c r="AN3046">
        <v>0.99999998883139496</v>
      </c>
    </row>
    <row r="3047" spans="1:40" x14ac:dyDescent="0.3">
      <c r="A3047" t="str">
        <f>"20200111160514320"</f>
        <v>20200111160514320</v>
      </c>
      <c r="B3047" t="str">
        <f>"1578729914314638"</f>
        <v>1578729914314638</v>
      </c>
      <c r="C3047" t="s">
        <v>40</v>
      </c>
      <c r="D3047">
        <v>5.214906</v>
      </c>
      <c r="E3047">
        <v>0.48157309999999998</v>
      </c>
      <c r="F3047" t="s">
        <v>57</v>
      </c>
      <c r="G3047">
        <v>-279.11450000000002</v>
      </c>
      <c r="H3047" s="1">
        <v>3.295176E-6</v>
      </c>
      <c r="I3047">
        <v>215.0359</v>
      </c>
      <c r="J3047">
        <v>-295.863</v>
      </c>
      <c r="K3047">
        <v>1.110641</v>
      </c>
      <c r="L3047">
        <v>213.78790000000001</v>
      </c>
      <c r="M3047">
        <v>0.9996815</v>
      </c>
      <c r="N3047">
        <v>0</v>
      </c>
      <c r="O3047">
        <v>-2.1537110000000002E-2</v>
      </c>
      <c r="P3047">
        <v>0.9995444</v>
      </c>
      <c r="Q3047">
        <v>-1.7440089999999998E-2</v>
      </c>
      <c r="R3047">
        <v>2.4637829999999999E-2</v>
      </c>
      <c r="S3047">
        <v>2.9926149999999998</v>
      </c>
      <c r="T3047">
        <v>-0.1955432</v>
      </c>
      <c r="U3047">
        <v>0.2188416</v>
      </c>
      <c r="V3047">
        <v>-4.6155599999999998E-2</v>
      </c>
      <c r="W3047">
        <v>-4.3623250000000002E-3</v>
      </c>
      <c r="X3047">
        <v>0.9989247</v>
      </c>
      <c r="Y3047">
        <v>-9.4151670000000007E-2</v>
      </c>
      <c r="Z3047">
        <v>4.4728900000000002E-3</v>
      </c>
      <c r="AA3047">
        <v>0.99554779999999998</v>
      </c>
      <c r="AB3047">
        <v>36</v>
      </c>
      <c r="AC3047">
        <v>16.7484999999999</v>
      </c>
      <c r="AD3047">
        <v>-1.1106377048239999</v>
      </c>
      <c r="AE3047">
        <v>1.24799999999999</v>
      </c>
      <c r="AF3047">
        <v>-1.6014526827751101</v>
      </c>
      <c r="AG3047">
        <v>-1.1106377048239999</v>
      </c>
      <c r="AH3047">
        <v>16.644944046566401</v>
      </c>
      <c r="AI3047">
        <v>93.799919975556904</v>
      </c>
      <c r="AJ3047">
        <v>95.495657793450505</v>
      </c>
      <c r="AK3047">
        <v>16.758649382329999</v>
      </c>
      <c r="AL3047">
        <v>90.249943613404298</v>
      </c>
      <c r="AM3047">
        <v>92.6454862249483</v>
      </c>
      <c r="AN3047">
        <v>0.99999996278042702</v>
      </c>
    </row>
    <row r="3048" spans="1:40" x14ac:dyDescent="0.3">
      <c r="A3048" t="str">
        <f>"20200111160514333"</f>
        <v>20200111160514333</v>
      </c>
      <c r="B3048" t="str">
        <f>"1578729914324398"</f>
        <v>1578729914324398</v>
      </c>
      <c r="C3048" t="s">
        <v>40</v>
      </c>
      <c r="D3048">
        <v>5.0549619999999997</v>
      </c>
      <c r="E3048">
        <v>0.48145480000000002</v>
      </c>
      <c r="F3048" t="s">
        <v>57</v>
      </c>
      <c r="G3048">
        <v>-277.86669999999998</v>
      </c>
      <c r="H3048" s="1">
        <v>2.626025E-6</v>
      </c>
      <c r="I3048">
        <v>215.1532</v>
      </c>
      <c r="J3048">
        <v>-295.65600000000001</v>
      </c>
      <c r="K3048">
        <v>1.1106480000000001</v>
      </c>
      <c r="L3048">
        <v>213.78380000000001</v>
      </c>
      <c r="M3048">
        <v>0.99968919999999994</v>
      </c>
      <c r="N3048">
        <v>0</v>
      </c>
      <c r="O3048">
        <v>-2.1175090000000001E-2</v>
      </c>
      <c r="P3048">
        <v>0.99953029999999998</v>
      </c>
      <c r="Q3048">
        <v>-1.7036570000000001E-2</v>
      </c>
      <c r="R3048">
        <v>2.547721E-2</v>
      </c>
      <c r="S3048">
        <v>2.9925839999999999</v>
      </c>
      <c r="T3048">
        <v>-0.18468699999999999</v>
      </c>
      <c r="U3048">
        <v>0.2270355</v>
      </c>
      <c r="V3048">
        <v>-4.6632960000000001E-2</v>
      </c>
      <c r="W3048">
        <v>-3.9603370000000004E-3</v>
      </c>
      <c r="X3048">
        <v>0.99890420000000002</v>
      </c>
      <c r="Y3048">
        <v>-9.6525200000000005E-2</v>
      </c>
      <c r="Z3048">
        <v>4.2754430000000003E-3</v>
      </c>
      <c r="AA3048">
        <v>0.99532129999999996</v>
      </c>
      <c r="AB3048">
        <v>36</v>
      </c>
      <c r="AC3048">
        <v>17.789300000000001</v>
      </c>
      <c r="AD3048">
        <v>-1.110645373975</v>
      </c>
      <c r="AE3048">
        <v>1.36939999999998</v>
      </c>
      <c r="AF3048">
        <v>-1.7390766904756501</v>
      </c>
      <c r="AG3048">
        <v>-1.110645373975</v>
      </c>
      <c r="AH3048">
        <v>17.687771560156499</v>
      </c>
      <c r="AI3048">
        <v>93.575785721277001</v>
      </c>
      <c r="AJ3048">
        <v>95.6153215936084</v>
      </c>
      <c r="AK3048">
        <v>17.807728200036301</v>
      </c>
      <c r="AL3048">
        <v>90.226911198010995</v>
      </c>
      <c r="AM3048">
        <v>92.6728622190669</v>
      </c>
      <c r="AN3048">
        <v>0.99999995900257599</v>
      </c>
    </row>
    <row r="3049" spans="1:40" x14ac:dyDescent="0.3">
      <c r="A3049" t="str">
        <f>"20200111160514348"</f>
        <v>20200111160514348</v>
      </c>
      <c r="B3049" t="str">
        <f>"1578729914344895"</f>
        <v>1578729914344895</v>
      </c>
      <c r="C3049" t="s">
        <v>40</v>
      </c>
      <c r="D3049">
        <v>5.0789470000000003</v>
      </c>
      <c r="E3049">
        <v>0.48160930000000002</v>
      </c>
      <c r="F3049" t="s">
        <v>57</v>
      </c>
      <c r="G3049">
        <v>-277.26170000000002</v>
      </c>
      <c r="H3049" s="1">
        <v>2.30201E-6</v>
      </c>
      <c r="I3049">
        <v>215.2</v>
      </c>
      <c r="J3049">
        <v>-295.41109999999998</v>
      </c>
      <c r="K3049">
        <v>1.1106469999999999</v>
      </c>
      <c r="L3049">
        <v>213.779</v>
      </c>
      <c r="M3049">
        <v>0.99969830000000004</v>
      </c>
      <c r="N3049">
        <v>0</v>
      </c>
      <c r="O3049">
        <v>-2.0746669999999998E-2</v>
      </c>
      <c r="P3049">
        <v>0.99952260000000004</v>
      </c>
      <c r="Q3049">
        <v>-1.6800470000000001E-2</v>
      </c>
      <c r="R3049">
        <v>2.5937000000000002E-2</v>
      </c>
      <c r="S3049">
        <v>2.9924620000000002</v>
      </c>
      <c r="T3049">
        <v>-0.1806846</v>
      </c>
      <c r="U3049">
        <v>0.2303925</v>
      </c>
      <c r="V3049">
        <v>-4.6664909999999997E-2</v>
      </c>
      <c r="W3049">
        <v>-3.725038E-3</v>
      </c>
      <c r="X3049">
        <v>0.9989036</v>
      </c>
      <c r="Y3049">
        <v>-9.7220799999999996E-2</v>
      </c>
      <c r="Z3049">
        <v>4.1780890000000003E-3</v>
      </c>
      <c r="AA3049">
        <v>0.99525399999999997</v>
      </c>
      <c r="AB3049">
        <v>36</v>
      </c>
      <c r="AC3049">
        <v>18.149399999999901</v>
      </c>
      <c r="AD3049">
        <v>-1.11064469799</v>
      </c>
      <c r="AE3049">
        <v>1.4209999999999601</v>
      </c>
      <c r="AF3049">
        <v>-1.79060171648233</v>
      </c>
      <c r="AG3049">
        <v>-1.11064469799</v>
      </c>
      <c r="AH3049">
        <v>18.048832344253299</v>
      </c>
      <c r="AI3049">
        <v>93.504127723422997</v>
      </c>
      <c r="AJ3049">
        <v>95.665702016102898</v>
      </c>
      <c r="AK3049">
        <v>18.1714098281671</v>
      </c>
      <c r="AL3049">
        <v>90.213429461059405</v>
      </c>
      <c r="AM3049">
        <v>92.6746924435989</v>
      </c>
      <c r="AN3049">
        <v>0.99999994591318297</v>
      </c>
    </row>
    <row r="3050" spans="1:40" x14ac:dyDescent="0.3">
      <c r="A3050" t="str">
        <f>"20200111160514366"</f>
        <v>20200111160514366</v>
      </c>
      <c r="B3050" t="str">
        <f>"1578729914364414"</f>
        <v>1578729914364414</v>
      </c>
      <c r="C3050" t="s">
        <v>40</v>
      </c>
      <c r="D3050">
        <v>5.0881629999999998</v>
      </c>
      <c r="E3050">
        <v>0.48157050000000001</v>
      </c>
      <c r="F3050" t="s">
        <v>57</v>
      </c>
      <c r="G3050">
        <v>-276.51339999999999</v>
      </c>
      <c r="H3050" s="1">
        <v>1.9023410000000001E-6</v>
      </c>
      <c r="I3050">
        <v>215.23400000000001</v>
      </c>
      <c r="J3050">
        <v>-295.12689999999998</v>
      </c>
      <c r="K3050">
        <v>1.1106510000000001</v>
      </c>
      <c r="L3050">
        <v>213.77359999999999</v>
      </c>
      <c r="M3050">
        <v>0.9997085</v>
      </c>
      <c r="N3050">
        <v>0</v>
      </c>
      <c r="O3050">
        <v>-2.024958E-2</v>
      </c>
      <c r="P3050">
        <v>0.99949129999999997</v>
      </c>
      <c r="Q3050">
        <v>-1.6561989999999999E-2</v>
      </c>
      <c r="R3050">
        <v>2.7255020000000001E-2</v>
      </c>
      <c r="S3050">
        <v>2.9924620000000002</v>
      </c>
      <c r="T3050">
        <v>-0.17587139999999901</v>
      </c>
      <c r="U3050">
        <v>0.2303925</v>
      </c>
      <c r="V3050">
        <v>-4.7485619999999999E-2</v>
      </c>
      <c r="W3050">
        <v>-3.489285E-3</v>
      </c>
      <c r="X3050">
        <v>0.99886580000000003</v>
      </c>
      <c r="Y3050">
        <v>-9.6738829999999998E-2</v>
      </c>
      <c r="Z3050">
        <v>4.0236969999999997E-3</v>
      </c>
      <c r="AA3050">
        <v>0.99530169999999996</v>
      </c>
      <c r="AB3050">
        <v>36</v>
      </c>
      <c r="AC3050">
        <v>18.613499999999899</v>
      </c>
      <c r="AD3050">
        <v>-1.110649097659</v>
      </c>
      <c r="AE3050">
        <v>1.4604000000000199</v>
      </c>
      <c r="AF3050">
        <v>-1.83057097027958</v>
      </c>
      <c r="AG3050">
        <v>-1.110649097659</v>
      </c>
      <c r="AH3050">
        <v>18.5145918410607</v>
      </c>
      <c r="AI3050">
        <v>93.416314248461504</v>
      </c>
      <c r="AJ3050">
        <v>95.646584769394096</v>
      </c>
      <c r="AK3050">
        <v>18.637989229968799</v>
      </c>
      <c r="AL3050">
        <v>90.199921715133101</v>
      </c>
      <c r="AM3050">
        <v>92.721765794771997</v>
      </c>
      <c r="AN3050">
        <v>0.99999997281311703</v>
      </c>
    </row>
    <row r="3051" spans="1:40" x14ac:dyDescent="0.3">
      <c r="A3051" t="str">
        <f>"20200111160514389"</f>
        <v>20200111160514389</v>
      </c>
      <c r="B3051" t="str">
        <f>"1578729914384910"</f>
        <v>1578729914384910</v>
      </c>
      <c r="C3051" t="s">
        <v>40</v>
      </c>
      <c r="D3051">
        <v>5.1897419999999999</v>
      </c>
      <c r="E3051">
        <v>0.48132710000000001</v>
      </c>
      <c r="F3051" t="s">
        <v>57</v>
      </c>
      <c r="G3051">
        <v>-275.80040000000002</v>
      </c>
      <c r="H3051" s="1">
        <v>1.5205469999999999E-6</v>
      </c>
      <c r="I3051">
        <v>215.28720000000001</v>
      </c>
      <c r="J3051">
        <v>-294.7672</v>
      </c>
      <c r="K3051">
        <v>1.110654</v>
      </c>
      <c r="L3051">
        <v>213.767</v>
      </c>
      <c r="M3051">
        <v>0.99972110000000003</v>
      </c>
      <c r="N3051">
        <v>0</v>
      </c>
      <c r="O3051">
        <v>-1.962042E-2</v>
      </c>
      <c r="P3051">
        <v>0.99948219999999999</v>
      </c>
      <c r="Q3051">
        <v>-1.54111E-2</v>
      </c>
      <c r="R3051">
        <v>2.8255200000000001E-2</v>
      </c>
      <c r="S3051">
        <v>2.9923099999999998</v>
      </c>
      <c r="T3051">
        <v>-0.1719608</v>
      </c>
      <c r="U3051">
        <v>0.23434450000000001</v>
      </c>
      <c r="V3051">
        <v>-4.7858249999999998E-2</v>
      </c>
      <c r="W3051">
        <v>-2.340281E-3</v>
      </c>
      <c r="X3051">
        <v>0.99885139999999994</v>
      </c>
      <c r="Y3051">
        <v>-9.7431699999999996E-2</v>
      </c>
      <c r="Z3051">
        <v>3.9181600000000004E-3</v>
      </c>
      <c r="AA3051">
        <v>0.99523450000000002</v>
      </c>
      <c r="AB3051">
        <v>36</v>
      </c>
      <c r="AC3051">
        <v>18.9667999999999</v>
      </c>
      <c r="AD3051">
        <v>-1.1106524794529999</v>
      </c>
      <c r="AE3051">
        <v>1.52020000000001</v>
      </c>
      <c r="AF3051">
        <v>-1.88565140665372</v>
      </c>
      <c r="AG3051">
        <v>-1.1106524794529999</v>
      </c>
      <c r="AH3051">
        <v>18.869029723290598</v>
      </c>
      <c r="AI3051">
        <v>93.3519501994287</v>
      </c>
      <c r="AJ3051">
        <v>95.706830363057804</v>
      </c>
      <c r="AK3051">
        <v>18.995512966381199</v>
      </c>
      <c r="AL3051">
        <v>90.134088346017407</v>
      </c>
      <c r="AM3051">
        <v>92.743131073785307</v>
      </c>
      <c r="AN3051">
        <v>1.00000000414509</v>
      </c>
    </row>
    <row r="3052" spans="1:40" x14ac:dyDescent="0.3">
      <c r="A3052" t="str">
        <f>"20200111160514412"</f>
        <v>20200111160514412</v>
      </c>
      <c r="B3052" t="str">
        <f>"1578729914404429"</f>
        <v>1578729914404429</v>
      </c>
      <c r="C3052" t="s">
        <v>40</v>
      </c>
      <c r="D3052">
        <v>5.736186</v>
      </c>
      <c r="E3052">
        <v>0.48131829999999998</v>
      </c>
      <c r="F3052" t="s">
        <v>57</v>
      </c>
      <c r="G3052">
        <v>-274.87049999999999</v>
      </c>
      <c r="H3052" s="1">
        <v>1.022595E-6</v>
      </c>
      <c r="I3052">
        <v>215.35820000000001</v>
      </c>
      <c r="J3052">
        <v>-294.39659999999998</v>
      </c>
      <c r="K3052">
        <v>1.1106590000000001</v>
      </c>
      <c r="L3052">
        <v>213.7604</v>
      </c>
      <c r="M3052">
        <v>0.99973339999999999</v>
      </c>
      <c r="N3052">
        <v>0</v>
      </c>
      <c r="O3052">
        <v>-1.897219E-2</v>
      </c>
      <c r="P3052">
        <v>0.99945879999999998</v>
      </c>
      <c r="Q3052">
        <v>-1.515035E-2</v>
      </c>
      <c r="R3052">
        <v>2.9193790000000001E-2</v>
      </c>
      <c r="S3052">
        <v>2.9922179999999998</v>
      </c>
      <c r="T3052">
        <v>-0.16702839999999999</v>
      </c>
      <c r="U3052">
        <v>0.23928830000000001</v>
      </c>
      <c r="V3052">
        <v>-4.8149280000000003E-2</v>
      </c>
      <c r="W3052">
        <v>-2.0813960000000001E-3</v>
      </c>
      <c r="X3052">
        <v>0.998838</v>
      </c>
      <c r="Y3052">
        <v>-9.8433149999999997E-2</v>
      </c>
      <c r="Z3052">
        <v>3.7975970000000002E-3</v>
      </c>
      <c r="AA3052">
        <v>0.99513640000000003</v>
      </c>
      <c r="AB3052">
        <v>36</v>
      </c>
      <c r="AC3052">
        <v>19.5260999999999</v>
      </c>
      <c r="AD3052">
        <v>-1.1106579774050001</v>
      </c>
      <c r="AE3052">
        <v>1.5978000000000001</v>
      </c>
      <c r="AF3052">
        <v>-1.9616926577107701</v>
      </c>
      <c r="AG3052">
        <v>-1.1106579774050001</v>
      </c>
      <c r="AH3052">
        <v>19.4298231725626</v>
      </c>
      <c r="AI3052">
        <v>93.255099258469201</v>
      </c>
      <c r="AJ3052">
        <v>95.765215762056798</v>
      </c>
      <c r="AK3052">
        <v>19.5601591952402</v>
      </c>
      <c r="AL3052">
        <v>90.119255290278105</v>
      </c>
      <c r="AM3052">
        <v>92.759823537386197</v>
      </c>
      <c r="AN3052">
        <v>1.0000000178089099</v>
      </c>
    </row>
    <row r="3053" spans="1:40" x14ac:dyDescent="0.3">
      <c r="A3053" t="str">
        <f>"20200111160514426"</f>
        <v>20200111160514426</v>
      </c>
      <c r="B3053" t="str">
        <f>"1578729914424927"</f>
        <v>1578729914424927</v>
      </c>
      <c r="C3053" t="s">
        <v>40</v>
      </c>
      <c r="D3053">
        <v>5.0950749999999996</v>
      </c>
      <c r="E3053">
        <v>0.48127579999999998</v>
      </c>
      <c r="F3053" t="s">
        <v>57</v>
      </c>
      <c r="G3053">
        <v>-274.34120000000001</v>
      </c>
      <c r="H3053" s="1">
        <v>7.3982929999999998E-7</v>
      </c>
      <c r="I3053">
        <v>215.3837</v>
      </c>
      <c r="J3053">
        <v>-294.1746</v>
      </c>
      <c r="K3053">
        <v>1.110662</v>
      </c>
      <c r="L3053">
        <v>213.75659999999999</v>
      </c>
      <c r="M3053">
        <v>0.99974079999999999</v>
      </c>
      <c r="N3053">
        <v>0</v>
      </c>
      <c r="O3053">
        <v>-1.8583700000000002E-2</v>
      </c>
      <c r="P3053">
        <v>0.99944259999999996</v>
      </c>
      <c r="Q3053">
        <v>-1.5021619999999999E-2</v>
      </c>
      <c r="R3053">
        <v>2.9812040000000001E-2</v>
      </c>
      <c r="S3053">
        <v>2.992035</v>
      </c>
      <c r="T3053">
        <v>-0.1656975</v>
      </c>
      <c r="U3053">
        <v>0.2421722</v>
      </c>
      <c r="V3053">
        <v>-4.837934E-2</v>
      </c>
      <c r="W3053">
        <v>-1.9538659999999998E-3</v>
      </c>
      <c r="X3053">
        <v>0.99882709999999997</v>
      </c>
      <c r="Y3053">
        <v>-9.9006880000000005E-2</v>
      </c>
      <c r="Z3053">
        <v>3.7618479999999999E-3</v>
      </c>
      <c r="AA3053">
        <v>0.99507959999999995</v>
      </c>
      <c r="AB3053">
        <v>36</v>
      </c>
      <c r="AC3053">
        <v>19.833399999999902</v>
      </c>
      <c r="AD3053">
        <v>-1.1106612601707</v>
      </c>
      <c r="AE3053">
        <v>1.62710000000001</v>
      </c>
      <c r="AF3053">
        <v>-1.9892323759933499</v>
      </c>
      <c r="AG3053">
        <v>-1.1106612601707</v>
      </c>
      <c r="AH3053">
        <v>19.7382498615987</v>
      </c>
      <c r="AI3053">
        <v>93.2044101255605</v>
      </c>
      <c r="AJ3053">
        <v>95.754871141740395</v>
      </c>
      <c r="AK3053">
        <v>19.869300981147902</v>
      </c>
      <c r="AL3053">
        <v>90.1119483493476</v>
      </c>
      <c r="AM3053">
        <v>92.773019811896901</v>
      </c>
      <c r="AN3053">
        <v>0.99999997691279496</v>
      </c>
    </row>
    <row r="3054" spans="1:40" x14ac:dyDescent="0.3">
      <c r="A3054" t="str">
        <f>"20200111160514440"</f>
        <v>20200111160514440</v>
      </c>
      <c r="B3054" t="str">
        <f>"1578729914434687"</f>
        <v>1578729914434687</v>
      </c>
      <c r="C3054" t="s">
        <v>40</v>
      </c>
      <c r="D3054">
        <v>5.0072780000000003</v>
      </c>
      <c r="E3054">
        <v>0.4816029</v>
      </c>
      <c r="F3054" t="s">
        <v>57</v>
      </c>
      <c r="G3054">
        <v>-273.99610000000001</v>
      </c>
      <c r="H3054" s="1">
        <v>5.5530339999999995E-7</v>
      </c>
      <c r="I3054">
        <v>215.40450000000001</v>
      </c>
      <c r="J3054">
        <v>-293.94970000000001</v>
      </c>
      <c r="K3054">
        <v>1.1106579999999999</v>
      </c>
      <c r="L3054">
        <v>213.75280000000001</v>
      </c>
      <c r="M3054">
        <v>0.99974819999999998</v>
      </c>
      <c r="N3054">
        <v>0</v>
      </c>
      <c r="O3054">
        <v>-1.819045E-2</v>
      </c>
      <c r="P3054">
        <v>0.99943360000000003</v>
      </c>
      <c r="Q3054">
        <v>-1.48308E-2</v>
      </c>
      <c r="R3054">
        <v>3.0212269999999999E-2</v>
      </c>
      <c r="S3054">
        <v>2.9919129999999998</v>
      </c>
      <c r="T3054">
        <v>-0.16468050000000001</v>
      </c>
      <c r="U3054">
        <v>0.244339</v>
      </c>
      <c r="V3054">
        <v>-4.8386499999999999E-2</v>
      </c>
      <c r="W3054">
        <v>-1.7639050000000001E-3</v>
      </c>
      <c r="X3054">
        <v>0.99882720000000003</v>
      </c>
      <c r="Y3054">
        <v>-9.9336919999999995E-2</v>
      </c>
      <c r="Z3054">
        <v>3.7262979999999998E-3</v>
      </c>
      <c r="AA3054">
        <v>0.99504689999999996</v>
      </c>
      <c r="AB3054">
        <v>36</v>
      </c>
      <c r="AC3054">
        <v>19.953599999999899</v>
      </c>
      <c r="AD3054">
        <v>-1.1106574446966</v>
      </c>
      <c r="AE3054">
        <v>1.6516999999999999</v>
      </c>
      <c r="AF3054">
        <v>-2.0082432473473699</v>
      </c>
      <c r="AG3054">
        <v>-1.1106574446966</v>
      </c>
      <c r="AH3054">
        <v>19.8591401144168</v>
      </c>
      <c r="AI3054">
        <v>93.184823809187407</v>
      </c>
      <c r="AJ3054">
        <v>95.774370441423997</v>
      </c>
      <c r="AK3054">
        <v>19.991299282038099</v>
      </c>
      <c r="AL3054">
        <v>90.101064357285196</v>
      </c>
      <c r="AM3054">
        <v>92.7734292927165</v>
      </c>
      <c r="AN3054">
        <v>1.00000007010146</v>
      </c>
    </row>
    <row r="3055" spans="1:40" x14ac:dyDescent="0.3">
      <c r="A3055" t="str">
        <f>"20200111160514456"</f>
        <v>20200111160514456</v>
      </c>
      <c r="B3055" t="str">
        <f>"1578729914444447"</f>
        <v>1578729914444447</v>
      </c>
      <c r="C3055" t="s">
        <v>40</v>
      </c>
      <c r="D3055">
        <v>5.1602579999999998</v>
      </c>
      <c r="E3055">
        <v>0.4814544</v>
      </c>
      <c r="F3055" t="s">
        <v>57</v>
      </c>
      <c r="G3055">
        <v>-273.73599999999999</v>
      </c>
      <c r="H3055" s="1">
        <v>4.1733640000000002E-7</v>
      </c>
      <c r="I3055">
        <v>215.39320000000001</v>
      </c>
      <c r="J3055">
        <v>-293.71260000000001</v>
      </c>
      <c r="K3055">
        <v>1.11066</v>
      </c>
      <c r="L3055">
        <v>213.74889999999999</v>
      </c>
      <c r="M3055">
        <v>0.99975559999999997</v>
      </c>
      <c r="N3055">
        <v>0</v>
      </c>
      <c r="O3055">
        <v>-1.7775619999999999E-2</v>
      </c>
      <c r="P3055">
        <v>0.99942310000000001</v>
      </c>
      <c r="Q3055">
        <v>-1.438063E-2</v>
      </c>
      <c r="R3055">
        <v>3.077152E-2</v>
      </c>
      <c r="S3055">
        <v>2.991943</v>
      </c>
      <c r="T3055">
        <v>-0.16439429999999999</v>
      </c>
      <c r="U3055">
        <v>0.2428131</v>
      </c>
      <c r="V3055">
        <v>-4.85318E-2</v>
      </c>
      <c r="W3055">
        <v>-1.314923E-3</v>
      </c>
      <c r="X3055">
        <v>0.99882079999999995</v>
      </c>
      <c r="Y3055">
        <v>-9.8421640000000005E-2</v>
      </c>
      <c r="Z3055">
        <v>3.6720379999999999E-3</v>
      </c>
      <c r="AA3055">
        <v>0.99513799999999997</v>
      </c>
      <c r="AB3055">
        <v>36</v>
      </c>
      <c r="AC3055">
        <v>19.976600000000001</v>
      </c>
      <c r="AD3055">
        <v>-1.1106595826636001</v>
      </c>
      <c r="AE3055">
        <v>1.6443000000000101</v>
      </c>
      <c r="AF3055">
        <v>-1.9930479542348001</v>
      </c>
      <c r="AG3055">
        <v>-1.1106595826636001</v>
      </c>
      <c r="AH3055">
        <v>19.883164147903202</v>
      </c>
      <c r="AI3055">
        <v>93.181270205932606</v>
      </c>
      <c r="AJ3055">
        <v>95.724092336055193</v>
      </c>
      <c r="AK3055">
        <v>20.013645879472001</v>
      </c>
      <c r="AL3055">
        <v>90.0753395579179</v>
      </c>
      <c r="AM3055">
        <v>92.781762368203104</v>
      </c>
      <c r="AN3055">
        <v>1.00000002757318</v>
      </c>
    </row>
    <row r="3056" spans="1:40" x14ac:dyDescent="0.3">
      <c r="A3056" t="str">
        <f>"20200111160514472"</f>
        <v>20200111160514472</v>
      </c>
      <c r="B3056" t="str">
        <f>"1578729914463966"</f>
        <v>1578729914463966</v>
      </c>
      <c r="C3056" t="s">
        <v>40</v>
      </c>
      <c r="D3056">
        <v>5.152647</v>
      </c>
      <c r="E3056">
        <v>0.4817071</v>
      </c>
      <c r="F3056" t="s">
        <v>57</v>
      </c>
      <c r="G3056">
        <v>-274.03550000000001</v>
      </c>
      <c r="H3056" s="1">
        <v>5.7789709999999997E-7</v>
      </c>
      <c r="I3056">
        <v>215.3663</v>
      </c>
      <c r="J3056">
        <v>-293.4461</v>
      </c>
      <c r="K3056">
        <v>1.1106609999999999</v>
      </c>
      <c r="L3056">
        <v>213.74459999999999</v>
      </c>
      <c r="M3056">
        <v>0.99976370000000003</v>
      </c>
      <c r="N3056">
        <v>0</v>
      </c>
      <c r="O3056">
        <v>-1.7309290000000001E-2</v>
      </c>
      <c r="P3056">
        <v>0.99941310000000005</v>
      </c>
      <c r="Q3056">
        <v>-1.410991E-2</v>
      </c>
      <c r="R3056">
        <v>3.1214169999999999E-2</v>
      </c>
      <c r="S3056">
        <v>2.9916990000000001</v>
      </c>
      <c r="T3056">
        <v>-0.1688636</v>
      </c>
      <c r="U3056">
        <v>0.24591060000000001</v>
      </c>
      <c r="V3056">
        <v>-4.8508469999999998E-2</v>
      </c>
      <c r="W3056">
        <v>-1.0452199999999999E-3</v>
      </c>
      <c r="X3056">
        <v>0.99882219999999999</v>
      </c>
      <c r="Y3056">
        <v>-9.8977780000000001E-2</v>
      </c>
      <c r="Z3056">
        <v>3.7612549999999998E-3</v>
      </c>
      <c r="AA3056">
        <v>0.99508260000000004</v>
      </c>
      <c r="AB3056">
        <v>35</v>
      </c>
      <c r="AC3056">
        <v>19.410599999999899</v>
      </c>
      <c r="AD3056">
        <v>-1.1106604221028999</v>
      </c>
      <c r="AE3056">
        <v>1.6216999999999999</v>
      </c>
      <c r="AF3056">
        <v>-1.95112596513356</v>
      </c>
      <c r="AG3056">
        <v>-1.1106604221028999</v>
      </c>
      <c r="AH3056">
        <v>19.316812829575401</v>
      </c>
      <c r="AI3056">
        <v>93.274094392918002</v>
      </c>
      <c r="AJ3056">
        <v>95.767691441717204</v>
      </c>
      <c r="AK3056">
        <v>19.446843368472202</v>
      </c>
      <c r="AL3056">
        <v>90.059886707023296</v>
      </c>
      <c r="AM3056">
        <v>92.780423339097098</v>
      </c>
      <c r="AN3056">
        <v>0.99999997567971399</v>
      </c>
    </row>
    <row r="3057" spans="1:40" x14ac:dyDescent="0.3">
      <c r="A3057" t="str">
        <f>"20200111160514488"</f>
        <v>20200111160514488</v>
      </c>
      <c r="B3057" t="str">
        <f>"1578729914484462"</f>
        <v>1578729914484462</v>
      </c>
      <c r="C3057" t="s">
        <v>40</v>
      </c>
      <c r="D3057">
        <v>5.1394529999999996</v>
      </c>
      <c r="E3057">
        <v>0.48151430000000001</v>
      </c>
      <c r="F3057" t="s">
        <v>57</v>
      </c>
      <c r="G3057">
        <v>-273.7432</v>
      </c>
      <c r="H3057" s="1">
        <v>4.2271169999999998E-7</v>
      </c>
      <c r="I3057">
        <v>215.35849999999999</v>
      </c>
      <c r="J3057">
        <v>-293.20049999999998</v>
      </c>
      <c r="K3057">
        <v>1.1106590000000001</v>
      </c>
      <c r="L3057">
        <v>213.74080000000001</v>
      </c>
      <c r="M3057">
        <v>0.99977119999999997</v>
      </c>
      <c r="N3057">
        <v>0</v>
      </c>
      <c r="O3057">
        <v>-1.6879559999999998E-2</v>
      </c>
      <c r="P3057">
        <v>0.99939420000000001</v>
      </c>
      <c r="Q3057">
        <v>-1.4315420000000001E-2</v>
      </c>
      <c r="R3057">
        <v>3.1725209999999997E-2</v>
      </c>
      <c r="S3057">
        <v>2.99173</v>
      </c>
      <c r="T3057">
        <v>-0.16864470000000001</v>
      </c>
      <c r="U3057">
        <v>0.2450562</v>
      </c>
      <c r="V3057">
        <v>-4.8589899999999998E-2</v>
      </c>
      <c r="W3057">
        <v>-1.2519079999999999E-3</v>
      </c>
      <c r="X3057">
        <v>0.99881799999999998</v>
      </c>
      <c r="Y3057">
        <v>-9.8269170000000003E-2</v>
      </c>
      <c r="Z3057">
        <v>3.7122959999999999E-3</v>
      </c>
      <c r="AA3057">
        <v>0.99515299999999995</v>
      </c>
      <c r="AB3057">
        <v>35</v>
      </c>
      <c r="AC3057">
        <v>19.457299999999901</v>
      </c>
      <c r="AD3057">
        <v>-1.1106585772883</v>
      </c>
      <c r="AE3057">
        <v>1.6176999999999799</v>
      </c>
      <c r="AF3057">
        <v>-1.9396518488002901</v>
      </c>
      <c r="AG3057">
        <v>-1.1106585772883</v>
      </c>
      <c r="AH3057">
        <v>19.364555925254798</v>
      </c>
      <c r="AI3057">
        <v>93.266307350368294</v>
      </c>
      <c r="AJ3057">
        <v>95.719956421774896</v>
      </c>
      <c r="AK3057">
        <v>19.4931228373542</v>
      </c>
      <c r="AL3057">
        <v>90.071729065527293</v>
      </c>
      <c r="AM3057">
        <v>92.7850951189386</v>
      </c>
      <c r="AN3057">
        <v>0.99999997138982399</v>
      </c>
    </row>
    <row r="3058" spans="1:40" x14ac:dyDescent="0.3">
      <c r="A3058" t="str">
        <f>"20200111160514501"</f>
        <v>20200111160514501</v>
      </c>
      <c r="B3058" t="str">
        <f>"1578729914494222"</f>
        <v>1578729914494222</v>
      </c>
      <c r="C3058" t="s">
        <v>40</v>
      </c>
      <c r="D3058">
        <v>5.3724949999999998</v>
      </c>
      <c r="E3058">
        <v>0.4813576</v>
      </c>
      <c r="F3058" t="s">
        <v>57</v>
      </c>
      <c r="G3058">
        <v>-273.8809</v>
      </c>
      <c r="H3058" s="1">
        <v>4.9661889999999999E-7</v>
      </c>
      <c r="I3058">
        <v>215.34379999999999</v>
      </c>
      <c r="J3058">
        <v>-292.98649999999998</v>
      </c>
      <c r="K3058">
        <v>1.110657</v>
      </c>
      <c r="L3058">
        <v>213.73759999999999</v>
      </c>
      <c r="M3058">
        <v>0.99977740000000004</v>
      </c>
      <c r="N3058">
        <v>0</v>
      </c>
      <c r="O3058">
        <v>-1.6504899999999999E-2</v>
      </c>
      <c r="P3058">
        <v>0.9993746</v>
      </c>
      <c r="Q3058">
        <v>-1.4767850000000001E-2</v>
      </c>
      <c r="R3058">
        <v>3.2135999999999998E-2</v>
      </c>
      <c r="S3058">
        <v>2.9914860000000001</v>
      </c>
      <c r="T3058">
        <v>-0.17197609999999999</v>
      </c>
      <c r="U3058">
        <v>0.24821470000000001</v>
      </c>
      <c r="V3058">
        <v>-4.8625599999999998E-2</v>
      </c>
      <c r="W3058">
        <v>-1.705329E-3</v>
      </c>
      <c r="X3058">
        <v>0.99881560000000003</v>
      </c>
      <c r="Y3058">
        <v>-9.8938739999999997E-2</v>
      </c>
      <c r="Z3058">
        <v>3.7833630000000001E-3</v>
      </c>
      <c r="AA3058">
        <v>0.99508629999999998</v>
      </c>
      <c r="AB3058">
        <v>35</v>
      </c>
      <c r="AC3058">
        <v>19.1055999999999</v>
      </c>
      <c r="AD3058">
        <v>-1.1106565033811</v>
      </c>
      <c r="AE3058">
        <v>1.6062000000000001</v>
      </c>
      <c r="AF3058">
        <v>-1.91491859113551</v>
      </c>
      <c r="AG3058">
        <v>-1.1106565033811</v>
      </c>
      <c r="AH3058">
        <v>19.0126842862615</v>
      </c>
      <c r="AI3058">
        <v>93.326434361467903</v>
      </c>
      <c r="AJ3058">
        <v>95.751318475771001</v>
      </c>
      <c r="AK3058">
        <v>19.141124179322201</v>
      </c>
      <c r="AL3058">
        <v>90.097708203697394</v>
      </c>
      <c r="AM3058">
        <v>92.787144846811998</v>
      </c>
      <c r="AN3058">
        <v>0.99999997996285805</v>
      </c>
    </row>
    <row r="3059" spans="1:40" x14ac:dyDescent="0.3">
      <c r="A3059" t="str">
        <f>"20200111160514523"</f>
        <v>20200111160514523</v>
      </c>
      <c r="B3059" t="str">
        <f>"1578729914514718"</f>
        <v>1578729914514718</v>
      </c>
      <c r="C3059" t="s">
        <v>40</v>
      </c>
      <c r="D3059">
        <v>5.1460140000000001</v>
      </c>
      <c r="E3059">
        <v>0.48134179999999999</v>
      </c>
      <c r="F3059" t="s">
        <v>57</v>
      </c>
      <c r="G3059">
        <v>-273.8571</v>
      </c>
      <c r="H3059" s="1">
        <v>4.8409520000000001E-7</v>
      </c>
      <c r="I3059">
        <v>215.3407</v>
      </c>
      <c r="J3059">
        <v>-292.64409999999998</v>
      </c>
      <c r="K3059">
        <v>1.1106529999999999</v>
      </c>
      <c r="L3059">
        <v>213.73249999999999</v>
      </c>
      <c r="M3059">
        <v>0.99978710000000004</v>
      </c>
      <c r="N3059">
        <v>0</v>
      </c>
      <c r="O3059">
        <v>-1.5905300000000001E-2</v>
      </c>
      <c r="P3059">
        <v>0.99933190000000005</v>
      </c>
      <c r="Q3059">
        <v>-1.54134999999999E-2</v>
      </c>
      <c r="R3059">
        <v>3.3142560000000001E-2</v>
      </c>
      <c r="S3059">
        <v>2.9912109999999998</v>
      </c>
      <c r="T3059">
        <v>-0.17366980000000001</v>
      </c>
      <c r="U3059">
        <v>0.25067139999999999</v>
      </c>
      <c r="V3059">
        <v>-4.9031310000000002E-2</v>
      </c>
      <c r="W3059">
        <v>-2.3533059999999999E-3</v>
      </c>
      <c r="X3059">
        <v>0.99879450000000003</v>
      </c>
      <c r="Y3059">
        <v>-9.9157980000000007E-2</v>
      </c>
      <c r="Z3059">
        <v>3.7923940000000001E-3</v>
      </c>
      <c r="AA3059">
        <v>0.99506450000000002</v>
      </c>
      <c r="AB3059">
        <v>35</v>
      </c>
      <c r="AC3059">
        <v>18.7869999999999</v>
      </c>
      <c r="AD3059">
        <v>-1.1106525159048</v>
      </c>
      <c r="AE3059">
        <v>1.6082000000000101</v>
      </c>
      <c r="AF3059">
        <v>-1.90024227063599</v>
      </c>
      <c r="AG3059">
        <v>-1.1106525159048</v>
      </c>
      <c r="AH3059">
        <v>18.694181926496999</v>
      </c>
      <c r="AI3059">
        <v>93.382651209444305</v>
      </c>
      <c r="AJ3059">
        <v>95.804115099353595</v>
      </c>
      <c r="AK3059">
        <v>18.823307562677801</v>
      </c>
      <c r="AL3059">
        <v>90.134834622068297</v>
      </c>
      <c r="AM3059">
        <v>92.810421669762903</v>
      </c>
      <c r="AN3059">
        <v>1.00000003031984</v>
      </c>
    </row>
    <row r="3060" spans="1:40" x14ac:dyDescent="0.3">
      <c r="A3060" t="str">
        <f>"20200111160514538"</f>
        <v>20200111160514538</v>
      </c>
      <c r="B3060" t="str">
        <f>"1578729914534238"</f>
        <v>1578729914534238</v>
      </c>
      <c r="C3060" t="s">
        <v>40</v>
      </c>
      <c r="D3060">
        <v>5.2147180000000004</v>
      </c>
      <c r="E3060">
        <v>0.48149969999999997</v>
      </c>
      <c r="F3060" t="s">
        <v>57</v>
      </c>
      <c r="G3060">
        <v>-274.19099999999997</v>
      </c>
      <c r="H3060" s="1">
        <v>6.6357919999999897E-7</v>
      </c>
      <c r="I3060">
        <v>215.3</v>
      </c>
      <c r="J3060">
        <v>-292.40929999999997</v>
      </c>
      <c r="K3060">
        <v>1.1106510000000001</v>
      </c>
      <c r="L3060">
        <v>213.72919999999999</v>
      </c>
      <c r="M3060">
        <v>0.99979359999999995</v>
      </c>
      <c r="N3060">
        <v>0</v>
      </c>
      <c r="O3060">
        <v>-1.5494519999999999E-2</v>
      </c>
      <c r="P3060">
        <v>0.9993069</v>
      </c>
      <c r="Q3060">
        <v>-1.5806489999999999E-2</v>
      </c>
      <c r="R3060">
        <v>3.3704459999999999E-2</v>
      </c>
      <c r="S3060">
        <v>2.9908450000000002</v>
      </c>
      <c r="T3060">
        <v>-0.1800127</v>
      </c>
      <c r="U3060">
        <v>0.25404359999999998</v>
      </c>
      <c r="V3060">
        <v>-4.9181759999999998E-2</v>
      </c>
      <c r="W3060">
        <v>-2.7476480000000001E-3</v>
      </c>
      <c r="X3060">
        <v>0.99878610000000001</v>
      </c>
      <c r="Y3060">
        <v>-9.9858420000000003E-2</v>
      </c>
      <c r="Z3060">
        <v>3.9273119999999996E-3</v>
      </c>
      <c r="AA3060">
        <v>0.99499389999999999</v>
      </c>
      <c r="AB3060">
        <v>35</v>
      </c>
      <c r="AC3060">
        <v>18.218299999999999</v>
      </c>
      <c r="AD3060">
        <v>-1.1106503364208</v>
      </c>
      <c r="AE3060">
        <v>1.57080000000001</v>
      </c>
      <c r="AF3060">
        <v>-1.8461090744847399</v>
      </c>
      <c r="AG3060">
        <v>-1.1106503364208</v>
      </c>
      <c r="AH3060">
        <v>18.1249067775918</v>
      </c>
      <c r="AI3060">
        <v>93.488557600043904</v>
      </c>
      <c r="AJ3060">
        <v>95.815794711615695</v>
      </c>
      <c r="AK3060">
        <v>18.252504172882102</v>
      </c>
      <c r="AL3060">
        <v>90.157428826671705</v>
      </c>
      <c r="AM3060">
        <v>92.819055082181706</v>
      </c>
      <c r="AN3060">
        <v>1.00000003431971</v>
      </c>
    </row>
    <row r="3061" spans="1:40" x14ac:dyDescent="0.3">
      <c r="A3061" t="str">
        <f>"20200111160514556"</f>
        <v>20200111160514556</v>
      </c>
      <c r="B3061" t="str">
        <f>"1578729914554734"</f>
        <v>1578729914554734</v>
      </c>
      <c r="C3061" t="s">
        <v>40</v>
      </c>
      <c r="D3061">
        <v>5.218121</v>
      </c>
      <c r="E3061">
        <v>0.48170449999999998</v>
      </c>
      <c r="F3061" t="s">
        <v>57</v>
      </c>
      <c r="G3061">
        <v>-274.12220000000002</v>
      </c>
      <c r="H3061" s="1">
        <v>6.2761010000000004E-7</v>
      </c>
      <c r="I3061">
        <v>215.28469999999999</v>
      </c>
      <c r="J3061">
        <v>-292.12119999999999</v>
      </c>
      <c r="K3061">
        <v>1.110646</v>
      </c>
      <c r="L3061">
        <v>213.7253</v>
      </c>
      <c r="M3061">
        <v>0.9998013</v>
      </c>
      <c r="N3061">
        <v>0</v>
      </c>
      <c r="O3061">
        <v>-1.499005E-2</v>
      </c>
      <c r="P3061">
        <v>0.99927339999999998</v>
      </c>
      <c r="Q3061">
        <v>-1.6308400000000001E-2</v>
      </c>
      <c r="R3061">
        <v>3.445372E-2</v>
      </c>
      <c r="S3061">
        <v>2.9906009999999998</v>
      </c>
      <c r="T3061">
        <v>-0.18163109999999999</v>
      </c>
      <c r="U3061">
        <v>0.25437929999999997</v>
      </c>
      <c r="V3061">
        <v>-4.9425999999999998E-2</v>
      </c>
      <c r="W3061">
        <v>-3.251253E-3</v>
      </c>
      <c r="X3061">
        <v>0.99877249999999995</v>
      </c>
      <c r="Y3061">
        <v>-9.9471959999999998E-2</v>
      </c>
      <c r="Z3061">
        <v>3.9205910000000002E-3</v>
      </c>
      <c r="AA3061">
        <v>0.99503269999999999</v>
      </c>
      <c r="AB3061">
        <v>35</v>
      </c>
      <c r="AC3061">
        <v>17.998999999999899</v>
      </c>
      <c r="AD3061">
        <v>-1.1106453723898999</v>
      </c>
      <c r="AE3061">
        <v>1.5593999999999799</v>
      </c>
      <c r="AF3061">
        <v>-1.82216752697161</v>
      </c>
      <c r="AG3061">
        <v>-1.1106453723898999</v>
      </c>
      <c r="AH3061">
        <v>17.905928737419</v>
      </c>
      <c r="AI3061">
        <v>93.531129844603797</v>
      </c>
      <c r="AJ3061">
        <v>95.8106085057493</v>
      </c>
      <c r="AK3061">
        <v>18.0326401724509</v>
      </c>
      <c r="AL3061">
        <v>90.186283402578894</v>
      </c>
      <c r="AM3061">
        <v>92.833070466279494</v>
      </c>
      <c r="AN3061">
        <v>1.0000000034391501</v>
      </c>
    </row>
    <row r="3062" spans="1:40" x14ac:dyDescent="0.3">
      <c r="A3062" t="str">
        <f>"20200111160514580"</f>
        <v>20200111160514580</v>
      </c>
      <c r="B3062" t="str">
        <f>"1578729914574254"</f>
        <v>1578729914574254</v>
      </c>
      <c r="C3062" t="s">
        <v>40</v>
      </c>
      <c r="D3062">
        <v>5.3538399999999999</v>
      </c>
      <c r="E3062">
        <v>0.48197400000000001</v>
      </c>
      <c r="F3062" t="s">
        <v>57</v>
      </c>
      <c r="G3062">
        <v>-273.46289999999999</v>
      </c>
      <c r="H3062" s="1">
        <v>2.7547049999999998E-7</v>
      </c>
      <c r="I3062">
        <v>215.31489999999999</v>
      </c>
      <c r="J3062">
        <v>-291.75319999999999</v>
      </c>
      <c r="K3062">
        <v>1.110641</v>
      </c>
      <c r="L3062">
        <v>213.72049999999999</v>
      </c>
      <c r="M3062">
        <v>0.99981070000000005</v>
      </c>
      <c r="N3062">
        <v>0</v>
      </c>
      <c r="O3062">
        <v>-1.4345510000000001E-2</v>
      </c>
      <c r="P3062">
        <v>0.99922610000000001</v>
      </c>
      <c r="Q3062">
        <v>-1.6972950000000001E-2</v>
      </c>
      <c r="R3062">
        <v>3.5485280000000001E-2</v>
      </c>
      <c r="S3062">
        <v>2.9905089999999999</v>
      </c>
      <c r="T3062">
        <v>-0.1780118</v>
      </c>
      <c r="U3062">
        <v>0.254776</v>
      </c>
      <c r="V3062">
        <v>-4.9812120000000001E-2</v>
      </c>
      <c r="W3062">
        <v>-3.9182109999999996E-3</v>
      </c>
      <c r="X3062">
        <v>0.9987509</v>
      </c>
      <c r="Y3062">
        <v>-9.8974380000000001E-2</v>
      </c>
      <c r="Z3062">
        <v>3.7896549999999998E-3</v>
      </c>
      <c r="AA3062">
        <v>0.99508280000000005</v>
      </c>
      <c r="AB3062">
        <v>35</v>
      </c>
      <c r="AC3062">
        <v>18.290299999999998</v>
      </c>
      <c r="AD3062">
        <v>-1.1106407245295</v>
      </c>
      <c r="AE3062">
        <v>1.5944</v>
      </c>
      <c r="AF3062">
        <v>-1.84987270704532</v>
      </c>
      <c r="AG3062">
        <v>-1.1106407245295</v>
      </c>
      <c r="AH3062">
        <v>18.198944670304002</v>
      </c>
      <c r="AI3062">
        <v>93.474442560642103</v>
      </c>
      <c r="AJ3062">
        <v>95.804023917876194</v>
      </c>
      <c r="AK3062">
        <v>18.326405511284499</v>
      </c>
      <c r="AL3062">
        <v>90.224497532470807</v>
      </c>
      <c r="AM3062">
        <v>92.855227813804305</v>
      </c>
      <c r="AN3062">
        <v>0.99999997996357204</v>
      </c>
    </row>
    <row r="3063" spans="1:40" x14ac:dyDescent="0.3">
      <c r="A3063" t="str">
        <f>"20200111160514593"</f>
        <v>20200111160514593</v>
      </c>
      <c r="B3063" t="str">
        <f>"1578729914584014"</f>
        <v>1578729914584014</v>
      </c>
      <c r="C3063" t="s">
        <v>40</v>
      </c>
      <c r="D3063">
        <v>5.3085440000000004</v>
      </c>
      <c r="E3063">
        <v>0.48210730000000002</v>
      </c>
      <c r="F3063" t="s">
        <v>57</v>
      </c>
      <c r="G3063">
        <v>-272.95760000000001</v>
      </c>
      <c r="H3063" s="1">
        <v>5.9919390000000004E-9</v>
      </c>
      <c r="I3063">
        <v>215.32740000000001</v>
      </c>
      <c r="J3063">
        <v>-291.52609999999999</v>
      </c>
      <c r="K3063">
        <v>1.1106419999999999</v>
      </c>
      <c r="L3063">
        <v>213.7176</v>
      </c>
      <c r="M3063">
        <v>0.99981640000000005</v>
      </c>
      <c r="N3063">
        <v>0</v>
      </c>
      <c r="O3063">
        <v>-1.394772E-2</v>
      </c>
      <c r="P3063">
        <v>0.99921099999999996</v>
      </c>
      <c r="Q3063">
        <v>-1.7190710000000001E-2</v>
      </c>
      <c r="R3063">
        <v>3.5806919999999999E-2</v>
      </c>
      <c r="S3063">
        <v>2.9902340000000001</v>
      </c>
      <c r="T3063">
        <v>-0.1766942</v>
      </c>
      <c r="U3063">
        <v>0.25564579999999998</v>
      </c>
      <c r="V3063">
        <v>-4.9735389999999997E-2</v>
      </c>
      <c r="W3063">
        <v>-4.1368259999999997E-3</v>
      </c>
      <c r="X3063">
        <v>0.99875380000000002</v>
      </c>
      <c r="Y3063">
        <v>-9.8877329999999999E-2</v>
      </c>
      <c r="Z3063">
        <v>3.735641E-3</v>
      </c>
      <c r="AA3063">
        <v>0.99509259999999999</v>
      </c>
      <c r="AB3063">
        <v>35</v>
      </c>
      <c r="AC3063">
        <v>18.568499999999901</v>
      </c>
      <c r="AD3063">
        <v>-1.1106419940080601</v>
      </c>
      <c r="AE3063">
        <v>1.6097999999999999</v>
      </c>
      <c r="AF3063">
        <v>-1.86204198935106</v>
      </c>
      <c r="AG3063">
        <v>-1.1106419940080601</v>
      </c>
      <c r="AH3063">
        <v>18.4786221132848</v>
      </c>
      <c r="AI3063">
        <v>93.422286975692998</v>
      </c>
      <c r="AJ3063">
        <v>95.754121068873602</v>
      </c>
      <c r="AK3063">
        <v>18.605380974721701</v>
      </c>
      <c r="AL3063">
        <v>90.237023361197402</v>
      </c>
      <c r="AM3063">
        <v>92.850828651619196</v>
      </c>
      <c r="AN3063">
        <v>0.99999993768112105</v>
      </c>
    </row>
    <row r="3064" spans="1:40" x14ac:dyDescent="0.3">
      <c r="A3064" t="str">
        <f>"20200111160514607"</f>
        <v>20200111160514607</v>
      </c>
      <c r="B3064" t="str">
        <f>"1578729914604511"</f>
        <v>1578729914604511</v>
      </c>
      <c r="C3064" t="s">
        <v>40</v>
      </c>
      <c r="D3064">
        <v>5.9732599999999998</v>
      </c>
      <c r="E3064">
        <v>0.4821146</v>
      </c>
      <c r="F3064" t="s">
        <v>57</v>
      </c>
      <c r="G3064">
        <v>-272.56400000000002</v>
      </c>
      <c r="H3064" s="1">
        <v>-2.0389899999999999E-7</v>
      </c>
      <c r="I3064">
        <v>215.3383</v>
      </c>
      <c r="J3064">
        <v>-291.31400000000002</v>
      </c>
      <c r="K3064">
        <v>1.1106419999999999</v>
      </c>
      <c r="L3064">
        <v>213.715</v>
      </c>
      <c r="M3064">
        <v>0.99982170000000004</v>
      </c>
      <c r="N3064">
        <v>0</v>
      </c>
      <c r="O3064">
        <v>-1.357652E-2</v>
      </c>
      <c r="P3064">
        <v>0.99919000000000002</v>
      </c>
      <c r="Q3064">
        <v>-1.7327080000000002E-2</v>
      </c>
      <c r="R3064">
        <v>3.632734E-2</v>
      </c>
      <c r="S3064">
        <v>2.990265</v>
      </c>
      <c r="T3064">
        <v>-0.17514540000000001</v>
      </c>
      <c r="U3064">
        <v>0.25556950000000001</v>
      </c>
      <c r="V3064">
        <v>-4.9884919999999999E-2</v>
      </c>
      <c r="W3064">
        <v>-4.274463E-3</v>
      </c>
      <c r="X3064">
        <v>0.99874580000000002</v>
      </c>
      <c r="Y3064">
        <v>-9.8486509999999999E-2</v>
      </c>
      <c r="Z3064">
        <v>3.669814E-3</v>
      </c>
      <c r="AA3064">
        <v>0.99513160000000001</v>
      </c>
      <c r="AB3064">
        <v>35</v>
      </c>
      <c r="AC3064">
        <v>18.75</v>
      </c>
      <c r="AD3064">
        <v>-1.11064220389899</v>
      </c>
      <c r="AE3064">
        <v>1.6233</v>
      </c>
      <c r="AF3064">
        <v>-1.87121535721404</v>
      </c>
      <c r="AG3064">
        <v>-1.11064220389899</v>
      </c>
      <c r="AH3064">
        <v>18.6612414322144</v>
      </c>
      <c r="AI3064">
        <v>93.389041871639193</v>
      </c>
      <c r="AJ3064">
        <v>95.726069551434094</v>
      </c>
      <c r="AK3064">
        <v>18.7876796015248</v>
      </c>
      <c r="AL3064">
        <v>90.244909441589201</v>
      </c>
      <c r="AM3064">
        <v>92.859408362390198</v>
      </c>
      <c r="AN3064">
        <v>0.99999997464749202</v>
      </c>
    </row>
    <row r="3065" spans="1:40" x14ac:dyDescent="0.3">
      <c r="A3065" t="str">
        <f>"20200111160514623"</f>
        <v>20200111160514623</v>
      </c>
      <c r="B3065" t="str">
        <f>"1578729914614270"</f>
        <v>1578729914614270</v>
      </c>
      <c r="C3065" t="s">
        <v>40</v>
      </c>
      <c r="D3065">
        <v>5.2529560000000002</v>
      </c>
      <c r="E3065">
        <v>0.48210180000000002</v>
      </c>
      <c r="F3065" t="s">
        <v>57</v>
      </c>
      <c r="G3065">
        <v>-272.00029999999998</v>
      </c>
      <c r="H3065" s="1">
        <v>-5.0538449999999996E-7</v>
      </c>
      <c r="I3065">
        <v>215.3723</v>
      </c>
      <c r="J3065">
        <v>-291.05430000000001</v>
      </c>
      <c r="K3065">
        <v>1.110641</v>
      </c>
      <c r="L3065">
        <v>213.71190000000001</v>
      </c>
      <c r="M3065">
        <v>0.99982760000000004</v>
      </c>
      <c r="N3065">
        <v>0</v>
      </c>
      <c r="O3065">
        <v>-1.3121519999999999E-2</v>
      </c>
      <c r="P3065">
        <v>0.99918119999999999</v>
      </c>
      <c r="Q3065">
        <v>-1.683519E-2</v>
      </c>
      <c r="R3065">
        <v>3.6793670000000001E-2</v>
      </c>
      <c r="S3065">
        <v>2.9901119999999999</v>
      </c>
      <c r="T3065">
        <v>-0.17194719999999999</v>
      </c>
      <c r="U3065">
        <v>0.25657649999999999</v>
      </c>
      <c r="V3065">
        <v>-4.9897400000000001E-2</v>
      </c>
      <c r="W3065">
        <v>-3.783776E-3</v>
      </c>
      <c r="X3065">
        <v>0.99874719999999995</v>
      </c>
      <c r="Y3065">
        <v>-9.8378480000000004E-2</v>
      </c>
      <c r="Z3065">
        <v>3.5738440000000001E-3</v>
      </c>
      <c r="AA3065">
        <v>0.99514259999999999</v>
      </c>
      <c r="AB3065">
        <v>35</v>
      </c>
      <c r="AC3065">
        <v>19.053999999999998</v>
      </c>
      <c r="AD3065">
        <v>-1.1106415053845</v>
      </c>
      <c r="AE3065">
        <v>1.6603999999999799</v>
      </c>
      <c r="AF3065">
        <v>-1.9038761440865799</v>
      </c>
      <c r="AG3065">
        <v>-1.1106415053845</v>
      </c>
      <c r="AH3065">
        <v>18.966614701064898</v>
      </c>
      <c r="AI3065">
        <v>93.334562870508506</v>
      </c>
      <c r="AJ3065">
        <v>95.732171166424493</v>
      </c>
      <c r="AK3065">
        <v>19.094259402871799</v>
      </c>
      <c r="AL3065">
        <v>90.216794908722093</v>
      </c>
      <c r="AM3065">
        <v>92.860118527003905</v>
      </c>
      <c r="AN3065">
        <v>1.0000000184977</v>
      </c>
    </row>
    <row r="3066" spans="1:40" x14ac:dyDescent="0.3">
      <c r="A3066" t="str">
        <f>"20200111160514646"</f>
        <v>20200111160514646</v>
      </c>
      <c r="B3066" t="str">
        <f>"1578729914634766"</f>
        <v>1578729914634766</v>
      </c>
      <c r="C3066" t="s">
        <v>40</v>
      </c>
      <c r="D3066">
        <v>5.1965750000000002</v>
      </c>
      <c r="E3066">
        <v>0.48229090000000002</v>
      </c>
      <c r="F3066" t="s">
        <v>57</v>
      </c>
      <c r="G3066">
        <v>-271.91019999999997</v>
      </c>
      <c r="H3066" s="1">
        <v>-5.5304950000000003E-7</v>
      </c>
      <c r="I3066">
        <v>215.3655</v>
      </c>
      <c r="J3066">
        <v>-290.71179999999998</v>
      </c>
      <c r="K3066">
        <v>1.110643</v>
      </c>
      <c r="L3066">
        <v>213.7081</v>
      </c>
      <c r="M3066">
        <v>0.99983540000000004</v>
      </c>
      <c r="N3066">
        <v>0</v>
      </c>
      <c r="O3066">
        <v>-1.2521910000000001E-2</v>
      </c>
      <c r="P3066">
        <v>0.99917350000000005</v>
      </c>
      <c r="Q3066">
        <v>-1.6258519999999999E-2</v>
      </c>
      <c r="R3066">
        <v>3.7258189999999997E-2</v>
      </c>
      <c r="S3066">
        <v>2.990021</v>
      </c>
      <c r="T3066">
        <v>-0.17346510000000001</v>
      </c>
      <c r="U3066">
        <v>0.25825500000000001</v>
      </c>
      <c r="V3066">
        <v>-4.9763670000000003E-2</v>
      </c>
      <c r="W3066">
        <v>-3.208266E-3</v>
      </c>
      <c r="X3066">
        <v>0.99875590000000003</v>
      </c>
      <c r="Y3066">
        <v>-9.8336640000000003E-2</v>
      </c>
      <c r="Z3066">
        <v>3.5694519999999999E-3</v>
      </c>
      <c r="AA3066">
        <v>0.9951468</v>
      </c>
      <c r="AB3066">
        <v>35</v>
      </c>
      <c r="AC3066">
        <v>18.801600000000001</v>
      </c>
      <c r="AD3066">
        <v>-1.1106435530495</v>
      </c>
      <c r="AE3066">
        <v>1.65739999999999</v>
      </c>
      <c r="AF3066">
        <v>-1.88619120984165</v>
      </c>
      <c r="AG3066">
        <v>-1.1106435530495</v>
      </c>
      <c r="AH3066">
        <v>18.714569630655099</v>
      </c>
      <c r="AI3066">
        <v>93.379238484087793</v>
      </c>
      <c r="AJ3066">
        <v>95.755252797554903</v>
      </c>
      <c r="AK3066">
        <v>18.8421432656334</v>
      </c>
      <c r="AL3066">
        <v>90.183820410853002</v>
      </c>
      <c r="AM3066">
        <v>92.852440994940196</v>
      </c>
      <c r="AN3066">
        <v>1.0000000318036999</v>
      </c>
    </row>
    <row r="3067" spans="1:40" x14ac:dyDescent="0.3">
      <c r="A3067" t="str">
        <f>"20200111160514662"</f>
        <v>20200111160514662</v>
      </c>
      <c r="B3067" t="str">
        <f>"1578729914654286"</f>
        <v>1578729914654286</v>
      </c>
      <c r="C3067" t="s">
        <v>40</v>
      </c>
      <c r="D3067">
        <v>5.1794830000000003</v>
      </c>
      <c r="E3067">
        <v>0.48249449999999999</v>
      </c>
      <c r="F3067" t="s">
        <v>57</v>
      </c>
      <c r="G3067">
        <v>-271.86160000000001</v>
      </c>
      <c r="H3067" s="1">
        <v>-5.7762579999999998E-7</v>
      </c>
      <c r="I3067">
        <v>215.33709999999999</v>
      </c>
      <c r="J3067">
        <v>-290.44580000000002</v>
      </c>
      <c r="K3067">
        <v>1.110643</v>
      </c>
      <c r="L3067">
        <v>213.70519999999999</v>
      </c>
      <c r="M3067">
        <v>0.99984119999999999</v>
      </c>
      <c r="N3067">
        <v>0</v>
      </c>
      <c r="O3067">
        <v>-1.205606E-2</v>
      </c>
      <c r="P3067">
        <v>0.99915529999999997</v>
      </c>
      <c r="Q3067">
        <v>-1.5928319999999999E-2</v>
      </c>
      <c r="R3067">
        <v>3.7888619999999998E-2</v>
      </c>
      <c r="S3067">
        <v>2.990021</v>
      </c>
      <c r="T3067">
        <v>-0.17617060000000001</v>
      </c>
      <c r="U3067">
        <v>0.25839230000000002</v>
      </c>
      <c r="V3067">
        <v>-4.9928979999999998E-2</v>
      </c>
      <c r="W3067">
        <v>-2.8796210000000002E-3</v>
      </c>
      <c r="X3067">
        <v>0.99874859999999999</v>
      </c>
      <c r="Y3067">
        <v>-9.7914070000000006E-2</v>
      </c>
      <c r="Z3067">
        <v>3.5852240000000001E-3</v>
      </c>
      <c r="AA3067">
        <v>0.99518839999999997</v>
      </c>
      <c r="AB3067">
        <v>35</v>
      </c>
      <c r="AC3067">
        <v>18.584199999999999</v>
      </c>
      <c r="AD3067">
        <v>-1.1106435776257999</v>
      </c>
      <c r="AE3067">
        <v>1.6318999999999999</v>
      </c>
      <c r="AF3067">
        <v>-1.8492985070321999</v>
      </c>
      <c r="AG3067">
        <v>-1.1106435776257999</v>
      </c>
      <c r="AH3067">
        <v>18.497612767892299</v>
      </c>
      <c r="AI3067">
        <v>93.419055233991102</v>
      </c>
      <c r="AJ3067">
        <v>95.709173911299999</v>
      </c>
      <c r="AK3067">
        <v>18.622972701358002</v>
      </c>
      <c r="AL3067">
        <v>90.164990361115997</v>
      </c>
      <c r="AM3067">
        <v>92.861921678814895</v>
      </c>
      <c r="AN3067">
        <v>0.99999998063145101</v>
      </c>
    </row>
    <row r="3068" spans="1:40" x14ac:dyDescent="0.3">
      <c r="A3068" t="str">
        <f>"20200111160514674"</f>
        <v>20200111160514674</v>
      </c>
      <c r="B3068" t="str">
        <f>"1578729914664046"</f>
        <v>1578729914664046</v>
      </c>
      <c r="C3068" t="s">
        <v>40</v>
      </c>
      <c r="D3068">
        <v>5.2087580000000004</v>
      </c>
      <c r="E3068">
        <v>0.4824252</v>
      </c>
      <c r="F3068" t="s">
        <v>57</v>
      </c>
      <c r="G3068">
        <v>-271.56920000000002</v>
      </c>
      <c r="H3068" s="1">
        <v>-7.3326069999999999E-7</v>
      </c>
      <c r="I3068">
        <v>215.33760000000001</v>
      </c>
      <c r="J3068">
        <v>-290.24579999999997</v>
      </c>
      <c r="K3068">
        <v>1.1106450000000001</v>
      </c>
      <c r="L3068">
        <v>213.70320000000001</v>
      </c>
      <c r="M3068">
        <v>0.99984530000000005</v>
      </c>
      <c r="N3068">
        <v>0</v>
      </c>
      <c r="O3068">
        <v>-1.1705719999999999E-2</v>
      </c>
      <c r="P3068">
        <v>0.99913969999999996</v>
      </c>
      <c r="Q3068">
        <v>-1.5865779999999999E-2</v>
      </c>
      <c r="R3068">
        <v>3.8319899999999997E-2</v>
      </c>
      <c r="S3068">
        <v>2.98996</v>
      </c>
      <c r="T3068">
        <v>-0.1759202</v>
      </c>
      <c r="U3068">
        <v>0.25856020000000002</v>
      </c>
      <c r="V3068">
        <v>-5.001042E-2</v>
      </c>
      <c r="W3068">
        <v>-2.8182350000000001E-3</v>
      </c>
      <c r="X3068">
        <v>0.99874470000000004</v>
      </c>
      <c r="Y3068">
        <v>-9.762419E-2</v>
      </c>
      <c r="Z3068">
        <v>3.551135E-3</v>
      </c>
      <c r="AA3068">
        <v>0.99521700000000002</v>
      </c>
      <c r="AB3068">
        <v>35</v>
      </c>
      <c r="AC3068">
        <v>18.676599999999901</v>
      </c>
      <c r="AD3068">
        <v>-1.1106457332607</v>
      </c>
      <c r="AE3068">
        <v>1.6343999999999901</v>
      </c>
      <c r="AF3068">
        <v>-1.84644982238575</v>
      </c>
      <c r="AG3068">
        <v>-1.1106457332607</v>
      </c>
      <c r="AH3068">
        <v>18.5909422233374</v>
      </c>
      <c r="AI3068">
        <v>93.402157428020502</v>
      </c>
      <c r="AJ3068">
        <v>95.672007359380402</v>
      </c>
      <c r="AK3068">
        <v>18.715395898640999</v>
      </c>
      <c r="AL3068">
        <v>90.161473188127601</v>
      </c>
      <c r="AM3068">
        <v>92.866593202771398</v>
      </c>
      <c r="AN3068">
        <v>0.99999998016758995</v>
      </c>
    </row>
    <row r="3069" spans="1:40" x14ac:dyDescent="0.3">
      <c r="A3069" t="str">
        <f>"20200111160514691"</f>
        <v>20200111160514691</v>
      </c>
      <c r="B3069" t="str">
        <f>"1578729914684542"</f>
        <v>1578729914684542</v>
      </c>
      <c r="C3069" t="s">
        <v>40</v>
      </c>
      <c r="D3069">
        <v>5.2301919999999997</v>
      </c>
      <c r="E3069">
        <v>0.48228579999999999</v>
      </c>
      <c r="F3069" t="s">
        <v>57</v>
      </c>
      <c r="G3069">
        <v>-271.29399999999998</v>
      </c>
      <c r="H3069" s="1">
        <v>-8.8045789999999898E-7</v>
      </c>
      <c r="I3069">
        <v>215.35409999999999</v>
      </c>
      <c r="J3069">
        <v>-289.988</v>
      </c>
      <c r="K3069">
        <v>1.110646</v>
      </c>
      <c r="L3069">
        <v>213.70060000000001</v>
      </c>
      <c r="M3069">
        <v>0.99985060000000003</v>
      </c>
      <c r="N3069">
        <v>0</v>
      </c>
      <c r="O3069">
        <v>-1.125405E-2</v>
      </c>
      <c r="P3069">
        <v>0.99911950000000005</v>
      </c>
      <c r="Q3069">
        <v>-1.5929869999999999E-2</v>
      </c>
      <c r="R3069">
        <v>3.8813739999999999E-2</v>
      </c>
      <c r="S3069">
        <v>2.9897770000000001</v>
      </c>
      <c r="T3069">
        <v>-0.1752118</v>
      </c>
      <c r="U3069">
        <v>0.26045230000000003</v>
      </c>
      <c r="V3069">
        <v>-5.0052310000000003E-2</v>
      </c>
      <c r="W3069">
        <v>-2.883722E-3</v>
      </c>
      <c r="X3069">
        <v>0.99874249999999998</v>
      </c>
      <c r="Y3069">
        <v>-9.7806909999999997E-2</v>
      </c>
      <c r="Z3069">
        <v>3.5159140000000002E-3</v>
      </c>
      <c r="AA3069">
        <v>0.99519919999999995</v>
      </c>
      <c r="AB3069">
        <v>35</v>
      </c>
      <c r="AC3069">
        <v>18.6939999999999</v>
      </c>
      <c r="AD3069">
        <v>-1.1106468804578999</v>
      </c>
      <c r="AE3069">
        <v>1.65349999999997</v>
      </c>
      <c r="AF3069">
        <v>-1.85729164929168</v>
      </c>
      <c r="AG3069">
        <v>-1.1106468804578999</v>
      </c>
      <c r="AH3069">
        <v>18.609029895864101</v>
      </c>
      <c r="AI3069">
        <v>93.398699357936707</v>
      </c>
      <c r="AJ3069">
        <v>95.699583975101802</v>
      </c>
      <c r="AK3069">
        <v>18.734435204423999</v>
      </c>
      <c r="AL3069">
        <v>90.165225318074107</v>
      </c>
      <c r="AM3069">
        <v>92.868996633382494</v>
      </c>
      <c r="AN3069">
        <v>1.00000006544757</v>
      </c>
    </row>
    <row r="3070" spans="1:40" x14ac:dyDescent="0.3">
      <c r="A3070" t="str">
        <f>"20200111160514713"</f>
        <v>20200111160514713</v>
      </c>
      <c r="B3070" t="str">
        <f>"1578729914704062"</f>
        <v>1578729914704062</v>
      </c>
      <c r="C3070" t="s">
        <v>40</v>
      </c>
      <c r="D3070">
        <v>5.2965589999999896</v>
      </c>
      <c r="E3070">
        <v>0.48214560000000001</v>
      </c>
      <c r="F3070" t="s">
        <v>57</v>
      </c>
      <c r="G3070">
        <v>-271.0104</v>
      </c>
      <c r="H3070" s="1">
        <v>-1.0320560000000001E-6</v>
      </c>
      <c r="I3070">
        <v>215.37029999999999</v>
      </c>
      <c r="J3070">
        <v>-289.64089999999999</v>
      </c>
      <c r="K3070">
        <v>1.110644</v>
      </c>
      <c r="L3070">
        <v>213.69739999999999</v>
      </c>
      <c r="M3070">
        <v>0.9998572</v>
      </c>
      <c r="N3070">
        <v>0</v>
      </c>
      <c r="O3070">
        <v>-1.064587E-2</v>
      </c>
      <c r="P3070">
        <v>0.99909289999999995</v>
      </c>
      <c r="Q3070">
        <v>-1.587131E-2</v>
      </c>
      <c r="R3070">
        <v>3.9521019999999997E-2</v>
      </c>
      <c r="S3070">
        <v>2.9896240000000001</v>
      </c>
      <c r="T3070">
        <v>-0.17496539999999999</v>
      </c>
      <c r="U3070">
        <v>0.26303100000000001</v>
      </c>
      <c r="V3070">
        <v>-5.0152339999999997E-2</v>
      </c>
      <c r="W3070">
        <v>-2.8270880000000002E-3</v>
      </c>
      <c r="X3070">
        <v>0.9987376</v>
      </c>
      <c r="Y3070">
        <v>-9.8058980000000004E-2</v>
      </c>
      <c r="Z3070">
        <v>3.4828749999999999E-3</v>
      </c>
      <c r="AA3070">
        <v>0.99517449999999996</v>
      </c>
      <c r="AB3070">
        <v>35</v>
      </c>
      <c r="AC3070">
        <v>18.630499999999898</v>
      </c>
      <c r="AD3070">
        <v>-1.110645032056</v>
      </c>
      <c r="AE3070">
        <v>1.6728999999999901</v>
      </c>
      <c r="AF3070">
        <v>-1.8645866497793</v>
      </c>
      <c r="AG3070">
        <v>-1.110645032056</v>
      </c>
      <c r="AH3070">
        <v>18.546249262469399</v>
      </c>
      <c r="AI3070">
        <v>93.409924774005106</v>
      </c>
      <c r="AJ3070">
        <v>95.741062019173796</v>
      </c>
      <c r="AK3070">
        <v>18.672803149699099</v>
      </c>
      <c r="AL3070">
        <v>90.1619804229761</v>
      </c>
      <c r="AM3070">
        <v>92.874734821553204</v>
      </c>
      <c r="AN3070">
        <v>1.00000002164389</v>
      </c>
    </row>
    <row r="3071" spans="1:40" x14ac:dyDescent="0.3">
      <c r="A3071" t="str">
        <f>"20200111160514735"</f>
        <v>20200111160514735</v>
      </c>
      <c r="B3071" t="str">
        <f>"1578729914724559"</f>
        <v>1578729914724559</v>
      </c>
      <c r="C3071" t="s">
        <v>40</v>
      </c>
      <c r="D3071">
        <v>5.5196430000000003</v>
      </c>
      <c r="E3071">
        <v>0.48199900000000001</v>
      </c>
      <c r="F3071" t="s">
        <v>57</v>
      </c>
      <c r="G3071">
        <v>-270.6816</v>
      </c>
      <c r="H3071" s="1">
        <v>-1.2076830000000001E-6</v>
      </c>
      <c r="I3071">
        <v>215.38550000000001</v>
      </c>
      <c r="J3071">
        <v>-289.29880000000003</v>
      </c>
      <c r="K3071">
        <v>1.1106499999999999</v>
      </c>
      <c r="L3071">
        <v>213.6943</v>
      </c>
      <c r="M3071">
        <v>0.99986339999999996</v>
      </c>
      <c r="N3071">
        <v>0</v>
      </c>
      <c r="O3071">
        <v>-1.004651E-2</v>
      </c>
      <c r="P3071">
        <v>0.99907109999999999</v>
      </c>
      <c r="Q3071">
        <v>-1.548885E-2</v>
      </c>
      <c r="R3071">
        <v>4.0218230000000001E-2</v>
      </c>
      <c r="S3071">
        <v>2.9894099999999999</v>
      </c>
      <c r="T3071">
        <v>-0.17512159999999999</v>
      </c>
      <c r="U3071">
        <v>0.26617429999999997</v>
      </c>
      <c r="V3071">
        <v>-5.0251450000000003E-2</v>
      </c>
      <c r="W3071">
        <v>-2.446475E-3</v>
      </c>
      <c r="X3071">
        <v>0.9987336</v>
      </c>
      <c r="Y3071">
        <v>-9.8506839999999998E-2</v>
      </c>
      <c r="Z3071">
        <v>3.464127E-3</v>
      </c>
      <c r="AA3071">
        <v>0.99513039999999997</v>
      </c>
      <c r="AB3071">
        <v>35</v>
      </c>
      <c r="AC3071">
        <v>18.6172</v>
      </c>
      <c r="AD3071">
        <v>-1.110651207683</v>
      </c>
      <c r="AE3071">
        <v>1.6912</v>
      </c>
      <c r="AF3071">
        <v>-1.8715622774698399</v>
      </c>
      <c r="AG3071">
        <v>-1.110651207683</v>
      </c>
      <c r="AH3071">
        <v>18.533846261343601</v>
      </c>
      <c r="AI3071">
        <v>93.412069622000004</v>
      </c>
      <c r="AJ3071">
        <v>95.766225968929604</v>
      </c>
      <c r="AK3071">
        <v>18.661182939532399</v>
      </c>
      <c r="AL3071">
        <v>90.140172832206204</v>
      </c>
      <c r="AM3071">
        <v>92.880417771296393</v>
      </c>
      <c r="AN3071">
        <v>0.99999999861799305</v>
      </c>
    </row>
    <row r="3072" spans="1:40" x14ac:dyDescent="0.3">
      <c r="A3072" t="str">
        <f>"20200111160514757"</f>
        <v>20200111160514757</v>
      </c>
      <c r="B3072" t="str">
        <f>"1578729914754814"</f>
        <v>1578729914754814</v>
      </c>
      <c r="C3072" t="s">
        <v>40</v>
      </c>
      <c r="D3072">
        <v>5.4518180000000003</v>
      </c>
      <c r="E3072">
        <v>0.48082160000000002</v>
      </c>
      <c r="F3072" t="s">
        <v>57</v>
      </c>
      <c r="G3072">
        <v>-270.399</v>
      </c>
      <c r="H3072" s="1">
        <v>-1.358701E-6</v>
      </c>
      <c r="I3072">
        <v>215.39940000000001</v>
      </c>
      <c r="J3072">
        <v>-288.94499999999999</v>
      </c>
      <c r="K3072">
        <v>1.1106510000000001</v>
      </c>
      <c r="L3072">
        <v>213.69139999999999</v>
      </c>
      <c r="M3072">
        <v>0.99986949999999997</v>
      </c>
      <c r="N3072">
        <v>0</v>
      </c>
      <c r="O3072">
        <v>-9.4267599999999993E-3</v>
      </c>
      <c r="P3072">
        <v>0.99906600000000001</v>
      </c>
      <c r="Q3072">
        <v>-1.5683530000000001E-2</v>
      </c>
      <c r="R3072">
        <v>4.0265479999999999E-2</v>
      </c>
      <c r="S3072">
        <v>2.9892270000000001</v>
      </c>
      <c r="T3072">
        <v>-0.17566279999999901</v>
      </c>
      <c r="U3072">
        <v>0.26966859999999998</v>
      </c>
      <c r="V3072">
        <v>-4.9678979999999998E-2</v>
      </c>
      <c r="W3072">
        <v>-2.641755E-3</v>
      </c>
      <c r="X3072">
        <v>0.99876180000000003</v>
      </c>
      <c r="Y3072">
        <v>-9.9048399999999995E-2</v>
      </c>
      <c r="Z3072">
        <v>3.4543880000000001E-3</v>
      </c>
      <c r="AA3072">
        <v>0.99507659999999998</v>
      </c>
      <c r="AB3072">
        <v>35</v>
      </c>
      <c r="AC3072">
        <v>18.5459999999999</v>
      </c>
      <c r="AD3072">
        <v>-1.110652358701</v>
      </c>
      <c r="AE3072">
        <v>1.7080000000000199</v>
      </c>
      <c r="AF3072">
        <v>-1.8760960362171499</v>
      </c>
      <c r="AG3072">
        <v>-1.110652358701</v>
      </c>
      <c r="AH3072">
        <v>18.4634136741082</v>
      </c>
      <c r="AI3072">
        <v>93.424842198972897</v>
      </c>
      <c r="AJ3072">
        <v>95.801999140897806</v>
      </c>
      <c r="AK3072">
        <v>18.5916897967947</v>
      </c>
      <c r="AL3072">
        <v>90.151361579506698</v>
      </c>
      <c r="AM3072">
        <v>92.847577788279395</v>
      </c>
      <c r="AN3072">
        <v>1.0000000565312701</v>
      </c>
    </row>
    <row r="3073" spans="1:40" x14ac:dyDescent="0.3">
      <c r="A3073" t="str">
        <f>"20200111160514774"</f>
        <v>20200111160514774</v>
      </c>
      <c r="B3073" t="str">
        <f>"1578729914764574"</f>
        <v>1578729914764574</v>
      </c>
      <c r="C3073" t="s">
        <v>40</v>
      </c>
      <c r="D3073">
        <v>5.3347889999999998</v>
      </c>
      <c r="E3073">
        <v>0.47940359999999999</v>
      </c>
      <c r="F3073" t="s">
        <v>57</v>
      </c>
      <c r="G3073">
        <v>-259.41419999999999</v>
      </c>
      <c r="H3073" s="1">
        <v>3.394005E-6</v>
      </c>
      <c r="I3073">
        <v>216.4229</v>
      </c>
      <c r="J3073">
        <v>-288.6859</v>
      </c>
      <c r="K3073">
        <v>1.1106510000000001</v>
      </c>
      <c r="L3073">
        <v>213.68950000000001</v>
      </c>
      <c r="M3073">
        <v>0.99987360000000003</v>
      </c>
      <c r="N3073">
        <v>0</v>
      </c>
      <c r="O3073">
        <v>-8.9727090000000006E-3</v>
      </c>
      <c r="P3073">
        <v>0.99904190000000004</v>
      </c>
      <c r="Q3073">
        <v>-1.5850179999999998E-2</v>
      </c>
      <c r="R3073">
        <v>4.0794270000000001E-2</v>
      </c>
      <c r="S3073">
        <v>2.9898989999999999</v>
      </c>
      <c r="T3073">
        <v>-0.11244949999999999</v>
      </c>
      <c r="U3073">
        <v>0.27655030000000003</v>
      </c>
      <c r="V3073">
        <v>-4.9753730000000003E-2</v>
      </c>
      <c r="W3073">
        <v>-2.8097700000000001E-3</v>
      </c>
      <c r="X3073">
        <v>0.99875749999999996</v>
      </c>
      <c r="Y3073">
        <v>-0.1009563</v>
      </c>
      <c r="Z3073">
        <v>2.230451E-3</v>
      </c>
      <c r="AA3073">
        <v>0.99488840000000001</v>
      </c>
      <c r="AB3073">
        <v>35</v>
      </c>
      <c r="AC3073">
        <v>29.271699999999999</v>
      </c>
      <c r="AD3073">
        <v>-1.1106476059949999</v>
      </c>
      <c r="AE3073">
        <v>2.7333999999999801</v>
      </c>
      <c r="AF3073">
        <v>-2.9916892677585598</v>
      </c>
      <c r="AG3073">
        <v>-1.1106476059949999</v>
      </c>
      <c r="AH3073">
        <v>29.2043128161806</v>
      </c>
      <c r="AI3073">
        <v>92.166596294526599</v>
      </c>
      <c r="AJ3073">
        <v>95.848975920902603</v>
      </c>
      <c r="AK3073">
        <v>29.3781488498655</v>
      </c>
      <c r="AL3073">
        <v>90.160988184513499</v>
      </c>
      <c r="AM3073">
        <v>92.851867616201801</v>
      </c>
      <c r="AN3073">
        <v>0.999999936131305</v>
      </c>
    </row>
    <row r="3074" spans="1:40" x14ac:dyDescent="0.3">
      <c r="A3074" t="str">
        <f>"20200111160514791"</f>
        <v>20200111160514791</v>
      </c>
      <c r="B3074" t="str">
        <f>"1578729914784103"</f>
        <v>1578729914784103</v>
      </c>
      <c r="C3074" t="s">
        <v>40</v>
      </c>
      <c r="D3074">
        <v>5.3952830000000001</v>
      </c>
      <c r="E3074">
        <v>0.47957650000000002</v>
      </c>
      <c r="F3074" t="s">
        <v>57</v>
      </c>
      <c r="G3074">
        <v>-267.47660000000002</v>
      </c>
      <c r="H3074" s="1">
        <v>2.3920250000000002E-6</v>
      </c>
      <c r="I3074">
        <v>215.75640000000001</v>
      </c>
      <c r="J3074">
        <v>-288.40780000000001</v>
      </c>
      <c r="K3074">
        <v>1.1106480000000001</v>
      </c>
      <c r="L3074">
        <v>213.6874</v>
      </c>
      <c r="M3074">
        <v>0.99987789999999999</v>
      </c>
      <c r="N3074">
        <v>0</v>
      </c>
      <c r="O3074">
        <v>-8.4851630000000004E-3</v>
      </c>
      <c r="P3074">
        <v>0.99902749999999996</v>
      </c>
      <c r="Q3074">
        <v>-1.5551540000000001E-2</v>
      </c>
      <c r="R3074">
        <v>4.1261319999999997E-2</v>
      </c>
      <c r="S3074">
        <v>2.9884949999999999</v>
      </c>
      <c r="T3074">
        <v>-0.15649540000000001</v>
      </c>
      <c r="U3074">
        <v>0.29124450000000002</v>
      </c>
      <c r="V3074">
        <v>-4.9734239999999999E-2</v>
      </c>
      <c r="W3074">
        <v>-2.5123179999999999E-3</v>
      </c>
      <c r="X3074">
        <v>0.99875930000000002</v>
      </c>
      <c r="Y3074">
        <v>-0.10528369999999999</v>
      </c>
      <c r="Z3074">
        <v>3.1913179999999998E-3</v>
      </c>
      <c r="AA3074">
        <v>0.99443709999999996</v>
      </c>
      <c r="AB3074">
        <v>35</v>
      </c>
      <c r="AC3074">
        <v>20.931199999999901</v>
      </c>
      <c r="AD3074">
        <v>-1.11064560797499</v>
      </c>
      <c r="AE3074">
        <v>2.0690000000000102</v>
      </c>
      <c r="AF3074">
        <v>-2.24029880906884</v>
      </c>
      <c r="AG3074">
        <v>-1.11064560797499</v>
      </c>
      <c r="AH3074">
        <v>20.854739713575501</v>
      </c>
      <c r="AI3074">
        <v>93.031073316870803</v>
      </c>
      <c r="AJ3074">
        <v>96.131426535937905</v>
      </c>
      <c r="AK3074">
        <v>21.004110096393401</v>
      </c>
      <c r="AL3074">
        <v>90.143945373527004</v>
      </c>
      <c r="AM3074">
        <v>92.850747169669702</v>
      </c>
      <c r="AN3074">
        <v>0.9999999728533</v>
      </c>
    </row>
    <row r="3075" spans="1:40" x14ac:dyDescent="0.3">
      <c r="A3075" t="str">
        <f>"20200111160514812"</f>
        <v>20200111160514812</v>
      </c>
      <c r="B3075" t="str">
        <f>"1578729914804590"</f>
        <v>1578729914804590</v>
      </c>
      <c r="C3075" t="s">
        <v>40</v>
      </c>
      <c r="D3075">
        <v>5.3428329999999997</v>
      </c>
      <c r="E3075">
        <v>0.4800431</v>
      </c>
      <c r="F3075" t="s">
        <v>57</v>
      </c>
      <c r="G3075">
        <v>-265.2088</v>
      </c>
      <c r="H3075" s="1">
        <v>1.1770609999999999E-6</v>
      </c>
      <c r="I3075">
        <v>215.9435</v>
      </c>
      <c r="J3075">
        <v>-288.07589999999999</v>
      </c>
      <c r="K3075">
        <v>1.1106450000000001</v>
      </c>
      <c r="L3075">
        <v>213.68520000000001</v>
      </c>
      <c r="M3075">
        <v>0.99988270000000001</v>
      </c>
      <c r="N3075">
        <v>0</v>
      </c>
      <c r="O3075">
        <v>-7.9035630000000006E-3</v>
      </c>
      <c r="P3075">
        <v>0.99901180000000001</v>
      </c>
      <c r="Q3075">
        <v>-1.528171E-2</v>
      </c>
      <c r="R3075">
        <v>4.1742269999999998E-2</v>
      </c>
      <c r="S3075">
        <v>2.9886780000000002</v>
      </c>
      <c r="T3075">
        <v>-0.1430823</v>
      </c>
      <c r="U3075">
        <v>0.2906494</v>
      </c>
      <c r="V3075">
        <v>-4.9634739999999997E-2</v>
      </c>
      <c r="W3075">
        <v>-2.2438520000000002E-3</v>
      </c>
      <c r="X3075">
        <v>0.99876489999999996</v>
      </c>
      <c r="Y3075">
        <v>-0.10453</v>
      </c>
      <c r="Z3075">
        <v>2.87221E-3</v>
      </c>
      <c r="AA3075">
        <v>0.9945176</v>
      </c>
      <c r="AB3075">
        <v>35</v>
      </c>
      <c r="AC3075">
        <v>22.867099999999901</v>
      </c>
      <c r="AD3075">
        <v>-1.1106438229389901</v>
      </c>
      <c r="AE3075">
        <v>2.25829999999999</v>
      </c>
      <c r="AF3075">
        <v>-2.4332918884661301</v>
      </c>
      <c r="AG3075">
        <v>-1.1106438229389901</v>
      </c>
      <c r="AH3075">
        <v>22.795280893024099</v>
      </c>
      <c r="AI3075">
        <v>92.773656908825998</v>
      </c>
      <c r="AJ3075">
        <v>96.092989727098498</v>
      </c>
      <c r="AK3075">
        <v>22.951672490425999</v>
      </c>
      <c r="AL3075">
        <v>90.128563359408005</v>
      </c>
      <c r="AM3075">
        <v>92.845037322554404</v>
      </c>
      <c r="AN3075">
        <v>0.99999998387933697</v>
      </c>
    </row>
    <row r="3076" spans="1:40" x14ac:dyDescent="0.3">
      <c r="A3076" t="str">
        <f>"20200111160514828"</f>
        <v>20200111160514828</v>
      </c>
      <c r="B3076" t="str">
        <f>"1578729914824110"</f>
        <v>1578729914824110</v>
      </c>
      <c r="C3076" t="s">
        <v>40</v>
      </c>
      <c r="D3076">
        <v>5.6412769999999997</v>
      </c>
      <c r="E3076">
        <v>0.45050410000000002</v>
      </c>
      <c r="F3076" t="s">
        <v>57</v>
      </c>
      <c r="G3076">
        <v>-263.89890000000003</v>
      </c>
      <c r="H3076" s="1">
        <v>4.7683179999999998E-7</v>
      </c>
      <c r="I3076">
        <v>216.0163</v>
      </c>
      <c r="J3076">
        <v>-287.8236</v>
      </c>
      <c r="K3076">
        <v>1.110646</v>
      </c>
      <c r="L3076">
        <v>213.68369999999999</v>
      </c>
      <c r="M3076">
        <v>0.99988619999999995</v>
      </c>
      <c r="N3076">
        <v>0</v>
      </c>
      <c r="O3076">
        <v>-7.4613140000000001E-3</v>
      </c>
      <c r="P3076">
        <v>0.99900659999999997</v>
      </c>
      <c r="Q3076">
        <v>-1.527806E-2</v>
      </c>
      <c r="R3076">
        <v>4.1865270000000003E-2</v>
      </c>
      <c r="S3076">
        <v>2.9888309999999998</v>
      </c>
      <c r="T3076">
        <v>-0.13730110000000001</v>
      </c>
      <c r="U3076">
        <v>0.28817749999999998</v>
      </c>
      <c r="V3076">
        <v>-4.9315640000000001E-2</v>
      </c>
      <c r="W3076">
        <v>-2.2408060000000001E-3</v>
      </c>
      <c r="X3076">
        <v>0.99878069999999997</v>
      </c>
      <c r="Y3076">
        <v>-0.1032822</v>
      </c>
      <c r="Z3076">
        <v>2.707409E-3</v>
      </c>
      <c r="AA3076">
        <v>0.99464839999999999</v>
      </c>
      <c r="AB3076">
        <v>35</v>
      </c>
      <c r="AC3076">
        <v>23.924699999999898</v>
      </c>
      <c r="AD3076">
        <v>-1.1106455231682</v>
      </c>
      <c r="AE3076">
        <v>2.33260000000001</v>
      </c>
      <c r="AF3076">
        <v>-2.5057110113998302</v>
      </c>
      <c r="AG3076">
        <v>-1.1106455231682</v>
      </c>
      <c r="AH3076">
        <v>23.8557019534163</v>
      </c>
      <c r="AI3076">
        <v>92.651021521961198</v>
      </c>
      <c r="AJ3076">
        <v>95.996141413700798</v>
      </c>
      <c r="AK3076">
        <v>24.012634941651299</v>
      </c>
      <c r="AL3076">
        <v>90.128388837787696</v>
      </c>
      <c r="AM3076">
        <v>92.826731794547896</v>
      </c>
      <c r="AN3076">
        <v>0.99999997012631403</v>
      </c>
    </row>
    <row r="3077" spans="1:40" x14ac:dyDescent="0.3">
      <c r="A3077" t="str">
        <f>"20200111160514846"</f>
        <v>20200111160514846</v>
      </c>
      <c r="B3077" t="str">
        <f>"1578729914844606"</f>
        <v>1578729914844606</v>
      </c>
      <c r="C3077" t="s">
        <v>40</v>
      </c>
      <c r="D3077">
        <v>5.3906769999999904</v>
      </c>
      <c r="E3077">
        <v>0.4514108</v>
      </c>
      <c r="F3077" t="s">
        <v>69</v>
      </c>
      <c r="G3077">
        <v>-169.1439</v>
      </c>
      <c r="H3077">
        <v>6.7272429999999996</v>
      </c>
      <c r="I3077">
        <v>234.05760000000001</v>
      </c>
      <c r="J3077">
        <v>-287.54430000000002</v>
      </c>
      <c r="K3077">
        <v>1.110649</v>
      </c>
      <c r="L3077">
        <v>213.68209999999999</v>
      </c>
      <c r="M3077">
        <v>0.99988969999999999</v>
      </c>
      <c r="N3077">
        <v>0</v>
      </c>
      <c r="O3077">
        <v>-6.9715009999999997E-3</v>
      </c>
      <c r="P3077">
        <v>0.99900259999999996</v>
      </c>
      <c r="Q3077">
        <v>-1.5488E-2</v>
      </c>
      <c r="R3077">
        <v>4.1881410000000001E-2</v>
      </c>
      <c r="S3077">
        <v>2.9836429999999998</v>
      </c>
      <c r="T3077">
        <v>0.1412042</v>
      </c>
      <c r="U3077">
        <v>0.51220699999999997</v>
      </c>
      <c r="V3077">
        <v>-4.8842219999999999E-2</v>
      </c>
      <c r="W3077">
        <v>-2.4510980000000001E-3</v>
      </c>
      <c r="X3077">
        <v>0.99880349999999996</v>
      </c>
      <c r="Y3077">
        <v>-0.1758652</v>
      </c>
      <c r="Z3077">
        <v>-4.4564660000000001E-3</v>
      </c>
      <c r="AA3077">
        <v>0.9844041</v>
      </c>
      <c r="AB3077">
        <v>35</v>
      </c>
      <c r="AC3077">
        <v>118.4004</v>
      </c>
      <c r="AD3077">
        <v>5.6165939999999903</v>
      </c>
      <c r="AE3077">
        <v>20.375499999999999</v>
      </c>
      <c r="AF3077">
        <v>-21.154270104836101</v>
      </c>
      <c r="AG3077">
        <v>5.6165939999999903</v>
      </c>
      <c r="AH3077">
        <v>117.997570136918</v>
      </c>
      <c r="AI3077">
        <v>87.317524555058696</v>
      </c>
      <c r="AJ3077">
        <v>100.16385314359999</v>
      </c>
      <c r="AK3077">
        <v>120.01031551515101</v>
      </c>
      <c r="AL3077">
        <v>90.140437711058496</v>
      </c>
      <c r="AM3077">
        <v>92.799575325347803</v>
      </c>
      <c r="AN3077">
        <v>1.0000000009740899</v>
      </c>
    </row>
    <row r="3078" spans="1:40" x14ac:dyDescent="0.3">
      <c r="A3078" t="str">
        <f>"20200111160514862"</f>
        <v>20200111160514862</v>
      </c>
      <c r="B3078" t="str">
        <f>"1578729914854367"</f>
        <v>1578729914854367</v>
      </c>
      <c r="C3078" t="s">
        <v>40</v>
      </c>
      <c r="D3078">
        <v>5.3869109999999996</v>
      </c>
      <c r="E3078">
        <v>0.4794911</v>
      </c>
      <c r="F3078" t="s">
        <v>69</v>
      </c>
      <c r="G3078">
        <v>-169.1439</v>
      </c>
      <c r="H3078">
        <v>6.6756089999999997</v>
      </c>
      <c r="I3078">
        <v>233.72569999999999</v>
      </c>
      <c r="J3078">
        <v>-287.2962</v>
      </c>
      <c r="K3078">
        <v>1.1106469999999999</v>
      </c>
      <c r="L3078">
        <v>213.6808</v>
      </c>
      <c r="M3078">
        <v>0.99989249999999996</v>
      </c>
      <c r="N3078">
        <v>0</v>
      </c>
      <c r="O3078">
        <v>-6.5364019999999898E-3</v>
      </c>
      <c r="P3078">
        <v>0.99899519999999997</v>
      </c>
      <c r="Q3078">
        <v>-1.5675749999999999E-2</v>
      </c>
      <c r="R3078">
        <v>4.1988619999999997E-2</v>
      </c>
      <c r="S3078">
        <v>2.9839479999999998</v>
      </c>
      <c r="T3078">
        <v>0.1402504</v>
      </c>
      <c r="U3078">
        <v>0.50514219999999999</v>
      </c>
      <c r="V3078">
        <v>-4.8515000000000003E-2</v>
      </c>
      <c r="W3078">
        <v>-2.6392479999999999E-3</v>
      </c>
      <c r="X3078">
        <v>0.99881900000000001</v>
      </c>
      <c r="Y3078">
        <v>-0.1731606</v>
      </c>
      <c r="Z3078">
        <v>-4.3434429999999998E-3</v>
      </c>
      <c r="AA3078">
        <v>0.98488399999999998</v>
      </c>
      <c r="AB3078">
        <v>35</v>
      </c>
      <c r="AC3078">
        <v>118.1523</v>
      </c>
      <c r="AD3078">
        <v>5.5649620000000004</v>
      </c>
      <c r="AE3078">
        <v>20.044899999999899</v>
      </c>
      <c r="AF3078">
        <v>-20.772037662669</v>
      </c>
      <c r="AG3078">
        <v>5.5649620000000004</v>
      </c>
      <c r="AH3078">
        <v>117.764802133689</v>
      </c>
      <c r="AI3078">
        <v>87.335576816946798</v>
      </c>
      <c r="AJ3078">
        <v>100.003267889691</v>
      </c>
      <c r="AK3078">
        <v>119.712133772261</v>
      </c>
      <c r="AL3078">
        <v>90.151217942082198</v>
      </c>
      <c r="AM3078">
        <v>92.780805935269697</v>
      </c>
      <c r="AN3078">
        <v>1.0000000328080001</v>
      </c>
    </row>
    <row r="3079" spans="1:40" x14ac:dyDescent="0.3">
      <c r="A3079" t="str">
        <f>"20200111160514873"</f>
        <v>20200111160514873</v>
      </c>
      <c r="B3079" t="str">
        <f>"1578729914864127"</f>
        <v>1578729914864127</v>
      </c>
      <c r="C3079" t="s">
        <v>40</v>
      </c>
      <c r="D3079">
        <v>5.3639559999999999</v>
      </c>
      <c r="E3079">
        <v>0.47975289999999998</v>
      </c>
      <c r="F3079" t="s">
        <v>57</v>
      </c>
      <c r="G3079">
        <v>-259.64229999999998</v>
      </c>
      <c r="H3079" s="1">
        <v>3.5169519999999999E-6</v>
      </c>
      <c r="I3079">
        <v>216.3877</v>
      </c>
      <c r="J3079">
        <v>-287.10829999999999</v>
      </c>
      <c r="K3079">
        <v>1.1106419999999999</v>
      </c>
      <c r="L3079">
        <v>213.6799</v>
      </c>
      <c r="M3079">
        <v>0.99989479999999997</v>
      </c>
      <c r="N3079">
        <v>0</v>
      </c>
      <c r="O3079">
        <v>-6.2071590000000003E-3</v>
      </c>
      <c r="P3079">
        <v>0.99899059999999995</v>
      </c>
      <c r="Q3079">
        <v>-1.5779419999999999E-2</v>
      </c>
      <c r="R3079">
        <v>4.2058900000000003E-2</v>
      </c>
      <c r="S3079">
        <v>2.9887999999999999</v>
      </c>
      <c r="T3079">
        <v>-0.12003709999999999</v>
      </c>
      <c r="U3079">
        <v>0.29255679999999901</v>
      </c>
      <c r="V3079">
        <v>-4.8255890000000003E-2</v>
      </c>
      <c r="W3079">
        <v>-2.7432630000000001E-3</v>
      </c>
      <c r="X3079">
        <v>0.99883120000000003</v>
      </c>
      <c r="Y3079">
        <v>-0.1035074</v>
      </c>
      <c r="Z3079">
        <v>2.3214030000000001E-3</v>
      </c>
      <c r="AA3079">
        <v>0.99462600000000001</v>
      </c>
      <c r="AB3079">
        <v>35</v>
      </c>
      <c r="AC3079">
        <v>27.466000000000001</v>
      </c>
      <c r="AD3079">
        <v>-1.1106384830479901</v>
      </c>
      <c r="AE3079">
        <v>2.70779999999999</v>
      </c>
      <c r="AF3079">
        <v>-2.8735948105434801</v>
      </c>
      <c r="AG3079">
        <v>-1.1106384830479901</v>
      </c>
      <c r="AH3079">
        <v>27.404283128451301</v>
      </c>
      <c r="AI3079">
        <v>92.308167229287406</v>
      </c>
      <c r="AJ3079">
        <v>95.986121013688006</v>
      </c>
      <c r="AK3079">
        <v>27.576906983190302</v>
      </c>
      <c r="AL3079">
        <v>90.157177595224795</v>
      </c>
      <c r="AM3079">
        <v>92.765943538519906</v>
      </c>
      <c r="AN3079">
        <v>0.99999996125250901</v>
      </c>
    </row>
    <row r="3080" spans="1:40" x14ac:dyDescent="0.3">
      <c r="A3080" t="str">
        <f>"20200111160514888"</f>
        <v>20200111160514888</v>
      </c>
      <c r="B3080" t="str">
        <f>"1578729914884622"</f>
        <v>1578729914884622</v>
      </c>
      <c r="C3080" t="s">
        <v>40</v>
      </c>
      <c r="D3080">
        <v>5.4464199999999998</v>
      </c>
      <c r="E3080">
        <v>0.4799698</v>
      </c>
      <c r="F3080" t="s">
        <v>57</v>
      </c>
      <c r="G3080">
        <v>-263.28050000000002</v>
      </c>
      <c r="H3080" s="1">
        <v>1.4827210000000001E-7</v>
      </c>
      <c r="I3080">
        <v>216.0044</v>
      </c>
      <c r="J3080">
        <v>-286.892</v>
      </c>
      <c r="K3080">
        <v>1.110641</v>
      </c>
      <c r="L3080">
        <v>213.6789</v>
      </c>
      <c r="M3080">
        <v>0.99989700000000004</v>
      </c>
      <c r="N3080">
        <v>0</v>
      </c>
      <c r="O3080">
        <v>-5.8278490000000004E-3</v>
      </c>
      <c r="P3080">
        <v>0.99897599999999998</v>
      </c>
      <c r="Q3080">
        <v>-1.595305E-2</v>
      </c>
      <c r="R3080">
        <v>4.233862E-2</v>
      </c>
      <c r="S3080">
        <v>2.9885250000000001</v>
      </c>
      <c r="T3080">
        <v>-0.1392987</v>
      </c>
      <c r="U3080">
        <v>0.29154970000000002</v>
      </c>
      <c r="V3080">
        <v>-4.8156329999999997E-2</v>
      </c>
      <c r="W3080">
        <v>-2.917701E-3</v>
      </c>
      <c r="X3080">
        <v>0.99883560000000005</v>
      </c>
      <c r="Y3080">
        <v>-0.1027778</v>
      </c>
      <c r="Z3080">
        <v>2.6592310000000002E-3</v>
      </c>
      <c r="AA3080">
        <v>0.99470080000000005</v>
      </c>
      <c r="AB3080">
        <v>35</v>
      </c>
      <c r="AC3080">
        <v>23.6114999999999</v>
      </c>
      <c r="AD3080">
        <v>-1.1106408517278901</v>
      </c>
      <c r="AE3080">
        <v>2.3254999999999999</v>
      </c>
      <c r="AF3080">
        <v>-2.4576909851208701</v>
      </c>
      <c r="AG3080">
        <v>-1.1106408517278901</v>
      </c>
      <c r="AH3080">
        <v>23.545948204650401</v>
      </c>
      <c r="AI3080">
        <v>92.686017135851102</v>
      </c>
      <c r="AJ3080">
        <v>95.958870219458007</v>
      </c>
      <c r="AK3080">
        <v>23.699903901407499</v>
      </c>
      <c r="AL3080">
        <v>90.167172181934504</v>
      </c>
      <c r="AM3080">
        <v>92.760233626866096</v>
      </c>
      <c r="AN3080">
        <v>1.00000005046277</v>
      </c>
    </row>
    <row r="3081" spans="1:40" x14ac:dyDescent="0.3">
      <c r="A3081" t="str">
        <f>"20200111160514902"</f>
        <v>20200111160514902</v>
      </c>
      <c r="B3081" t="str">
        <f>"1578729914894382"</f>
        <v>1578729914894382</v>
      </c>
      <c r="C3081" t="s">
        <v>40</v>
      </c>
      <c r="D3081">
        <v>5.405411</v>
      </c>
      <c r="E3081">
        <v>0.47972140000000002</v>
      </c>
      <c r="F3081" t="s">
        <v>57</v>
      </c>
      <c r="G3081">
        <v>-265.12549999999999</v>
      </c>
      <c r="H3081" s="1">
        <v>1.1390170000000001E-6</v>
      </c>
      <c r="I3081">
        <v>215.79949999999999</v>
      </c>
      <c r="J3081">
        <v>-286.66019999999997</v>
      </c>
      <c r="K3081">
        <v>1.110644</v>
      </c>
      <c r="L3081">
        <v>213.67789999999999</v>
      </c>
      <c r="M3081">
        <v>0.99989930000000005</v>
      </c>
      <c r="N3081">
        <v>0</v>
      </c>
      <c r="O3081">
        <v>-5.4214800000000002E-3</v>
      </c>
      <c r="P3081">
        <v>0.99899179999999999</v>
      </c>
      <c r="Q3081">
        <v>-1.6047539999999999E-2</v>
      </c>
      <c r="R3081">
        <v>4.1929809999999998E-2</v>
      </c>
      <c r="S3081">
        <v>2.9883120000000001</v>
      </c>
      <c r="T3081">
        <v>-0.1524789</v>
      </c>
      <c r="U3081">
        <v>0.2911377</v>
      </c>
      <c r="V3081">
        <v>-4.7341859999999999E-2</v>
      </c>
      <c r="W3081">
        <v>-3.0115889999999998E-3</v>
      </c>
      <c r="X3081">
        <v>0.99887420000000005</v>
      </c>
      <c r="Y3081">
        <v>-0.1022226</v>
      </c>
      <c r="Z3081">
        <v>2.8759609999999998E-3</v>
      </c>
      <c r="AA3081">
        <v>0.99475740000000001</v>
      </c>
      <c r="AB3081">
        <v>35</v>
      </c>
      <c r="AC3081">
        <v>21.534699999999901</v>
      </c>
      <c r="AD3081">
        <v>-1.1106428609829999</v>
      </c>
      <c r="AE3081">
        <v>2.1215999999999999</v>
      </c>
      <c r="AF3081">
        <v>-2.23244771658758</v>
      </c>
      <c r="AG3081">
        <v>-1.1106428609829999</v>
      </c>
      <c r="AH3081">
        <v>21.466330083981099</v>
      </c>
      <c r="AI3081">
        <v>92.945916099510697</v>
      </c>
      <c r="AJ3081">
        <v>95.9372824560608</v>
      </c>
      <c r="AK3081">
        <v>21.610661203359399</v>
      </c>
      <c r="AL3081">
        <v>90.172551601125704</v>
      </c>
      <c r="AM3081">
        <v>92.713515353700998</v>
      </c>
      <c r="AN3081">
        <v>0.99999999440110199</v>
      </c>
    </row>
    <row r="3082" spans="1:40" x14ac:dyDescent="0.3">
      <c r="A3082" t="str">
        <f>"20200111160514926"</f>
        <v>20200111160514926</v>
      </c>
      <c r="B3082" t="str">
        <f>"1578729914914879"</f>
        <v>1578729914914879</v>
      </c>
      <c r="C3082" t="s">
        <v>40</v>
      </c>
      <c r="D3082">
        <v>6.039123</v>
      </c>
      <c r="E3082">
        <v>0.47894609999999899</v>
      </c>
      <c r="F3082" t="s">
        <v>57</v>
      </c>
      <c r="G3082">
        <v>-265.84710000000001</v>
      </c>
      <c r="H3082" s="1">
        <v>1.526778E-6</v>
      </c>
      <c r="I3082">
        <v>215.714</v>
      </c>
      <c r="J3082">
        <v>-286.3005</v>
      </c>
      <c r="K3082">
        <v>1.110644</v>
      </c>
      <c r="L3082">
        <v>213.67670000000001</v>
      </c>
      <c r="M3082">
        <v>0.99990250000000003</v>
      </c>
      <c r="N3082">
        <v>0</v>
      </c>
      <c r="O3082">
        <v>-4.7907679999999999E-3</v>
      </c>
      <c r="P3082">
        <v>0.99896779999999996</v>
      </c>
      <c r="Q3082">
        <v>-1.5922100000000002E-2</v>
      </c>
      <c r="R3082">
        <v>4.2543270000000001E-2</v>
      </c>
      <c r="S3082">
        <v>2.9881899999999999</v>
      </c>
      <c r="T3082">
        <v>-0.1594583</v>
      </c>
      <c r="U3082">
        <v>0.29232789999999997</v>
      </c>
      <c r="V3082">
        <v>-4.7325199999999998E-2</v>
      </c>
      <c r="W3082">
        <v>-2.8877289999999999E-3</v>
      </c>
      <c r="X3082">
        <v>0.99887539999999997</v>
      </c>
      <c r="Y3082">
        <v>-0.1019798</v>
      </c>
      <c r="Z3082">
        <v>2.967468E-3</v>
      </c>
      <c r="AA3082">
        <v>0.99478200000000006</v>
      </c>
      <c r="AB3082">
        <v>35</v>
      </c>
      <c r="AC3082">
        <v>20.453399999999899</v>
      </c>
      <c r="AD3082">
        <v>-1.1106424732219999</v>
      </c>
      <c r="AE3082">
        <v>2.0373000000000099</v>
      </c>
      <c r="AF3082">
        <v>-2.1290564536008598</v>
      </c>
      <c r="AG3082">
        <v>-1.1106424732219999</v>
      </c>
      <c r="AH3082">
        <v>20.383890466008999</v>
      </c>
      <c r="AI3082">
        <v>93.101909522355896</v>
      </c>
      <c r="AJ3082">
        <v>95.962808393596603</v>
      </c>
      <c r="AK3082">
        <v>20.5248483213932</v>
      </c>
      <c r="AL3082">
        <v>90.165454907558001</v>
      </c>
      <c r="AM3082">
        <v>92.712558617361793</v>
      </c>
      <c r="AN3082">
        <v>1.0000000391294801</v>
      </c>
    </row>
    <row r="3083" spans="1:40" x14ac:dyDescent="0.3">
      <c r="A3083" t="str">
        <f>"20200111160514948"</f>
        <v>20200111160514948</v>
      </c>
      <c r="B3083" t="str">
        <f>"1578729914944158"</f>
        <v>1578729914944158</v>
      </c>
      <c r="C3083" t="s">
        <v>40</v>
      </c>
      <c r="D3083">
        <v>5.4285480000000002</v>
      </c>
      <c r="E3083">
        <v>0.47854140000000001</v>
      </c>
      <c r="F3083" t="s">
        <v>57</v>
      </c>
      <c r="G3083">
        <v>-263.00299999999999</v>
      </c>
      <c r="H3083" s="1">
        <v>2.1037750000000001E-10</v>
      </c>
      <c r="I3083">
        <v>216.01329999999999</v>
      </c>
      <c r="J3083">
        <v>-285.95370000000003</v>
      </c>
      <c r="K3083">
        <v>1.1106469999999999</v>
      </c>
      <c r="L3083">
        <v>213.67570000000001</v>
      </c>
      <c r="M3083">
        <v>0.9999053</v>
      </c>
      <c r="N3083">
        <v>0</v>
      </c>
      <c r="O3083">
        <v>-4.182346E-3</v>
      </c>
      <c r="P3083">
        <v>0.99893339999999997</v>
      </c>
      <c r="Q3083">
        <v>-1.52129E-2</v>
      </c>
      <c r="R3083">
        <v>4.3598699999999997E-2</v>
      </c>
      <c r="S3083">
        <v>2.9880369999999998</v>
      </c>
      <c r="T3083">
        <v>-0.14244660000000001</v>
      </c>
      <c r="U3083">
        <v>0.29968260000000002</v>
      </c>
      <c r="V3083">
        <v>-4.7773959999999997E-2</v>
      </c>
      <c r="W3083">
        <v>-2.180895E-3</v>
      </c>
      <c r="X3083">
        <v>0.99885579999999996</v>
      </c>
      <c r="Y3083">
        <v>-0.10383299999999999</v>
      </c>
      <c r="Z3083">
        <v>2.6661929999999999E-3</v>
      </c>
      <c r="AA3083">
        <v>0.99459120000000001</v>
      </c>
      <c r="AB3083">
        <v>35</v>
      </c>
      <c r="AC3083">
        <v>22.950700000000001</v>
      </c>
      <c r="AD3083">
        <v>-1.11064699978962</v>
      </c>
      <c r="AE3083">
        <v>2.3375999999999801</v>
      </c>
      <c r="AF3083">
        <v>-2.4279480463062102</v>
      </c>
      <c r="AG3083">
        <v>-1.11064699978962</v>
      </c>
      <c r="AH3083">
        <v>22.8876724439782</v>
      </c>
      <c r="AI3083">
        <v>92.762678475696404</v>
      </c>
      <c r="AJ3083">
        <v>96.055349523597002</v>
      </c>
      <c r="AK3083">
        <v>23.042873483499001</v>
      </c>
      <c r="AL3083">
        <v>90.124956177069606</v>
      </c>
      <c r="AM3083">
        <v>92.738295069826904</v>
      </c>
      <c r="AN3083">
        <v>1.00000000837536</v>
      </c>
    </row>
    <row r="3084" spans="1:40" x14ac:dyDescent="0.3">
      <c r="A3084" t="str">
        <f>"20200111160514971"</f>
        <v>20200111160514971</v>
      </c>
      <c r="B3084" t="str">
        <f>"1578729914964655"</f>
        <v>1578729914964655</v>
      </c>
      <c r="C3084" t="s">
        <v>40</v>
      </c>
      <c r="D3084">
        <v>5.3952400000000003</v>
      </c>
      <c r="E3084">
        <v>0.48009249999999998</v>
      </c>
      <c r="F3084" t="s">
        <v>57</v>
      </c>
      <c r="G3084">
        <v>-262.19200000000001</v>
      </c>
      <c r="H3084" s="1">
        <v>-4.3558209999999898E-7</v>
      </c>
      <c r="I3084">
        <v>216.10900000000001</v>
      </c>
      <c r="J3084">
        <v>-285.59339999999997</v>
      </c>
      <c r="K3084">
        <v>1.1106480000000001</v>
      </c>
      <c r="L3084">
        <v>213.6748</v>
      </c>
      <c r="M3084">
        <v>0.99990780000000001</v>
      </c>
      <c r="N3084">
        <v>0</v>
      </c>
      <c r="O3084">
        <v>-3.5506790000000002E-3</v>
      </c>
      <c r="P3084">
        <v>0.99890040000000002</v>
      </c>
      <c r="Q3084">
        <v>-1.486789E-2</v>
      </c>
      <c r="R3084">
        <v>4.4466079999999998E-2</v>
      </c>
      <c r="S3084">
        <v>2.987762</v>
      </c>
      <c r="T3084">
        <v>-0.139651</v>
      </c>
      <c r="U3084">
        <v>0.3059692</v>
      </c>
      <c r="V3084">
        <v>-4.8010700000000003E-2</v>
      </c>
      <c r="W3084">
        <v>-1.837937E-3</v>
      </c>
      <c r="X3084">
        <v>0.99884519999999999</v>
      </c>
      <c r="Y3084">
        <v>-0.10528899999999999</v>
      </c>
      <c r="Z3084">
        <v>2.618371E-3</v>
      </c>
      <c r="AA3084">
        <v>0.99443820000000005</v>
      </c>
      <c r="AB3084">
        <v>35</v>
      </c>
      <c r="AC3084">
        <v>23.401399999999899</v>
      </c>
      <c r="AD3084">
        <v>-1.11064843558209</v>
      </c>
      <c r="AE3084">
        <v>2.4342000000000001</v>
      </c>
      <c r="AF3084">
        <v>-2.5116855773173099</v>
      </c>
      <c r="AG3084">
        <v>-1.11064843558209</v>
      </c>
      <c r="AH3084">
        <v>23.3405961650781</v>
      </c>
      <c r="AI3084">
        <v>92.708715977531995</v>
      </c>
      <c r="AJ3084">
        <v>96.141973566363404</v>
      </c>
      <c r="AK3084">
        <v>23.501607045647301</v>
      </c>
      <c r="AL3084">
        <v>90.105306085085502</v>
      </c>
      <c r="AM3084">
        <v>92.751872821611798</v>
      </c>
      <c r="AN3084">
        <v>1.00000006944497</v>
      </c>
    </row>
    <row r="3085" spans="1:40" x14ac:dyDescent="0.3">
      <c r="A3085" t="str">
        <f>"20200111160514986"</f>
        <v>20200111160514986</v>
      </c>
      <c r="B3085" t="str">
        <f>"1578729914974415"</f>
        <v>1578729914974415</v>
      </c>
      <c r="C3085" t="s">
        <v>40</v>
      </c>
      <c r="D3085">
        <v>5.8891819999999999</v>
      </c>
      <c r="E3085">
        <v>0.48009249999999998</v>
      </c>
      <c r="F3085" t="s">
        <v>57</v>
      </c>
      <c r="G3085">
        <v>-262.87889999999999</v>
      </c>
      <c r="H3085" s="1">
        <v>-6.220201E-8</v>
      </c>
      <c r="I3085">
        <v>215.93029999999999</v>
      </c>
      <c r="J3085">
        <v>-285.36279999999999</v>
      </c>
      <c r="K3085">
        <v>1.110646</v>
      </c>
      <c r="L3085">
        <v>213.67439999999999</v>
      </c>
      <c r="M3085">
        <v>0.9999093</v>
      </c>
      <c r="N3085">
        <v>0</v>
      </c>
      <c r="O3085">
        <v>-3.1462170000000002E-3</v>
      </c>
      <c r="P3085">
        <v>0.99887219999999999</v>
      </c>
      <c r="Q3085">
        <v>-1.463163E-2</v>
      </c>
      <c r="R3085">
        <v>4.5173459999999999E-2</v>
      </c>
      <c r="S3085">
        <v>2.9879150000000001</v>
      </c>
      <c r="T3085">
        <v>-0.1460969</v>
      </c>
      <c r="U3085">
        <v>0.29669190000000001</v>
      </c>
      <c r="V3085">
        <v>-4.8314120000000002E-2</v>
      </c>
      <c r="W3085">
        <v>-1.6032799999999999E-3</v>
      </c>
      <c r="X3085">
        <v>0.99883089999999997</v>
      </c>
      <c r="Y3085">
        <v>-0.1018178</v>
      </c>
      <c r="Z3085">
        <v>2.6350480000000001E-3</v>
      </c>
      <c r="AA3085">
        <v>0.99479960000000001</v>
      </c>
      <c r="AB3085">
        <v>35</v>
      </c>
      <c r="AC3085">
        <v>22.483899999999998</v>
      </c>
      <c r="AD3085">
        <v>-1.11064606220201</v>
      </c>
      <c r="AE3085">
        <v>2.2558999999999898</v>
      </c>
      <c r="AF3085">
        <v>-2.3210270299575302</v>
      </c>
      <c r="AG3085">
        <v>-1.11064606220201</v>
      </c>
      <c r="AH3085">
        <v>22.422522590972601</v>
      </c>
      <c r="AI3085">
        <v>92.820645118578994</v>
      </c>
      <c r="AJ3085">
        <v>95.909821491678201</v>
      </c>
      <c r="AK3085">
        <v>22.5696747980993</v>
      </c>
      <c r="AL3085">
        <v>90.091861217123395</v>
      </c>
      <c r="AM3085">
        <v>92.769276818683906</v>
      </c>
      <c r="AN3085">
        <v>0.99999999574647103</v>
      </c>
    </row>
    <row r="3086" spans="1:40" x14ac:dyDescent="0.3">
      <c r="A3086" t="str">
        <f>"20200111160515002"</f>
        <v>20200111160515002</v>
      </c>
      <c r="B3086" t="str">
        <f>"1578729914994910"</f>
        <v>1578729914994910</v>
      </c>
      <c r="C3086" t="s">
        <v>40</v>
      </c>
      <c r="D3086">
        <v>5.7283679999999997</v>
      </c>
      <c r="E3086">
        <v>0.48052010000000001</v>
      </c>
      <c r="F3086" t="s">
        <v>57</v>
      </c>
      <c r="G3086">
        <v>-262.53230000000002</v>
      </c>
      <c r="H3086" s="1">
        <v>-2.4782940000000001E-7</v>
      </c>
      <c r="I3086">
        <v>215.95660000000001</v>
      </c>
      <c r="J3086">
        <v>-285.08949999999999</v>
      </c>
      <c r="K3086">
        <v>1.1106529999999999</v>
      </c>
      <c r="L3086">
        <v>213.67400000000001</v>
      </c>
      <c r="M3086">
        <v>0.99991050000000004</v>
      </c>
      <c r="N3086">
        <v>0</v>
      </c>
      <c r="O3086">
        <v>-2.666655E-3</v>
      </c>
      <c r="P3086">
        <v>0.99885199999999996</v>
      </c>
      <c r="Q3086">
        <v>-1.4128379999999999E-2</v>
      </c>
      <c r="R3086">
        <v>4.5773979999999999E-2</v>
      </c>
      <c r="S3086">
        <v>2.9877929999999999</v>
      </c>
      <c r="T3086">
        <v>-0.1453487</v>
      </c>
      <c r="U3086">
        <v>0.29867549999999998</v>
      </c>
      <c r="V3086">
        <v>-4.8436079999999999E-2</v>
      </c>
      <c r="W3086">
        <v>-1.1014659999999999E-3</v>
      </c>
      <c r="X3086">
        <v>0.99882570000000004</v>
      </c>
      <c r="Y3086">
        <v>-0.1020003</v>
      </c>
      <c r="Z3086">
        <v>2.6027530000000002E-3</v>
      </c>
      <c r="AA3086">
        <v>0.99478100000000003</v>
      </c>
      <c r="AB3086">
        <v>35</v>
      </c>
      <c r="AC3086">
        <v>22.557199999999899</v>
      </c>
      <c r="AD3086">
        <v>-1.11065324782939</v>
      </c>
      <c r="AE3086">
        <v>2.2826</v>
      </c>
      <c r="AF3086">
        <v>-2.3371408191417999</v>
      </c>
      <c r="AG3086">
        <v>-1.11065324782939</v>
      </c>
      <c r="AH3086">
        <v>22.497045547110499</v>
      </c>
      <c r="AI3086">
        <v>92.811227201196402</v>
      </c>
      <c r="AJ3086">
        <v>95.9309863096436</v>
      </c>
      <c r="AK3086">
        <v>22.6453711869374</v>
      </c>
      <c r="AL3086">
        <v>90.0631093643849</v>
      </c>
      <c r="AM3086">
        <v>92.776270850256907</v>
      </c>
      <c r="AN3086">
        <v>1.0000000230268</v>
      </c>
    </row>
    <row r="3087" spans="1:40" x14ac:dyDescent="0.3">
      <c r="A3087" t="str">
        <f>"20200111160515019"</f>
        <v>20200111160515019</v>
      </c>
      <c r="B3087" t="str">
        <f>"1578729915014431"</f>
        <v>1578729915014431</v>
      </c>
      <c r="C3087" t="s">
        <v>40</v>
      </c>
      <c r="D3087">
        <v>5.3767160000000001</v>
      </c>
      <c r="E3087">
        <v>0.48109079999999899</v>
      </c>
      <c r="F3087" t="s">
        <v>57</v>
      </c>
      <c r="G3087">
        <v>-262.31979999999999</v>
      </c>
      <c r="H3087" s="1">
        <v>-3.601406E-7</v>
      </c>
      <c r="I3087">
        <v>215.9393</v>
      </c>
      <c r="J3087">
        <v>-284.83780000000002</v>
      </c>
      <c r="K3087">
        <v>1.1106560000000001</v>
      </c>
      <c r="L3087">
        <v>213.6738</v>
      </c>
      <c r="M3087">
        <v>0.99991169999999996</v>
      </c>
      <c r="N3087">
        <v>0</v>
      </c>
      <c r="O3087">
        <v>-2.225121E-3</v>
      </c>
      <c r="P3087">
        <v>0.99883290000000002</v>
      </c>
      <c r="Q3087">
        <v>-1.3900859999999999E-2</v>
      </c>
      <c r="R3087">
        <v>4.6258100000000003E-2</v>
      </c>
      <c r="S3087">
        <v>2.987762</v>
      </c>
      <c r="T3087">
        <v>-0.14573599999999901</v>
      </c>
      <c r="U3087">
        <v>0.29724119999999998</v>
      </c>
      <c r="V3087">
        <v>-4.8479420000000002E-2</v>
      </c>
      <c r="W3087">
        <v>-8.7512820000000004E-4</v>
      </c>
      <c r="X3087">
        <v>0.99882380000000004</v>
      </c>
      <c r="Y3087">
        <v>-0.10109</v>
      </c>
      <c r="Z3087">
        <v>2.5661630000000002E-3</v>
      </c>
      <c r="AA3087">
        <v>0.99487400000000004</v>
      </c>
      <c r="AB3087">
        <v>35</v>
      </c>
      <c r="AC3087">
        <v>22.518000000000001</v>
      </c>
      <c r="AD3087">
        <v>-1.1106563601406001</v>
      </c>
      <c r="AE3087">
        <v>2.2654999999999998</v>
      </c>
      <c r="AF3087">
        <v>-2.31004049873785</v>
      </c>
      <c r="AG3087">
        <v>-1.1106563601406001</v>
      </c>
      <c r="AH3087">
        <v>22.4588133291651</v>
      </c>
      <c r="AI3087">
        <v>92.816309152423202</v>
      </c>
      <c r="AJ3087">
        <v>95.872605883559899</v>
      </c>
      <c r="AK3087">
        <v>22.6046044161453</v>
      </c>
      <c r="AL3087">
        <v>90.050141158706197</v>
      </c>
      <c r="AM3087">
        <v>92.778756408566807</v>
      </c>
      <c r="AN3087">
        <v>1.00000000172967</v>
      </c>
    </row>
    <row r="3088" spans="1:40" x14ac:dyDescent="0.3">
      <c r="A3088" t="str">
        <f>"20200111160515032"</f>
        <v>20200111160515032</v>
      </c>
      <c r="B3088" t="str">
        <f>"1578729915024191"</f>
        <v>1578729915024191</v>
      </c>
      <c r="C3088" t="s">
        <v>40</v>
      </c>
      <c r="D3088">
        <v>5.4333619999999998</v>
      </c>
      <c r="E3088">
        <v>0.48127049999999999</v>
      </c>
      <c r="F3088" t="s">
        <v>57</v>
      </c>
      <c r="G3088">
        <v>-262.14049999999997</v>
      </c>
      <c r="H3088" s="1">
        <v>-4.5421850000000001E-7</v>
      </c>
      <c r="I3088">
        <v>215.90860000000001</v>
      </c>
      <c r="J3088">
        <v>-284.61829999999998</v>
      </c>
      <c r="K3088">
        <v>1.1106579999999999</v>
      </c>
      <c r="L3088">
        <v>213.6737</v>
      </c>
      <c r="M3088">
        <v>0.99991240000000003</v>
      </c>
      <c r="N3088">
        <v>0</v>
      </c>
      <c r="O3088">
        <v>-1.840207E-3</v>
      </c>
      <c r="P3088">
        <v>0.99882729999999997</v>
      </c>
      <c r="Q3088">
        <v>-1.366032E-2</v>
      </c>
      <c r="R3088">
        <v>4.6445630000000002E-2</v>
      </c>
      <c r="S3088">
        <v>2.9878849999999999</v>
      </c>
      <c r="T3088">
        <v>-0.14620720000000001</v>
      </c>
      <c r="U3088">
        <v>0.29418949999999999</v>
      </c>
      <c r="V3088">
        <v>-4.828321E-2</v>
      </c>
      <c r="W3088">
        <v>-6.3513839999999996E-4</v>
      </c>
      <c r="X3088">
        <v>0.99883350000000004</v>
      </c>
      <c r="Y3088">
        <v>-9.9697980000000005E-2</v>
      </c>
      <c r="Z3088">
        <v>2.5217360000000001E-3</v>
      </c>
      <c r="AA3088">
        <v>0.99501450000000002</v>
      </c>
      <c r="AB3088">
        <v>35</v>
      </c>
      <c r="AC3088">
        <v>22.477799999999998</v>
      </c>
      <c r="AD3088">
        <v>-1.1106584542184901</v>
      </c>
      <c r="AE3088">
        <v>2.2349000000000099</v>
      </c>
      <c r="AF3088">
        <v>-2.27077379203888</v>
      </c>
      <c r="AG3088">
        <v>-1.1106584542184901</v>
      </c>
      <c r="AH3088">
        <v>22.419448048347601</v>
      </c>
      <c r="AI3088">
        <v>92.821698514003003</v>
      </c>
      <c r="AJ3088">
        <v>95.783530525067903</v>
      </c>
      <c r="AK3088">
        <v>22.561507631563401</v>
      </c>
      <c r="AL3088">
        <v>90.036390751582104</v>
      </c>
      <c r="AM3088">
        <v>92.767500676702497</v>
      </c>
      <c r="AN3088">
        <v>1.0000000162454701</v>
      </c>
    </row>
    <row r="3089" spans="1:40" x14ac:dyDescent="0.3">
      <c r="A3089" t="str">
        <f>"20200111160515048"</f>
        <v>20200111160515048</v>
      </c>
      <c r="B3089" t="str">
        <f>"1578729915044686"</f>
        <v>1578729915044686</v>
      </c>
      <c r="C3089" t="s">
        <v>40</v>
      </c>
      <c r="D3089">
        <v>5.4219309999999998</v>
      </c>
      <c r="E3089">
        <v>0.48180800000000001</v>
      </c>
      <c r="F3089" t="s">
        <v>57</v>
      </c>
      <c r="G3089">
        <v>-262.05900000000003</v>
      </c>
      <c r="H3089" s="1">
        <v>-4.9676780000000003E-7</v>
      </c>
      <c r="I3089">
        <v>215.8897</v>
      </c>
      <c r="J3089">
        <v>-284.3886</v>
      </c>
      <c r="K3089">
        <v>1.1106640000000001</v>
      </c>
      <c r="L3089">
        <v>213.6737</v>
      </c>
      <c r="M3089">
        <v>0.99991319999999995</v>
      </c>
      <c r="N3089">
        <v>0</v>
      </c>
      <c r="O3089">
        <v>-1.4370559999999999E-3</v>
      </c>
      <c r="P3089">
        <v>0.99883560000000005</v>
      </c>
      <c r="Q3089">
        <v>-1.3274029999999999E-2</v>
      </c>
      <c r="R3089">
        <v>4.6383340000000002E-2</v>
      </c>
      <c r="S3089">
        <v>2.987854</v>
      </c>
      <c r="T3089">
        <v>-0.14710029999999999</v>
      </c>
      <c r="U3089">
        <v>0.29350279999999901</v>
      </c>
      <c r="V3089">
        <v>-4.7818369999999999E-2</v>
      </c>
      <c r="W3089">
        <v>-2.4888660000000002E-4</v>
      </c>
      <c r="X3089">
        <v>0.99885599999999997</v>
      </c>
      <c r="Y3089">
        <v>-9.9071039999999999E-2</v>
      </c>
      <c r="Z3089">
        <v>2.5019980000000001E-3</v>
      </c>
      <c r="AA3089">
        <v>0.9950772</v>
      </c>
      <c r="AB3089">
        <v>35</v>
      </c>
      <c r="AC3089">
        <v>22.3295999999999</v>
      </c>
      <c r="AD3089">
        <v>-1.1106644967678001</v>
      </c>
      <c r="AE3089">
        <v>2.2160000000000002</v>
      </c>
      <c r="AF3089">
        <v>-2.2425952251338699</v>
      </c>
      <c r="AG3089">
        <v>-1.1106644967678001</v>
      </c>
      <c r="AH3089">
        <v>22.271828493347002</v>
      </c>
      <c r="AI3089">
        <v>92.840554233080894</v>
      </c>
      <c r="AJ3089">
        <v>95.749847249004503</v>
      </c>
      <c r="AK3089">
        <v>22.411986824135798</v>
      </c>
      <c r="AL3089">
        <v>90.014260152138505</v>
      </c>
      <c r="AM3089">
        <v>92.740836122665499</v>
      </c>
      <c r="AN3089">
        <v>0.99999998359499798</v>
      </c>
    </row>
    <row r="3090" spans="1:40" x14ac:dyDescent="0.3">
      <c r="A3090" t="str">
        <f>"20200111160515064"</f>
        <v>20200111160515064</v>
      </c>
      <c r="B3090" t="str">
        <f>"1578729915054447"</f>
        <v>1578729915054447</v>
      </c>
      <c r="C3090" t="s">
        <v>40</v>
      </c>
      <c r="D3090">
        <v>5.3270249999999999</v>
      </c>
      <c r="E3090">
        <v>0.48222179999999998</v>
      </c>
      <c r="F3090" t="s">
        <v>57</v>
      </c>
      <c r="G3090">
        <v>-263.52949999999998</v>
      </c>
      <c r="H3090" s="1">
        <v>2.9425690000000002E-7</v>
      </c>
      <c r="I3090">
        <v>215.69550000000001</v>
      </c>
      <c r="J3090">
        <v>-284.13409999999999</v>
      </c>
      <c r="K3090">
        <v>1.110662</v>
      </c>
      <c r="L3090">
        <v>213.6737</v>
      </c>
      <c r="M3090">
        <v>0.99991370000000002</v>
      </c>
      <c r="N3090">
        <v>0</v>
      </c>
      <c r="O3090">
        <v>-9.9039570000000006E-4</v>
      </c>
      <c r="P3090">
        <v>0.99882709999999997</v>
      </c>
      <c r="Q3090">
        <v>-1.309622E-2</v>
      </c>
      <c r="R3090">
        <v>4.6615879999999998E-2</v>
      </c>
      <c r="S3090">
        <v>2.987946</v>
      </c>
      <c r="T3090">
        <v>-0.15909609999999999</v>
      </c>
      <c r="U3090">
        <v>0.28961179999999997</v>
      </c>
      <c r="V3090">
        <v>-4.7605460000000002E-2</v>
      </c>
      <c r="W3090" s="1">
        <v>-7.1739549999999997E-5</v>
      </c>
      <c r="X3090">
        <v>0.99886620000000004</v>
      </c>
      <c r="Y3090">
        <v>-9.7322469999999994E-2</v>
      </c>
      <c r="Z3090">
        <v>2.6357210000000002E-3</v>
      </c>
      <c r="AA3090">
        <v>0.99524939999999995</v>
      </c>
      <c r="AB3090">
        <v>35</v>
      </c>
      <c r="AC3090">
        <v>20.604600000000001</v>
      </c>
      <c r="AD3090">
        <v>-1.1106617057431001</v>
      </c>
      <c r="AE3090">
        <v>2.02180000000001</v>
      </c>
      <c r="AF3090">
        <v>-2.0363470901451799</v>
      </c>
      <c r="AG3090">
        <v>-1.1106617057431001</v>
      </c>
      <c r="AH3090">
        <v>20.543465568855002</v>
      </c>
      <c r="AI3090">
        <v>93.079562725982399</v>
      </c>
      <c r="AJ3090">
        <v>95.660885313025204</v>
      </c>
      <c r="AK3090">
        <v>20.6739995277856</v>
      </c>
      <c r="AL3090">
        <v>90.004110373503295</v>
      </c>
      <c r="AM3090">
        <v>92.728623286978603</v>
      </c>
      <c r="AN3090">
        <v>0.99999998523540701</v>
      </c>
    </row>
    <row r="3091" spans="1:40" x14ac:dyDescent="0.3">
      <c r="A3091" t="str">
        <f>"20200111160515081"</f>
        <v>20200111160515081</v>
      </c>
      <c r="B3091" t="str">
        <f>"1578729915074942"</f>
        <v>1578729915074942</v>
      </c>
      <c r="C3091" t="s">
        <v>40</v>
      </c>
      <c r="D3091">
        <v>5.3157740000000002</v>
      </c>
      <c r="E3091">
        <v>0.48291089999999998</v>
      </c>
      <c r="F3091" t="s">
        <v>57</v>
      </c>
      <c r="G3091">
        <v>-263.45499999999998</v>
      </c>
      <c r="H3091" s="1">
        <v>2.5612419999999998E-7</v>
      </c>
      <c r="I3091">
        <v>215.66120000000001</v>
      </c>
      <c r="J3091">
        <v>-283.85219999999998</v>
      </c>
      <c r="K3091">
        <v>1.1106640000000001</v>
      </c>
      <c r="L3091">
        <v>213.67400000000001</v>
      </c>
      <c r="M3091">
        <v>0.99991410000000003</v>
      </c>
      <c r="N3091">
        <v>0</v>
      </c>
      <c r="O3091">
        <v>-4.9581539999999996E-4</v>
      </c>
      <c r="P3091">
        <v>0.99882300000000002</v>
      </c>
      <c r="Q3091">
        <v>-1.298502E-2</v>
      </c>
      <c r="R3091">
        <v>4.6734020000000001E-2</v>
      </c>
      <c r="S3091">
        <v>2.9879760000000002</v>
      </c>
      <c r="T3091">
        <v>-0.16048270000000001</v>
      </c>
      <c r="U3091">
        <v>0.28717039999999999</v>
      </c>
      <c r="V3091">
        <v>-4.722966E-2</v>
      </c>
      <c r="W3091" s="1">
        <v>3.8974099999999997E-5</v>
      </c>
      <c r="X3091">
        <v>0.99888410000000005</v>
      </c>
      <c r="Y3091">
        <v>-9.6023590000000006E-2</v>
      </c>
      <c r="Z3091">
        <v>2.5974739999999998E-3</v>
      </c>
      <c r="AA3091">
        <v>0.99537569999999997</v>
      </c>
      <c r="AB3091">
        <v>35</v>
      </c>
      <c r="AC3091">
        <v>20.397200000000002</v>
      </c>
      <c r="AD3091">
        <v>-1.11066374387579</v>
      </c>
      <c r="AE3091">
        <v>1.9872000000000001</v>
      </c>
      <c r="AF3091">
        <v>-1.9914647029461301</v>
      </c>
      <c r="AG3091">
        <v>-1.11066374387579</v>
      </c>
      <c r="AH3091">
        <v>20.336481484215099</v>
      </c>
      <c r="AI3091">
        <v>93.111213857181497</v>
      </c>
      <c r="AJ3091">
        <v>95.592898660518003</v>
      </c>
      <c r="AK3091">
        <v>20.4639190961278</v>
      </c>
      <c r="AL3091">
        <v>89.997766948656803</v>
      </c>
      <c r="AM3091">
        <v>92.707067121889295</v>
      </c>
      <c r="AN3091">
        <v>1.0000000437677501</v>
      </c>
    </row>
    <row r="3092" spans="1:40" x14ac:dyDescent="0.3">
      <c r="A3092" t="str">
        <f>"20200111160515098"</f>
        <v>20200111160515098</v>
      </c>
      <c r="B3092" t="str">
        <f>"1578729915094462"</f>
        <v>1578729915094462</v>
      </c>
      <c r="C3092" t="s">
        <v>40</v>
      </c>
      <c r="D3092">
        <v>5.4785690000000002</v>
      </c>
      <c r="E3092">
        <v>0.48308499999999999</v>
      </c>
      <c r="F3092" t="s">
        <v>57</v>
      </c>
      <c r="G3092">
        <v>-263.59870000000001</v>
      </c>
      <c r="H3092" s="1">
        <v>3.3584519999999999E-7</v>
      </c>
      <c r="I3092">
        <v>215.5864</v>
      </c>
      <c r="J3092">
        <v>-283.60270000000003</v>
      </c>
      <c r="K3092">
        <v>1.110663</v>
      </c>
      <c r="L3092">
        <v>213.67429999999999</v>
      </c>
      <c r="M3092">
        <v>0.99991430000000003</v>
      </c>
      <c r="N3092">
        <v>0</v>
      </c>
      <c r="O3092" s="1">
        <v>-5.8096110000000002E-5</v>
      </c>
      <c r="P3092">
        <v>0.9988148</v>
      </c>
      <c r="Q3092">
        <v>-1.266483E-2</v>
      </c>
      <c r="R3092">
        <v>4.699855E-2</v>
      </c>
      <c r="S3092">
        <v>2.9881899999999999</v>
      </c>
      <c r="T3092">
        <v>-0.1638665</v>
      </c>
      <c r="U3092">
        <v>0.28216550000000001</v>
      </c>
      <c r="V3092">
        <v>-4.7057229999999999E-2</v>
      </c>
      <c r="W3092">
        <v>3.5840669999999999E-4</v>
      </c>
      <c r="X3092">
        <v>0.99889209999999995</v>
      </c>
      <c r="Y3092">
        <v>-9.3926620000000002E-2</v>
      </c>
      <c r="Z3092">
        <v>2.5709209999999999E-3</v>
      </c>
      <c r="AA3092">
        <v>0.99557580000000001</v>
      </c>
      <c r="AB3092">
        <v>35</v>
      </c>
      <c r="AC3092">
        <v>20.004000000000001</v>
      </c>
      <c r="AD3092">
        <v>-1.1106626641548001</v>
      </c>
      <c r="AE3092">
        <v>1.9120999999999999</v>
      </c>
      <c r="AF3092">
        <v>-1.90743544549445</v>
      </c>
      <c r="AG3092">
        <v>-1.1106626641548001</v>
      </c>
      <c r="AH3092">
        <v>19.942967390591399</v>
      </c>
      <c r="AI3092">
        <v>93.173169576025003</v>
      </c>
      <c r="AJ3092">
        <v>95.463407973082695</v>
      </c>
      <c r="AK3092">
        <v>20.064740962057499</v>
      </c>
      <c r="AL3092">
        <v>89.979464807672599</v>
      </c>
      <c r="AM3092">
        <v>92.697176986131296</v>
      </c>
      <c r="AN3092">
        <v>0.99999996939652203</v>
      </c>
    </row>
    <row r="3093" spans="1:40" x14ac:dyDescent="0.3">
      <c r="A3093" t="str">
        <f>"20200111160515113"</f>
        <v>20200111160515113</v>
      </c>
      <c r="B3093" t="str">
        <f>"1578729915104222"</f>
        <v>1578729915104222</v>
      </c>
      <c r="C3093" t="s">
        <v>40</v>
      </c>
      <c r="D3093">
        <v>5.4540739999999897</v>
      </c>
      <c r="E3093">
        <v>0.48310340000000002</v>
      </c>
      <c r="F3093" t="s">
        <v>57</v>
      </c>
      <c r="G3093">
        <v>-262.77019999999999</v>
      </c>
      <c r="H3093" s="1">
        <v>-1.071134E-7</v>
      </c>
      <c r="I3093">
        <v>215.6343</v>
      </c>
      <c r="J3093">
        <v>-283.3741</v>
      </c>
      <c r="K3093">
        <v>1.110665</v>
      </c>
      <c r="L3093">
        <v>213.6747</v>
      </c>
      <c r="M3093">
        <v>0.99991419999999998</v>
      </c>
      <c r="N3093">
        <v>0</v>
      </c>
      <c r="O3093">
        <v>3.4308699999999897E-4</v>
      </c>
      <c r="P3093">
        <v>0.99880639999999998</v>
      </c>
      <c r="Q3093">
        <v>-1.2597799999999999E-2</v>
      </c>
      <c r="R3093">
        <v>4.719773E-2</v>
      </c>
      <c r="S3093">
        <v>2.9883419999999998</v>
      </c>
      <c r="T3093">
        <v>-0.1593204</v>
      </c>
      <c r="U3093">
        <v>0.28115839999999998</v>
      </c>
      <c r="V3093">
        <v>-4.6855760000000003E-2</v>
      </c>
      <c r="W3093">
        <v>4.2516409999999999E-4</v>
      </c>
      <c r="X3093">
        <v>0.9989015</v>
      </c>
      <c r="Y3093">
        <v>-9.3199080000000004E-2</v>
      </c>
      <c r="Z3093">
        <v>2.4589450000000001E-3</v>
      </c>
      <c r="AA3093">
        <v>0.99564450000000004</v>
      </c>
      <c r="AB3093">
        <v>35</v>
      </c>
      <c r="AC3093">
        <v>20.603899999999999</v>
      </c>
      <c r="AD3093">
        <v>-1.1106651071133999</v>
      </c>
      <c r="AE3093">
        <v>1.95959999999999</v>
      </c>
      <c r="AF3093">
        <v>-1.9469236712944</v>
      </c>
      <c r="AG3093">
        <v>-1.1106651071133999</v>
      </c>
      <c r="AH3093">
        <v>20.545405279013199</v>
      </c>
      <c r="AI3093">
        <v>93.080569681773596</v>
      </c>
      <c r="AJ3093">
        <v>95.413297702517198</v>
      </c>
      <c r="AK3093">
        <v>20.6673115532938</v>
      </c>
      <c r="AL3093">
        <v>89.975639888904993</v>
      </c>
      <c r="AM3093">
        <v>92.685621047158904</v>
      </c>
      <c r="AN3093">
        <v>0.999999924855967</v>
      </c>
    </row>
    <row r="3094" spans="1:40" x14ac:dyDescent="0.3">
      <c r="A3094" t="str">
        <f>"20200111160515127"</f>
        <v>20200111160515127</v>
      </c>
      <c r="B3094" t="str">
        <f>"1578729915124718"</f>
        <v>1578729915124718</v>
      </c>
      <c r="C3094" t="s">
        <v>40</v>
      </c>
      <c r="D3094">
        <v>5.4009210000000003</v>
      </c>
      <c r="E3094">
        <v>0.48348469999999999</v>
      </c>
      <c r="F3094" t="s">
        <v>57</v>
      </c>
      <c r="G3094">
        <v>-262.3836</v>
      </c>
      <c r="H3094" s="1">
        <v>-3.1364549999999999E-7</v>
      </c>
      <c r="I3094">
        <v>215.65270000000001</v>
      </c>
      <c r="J3094">
        <v>-283.15289999999999</v>
      </c>
      <c r="K3094">
        <v>1.110663</v>
      </c>
      <c r="L3094">
        <v>213.67519999999999</v>
      </c>
      <c r="M3094">
        <v>0.99991399999999997</v>
      </c>
      <c r="N3094">
        <v>0</v>
      </c>
      <c r="O3094">
        <v>7.3151520000000003E-4</v>
      </c>
      <c r="P3094">
        <v>0.9987994</v>
      </c>
      <c r="Q3094">
        <v>-1.259734E-2</v>
      </c>
      <c r="R3094">
        <v>4.7340670000000001E-2</v>
      </c>
      <c r="S3094">
        <v>2.988251</v>
      </c>
      <c r="T3094">
        <v>-0.15811639999999999</v>
      </c>
      <c r="U3094">
        <v>0.28160099999999999</v>
      </c>
      <c r="V3094">
        <v>-4.6610930000000002E-2</v>
      </c>
      <c r="W3094">
        <v>4.2516389999999998E-4</v>
      </c>
      <c r="X3094">
        <v>0.99891300000000005</v>
      </c>
      <c r="Y3094">
        <v>-9.2964140000000001E-2</v>
      </c>
      <c r="Z3094">
        <v>2.4137540000000002E-3</v>
      </c>
      <c r="AA3094">
        <v>0.99566650000000001</v>
      </c>
      <c r="AB3094">
        <v>35</v>
      </c>
      <c r="AC3094">
        <v>20.769299999999902</v>
      </c>
      <c r="AD3094">
        <v>-1.1106633136455</v>
      </c>
      <c r="AE3094">
        <v>1.97750000000002</v>
      </c>
      <c r="AF3094">
        <v>-1.95675962779322</v>
      </c>
      <c r="AG3094">
        <v>-1.1106633136455</v>
      </c>
      <c r="AH3094">
        <v>20.7120429436786</v>
      </c>
      <c r="AI3094">
        <v>93.055909594956205</v>
      </c>
      <c r="AJ3094">
        <v>95.396970646061902</v>
      </c>
      <c r="AK3094">
        <v>20.8338955583929</v>
      </c>
      <c r="AL3094">
        <v>89.975639901477706</v>
      </c>
      <c r="AM3094">
        <v>92.671577853440795</v>
      </c>
      <c r="AN3094">
        <v>0.99999997056440204</v>
      </c>
    </row>
    <row r="3095" spans="1:40" x14ac:dyDescent="0.3">
      <c r="A3095" t="str">
        <f>"20200111160515148"</f>
        <v>20200111160515148</v>
      </c>
      <c r="B3095" t="str">
        <f>"1578729915144238"</f>
        <v>1578729915144238</v>
      </c>
      <c r="C3095" t="s">
        <v>40</v>
      </c>
      <c r="D3095">
        <v>5.4262360000000003</v>
      </c>
      <c r="E3095">
        <v>0.48375370000000001</v>
      </c>
      <c r="F3095" t="s">
        <v>57</v>
      </c>
      <c r="G3095">
        <v>-262.38569999999999</v>
      </c>
      <c r="H3095" s="1">
        <v>-3.1094409999999899E-7</v>
      </c>
      <c r="I3095">
        <v>215.61600000000001</v>
      </c>
      <c r="J3095">
        <v>-282.81569999999999</v>
      </c>
      <c r="K3095">
        <v>1.1106590000000001</v>
      </c>
      <c r="L3095">
        <v>213.67599999999999</v>
      </c>
      <c r="M3095">
        <v>0.99991350000000001</v>
      </c>
      <c r="N3095">
        <v>0</v>
      </c>
      <c r="O3095">
        <v>1.3236039999999999E-3</v>
      </c>
      <c r="P3095">
        <v>0.9987781</v>
      </c>
      <c r="Q3095">
        <v>-1.249801E-2</v>
      </c>
      <c r="R3095">
        <v>4.7814669999999997E-2</v>
      </c>
      <c r="S3095">
        <v>2.9883120000000001</v>
      </c>
      <c r="T3095">
        <v>-0.15981979999999901</v>
      </c>
      <c r="U3095">
        <v>0.27928160000000002</v>
      </c>
      <c r="V3095">
        <v>-4.6493270000000003E-2</v>
      </c>
      <c r="W3095">
        <v>5.2291540000000002E-4</v>
      </c>
      <c r="X3095">
        <v>0.99891850000000004</v>
      </c>
      <c r="Y3095">
        <v>-9.1606549999999995E-2</v>
      </c>
      <c r="Z3095">
        <v>2.3719850000000001E-3</v>
      </c>
      <c r="AA3095">
        <v>0.99579240000000002</v>
      </c>
      <c r="AB3095">
        <v>35</v>
      </c>
      <c r="AC3095">
        <v>20.43</v>
      </c>
      <c r="AD3095">
        <v>-1.1106593109441001</v>
      </c>
      <c r="AE3095">
        <v>1.93999999999999</v>
      </c>
      <c r="AF3095">
        <v>-1.90736798296905</v>
      </c>
      <c r="AG3095">
        <v>-1.1106593109441001</v>
      </c>
      <c r="AH3095">
        <v>20.372876981278001</v>
      </c>
      <c r="AI3095">
        <v>93.106920265458101</v>
      </c>
      <c r="AJ3095">
        <v>95.348606553214694</v>
      </c>
      <c r="AK3095">
        <v>20.492089527955098</v>
      </c>
      <c r="AL3095">
        <v>89.970039154179403</v>
      </c>
      <c r="AM3095">
        <v>92.664829070075697</v>
      </c>
      <c r="AN3095">
        <v>1.00000003361902</v>
      </c>
    </row>
    <row r="3096" spans="1:40" x14ac:dyDescent="0.3">
      <c r="A3096" t="str">
        <f>"20200111160515164"</f>
        <v>20200111160515164</v>
      </c>
      <c r="B3096" t="str">
        <f>"1578729915154975"</f>
        <v>1578729915154975</v>
      </c>
      <c r="C3096" t="s">
        <v>40</v>
      </c>
      <c r="D3096">
        <v>5.3785530000000001</v>
      </c>
      <c r="E3096">
        <v>0.48393829999999999</v>
      </c>
      <c r="F3096" t="s">
        <v>57</v>
      </c>
      <c r="G3096">
        <v>-262.27929999999998</v>
      </c>
      <c r="H3096" s="1">
        <v>-3.6644710000000002E-7</v>
      </c>
      <c r="I3096">
        <v>215.5907</v>
      </c>
      <c r="J3096">
        <v>-282.5643</v>
      </c>
      <c r="K3096">
        <v>1.1106579999999999</v>
      </c>
      <c r="L3096">
        <v>213.67679999999999</v>
      </c>
      <c r="M3096">
        <v>0.99991269999999999</v>
      </c>
      <c r="N3096">
        <v>0</v>
      </c>
      <c r="O3096">
        <v>1.7647800000000001E-3</v>
      </c>
      <c r="P3096">
        <v>0.99874130000000005</v>
      </c>
      <c r="Q3096">
        <v>-1.234495E-2</v>
      </c>
      <c r="R3096">
        <v>4.8619950000000002E-2</v>
      </c>
      <c r="S3096">
        <v>2.9883120000000001</v>
      </c>
      <c r="T3096">
        <v>-0.1616156</v>
      </c>
      <c r="U3096">
        <v>0.27861019999999997</v>
      </c>
      <c r="V3096">
        <v>-4.6858129999999998E-2</v>
      </c>
      <c r="W3096">
        <v>6.745497E-4</v>
      </c>
      <c r="X3096">
        <v>0.99890129999999999</v>
      </c>
      <c r="Y3096">
        <v>-9.0944070000000002E-2</v>
      </c>
      <c r="Z3096">
        <v>2.356969E-3</v>
      </c>
      <c r="AA3096">
        <v>0.99585319999999999</v>
      </c>
      <c r="AB3096">
        <v>35</v>
      </c>
      <c r="AC3096">
        <v>20.285</v>
      </c>
      <c r="AD3096">
        <v>-1.1106583664470999</v>
      </c>
      <c r="AE3096">
        <v>1.9139000000000099</v>
      </c>
      <c r="AF3096">
        <v>-1.87253133657066</v>
      </c>
      <c r="AG3096">
        <v>-1.1106583664470999</v>
      </c>
      <c r="AH3096">
        <v>20.228239998209201</v>
      </c>
      <c r="AI3096">
        <v>93.129392327604805</v>
      </c>
      <c r="AJ3096">
        <v>95.288806620440198</v>
      </c>
      <c r="AK3096">
        <v>20.3450639969146</v>
      </c>
      <c r="AL3096">
        <v>89.961351145153401</v>
      </c>
      <c r="AM3096">
        <v>92.685757225974598</v>
      </c>
      <c r="AN3096">
        <v>0.99999997325304102</v>
      </c>
    </row>
    <row r="3097" spans="1:40" x14ac:dyDescent="0.3">
      <c r="A3097" t="str">
        <f>"20200111160515179"</f>
        <v>20200111160515179</v>
      </c>
      <c r="B3097" t="str">
        <f>"1578729915174494"</f>
        <v>1578729915174494</v>
      </c>
      <c r="C3097" t="s">
        <v>40</v>
      </c>
      <c r="D3097">
        <v>5.7699089999999904</v>
      </c>
      <c r="E3097">
        <v>0.48400559999999998</v>
      </c>
      <c r="F3097" t="s">
        <v>57</v>
      </c>
      <c r="G3097">
        <v>-262.23809999999997</v>
      </c>
      <c r="H3097" s="1">
        <v>-3.8786679999999998E-7</v>
      </c>
      <c r="I3097">
        <v>215.5795</v>
      </c>
      <c r="J3097">
        <v>-282.33679999999998</v>
      </c>
      <c r="K3097">
        <v>1.110654</v>
      </c>
      <c r="L3097">
        <v>213.67760000000001</v>
      </c>
      <c r="M3097">
        <v>0.99991200000000002</v>
      </c>
      <c r="N3097">
        <v>0</v>
      </c>
      <c r="O3097">
        <v>2.164235E-3</v>
      </c>
      <c r="P3097">
        <v>0.99872459999999996</v>
      </c>
      <c r="Q3097">
        <v>-1.229064E-2</v>
      </c>
      <c r="R3097">
        <v>4.8975940000000003E-2</v>
      </c>
      <c r="S3097">
        <v>2.9881899999999999</v>
      </c>
      <c r="T3097">
        <v>-0.16328010000000001</v>
      </c>
      <c r="U3097">
        <v>0.27972409999999998</v>
      </c>
      <c r="V3097">
        <v>-4.6815259999999997E-2</v>
      </c>
      <c r="W3097">
        <v>7.2747860000000003E-4</v>
      </c>
      <c r="X3097">
        <v>0.99890330000000005</v>
      </c>
      <c r="Y3097">
        <v>-9.0915979999999993E-2</v>
      </c>
      <c r="Z3097">
        <v>2.3587349999999998E-3</v>
      </c>
      <c r="AA3097">
        <v>0.99585570000000001</v>
      </c>
      <c r="AB3097">
        <v>35</v>
      </c>
      <c r="AC3097">
        <v>20.098700000000001</v>
      </c>
      <c r="AD3097">
        <v>-1.1106543878668</v>
      </c>
      <c r="AE3097">
        <v>1.9018999999999799</v>
      </c>
      <c r="AF3097">
        <v>-1.8527859269924301</v>
      </c>
      <c r="AG3097">
        <v>-1.1106543878668</v>
      </c>
      <c r="AH3097">
        <v>20.042110630834902</v>
      </c>
      <c r="AI3097">
        <v>93.158421151206795</v>
      </c>
      <c r="AJ3097">
        <v>95.281676728914604</v>
      </c>
      <c r="AK3097">
        <v>20.158188594196002</v>
      </c>
      <c r="AL3097">
        <v>89.958318542868795</v>
      </c>
      <c r="AM3097">
        <v>92.683298283788702</v>
      </c>
      <c r="AN3097">
        <v>1.0000000002724301</v>
      </c>
    </row>
    <row r="3098" spans="1:40" x14ac:dyDescent="0.3">
      <c r="A3098" t="str">
        <f>"20200111160515194"</f>
        <v>20200111160515194</v>
      </c>
      <c r="B3098" t="str">
        <f>"1578729915184254"</f>
        <v>1578729915184254</v>
      </c>
      <c r="C3098" t="s">
        <v>40</v>
      </c>
      <c r="D3098">
        <v>6.3411869999999997</v>
      </c>
      <c r="E3098">
        <v>0.47030280000000002</v>
      </c>
      <c r="F3098" t="s">
        <v>57</v>
      </c>
      <c r="G3098">
        <v>-262.19839999999999</v>
      </c>
      <c r="H3098" s="1">
        <v>-4.0839740000000002E-7</v>
      </c>
      <c r="I3098">
        <v>215.56559999999999</v>
      </c>
      <c r="J3098">
        <v>-282.11250000000001</v>
      </c>
      <c r="K3098">
        <v>1.1106529999999999</v>
      </c>
      <c r="L3098">
        <v>213.67850000000001</v>
      </c>
      <c r="M3098">
        <v>0.99991099999999999</v>
      </c>
      <c r="N3098">
        <v>0</v>
      </c>
      <c r="O3098">
        <v>2.558266E-3</v>
      </c>
      <c r="P3098">
        <v>0.99869430000000003</v>
      </c>
      <c r="Q3098">
        <v>-1.2412110000000001E-2</v>
      </c>
      <c r="R3098">
        <v>4.9555979999999999E-2</v>
      </c>
      <c r="S3098">
        <v>2.9880680000000002</v>
      </c>
      <c r="T3098">
        <v>-0.16479549999999901</v>
      </c>
      <c r="U3098">
        <v>0.2801361</v>
      </c>
      <c r="V3098">
        <v>-4.7001979999999999E-2</v>
      </c>
      <c r="W3098">
        <v>6.0445469999999995E-4</v>
      </c>
      <c r="X3098">
        <v>0.99889459999999997</v>
      </c>
      <c r="Y3098">
        <v>-9.0661969999999995E-2</v>
      </c>
      <c r="Z3098">
        <v>2.352023E-3</v>
      </c>
      <c r="AA3098">
        <v>0.99587890000000001</v>
      </c>
      <c r="AB3098">
        <v>35</v>
      </c>
      <c r="AC3098">
        <v>19.914100000000001</v>
      </c>
      <c r="AD3098">
        <v>-1.1106534083974</v>
      </c>
      <c r="AE3098">
        <v>1.88709999999997</v>
      </c>
      <c r="AF3098">
        <v>-1.8305007206016699</v>
      </c>
      <c r="AG3098">
        <v>-1.1106534083974</v>
      </c>
      <c r="AH3098">
        <v>19.8576446793335</v>
      </c>
      <c r="AI3098">
        <v>93.187774732273894</v>
      </c>
      <c r="AJ3098">
        <v>95.266707355884805</v>
      </c>
      <c r="AK3098">
        <v>19.972739824379801</v>
      </c>
      <c r="AL3098">
        <v>89.965367294213493</v>
      </c>
      <c r="AM3098">
        <v>92.694008160097596</v>
      </c>
      <c r="AN3098">
        <v>0.99999998669928203</v>
      </c>
    </row>
    <row r="3099" spans="1:40" x14ac:dyDescent="0.3">
      <c r="A3099" t="str">
        <f>"20200111160515210"</f>
        <v>20200111160515210</v>
      </c>
      <c r="B3099" t="str">
        <f>"1578729915204751"</f>
        <v>1578729915204751</v>
      </c>
      <c r="C3099" t="s">
        <v>40</v>
      </c>
      <c r="D3099">
        <v>5.4790199999999896</v>
      </c>
      <c r="E3099">
        <v>0.47662729999999998</v>
      </c>
      <c r="F3099" t="s">
        <v>69</v>
      </c>
      <c r="G3099">
        <v>-157.25</v>
      </c>
      <c r="H3099">
        <v>2.0634220000000001</v>
      </c>
      <c r="I3099">
        <v>229.69110000000001</v>
      </c>
      <c r="J3099">
        <v>-281.84829999999999</v>
      </c>
      <c r="K3099">
        <v>1.110654</v>
      </c>
      <c r="L3099">
        <v>213.67959999999999</v>
      </c>
      <c r="M3099">
        <v>0.99990979999999996</v>
      </c>
      <c r="N3099">
        <v>0</v>
      </c>
      <c r="O3099">
        <v>3.0220310000000001E-3</v>
      </c>
      <c r="P3099">
        <v>0.99866529999999998</v>
      </c>
      <c r="Q3099">
        <v>-1.2631160000000001E-2</v>
      </c>
      <c r="R3099">
        <v>5.008282E-2</v>
      </c>
      <c r="S3099">
        <v>2.9851990000000002</v>
      </c>
      <c r="T3099">
        <v>2.2780060000000001E-2</v>
      </c>
      <c r="U3099">
        <v>0.3828278</v>
      </c>
      <c r="V3099">
        <v>-4.7065339999999997E-2</v>
      </c>
      <c r="W3099">
        <v>3.8463290000000002E-4</v>
      </c>
      <c r="X3099">
        <v>0.99889170000000005</v>
      </c>
      <c r="Y3099">
        <v>-0.1241985</v>
      </c>
      <c r="Z3099">
        <v>-4.4897250000000002E-4</v>
      </c>
      <c r="AA3099">
        <v>0.99225730000000001</v>
      </c>
      <c r="AB3099">
        <v>35</v>
      </c>
      <c r="AC3099">
        <v>124.59829999999999</v>
      </c>
      <c r="AD3099">
        <v>0.95276799999999995</v>
      </c>
      <c r="AE3099">
        <v>16.011500000000002</v>
      </c>
      <c r="AF3099">
        <v>-15.6339553986805</v>
      </c>
      <c r="AG3099">
        <v>0.95276799999999995</v>
      </c>
      <c r="AH3099">
        <v>124.638952806284</v>
      </c>
      <c r="AI3099">
        <v>89.565431993336006</v>
      </c>
      <c r="AJ3099">
        <v>97.149495677002307</v>
      </c>
      <c r="AK3099">
        <v>125.61925363938801</v>
      </c>
      <c r="AL3099">
        <v>89.977962156770701</v>
      </c>
      <c r="AM3099">
        <v>92.697642218665493</v>
      </c>
      <c r="AN3099">
        <v>0.99999996125033597</v>
      </c>
    </row>
    <row r="3100" spans="1:40" x14ac:dyDescent="0.3">
      <c r="A3100" t="str">
        <f>"20200111160515224"</f>
        <v>20200111160515224</v>
      </c>
      <c r="B3100" t="str">
        <f>"1578729915214510"</f>
        <v>1578729915214510</v>
      </c>
      <c r="C3100" t="s">
        <v>40</v>
      </c>
      <c r="D3100">
        <v>5.8859899999999996</v>
      </c>
      <c r="E3100">
        <v>0.47736030000000002</v>
      </c>
      <c r="F3100" t="s">
        <v>69</v>
      </c>
      <c r="G3100">
        <v>-157.25</v>
      </c>
      <c r="H3100">
        <v>0.52996350000000003</v>
      </c>
      <c r="I3100">
        <v>227.6721</v>
      </c>
      <c r="J3100">
        <v>-281.63409999999999</v>
      </c>
      <c r="K3100">
        <v>1.110652</v>
      </c>
      <c r="L3100">
        <v>213.6806</v>
      </c>
      <c r="M3100">
        <v>0.99990860000000004</v>
      </c>
      <c r="N3100">
        <v>0</v>
      </c>
      <c r="O3100">
        <v>3.39836E-3</v>
      </c>
      <c r="P3100">
        <v>0.99865559999999998</v>
      </c>
      <c r="Q3100">
        <v>-1.26181E-2</v>
      </c>
      <c r="R3100">
        <v>5.0279259999999999E-2</v>
      </c>
      <c r="S3100">
        <v>2.9870610000000002</v>
      </c>
      <c r="T3100">
        <v>-1.3919829999999999E-2</v>
      </c>
      <c r="U3100">
        <v>0.3354492</v>
      </c>
      <c r="V3100">
        <v>-4.6885290000000003E-2</v>
      </c>
      <c r="W3100">
        <v>3.9703070000000001E-4</v>
      </c>
      <c r="X3100">
        <v>0.99890020000000002</v>
      </c>
      <c r="Y3100">
        <v>-0.1082201</v>
      </c>
      <c r="Z3100">
        <v>2.3557640000000001E-4</v>
      </c>
      <c r="AA3100">
        <v>0.99412690000000004</v>
      </c>
      <c r="AB3100">
        <v>35</v>
      </c>
      <c r="AC3100">
        <v>124.3841</v>
      </c>
      <c r="AD3100">
        <v>-0.58068849999999905</v>
      </c>
      <c r="AE3100">
        <v>13.9915</v>
      </c>
      <c r="AF3100">
        <v>-13.568389018143399</v>
      </c>
      <c r="AG3100">
        <v>-0.58068849999999905</v>
      </c>
      <c r="AH3100">
        <v>124.428255826463</v>
      </c>
      <c r="AI3100">
        <v>90.265813394098103</v>
      </c>
      <c r="AJ3100">
        <v>96.223279583891298</v>
      </c>
      <c r="AK3100">
        <v>125.16720508063401</v>
      </c>
      <c r="AL3100">
        <v>89.977251815928</v>
      </c>
      <c r="AM3100">
        <v>92.687314623371606</v>
      </c>
      <c r="AN3100">
        <v>0.99999999880589996</v>
      </c>
    </row>
    <row r="3101" spans="1:40" x14ac:dyDescent="0.3">
      <c r="A3101" t="str">
        <f>"20200111160515236"</f>
        <v>20200111160515236</v>
      </c>
      <c r="B3101" t="str">
        <f>"1578729915235006"</f>
        <v>1578729915235006</v>
      </c>
      <c r="C3101" t="s">
        <v>40</v>
      </c>
      <c r="D3101">
        <v>5.3388519999999904</v>
      </c>
      <c r="E3101">
        <v>0.47839559999999998</v>
      </c>
      <c r="F3101" t="s">
        <v>44</v>
      </c>
      <c r="G3101">
        <v>-146.35290000000001</v>
      </c>
      <c r="H3101">
        <v>-0.05</v>
      </c>
      <c r="I3101">
        <v>228.667</v>
      </c>
      <c r="J3101">
        <v>-281.42989999999998</v>
      </c>
      <c r="K3101">
        <v>1.110649</v>
      </c>
      <c r="L3101">
        <v>213.68170000000001</v>
      </c>
      <c r="M3101">
        <v>0.99990730000000005</v>
      </c>
      <c r="N3101">
        <v>0</v>
      </c>
      <c r="O3101">
        <v>3.7569869999999998E-3</v>
      </c>
      <c r="P3101">
        <v>0.99863950000000001</v>
      </c>
      <c r="Q3101">
        <v>-1.310074E-2</v>
      </c>
      <c r="R3101">
        <v>5.0473829999999997E-2</v>
      </c>
      <c r="S3101">
        <v>2.9870299999999999</v>
      </c>
      <c r="T3101">
        <v>-2.562737E-2</v>
      </c>
      <c r="U3101">
        <v>0.33090209999999998</v>
      </c>
      <c r="V3101">
        <v>-4.6720959999999999E-2</v>
      </c>
      <c r="W3101" s="1">
        <v>-8.6374460000000002E-5</v>
      </c>
      <c r="X3101">
        <v>0.99890800000000002</v>
      </c>
      <c r="Y3101">
        <v>-0.10636710000000001</v>
      </c>
      <c r="Z3101">
        <v>4.2275590000000001E-4</v>
      </c>
      <c r="AA3101">
        <v>0.99432679999999996</v>
      </c>
      <c r="AB3101">
        <v>35</v>
      </c>
      <c r="AC3101">
        <v>135.076999999999</v>
      </c>
      <c r="AD3101">
        <v>-1.160649</v>
      </c>
      <c r="AE3101">
        <v>14.985299999999899</v>
      </c>
      <c r="AF3101">
        <v>-14.476612395833699</v>
      </c>
      <c r="AG3101">
        <v>-1.160649</v>
      </c>
      <c r="AH3101">
        <v>135.12249598474199</v>
      </c>
      <c r="AI3101">
        <v>90.4893358392994</v>
      </c>
      <c r="AJ3101">
        <v>96.115169078557997</v>
      </c>
      <c r="AK3101">
        <v>135.90072970262901</v>
      </c>
      <c r="AL3101">
        <v>90.004948891902998</v>
      </c>
      <c r="AM3101">
        <v>92.677888609024606</v>
      </c>
      <c r="AN3101">
        <v>1.00000002401393</v>
      </c>
    </row>
    <row r="3102" spans="1:40" x14ac:dyDescent="0.3">
      <c r="A3102" t="str">
        <f>"20200111160515260"</f>
        <v>20200111160515260</v>
      </c>
      <c r="B3102" t="str">
        <f>"1578729915254526"</f>
        <v>1578729915254526</v>
      </c>
      <c r="C3102" t="s">
        <v>40</v>
      </c>
      <c r="D3102">
        <v>5.6349239999999998</v>
      </c>
      <c r="E3102">
        <v>0.4946644</v>
      </c>
      <c r="F3102" t="s">
        <v>57</v>
      </c>
      <c r="G3102">
        <v>-232.9068</v>
      </c>
      <c r="H3102" s="1">
        <v>-1.7987969999999999E-7</v>
      </c>
      <c r="I3102">
        <v>218.96109999999999</v>
      </c>
      <c r="J3102">
        <v>-281.06779999999998</v>
      </c>
      <c r="K3102">
        <v>1.110646</v>
      </c>
      <c r="L3102">
        <v>213.68369999999999</v>
      </c>
      <c r="M3102">
        <v>0.99990469999999998</v>
      </c>
      <c r="N3102">
        <v>0</v>
      </c>
      <c r="O3102">
        <v>4.3932429999999998E-3</v>
      </c>
      <c r="P3102">
        <v>0.99860899999999997</v>
      </c>
      <c r="Q3102">
        <v>-1.3312600000000001E-2</v>
      </c>
      <c r="R3102">
        <v>5.1017380000000001E-2</v>
      </c>
      <c r="S3102">
        <v>2.986755</v>
      </c>
      <c r="T3102">
        <v>-6.8364019999999998E-2</v>
      </c>
      <c r="U3102">
        <v>0.32496639999999999</v>
      </c>
      <c r="V3102">
        <v>-4.6629030000000002E-2</v>
      </c>
      <c r="W3102">
        <v>-2.9980030000000002E-4</v>
      </c>
      <c r="X3102">
        <v>0.99891220000000003</v>
      </c>
      <c r="Y3102">
        <v>-0.1037695</v>
      </c>
      <c r="Z3102">
        <v>1.083695E-3</v>
      </c>
      <c r="AA3102">
        <v>0.99460079999999995</v>
      </c>
      <c r="AB3102">
        <v>35</v>
      </c>
      <c r="AC3102">
        <v>48.160999999999902</v>
      </c>
      <c r="AD3102">
        <v>-1.1106461798797</v>
      </c>
      <c r="AE3102">
        <v>5.2774000000000001</v>
      </c>
      <c r="AF3102">
        <v>-5.0630872858661302</v>
      </c>
      <c r="AG3102">
        <v>-1.1106461798797</v>
      </c>
      <c r="AH3102">
        <v>48.158414553909601</v>
      </c>
      <c r="AI3102">
        <v>91.313902218564294</v>
      </c>
      <c r="AJ3102">
        <v>96.001687378813003</v>
      </c>
      <c r="AK3102">
        <v>48.436569657103</v>
      </c>
      <c r="AL3102">
        <v>90.017177292662495</v>
      </c>
      <c r="AM3102">
        <v>92.672615916462803</v>
      </c>
      <c r="AN3102">
        <v>0.99999996981389905</v>
      </c>
    </row>
    <row r="3103" spans="1:40" x14ac:dyDescent="0.3">
      <c r="A3103" t="str">
        <f>"20200111160515283"</f>
        <v>20200111160515283</v>
      </c>
      <c r="B3103" t="str">
        <f>"1578729915274046"</f>
        <v>1578729915274046</v>
      </c>
      <c r="C3103" t="s">
        <v>40</v>
      </c>
      <c r="D3103">
        <v>5.4528379999999999</v>
      </c>
      <c r="E3103">
        <v>0.49139349999999998</v>
      </c>
      <c r="F3103" t="s">
        <v>57</v>
      </c>
      <c r="G3103">
        <v>-269.91129999999998</v>
      </c>
      <c r="H3103" s="1">
        <v>3.744458E-6</v>
      </c>
      <c r="I3103">
        <v>214.4572</v>
      </c>
      <c r="J3103">
        <v>-280.71289999999999</v>
      </c>
      <c r="K3103">
        <v>1.1106510000000001</v>
      </c>
      <c r="L3103">
        <v>213.6859</v>
      </c>
      <c r="M3103">
        <v>0.99990179999999995</v>
      </c>
      <c r="N3103">
        <v>0</v>
      </c>
      <c r="O3103">
        <v>5.0166830000000001E-3</v>
      </c>
      <c r="P3103">
        <v>0.99858610000000003</v>
      </c>
      <c r="Q3103">
        <v>-1.363873E-2</v>
      </c>
      <c r="R3103">
        <v>5.1380179999999998E-2</v>
      </c>
      <c r="S3103">
        <v>2.9896240000000001</v>
      </c>
      <c r="T3103">
        <v>-0.29761969999999999</v>
      </c>
      <c r="U3103">
        <v>0.2072601</v>
      </c>
      <c r="V3103">
        <v>-4.6368960000000001E-2</v>
      </c>
      <c r="W3103">
        <v>-6.2703070000000001E-4</v>
      </c>
      <c r="X3103">
        <v>0.99892420000000004</v>
      </c>
      <c r="Y3103">
        <v>-6.3865050000000007E-2</v>
      </c>
      <c r="Z3103">
        <v>2.6696900000000002E-3</v>
      </c>
      <c r="AA3103">
        <v>0.99795500000000004</v>
      </c>
      <c r="AB3103">
        <v>35</v>
      </c>
      <c r="AC3103">
        <v>10.801600000000001</v>
      </c>
      <c r="AD3103">
        <v>-1.1106472555419999</v>
      </c>
      <c r="AE3103">
        <v>0.77129999999999599</v>
      </c>
      <c r="AF3103">
        <v>-0.70963294299655699</v>
      </c>
      <c r="AG3103">
        <v>-1.1106472555419999</v>
      </c>
      <c r="AH3103">
        <v>10.6928574258833</v>
      </c>
      <c r="AI3103">
        <v>95.917018756306405</v>
      </c>
      <c r="AJ3103">
        <v>93.796874530786397</v>
      </c>
      <c r="AK3103">
        <v>10.773779103466801</v>
      </c>
      <c r="AL3103">
        <v>90.035926214533006</v>
      </c>
      <c r="AM3103">
        <v>92.657699148548303</v>
      </c>
      <c r="AN3103">
        <v>1.0000000154823001</v>
      </c>
    </row>
    <row r="3104" spans="1:40" x14ac:dyDescent="0.3">
      <c r="A3104" t="str">
        <f>"20200111160515305"</f>
        <v>20200111160515305</v>
      </c>
      <c r="B3104" t="str">
        <f>"1578729915294542"</f>
        <v>1578729915294542</v>
      </c>
      <c r="C3104" t="s">
        <v>40</v>
      </c>
      <c r="D3104">
        <v>5.9322220000000003</v>
      </c>
      <c r="E3104">
        <v>0.49112499999999998</v>
      </c>
      <c r="F3104" t="s">
        <v>57</v>
      </c>
      <c r="G3104">
        <v>-267.56259999999997</v>
      </c>
      <c r="H3104" s="1">
        <v>2.4836350000000002E-6</v>
      </c>
      <c r="I3104">
        <v>214.70820000000001</v>
      </c>
      <c r="J3104">
        <v>-280.3852</v>
      </c>
      <c r="K3104">
        <v>1.110641</v>
      </c>
      <c r="L3104">
        <v>213.68819999999999</v>
      </c>
      <c r="M3104">
        <v>0.99989890000000003</v>
      </c>
      <c r="N3104">
        <v>0</v>
      </c>
      <c r="O3104">
        <v>5.5920240000000001E-3</v>
      </c>
      <c r="P3104">
        <v>0.99855280000000002</v>
      </c>
      <c r="Q3104">
        <v>-1.367547E-2</v>
      </c>
      <c r="R3104">
        <v>5.2016390000000003E-2</v>
      </c>
      <c r="S3104">
        <v>2.988861</v>
      </c>
      <c r="T3104">
        <v>-0.25243339999999997</v>
      </c>
      <c r="U3104">
        <v>0.23234560000000001</v>
      </c>
      <c r="V3104">
        <v>-4.6430390000000002E-2</v>
      </c>
      <c r="W3104">
        <v>-6.6527100000000005E-4</v>
      </c>
      <c r="X3104">
        <v>0.99892130000000001</v>
      </c>
      <c r="Y3104">
        <v>-7.1692560000000002E-2</v>
      </c>
      <c r="Z3104">
        <v>2.5468420000000001E-3</v>
      </c>
      <c r="AA3104">
        <v>0.99742350000000002</v>
      </c>
      <c r="AB3104">
        <v>35</v>
      </c>
      <c r="AC3104">
        <v>12.8226</v>
      </c>
      <c r="AD3104">
        <v>-1.1106385163650001</v>
      </c>
      <c r="AE3104">
        <v>1.02000000000001</v>
      </c>
      <c r="AF3104">
        <v>-0.94125646668254803</v>
      </c>
      <c r="AG3104">
        <v>-1.1106385163650001</v>
      </c>
      <c r="AH3104">
        <v>12.733176646883599</v>
      </c>
      <c r="AI3104">
        <v>94.971454124012794</v>
      </c>
      <c r="AJ3104">
        <v>94.227704803234403</v>
      </c>
      <c r="AK3104">
        <v>12.816133159843799</v>
      </c>
      <c r="AL3104">
        <v>90.038117223586298</v>
      </c>
      <c r="AM3104">
        <v>92.661222747817405</v>
      </c>
      <c r="AN3104">
        <v>0.99999999364737202</v>
      </c>
    </row>
    <row r="3105" spans="1:40" x14ac:dyDescent="0.3">
      <c r="A3105" t="str">
        <f>"20200111160515327"</f>
        <v>20200111160515327</v>
      </c>
      <c r="B3105" t="str">
        <f>"1578729915324798"</f>
        <v>1578729915324798</v>
      </c>
      <c r="C3105" t="s">
        <v>40</v>
      </c>
      <c r="D3105">
        <v>5.5504319999999998</v>
      </c>
      <c r="E3105">
        <v>0.46655380000000002</v>
      </c>
      <c r="F3105" t="s">
        <v>57</v>
      </c>
      <c r="G3105">
        <v>-266.70740000000001</v>
      </c>
      <c r="H3105" s="1">
        <v>2.0259060000000001E-6</v>
      </c>
      <c r="I3105">
        <v>214.76840000000001</v>
      </c>
      <c r="J3105">
        <v>-280.03269999999998</v>
      </c>
      <c r="K3105">
        <v>1.1106370000000001</v>
      </c>
      <c r="L3105">
        <v>213.6908</v>
      </c>
      <c r="M3105">
        <v>0.99989510000000004</v>
      </c>
      <c r="N3105">
        <v>0</v>
      </c>
      <c r="O3105">
        <v>6.211411E-3</v>
      </c>
      <c r="P3105">
        <v>0.9985195</v>
      </c>
      <c r="Q3105">
        <v>-1.4268619999999999E-2</v>
      </c>
      <c r="R3105">
        <v>5.2492450000000003E-2</v>
      </c>
      <c r="S3105">
        <v>2.9887079999999999</v>
      </c>
      <c r="T3105">
        <v>-0.24268419999999999</v>
      </c>
      <c r="U3105">
        <v>0.2360382</v>
      </c>
      <c r="V3105">
        <v>-4.6287479999999999E-2</v>
      </c>
      <c r="W3105">
        <v>-1.259462E-3</v>
      </c>
      <c r="X3105">
        <v>0.99892740000000002</v>
      </c>
      <c r="Y3105">
        <v>-7.2321120000000003E-2</v>
      </c>
      <c r="Z3105">
        <v>2.424121E-3</v>
      </c>
      <c r="AA3105">
        <v>0.99737849999999995</v>
      </c>
      <c r="AB3105">
        <v>35</v>
      </c>
      <c r="AC3105">
        <v>13.325299999999899</v>
      </c>
      <c r="AD3105">
        <v>-1.110634974094</v>
      </c>
      <c r="AE3105">
        <v>1.0776000000000101</v>
      </c>
      <c r="AF3105">
        <v>-0.98798440867360005</v>
      </c>
      <c r="AG3105">
        <v>-1.110634974094</v>
      </c>
      <c r="AH3105">
        <v>13.2403555692017</v>
      </c>
      <c r="AI3105">
        <v>94.781660027117198</v>
      </c>
      <c r="AJ3105">
        <v>94.267455094826701</v>
      </c>
      <c r="AK3105">
        <v>13.323537024242199</v>
      </c>
      <c r="AL3105">
        <v>90.072161873698604</v>
      </c>
      <c r="AM3105">
        <v>92.6530272047778</v>
      </c>
      <c r="AN3105">
        <v>1.0000000337600099</v>
      </c>
    </row>
    <row r="3106" spans="1:40" x14ac:dyDescent="0.3">
      <c r="A3106" t="str">
        <f>"20200111160515350"</f>
        <v>20200111160515350</v>
      </c>
      <c r="B3106" t="str">
        <f>"1578729915344318"</f>
        <v>1578729915344318</v>
      </c>
      <c r="C3106" t="s">
        <v>40</v>
      </c>
      <c r="D3106">
        <v>5.5848630000000004</v>
      </c>
      <c r="E3106">
        <v>0.46988099999999999</v>
      </c>
      <c r="F3106" t="s">
        <v>69</v>
      </c>
      <c r="G3106">
        <v>-157.25</v>
      </c>
      <c r="H3106">
        <v>3.4534729999999998</v>
      </c>
      <c r="I3106">
        <v>230.9598</v>
      </c>
      <c r="J3106">
        <v>-279.67939999999999</v>
      </c>
      <c r="K3106">
        <v>1.1106400000000001</v>
      </c>
      <c r="L3106">
        <v>213.69370000000001</v>
      </c>
      <c r="M3106">
        <v>0.99989119999999998</v>
      </c>
      <c r="N3106">
        <v>0</v>
      </c>
      <c r="O3106">
        <v>6.8321090000000003E-3</v>
      </c>
      <c r="P3106">
        <v>0.99848590000000004</v>
      </c>
      <c r="Q3106">
        <v>-1.4794470000000001E-2</v>
      </c>
      <c r="R3106">
        <v>5.2983589999999997E-2</v>
      </c>
      <c r="S3106">
        <v>2.9831539999999999</v>
      </c>
      <c r="T3106">
        <v>5.6923389999999997E-2</v>
      </c>
      <c r="U3106">
        <v>0.41957090000000002</v>
      </c>
      <c r="V3106">
        <v>-4.6157400000000001E-2</v>
      </c>
      <c r="W3106">
        <v>-1.7863569999999999E-3</v>
      </c>
      <c r="X3106">
        <v>0.99893259999999995</v>
      </c>
      <c r="Y3106">
        <v>-0.1324842</v>
      </c>
      <c r="Z3106">
        <v>-1.1279910000000001E-3</v>
      </c>
      <c r="AA3106">
        <v>0.99118450000000002</v>
      </c>
      <c r="AB3106">
        <v>35</v>
      </c>
      <c r="AC3106">
        <v>122.4294</v>
      </c>
      <c r="AD3106">
        <v>2.3428330000000002</v>
      </c>
      <c r="AE3106">
        <v>17.266099999999899</v>
      </c>
      <c r="AF3106">
        <v>-16.423277638803199</v>
      </c>
      <c r="AG3106">
        <v>2.3428330000000002</v>
      </c>
      <c r="AH3106">
        <v>122.500531924499</v>
      </c>
      <c r="AI3106">
        <v>88.9140604532205</v>
      </c>
      <c r="AJ3106">
        <v>97.635940602659204</v>
      </c>
      <c r="AK3106">
        <v>123.618741445835</v>
      </c>
      <c r="AL3106">
        <v>90.102350769396693</v>
      </c>
      <c r="AM3106">
        <v>92.645568355650695</v>
      </c>
      <c r="AN3106">
        <v>1.00000001799442</v>
      </c>
    </row>
    <row r="3107" spans="1:40" x14ac:dyDescent="0.3">
      <c r="A3107" t="str">
        <f>"20200111160515366"</f>
        <v>20200111160515366</v>
      </c>
      <c r="B3107" t="str">
        <f>"1578729915364814"</f>
        <v>1578729915364814</v>
      </c>
      <c r="C3107" t="s">
        <v>40</v>
      </c>
      <c r="D3107">
        <v>5.4582319999999998</v>
      </c>
      <c r="E3107">
        <v>0.49266769999999999</v>
      </c>
      <c r="F3107" t="s">
        <v>69</v>
      </c>
      <c r="G3107">
        <v>-157.25</v>
      </c>
      <c r="H3107">
        <v>2.5364499999999999</v>
      </c>
      <c r="I3107">
        <v>229.9212</v>
      </c>
      <c r="J3107">
        <v>-279.42079999999999</v>
      </c>
      <c r="K3107">
        <v>1.1106389999999999</v>
      </c>
      <c r="L3107">
        <v>213.69589999999999</v>
      </c>
      <c r="M3107">
        <v>0.99988809999999995</v>
      </c>
      <c r="N3107">
        <v>0</v>
      </c>
      <c r="O3107">
        <v>7.2861590000000004E-3</v>
      </c>
      <c r="P3107">
        <v>0.99845189999999995</v>
      </c>
      <c r="Q3107">
        <v>-1.499235E-2</v>
      </c>
      <c r="R3107">
        <v>5.3567410000000003E-2</v>
      </c>
      <c r="S3107">
        <v>2.9840390000000001</v>
      </c>
      <c r="T3107">
        <v>3.4753439999999997E-2</v>
      </c>
      <c r="U3107">
        <v>0.39552310000000002</v>
      </c>
      <c r="V3107">
        <v>-4.6287889999999998E-2</v>
      </c>
      <c r="W3107">
        <v>-1.985424E-3</v>
      </c>
      <c r="X3107">
        <v>0.99892619999999999</v>
      </c>
      <c r="Y3107">
        <v>-0.1241621</v>
      </c>
      <c r="Z3107">
        <v>-6.3536949999999995E-4</v>
      </c>
      <c r="AA3107">
        <v>0.99226179999999997</v>
      </c>
      <c r="AB3107">
        <v>35</v>
      </c>
      <c r="AC3107">
        <v>122.1708</v>
      </c>
      <c r="AD3107">
        <v>1.4258109999999999</v>
      </c>
      <c r="AE3107">
        <v>16.225300000000001</v>
      </c>
      <c r="AF3107">
        <v>-15.332585217657099</v>
      </c>
      <c r="AG3107">
        <v>1.4258109999999999</v>
      </c>
      <c r="AH3107">
        <v>122.26942179218599</v>
      </c>
      <c r="AI3107">
        <v>89.337082856907401</v>
      </c>
      <c r="AJ3107">
        <v>97.147580832345895</v>
      </c>
      <c r="AK3107">
        <v>123.235273407656</v>
      </c>
      <c r="AL3107">
        <v>90.113756486856303</v>
      </c>
      <c r="AM3107">
        <v>92.653053853415202</v>
      </c>
      <c r="AN3107">
        <v>1.00000003185777</v>
      </c>
    </row>
    <row r="3108" spans="1:40" x14ac:dyDescent="0.3">
      <c r="A3108" t="str">
        <f>"20200111160515399"</f>
        <v>20200111160515399</v>
      </c>
      <c r="B3108" t="str">
        <f>"1578729915394094"</f>
        <v>1578729915394094</v>
      </c>
      <c r="C3108" t="s">
        <v>40</v>
      </c>
      <c r="D3108">
        <v>5.4969070000000002</v>
      </c>
      <c r="E3108">
        <v>0.49266769999999999</v>
      </c>
      <c r="F3108" t="s">
        <v>57</v>
      </c>
      <c r="G3108">
        <v>-252.83430000000001</v>
      </c>
      <c r="H3108" s="1">
        <v>-7.48392899999999E-8</v>
      </c>
      <c r="I3108">
        <v>215.67609999999999</v>
      </c>
      <c r="J3108">
        <v>-278.90780000000001</v>
      </c>
      <c r="K3108">
        <v>1.1106419999999999</v>
      </c>
      <c r="L3108">
        <v>213.70070000000001</v>
      </c>
      <c r="M3108">
        <v>0.99988089999999996</v>
      </c>
      <c r="N3108">
        <v>0</v>
      </c>
      <c r="O3108">
        <v>8.1877619999999995E-3</v>
      </c>
      <c r="P3108">
        <v>0.99840050000000002</v>
      </c>
      <c r="Q3108">
        <v>-1.560696E-2</v>
      </c>
      <c r="R3108">
        <v>5.4338749999999998E-2</v>
      </c>
      <c r="S3108">
        <v>2.9908139999999999</v>
      </c>
      <c r="T3108">
        <v>-0.1249398</v>
      </c>
      <c r="U3108">
        <v>0.22276309999999999</v>
      </c>
      <c r="V3108">
        <v>-4.6157789999999997E-2</v>
      </c>
      <c r="W3108">
        <v>-2.6015439999999999E-3</v>
      </c>
      <c r="X3108">
        <v>0.99893080000000001</v>
      </c>
      <c r="Y3108">
        <v>-6.6058149999999996E-2</v>
      </c>
      <c r="Z3108">
        <v>1.035848E-3</v>
      </c>
      <c r="AA3108">
        <v>0.99781529999999996</v>
      </c>
      <c r="AB3108">
        <v>35</v>
      </c>
      <c r="AC3108">
        <v>26.073499999999999</v>
      </c>
      <c r="AD3108">
        <v>-1.11064207483929</v>
      </c>
      <c r="AE3108">
        <v>1.9753999999999701</v>
      </c>
      <c r="AF3108">
        <v>-1.7586590687928101</v>
      </c>
      <c r="AG3108">
        <v>-1.11064207483929</v>
      </c>
      <c r="AH3108">
        <v>26.041818951279101</v>
      </c>
      <c r="AI3108">
        <v>92.436550751250195</v>
      </c>
      <c r="AJ3108">
        <v>93.863439018832494</v>
      </c>
      <c r="AK3108">
        <v>26.124753430986701</v>
      </c>
      <c r="AL3108">
        <v>90.149057655620695</v>
      </c>
      <c r="AM3108">
        <v>92.645595437610496</v>
      </c>
      <c r="AN3108">
        <v>1.0000000263987501</v>
      </c>
    </row>
    <row r="3109" spans="1:40" x14ac:dyDescent="0.3">
      <c r="A3109" t="str">
        <f>"20200111160515413"</f>
        <v>20200111160515413</v>
      </c>
      <c r="B3109" t="str">
        <f>"1578729915404831"</f>
        <v>1578729915404831</v>
      </c>
      <c r="C3109" t="s">
        <v>40</v>
      </c>
      <c r="D3109">
        <v>5.5156910000000003</v>
      </c>
      <c r="E3109">
        <v>0.55892569999999997</v>
      </c>
      <c r="F3109" t="s">
        <v>57</v>
      </c>
      <c r="G3109">
        <v>-252.70920000000001</v>
      </c>
      <c r="H3109" s="1">
        <v>-1.4123770000000001E-7</v>
      </c>
      <c r="I3109">
        <v>215.6721</v>
      </c>
      <c r="J3109">
        <v>-278.68680000000001</v>
      </c>
      <c r="K3109">
        <v>1.110646</v>
      </c>
      <c r="L3109">
        <v>213.7029</v>
      </c>
      <c r="M3109">
        <v>0.99987760000000003</v>
      </c>
      <c r="N3109">
        <v>0</v>
      </c>
      <c r="O3109">
        <v>8.5753280000000001E-3</v>
      </c>
      <c r="P3109">
        <v>0.99836309999999995</v>
      </c>
      <c r="Q3109">
        <v>-1.5974039999999998E-2</v>
      </c>
      <c r="R3109">
        <v>5.4918929999999998E-2</v>
      </c>
      <c r="S3109">
        <v>2.99057</v>
      </c>
      <c r="T3109">
        <v>-0.1267797</v>
      </c>
      <c r="U3109">
        <v>0.2250366</v>
      </c>
      <c r="V3109">
        <v>-4.6351129999999997E-2</v>
      </c>
      <c r="W3109">
        <v>-2.9658050000000002E-3</v>
      </c>
      <c r="X3109">
        <v>0.99892080000000005</v>
      </c>
      <c r="Y3109">
        <v>-6.6430290000000003E-2</v>
      </c>
      <c r="Z3109">
        <v>1.04262E-3</v>
      </c>
      <c r="AA3109">
        <v>0.99779050000000002</v>
      </c>
      <c r="AB3109">
        <v>35</v>
      </c>
      <c r="AC3109">
        <v>25.977599999999899</v>
      </c>
      <c r="AD3109">
        <v>-1.1106461412377</v>
      </c>
      <c r="AE3109">
        <v>1.9692000000000001</v>
      </c>
      <c r="AF3109">
        <v>-1.74317391548906</v>
      </c>
      <c r="AG3109">
        <v>-1.1106461412377</v>
      </c>
      <c r="AH3109">
        <v>25.946376140789901</v>
      </c>
      <c r="AI3109">
        <v>92.445568658869206</v>
      </c>
      <c r="AJ3109">
        <v>93.843567370475199</v>
      </c>
      <c r="AK3109">
        <v>26.028573241536701</v>
      </c>
      <c r="AL3109">
        <v>90.169928359500304</v>
      </c>
      <c r="AM3109">
        <v>92.656687692117103</v>
      </c>
      <c r="AN3109">
        <v>0.99999999396210704</v>
      </c>
    </row>
    <row r="3110" spans="1:40" x14ac:dyDescent="0.3">
      <c r="A3110" t="str">
        <f>"20200111160515428"</f>
        <v>20200111160515428</v>
      </c>
      <c r="B3110" t="str">
        <f>"1578729915424350"</f>
        <v>1578729915424350</v>
      </c>
      <c r="C3110" t="s">
        <v>40</v>
      </c>
      <c r="D3110">
        <v>5.4841559999999996</v>
      </c>
      <c r="E3110">
        <v>0.55862880000000004</v>
      </c>
      <c r="F3110" t="s">
        <v>42</v>
      </c>
      <c r="G3110">
        <v>-277.80309999999997</v>
      </c>
      <c r="H3110">
        <v>1.02654</v>
      </c>
      <c r="I3110">
        <v>213.61660000000001</v>
      </c>
      <c r="J3110">
        <v>-278.4717</v>
      </c>
      <c r="K3110">
        <v>1.1106480000000001</v>
      </c>
      <c r="L3110">
        <v>213.70509999999999</v>
      </c>
      <c r="M3110">
        <v>0.99987420000000005</v>
      </c>
      <c r="N3110">
        <v>0</v>
      </c>
      <c r="O3110">
        <v>8.9520709999999903E-3</v>
      </c>
      <c r="P3110">
        <v>0.99833260000000001</v>
      </c>
      <c r="Q3110">
        <v>-1.5761310000000001E-2</v>
      </c>
      <c r="R3110">
        <v>5.5531749999999998E-2</v>
      </c>
      <c r="S3110">
        <v>3.0165099999999998</v>
      </c>
      <c r="T3110">
        <v>-0.28716619999999998</v>
      </c>
      <c r="U3110">
        <v>-0.29406739999999998</v>
      </c>
      <c r="V3110">
        <v>-4.6587900000000002E-2</v>
      </c>
      <c r="W3110">
        <v>-2.74523E-3</v>
      </c>
      <c r="X3110">
        <v>0.99891039999999998</v>
      </c>
      <c r="Y3110">
        <v>0.1054204</v>
      </c>
      <c r="Z3110">
        <v>-5.8432939999999997E-3</v>
      </c>
      <c r="AA3110">
        <v>0.99441060000000003</v>
      </c>
      <c r="AB3110">
        <v>35</v>
      </c>
      <c r="AC3110">
        <v>0.66860000000002595</v>
      </c>
      <c r="AD3110">
        <v>-8.4107999999999794E-2</v>
      </c>
      <c r="AE3110">
        <v>-8.8499999999981996E-2</v>
      </c>
      <c r="AF3110">
        <v>9.3035393453202803E-2</v>
      </c>
      <c r="AG3110">
        <v>-8.4107999999999794E-2</v>
      </c>
      <c r="AH3110">
        <v>0.65755430322346697</v>
      </c>
      <c r="AI3110">
        <v>97.218022551914302</v>
      </c>
      <c r="AJ3110">
        <v>81.946845032449801</v>
      </c>
      <c r="AK3110">
        <v>0.66940824747435801</v>
      </c>
      <c r="AL3110">
        <v>90.157290293822101</v>
      </c>
      <c r="AM3110">
        <v>92.670266704417003</v>
      </c>
      <c r="AN3110">
        <v>0.99999997797116102</v>
      </c>
    </row>
    <row r="3111" spans="1:40" x14ac:dyDescent="0.3">
      <c r="A3111" t="str">
        <f>"20200111160515444"</f>
        <v>20200111160515444</v>
      </c>
      <c r="B3111" t="str">
        <f>"1578729915434111"</f>
        <v>1578729915434111</v>
      </c>
      <c r="C3111" t="s">
        <v>40</v>
      </c>
      <c r="D3111">
        <v>5.4795119999999997</v>
      </c>
      <c r="E3111">
        <v>0.55837159999999997</v>
      </c>
      <c r="F3111" t="s">
        <v>42</v>
      </c>
      <c r="G3111">
        <v>-277.49599999999998</v>
      </c>
      <c r="H3111">
        <v>1.019174</v>
      </c>
      <c r="I3111">
        <v>213.61109999999999</v>
      </c>
      <c r="J3111">
        <v>-278.20650000000001</v>
      </c>
      <c r="K3111">
        <v>1.1106529999999999</v>
      </c>
      <c r="L3111">
        <v>213.7079</v>
      </c>
      <c r="M3111">
        <v>0.99986960000000003</v>
      </c>
      <c r="N3111">
        <v>0</v>
      </c>
      <c r="O3111">
        <v>9.4158490000000004E-3</v>
      </c>
      <c r="P3111">
        <v>0.99829310000000004</v>
      </c>
      <c r="Q3111">
        <v>-1.5602329999999999E-2</v>
      </c>
      <c r="R3111">
        <v>5.6279900000000001E-2</v>
      </c>
      <c r="S3111">
        <v>3.0167540000000002</v>
      </c>
      <c r="T3111">
        <v>-0.28290120000000002</v>
      </c>
      <c r="U3111">
        <v>-0.29008479999999998</v>
      </c>
      <c r="V3111">
        <v>-4.6873709999999999E-2</v>
      </c>
      <c r="W3111">
        <v>-2.563746E-3</v>
      </c>
      <c r="X3111">
        <v>0.99889760000000005</v>
      </c>
      <c r="Y3111">
        <v>0.1045899</v>
      </c>
      <c r="Z3111">
        <v>-5.7613319999999897E-3</v>
      </c>
      <c r="AA3111">
        <v>0.99449869999999996</v>
      </c>
      <c r="AB3111">
        <v>35</v>
      </c>
      <c r="AC3111">
        <v>0.710500000000024</v>
      </c>
      <c r="AD3111">
        <v>-9.1479000000000005E-2</v>
      </c>
      <c r="AE3111">
        <v>-9.6800000000001704E-2</v>
      </c>
      <c r="AF3111">
        <v>0.10182895465621</v>
      </c>
      <c r="AG3111">
        <v>-9.1479000000000005E-2</v>
      </c>
      <c r="AH3111">
        <v>0.69819370004667602</v>
      </c>
      <c r="AI3111">
        <v>97.387231913680907</v>
      </c>
      <c r="AJ3111">
        <v>81.702128626449394</v>
      </c>
      <c r="AK3111">
        <v>0.71148575968338601</v>
      </c>
      <c r="AL3111">
        <v>90.146891976707593</v>
      </c>
      <c r="AM3111">
        <v>92.686658850237706</v>
      </c>
      <c r="AN3111">
        <v>1.0000000663842299</v>
      </c>
    </row>
    <row r="3112" spans="1:40" x14ac:dyDescent="0.3">
      <c r="A3112" t="str">
        <f>"20200111160515459"</f>
        <v>20200111160515459</v>
      </c>
      <c r="B3112" t="str">
        <f>"1578729915454606"</f>
        <v>1578729915454606</v>
      </c>
      <c r="C3112" t="s">
        <v>40</v>
      </c>
      <c r="D3112">
        <v>5.4572430000000001</v>
      </c>
      <c r="E3112">
        <v>0.55826390000000004</v>
      </c>
      <c r="F3112" t="s">
        <v>42</v>
      </c>
      <c r="G3112">
        <v>-277.18740000000003</v>
      </c>
      <c r="H3112">
        <v>1.0155970000000001</v>
      </c>
      <c r="I3112">
        <v>213.61109999999999</v>
      </c>
      <c r="J3112">
        <v>-277.9751</v>
      </c>
      <c r="K3112">
        <v>1.11066</v>
      </c>
      <c r="L3112">
        <v>213.7105</v>
      </c>
      <c r="M3112">
        <v>0.99986540000000002</v>
      </c>
      <c r="N3112">
        <v>0</v>
      </c>
      <c r="O3112">
        <v>9.8209530000000003E-3</v>
      </c>
      <c r="P3112">
        <v>0.99826159999999997</v>
      </c>
      <c r="Q3112">
        <v>-1.5508829999999999E-2</v>
      </c>
      <c r="R3112">
        <v>5.686339E-2</v>
      </c>
      <c r="S3112">
        <v>3.0168460000000001</v>
      </c>
      <c r="T3112">
        <v>-0.28152939999999999</v>
      </c>
      <c r="U3112">
        <v>-0.28593439999999998</v>
      </c>
      <c r="V3112">
        <v>-4.7052820000000002E-2</v>
      </c>
      <c r="W3112">
        <v>-2.4355380000000001E-3</v>
      </c>
      <c r="X3112">
        <v>0.99888940000000004</v>
      </c>
      <c r="Y3112">
        <v>0.1036411</v>
      </c>
      <c r="Z3112">
        <v>-5.7272869999999898E-3</v>
      </c>
      <c r="AA3112">
        <v>0.99459830000000005</v>
      </c>
      <c r="AB3112">
        <v>35</v>
      </c>
      <c r="AC3112">
        <v>0.78769999999997198</v>
      </c>
      <c r="AD3112">
        <v>-9.5063000000000106E-2</v>
      </c>
      <c r="AE3112">
        <v>-9.9400000000002806E-2</v>
      </c>
      <c r="AF3112">
        <v>0.105617661185888</v>
      </c>
      <c r="AG3112">
        <v>-9.5063000000000106E-2</v>
      </c>
      <c r="AH3112">
        <v>0.77556688046762901</v>
      </c>
      <c r="AI3112">
        <v>96.924730848933294</v>
      </c>
      <c r="AJ3112">
        <v>82.245093869782096</v>
      </c>
      <c r="AK3112">
        <v>0.78847704494276005</v>
      </c>
      <c r="AL3112">
        <v>90.139546190869495</v>
      </c>
      <c r="AM3112">
        <v>92.696931870610996</v>
      </c>
      <c r="AN3112">
        <v>0.99999996657382995</v>
      </c>
    </row>
    <row r="3113" spans="1:40" x14ac:dyDescent="0.3">
      <c r="A3113" t="str">
        <f>"20200111160515473"</f>
        <v>20200111160515473</v>
      </c>
      <c r="B3113" t="str">
        <f>"1578729915464366"</f>
        <v>1578729915464366</v>
      </c>
      <c r="C3113" t="s">
        <v>40</v>
      </c>
      <c r="D3113">
        <v>5.5041719999999996</v>
      </c>
      <c r="E3113">
        <v>0.5585194</v>
      </c>
      <c r="F3113" t="s">
        <v>42</v>
      </c>
      <c r="G3113">
        <v>-277.178</v>
      </c>
      <c r="H3113">
        <v>1.0356609999999999</v>
      </c>
      <c r="I3113">
        <v>213.63550000000001</v>
      </c>
      <c r="J3113">
        <v>-277.75889999999998</v>
      </c>
      <c r="K3113">
        <v>1.110668</v>
      </c>
      <c r="L3113">
        <v>213.71299999999999</v>
      </c>
      <c r="M3113">
        <v>0.99986090000000005</v>
      </c>
      <c r="N3113">
        <v>0</v>
      </c>
      <c r="O3113">
        <v>1.0200570000000001E-2</v>
      </c>
      <c r="P3113">
        <v>0.99824400000000002</v>
      </c>
      <c r="Q3113">
        <v>-1.5656690000000001E-2</v>
      </c>
      <c r="R3113">
        <v>5.7129449999999998E-2</v>
      </c>
      <c r="S3113">
        <v>3.016937</v>
      </c>
      <c r="T3113">
        <v>-0.2839797</v>
      </c>
      <c r="U3113">
        <v>-0.28306579999999998</v>
      </c>
      <c r="V3113">
        <v>-4.6939439999999999E-2</v>
      </c>
      <c r="W3113">
        <v>-2.5421279999999998E-3</v>
      </c>
      <c r="X3113">
        <v>0.99889450000000002</v>
      </c>
      <c r="Y3113">
        <v>0.1030708</v>
      </c>
      <c r="Z3113">
        <v>-5.7858619999999897E-3</v>
      </c>
      <c r="AA3113">
        <v>0.99465720000000002</v>
      </c>
      <c r="AB3113">
        <v>35</v>
      </c>
      <c r="AC3113">
        <v>0.58089999999998498</v>
      </c>
      <c r="AD3113">
        <v>-7.5006999999999796E-2</v>
      </c>
      <c r="AE3113">
        <v>-7.7499999999986302E-2</v>
      </c>
      <c r="AF3113">
        <v>8.2077488142443394E-2</v>
      </c>
      <c r="AG3113">
        <v>-7.5006999999999796E-2</v>
      </c>
      <c r="AH3113">
        <v>0.57073006609735799</v>
      </c>
      <c r="AI3113">
        <v>97.411678574621405</v>
      </c>
      <c r="AJ3113">
        <v>81.816323575785404</v>
      </c>
      <c r="AK3113">
        <v>0.58145986315159104</v>
      </c>
      <c r="AL3113">
        <v>90.145653362583502</v>
      </c>
      <c r="AM3113">
        <v>92.690429100027501</v>
      </c>
      <c r="AN3113">
        <v>0.99999999778626603</v>
      </c>
    </row>
    <row r="3114" spans="1:40" x14ac:dyDescent="0.3">
      <c r="A3114" t="str">
        <f>"20200111160515494"</f>
        <v>20200111160515494</v>
      </c>
      <c r="B3114" t="str">
        <f>"1578729915484863"</f>
        <v>1578729915484863</v>
      </c>
      <c r="C3114" t="s">
        <v>40</v>
      </c>
      <c r="D3114">
        <v>5.5045820000000001</v>
      </c>
      <c r="E3114">
        <v>0.55832850000000001</v>
      </c>
      <c r="F3114" t="s">
        <v>42</v>
      </c>
      <c r="G3114">
        <v>-276.87259999999998</v>
      </c>
      <c r="H3114">
        <v>1.0260910000000001</v>
      </c>
      <c r="I3114">
        <v>213.62950000000001</v>
      </c>
      <c r="J3114">
        <v>-277.43509999999998</v>
      </c>
      <c r="K3114">
        <v>1.110687</v>
      </c>
      <c r="L3114">
        <v>213.71690000000001</v>
      </c>
      <c r="M3114">
        <v>0.99985409999999997</v>
      </c>
      <c r="N3114">
        <v>0</v>
      </c>
      <c r="O3114">
        <v>1.0769809999999999E-2</v>
      </c>
      <c r="P3114">
        <v>0.99822750000000005</v>
      </c>
      <c r="Q3114">
        <v>-1.6438649999999999E-2</v>
      </c>
      <c r="R3114">
        <v>5.7201979999999999E-2</v>
      </c>
      <c r="S3114">
        <v>3.017029</v>
      </c>
      <c r="T3114">
        <v>-0.28801569999999999</v>
      </c>
      <c r="U3114">
        <v>-0.28410340000000001</v>
      </c>
      <c r="V3114">
        <v>-4.6443030000000003E-2</v>
      </c>
      <c r="W3114">
        <v>-3.2403839999999998E-3</v>
      </c>
      <c r="X3114">
        <v>0.99891569999999996</v>
      </c>
      <c r="Y3114">
        <v>0.10395260000000001</v>
      </c>
      <c r="Z3114">
        <v>-5.9634739999999999E-3</v>
      </c>
      <c r="AA3114">
        <v>0.99456440000000002</v>
      </c>
      <c r="AB3114">
        <v>35</v>
      </c>
      <c r="AC3114">
        <v>0.5625</v>
      </c>
      <c r="AD3114">
        <v>-8.4595999999999894E-2</v>
      </c>
      <c r="AE3114">
        <v>-8.7400000000002295E-2</v>
      </c>
      <c r="AF3114">
        <v>9.1434171578420806E-2</v>
      </c>
      <c r="AG3114">
        <v>-8.4595999999999894E-2</v>
      </c>
      <c r="AH3114">
        <v>0.54939275452157699</v>
      </c>
      <c r="AI3114">
        <v>98.636738742245598</v>
      </c>
      <c r="AJ3114">
        <v>80.551000138022999</v>
      </c>
      <c r="AK3114">
        <v>0.56333745629865395</v>
      </c>
      <c r="AL3114">
        <v>90.185660649249499</v>
      </c>
      <c r="AM3114">
        <v>92.661961086774994</v>
      </c>
      <c r="AN3114">
        <v>1.00000001541526</v>
      </c>
    </row>
    <row r="3115" spans="1:40" x14ac:dyDescent="0.3">
      <c r="A3115" t="str">
        <f>"20200111160515517"</f>
        <v>20200111160515517</v>
      </c>
      <c r="B3115" t="str">
        <f>"1578729915514546"</f>
        <v>1578729915514546</v>
      </c>
      <c r="C3115" t="s">
        <v>40</v>
      </c>
      <c r="D3115">
        <v>5.8595959999999998</v>
      </c>
      <c r="E3115">
        <v>0.55833239999999995</v>
      </c>
      <c r="F3115" t="s">
        <v>42</v>
      </c>
      <c r="G3115">
        <v>-276.56229999999999</v>
      </c>
      <c r="H3115">
        <v>1.027339</v>
      </c>
      <c r="I3115">
        <v>213.63509999999999</v>
      </c>
      <c r="J3115">
        <v>-277.08530000000002</v>
      </c>
      <c r="K3115">
        <v>1.1107070000000001</v>
      </c>
      <c r="L3115">
        <v>213.72130000000001</v>
      </c>
      <c r="M3115">
        <v>0.99984550000000005</v>
      </c>
      <c r="N3115">
        <v>0</v>
      </c>
      <c r="O3115">
        <v>1.1384790000000001E-2</v>
      </c>
      <c r="P3115">
        <v>0.99821159999999998</v>
      </c>
      <c r="Q3115">
        <v>-1.6828160000000002E-2</v>
      </c>
      <c r="R3115">
        <v>5.7362440000000001E-2</v>
      </c>
      <c r="S3115">
        <v>3.0167540000000002</v>
      </c>
      <c r="T3115">
        <v>-0.28819210000000001</v>
      </c>
      <c r="U3115">
        <v>-0.28224179999999999</v>
      </c>
      <c r="V3115">
        <v>-4.5988559999999998E-2</v>
      </c>
      <c r="W3115">
        <v>-3.511162E-3</v>
      </c>
      <c r="X3115">
        <v>0.99893580000000004</v>
      </c>
      <c r="Y3115">
        <v>0.10396089999999999</v>
      </c>
      <c r="Z3115">
        <v>-6.0267180000000004E-3</v>
      </c>
      <c r="AA3115">
        <v>0.99456310000000003</v>
      </c>
      <c r="AB3115">
        <v>35</v>
      </c>
      <c r="AC3115">
        <v>0.523000000000024</v>
      </c>
      <c r="AD3115">
        <v>-8.3367999999999803E-2</v>
      </c>
      <c r="AE3115">
        <v>-8.6200000000019303E-2</v>
      </c>
      <c r="AF3115">
        <v>8.9924683283221701E-2</v>
      </c>
      <c r="AG3115">
        <v>-8.3367999999999803E-2</v>
      </c>
      <c r="AH3115">
        <v>0.50938378016428199</v>
      </c>
      <c r="AI3115">
        <v>99.155751587676406</v>
      </c>
      <c r="AJ3115">
        <v>79.988373800335197</v>
      </c>
      <c r="AK3115">
        <v>0.52393559487979202</v>
      </c>
      <c r="AL3115">
        <v>90.201175176296601</v>
      </c>
      <c r="AM3115">
        <v>92.635896324392107</v>
      </c>
      <c r="AN3115">
        <v>1.0000000042155499</v>
      </c>
    </row>
    <row r="3116" spans="1:40" x14ac:dyDescent="0.3">
      <c r="A3116" t="str">
        <f>"20200111160515533"</f>
        <v>20200111160515533</v>
      </c>
      <c r="B3116" t="str">
        <f>"1578729915524307"</f>
        <v>1578729915524307</v>
      </c>
      <c r="C3116" t="s">
        <v>40</v>
      </c>
      <c r="D3116">
        <v>5.4765689999999996</v>
      </c>
      <c r="E3116">
        <v>0.55757019999999902</v>
      </c>
      <c r="F3116" t="s">
        <v>42</v>
      </c>
      <c r="G3116">
        <v>-276.25099999999998</v>
      </c>
      <c r="H3116">
        <v>1.0315639999999999</v>
      </c>
      <c r="I3116">
        <v>213.64320000000001</v>
      </c>
      <c r="J3116">
        <v>-276.82709999999997</v>
      </c>
      <c r="K3116">
        <v>1.110724</v>
      </c>
      <c r="L3116">
        <v>213.72470000000001</v>
      </c>
      <c r="M3116">
        <v>0.99983909999999998</v>
      </c>
      <c r="N3116">
        <v>0</v>
      </c>
      <c r="O3116">
        <v>1.1838359999999999E-2</v>
      </c>
      <c r="P3116">
        <v>0.99820169999999997</v>
      </c>
      <c r="Q3116">
        <v>-1.68162E-2</v>
      </c>
      <c r="R3116">
        <v>5.7540670000000002E-2</v>
      </c>
      <c r="S3116">
        <v>3.016724</v>
      </c>
      <c r="T3116">
        <v>-0.2862401</v>
      </c>
      <c r="U3116">
        <v>-0.2820587</v>
      </c>
      <c r="V3116">
        <v>-4.571422E-2</v>
      </c>
      <c r="W3116">
        <v>-3.404579E-3</v>
      </c>
      <c r="X3116">
        <v>0.99894879999999997</v>
      </c>
      <c r="Y3116">
        <v>0.1043563</v>
      </c>
      <c r="Z3116">
        <v>-6.0476970000000003E-3</v>
      </c>
      <c r="AA3116">
        <v>0.99452160000000001</v>
      </c>
      <c r="AB3116">
        <v>35</v>
      </c>
      <c r="AC3116">
        <v>0.57609999999999595</v>
      </c>
      <c r="AD3116">
        <v>-7.9160000000000105E-2</v>
      </c>
      <c r="AE3116">
        <v>-8.1500000000005401E-2</v>
      </c>
      <c r="AF3116">
        <v>8.6709971713728601E-2</v>
      </c>
      <c r="AG3116">
        <v>-7.9160000000000105E-2</v>
      </c>
      <c r="AH3116">
        <v>0.56464307911988199</v>
      </c>
      <c r="AI3116">
        <v>97.889256994552696</v>
      </c>
      <c r="AJ3116">
        <v>81.269519625327803</v>
      </c>
      <c r="AK3116">
        <v>0.57672067033580199</v>
      </c>
      <c r="AL3116">
        <v>90.195068376168095</v>
      </c>
      <c r="AM3116">
        <v>92.620160085883796</v>
      </c>
      <c r="AN3116">
        <v>1.0000000430449001</v>
      </c>
    </row>
    <row r="3117" spans="1:40" x14ac:dyDescent="0.3">
      <c r="A3117" t="str">
        <f>"20200111160515548"</f>
        <v>20200111160515548</v>
      </c>
      <c r="B3117" t="str">
        <f>"1578729915544803"</f>
        <v>1578729915544803</v>
      </c>
      <c r="C3117" t="s">
        <v>40</v>
      </c>
      <c r="D3117">
        <v>5.4942299999999999</v>
      </c>
      <c r="E3117">
        <v>0.55763759999999996</v>
      </c>
      <c r="F3117" t="s">
        <v>42</v>
      </c>
      <c r="G3117">
        <v>-275.94209999999998</v>
      </c>
      <c r="H3117">
        <v>1.0316650000000001</v>
      </c>
      <c r="I3117">
        <v>213.64340000000001</v>
      </c>
      <c r="J3117">
        <v>-276.59949999999998</v>
      </c>
      <c r="K3117">
        <v>1.1107320000000001</v>
      </c>
      <c r="L3117">
        <v>213.7278</v>
      </c>
      <c r="M3117">
        <v>0.99983299999999997</v>
      </c>
      <c r="N3117">
        <v>0</v>
      </c>
      <c r="O3117">
        <v>1.223784E-2</v>
      </c>
      <c r="P3117">
        <v>0.99818660000000003</v>
      </c>
      <c r="Q3117">
        <v>-1.691223E-2</v>
      </c>
      <c r="R3117">
        <v>5.7773239999999997E-2</v>
      </c>
      <c r="S3117">
        <v>3.016785</v>
      </c>
      <c r="T3117">
        <v>-0.26961170000000001</v>
      </c>
      <c r="U3117">
        <v>-0.27624510000000002</v>
      </c>
      <c r="V3117">
        <v>-4.5547980000000002E-2</v>
      </c>
      <c r="W3117">
        <v>-3.4182349999999999E-3</v>
      </c>
      <c r="X3117">
        <v>0.99895630000000002</v>
      </c>
      <c r="Y3117">
        <v>0.1029138</v>
      </c>
      <c r="Z3117">
        <v>-5.6695519999999996E-3</v>
      </c>
      <c r="AA3117">
        <v>0.99467410000000001</v>
      </c>
      <c r="AB3117">
        <v>35</v>
      </c>
      <c r="AC3117">
        <v>0.65739999999999499</v>
      </c>
      <c r="AD3117">
        <v>-7.9066999999999998E-2</v>
      </c>
      <c r="AE3117">
        <v>-8.4399999999987999E-2</v>
      </c>
      <c r="AF3117">
        <v>9.1142538831784803E-2</v>
      </c>
      <c r="AG3117">
        <v>-7.9066999999999998E-2</v>
      </c>
      <c r="AH3117">
        <v>0.64710887610347201</v>
      </c>
      <c r="AI3117">
        <v>96.898730595545402</v>
      </c>
      <c r="AJ3117">
        <v>81.982868412960201</v>
      </c>
      <c r="AK3117">
        <v>0.65826168839269605</v>
      </c>
      <c r="AL3117">
        <v>90.195850821054194</v>
      </c>
      <c r="AM3117">
        <v>92.610625493149001</v>
      </c>
      <c r="AN3117">
        <v>0.99999999606114198</v>
      </c>
    </row>
    <row r="3118" spans="1:40" x14ac:dyDescent="0.3">
      <c r="A3118" t="str">
        <f>"20200111160515561"</f>
        <v>20200111160515561</v>
      </c>
      <c r="B3118" t="str">
        <f>"1578729915554563"</f>
        <v>1578729915554563</v>
      </c>
      <c r="C3118" t="s">
        <v>40</v>
      </c>
      <c r="D3118">
        <v>5.5106029999999997</v>
      </c>
      <c r="E3118">
        <v>0.55806420000000001</v>
      </c>
      <c r="F3118" t="s">
        <v>42</v>
      </c>
      <c r="G3118">
        <v>-275.63560000000001</v>
      </c>
      <c r="H3118">
        <v>1.0270509999999999</v>
      </c>
      <c r="I3118">
        <v>213.63929999999999</v>
      </c>
      <c r="J3118">
        <v>-276.3854</v>
      </c>
      <c r="K3118">
        <v>1.1107400000000001</v>
      </c>
      <c r="L3118">
        <v>213.73070000000001</v>
      </c>
      <c r="M3118">
        <v>0.99982749999999998</v>
      </c>
      <c r="N3118">
        <v>0</v>
      </c>
      <c r="O3118">
        <v>1.261264E-2</v>
      </c>
      <c r="P3118">
        <v>0.998193</v>
      </c>
      <c r="Q3118">
        <v>-1.7368339999999999E-2</v>
      </c>
      <c r="R3118">
        <v>5.752786E-2</v>
      </c>
      <c r="S3118">
        <v>3.017029</v>
      </c>
      <c r="T3118">
        <v>-0.26204100000000002</v>
      </c>
      <c r="U3118">
        <v>-0.2764587</v>
      </c>
      <c r="V3118">
        <v>-4.4927710000000003E-2</v>
      </c>
      <c r="W3118">
        <v>-3.7988420000000002E-3</v>
      </c>
      <c r="X3118">
        <v>0.99898299999999995</v>
      </c>
      <c r="Y3118">
        <v>0.1033713</v>
      </c>
      <c r="Z3118">
        <v>-5.5627209999999996E-3</v>
      </c>
      <c r="AA3118">
        <v>0.99462729999999999</v>
      </c>
      <c r="AB3118">
        <v>35</v>
      </c>
      <c r="AC3118">
        <v>0.74979999999999303</v>
      </c>
      <c r="AD3118">
        <v>-8.3689000000000097E-2</v>
      </c>
      <c r="AE3118">
        <v>-9.1400000000021395E-2</v>
      </c>
      <c r="AF3118">
        <v>9.9627584343881304E-2</v>
      </c>
      <c r="AG3118">
        <v>-8.3689000000000097E-2</v>
      </c>
      <c r="AH3118">
        <v>0.73950957867579803</v>
      </c>
      <c r="AI3118">
        <v>96.399267409446594</v>
      </c>
      <c r="AJ3118">
        <v>82.327243506246006</v>
      </c>
      <c r="AK3118">
        <v>0.75086877764124205</v>
      </c>
      <c r="AL3118">
        <v>90.217658141001394</v>
      </c>
      <c r="AM3118">
        <v>92.575053585169698</v>
      </c>
      <c r="AN3118">
        <v>0.99999998230769205</v>
      </c>
    </row>
    <row r="3119" spans="1:40" x14ac:dyDescent="0.3">
      <c r="A3119" t="str">
        <f>"20200111160515577"</f>
        <v>20200111160515577</v>
      </c>
      <c r="B3119" t="str">
        <f>"1578729915574084"</f>
        <v>1578729915574084</v>
      </c>
      <c r="C3119" t="s">
        <v>40</v>
      </c>
      <c r="D3119">
        <v>5.5564330000000002</v>
      </c>
      <c r="E3119">
        <v>0.55805969999999905</v>
      </c>
      <c r="F3119" t="s">
        <v>42</v>
      </c>
      <c r="G3119">
        <v>-275.62520000000001</v>
      </c>
      <c r="H3119">
        <v>1.0465409999999999</v>
      </c>
      <c r="I3119">
        <v>213.65989999999999</v>
      </c>
      <c r="J3119">
        <v>-276.13679999999999</v>
      </c>
      <c r="K3119">
        <v>1.1107450000000001</v>
      </c>
      <c r="L3119">
        <v>213.73429999999999</v>
      </c>
      <c r="M3119">
        <v>0.99982079999999995</v>
      </c>
      <c r="N3119">
        <v>0</v>
      </c>
      <c r="O3119">
        <v>1.3046769999999999E-2</v>
      </c>
      <c r="P3119">
        <v>0.99816539999999998</v>
      </c>
      <c r="Q3119">
        <v>-1.780087E-2</v>
      </c>
      <c r="R3119">
        <v>5.7872739999999999E-2</v>
      </c>
      <c r="S3119">
        <v>3.0171809999999999</v>
      </c>
      <c r="T3119">
        <v>-0.25493189999999999</v>
      </c>
      <c r="U3119">
        <v>-0.28094479999999999</v>
      </c>
      <c r="V3119">
        <v>-4.4838570000000001E-2</v>
      </c>
      <c r="W3119">
        <v>-4.1500729999999998E-3</v>
      </c>
      <c r="X3119">
        <v>0.99898560000000003</v>
      </c>
      <c r="Y3119">
        <v>0.1052797</v>
      </c>
      <c r="Z3119">
        <v>-5.5285689999999997E-3</v>
      </c>
      <c r="AA3119">
        <v>0.99442730000000001</v>
      </c>
      <c r="AB3119">
        <v>35</v>
      </c>
      <c r="AC3119">
        <v>0.51159999999998695</v>
      </c>
      <c r="AD3119">
        <v>-6.4204000000000094E-2</v>
      </c>
      <c r="AE3119">
        <v>-7.4399999999997093E-2</v>
      </c>
      <c r="AF3119">
        <v>7.9837670741987707E-2</v>
      </c>
      <c r="AG3119">
        <v>-6.4204000000000094E-2</v>
      </c>
      <c r="AH3119">
        <v>0.50283043000513705</v>
      </c>
      <c r="AI3119">
        <v>97.187375353345402</v>
      </c>
      <c r="AJ3119">
        <v>80.978086017294999</v>
      </c>
      <c r="AK3119">
        <v>0.51316142550337696</v>
      </c>
      <c r="AL3119">
        <v>90.237782356140201</v>
      </c>
      <c r="AM3119">
        <v>92.569944659631403</v>
      </c>
      <c r="AN3119">
        <v>0.99999997473645397</v>
      </c>
    </row>
    <row r="3120" spans="1:40" x14ac:dyDescent="0.3">
      <c r="A3120" t="str">
        <f>"20200111160515594"</f>
        <v>20200111160515594</v>
      </c>
      <c r="B3120" t="str">
        <f>"1578729915584818"</f>
        <v>1578729915584818</v>
      </c>
      <c r="C3120" t="s">
        <v>40</v>
      </c>
      <c r="D3120">
        <v>5.4905169999999996</v>
      </c>
      <c r="E3120">
        <v>0.55821880000000001</v>
      </c>
      <c r="F3120" t="s">
        <v>42</v>
      </c>
      <c r="G3120">
        <v>-275.32089999999999</v>
      </c>
      <c r="H3120">
        <v>1.0407249999999999</v>
      </c>
      <c r="I3120">
        <v>213.6584</v>
      </c>
      <c r="J3120">
        <v>-275.88369999999998</v>
      </c>
      <c r="K3120">
        <v>1.110752</v>
      </c>
      <c r="L3120">
        <v>213.738</v>
      </c>
      <c r="M3120">
        <v>0.99981379999999997</v>
      </c>
      <c r="N3120">
        <v>0</v>
      </c>
      <c r="O3120">
        <v>1.348825E-2</v>
      </c>
      <c r="P3120">
        <v>0.99812350000000005</v>
      </c>
      <c r="Q3120">
        <v>-1.874897E-2</v>
      </c>
      <c r="R3120">
        <v>5.8294060000000002E-2</v>
      </c>
      <c r="S3120">
        <v>3.0171199999999998</v>
      </c>
      <c r="T3120">
        <v>-0.25917800000000002</v>
      </c>
      <c r="U3120">
        <v>-0.27986149999999999</v>
      </c>
      <c r="V3120">
        <v>-4.4817910000000002E-2</v>
      </c>
      <c r="W3120">
        <v>-5.0202950000000001E-3</v>
      </c>
      <c r="X3120">
        <v>0.9989825</v>
      </c>
      <c r="Y3120">
        <v>0.10535070000000001</v>
      </c>
      <c r="Z3120">
        <v>-5.6613490000000004E-3</v>
      </c>
      <c r="AA3120">
        <v>0.99441900000000005</v>
      </c>
      <c r="AB3120">
        <v>35</v>
      </c>
      <c r="AC3120">
        <v>0.56279999999998098</v>
      </c>
      <c r="AD3120">
        <v>-7.0027000000000006E-2</v>
      </c>
      <c r="AE3120">
        <v>-7.9599999999999199E-2</v>
      </c>
      <c r="AF3120">
        <v>8.58811440956702E-2</v>
      </c>
      <c r="AG3120">
        <v>-7.0027000000000006E-2</v>
      </c>
      <c r="AH3120">
        <v>0.55327725868909206</v>
      </c>
      <c r="AI3120">
        <v>97.128959271044394</v>
      </c>
      <c r="AJ3120">
        <v>81.176811661488301</v>
      </c>
      <c r="AK3120">
        <v>0.56426507655772795</v>
      </c>
      <c r="AL3120">
        <v>90.2876429404037</v>
      </c>
      <c r="AM3120">
        <v>92.568770068676798</v>
      </c>
      <c r="AN3120">
        <v>0.99999994186245</v>
      </c>
    </row>
    <row r="3121" spans="1:40" x14ac:dyDescent="0.3">
      <c r="A3121" t="str">
        <f>"20200111160515612"</f>
        <v>20200111160515612</v>
      </c>
      <c r="B3121" t="str">
        <f>"1578729915604339"</f>
        <v>1578729915604339</v>
      </c>
      <c r="C3121" t="s">
        <v>40</v>
      </c>
      <c r="D3121">
        <v>5.573226</v>
      </c>
      <c r="E3121">
        <v>0.55837630000000005</v>
      </c>
      <c r="F3121" t="s">
        <v>42</v>
      </c>
      <c r="G3121">
        <v>-275.01589999999999</v>
      </c>
      <c r="H3121">
        <v>1.0350159999999999</v>
      </c>
      <c r="I3121">
        <v>213.6576</v>
      </c>
      <c r="J3121">
        <v>-275.6105</v>
      </c>
      <c r="K3121">
        <v>1.1107670000000001</v>
      </c>
      <c r="L3121">
        <v>213.7422</v>
      </c>
      <c r="M3121">
        <v>0.99980630000000004</v>
      </c>
      <c r="N3121">
        <v>0</v>
      </c>
      <c r="O3121">
        <v>1.3964519999999999E-2</v>
      </c>
      <c r="P3121">
        <v>0.99807230000000002</v>
      </c>
      <c r="Q3121">
        <v>-1.9095480000000001E-2</v>
      </c>
      <c r="R3121">
        <v>5.9053429999999997E-2</v>
      </c>
      <c r="S3121">
        <v>3.017029</v>
      </c>
      <c r="T3121">
        <v>-0.26331130000000003</v>
      </c>
      <c r="U3121">
        <v>-0.2796478</v>
      </c>
      <c r="V3121">
        <v>-4.5101740000000001E-2</v>
      </c>
      <c r="W3121">
        <v>-5.2887419999999999E-3</v>
      </c>
      <c r="X3121">
        <v>0.99896839999999998</v>
      </c>
      <c r="Y3121">
        <v>0.1057401</v>
      </c>
      <c r="Z3121">
        <v>-5.8098280000000004E-3</v>
      </c>
      <c r="AA3121">
        <v>0.99437679999999995</v>
      </c>
      <c r="AB3121">
        <v>34</v>
      </c>
      <c r="AC3121">
        <v>0.59460000000001401</v>
      </c>
      <c r="AD3121">
        <v>-7.5751000000000096E-2</v>
      </c>
      <c r="AE3121">
        <v>-8.4599999999994596E-2</v>
      </c>
      <c r="AF3121">
        <v>9.1441180370672406E-2</v>
      </c>
      <c r="AG3121">
        <v>-7.5751000000000096E-2</v>
      </c>
      <c r="AH3121">
        <v>0.58406897051603401</v>
      </c>
      <c r="AI3121">
        <v>97.301776778515602</v>
      </c>
      <c r="AJ3121">
        <v>81.102066249459995</v>
      </c>
      <c r="AK3121">
        <v>0.59601700125771695</v>
      </c>
      <c r="AL3121">
        <v>90.303024007887501</v>
      </c>
      <c r="AM3121">
        <v>92.585052424042502</v>
      </c>
      <c r="AN3121">
        <v>1.0000000009707599</v>
      </c>
    </row>
    <row r="3122" spans="1:40" x14ac:dyDescent="0.3">
      <c r="A3122" t="str">
        <f>"20200111160515626"</f>
        <v>20200111160515626</v>
      </c>
      <c r="B3122" t="str">
        <f>"1578729915614606"</f>
        <v>1578729915614606</v>
      </c>
      <c r="C3122" t="s">
        <v>40</v>
      </c>
      <c r="D3122">
        <v>5.5156549999999998</v>
      </c>
      <c r="E3122">
        <v>0.55851509999999904</v>
      </c>
      <c r="F3122" t="s">
        <v>42</v>
      </c>
      <c r="G3122">
        <v>-274.71019999999999</v>
      </c>
      <c r="H3122">
        <v>1.0311189999999999</v>
      </c>
      <c r="I3122">
        <v>213.65880000000001</v>
      </c>
      <c r="J3122">
        <v>-275.40140000000002</v>
      </c>
      <c r="K3122">
        <v>1.1107750000000001</v>
      </c>
      <c r="L3122">
        <v>213.74549999999999</v>
      </c>
      <c r="M3122">
        <v>0.99980020000000003</v>
      </c>
      <c r="N3122">
        <v>0</v>
      </c>
      <c r="O3122">
        <v>1.432959E-2</v>
      </c>
      <c r="P3122">
        <v>0.9980502</v>
      </c>
      <c r="Q3122">
        <v>-1.9323759999999999E-2</v>
      </c>
      <c r="R3122">
        <v>5.9350609999999998E-2</v>
      </c>
      <c r="S3122">
        <v>3.0171809999999999</v>
      </c>
      <c r="T3122">
        <v>-0.26702019999999999</v>
      </c>
      <c r="U3122">
        <v>-0.27856449999999999</v>
      </c>
      <c r="V3122">
        <v>-4.5034060000000001E-2</v>
      </c>
      <c r="W3122">
        <v>-5.4601930000000003E-3</v>
      </c>
      <c r="X3122">
        <v>0.99897049999999998</v>
      </c>
      <c r="Y3122">
        <v>0.1057304</v>
      </c>
      <c r="Z3122">
        <v>-5.9229110000000003E-3</v>
      </c>
      <c r="AA3122">
        <v>0.99437719999999996</v>
      </c>
      <c r="AB3122">
        <v>34</v>
      </c>
      <c r="AC3122">
        <v>0.69120000000003701</v>
      </c>
      <c r="AD3122">
        <v>-7.9655999999999894E-2</v>
      </c>
      <c r="AE3122">
        <v>-8.6699999999979099E-2</v>
      </c>
      <c r="AF3122">
        <v>9.5349947597873699E-2</v>
      </c>
      <c r="AG3122">
        <v>-7.9655999999999894E-2</v>
      </c>
      <c r="AH3122">
        <v>0.68098251214170402</v>
      </c>
      <c r="AI3122">
        <v>96.607812573424297</v>
      </c>
      <c r="AJ3122">
        <v>82.029366704318505</v>
      </c>
      <c r="AK3122">
        <v>0.69222386024012705</v>
      </c>
      <c r="AL3122">
        <v>90.312847578128199</v>
      </c>
      <c r="AM3122">
        <v>92.581173107110999</v>
      </c>
      <c r="AN3122">
        <v>0.99999997006896402</v>
      </c>
    </row>
    <row r="3123" spans="1:40" x14ac:dyDescent="0.3">
      <c r="A3123" t="str">
        <f>"20200111160515639"</f>
        <v>20200111160515639</v>
      </c>
      <c r="B3123" t="str">
        <f>"1578729915634126"</f>
        <v>1578729915634126</v>
      </c>
      <c r="C3123" t="s">
        <v>40</v>
      </c>
      <c r="D3123">
        <v>5.6048960000000001</v>
      </c>
      <c r="E3123">
        <v>0.55855459999999901</v>
      </c>
      <c r="F3123" t="s">
        <v>42</v>
      </c>
      <c r="G3123">
        <v>-274.40719999999999</v>
      </c>
      <c r="H3123">
        <v>1.0222009999999999</v>
      </c>
      <c r="I3123">
        <v>213.65360000000001</v>
      </c>
      <c r="J3123">
        <v>-275.19099999999997</v>
      </c>
      <c r="K3123">
        <v>1.110781</v>
      </c>
      <c r="L3123">
        <v>213.74879999999999</v>
      </c>
      <c r="M3123">
        <v>0.99979410000000002</v>
      </c>
      <c r="N3123">
        <v>0</v>
      </c>
      <c r="O3123">
        <v>1.4697409999999999E-2</v>
      </c>
      <c r="P3123">
        <v>0.99801470000000003</v>
      </c>
      <c r="Q3123">
        <v>-1.9486460000000001E-2</v>
      </c>
      <c r="R3123">
        <v>5.9892710000000002E-2</v>
      </c>
      <c r="S3123">
        <v>3.017242</v>
      </c>
      <c r="T3123">
        <v>-0.26885969999999998</v>
      </c>
      <c r="U3123">
        <v>-0.27871699999999999</v>
      </c>
      <c r="V3123">
        <v>-4.5209329999999999E-2</v>
      </c>
      <c r="W3123">
        <v>-5.570719E-3</v>
      </c>
      <c r="X3123">
        <v>0.99896200000000002</v>
      </c>
      <c r="Y3123">
        <v>0.1061348</v>
      </c>
      <c r="Z3123">
        <v>-6.0140189999999998E-3</v>
      </c>
      <c r="AA3123">
        <v>0.99433360000000004</v>
      </c>
      <c r="AB3123">
        <v>34</v>
      </c>
      <c r="AC3123">
        <v>0.78379999999998495</v>
      </c>
      <c r="AD3123">
        <v>-8.8580000000000103E-2</v>
      </c>
      <c r="AE3123">
        <v>-9.5199999999976997E-2</v>
      </c>
      <c r="AF3123">
        <v>0.105384266651676</v>
      </c>
      <c r="AG3123">
        <v>-8.8580000000000103E-2</v>
      </c>
      <c r="AH3123">
        <v>0.77259186020046799</v>
      </c>
      <c r="AI3123">
        <v>96.481077679292596</v>
      </c>
      <c r="AJ3123">
        <v>82.232589279907202</v>
      </c>
      <c r="AK3123">
        <v>0.78476139208407303</v>
      </c>
      <c r="AL3123">
        <v>90.319180339394705</v>
      </c>
      <c r="AM3123">
        <v>92.591227238395803</v>
      </c>
      <c r="AN3123">
        <v>0.99999999693661201</v>
      </c>
    </row>
    <row r="3124" spans="1:40" x14ac:dyDescent="0.3">
      <c r="A3124" t="str">
        <f>"20200111160515663"</f>
        <v>20200111160515663</v>
      </c>
      <c r="B3124" t="str">
        <f>"1578729915654621"</f>
        <v>1578729915654621</v>
      </c>
      <c r="C3124" t="s">
        <v>40</v>
      </c>
      <c r="D3124">
        <v>5.5350000000000001</v>
      </c>
      <c r="E3124">
        <v>0.55868830000000003</v>
      </c>
      <c r="F3124" t="s">
        <v>42</v>
      </c>
      <c r="G3124">
        <v>-274.39909999999998</v>
      </c>
      <c r="H3124">
        <v>1.0397879999999999</v>
      </c>
      <c r="I3124">
        <v>213.67599999999999</v>
      </c>
      <c r="J3124">
        <v>-274.83789999999999</v>
      </c>
      <c r="K3124">
        <v>1.110792</v>
      </c>
      <c r="L3124">
        <v>213.75470000000001</v>
      </c>
      <c r="M3124">
        <v>0.99978370000000005</v>
      </c>
      <c r="N3124">
        <v>0</v>
      </c>
      <c r="O3124">
        <v>1.531656E-2</v>
      </c>
      <c r="P3124">
        <v>0.99799369999999998</v>
      </c>
      <c r="Q3124">
        <v>-1.9106600000000001E-2</v>
      </c>
      <c r="R3124">
        <v>6.0360799999999999E-2</v>
      </c>
      <c r="S3124">
        <v>3.017334</v>
      </c>
      <c r="T3124">
        <v>-0.27055040000000002</v>
      </c>
      <c r="U3124">
        <v>-0.27731319999999998</v>
      </c>
      <c r="V3124">
        <v>-4.5059870000000002E-2</v>
      </c>
      <c r="W3124">
        <v>-5.1096029999999999E-3</v>
      </c>
      <c r="X3124">
        <v>0.99897119999999995</v>
      </c>
      <c r="Y3124">
        <v>0.1062801</v>
      </c>
      <c r="Z3124">
        <v>-6.1134300000000004E-3</v>
      </c>
      <c r="AA3124">
        <v>0.99431740000000002</v>
      </c>
      <c r="AB3124">
        <v>34</v>
      </c>
      <c r="AC3124">
        <v>0.43880000000001401</v>
      </c>
      <c r="AD3124">
        <v>-7.1003999999999998E-2</v>
      </c>
      <c r="AE3124">
        <v>-7.8700000000026193E-2</v>
      </c>
      <c r="AF3124">
        <v>8.3299222782399401E-2</v>
      </c>
      <c r="AG3124">
        <v>-7.1003999999999998E-2</v>
      </c>
      <c r="AH3124">
        <v>0.42671809816129302</v>
      </c>
      <c r="AI3124">
        <v>99.275264045602199</v>
      </c>
      <c r="AJ3124">
        <v>78.954254057912706</v>
      </c>
      <c r="AK3124">
        <v>0.44053225061343998</v>
      </c>
      <c r="AL3124">
        <v>90.292759966890799</v>
      </c>
      <c r="AM3124">
        <v>92.582648623900198</v>
      </c>
      <c r="AN3124">
        <v>0.99999997917833705</v>
      </c>
    </row>
    <row r="3125" spans="1:40" x14ac:dyDescent="0.3">
      <c r="A3125" t="str">
        <f>"20200111160515684"</f>
        <v>20200111160515684</v>
      </c>
      <c r="B3125" t="str">
        <f>"1578729915674142"</f>
        <v>1578729915674142</v>
      </c>
      <c r="C3125" t="s">
        <v>40</v>
      </c>
      <c r="D3125">
        <v>5.4918120000000004</v>
      </c>
      <c r="E3125">
        <v>0.55878430000000001</v>
      </c>
      <c r="F3125" t="s">
        <v>42</v>
      </c>
      <c r="G3125">
        <v>-274.09050000000002</v>
      </c>
      <c r="H3125">
        <v>1.0435490000000001</v>
      </c>
      <c r="I3125">
        <v>213.6859</v>
      </c>
      <c r="J3125">
        <v>-274.5052</v>
      </c>
      <c r="K3125">
        <v>1.110795</v>
      </c>
      <c r="L3125">
        <v>213.7604</v>
      </c>
      <c r="M3125">
        <v>0.99977360000000004</v>
      </c>
      <c r="N3125">
        <v>0</v>
      </c>
      <c r="O3125">
        <v>1.5900850000000001E-2</v>
      </c>
      <c r="P3125">
        <v>0.99797970000000003</v>
      </c>
      <c r="Q3125">
        <v>-1.8375570000000001E-2</v>
      </c>
      <c r="R3125">
        <v>6.0818759999999999E-2</v>
      </c>
      <c r="S3125">
        <v>3.0175169999999998</v>
      </c>
      <c r="T3125">
        <v>-0.27168979999999998</v>
      </c>
      <c r="U3125">
        <v>-0.27685549999999998</v>
      </c>
      <c r="V3125">
        <v>-4.4934759999999997E-2</v>
      </c>
      <c r="W3125">
        <v>-4.3113020000000004E-3</v>
      </c>
      <c r="X3125">
        <v>0.9989806</v>
      </c>
      <c r="Y3125">
        <v>0.1066981</v>
      </c>
      <c r="Z3125">
        <v>-6.2098969999999998E-3</v>
      </c>
      <c r="AA3125">
        <v>0.99427209999999999</v>
      </c>
      <c r="AB3125">
        <v>34</v>
      </c>
      <c r="AC3125">
        <v>0.41469999999998203</v>
      </c>
      <c r="AD3125">
        <v>-6.7245999999999903E-2</v>
      </c>
      <c r="AE3125">
        <v>-7.4500000000000399E-2</v>
      </c>
      <c r="AF3125">
        <v>7.9071187002961799E-2</v>
      </c>
      <c r="AG3125">
        <v>-6.7245999999999903E-2</v>
      </c>
      <c r="AH3125">
        <v>0.40319254116251602</v>
      </c>
      <c r="AI3125">
        <v>99.294974341928395</v>
      </c>
      <c r="AJ3125">
        <v>78.904384996164197</v>
      </c>
      <c r="AK3125">
        <v>0.41633940767016497</v>
      </c>
      <c r="AL3125">
        <v>90.2470201790955</v>
      </c>
      <c r="AM3125">
        <v>92.5754632943963</v>
      </c>
      <c r="AN3125">
        <v>0.99999997957877595</v>
      </c>
    </row>
    <row r="3126" spans="1:40" x14ac:dyDescent="0.3">
      <c r="A3126" t="str">
        <f>"20200111160515701"</f>
        <v>20200111160515701</v>
      </c>
      <c r="B3126" t="str">
        <f>"1578729915694638"</f>
        <v>1578729915694638</v>
      </c>
      <c r="C3126" t="s">
        <v>40</v>
      </c>
      <c r="D3126">
        <v>5.4957890000000003</v>
      </c>
      <c r="E3126">
        <v>0.5589826</v>
      </c>
      <c r="F3126" t="s">
        <v>42</v>
      </c>
      <c r="G3126">
        <v>-273.48930000000001</v>
      </c>
      <c r="H3126">
        <v>1.019557</v>
      </c>
      <c r="I3126">
        <v>213.66720000000001</v>
      </c>
      <c r="J3126">
        <v>-274.24220000000003</v>
      </c>
      <c r="K3126">
        <v>1.110798</v>
      </c>
      <c r="L3126">
        <v>213.76499999999999</v>
      </c>
      <c r="M3126">
        <v>0.99976549999999997</v>
      </c>
      <c r="N3126">
        <v>0</v>
      </c>
      <c r="O3126">
        <v>1.6363340000000001E-2</v>
      </c>
      <c r="P3126">
        <v>0.99797849999999999</v>
      </c>
      <c r="Q3126">
        <v>-1.8243599999999999E-2</v>
      </c>
      <c r="R3126">
        <v>6.0876520000000003E-2</v>
      </c>
      <c r="S3126">
        <v>3.0179140000000002</v>
      </c>
      <c r="T3126">
        <v>-0.2712348</v>
      </c>
      <c r="U3126">
        <v>-0.27601619999999999</v>
      </c>
      <c r="V3126">
        <v>-4.4531319999999999E-2</v>
      </c>
      <c r="W3126">
        <v>-4.1316230000000001E-3</v>
      </c>
      <c r="X3126">
        <v>0.99899939999999998</v>
      </c>
      <c r="Y3126">
        <v>0.1068711</v>
      </c>
      <c r="Z3126">
        <v>-6.2479669999999897E-3</v>
      </c>
      <c r="AA3126">
        <v>0.99425330000000001</v>
      </c>
      <c r="AB3126">
        <v>34</v>
      </c>
      <c r="AC3126">
        <v>0.752900000000011</v>
      </c>
      <c r="AD3126">
        <v>-9.1240999999999906E-2</v>
      </c>
      <c r="AE3126">
        <v>-9.7799999999978099E-2</v>
      </c>
      <c r="AF3126">
        <v>0.108540518505852</v>
      </c>
      <c r="AG3126">
        <v>-9.1240999999999906E-2</v>
      </c>
      <c r="AH3126">
        <v>0.74050404322968</v>
      </c>
      <c r="AI3126">
        <v>96.950746717481806</v>
      </c>
      <c r="AJ3126">
        <v>81.661163769403601</v>
      </c>
      <c r="AK3126">
        <v>0.75395769263137202</v>
      </c>
      <c r="AL3126">
        <v>90.236725244594098</v>
      </c>
      <c r="AM3126">
        <v>92.552322632288295</v>
      </c>
      <c r="AN3126">
        <v>0.99999995498495697</v>
      </c>
    </row>
    <row r="3127" spans="1:40" x14ac:dyDescent="0.3">
      <c r="A3127" t="str">
        <f>"20200111160515714"</f>
        <v>20200111160515714</v>
      </c>
      <c r="B3127" t="str">
        <f>"1578729915704398"</f>
        <v>1578729915704398</v>
      </c>
      <c r="C3127" t="s">
        <v>40</v>
      </c>
      <c r="D3127">
        <v>5.4581629999999999</v>
      </c>
      <c r="E3127">
        <v>0.55906409999999995</v>
      </c>
      <c r="F3127" t="s">
        <v>42</v>
      </c>
      <c r="G3127">
        <v>-273.47890000000001</v>
      </c>
      <c r="H3127">
        <v>1.0420579999999999</v>
      </c>
      <c r="I3127">
        <v>213.69460000000001</v>
      </c>
      <c r="J3127">
        <v>-274.03809999999999</v>
      </c>
      <c r="K3127">
        <v>1.110806</v>
      </c>
      <c r="L3127">
        <v>213.7687</v>
      </c>
      <c r="M3127">
        <v>0.99975919999999896</v>
      </c>
      <c r="N3127">
        <v>0</v>
      </c>
      <c r="O3127">
        <v>1.6722029999999999E-2</v>
      </c>
      <c r="P3127">
        <v>0.9979692</v>
      </c>
      <c r="Q3127">
        <v>-1.8003439999999999E-2</v>
      </c>
      <c r="R3127">
        <v>6.110318E-2</v>
      </c>
      <c r="S3127">
        <v>3.0180359999999999</v>
      </c>
      <c r="T3127">
        <v>-0.27205960000000001</v>
      </c>
      <c r="U3127">
        <v>-0.27748109999999998</v>
      </c>
      <c r="V3127">
        <v>-4.4399889999999997E-2</v>
      </c>
      <c r="W3127">
        <v>-3.8583010000000002E-3</v>
      </c>
      <c r="X3127">
        <v>0.99900639999999996</v>
      </c>
      <c r="Y3127">
        <v>0.107695</v>
      </c>
      <c r="Z3127">
        <v>-6.3356990000000002E-3</v>
      </c>
      <c r="AA3127">
        <v>0.99416380000000004</v>
      </c>
      <c r="AB3127">
        <v>34</v>
      </c>
      <c r="AC3127">
        <v>0.55919999999997505</v>
      </c>
      <c r="AD3127">
        <v>-6.8748000000000004E-2</v>
      </c>
      <c r="AE3127">
        <v>-7.4099999999987107E-2</v>
      </c>
      <c r="AF3127">
        <v>8.2220288735585595E-2</v>
      </c>
      <c r="AG3127">
        <v>-6.8748000000000004E-2</v>
      </c>
      <c r="AH3127">
        <v>0.54971738987363605</v>
      </c>
      <c r="AI3127">
        <v>97.050809406619294</v>
      </c>
      <c r="AJ3127">
        <v>81.493426914777501</v>
      </c>
      <c r="AK3127">
        <v>0.56006756031147398</v>
      </c>
      <c r="AL3127">
        <v>90.221064909225007</v>
      </c>
      <c r="AM3127">
        <v>92.544781801931293</v>
      </c>
      <c r="AN3127">
        <v>1.0000000119797801</v>
      </c>
    </row>
    <row r="3128" spans="1:40" x14ac:dyDescent="0.3">
      <c r="A3128" t="str">
        <f>"20200111160515729"</f>
        <v>20200111160515729</v>
      </c>
      <c r="B3128" t="str">
        <f>"1578729915724426"</f>
        <v>1578729915724426</v>
      </c>
      <c r="C3128" t="s">
        <v>40</v>
      </c>
      <c r="D3128">
        <v>5.5171349999999997</v>
      </c>
      <c r="E3128">
        <v>0.55935979999999996</v>
      </c>
      <c r="F3128" t="s">
        <v>42</v>
      </c>
      <c r="G3128">
        <v>-273.1773</v>
      </c>
      <c r="H3128">
        <v>1.033326</v>
      </c>
      <c r="I3128">
        <v>213.68950000000001</v>
      </c>
      <c r="J3128">
        <v>-273.82209999999998</v>
      </c>
      <c r="K3128">
        <v>1.1108100000000001</v>
      </c>
      <c r="L3128">
        <v>213.77269999999999</v>
      </c>
      <c r="M3128">
        <v>0.99975219999999998</v>
      </c>
      <c r="N3128">
        <v>0</v>
      </c>
      <c r="O3128">
        <v>1.7101890000000002E-2</v>
      </c>
      <c r="P3128">
        <v>0.99798640000000005</v>
      </c>
      <c r="Q3128">
        <v>-1.781833E-2</v>
      </c>
      <c r="R3128">
        <v>6.0874539999999998E-2</v>
      </c>
      <c r="S3128">
        <v>3.0181269999999998</v>
      </c>
      <c r="T3128">
        <v>-0.2718235</v>
      </c>
      <c r="U3128">
        <v>-0.27722170000000002</v>
      </c>
      <c r="V3128">
        <v>-4.37916E-2</v>
      </c>
      <c r="W3128">
        <v>-3.6394740000000002E-3</v>
      </c>
      <c r="X3128">
        <v>0.99903399999999998</v>
      </c>
      <c r="Y3128">
        <v>0.1079835</v>
      </c>
      <c r="Z3128">
        <v>-6.3770759999999998E-3</v>
      </c>
      <c r="AA3128">
        <v>0.99413220000000002</v>
      </c>
      <c r="AB3128">
        <v>34</v>
      </c>
      <c r="AC3128">
        <v>0.64479999999997495</v>
      </c>
      <c r="AD3128">
        <v>-7.7484000000000094E-2</v>
      </c>
      <c r="AE3128">
        <v>-8.3199999999976598E-2</v>
      </c>
      <c r="AF3128">
        <v>9.2896766287882404E-2</v>
      </c>
      <c r="AG3128">
        <v>-7.7484000000000094E-2</v>
      </c>
      <c r="AH3128">
        <v>0.63427359866954602</v>
      </c>
      <c r="AI3128">
        <v>96.892035410918993</v>
      </c>
      <c r="AJ3128">
        <v>81.667607233338799</v>
      </c>
      <c r="AK3128">
        <v>0.64570626248470098</v>
      </c>
      <c r="AL3128">
        <v>90.208526972381804</v>
      </c>
      <c r="AM3128">
        <v>92.509893274716504</v>
      </c>
      <c r="AN3128">
        <v>0.99999994157877603</v>
      </c>
    </row>
    <row r="3129" spans="1:40" x14ac:dyDescent="0.3">
      <c r="A3129" t="str">
        <f>"20200111160515746"</f>
        <v>20200111160515746</v>
      </c>
      <c r="B3129" t="str">
        <f>"1578729915734186"</f>
        <v>1578729915734186</v>
      </c>
      <c r="C3129" t="s">
        <v>40</v>
      </c>
      <c r="D3129">
        <v>5.4144560000000004</v>
      </c>
      <c r="E3129">
        <v>0.55943669999999901</v>
      </c>
      <c r="F3129" t="s">
        <v>42</v>
      </c>
      <c r="G3129">
        <v>-272.87549999999999</v>
      </c>
      <c r="H3129">
        <v>1.025603</v>
      </c>
      <c r="I3129">
        <v>213.68440000000001</v>
      </c>
      <c r="J3129">
        <v>-273.55829999999997</v>
      </c>
      <c r="K3129">
        <v>1.110816</v>
      </c>
      <c r="L3129">
        <v>213.77760000000001</v>
      </c>
      <c r="M3129">
        <v>0.99974370000000001</v>
      </c>
      <c r="N3129">
        <v>0</v>
      </c>
      <c r="O3129">
        <v>1.7565219999999999E-2</v>
      </c>
      <c r="P3129">
        <v>0.99797460000000004</v>
      </c>
      <c r="Q3129">
        <v>-1.7770830000000001E-2</v>
      </c>
      <c r="R3129">
        <v>6.1082930000000001E-2</v>
      </c>
      <c r="S3129">
        <v>3.0183110000000002</v>
      </c>
      <c r="T3129">
        <v>-0.27195330000000001</v>
      </c>
      <c r="U3129">
        <v>-0.28051759999999998</v>
      </c>
      <c r="V3129">
        <v>-4.353771E-2</v>
      </c>
      <c r="W3129">
        <v>-3.5557140000000002E-3</v>
      </c>
      <c r="X3129">
        <v>0.99904539999999997</v>
      </c>
      <c r="Y3129">
        <v>0.1095066</v>
      </c>
      <c r="Z3129">
        <v>-6.4893340000000002E-3</v>
      </c>
      <c r="AA3129">
        <v>0.99396490000000004</v>
      </c>
      <c r="AB3129">
        <v>34</v>
      </c>
      <c r="AC3129">
        <v>0.68279999999998597</v>
      </c>
      <c r="AD3129">
        <v>-8.52129999999999E-2</v>
      </c>
      <c r="AE3129">
        <v>-9.3199999999995897E-2</v>
      </c>
      <c r="AF3129">
        <v>0.103596384582331</v>
      </c>
      <c r="AG3129">
        <v>-8.52129999999999E-2</v>
      </c>
      <c r="AH3129">
        <v>0.67080084185661004</v>
      </c>
      <c r="AI3129">
        <v>97.155670551398899</v>
      </c>
      <c r="AJ3129">
        <v>81.220777508264206</v>
      </c>
      <c r="AK3129">
        <v>0.68408130781586696</v>
      </c>
      <c r="AL3129">
        <v>90.203727846204998</v>
      </c>
      <c r="AM3129">
        <v>92.495331707722599</v>
      </c>
      <c r="AN3129">
        <v>0.99999994327762498</v>
      </c>
    </row>
    <row r="3130" spans="1:40" x14ac:dyDescent="0.3">
      <c r="A3130" t="str">
        <f>"20200111160515762"</f>
        <v>20200111160515762</v>
      </c>
      <c r="B3130" t="str">
        <f>"1578729915754681"</f>
        <v>1578729915754681</v>
      </c>
      <c r="C3130" t="s">
        <v>40</v>
      </c>
      <c r="D3130">
        <v>5.3702629999999996</v>
      </c>
      <c r="E3130">
        <v>0.55960739999999998</v>
      </c>
      <c r="F3130" t="s">
        <v>42</v>
      </c>
      <c r="G3130">
        <v>-272.57229999999998</v>
      </c>
      <c r="H3130">
        <v>1.021808</v>
      </c>
      <c r="I3130">
        <v>213.6859</v>
      </c>
      <c r="J3130">
        <v>-273.3143</v>
      </c>
      <c r="K3130">
        <v>1.110819</v>
      </c>
      <c r="L3130">
        <v>213.78229999999999</v>
      </c>
      <c r="M3130">
        <v>0.99973559999999995</v>
      </c>
      <c r="N3130">
        <v>0</v>
      </c>
      <c r="O3130">
        <v>1.79939E-2</v>
      </c>
      <c r="P3130">
        <v>0.99799320000000002</v>
      </c>
      <c r="Q3130">
        <v>-1.7342179999999999E-2</v>
      </c>
      <c r="R3130">
        <v>6.0902610000000003E-2</v>
      </c>
      <c r="S3130">
        <v>3.018402</v>
      </c>
      <c r="T3130">
        <v>-0.27259149999999999</v>
      </c>
      <c r="U3130">
        <v>-0.28038020000000002</v>
      </c>
      <c r="V3130">
        <v>-4.292895E-2</v>
      </c>
      <c r="W3130">
        <v>-3.096283E-3</v>
      </c>
      <c r="X3130">
        <v>0.99907330000000005</v>
      </c>
      <c r="Y3130">
        <v>0.10987959999999999</v>
      </c>
      <c r="Z3130">
        <v>-6.5596609999999996E-3</v>
      </c>
      <c r="AA3130">
        <v>0.99392320000000001</v>
      </c>
      <c r="AB3130">
        <v>34</v>
      </c>
      <c r="AC3130">
        <v>0.74200000000001798</v>
      </c>
      <c r="AD3130">
        <v>-8.9010999999999896E-2</v>
      </c>
      <c r="AE3130">
        <v>-9.6399999999988495E-2</v>
      </c>
      <c r="AF3130">
        <v>0.108205927819692</v>
      </c>
      <c r="AG3130">
        <v>-8.9010999999999896E-2</v>
      </c>
      <c r="AH3130">
        <v>0.72981686444001403</v>
      </c>
      <c r="AI3130">
        <v>96.8791823099005</v>
      </c>
      <c r="AJ3130">
        <v>81.566508150398604</v>
      </c>
      <c r="AK3130">
        <v>0.74314476150839803</v>
      </c>
      <c r="AL3130">
        <v>90.177404236819001</v>
      </c>
      <c r="AM3130">
        <v>92.460415634263001</v>
      </c>
      <c r="AN3130">
        <v>0.999999970244703</v>
      </c>
    </row>
    <row r="3131" spans="1:40" x14ac:dyDescent="0.3">
      <c r="A3131" t="str">
        <f>"20200111160515779"</f>
        <v>20200111160515779</v>
      </c>
      <c r="B3131" t="str">
        <f>"1578729915774201"</f>
        <v>1578729915774201</v>
      </c>
      <c r="C3131" t="s">
        <v>40</v>
      </c>
      <c r="D3131">
        <v>5.3676979999999999</v>
      </c>
      <c r="E3131">
        <v>0.55982100000000001</v>
      </c>
      <c r="F3131" t="s">
        <v>42</v>
      </c>
      <c r="G3131">
        <v>-272.5625</v>
      </c>
      <c r="H3131">
        <v>1.0430379999999999</v>
      </c>
      <c r="I3131">
        <v>213.71190000000001</v>
      </c>
      <c r="J3131">
        <v>-273.06670000000003</v>
      </c>
      <c r="K3131">
        <v>1.1108229999999999</v>
      </c>
      <c r="L3131">
        <v>213.78720000000001</v>
      </c>
      <c r="M3131">
        <v>0.99972740000000004</v>
      </c>
      <c r="N3131">
        <v>0</v>
      </c>
      <c r="O3131">
        <v>1.8428980000000001E-2</v>
      </c>
      <c r="P3131">
        <v>0.99799649999999995</v>
      </c>
      <c r="Q3131">
        <v>-1.7088320000000001E-2</v>
      </c>
      <c r="R3131">
        <v>6.0919479999999998E-2</v>
      </c>
      <c r="S3131">
        <v>3.0185240000000002</v>
      </c>
      <c r="T3131">
        <v>-0.27227970000000001</v>
      </c>
      <c r="U3131">
        <v>-0.2820435</v>
      </c>
      <c r="V3131">
        <v>-4.2511180000000003E-2</v>
      </c>
      <c r="W3131">
        <v>-2.815105E-3</v>
      </c>
      <c r="X3131">
        <v>0.99909199999999998</v>
      </c>
      <c r="Y3131">
        <v>0.1108469</v>
      </c>
      <c r="Z3131">
        <v>-6.6343060000000004E-3</v>
      </c>
      <c r="AA3131">
        <v>0.99381540000000002</v>
      </c>
      <c r="AB3131">
        <v>34</v>
      </c>
      <c r="AC3131">
        <v>0.50420000000002496</v>
      </c>
      <c r="AD3131">
        <v>-6.7784999999999901E-2</v>
      </c>
      <c r="AE3131">
        <v>-7.5299999999998493E-2</v>
      </c>
      <c r="AF3131">
        <v>8.3110662234113203E-2</v>
      </c>
      <c r="AG3131">
        <v>-6.7784999999999901E-2</v>
      </c>
      <c r="AH3131">
        <v>0.49399273552471401</v>
      </c>
      <c r="AI3131">
        <v>97.706277270160399</v>
      </c>
      <c r="AJ3131">
        <v>80.449841850285495</v>
      </c>
      <c r="AK3131">
        <v>0.50550075287103402</v>
      </c>
      <c r="AL3131">
        <v>90.1612938524801</v>
      </c>
      <c r="AM3131">
        <v>92.436455151150795</v>
      </c>
      <c r="AN3131">
        <v>0.99999997485257597</v>
      </c>
    </row>
    <row r="3132" spans="1:40" x14ac:dyDescent="0.3">
      <c r="A3132" t="str">
        <f>"20200111160515792"</f>
        <v>20200111160515792</v>
      </c>
      <c r="B3132" t="str">
        <f>"1578729915784938"</f>
        <v>1578729915784938</v>
      </c>
      <c r="C3132" t="s">
        <v>40</v>
      </c>
      <c r="D3132">
        <v>5.6460290000000004</v>
      </c>
      <c r="E3132">
        <v>0.55976630000000005</v>
      </c>
      <c r="F3132" t="s">
        <v>42</v>
      </c>
      <c r="G3132">
        <v>-272.26029999999997</v>
      </c>
      <c r="H3132">
        <v>1.0380860000000001</v>
      </c>
      <c r="I3132">
        <v>213.71109999999999</v>
      </c>
      <c r="J3132">
        <v>-272.8526</v>
      </c>
      <c r="K3132">
        <v>1.110822</v>
      </c>
      <c r="L3132">
        <v>213.79159999999999</v>
      </c>
      <c r="M3132">
        <v>0.9997201</v>
      </c>
      <c r="N3132">
        <v>0</v>
      </c>
      <c r="O3132">
        <v>1.88054E-2</v>
      </c>
      <c r="P3132">
        <v>0.99800120000000003</v>
      </c>
      <c r="Q3132">
        <v>-1.6859160000000002E-2</v>
      </c>
      <c r="R3132">
        <v>6.0906719999999998E-2</v>
      </c>
      <c r="S3132">
        <v>3.0186769999999998</v>
      </c>
      <c r="T3132">
        <v>-0.27250960000000002</v>
      </c>
      <c r="U3132">
        <v>-0.28373720000000002</v>
      </c>
      <c r="V3132">
        <v>-4.2122939999999998E-2</v>
      </c>
      <c r="W3132">
        <v>-2.564434E-3</v>
      </c>
      <c r="X3132">
        <v>0.99910909999999997</v>
      </c>
      <c r="Y3132">
        <v>0.1117631</v>
      </c>
      <c r="Z3132">
        <v>-6.7144120000000003E-3</v>
      </c>
      <c r="AA3132">
        <v>0.99371220000000005</v>
      </c>
      <c r="AB3132">
        <v>34</v>
      </c>
      <c r="AC3132">
        <v>0.59230000000002203</v>
      </c>
      <c r="AD3132">
        <v>-7.2735999999999898E-2</v>
      </c>
      <c r="AE3132">
        <v>-8.0500000000000599E-2</v>
      </c>
      <c r="AF3132">
        <v>9.0288449073499005E-2</v>
      </c>
      <c r="AG3132">
        <v>-7.2735999999999898E-2</v>
      </c>
      <c r="AH3132">
        <v>0.58206265924702505</v>
      </c>
      <c r="AI3132">
        <v>97.039571686602798</v>
      </c>
      <c r="AJ3132">
        <v>81.182659707580797</v>
      </c>
      <c r="AK3132">
        <v>0.59349765713254199</v>
      </c>
      <c r="AL3132">
        <v>90.1469314125425</v>
      </c>
      <c r="AM3132">
        <v>92.414189021528301</v>
      </c>
      <c r="AN3132">
        <v>0.99999995604939595</v>
      </c>
    </row>
    <row r="3133" spans="1:40" x14ac:dyDescent="0.3">
      <c r="A3133" t="str">
        <f>"20200111160515807"</f>
        <v>20200111160515807</v>
      </c>
      <c r="B3133" t="str">
        <f>"1578729915804458"</f>
        <v>1578729915804458</v>
      </c>
      <c r="C3133" t="s">
        <v>40</v>
      </c>
      <c r="D3133">
        <v>5.3156869999999996</v>
      </c>
      <c r="E3133">
        <v>0.55997430000000004</v>
      </c>
      <c r="F3133" t="s">
        <v>42</v>
      </c>
      <c r="G3133">
        <v>-271.95960000000002</v>
      </c>
      <c r="H3133">
        <v>1.030362</v>
      </c>
      <c r="I3133">
        <v>213.70760000000001</v>
      </c>
      <c r="J3133">
        <v>-272.63799999999998</v>
      </c>
      <c r="K3133">
        <v>1.110819</v>
      </c>
      <c r="L3133">
        <v>213.79599999999999</v>
      </c>
      <c r="M3133">
        <v>0.9997125</v>
      </c>
      <c r="N3133">
        <v>0</v>
      </c>
      <c r="O3133">
        <v>1.9182589999999999E-2</v>
      </c>
      <c r="P3133">
        <v>0.9980038</v>
      </c>
      <c r="Q3133">
        <v>-1.6778120000000001E-2</v>
      </c>
      <c r="R3133">
        <v>6.0882020000000002E-2</v>
      </c>
      <c r="S3133">
        <v>3.0187379999999999</v>
      </c>
      <c r="T3133">
        <v>-0.27208189999999999</v>
      </c>
      <c r="U3133">
        <v>-0.2831573</v>
      </c>
      <c r="V3133">
        <v>-4.1721319999999999E-2</v>
      </c>
      <c r="W3133">
        <v>-2.463481E-3</v>
      </c>
      <c r="X3133">
        <v>0.99912630000000002</v>
      </c>
      <c r="Y3133">
        <v>0.1119464</v>
      </c>
      <c r="Z3133">
        <v>-6.745933E-3</v>
      </c>
      <c r="AA3133">
        <v>0.99369130000000006</v>
      </c>
      <c r="AB3133">
        <v>34</v>
      </c>
      <c r="AC3133">
        <v>0.67839999999995304</v>
      </c>
      <c r="AD3133">
        <v>-8.0457000000000001E-2</v>
      </c>
      <c r="AE3133">
        <v>-8.8399999999978704E-2</v>
      </c>
      <c r="AF3133">
        <v>0.10001526703199</v>
      </c>
      <c r="AG3133">
        <v>-8.0457000000000001E-2</v>
      </c>
      <c r="AH3133">
        <v>0.66734933244628403</v>
      </c>
      <c r="AI3133">
        <v>96.799304620116203</v>
      </c>
      <c r="AJ3133">
        <v>81.476550769918106</v>
      </c>
      <c r="AK3133">
        <v>0.67958186703662204</v>
      </c>
      <c r="AL3133">
        <v>90.141147199873103</v>
      </c>
      <c r="AM3133">
        <v>92.391156733453897</v>
      </c>
      <c r="AN3133">
        <v>1.0000000503164299</v>
      </c>
    </row>
    <row r="3134" spans="1:40" x14ac:dyDescent="0.3">
      <c r="A3134" t="str">
        <f>"20200111160515829"</f>
        <v>20200111160515829</v>
      </c>
      <c r="B3134" t="str">
        <f>"1578729915824485"</f>
        <v>1578729915824485</v>
      </c>
      <c r="C3134" t="s">
        <v>40</v>
      </c>
      <c r="D3134">
        <v>5.5565429999999996</v>
      </c>
      <c r="E3134">
        <v>0.56016199999999905</v>
      </c>
      <c r="F3134" t="s">
        <v>42</v>
      </c>
      <c r="G3134">
        <v>-271.65929999999997</v>
      </c>
      <c r="H3134">
        <v>1.02242099999999</v>
      </c>
      <c r="I3134">
        <v>213.70339999999999</v>
      </c>
      <c r="J3134">
        <v>-272.29910000000001</v>
      </c>
      <c r="K3134">
        <v>1.1108229999999999</v>
      </c>
      <c r="L3134">
        <v>213.8031</v>
      </c>
      <c r="M3134">
        <v>0.99970060000000005</v>
      </c>
      <c r="N3134">
        <v>0</v>
      </c>
      <c r="O3134">
        <v>1.9778529999999999E-2</v>
      </c>
      <c r="P3134">
        <v>0.99799269999999995</v>
      </c>
      <c r="Q3134">
        <v>-1.637363E-2</v>
      </c>
      <c r="R3134">
        <v>6.118001E-2</v>
      </c>
      <c r="S3134">
        <v>3.018799</v>
      </c>
      <c r="T3134">
        <v>-0.27277610000000002</v>
      </c>
      <c r="U3134">
        <v>-0.28500370000000003</v>
      </c>
      <c r="V3134">
        <v>-4.1424559999999999E-2</v>
      </c>
      <c r="W3134">
        <v>-2.0322209999999999E-3</v>
      </c>
      <c r="X3134">
        <v>0.99913949999999996</v>
      </c>
      <c r="Y3134">
        <v>0.1131294</v>
      </c>
      <c r="Z3134">
        <v>-6.8696169999999997E-3</v>
      </c>
      <c r="AA3134">
        <v>0.99355649999999995</v>
      </c>
      <c r="AB3134">
        <v>34</v>
      </c>
      <c r="AC3134">
        <v>0.63980000000003601</v>
      </c>
      <c r="AD3134">
        <v>-8.8401999999999994E-2</v>
      </c>
      <c r="AE3134">
        <v>-9.9700000000012695E-2</v>
      </c>
      <c r="AF3134">
        <v>0.110280621838542</v>
      </c>
      <c r="AG3134">
        <v>-8.8401999999999994E-2</v>
      </c>
      <c r="AH3134">
        <v>0.626034228054695</v>
      </c>
      <c r="AI3134">
        <v>97.9172457391591</v>
      </c>
      <c r="AJ3134">
        <v>80.009418232677405</v>
      </c>
      <c r="AK3134">
        <v>0.64179091911083697</v>
      </c>
      <c r="AL3134">
        <v>90.116437774369999</v>
      </c>
      <c r="AM3134">
        <v>92.3741368521803</v>
      </c>
      <c r="AN3134">
        <v>0.99999993227681505</v>
      </c>
    </row>
    <row r="3135" spans="1:40" x14ac:dyDescent="0.3">
      <c r="A3135" t="str">
        <f>"20200111160515845"</f>
        <v>20200111160515845</v>
      </c>
      <c r="B3135" t="str">
        <f>"1578729915834246"</f>
        <v>1578729915834246</v>
      </c>
      <c r="C3135" t="s">
        <v>40</v>
      </c>
      <c r="D3135">
        <v>5.2688300000000003</v>
      </c>
      <c r="E3135">
        <v>0.5602606</v>
      </c>
      <c r="F3135" t="s">
        <v>42</v>
      </c>
      <c r="G3135">
        <v>-271.35419999999999</v>
      </c>
      <c r="H3135">
        <v>1.025765</v>
      </c>
      <c r="I3135">
        <v>213.71350000000001</v>
      </c>
      <c r="J3135">
        <v>-272.04629999999997</v>
      </c>
      <c r="K3135">
        <v>1.1108209999999901</v>
      </c>
      <c r="L3135">
        <v>213.80850000000001</v>
      </c>
      <c r="M3135">
        <v>0.99969149999999996</v>
      </c>
      <c r="N3135">
        <v>0</v>
      </c>
      <c r="O3135">
        <v>2.022345E-2</v>
      </c>
      <c r="P3135">
        <v>0.99795690000000004</v>
      </c>
      <c r="Q3135">
        <v>-1.6200450000000002E-2</v>
      </c>
      <c r="R3135">
        <v>6.1804289999999998E-2</v>
      </c>
      <c r="S3135">
        <v>3.019104</v>
      </c>
      <c r="T3135">
        <v>-0.2719066</v>
      </c>
      <c r="U3135">
        <v>-0.285553</v>
      </c>
      <c r="V3135">
        <v>-4.1605139999999999E-2</v>
      </c>
      <c r="W3135">
        <v>-1.8422359999999999E-3</v>
      </c>
      <c r="X3135">
        <v>0.99913249999999998</v>
      </c>
      <c r="Y3135">
        <v>0.1137406</v>
      </c>
      <c r="Z3135">
        <v>-6.9143879999999996E-3</v>
      </c>
      <c r="AA3135">
        <v>0.99348639999999999</v>
      </c>
      <c r="AB3135">
        <v>34</v>
      </c>
      <c r="AC3135">
        <v>0.69209999999998195</v>
      </c>
      <c r="AD3135">
        <v>-8.5055999999999798E-2</v>
      </c>
      <c r="AE3135">
        <v>-9.4999999999998794E-2</v>
      </c>
      <c r="AF3135">
        <v>0.107386769557304</v>
      </c>
      <c r="AG3135">
        <v>-8.5055999999999798E-2</v>
      </c>
      <c r="AH3135">
        <v>0.67995730452104697</v>
      </c>
      <c r="AI3135">
        <v>97.043696067025394</v>
      </c>
      <c r="AJ3135">
        <v>81.025310652845505</v>
      </c>
      <c r="AK3135">
        <v>0.69361976426820604</v>
      </c>
      <c r="AL3135">
        <v>90.105552400296204</v>
      </c>
      <c r="AM3135">
        <v>92.384491074087705</v>
      </c>
      <c r="AN3135">
        <v>1.0000000670320699</v>
      </c>
    </row>
    <row r="3136" spans="1:40" x14ac:dyDescent="0.3">
      <c r="A3136" t="str">
        <f>"20200111160515859"</f>
        <v>20200111160515859</v>
      </c>
      <c r="B3136" t="str">
        <f>"1578729915854742"</f>
        <v>1578729915854742</v>
      </c>
      <c r="C3136" t="s">
        <v>40</v>
      </c>
      <c r="D3136">
        <v>5.3020800000000001</v>
      </c>
      <c r="E3136">
        <v>0.56044130000000003</v>
      </c>
      <c r="F3136" t="s">
        <v>42</v>
      </c>
      <c r="G3136">
        <v>-271.05290000000002</v>
      </c>
      <c r="H3136">
        <v>1.0215799999999999</v>
      </c>
      <c r="I3136">
        <v>213.71459999999999</v>
      </c>
      <c r="J3136">
        <v>-271.8381</v>
      </c>
      <c r="K3136">
        <v>1.110822</v>
      </c>
      <c r="L3136">
        <v>213.81309999999999</v>
      </c>
      <c r="M3136">
        <v>0.99968369999999995</v>
      </c>
      <c r="N3136">
        <v>0</v>
      </c>
      <c r="O3136">
        <v>2.059008E-2</v>
      </c>
      <c r="P3136">
        <v>0.99794159999999998</v>
      </c>
      <c r="Q3136">
        <v>-1.588144E-2</v>
      </c>
      <c r="R3136">
        <v>6.2132420000000001E-2</v>
      </c>
      <c r="S3136">
        <v>3.0193479999999999</v>
      </c>
      <c r="T3136">
        <v>-0.27144000000000001</v>
      </c>
      <c r="U3136">
        <v>-0.28436280000000003</v>
      </c>
      <c r="V3136">
        <v>-4.1567529999999998E-2</v>
      </c>
      <c r="W3136">
        <v>-1.510752E-3</v>
      </c>
      <c r="X3136">
        <v>0.99913450000000004</v>
      </c>
      <c r="Y3136">
        <v>0.1137098</v>
      </c>
      <c r="Z3136">
        <v>-6.933598E-3</v>
      </c>
      <c r="AA3136">
        <v>0.99348979999999998</v>
      </c>
      <c r="AB3136">
        <v>34</v>
      </c>
      <c r="AC3136">
        <v>0.78519999999997403</v>
      </c>
      <c r="AD3136">
        <v>-8.9242000000000002E-2</v>
      </c>
      <c r="AE3136">
        <v>-9.8500000000001295E-2</v>
      </c>
      <c r="AF3136">
        <v>0.113208418771354</v>
      </c>
      <c r="AG3136">
        <v>-8.9242000000000002E-2</v>
      </c>
      <c r="AH3136">
        <v>0.773172459101795</v>
      </c>
      <c r="AI3136">
        <v>96.515260260795998</v>
      </c>
      <c r="AJ3136">
        <v>81.669907445988699</v>
      </c>
      <c r="AK3136">
        <v>0.78649598356140804</v>
      </c>
      <c r="AL3136">
        <v>90.0865597511348</v>
      </c>
      <c r="AM3136">
        <v>92.382333275495597</v>
      </c>
      <c r="AN3136">
        <v>0.99999994550607596</v>
      </c>
    </row>
    <row r="3137" spans="1:40" x14ac:dyDescent="0.3">
      <c r="A3137" t="str">
        <f>"20200111160515874"</f>
        <v>20200111160515874</v>
      </c>
      <c r="B3137" t="str">
        <f>"1578729915864502"</f>
        <v>1578729915864502</v>
      </c>
      <c r="C3137" t="s">
        <v>40</v>
      </c>
      <c r="D3137">
        <v>5.3084189999999998</v>
      </c>
      <c r="E3137">
        <v>0.56054459999999995</v>
      </c>
      <c r="F3137" t="s">
        <v>42</v>
      </c>
      <c r="G3137">
        <v>-271.04469999999998</v>
      </c>
      <c r="H3137">
        <v>1.0397879999999999</v>
      </c>
      <c r="I3137">
        <v>213.7379</v>
      </c>
      <c r="J3137">
        <v>-271.6241</v>
      </c>
      <c r="K3137">
        <v>1.110832</v>
      </c>
      <c r="L3137">
        <v>213.81790000000001</v>
      </c>
      <c r="M3137">
        <v>0.99967589999999995</v>
      </c>
      <c r="N3137">
        <v>0</v>
      </c>
      <c r="O3137">
        <v>2.0966849999999999E-2</v>
      </c>
      <c r="P3137">
        <v>0.99788900000000003</v>
      </c>
      <c r="Q3137">
        <v>-1.5477889999999999E-2</v>
      </c>
      <c r="R3137">
        <v>6.3074660000000005E-2</v>
      </c>
      <c r="S3137">
        <v>3.0195919999999998</v>
      </c>
      <c r="T3137">
        <v>-0.27061380000000002</v>
      </c>
      <c r="U3137">
        <v>-0.28495789999999999</v>
      </c>
      <c r="V3137">
        <v>-4.2134959999999999E-2</v>
      </c>
      <c r="W3137">
        <v>-1.0968869999999999E-3</v>
      </c>
      <c r="X3137">
        <v>0.99911139999999998</v>
      </c>
      <c r="Y3137">
        <v>0.11427039999999999</v>
      </c>
      <c r="Z3137">
        <v>-6.9706150000000003E-3</v>
      </c>
      <c r="AA3137">
        <v>0.99342529999999996</v>
      </c>
      <c r="AB3137">
        <v>34</v>
      </c>
      <c r="AC3137">
        <v>0.57940000000002101</v>
      </c>
      <c r="AD3137">
        <v>-7.1044000000000093E-2</v>
      </c>
      <c r="AE3137">
        <v>-8.0000000000012506E-2</v>
      </c>
      <c r="AF3137">
        <v>9.0792360884868903E-2</v>
      </c>
      <c r="AG3137">
        <v>-7.1044000000000093E-2</v>
      </c>
      <c r="AH3137">
        <v>0.56919740589771395</v>
      </c>
      <c r="AI3137">
        <v>97.026618479534207</v>
      </c>
      <c r="AJ3137">
        <v>80.937130473515495</v>
      </c>
      <c r="AK3137">
        <v>0.58075484467349503</v>
      </c>
      <c r="AL3137">
        <v>90.062847003666306</v>
      </c>
      <c r="AM3137">
        <v>92.4148715549006</v>
      </c>
      <c r="AN3137">
        <v>1.00000007381262</v>
      </c>
    </row>
    <row r="3138" spans="1:40" x14ac:dyDescent="0.3">
      <c r="A3138" t="str">
        <f>"20200111160515908"</f>
        <v>20200111160515908</v>
      </c>
      <c r="B3138" t="str">
        <f>"1578729915904518"</f>
        <v>1578729915904518</v>
      </c>
      <c r="C3138" t="s">
        <v>40</v>
      </c>
      <c r="D3138">
        <v>5.25075</v>
      </c>
      <c r="E3138">
        <v>0.49144409999999999</v>
      </c>
      <c r="F3138" t="s">
        <v>42</v>
      </c>
      <c r="G3138">
        <v>-270.74529999999999</v>
      </c>
      <c r="H3138">
        <v>1.0323880000000001</v>
      </c>
      <c r="I3138">
        <v>213.7355</v>
      </c>
      <c r="J3138">
        <v>-271.1105</v>
      </c>
      <c r="K3138">
        <v>1.1108420000000001</v>
      </c>
      <c r="L3138">
        <v>213.8297</v>
      </c>
      <c r="M3138">
        <v>0.99965619999999999</v>
      </c>
      <c r="N3138">
        <v>0</v>
      </c>
      <c r="O3138">
        <v>2.1871120000000001E-2</v>
      </c>
      <c r="P3138">
        <v>0.99778929999999999</v>
      </c>
      <c r="Q3138">
        <v>-1.522549E-2</v>
      </c>
      <c r="R3138">
        <v>6.4693120000000007E-2</v>
      </c>
      <c r="S3138">
        <v>3.0200499999999999</v>
      </c>
      <c r="T3138">
        <v>-0.26962770000000003</v>
      </c>
      <c r="U3138">
        <v>-0.28277590000000002</v>
      </c>
      <c r="V3138">
        <v>-4.2851489999999999E-2</v>
      </c>
      <c r="W3138">
        <v>-8.228024E-4</v>
      </c>
      <c r="X3138">
        <v>0.99908110000000006</v>
      </c>
      <c r="Y3138">
        <v>0.11444319999999999</v>
      </c>
      <c r="Z3138">
        <v>-7.0326130000000001E-3</v>
      </c>
      <c r="AA3138">
        <v>0.99340490000000004</v>
      </c>
      <c r="AB3138">
        <v>34</v>
      </c>
      <c r="AC3138">
        <v>0.36520000000001501</v>
      </c>
      <c r="AD3138">
        <v>-7.8454000000000204E-2</v>
      </c>
      <c r="AE3138">
        <v>-9.42000000000007E-2</v>
      </c>
      <c r="AF3138">
        <v>9.7928206593401596E-2</v>
      </c>
      <c r="AG3138">
        <v>-7.8454000000000204E-2</v>
      </c>
      <c r="AH3138">
        <v>0.34799419020687999</v>
      </c>
      <c r="AI3138">
        <v>102.244303135686</v>
      </c>
      <c r="AJ3138">
        <v>74.282995115353401</v>
      </c>
      <c r="AK3138">
        <v>0.369925560323077</v>
      </c>
      <c r="AL3138">
        <v>90.047143110882502</v>
      </c>
      <c r="AM3138">
        <v>92.455962407691999</v>
      </c>
      <c r="AN3138">
        <v>0.999999985788109</v>
      </c>
    </row>
    <row r="3139" spans="1:40" x14ac:dyDescent="0.3">
      <c r="A3139" t="str">
        <f>"20200111160515930"</f>
        <v>20200111160515930</v>
      </c>
      <c r="B3139" t="str">
        <f>"1578729915924545"</f>
        <v>1578729915924545</v>
      </c>
      <c r="C3139" t="s">
        <v>40</v>
      </c>
      <c r="D3139">
        <v>6.0176160000000003</v>
      </c>
      <c r="E3139">
        <v>0.48368820000000001</v>
      </c>
      <c r="F3139" t="s">
        <v>57</v>
      </c>
      <c r="G3139">
        <v>-225.22900000000001</v>
      </c>
      <c r="H3139" s="1">
        <v>1.103434E-6</v>
      </c>
      <c r="I3139">
        <v>217.87430000000001</v>
      </c>
      <c r="J3139">
        <v>-270.76710000000003</v>
      </c>
      <c r="K3139">
        <v>1.1108439999999999</v>
      </c>
      <c r="L3139">
        <v>213.83779999999999</v>
      </c>
      <c r="M3139">
        <v>0.99964249999999999</v>
      </c>
      <c r="N3139">
        <v>0</v>
      </c>
      <c r="O3139">
        <v>2.247598E-2</v>
      </c>
      <c r="P3139">
        <v>0.9977258</v>
      </c>
      <c r="Q3139">
        <v>-1.5140000000000001E-2</v>
      </c>
      <c r="R3139">
        <v>6.5683000000000005E-2</v>
      </c>
      <c r="S3139">
        <v>2.9884339999999998</v>
      </c>
      <c r="T3139">
        <v>-7.2353239999999999E-2</v>
      </c>
      <c r="U3139">
        <v>0.26344299999999998</v>
      </c>
      <c r="V3139">
        <v>-4.3238319999999997E-2</v>
      </c>
      <c r="W3139">
        <v>-7.2575809999999999E-4</v>
      </c>
      <c r="X3139">
        <v>0.99906450000000002</v>
      </c>
      <c r="Y3139">
        <v>-6.5387509999999996E-2</v>
      </c>
      <c r="Z3139">
        <v>2.469805E-4</v>
      </c>
      <c r="AA3139">
        <v>0.99785990000000002</v>
      </c>
      <c r="AB3139">
        <v>34</v>
      </c>
      <c r="AC3139">
        <v>45.5381</v>
      </c>
      <c r="AD3139">
        <v>-1.110842896566</v>
      </c>
      <c r="AE3139">
        <v>4.03650000000001</v>
      </c>
      <c r="AF3139">
        <v>-3.0100821460546299</v>
      </c>
      <c r="AG3139">
        <v>-1.110842896566</v>
      </c>
      <c r="AH3139">
        <v>45.590410498210098</v>
      </c>
      <c r="AI3139">
        <v>91.3927452452171</v>
      </c>
      <c r="AJ3139">
        <v>93.777440248709198</v>
      </c>
      <c r="AK3139">
        <v>45.7031738051326</v>
      </c>
      <c r="AL3139">
        <v>90.041582880680096</v>
      </c>
      <c r="AM3139">
        <v>92.478146539040395</v>
      </c>
      <c r="AN3139">
        <v>0.99999997710074495</v>
      </c>
    </row>
    <row r="3140" spans="1:40" x14ac:dyDescent="0.3">
      <c r="A3140" t="str">
        <f>"20200111160515953"</f>
        <v>20200111160515953</v>
      </c>
      <c r="B3140" t="str">
        <f>"1578729915944065"</f>
        <v>1578729915944065</v>
      </c>
      <c r="C3140" t="s">
        <v>40</v>
      </c>
      <c r="D3140">
        <v>5.2765639999999996</v>
      </c>
      <c r="E3140">
        <v>0.48383589999999999</v>
      </c>
      <c r="F3140" t="s">
        <v>57</v>
      </c>
      <c r="G3140">
        <v>-228.93860000000001</v>
      </c>
      <c r="H3140" s="1">
        <v>3.0525380000000002E-6</v>
      </c>
      <c r="I3140">
        <v>218.44550000000001</v>
      </c>
      <c r="J3140">
        <v>-270.4228</v>
      </c>
      <c r="K3140">
        <v>1.1108469999999999</v>
      </c>
      <c r="L3140">
        <v>213.84620000000001</v>
      </c>
      <c r="M3140">
        <v>0.99962850000000003</v>
      </c>
      <c r="N3140">
        <v>0</v>
      </c>
      <c r="O3140">
        <v>2.308234E-2</v>
      </c>
      <c r="P3140">
        <v>0.99767870000000003</v>
      </c>
      <c r="Q3140">
        <v>-1.5183449999999999E-2</v>
      </c>
      <c r="R3140">
        <v>6.6385860000000005E-2</v>
      </c>
      <c r="S3140">
        <v>2.9840089999999999</v>
      </c>
      <c r="T3140">
        <v>-7.9246520000000001E-2</v>
      </c>
      <c r="U3140">
        <v>0.32870480000000002</v>
      </c>
      <c r="V3140">
        <v>-4.333646E-2</v>
      </c>
      <c r="W3140">
        <v>-7.5951860000000003E-4</v>
      </c>
      <c r="X3140">
        <v>0.99906030000000001</v>
      </c>
      <c r="Y3140">
        <v>-8.6495929999999999E-2</v>
      </c>
      <c r="Z3140">
        <v>5.3400170000000001E-4</v>
      </c>
      <c r="AA3140">
        <v>0.99625209999999997</v>
      </c>
      <c r="AB3140">
        <v>34</v>
      </c>
      <c r="AC3140">
        <v>41.484199999999902</v>
      </c>
      <c r="AD3140">
        <v>-1.110843947462</v>
      </c>
      <c r="AE3140">
        <v>4.5993000000000004</v>
      </c>
      <c r="AF3140">
        <v>-3.63784454816689</v>
      </c>
      <c r="AG3140">
        <v>-1.110843947462</v>
      </c>
      <c r="AH3140">
        <v>41.549887705341703</v>
      </c>
      <c r="AI3140">
        <v>91.525615002155206</v>
      </c>
      <c r="AJ3140">
        <v>95.003695450494007</v>
      </c>
      <c r="AK3140">
        <v>41.723627066192897</v>
      </c>
      <c r="AL3140">
        <v>90.043517212061104</v>
      </c>
      <c r="AM3140">
        <v>92.483774694423403</v>
      </c>
      <c r="AN3140">
        <v>1.0000000543349601</v>
      </c>
    </row>
    <row r="3141" spans="1:40" x14ac:dyDescent="0.3">
      <c r="A3141" t="str">
        <f>"20200111160515974"</f>
        <v>20200111160515974</v>
      </c>
      <c r="B3141" t="str">
        <f>"1578729915964560"</f>
        <v>1578729915964560</v>
      </c>
      <c r="C3141" t="s">
        <v>40</v>
      </c>
      <c r="D3141">
        <v>5.2371210000000001</v>
      </c>
      <c r="E3141">
        <v>0.48294730000000002</v>
      </c>
      <c r="F3141" t="s">
        <v>57</v>
      </c>
      <c r="G3141">
        <v>-235.2834</v>
      </c>
      <c r="H3141" s="1">
        <v>1.1384650000000001E-6</v>
      </c>
      <c r="I3141">
        <v>217.7345</v>
      </c>
      <c r="J3141">
        <v>-270.10939999999999</v>
      </c>
      <c r="K3141">
        <v>1.110851</v>
      </c>
      <c r="L3141">
        <v>213.85400000000001</v>
      </c>
      <c r="M3141">
        <v>0.99961560000000005</v>
      </c>
      <c r="N3141">
        <v>0</v>
      </c>
      <c r="O3141">
        <v>2.3634479999999999E-2</v>
      </c>
      <c r="P3141">
        <v>0.99764229999999998</v>
      </c>
      <c r="Q3141">
        <v>-1.4618539999999999E-2</v>
      </c>
      <c r="R3141">
        <v>6.7053669999999996E-2</v>
      </c>
      <c r="S3141">
        <v>2.9835820000000002</v>
      </c>
      <c r="T3141">
        <v>-9.4318630000000001E-2</v>
      </c>
      <c r="U3141">
        <v>0.33013920000000002</v>
      </c>
      <c r="V3141">
        <v>-4.3453180000000001E-2</v>
      </c>
      <c r="W3141">
        <v>-1.876344E-4</v>
      </c>
      <c r="X3141">
        <v>0.99905540000000004</v>
      </c>
      <c r="Y3141">
        <v>-8.6425440000000006E-2</v>
      </c>
      <c r="Z3141">
        <v>6.1709880000000001E-4</v>
      </c>
      <c r="AA3141">
        <v>0.99625810000000004</v>
      </c>
      <c r="AB3141">
        <v>34</v>
      </c>
      <c r="AC3141">
        <v>34.825999999999901</v>
      </c>
      <c r="AD3141">
        <v>-1.110849861535</v>
      </c>
      <c r="AE3141">
        <v>3.8804999999999801</v>
      </c>
      <c r="AF3141">
        <v>-3.05316667240933</v>
      </c>
      <c r="AG3141">
        <v>-1.110849861535</v>
      </c>
      <c r="AH3141">
        <v>34.872947538187198</v>
      </c>
      <c r="AI3141">
        <v>91.817546370504502</v>
      </c>
      <c r="AJ3141">
        <v>95.003553015068107</v>
      </c>
      <c r="AK3141">
        <v>35.023967281642101</v>
      </c>
      <c r="AL3141">
        <v>90.010750659777997</v>
      </c>
      <c r="AM3141">
        <v>92.490468142200001</v>
      </c>
      <c r="AN3141">
        <v>0.99999995316396895</v>
      </c>
    </row>
    <row r="3142" spans="1:40" x14ac:dyDescent="0.3">
      <c r="A3142" t="str">
        <f>"20200111160515991"</f>
        <v>20200111160515991</v>
      </c>
      <c r="B3142" t="str">
        <f>"1578729915984081"</f>
        <v>1578729915984081</v>
      </c>
      <c r="C3142" t="s">
        <v>40</v>
      </c>
      <c r="D3142">
        <v>5.2385859999999997</v>
      </c>
      <c r="E3142">
        <v>0.48298219999999997</v>
      </c>
      <c r="F3142" t="s">
        <v>57</v>
      </c>
      <c r="G3142">
        <v>-242.3886</v>
      </c>
      <c r="H3142" s="1">
        <v>-3.7069959999999898E-7</v>
      </c>
      <c r="I3142">
        <v>217.01910000000001</v>
      </c>
      <c r="J3142">
        <v>-269.84640000000002</v>
      </c>
      <c r="K3142">
        <v>1.1108530000000001</v>
      </c>
      <c r="L3142">
        <v>213.86070000000001</v>
      </c>
      <c r="M3142">
        <v>0.99960439999999995</v>
      </c>
      <c r="N3142">
        <v>0</v>
      </c>
      <c r="O3142">
        <v>2.4097960000000002E-2</v>
      </c>
      <c r="P3142">
        <v>0.99763170000000001</v>
      </c>
      <c r="Q3142">
        <v>-1.415434E-2</v>
      </c>
      <c r="R3142">
        <v>6.7310640000000005E-2</v>
      </c>
      <c r="S3142">
        <v>2.9824830000000002</v>
      </c>
      <c r="T3142">
        <v>-0.11951680000000001</v>
      </c>
      <c r="U3142">
        <v>0.34053040000000001</v>
      </c>
      <c r="V3142">
        <v>-4.3247859999999999E-2</v>
      </c>
      <c r="W3142">
        <v>2.8163580000000003E-4</v>
      </c>
      <c r="X3142">
        <v>0.99906430000000002</v>
      </c>
      <c r="Y3142">
        <v>-8.9410210000000004E-2</v>
      </c>
      <c r="Z3142">
        <v>8.2308659999999999E-4</v>
      </c>
      <c r="AA3142">
        <v>0.99599459999999995</v>
      </c>
      <c r="AB3142">
        <v>34</v>
      </c>
      <c r="AC3142">
        <v>27.457799999999999</v>
      </c>
      <c r="AD3142">
        <v>-1.1108533706996</v>
      </c>
      <c r="AE3142">
        <v>3.1583999999999999</v>
      </c>
      <c r="AF3142">
        <v>-2.49171100298677</v>
      </c>
      <c r="AG3142">
        <v>-1.1108533706996</v>
      </c>
      <c r="AH3142">
        <v>27.481550620309701</v>
      </c>
      <c r="AI3142">
        <v>92.305291629221003</v>
      </c>
      <c r="AJ3142">
        <v>95.180756821464897</v>
      </c>
      <c r="AK3142">
        <v>27.6166298347616</v>
      </c>
      <c r="AL3142">
        <v>89.983863456540206</v>
      </c>
      <c r="AM3142">
        <v>92.478693125102296</v>
      </c>
      <c r="AN3142">
        <v>0.99999996612389597</v>
      </c>
    </row>
    <row r="3143" spans="1:40" x14ac:dyDescent="0.3">
      <c r="A3143" t="str">
        <f>"20200111160516008"</f>
        <v>20200111160516008</v>
      </c>
      <c r="B3143" t="str">
        <f>"1578729916004578"</f>
        <v>1578729916004578</v>
      </c>
      <c r="C3143" t="s">
        <v>40</v>
      </c>
      <c r="D3143">
        <v>5.2132630000000004</v>
      </c>
      <c r="E3143">
        <v>0.48368709999999998</v>
      </c>
      <c r="F3143" t="s">
        <v>57</v>
      </c>
      <c r="G3143">
        <v>-244.29069999999999</v>
      </c>
      <c r="H3143" s="1">
        <v>6.5158739999999997E-7</v>
      </c>
      <c r="I3143">
        <v>216.7877</v>
      </c>
      <c r="J3143">
        <v>-269.59910000000002</v>
      </c>
      <c r="K3143">
        <v>1.1108610000000001</v>
      </c>
      <c r="L3143">
        <v>213.86709999999999</v>
      </c>
      <c r="M3143">
        <v>0.99959379999999998</v>
      </c>
      <c r="N3143">
        <v>0</v>
      </c>
      <c r="O3143">
        <v>2.4533840000000001E-2</v>
      </c>
      <c r="P3143">
        <v>0.99762569999999995</v>
      </c>
      <c r="Q3143">
        <v>-1.3107489999999999E-2</v>
      </c>
      <c r="R3143">
        <v>6.7612249999999999E-2</v>
      </c>
      <c r="S3143">
        <v>2.9822690000000001</v>
      </c>
      <c r="T3143">
        <v>-0.12963269999999999</v>
      </c>
      <c r="U3143">
        <v>0.34156799999999998</v>
      </c>
      <c r="V3143">
        <v>-4.3115380000000002E-2</v>
      </c>
      <c r="W3143">
        <v>1.3325850000000001E-3</v>
      </c>
      <c r="X3143">
        <v>0.99906919999999999</v>
      </c>
      <c r="Y3143">
        <v>-8.9317369999999993E-2</v>
      </c>
      <c r="Z3143">
        <v>8.7186509999999905E-4</v>
      </c>
      <c r="AA3143">
        <v>0.99600290000000002</v>
      </c>
      <c r="AB3143">
        <v>34</v>
      </c>
      <c r="AC3143">
        <v>25.308399999999999</v>
      </c>
      <c r="AD3143">
        <v>-1.1108603484126001</v>
      </c>
      <c r="AE3143">
        <v>2.9205999999999999</v>
      </c>
      <c r="AF3143">
        <v>-2.2943809303093001</v>
      </c>
      <c r="AG3143">
        <v>-1.1108603484126001</v>
      </c>
      <c r="AH3143">
        <v>25.3242932854284</v>
      </c>
      <c r="AI3143">
        <v>92.501459981186699</v>
      </c>
      <c r="AJ3143">
        <v>95.176863882093798</v>
      </c>
      <c r="AK3143">
        <v>25.452269544648399</v>
      </c>
      <c r="AL3143">
        <v>89.923648480226603</v>
      </c>
      <c r="AM3143">
        <v>92.471097533490195</v>
      </c>
      <c r="AN3143">
        <v>0.99999998908198295</v>
      </c>
    </row>
    <row r="3144" spans="1:40" x14ac:dyDescent="0.3">
      <c r="A3144" t="str">
        <f>"20200111160516025"</f>
        <v>20200111160516025</v>
      </c>
      <c r="B3144" t="str">
        <f>"1578729916014845"</f>
        <v>1578729916014845</v>
      </c>
      <c r="C3144" t="s">
        <v>40</v>
      </c>
      <c r="D3144">
        <v>5.2857079999999996</v>
      </c>
      <c r="E3144">
        <v>0.48357169999999999</v>
      </c>
      <c r="F3144" t="s">
        <v>57</v>
      </c>
      <c r="G3144">
        <v>-246.60570000000001</v>
      </c>
      <c r="H3144" s="1">
        <v>1.8974179999999999E-6</v>
      </c>
      <c r="I3144">
        <v>216.4692</v>
      </c>
      <c r="J3144">
        <v>-269.34339999999997</v>
      </c>
      <c r="K3144">
        <v>1.1108629999999999</v>
      </c>
      <c r="L3144">
        <v>213.87379999999999</v>
      </c>
      <c r="M3144">
        <v>0.99958259999999999</v>
      </c>
      <c r="N3144">
        <v>0</v>
      </c>
      <c r="O3144">
        <v>2.4984989999999999E-2</v>
      </c>
      <c r="P3144">
        <v>0.99760550000000003</v>
      </c>
      <c r="Q3144">
        <v>-1.2704389999999999E-2</v>
      </c>
      <c r="R3144">
        <v>6.7985420000000005E-2</v>
      </c>
      <c r="S3144">
        <v>2.982361</v>
      </c>
      <c r="T3144">
        <v>-0.14408399999999999</v>
      </c>
      <c r="U3144">
        <v>0.33750920000000001</v>
      </c>
      <c r="V3144">
        <v>-4.3038659999999999E-2</v>
      </c>
      <c r="W3144">
        <v>1.7398029999999901E-3</v>
      </c>
      <c r="X3144">
        <v>0.99907190000000001</v>
      </c>
      <c r="Y3144">
        <v>-8.7514449999999994E-2</v>
      </c>
      <c r="Z3144">
        <v>9.0390890000000002E-4</v>
      </c>
      <c r="AA3144">
        <v>0.99616280000000001</v>
      </c>
      <c r="AB3144">
        <v>34</v>
      </c>
      <c r="AC3144">
        <v>22.737699999999901</v>
      </c>
      <c r="AD3144">
        <v>-1.1108611025820001</v>
      </c>
      <c r="AE3144">
        <v>2.5954000000000099</v>
      </c>
      <c r="AF3144">
        <v>-2.0216652761351499</v>
      </c>
      <c r="AG3144">
        <v>-1.1108611025820001</v>
      </c>
      <c r="AH3144">
        <v>22.741869809837301</v>
      </c>
      <c r="AI3144">
        <v>92.785509273105205</v>
      </c>
      <c r="AJ3144">
        <v>95.080022144763603</v>
      </c>
      <c r="AK3144">
        <v>22.858560438609199</v>
      </c>
      <c r="AL3144">
        <v>89.900316581351504</v>
      </c>
      <c r="AM3144">
        <v>92.466699212362101</v>
      </c>
      <c r="AN3144">
        <v>1.00000000726934</v>
      </c>
    </row>
    <row r="3145" spans="1:40" x14ac:dyDescent="0.3">
      <c r="A3145" t="str">
        <f>"20200111160516042"</f>
        <v>20200111160516042</v>
      </c>
      <c r="B3145" t="str">
        <f>"1578729916034365"</f>
        <v>1578729916034365</v>
      </c>
      <c r="C3145" t="s">
        <v>40</v>
      </c>
      <c r="D3145">
        <v>5.2672169999999996</v>
      </c>
      <c r="E3145">
        <v>0.48394340000000002</v>
      </c>
      <c r="F3145" t="s">
        <v>57</v>
      </c>
      <c r="G3145">
        <v>-246.87739999999999</v>
      </c>
      <c r="H3145" s="1">
        <v>2.0435969999999999E-6</v>
      </c>
      <c r="I3145">
        <v>216.43369999999999</v>
      </c>
      <c r="J3145">
        <v>-269.08449999999999</v>
      </c>
      <c r="K3145">
        <v>1.110859</v>
      </c>
      <c r="L3145">
        <v>213.88069999999999</v>
      </c>
      <c r="M3145">
        <v>0.99957090000000004</v>
      </c>
      <c r="N3145">
        <v>0</v>
      </c>
      <c r="O3145">
        <v>2.5441800000000001E-2</v>
      </c>
      <c r="P3145">
        <v>0.99754900000000002</v>
      </c>
      <c r="Q3145">
        <v>-1.1948790000000001E-2</v>
      </c>
      <c r="R3145">
        <v>6.8942329999999996E-2</v>
      </c>
      <c r="S3145">
        <v>2.9821170000000001</v>
      </c>
      <c r="T3145">
        <v>-0.147455</v>
      </c>
      <c r="U3145">
        <v>0.33979799999999999</v>
      </c>
      <c r="V3145">
        <v>-4.3541179999999999E-2</v>
      </c>
      <c r="W3145">
        <v>2.496542E-3</v>
      </c>
      <c r="X3145">
        <v>0.99904850000000001</v>
      </c>
      <c r="Y3145">
        <v>-8.7819919999999996E-2</v>
      </c>
      <c r="Z3145">
        <v>9.1011029999999999E-4</v>
      </c>
      <c r="AA3145">
        <v>0.99613600000000002</v>
      </c>
      <c r="AB3145">
        <v>34</v>
      </c>
      <c r="AC3145">
        <v>22.207100000000001</v>
      </c>
      <c r="AD3145">
        <v>-1.110856956403</v>
      </c>
      <c r="AE3145">
        <v>2.5529999999999902</v>
      </c>
      <c r="AF3145">
        <v>-1.98222993941204</v>
      </c>
      <c r="AG3145">
        <v>-1.110856956403</v>
      </c>
      <c r="AH3145">
        <v>22.210019587347698</v>
      </c>
      <c r="AI3145">
        <v>92.8520038725745</v>
      </c>
      <c r="AJ3145">
        <v>95.100098530900695</v>
      </c>
      <c r="AK3145">
        <v>22.325953703720302</v>
      </c>
      <c r="AL3145">
        <v>89.856958529461096</v>
      </c>
      <c r="AM3145">
        <v>92.495522603068693</v>
      </c>
      <c r="AN3145">
        <v>0.99999998621499997</v>
      </c>
    </row>
    <row r="3146" spans="1:40" x14ac:dyDescent="0.3">
      <c r="A3146" t="str">
        <f>"20200111160516063"</f>
        <v>20200111160516063</v>
      </c>
      <c r="B3146" t="str">
        <f>"1578729916054860"</f>
        <v>1578729916054860</v>
      </c>
      <c r="C3146" t="s">
        <v>40</v>
      </c>
      <c r="D3146">
        <v>5.2536639999999997</v>
      </c>
      <c r="E3146">
        <v>0.48346529999999999</v>
      </c>
      <c r="F3146" t="s">
        <v>57</v>
      </c>
      <c r="G3146">
        <v>-249.17330000000001</v>
      </c>
      <c r="H3146" s="1">
        <v>3.2774990000000001E-6</v>
      </c>
      <c r="I3146">
        <v>216.1559</v>
      </c>
      <c r="J3146">
        <v>-268.76839999999999</v>
      </c>
      <c r="K3146">
        <v>1.1108629999999999</v>
      </c>
      <c r="L3146">
        <v>213.88929999999999</v>
      </c>
      <c r="M3146">
        <v>0.99955669999999996</v>
      </c>
      <c r="N3146">
        <v>0</v>
      </c>
      <c r="O3146">
        <v>2.5999689999999999E-2</v>
      </c>
      <c r="P3146">
        <v>0.9974845</v>
      </c>
      <c r="Q3146">
        <v>-1.124064E-2</v>
      </c>
      <c r="R3146">
        <v>6.9989709999999997E-2</v>
      </c>
      <c r="S3146">
        <v>2.9818419999999999</v>
      </c>
      <c r="T3146">
        <v>-0.1663588</v>
      </c>
      <c r="U3146">
        <v>0.3407288</v>
      </c>
      <c r="V3146">
        <v>-4.403319E-2</v>
      </c>
      <c r="W3146">
        <v>3.2065489999999999E-3</v>
      </c>
      <c r="X3146">
        <v>0.99902489999999999</v>
      </c>
      <c r="Y3146">
        <v>-8.7561970000000003E-2</v>
      </c>
      <c r="Z3146">
        <v>9.8855509999999994E-4</v>
      </c>
      <c r="AA3146">
        <v>0.99615860000000001</v>
      </c>
      <c r="AB3146">
        <v>34</v>
      </c>
      <c r="AC3146">
        <v>19.595099999999899</v>
      </c>
      <c r="AD3146">
        <v>-1.110859722501</v>
      </c>
      <c r="AE3146">
        <v>2.2666000000000102</v>
      </c>
      <c r="AF3146">
        <v>-1.75076111623366</v>
      </c>
      <c r="AG3146">
        <v>-1.110859722501</v>
      </c>
      <c r="AH3146">
        <v>19.585298762170002</v>
      </c>
      <c r="AI3146">
        <v>93.233418875528699</v>
      </c>
      <c r="AJ3146">
        <v>95.108183796438595</v>
      </c>
      <c r="AK3146">
        <v>19.694748066747401</v>
      </c>
      <c r="AL3146">
        <v>89.8162779564895</v>
      </c>
      <c r="AM3146">
        <v>92.523744987412996</v>
      </c>
      <c r="AN3146">
        <v>0.999999977299037</v>
      </c>
    </row>
    <row r="3147" spans="1:40" x14ac:dyDescent="0.3">
      <c r="A3147" t="str">
        <f>"20200111160516081"</f>
        <v>20200111160516081</v>
      </c>
      <c r="B3147" t="str">
        <f>"1578729916074380"</f>
        <v>1578729916074380</v>
      </c>
      <c r="C3147" t="s">
        <v>40</v>
      </c>
      <c r="D3147">
        <v>5.3525580000000001</v>
      </c>
      <c r="E3147">
        <v>0.48306120000000002</v>
      </c>
      <c r="F3147" t="s">
        <v>57</v>
      </c>
      <c r="G3147">
        <v>-247.4905</v>
      </c>
      <c r="H3147" s="1">
        <v>2.3727219999999999E-6</v>
      </c>
      <c r="I3147">
        <v>216.3682</v>
      </c>
      <c r="J3147">
        <v>-268.505</v>
      </c>
      <c r="K3147">
        <v>1.110865</v>
      </c>
      <c r="L3147">
        <v>213.89670000000001</v>
      </c>
      <c r="M3147">
        <v>0.99954430000000005</v>
      </c>
      <c r="N3147">
        <v>0</v>
      </c>
      <c r="O3147">
        <v>2.646509E-2</v>
      </c>
      <c r="P3147">
        <v>0.9974305</v>
      </c>
      <c r="Q3147">
        <v>-1.121862E-2</v>
      </c>
      <c r="R3147">
        <v>7.075766E-2</v>
      </c>
      <c r="S3147">
        <v>2.9814449999999999</v>
      </c>
      <c r="T3147">
        <v>-0.15565300000000001</v>
      </c>
      <c r="U3147">
        <v>0.34733579999999997</v>
      </c>
      <c r="V3147">
        <v>-4.4337109999999999E-2</v>
      </c>
      <c r="W3147">
        <v>3.2294379999999998E-3</v>
      </c>
      <c r="X3147">
        <v>0.99901139999999999</v>
      </c>
      <c r="Y3147">
        <v>-8.9301539999999999E-2</v>
      </c>
      <c r="Z3147">
        <v>9.4609010000000005E-4</v>
      </c>
      <c r="AA3147">
        <v>0.99600420000000001</v>
      </c>
      <c r="AB3147">
        <v>34</v>
      </c>
      <c r="AC3147">
        <v>21.014500000000002</v>
      </c>
      <c r="AD3147">
        <v>-1.110862627278</v>
      </c>
      <c r="AE3147">
        <v>2.47149999999999</v>
      </c>
      <c r="AF3147">
        <v>-1.90916278053743</v>
      </c>
      <c r="AG3147">
        <v>-1.110862627278</v>
      </c>
      <c r="AH3147">
        <v>21.014631921011301</v>
      </c>
      <c r="AI3147">
        <v>93.013530468975006</v>
      </c>
      <c r="AJ3147">
        <v>95.191026283220694</v>
      </c>
      <c r="AK3147">
        <v>21.130396898185701</v>
      </c>
      <c r="AL3147">
        <v>89.814966509470096</v>
      </c>
      <c r="AM3147">
        <v>92.541175581638299</v>
      </c>
      <c r="AN3147">
        <v>0.99999999296145303</v>
      </c>
    </row>
    <row r="3148" spans="1:40" x14ac:dyDescent="0.3">
      <c r="A3148" t="str">
        <f>"20200111160516094"</f>
        <v>20200111160516094</v>
      </c>
      <c r="B3148" t="str">
        <f>"1578729916084141"</f>
        <v>1578729916084141</v>
      </c>
      <c r="C3148" t="s">
        <v>40</v>
      </c>
      <c r="D3148">
        <v>5.3089250000000003</v>
      </c>
      <c r="E3148">
        <v>0.48300409999999999</v>
      </c>
      <c r="F3148" t="s">
        <v>57</v>
      </c>
      <c r="G3148">
        <v>-248.91900000000001</v>
      </c>
      <c r="H3148" s="1">
        <v>3.139402E-6</v>
      </c>
      <c r="I3148">
        <v>216.2191</v>
      </c>
      <c r="J3148">
        <v>-268.30419999999998</v>
      </c>
      <c r="K3148">
        <v>1.110868</v>
      </c>
      <c r="L3148">
        <v>213.9024</v>
      </c>
      <c r="M3148">
        <v>0.9995349</v>
      </c>
      <c r="N3148">
        <v>0</v>
      </c>
      <c r="O3148">
        <v>2.6819470000000002E-2</v>
      </c>
      <c r="P3148">
        <v>0.99738729999999998</v>
      </c>
      <c r="Q3148">
        <v>-1.1316420000000001E-2</v>
      </c>
      <c r="R3148">
        <v>7.134836E-2</v>
      </c>
      <c r="S3148">
        <v>2.9807429999999999</v>
      </c>
      <c r="T3148">
        <v>-0.16905889999999901</v>
      </c>
      <c r="U3148">
        <v>0.35343930000000001</v>
      </c>
      <c r="V3148">
        <v>-4.457436E-2</v>
      </c>
      <c r="W3148">
        <v>3.1316870000000002E-3</v>
      </c>
      <c r="X3148">
        <v>0.99900109999999998</v>
      </c>
      <c r="Y3148">
        <v>-9.0969700000000001E-2</v>
      </c>
      <c r="Z3148">
        <v>1.0546869999999999E-3</v>
      </c>
      <c r="AA3148">
        <v>0.99585310000000005</v>
      </c>
      <c r="AB3148">
        <v>34</v>
      </c>
      <c r="AC3148">
        <v>19.385199999999902</v>
      </c>
      <c r="AD3148">
        <v>-1.110864860598</v>
      </c>
      <c r="AE3148">
        <v>2.3166999999999902</v>
      </c>
      <c r="AF3148">
        <v>-1.7901152469768999</v>
      </c>
      <c r="AG3148">
        <v>-1.110864860598</v>
      </c>
      <c r="AH3148">
        <v>19.377627773180802</v>
      </c>
      <c r="AI3148">
        <v>93.267133498845894</v>
      </c>
      <c r="AJ3148">
        <v>95.278033151463902</v>
      </c>
      <c r="AK3148">
        <v>19.491818577339501</v>
      </c>
      <c r="AL3148">
        <v>89.820567247975902</v>
      </c>
      <c r="AM3148">
        <v>92.554781870982097</v>
      </c>
      <c r="AN3148">
        <v>0.99999993941704002</v>
      </c>
    </row>
    <row r="3149" spans="1:40" x14ac:dyDescent="0.3">
      <c r="A3149" t="str">
        <f>"20200111160516108"</f>
        <v>20200111160516108</v>
      </c>
      <c r="B3149" t="str">
        <f>"1578729916104637"</f>
        <v>1578729916104637</v>
      </c>
      <c r="C3149" t="s">
        <v>40</v>
      </c>
      <c r="D3149">
        <v>5.3907990000000003</v>
      </c>
      <c r="E3149">
        <v>0.48258689999999999</v>
      </c>
      <c r="F3149" t="s">
        <v>57</v>
      </c>
      <c r="G3149">
        <v>-249.20150000000001</v>
      </c>
      <c r="H3149" s="1">
        <v>3.2912649999999998E-6</v>
      </c>
      <c r="I3149">
        <v>216.184</v>
      </c>
      <c r="J3149">
        <v>-268.09710000000001</v>
      </c>
      <c r="K3149">
        <v>1.1108659999999999</v>
      </c>
      <c r="L3149">
        <v>213.90819999999999</v>
      </c>
      <c r="M3149">
        <v>0.999525</v>
      </c>
      <c r="N3149">
        <v>0</v>
      </c>
      <c r="O3149">
        <v>2.7185290000000001E-2</v>
      </c>
      <c r="P3149">
        <v>0.99734909999999999</v>
      </c>
      <c r="Q3149">
        <v>-1.2404760000000001E-2</v>
      </c>
      <c r="R3149">
        <v>7.1700070000000005E-2</v>
      </c>
      <c r="S3149">
        <v>2.9804379999999999</v>
      </c>
      <c r="T3149">
        <v>-0.1733189</v>
      </c>
      <c r="U3149">
        <v>0.35598750000000001</v>
      </c>
      <c r="V3149">
        <v>-4.456019E-2</v>
      </c>
      <c r="W3149">
        <v>2.0435480000000001E-3</v>
      </c>
      <c r="X3149">
        <v>0.99900460000000002</v>
      </c>
      <c r="Y3149">
        <v>-9.1451299999999999E-2</v>
      </c>
      <c r="Z3149">
        <v>1.074062E-3</v>
      </c>
      <c r="AA3149">
        <v>0.99580900000000006</v>
      </c>
      <c r="AB3149">
        <v>34</v>
      </c>
      <c r="AC3149">
        <v>18.895600000000002</v>
      </c>
      <c r="AD3149">
        <v>-1.11086270873499</v>
      </c>
      <c r="AE3149">
        <v>2.27580000000003</v>
      </c>
      <c r="AF3149">
        <v>-1.7552424794022901</v>
      </c>
      <c r="AG3149">
        <v>-1.11086270873499</v>
      </c>
      <c r="AH3149">
        <v>18.8861486799298</v>
      </c>
      <c r="AI3149">
        <v>93.351785756214298</v>
      </c>
      <c r="AJ3149">
        <v>95.309707533212105</v>
      </c>
      <c r="AK3149">
        <v>19.000039581000099</v>
      </c>
      <c r="AL3149">
        <v>89.8829132415527</v>
      </c>
      <c r="AM3149">
        <v>92.553961856252798</v>
      </c>
      <c r="AN3149">
        <v>0.99999998872121199</v>
      </c>
    </row>
    <row r="3150" spans="1:40" x14ac:dyDescent="0.3">
      <c r="A3150" t="str">
        <f>"20200111160516131"</f>
        <v>20200111160516131</v>
      </c>
      <c r="B3150" t="str">
        <f>"1578729916124663"</f>
        <v>1578729916124663</v>
      </c>
      <c r="C3150" t="s">
        <v>40</v>
      </c>
      <c r="D3150">
        <v>5.3573789999999999</v>
      </c>
      <c r="E3150">
        <v>0.48246850000000002</v>
      </c>
      <c r="F3150" t="s">
        <v>57</v>
      </c>
      <c r="G3150">
        <v>-250.35720000000001</v>
      </c>
      <c r="H3150" s="1">
        <v>-1.4096659999999999E-6</v>
      </c>
      <c r="I3150">
        <v>216.05670000000001</v>
      </c>
      <c r="J3150">
        <v>-267.74919999999997</v>
      </c>
      <c r="K3150">
        <v>1.1108629999999999</v>
      </c>
      <c r="L3150">
        <v>213.91839999999999</v>
      </c>
      <c r="M3150">
        <v>0.99950799999999995</v>
      </c>
      <c r="N3150">
        <v>0</v>
      </c>
      <c r="O3150">
        <v>2.7799520000000001E-2</v>
      </c>
      <c r="P3150">
        <v>0.99730280000000004</v>
      </c>
      <c r="Q3150">
        <v>-1.323595E-2</v>
      </c>
      <c r="R3150">
        <v>7.2195339999999997E-2</v>
      </c>
      <c r="S3150">
        <v>2.9797060000000002</v>
      </c>
      <c r="T3150">
        <v>-0.18658859999999999</v>
      </c>
      <c r="U3150">
        <v>0.36087039999999998</v>
      </c>
      <c r="V3150">
        <v>-4.4441630000000003E-2</v>
      </c>
      <c r="W3150">
        <v>1.213375E-3</v>
      </c>
      <c r="X3150">
        <v>0.99901119999999999</v>
      </c>
      <c r="Y3150">
        <v>-9.2458879999999993E-2</v>
      </c>
      <c r="Z3150">
        <v>1.1494750000000001E-3</v>
      </c>
      <c r="AA3150">
        <v>0.99571589999999999</v>
      </c>
      <c r="AB3150">
        <v>33</v>
      </c>
      <c r="AC3150">
        <v>17.3919999999999</v>
      </c>
      <c r="AD3150">
        <v>-1.1108644096660001</v>
      </c>
      <c r="AE3150">
        <v>2.1383000000000099</v>
      </c>
      <c r="AF3150">
        <v>-1.6473127701936801</v>
      </c>
      <c r="AG3150">
        <v>-1.1108644096660001</v>
      </c>
      <c r="AH3150">
        <v>17.374898875625501</v>
      </c>
      <c r="AI3150">
        <v>93.641939664522994</v>
      </c>
      <c r="AJ3150">
        <v>95.416018926715793</v>
      </c>
      <c r="AK3150">
        <v>17.488132262700901</v>
      </c>
      <c r="AL3150">
        <v>89.930478713292899</v>
      </c>
      <c r="AM3150">
        <v>92.547158760224903</v>
      </c>
      <c r="AN3150">
        <v>0.99999995424069199</v>
      </c>
    </row>
    <row r="3151" spans="1:40" x14ac:dyDescent="0.3">
      <c r="A3151" t="str">
        <f>"20200111160516149"</f>
        <v>20200111160516149</v>
      </c>
      <c r="B3151" t="str">
        <f>"1578729916144183"</f>
        <v>1578729916144183</v>
      </c>
      <c r="C3151" t="s">
        <v>40</v>
      </c>
      <c r="D3151">
        <v>5.3923819999999996</v>
      </c>
      <c r="E3151">
        <v>0.48240769999999999</v>
      </c>
      <c r="F3151" t="s">
        <v>57</v>
      </c>
      <c r="G3151">
        <v>-250.63560000000001</v>
      </c>
      <c r="H3151" s="1">
        <v>-1.259326E-6</v>
      </c>
      <c r="I3151">
        <v>216.00640000000001</v>
      </c>
      <c r="J3151">
        <v>-267.50369999999998</v>
      </c>
      <c r="K3151">
        <v>1.1108640000000001</v>
      </c>
      <c r="L3151">
        <v>213.9256</v>
      </c>
      <c r="M3151">
        <v>0.99949589999999999</v>
      </c>
      <c r="N3151">
        <v>0</v>
      </c>
      <c r="O3151">
        <v>2.8233459999999998E-2</v>
      </c>
      <c r="P3151">
        <v>0.99729159999999994</v>
      </c>
      <c r="Q3151">
        <v>-1.323502E-2</v>
      </c>
      <c r="R3151">
        <v>7.2350440000000002E-2</v>
      </c>
      <c r="S3151">
        <v>2.9792179999999999</v>
      </c>
      <c r="T3151">
        <v>-0.193384</v>
      </c>
      <c r="U3151">
        <v>0.36349490000000001</v>
      </c>
      <c r="V3151">
        <v>-4.4163439999999998E-2</v>
      </c>
      <c r="W3151">
        <v>1.2143290000000001E-3</v>
      </c>
      <c r="X3151">
        <v>0.99902360000000001</v>
      </c>
      <c r="Y3151">
        <v>-9.2901159999999997E-2</v>
      </c>
      <c r="Z3151">
        <v>1.1776689999999999E-3</v>
      </c>
      <c r="AA3151">
        <v>0.99567459999999997</v>
      </c>
      <c r="AB3151">
        <v>33</v>
      </c>
      <c r="AC3151">
        <v>16.868099999999899</v>
      </c>
      <c r="AD3151">
        <v>-1.11086525932599</v>
      </c>
      <c r="AE3151">
        <v>2.0808000000000102</v>
      </c>
      <c r="AF3151">
        <v>-1.59685352918847</v>
      </c>
      <c r="AG3151">
        <v>-1.11086525932599</v>
      </c>
      <c r="AH3151">
        <v>16.8481532351576</v>
      </c>
      <c r="AI3151">
        <v>93.755495112541496</v>
      </c>
      <c r="AJ3151">
        <v>95.414271261388805</v>
      </c>
      <c r="AK3151">
        <v>16.960077542670899</v>
      </c>
      <c r="AL3151">
        <v>89.930424057560799</v>
      </c>
      <c r="AM3151">
        <v>92.531203809429201</v>
      </c>
      <c r="AN3151">
        <v>1.00000001869225</v>
      </c>
    </row>
    <row r="3152" spans="1:40" x14ac:dyDescent="0.3">
      <c r="A3152" t="str">
        <f>"20200111160516164"</f>
        <v>20200111160516164</v>
      </c>
      <c r="B3152" t="str">
        <f>"1578729916154920"</f>
        <v>1578729916154920</v>
      </c>
      <c r="C3152" t="s">
        <v>40</v>
      </c>
      <c r="D3152">
        <v>5.3607699999999996</v>
      </c>
      <c r="E3152">
        <v>0.48252929999999999</v>
      </c>
      <c r="F3152" t="s">
        <v>57</v>
      </c>
      <c r="G3152">
        <v>-250.7345</v>
      </c>
      <c r="H3152" s="1">
        <v>-1.2054689999999999E-6</v>
      </c>
      <c r="I3152">
        <v>215.97800000000001</v>
      </c>
      <c r="J3152">
        <v>-267.26049999999998</v>
      </c>
      <c r="K3152">
        <v>1.110868</v>
      </c>
      <c r="L3152">
        <v>213.93289999999999</v>
      </c>
      <c r="M3152">
        <v>0.99948369999999997</v>
      </c>
      <c r="N3152">
        <v>0</v>
      </c>
      <c r="O3152">
        <v>2.8663480000000002E-2</v>
      </c>
      <c r="P3152">
        <v>0.99728779999999995</v>
      </c>
      <c r="Q3152">
        <v>-1.282059E-2</v>
      </c>
      <c r="R3152">
        <v>7.2476040000000005E-2</v>
      </c>
      <c r="S3152">
        <v>2.9790649999999999</v>
      </c>
      <c r="T3152">
        <v>-0.1973462</v>
      </c>
      <c r="U3152">
        <v>0.36460880000000001</v>
      </c>
      <c r="V3152">
        <v>-4.3859479999999999E-2</v>
      </c>
      <c r="W3152">
        <v>1.6291770000000001E-3</v>
      </c>
      <c r="X3152">
        <v>0.99903640000000005</v>
      </c>
      <c r="Y3152">
        <v>-9.2841270000000004E-2</v>
      </c>
      <c r="Z3152">
        <v>1.1714900000000001E-3</v>
      </c>
      <c r="AA3152">
        <v>0.99568020000000002</v>
      </c>
      <c r="AB3152">
        <v>33</v>
      </c>
      <c r="AC3152">
        <v>16.5259999999999</v>
      </c>
      <c r="AD3152">
        <v>-1.1108692054689999</v>
      </c>
      <c r="AE3152">
        <v>2.0450999999999899</v>
      </c>
      <c r="AF3152">
        <v>-1.56355862229441</v>
      </c>
      <c r="AG3152">
        <v>-1.1108692054689999</v>
      </c>
      <c r="AH3152">
        <v>16.504384625946599</v>
      </c>
      <c r="AI3152">
        <v>93.833516254632201</v>
      </c>
      <c r="AJ3152">
        <v>95.411818718789405</v>
      </c>
      <c r="AK3152">
        <v>16.615458399881501</v>
      </c>
      <c r="AL3152">
        <v>89.906654994241293</v>
      </c>
      <c r="AM3152">
        <v>92.513772764449499</v>
      </c>
      <c r="AN3152">
        <v>1.0000000183642599</v>
      </c>
    </row>
    <row r="3153" spans="1:40" x14ac:dyDescent="0.3">
      <c r="A3153" t="str">
        <f>"20200111160516187"</f>
        <v>20200111160516187</v>
      </c>
      <c r="B3153" t="str">
        <f>"1578729916184199"</f>
        <v>1578729916184199</v>
      </c>
      <c r="C3153" t="s">
        <v>40</v>
      </c>
      <c r="D3153">
        <v>5.4773110000000003</v>
      </c>
      <c r="E3153">
        <v>0.4824273</v>
      </c>
      <c r="F3153" t="s">
        <v>57</v>
      </c>
      <c r="G3153">
        <v>-250.55930000000001</v>
      </c>
      <c r="H3153" s="1">
        <v>-1.2985350000000001E-6</v>
      </c>
      <c r="I3153">
        <v>215.9744</v>
      </c>
      <c r="J3153">
        <v>-266.9341</v>
      </c>
      <c r="K3153">
        <v>1.110867</v>
      </c>
      <c r="L3153">
        <v>213.94290000000001</v>
      </c>
      <c r="M3153">
        <v>0.99946710000000005</v>
      </c>
      <c r="N3153">
        <v>0</v>
      </c>
      <c r="O3153">
        <v>2.9240220000000001E-2</v>
      </c>
      <c r="P3153">
        <v>0.99726749999999997</v>
      </c>
      <c r="Q3153">
        <v>-1.17684E-2</v>
      </c>
      <c r="R3153">
        <v>7.293521E-2</v>
      </c>
      <c r="S3153">
        <v>2.9791560000000001</v>
      </c>
      <c r="T3153">
        <v>-0.19815640000000001</v>
      </c>
      <c r="U3153">
        <v>0.3641663</v>
      </c>
      <c r="V3153">
        <v>-4.3744100000000001E-2</v>
      </c>
      <c r="W3153">
        <v>2.6815540000000001E-3</v>
      </c>
      <c r="X3153">
        <v>0.99903920000000002</v>
      </c>
      <c r="Y3153">
        <v>-9.2119000000000006E-2</v>
      </c>
      <c r="Z3153">
        <v>1.1142210000000001E-3</v>
      </c>
      <c r="AA3153">
        <v>0.99574739999999995</v>
      </c>
      <c r="AB3153">
        <v>33</v>
      </c>
      <c r="AC3153">
        <v>16.374799999999901</v>
      </c>
      <c r="AD3153">
        <v>-1.110868298535</v>
      </c>
      <c r="AE3153">
        <v>2.0314999999999901</v>
      </c>
      <c r="AF3153">
        <v>-1.5447762848665501</v>
      </c>
      <c r="AG3153">
        <v>-1.110868298535</v>
      </c>
      <c r="AH3153">
        <v>16.353083981367099</v>
      </c>
      <c r="AI3153">
        <v>93.8689724070816</v>
      </c>
      <c r="AJ3153">
        <v>95.396370109319903</v>
      </c>
      <c r="AK3153">
        <v>16.463405414695401</v>
      </c>
      <c r="AL3153">
        <v>89.846358093751206</v>
      </c>
      <c r="AM3153">
        <v>92.507161279027699</v>
      </c>
      <c r="AN3153">
        <v>1.0000000300766501</v>
      </c>
    </row>
    <row r="3154" spans="1:40" x14ac:dyDescent="0.3">
      <c r="A3154" t="str">
        <f>"20200111160516209"</f>
        <v>20200111160516209</v>
      </c>
      <c r="B3154" t="str">
        <f>"1578729916204695"</f>
        <v>1578729916204695</v>
      </c>
      <c r="C3154" t="s">
        <v>40</v>
      </c>
      <c r="D3154">
        <v>5.6577279999999996</v>
      </c>
      <c r="E3154">
        <v>0.48209619999999997</v>
      </c>
      <c r="F3154" t="s">
        <v>57</v>
      </c>
      <c r="G3154">
        <v>-249.72300000000001</v>
      </c>
      <c r="H3154" s="1">
        <v>3.5742730000000001E-6</v>
      </c>
      <c r="I3154">
        <v>216.05850000000001</v>
      </c>
      <c r="J3154">
        <v>-266.59809999999999</v>
      </c>
      <c r="K3154">
        <v>1.110867</v>
      </c>
      <c r="L3154">
        <v>213.95339999999999</v>
      </c>
      <c r="M3154">
        <v>0.99944949999999999</v>
      </c>
      <c r="N3154">
        <v>0</v>
      </c>
      <c r="O3154">
        <v>2.9834380000000001E-2</v>
      </c>
      <c r="P3154">
        <v>0.99722509999999998</v>
      </c>
      <c r="Q3154">
        <v>-1.126365E-2</v>
      </c>
      <c r="R3154">
        <v>7.3589050000000003E-2</v>
      </c>
      <c r="S3154">
        <v>2.9791259999999999</v>
      </c>
      <c r="T3154">
        <v>-0.19228329999999999</v>
      </c>
      <c r="U3154">
        <v>0.36621090000000001</v>
      </c>
      <c r="V3154">
        <v>-4.3805490000000002E-2</v>
      </c>
      <c r="W3154">
        <v>3.184615E-3</v>
      </c>
      <c r="X3154">
        <v>0.99903500000000001</v>
      </c>
      <c r="Y3154">
        <v>-9.221058E-2</v>
      </c>
      <c r="Z3154">
        <v>1.046054E-3</v>
      </c>
      <c r="AA3154">
        <v>0.99573900000000004</v>
      </c>
      <c r="AB3154">
        <v>33</v>
      </c>
      <c r="AC3154">
        <v>16.8751</v>
      </c>
      <c r="AD3154">
        <v>-1.110863425727</v>
      </c>
      <c r="AE3154">
        <v>2.1051000000000202</v>
      </c>
      <c r="AF3154">
        <v>-1.5938506029992801</v>
      </c>
      <c r="AG3154">
        <v>-1.110863425727</v>
      </c>
      <c r="AH3154">
        <v>16.858462516720799</v>
      </c>
      <c r="AI3154">
        <v>93.753281837233899</v>
      </c>
      <c r="AJ3154">
        <v>95.400864716495803</v>
      </c>
      <c r="AK3154">
        <v>16.970036409005701</v>
      </c>
      <c r="AL3154">
        <v>89.817534692152904</v>
      </c>
      <c r="AM3154">
        <v>92.510685844557003</v>
      </c>
      <c r="AN3154">
        <v>0.99999999697591901</v>
      </c>
    </row>
    <row r="3155" spans="1:40" x14ac:dyDescent="0.3">
      <c r="A3155" t="str">
        <f>"20200111160516226"</f>
        <v>20200111160516226</v>
      </c>
      <c r="B3155" t="str">
        <f>"1578729916224724"</f>
        <v>1578729916224724</v>
      </c>
      <c r="C3155" t="s">
        <v>40</v>
      </c>
      <c r="D3155">
        <v>5.4842559999999896</v>
      </c>
      <c r="E3155">
        <v>0.4821935</v>
      </c>
      <c r="F3155" t="s">
        <v>57</v>
      </c>
      <c r="G3155">
        <v>-249.0667</v>
      </c>
      <c r="H3155" s="1">
        <v>3.221631E-6</v>
      </c>
      <c r="I3155">
        <v>216.13570000000001</v>
      </c>
      <c r="J3155">
        <v>-266.33870000000002</v>
      </c>
      <c r="K3155">
        <v>1.110868</v>
      </c>
      <c r="L3155">
        <v>213.9616</v>
      </c>
      <c r="M3155">
        <v>0.99943570000000004</v>
      </c>
      <c r="N3155">
        <v>0</v>
      </c>
      <c r="O3155">
        <v>3.0293130000000001E-2</v>
      </c>
      <c r="P3155">
        <v>0.99720359999999997</v>
      </c>
      <c r="Q3155">
        <v>-1.094813E-2</v>
      </c>
      <c r="R3155">
        <v>7.3926439999999996E-2</v>
      </c>
      <c r="S3155">
        <v>2.9788510000000001</v>
      </c>
      <c r="T3155">
        <v>-0.1887519</v>
      </c>
      <c r="U3155">
        <v>0.37080380000000002</v>
      </c>
      <c r="V3155">
        <v>-4.368586E-2</v>
      </c>
      <c r="W3155">
        <v>3.4993260000000001E-3</v>
      </c>
      <c r="X3155">
        <v>0.99903920000000002</v>
      </c>
      <c r="Y3155">
        <v>-9.3280199999999994E-2</v>
      </c>
      <c r="Z3155">
        <v>1.0317200000000001E-3</v>
      </c>
      <c r="AA3155">
        <v>0.99563939999999995</v>
      </c>
      <c r="AB3155">
        <v>33</v>
      </c>
      <c r="AC3155">
        <v>17.271999999999998</v>
      </c>
      <c r="AD3155">
        <v>-1.110864778369</v>
      </c>
      <c r="AE3155">
        <v>2.1741000000000099</v>
      </c>
      <c r="AF3155">
        <v>-1.6431330841707401</v>
      </c>
      <c r="AG3155">
        <v>-1.110864778369</v>
      </c>
      <c r="AH3155">
        <v>17.259657030353502</v>
      </c>
      <c r="AI3155">
        <v>93.666057263997104</v>
      </c>
      <c r="AJ3155">
        <v>95.438214131896103</v>
      </c>
      <c r="AK3155">
        <v>17.373245744349202</v>
      </c>
      <c r="AL3155">
        <v>89.799502982151694</v>
      </c>
      <c r="AM3155">
        <v>92.503827546667395</v>
      </c>
      <c r="AN3155">
        <v>1.00000001139151</v>
      </c>
    </row>
    <row r="3156" spans="1:40" x14ac:dyDescent="0.3">
      <c r="A3156" t="str">
        <f>"20200111160516240"</f>
        <v>20200111160516240</v>
      </c>
      <c r="B3156" t="str">
        <f>"1578729916234483"</f>
        <v>1578729916234483</v>
      </c>
      <c r="C3156" t="s">
        <v>40</v>
      </c>
      <c r="D3156">
        <v>5.5133190000000001</v>
      </c>
      <c r="E3156">
        <v>0.48208980000000001</v>
      </c>
      <c r="F3156" t="s">
        <v>57</v>
      </c>
      <c r="G3156">
        <v>-248.68379999999999</v>
      </c>
      <c r="H3156" s="1">
        <v>3.0167650000000002E-6</v>
      </c>
      <c r="I3156">
        <v>216.1609</v>
      </c>
      <c r="J3156">
        <v>-266.12009999999998</v>
      </c>
      <c r="K3156">
        <v>1.110868</v>
      </c>
      <c r="L3156">
        <v>213.96860000000001</v>
      </c>
      <c r="M3156">
        <v>0.99942390000000003</v>
      </c>
      <c r="N3156">
        <v>0</v>
      </c>
      <c r="O3156">
        <v>3.0679700000000001E-2</v>
      </c>
      <c r="P3156">
        <v>0.99716519999999997</v>
      </c>
      <c r="Q3156">
        <v>-1.0785049999999999E-2</v>
      </c>
      <c r="R3156">
        <v>7.4466560000000001E-2</v>
      </c>
      <c r="S3156">
        <v>2.9788510000000001</v>
      </c>
      <c r="T3156">
        <v>-0.18743170000000001</v>
      </c>
      <c r="U3156">
        <v>0.37107849999999998</v>
      </c>
      <c r="V3156">
        <v>-4.3840669999999998E-2</v>
      </c>
      <c r="W3156">
        <v>3.6614500000000001E-3</v>
      </c>
      <c r="X3156">
        <v>0.99903180000000003</v>
      </c>
      <c r="Y3156">
        <v>-9.2988559999999998E-2</v>
      </c>
      <c r="Z3156">
        <v>9.9120369999999998E-4</v>
      </c>
      <c r="AA3156">
        <v>0.99566670000000002</v>
      </c>
      <c r="AB3156">
        <v>33</v>
      </c>
      <c r="AC3156">
        <v>17.4362999999999</v>
      </c>
      <c r="AD3156">
        <v>-1.1108649832349999</v>
      </c>
      <c r="AE3156">
        <v>2.1922999999999799</v>
      </c>
      <c r="AF3156">
        <v>-1.6496792349620699</v>
      </c>
      <c r="AG3156">
        <v>-1.1108649832349999</v>
      </c>
      <c r="AH3156">
        <v>17.425727175814899</v>
      </c>
      <c r="AI3156">
        <v>93.6313948562929</v>
      </c>
      <c r="AJ3156">
        <v>95.408026638930906</v>
      </c>
      <c r="AK3156">
        <v>17.538854871261599</v>
      </c>
      <c r="AL3156">
        <v>89.7902138939031</v>
      </c>
      <c r="AM3156">
        <v>92.5127076204096</v>
      </c>
      <c r="AN3156">
        <v>0.99999997398669505</v>
      </c>
    </row>
    <row r="3157" spans="1:40" x14ac:dyDescent="0.3">
      <c r="A3157" t="str">
        <f>"20200111160516253"</f>
        <v>20200111160516253</v>
      </c>
      <c r="B3157" t="str">
        <f>"1578729916244243"</f>
        <v>1578729916244243</v>
      </c>
      <c r="C3157" t="s">
        <v>40</v>
      </c>
      <c r="D3157">
        <v>5.4419040000000001</v>
      </c>
      <c r="E3157">
        <v>0.482068</v>
      </c>
      <c r="F3157" t="s">
        <v>57</v>
      </c>
      <c r="G3157">
        <v>-248.5864</v>
      </c>
      <c r="H3157" s="1">
        <v>2.9646649999999998E-6</v>
      </c>
      <c r="I3157">
        <v>216.16730000000001</v>
      </c>
      <c r="J3157">
        <v>-265.94110000000001</v>
      </c>
      <c r="K3157">
        <v>1.1108750000000001</v>
      </c>
      <c r="L3157">
        <v>213.9744</v>
      </c>
      <c r="M3157">
        <v>0.99941429999999998</v>
      </c>
      <c r="N3157">
        <v>0</v>
      </c>
      <c r="O3157">
        <v>3.0996180000000002E-2</v>
      </c>
      <c r="P3157">
        <v>0.99710679999999996</v>
      </c>
      <c r="Q3157">
        <v>-1.012629E-2</v>
      </c>
      <c r="R3157">
        <v>7.5336609999999998E-2</v>
      </c>
      <c r="S3157">
        <v>2.978577</v>
      </c>
      <c r="T3157">
        <v>-0.1887103</v>
      </c>
      <c r="U3157">
        <v>0.37350460000000002</v>
      </c>
      <c r="V3157">
        <v>-4.4395999999999998E-2</v>
      </c>
      <c r="W3157">
        <v>4.318049E-3</v>
      </c>
      <c r="X3157">
        <v>0.99900469999999997</v>
      </c>
      <c r="Y3157">
        <v>-9.3481030000000007E-2</v>
      </c>
      <c r="Z3157">
        <v>9.9359550000000007E-4</v>
      </c>
      <c r="AA3157">
        <v>0.99562050000000002</v>
      </c>
      <c r="AB3157">
        <v>33</v>
      </c>
      <c r="AC3157">
        <v>17.354700000000001</v>
      </c>
      <c r="AD3157">
        <v>-1.1108720353349999</v>
      </c>
      <c r="AE3157">
        <v>2.1928999999999998</v>
      </c>
      <c r="AF3157">
        <v>-1.6472171032512</v>
      </c>
      <c r="AG3157">
        <v>-1.1108720353349999</v>
      </c>
      <c r="AH3157">
        <v>17.344390309778699</v>
      </c>
      <c r="AI3157">
        <v>93.648298303754004</v>
      </c>
      <c r="AJ3157">
        <v>95.425175636226996</v>
      </c>
      <c r="AK3157">
        <v>17.4578130383527</v>
      </c>
      <c r="AL3157">
        <v>89.752593252796203</v>
      </c>
      <c r="AM3157">
        <v>92.544563463824304</v>
      </c>
      <c r="AN3157">
        <v>1.00000002049262</v>
      </c>
    </row>
    <row r="3158" spans="1:40" x14ac:dyDescent="0.3">
      <c r="A3158" t="str">
        <f>"20200111160516270"</f>
        <v>20200111160516270</v>
      </c>
      <c r="B3158" t="str">
        <f>"1578729916264739"</f>
        <v>1578729916264739</v>
      </c>
      <c r="C3158" t="s">
        <v>40</v>
      </c>
      <c r="D3158">
        <v>5.547917</v>
      </c>
      <c r="E3158">
        <v>0.48209869999999999</v>
      </c>
      <c r="F3158" t="s">
        <v>57</v>
      </c>
      <c r="G3158">
        <v>-248.38040000000001</v>
      </c>
      <c r="H3158" s="1">
        <v>2.8538769999999999E-6</v>
      </c>
      <c r="I3158">
        <v>216.19460000000001</v>
      </c>
      <c r="J3158">
        <v>-265.69209999999998</v>
      </c>
      <c r="K3158">
        <v>1.110876</v>
      </c>
      <c r="L3158">
        <v>213.98249999999999</v>
      </c>
      <c r="M3158">
        <v>0.99940039999999997</v>
      </c>
      <c r="N3158">
        <v>0</v>
      </c>
      <c r="O3158">
        <v>3.143634E-2</v>
      </c>
      <c r="P3158">
        <v>0.99706799999999995</v>
      </c>
      <c r="Q3158">
        <v>-9.6513369999999994E-3</v>
      </c>
      <c r="R3158">
        <v>7.5910690000000003E-2</v>
      </c>
      <c r="S3158">
        <v>2.9783330000000001</v>
      </c>
      <c r="T3158">
        <v>-0.1884064</v>
      </c>
      <c r="U3158">
        <v>0.37655640000000001</v>
      </c>
      <c r="V3158">
        <v>-4.4531660000000001E-2</v>
      </c>
      <c r="W3158">
        <v>4.791544E-3</v>
      </c>
      <c r="X3158">
        <v>0.99899649999999995</v>
      </c>
      <c r="Y3158">
        <v>-9.4056989999999993E-2</v>
      </c>
      <c r="Z3158">
        <v>9.8247900000000008E-4</v>
      </c>
      <c r="AA3158">
        <v>0.99556630000000002</v>
      </c>
      <c r="AB3158">
        <v>33</v>
      </c>
      <c r="AC3158">
        <v>17.311699999999899</v>
      </c>
      <c r="AD3158">
        <v>-1.1108731461229999</v>
      </c>
      <c r="AE3158">
        <v>2.2121000000000199</v>
      </c>
      <c r="AF3158">
        <v>-1.6600071353158199</v>
      </c>
      <c r="AG3158">
        <v>-1.1108731461229999</v>
      </c>
      <c r="AH3158">
        <v>17.302588240569399</v>
      </c>
      <c r="AI3158">
        <v>93.6567579756653</v>
      </c>
      <c r="AJ3158">
        <v>95.480173635414801</v>
      </c>
      <c r="AK3158">
        <v>17.4174976003663</v>
      </c>
      <c r="AL3158">
        <v>89.725463705689805</v>
      </c>
      <c r="AM3158">
        <v>92.552349493123899</v>
      </c>
      <c r="AN3158">
        <v>1.00000001732425</v>
      </c>
    </row>
    <row r="3159" spans="1:40" x14ac:dyDescent="0.3">
      <c r="A3159" t="str">
        <f>"20200111160516315"</f>
        <v>20200111160516315</v>
      </c>
      <c r="B3159" t="str">
        <f>"1578729916304756"</f>
        <v>1578729916304756</v>
      </c>
      <c r="C3159" t="s">
        <v>40</v>
      </c>
      <c r="D3159">
        <v>5.3910159999999996</v>
      </c>
      <c r="E3159">
        <v>0.4820412</v>
      </c>
      <c r="F3159" t="s">
        <v>57</v>
      </c>
      <c r="G3159">
        <v>-247.14859999999999</v>
      </c>
      <c r="H3159" s="1">
        <v>2.1923289999999999E-6</v>
      </c>
      <c r="I3159">
        <v>216.3322</v>
      </c>
      <c r="J3159">
        <v>-265.02980000000002</v>
      </c>
      <c r="K3159">
        <v>1.110889</v>
      </c>
      <c r="L3159">
        <v>214.00479999999999</v>
      </c>
      <c r="M3159">
        <v>0.999363</v>
      </c>
      <c r="N3159">
        <v>0</v>
      </c>
      <c r="O3159">
        <v>3.2607070000000002E-2</v>
      </c>
      <c r="P3159">
        <v>0.99697800000000003</v>
      </c>
      <c r="Q3159">
        <v>-7.856287E-3</v>
      </c>
      <c r="R3159">
        <v>7.7286590000000002E-2</v>
      </c>
      <c r="S3159">
        <v>2.9783629999999999</v>
      </c>
      <c r="T3159">
        <v>-0.17842249999999901</v>
      </c>
      <c r="U3159">
        <v>0.3773956</v>
      </c>
      <c r="V3159">
        <v>-4.4741759999999998E-2</v>
      </c>
      <c r="W3159">
        <v>6.5815609999999997E-3</v>
      </c>
      <c r="X3159">
        <v>0.99897689999999995</v>
      </c>
      <c r="Y3159">
        <v>-9.3181829999999993E-2</v>
      </c>
      <c r="Z3159">
        <v>8.3469770000000004E-4</v>
      </c>
      <c r="AA3159">
        <v>0.99564870000000005</v>
      </c>
      <c r="AB3159">
        <v>33</v>
      </c>
      <c r="AC3159">
        <v>17.8812</v>
      </c>
      <c r="AD3159">
        <v>-1.1108868076709999</v>
      </c>
      <c r="AE3159">
        <v>2.3274000000000101</v>
      </c>
      <c r="AF3159">
        <v>-1.73645682164703</v>
      </c>
      <c r="AG3159">
        <v>-1.1108868076709999</v>
      </c>
      <c r="AH3159">
        <v>17.879727717960598</v>
      </c>
      <c r="AI3159">
        <v>93.538671930292594</v>
      </c>
      <c r="AJ3159">
        <v>95.547098014214797</v>
      </c>
      <c r="AK3159">
        <v>17.9981669917053</v>
      </c>
      <c r="AL3159">
        <v>89.622901607482206</v>
      </c>
      <c r="AM3159">
        <v>92.564425665484706</v>
      </c>
      <c r="AN3159">
        <v>0.99999999438335196</v>
      </c>
    </row>
    <row r="3160" spans="1:40" x14ac:dyDescent="0.3">
      <c r="A3160" t="str">
        <f>"20200111160516332"</f>
        <v>20200111160516332</v>
      </c>
      <c r="B3160" t="str">
        <f>"1578729916324782"</f>
        <v>1578729916324782</v>
      </c>
      <c r="C3160" t="s">
        <v>40</v>
      </c>
      <c r="D3160">
        <v>5.4409289999999997</v>
      </c>
      <c r="E3160">
        <v>0.48192390000000002</v>
      </c>
      <c r="F3160" t="s">
        <v>57</v>
      </c>
      <c r="G3160">
        <v>-246.22399999999999</v>
      </c>
      <c r="H3160" s="1">
        <v>1.696515E-6</v>
      </c>
      <c r="I3160">
        <v>216.41909999999999</v>
      </c>
      <c r="J3160">
        <v>-264.77210000000002</v>
      </c>
      <c r="K3160">
        <v>1.1108910000000001</v>
      </c>
      <c r="L3160">
        <v>214.0137</v>
      </c>
      <c r="M3160">
        <v>0.99934820000000002</v>
      </c>
      <c r="N3160">
        <v>0</v>
      </c>
      <c r="O3160">
        <v>3.3062179999999997E-2</v>
      </c>
      <c r="P3160">
        <v>0.99697150000000001</v>
      </c>
      <c r="Q3160">
        <v>-7.6812900000000003E-3</v>
      </c>
      <c r="R3160">
        <v>7.73898999999999E-2</v>
      </c>
      <c r="S3160">
        <v>2.9780579999999999</v>
      </c>
      <c r="T3160">
        <v>-0.17591860000000001</v>
      </c>
      <c r="U3160">
        <v>0.3823242</v>
      </c>
      <c r="V3160">
        <v>-4.439063E-2</v>
      </c>
      <c r="W3160">
        <v>6.7560789999999999E-3</v>
      </c>
      <c r="X3160">
        <v>0.99899139999999997</v>
      </c>
      <c r="Y3160">
        <v>-9.4364210000000004E-2</v>
      </c>
      <c r="Z3160">
        <v>8.3105020000000002E-4</v>
      </c>
      <c r="AA3160">
        <v>0.99553740000000002</v>
      </c>
      <c r="AB3160">
        <v>33</v>
      </c>
      <c r="AC3160">
        <v>18.548100000000002</v>
      </c>
      <c r="AD3160">
        <v>-1.110889303485</v>
      </c>
      <c r="AE3160">
        <v>2.4053999999999802</v>
      </c>
      <c r="AF3160">
        <v>-1.78448440256045</v>
      </c>
      <c r="AG3160">
        <v>-1.110889303485</v>
      </c>
      <c r="AH3160">
        <v>18.5520464507151</v>
      </c>
      <c r="AI3160">
        <v>93.411051220762602</v>
      </c>
      <c r="AJ3160">
        <v>95.494263980625007</v>
      </c>
      <c r="AK3160">
        <v>18.670749506569699</v>
      </c>
      <c r="AL3160">
        <v>89.612902240431197</v>
      </c>
      <c r="AM3160">
        <v>92.544289914187104</v>
      </c>
      <c r="AN3160">
        <v>0.99999999495460501</v>
      </c>
    </row>
    <row r="3161" spans="1:40" x14ac:dyDescent="0.3">
      <c r="A3161" t="str">
        <f>"20200111160516350"</f>
        <v>20200111160516350</v>
      </c>
      <c r="B3161" t="str">
        <f>"1578729916344303"</f>
        <v>1578729916344303</v>
      </c>
      <c r="C3161" t="s">
        <v>40</v>
      </c>
      <c r="D3161">
        <v>5.9669549999999996</v>
      </c>
      <c r="E3161">
        <v>0.48214249999999997</v>
      </c>
      <c r="F3161" t="s">
        <v>57</v>
      </c>
      <c r="G3161">
        <v>-246.47210000000001</v>
      </c>
      <c r="H3161" s="1">
        <v>1.8305680000000001E-6</v>
      </c>
      <c r="I3161">
        <v>216.37280000000001</v>
      </c>
      <c r="J3161">
        <v>-264.52069999999998</v>
      </c>
      <c r="K3161">
        <v>1.1108899999999999</v>
      </c>
      <c r="L3161">
        <v>214.0224</v>
      </c>
      <c r="M3161">
        <v>0.99933340000000004</v>
      </c>
      <c r="N3161">
        <v>0</v>
      </c>
      <c r="O3161">
        <v>3.3506199999999903E-2</v>
      </c>
      <c r="P3161">
        <v>0.99694640000000001</v>
      </c>
      <c r="Q3161">
        <v>-7.296711E-3</v>
      </c>
      <c r="R3161">
        <v>7.7749609999999997E-2</v>
      </c>
      <c r="S3161">
        <v>2.9779659999999999</v>
      </c>
      <c r="T3161">
        <v>-0.1807752</v>
      </c>
      <c r="U3161">
        <v>0.38389590000000001</v>
      </c>
      <c r="V3161">
        <v>-4.4307630000000001E-2</v>
      </c>
      <c r="W3161">
        <v>7.1384930000000001E-3</v>
      </c>
      <c r="X3161">
        <v>0.9989924</v>
      </c>
      <c r="Y3161">
        <v>-9.4437400000000005E-2</v>
      </c>
      <c r="Z3161">
        <v>8.2938160000000001E-4</v>
      </c>
      <c r="AA3161">
        <v>0.99553049999999998</v>
      </c>
      <c r="AB3161">
        <v>33</v>
      </c>
      <c r="AC3161">
        <v>18.048599999999901</v>
      </c>
      <c r="AD3161">
        <v>-1.1108881694320001</v>
      </c>
      <c r="AE3161">
        <v>2.3504</v>
      </c>
      <c r="AF3161">
        <v>-1.73780278648231</v>
      </c>
      <c r="AG3161">
        <v>-1.1108881694320001</v>
      </c>
      <c r="AH3161">
        <v>18.049985093714</v>
      </c>
      <c r="AI3161">
        <v>93.5056630477239</v>
      </c>
      <c r="AJ3161">
        <v>95.499329779122505</v>
      </c>
      <c r="AK3161">
        <v>18.167443213974501</v>
      </c>
      <c r="AL3161">
        <v>89.5909909928573</v>
      </c>
      <c r="AM3161">
        <v>92.539536387764002</v>
      </c>
      <c r="AN3161">
        <v>0.99999996970814298</v>
      </c>
    </row>
    <row r="3162" spans="1:40" x14ac:dyDescent="0.3">
      <c r="A3162" t="str">
        <f>"20200111160516365"</f>
        <v>20200111160516365</v>
      </c>
      <c r="B3162" t="str">
        <f>"1578729916354063"</f>
        <v>1578729916354063</v>
      </c>
      <c r="C3162" t="s">
        <v>40</v>
      </c>
      <c r="D3162">
        <v>5.9360460000000002</v>
      </c>
      <c r="E3162">
        <v>0.48214249999999997</v>
      </c>
      <c r="F3162" t="s">
        <v>57</v>
      </c>
      <c r="G3162">
        <v>-246.02979999999999</v>
      </c>
      <c r="H3162" s="1">
        <v>1.5939300000000001E-6</v>
      </c>
      <c r="I3162">
        <v>216.4015</v>
      </c>
      <c r="J3162">
        <v>-264.28899999999999</v>
      </c>
      <c r="K3162">
        <v>1.1108880000000001</v>
      </c>
      <c r="L3162">
        <v>214.03059999999999</v>
      </c>
      <c r="M3162">
        <v>0.99931959999999997</v>
      </c>
      <c r="N3162">
        <v>0</v>
      </c>
      <c r="O3162">
        <v>3.3915010000000002E-2</v>
      </c>
      <c r="P3162">
        <v>0.99695339999999999</v>
      </c>
      <c r="Q3162">
        <v>-7.2504169999999899E-3</v>
      </c>
      <c r="R3162">
        <v>7.7662809999999999E-2</v>
      </c>
      <c r="S3162">
        <v>2.9779969999999998</v>
      </c>
      <c r="T3162">
        <v>-0.17891079999999901</v>
      </c>
      <c r="U3162">
        <v>0.38314819999999999</v>
      </c>
      <c r="V3162">
        <v>-4.3812200000000003E-2</v>
      </c>
      <c r="W3162">
        <v>7.1842690000000001E-3</v>
      </c>
      <c r="X3162">
        <v>0.99901399999999996</v>
      </c>
      <c r="Y3162">
        <v>-9.3787099999999998E-2</v>
      </c>
      <c r="Z3162">
        <v>7.7700640000000004E-4</v>
      </c>
      <c r="AA3162">
        <v>0.99559200000000003</v>
      </c>
      <c r="AB3162">
        <v>33</v>
      </c>
      <c r="AC3162">
        <v>18.2592</v>
      </c>
      <c r="AD3162">
        <v>-1.1108864060700001</v>
      </c>
      <c r="AE3162">
        <v>2.3708999999999998</v>
      </c>
      <c r="AF3162">
        <v>-1.7438619162922799</v>
      </c>
      <c r="AG3162">
        <v>-1.1108864060700001</v>
      </c>
      <c r="AH3162">
        <v>18.2626331940182</v>
      </c>
      <c r="AI3162">
        <v>93.465197241447797</v>
      </c>
      <c r="AJ3162">
        <v>95.454520228424101</v>
      </c>
      <c r="AK3162">
        <v>18.379306139502201</v>
      </c>
      <c r="AL3162">
        <v>89.588368185895206</v>
      </c>
      <c r="AM3162">
        <v>92.511122648970698</v>
      </c>
      <c r="AN3162">
        <v>1.00000004739295</v>
      </c>
    </row>
    <row r="3163" spans="1:40" x14ac:dyDescent="0.3">
      <c r="A3163" t="str">
        <f>"20200111160516388"</f>
        <v>20200111160516388</v>
      </c>
      <c r="B3163" t="str">
        <f>"1578729916384318"</f>
        <v>1578729916384318</v>
      </c>
      <c r="C3163" t="s">
        <v>40</v>
      </c>
      <c r="D3163">
        <v>5.4203449999999904</v>
      </c>
      <c r="E3163">
        <v>0.48196349999999999</v>
      </c>
      <c r="F3163" t="s">
        <v>57</v>
      </c>
      <c r="G3163">
        <v>-245.78030000000001</v>
      </c>
      <c r="H3163" s="1">
        <v>1.460735E-6</v>
      </c>
      <c r="I3163">
        <v>216.41120000000001</v>
      </c>
      <c r="J3163">
        <v>-263.95909999999998</v>
      </c>
      <c r="K3163">
        <v>1.110887</v>
      </c>
      <c r="L3163">
        <v>214.04239999999999</v>
      </c>
      <c r="M3163">
        <v>0.99929979999999996</v>
      </c>
      <c r="N3163">
        <v>0</v>
      </c>
      <c r="O3163">
        <v>3.4495449999999997E-2</v>
      </c>
      <c r="P3163">
        <v>0.99698410000000004</v>
      </c>
      <c r="Q3163">
        <v>-6.9486699999999997E-3</v>
      </c>
      <c r="R3163">
        <v>7.7296149999999994E-2</v>
      </c>
      <c r="S3163">
        <v>2.978027</v>
      </c>
      <c r="T3163">
        <v>-0.17874010000000001</v>
      </c>
      <c r="U3163">
        <v>0.38304139999999998</v>
      </c>
      <c r="V3163">
        <v>-4.2864109999999997E-2</v>
      </c>
      <c r="W3163">
        <v>7.4851459999999998E-3</v>
      </c>
      <c r="X3163">
        <v>0.99905290000000002</v>
      </c>
      <c r="Y3163">
        <v>-9.3174690000000004E-2</v>
      </c>
      <c r="Z3163">
        <v>7.2335849999999996E-4</v>
      </c>
      <c r="AA3163">
        <v>0.99564949999999997</v>
      </c>
      <c r="AB3163">
        <v>33</v>
      </c>
      <c r="AC3163">
        <v>18.178799999999899</v>
      </c>
      <c r="AD3163">
        <v>-1.1108855392649899</v>
      </c>
      <c r="AE3163">
        <v>2.3688000000000198</v>
      </c>
      <c r="AF3163">
        <v>-1.73387151336086</v>
      </c>
      <c r="AG3163">
        <v>-1.1108855392649899</v>
      </c>
      <c r="AH3163">
        <v>18.182933402209301</v>
      </c>
      <c r="AI3163">
        <v>93.480388972336698</v>
      </c>
      <c r="AJ3163">
        <v>95.447088244944993</v>
      </c>
      <c r="AK3163">
        <v>18.299165123452202</v>
      </c>
      <c r="AL3163">
        <v>89.571128732419794</v>
      </c>
      <c r="AM3163">
        <v>92.456754075341294</v>
      </c>
      <c r="AN3163">
        <v>1.0000000281675701</v>
      </c>
    </row>
    <row r="3164" spans="1:40" x14ac:dyDescent="0.3">
      <c r="A3164" t="str">
        <f>"20200111160516411"</f>
        <v>20200111160516411</v>
      </c>
      <c r="B3164" t="str">
        <f>"1578729916404814"</f>
        <v>1578729916404814</v>
      </c>
      <c r="C3164" t="s">
        <v>40</v>
      </c>
      <c r="D3164">
        <v>5.4168599999999998</v>
      </c>
      <c r="E3164">
        <v>0.48199219999999998</v>
      </c>
      <c r="F3164" t="s">
        <v>57</v>
      </c>
      <c r="G3164">
        <v>-244.6208</v>
      </c>
      <c r="H3164" s="1">
        <v>8.3849739999999999E-7</v>
      </c>
      <c r="I3164">
        <v>216.53100000000001</v>
      </c>
      <c r="J3164">
        <v>-263.62299999999999</v>
      </c>
      <c r="K3164">
        <v>1.110889</v>
      </c>
      <c r="L3164">
        <v>214.0547</v>
      </c>
      <c r="M3164">
        <v>0.99927929999999998</v>
      </c>
      <c r="N3164">
        <v>0</v>
      </c>
      <c r="O3164">
        <v>3.5084520000000001E-2</v>
      </c>
      <c r="P3164">
        <v>0.9969846</v>
      </c>
      <c r="Q3164">
        <v>-6.5732319999999896E-3</v>
      </c>
      <c r="R3164">
        <v>7.7322760000000004E-2</v>
      </c>
      <c r="S3164">
        <v>2.97818</v>
      </c>
      <c r="T3164">
        <v>-0.17108139999999999</v>
      </c>
      <c r="U3164">
        <v>0.38325500000000001</v>
      </c>
      <c r="V3164">
        <v>-4.2302810000000003E-2</v>
      </c>
      <c r="W3164">
        <v>7.8589750000000007E-3</v>
      </c>
      <c r="X3164">
        <v>0.99907389999999996</v>
      </c>
      <c r="Y3164">
        <v>-9.2662040000000001E-2</v>
      </c>
      <c r="Z3164">
        <v>6.4410200000000002E-4</v>
      </c>
      <c r="AA3164">
        <v>0.99569739999999995</v>
      </c>
      <c r="AB3164">
        <v>33</v>
      </c>
      <c r="AC3164">
        <v>19.002199999999899</v>
      </c>
      <c r="AD3164">
        <v>-1.1108881615026001</v>
      </c>
      <c r="AE3164">
        <v>2.4762999999999802</v>
      </c>
      <c r="AF3164">
        <v>-1.8019663529809899</v>
      </c>
      <c r="AG3164">
        <v>-1.1108881615026001</v>
      </c>
      <c r="AH3164">
        <v>19.013490605623101</v>
      </c>
      <c r="AI3164">
        <v>93.328897047324702</v>
      </c>
      <c r="AJ3164">
        <v>95.413924824520194</v>
      </c>
      <c r="AK3164">
        <v>19.1309691404999</v>
      </c>
      <c r="AL3164">
        <v>89.549709254356699</v>
      </c>
      <c r="AM3164">
        <v>92.424570941518198</v>
      </c>
      <c r="AN3164">
        <v>0.99999997444157795</v>
      </c>
    </row>
    <row r="3165" spans="1:40" x14ac:dyDescent="0.3">
      <c r="A3165" t="str">
        <f>"20200111160516432"</f>
        <v>20200111160516432</v>
      </c>
      <c r="B3165" t="str">
        <f>"1578729916424840"</f>
        <v>1578729916424840</v>
      </c>
      <c r="C3165" t="s">
        <v>40</v>
      </c>
      <c r="D3165">
        <v>5.3375969999999997</v>
      </c>
      <c r="E3165">
        <v>0.48222090000000001</v>
      </c>
      <c r="F3165" t="s">
        <v>57</v>
      </c>
      <c r="G3165">
        <v>-244.6806</v>
      </c>
      <c r="H3165" s="1">
        <v>8.7203119999999997E-7</v>
      </c>
      <c r="I3165">
        <v>216.49160000000001</v>
      </c>
      <c r="J3165">
        <v>-263.29899999999998</v>
      </c>
      <c r="K3165">
        <v>1.1108849999999999</v>
      </c>
      <c r="L3165">
        <v>214.06659999999999</v>
      </c>
      <c r="M3165">
        <v>0.99925929999999996</v>
      </c>
      <c r="N3165">
        <v>0</v>
      </c>
      <c r="O3165">
        <v>3.5649390000000003E-2</v>
      </c>
      <c r="P3165">
        <v>0.99695239999999996</v>
      </c>
      <c r="Q3165">
        <v>-6.2839439999999996E-3</v>
      </c>
      <c r="R3165">
        <v>7.7759819999999993E-2</v>
      </c>
      <c r="S3165">
        <v>2.97818</v>
      </c>
      <c r="T3165">
        <v>-0.1746569</v>
      </c>
      <c r="U3165">
        <v>0.38314819999999999</v>
      </c>
      <c r="V3165">
        <v>-4.2175980000000002E-2</v>
      </c>
      <c r="W3165">
        <v>8.1455439999999994E-3</v>
      </c>
      <c r="X3165">
        <v>0.99907699999999999</v>
      </c>
      <c r="Y3165">
        <v>-9.2062110000000003E-2</v>
      </c>
      <c r="Z3165">
        <v>6.0712339999999905E-4</v>
      </c>
      <c r="AA3165">
        <v>0.99575309999999995</v>
      </c>
      <c r="AB3165">
        <v>33</v>
      </c>
      <c r="AC3165">
        <v>18.618400000000001</v>
      </c>
      <c r="AD3165">
        <v>-1.1108841279688</v>
      </c>
      <c r="AE3165">
        <v>2.42500000000001</v>
      </c>
      <c r="AF3165">
        <v>-1.7535155277541199</v>
      </c>
      <c r="AG3165">
        <v>-1.1108841279688</v>
      </c>
      <c r="AH3165">
        <v>18.627812527500001</v>
      </c>
      <c r="AI3165">
        <v>93.397850504469005</v>
      </c>
      <c r="AJ3165">
        <v>95.377649469375598</v>
      </c>
      <c r="AK3165">
        <v>18.743112863436899</v>
      </c>
      <c r="AL3165">
        <v>89.533289549358798</v>
      </c>
      <c r="AM3165">
        <v>92.417302868194199</v>
      </c>
      <c r="AN3165">
        <v>1.0000000075525</v>
      </c>
    </row>
    <row r="3166" spans="1:40" x14ac:dyDescent="0.3">
      <c r="A3166" t="str">
        <f>"20200111160516455"</f>
        <v>20200111160516455</v>
      </c>
      <c r="B3166" t="str">
        <f>"1578729916444360"</f>
        <v>1578729916444360</v>
      </c>
      <c r="C3166" t="s">
        <v>40</v>
      </c>
      <c r="D3166">
        <v>6.041766</v>
      </c>
      <c r="E3166">
        <v>0.48216870000000001</v>
      </c>
      <c r="F3166" t="s">
        <v>57</v>
      </c>
      <c r="G3166">
        <v>-244.61799999999999</v>
      </c>
      <c r="H3166" s="1">
        <v>8.3967500000000003E-7</v>
      </c>
      <c r="I3166">
        <v>216.46940000000001</v>
      </c>
      <c r="J3166">
        <v>-262.98239999999998</v>
      </c>
      <c r="K3166">
        <v>1.1108769999999999</v>
      </c>
      <c r="L3166">
        <v>214.07849999999999</v>
      </c>
      <c r="M3166">
        <v>0.99923969999999995</v>
      </c>
      <c r="N3166">
        <v>0</v>
      </c>
      <c r="O3166">
        <v>3.6195869999999998E-2</v>
      </c>
      <c r="P3166">
        <v>0.9969403</v>
      </c>
      <c r="Q3166">
        <v>-6.3509769999999998E-3</v>
      </c>
      <c r="R3166">
        <v>7.7909779999999998E-2</v>
      </c>
      <c r="S3166">
        <v>2.9781490000000002</v>
      </c>
      <c r="T3166">
        <v>-0.177098799999999</v>
      </c>
      <c r="U3166">
        <v>0.38305660000000002</v>
      </c>
      <c r="V3166">
        <v>-4.177964E-2</v>
      </c>
      <c r="W3166">
        <v>8.0768839999999995E-3</v>
      </c>
      <c r="X3166">
        <v>0.99909420000000004</v>
      </c>
      <c r="Y3166">
        <v>-9.1487949999999998E-2</v>
      </c>
      <c r="Z3166">
        <v>5.6633170000000002E-4</v>
      </c>
      <c r="AA3166">
        <v>0.99580599999999997</v>
      </c>
      <c r="AB3166">
        <v>33</v>
      </c>
      <c r="AC3166">
        <v>18.3643999999999</v>
      </c>
      <c r="AD3166">
        <v>-1.1108761603249999</v>
      </c>
      <c r="AE3166">
        <v>2.39090000000001</v>
      </c>
      <c r="AF3166">
        <v>-1.71836482862662</v>
      </c>
      <c r="AG3166">
        <v>-1.1108761603249999</v>
      </c>
      <c r="AH3166">
        <v>18.372805392529301</v>
      </c>
      <c r="AI3166">
        <v>93.4450677666064</v>
      </c>
      <c r="AJ3166">
        <v>95.343194564980195</v>
      </c>
      <c r="AK3166">
        <v>18.486395038503101</v>
      </c>
      <c r="AL3166">
        <v>89.537223602280207</v>
      </c>
      <c r="AM3166">
        <v>92.394572159087204</v>
      </c>
      <c r="AN3166">
        <v>0.99999999742365897</v>
      </c>
    </row>
    <row r="3167" spans="1:40" x14ac:dyDescent="0.3">
      <c r="A3167" t="str">
        <f>"20200111160516477"</f>
        <v>20200111160516477</v>
      </c>
      <c r="B3167" t="str">
        <f>"1578729916474617"</f>
        <v>1578729916474617</v>
      </c>
      <c r="C3167" t="s">
        <v>40</v>
      </c>
      <c r="D3167">
        <v>5.5117949999999896</v>
      </c>
      <c r="E3167">
        <v>0.48248370000000002</v>
      </c>
      <c r="F3167" t="s">
        <v>57</v>
      </c>
      <c r="G3167">
        <v>-244.47630000000001</v>
      </c>
      <c r="H3167" s="1">
        <v>7.6451290000000005E-7</v>
      </c>
      <c r="I3167">
        <v>216.4641</v>
      </c>
      <c r="J3167">
        <v>-262.65069999999997</v>
      </c>
      <c r="K3167">
        <v>1.110873</v>
      </c>
      <c r="L3167">
        <v>214.09110000000001</v>
      </c>
      <c r="M3167">
        <v>0.99921919999999997</v>
      </c>
      <c r="N3167">
        <v>0</v>
      </c>
      <c r="O3167">
        <v>3.6760389999999997E-2</v>
      </c>
      <c r="P3167">
        <v>0.99692820000000004</v>
      </c>
      <c r="Q3167">
        <v>-6.8815889999999996E-3</v>
      </c>
      <c r="R3167">
        <v>7.8019179999999994E-2</v>
      </c>
      <c r="S3167">
        <v>2.9780579999999999</v>
      </c>
      <c r="T3167">
        <v>-0.17876549999999999</v>
      </c>
      <c r="U3167">
        <v>0.38389590000000001</v>
      </c>
      <c r="V3167">
        <v>-4.1324369999999999E-2</v>
      </c>
      <c r="W3167">
        <v>7.5447480000000004E-3</v>
      </c>
      <c r="X3167">
        <v>0.99911729999999999</v>
      </c>
      <c r="Y3167">
        <v>-9.1204980000000005E-2</v>
      </c>
      <c r="Z3167">
        <v>5.2954719999999996E-4</v>
      </c>
      <c r="AA3167">
        <v>0.99583200000000005</v>
      </c>
      <c r="AB3167">
        <v>33</v>
      </c>
      <c r="AC3167">
        <v>18.174399999999899</v>
      </c>
      <c r="AD3167">
        <v>-1.1108722354870999</v>
      </c>
      <c r="AE3167">
        <v>2.37299999999999</v>
      </c>
      <c r="AF3167">
        <v>-1.6969939776790399</v>
      </c>
      <c r="AG3167">
        <v>-1.1108722354870999</v>
      </c>
      <c r="AH3167">
        <v>18.1825634753272</v>
      </c>
      <c r="AI3167">
        <v>93.481075928166007</v>
      </c>
      <c r="AJ3167">
        <v>95.332017430208197</v>
      </c>
      <c r="AK3167">
        <v>18.295339303171101</v>
      </c>
      <c r="AL3167">
        <v>89.5677136821391</v>
      </c>
      <c r="AM3167">
        <v>92.368453844482701</v>
      </c>
      <c r="AN3167">
        <v>1.0000000029687801</v>
      </c>
    </row>
    <row r="3168" spans="1:40" x14ac:dyDescent="0.3">
      <c r="A3168" t="str">
        <f>"20200111160516495"</f>
        <v>20200111160516495</v>
      </c>
      <c r="B3168" t="str">
        <f>"1578729916484376"</f>
        <v>1578729916484376</v>
      </c>
      <c r="C3168" t="s">
        <v>40</v>
      </c>
      <c r="D3168">
        <v>5.4081409999999996</v>
      </c>
      <c r="E3168">
        <v>0.48257050000000001</v>
      </c>
      <c r="F3168" t="s">
        <v>57</v>
      </c>
      <c r="G3168">
        <v>-244.03</v>
      </c>
      <c r="H3168" s="1">
        <v>5.2644269999999899E-7</v>
      </c>
      <c r="I3168">
        <v>216.47730000000001</v>
      </c>
      <c r="J3168">
        <v>-262.3947</v>
      </c>
      <c r="K3168">
        <v>1.110867</v>
      </c>
      <c r="L3168">
        <v>214.101</v>
      </c>
      <c r="M3168">
        <v>0.99920330000000002</v>
      </c>
      <c r="N3168">
        <v>0</v>
      </c>
      <c r="O3168">
        <v>3.7188770000000003E-2</v>
      </c>
      <c r="P3168">
        <v>0.99690789999999996</v>
      </c>
      <c r="Q3168">
        <v>-7.1954189999999998E-3</v>
      </c>
      <c r="R3168">
        <v>7.8250299999999995E-2</v>
      </c>
      <c r="S3168">
        <v>2.978119</v>
      </c>
      <c r="T3168">
        <v>-0.17766860000000001</v>
      </c>
      <c r="U3168">
        <v>0.38163760000000002</v>
      </c>
      <c r="V3168">
        <v>-4.1127230000000001E-2</v>
      </c>
      <c r="W3168">
        <v>7.2295679999999996E-3</v>
      </c>
      <c r="X3168">
        <v>0.99912769999999995</v>
      </c>
      <c r="Y3168">
        <v>-9.0036469999999993E-2</v>
      </c>
      <c r="Z3168">
        <v>4.6623820000000002E-4</v>
      </c>
      <c r="AA3168">
        <v>0.9959384</v>
      </c>
      <c r="AB3168">
        <v>33</v>
      </c>
      <c r="AC3168">
        <v>18.364699999999999</v>
      </c>
      <c r="AD3168">
        <v>-1.1108664735572999</v>
      </c>
      <c r="AE3168">
        <v>2.3763000000000098</v>
      </c>
      <c r="AF3168">
        <v>-1.68555781921621</v>
      </c>
      <c r="AG3168">
        <v>-1.1108664735572999</v>
      </c>
      <c r="AH3168">
        <v>18.3742513578039</v>
      </c>
      <c r="AI3168">
        <v>93.445333241264194</v>
      </c>
      <c r="AJ3168">
        <v>95.241345861618896</v>
      </c>
      <c r="AK3168">
        <v>18.4848111281601</v>
      </c>
      <c r="AL3168">
        <v>89.585772631907602</v>
      </c>
      <c r="AM3168">
        <v>92.357143282420097</v>
      </c>
      <c r="AN3168">
        <v>0.99999993830411205</v>
      </c>
    </row>
    <row r="3169" spans="1:40" x14ac:dyDescent="0.3">
      <c r="A3169" t="str">
        <f>"20200111160516511"</f>
        <v>20200111160516511</v>
      </c>
      <c r="B3169" t="str">
        <f>"1578729916504873"</f>
        <v>1578729916504873</v>
      </c>
      <c r="C3169" t="s">
        <v>40</v>
      </c>
      <c r="D3169">
        <v>5.429227</v>
      </c>
      <c r="E3169">
        <v>0.4827881</v>
      </c>
      <c r="F3169" t="s">
        <v>57</v>
      </c>
      <c r="G3169">
        <v>-244.05160000000001</v>
      </c>
      <c r="H3169" s="1">
        <v>5.3901100000000003E-7</v>
      </c>
      <c r="I3169">
        <v>216.4521</v>
      </c>
      <c r="J3169">
        <v>-262.15249999999997</v>
      </c>
      <c r="K3169">
        <v>1.110857</v>
      </c>
      <c r="L3169">
        <v>214.1104</v>
      </c>
      <c r="M3169">
        <v>0.99918850000000003</v>
      </c>
      <c r="N3169">
        <v>0</v>
      </c>
      <c r="O3169">
        <v>3.7587750000000003E-2</v>
      </c>
      <c r="P3169">
        <v>0.9968804</v>
      </c>
      <c r="Q3169">
        <v>-7.7798999999999898E-3</v>
      </c>
      <c r="R3169">
        <v>7.854643E-2</v>
      </c>
      <c r="S3169">
        <v>2.9780880000000001</v>
      </c>
      <c r="T3169">
        <v>-0.18035419999999999</v>
      </c>
      <c r="U3169">
        <v>0.38171389999999999</v>
      </c>
      <c r="V3169">
        <v>-4.1024489999999997E-2</v>
      </c>
      <c r="W3169">
        <v>6.6435490000000003E-3</v>
      </c>
      <c r="X3169">
        <v>0.99913600000000002</v>
      </c>
      <c r="Y3169">
        <v>-8.9663789999999993E-2</v>
      </c>
      <c r="Z3169">
        <v>4.3804549999999998E-4</v>
      </c>
      <c r="AA3169">
        <v>0.99597199999999997</v>
      </c>
      <c r="AB3169">
        <v>33</v>
      </c>
      <c r="AC3169">
        <v>18.1008999999999</v>
      </c>
      <c r="AD3169">
        <v>-1.1108564609889999</v>
      </c>
      <c r="AE3169">
        <v>2.3416999999999999</v>
      </c>
      <c r="AF3169">
        <v>-1.6534764735407901</v>
      </c>
      <c r="AG3169">
        <v>-1.1108564609889999</v>
      </c>
      <c r="AH3169">
        <v>18.109052903244599</v>
      </c>
      <c r="AI3169">
        <v>93.495768365112198</v>
      </c>
      <c r="AJ3169">
        <v>95.217018334574902</v>
      </c>
      <c r="AK3169">
        <v>18.218281575878301</v>
      </c>
      <c r="AL3169">
        <v>89.619349860615401</v>
      </c>
      <c r="AM3169">
        <v>92.351242005483201</v>
      </c>
      <c r="AN3169">
        <v>0.99999994600953601</v>
      </c>
    </row>
    <row r="3170" spans="1:40" x14ac:dyDescent="0.3">
      <c r="A3170" t="str">
        <f>"20200111160516533"</f>
        <v>20200111160516533</v>
      </c>
      <c r="B3170" t="str">
        <f>"1578729916524901"</f>
        <v>1578729916524901</v>
      </c>
      <c r="C3170" t="s">
        <v>40</v>
      </c>
      <c r="D3170">
        <v>5.4688879999999997</v>
      </c>
      <c r="E3170">
        <v>0.48285869999999997</v>
      </c>
      <c r="F3170" t="s">
        <v>57</v>
      </c>
      <c r="G3170">
        <v>-244.3484</v>
      </c>
      <c r="H3170" s="1">
        <v>6.9972830000000001E-7</v>
      </c>
      <c r="I3170">
        <v>216.3887</v>
      </c>
      <c r="J3170">
        <v>-261.83539999999999</v>
      </c>
      <c r="K3170">
        <v>1.1108359999999999</v>
      </c>
      <c r="L3170">
        <v>214.12289999999999</v>
      </c>
      <c r="M3170">
        <v>0.99916899999999997</v>
      </c>
      <c r="N3170">
        <v>0</v>
      </c>
      <c r="O3170">
        <v>3.8100540000000002E-2</v>
      </c>
      <c r="P3170">
        <v>0.99684569999999995</v>
      </c>
      <c r="Q3170">
        <v>-8.3773359999999904E-3</v>
      </c>
      <c r="R3170">
        <v>7.8921119999999997E-2</v>
      </c>
      <c r="S3170">
        <v>2.9779049999999998</v>
      </c>
      <c r="T3170">
        <v>-0.18580079999999999</v>
      </c>
      <c r="U3170">
        <v>0.381073</v>
      </c>
      <c r="V3170">
        <v>-4.0886480000000003E-2</v>
      </c>
      <c r="W3170">
        <v>6.0436999999999999E-3</v>
      </c>
      <c r="X3170">
        <v>0.99914550000000002</v>
      </c>
      <c r="Y3170">
        <v>-8.8946059999999993E-2</v>
      </c>
      <c r="Z3170">
        <v>3.9721999999999999E-4</v>
      </c>
      <c r="AA3170">
        <v>0.99603640000000004</v>
      </c>
      <c r="AB3170">
        <v>33</v>
      </c>
      <c r="AC3170">
        <v>17.486999999999899</v>
      </c>
      <c r="AD3170">
        <v>-1.1108353002717</v>
      </c>
      <c r="AE3170">
        <v>2.2658000000000098</v>
      </c>
      <c r="AF3170">
        <v>-1.59150442861969</v>
      </c>
      <c r="AG3170">
        <v>-1.1108353002717</v>
      </c>
      <c r="AH3170">
        <v>17.4912216857023</v>
      </c>
      <c r="AI3170">
        <v>93.618959536804397</v>
      </c>
      <c r="AJ3170">
        <v>95.198955696244994</v>
      </c>
      <c r="AK3170">
        <v>17.598570324575501</v>
      </c>
      <c r="AL3170">
        <v>89.653719382476297</v>
      </c>
      <c r="AM3170">
        <v>92.343318796738004</v>
      </c>
      <c r="AN3170">
        <v>0.99999998036336502</v>
      </c>
    </row>
    <row r="3171" spans="1:40" x14ac:dyDescent="0.3">
      <c r="A3171" t="str">
        <f>"20200111160516555"</f>
        <v>20200111160516555</v>
      </c>
      <c r="B3171" t="str">
        <f>"1578729916544420"</f>
        <v>1578729916544420</v>
      </c>
      <c r="C3171" t="s">
        <v>40</v>
      </c>
      <c r="D3171">
        <v>5.4259659999999998</v>
      </c>
      <c r="E3171">
        <v>0.48292299999999999</v>
      </c>
      <c r="F3171" t="s">
        <v>57</v>
      </c>
      <c r="G3171">
        <v>-244.4879</v>
      </c>
      <c r="H3171" s="1">
        <v>7.7577329999999997E-7</v>
      </c>
      <c r="I3171">
        <v>216.34700000000001</v>
      </c>
      <c r="J3171">
        <v>-261.51089999999999</v>
      </c>
      <c r="K3171">
        <v>1.1108229999999999</v>
      </c>
      <c r="L3171">
        <v>214.13579999999999</v>
      </c>
      <c r="M3171">
        <v>0.99914939999999997</v>
      </c>
      <c r="N3171">
        <v>0</v>
      </c>
      <c r="O3171">
        <v>3.861349E-2</v>
      </c>
      <c r="P3171">
        <v>0.99677470000000001</v>
      </c>
      <c r="Q3171">
        <v>-8.8476869999999999E-3</v>
      </c>
      <c r="R3171">
        <v>7.9762860000000005E-2</v>
      </c>
      <c r="S3171">
        <v>2.9776919999999998</v>
      </c>
      <c r="T3171">
        <v>-0.19067410000000001</v>
      </c>
      <c r="U3171">
        <v>0.38175959999999998</v>
      </c>
      <c r="V3171">
        <v>-4.1216759999999998E-2</v>
      </c>
      <c r="W3171">
        <v>5.5702080000000001E-3</v>
      </c>
      <c r="X3171">
        <v>0.99913470000000004</v>
      </c>
      <c r="Y3171">
        <v>-8.8666099999999998E-2</v>
      </c>
      <c r="Z3171">
        <v>3.661003E-4</v>
      </c>
      <c r="AA3171">
        <v>0.99606130000000004</v>
      </c>
      <c r="AB3171">
        <v>33</v>
      </c>
      <c r="AC3171">
        <v>17.0229999999999</v>
      </c>
      <c r="AD3171">
        <v>-1.1108222242267001</v>
      </c>
      <c r="AE3171">
        <v>2.2112000000000198</v>
      </c>
      <c r="AF3171">
        <v>-1.54569177360723</v>
      </c>
      <c r="AG3171">
        <v>-1.1108222242267001</v>
      </c>
      <c r="AH3171">
        <v>17.024404080418702</v>
      </c>
      <c r="AI3171">
        <v>93.717940450694996</v>
      </c>
      <c r="AJ3171">
        <v>95.187815330297099</v>
      </c>
      <c r="AK3171">
        <v>17.130482286445201</v>
      </c>
      <c r="AL3171">
        <v>89.680848939744294</v>
      </c>
      <c r="AM3171">
        <v>92.362252217114104</v>
      </c>
      <c r="AN3171">
        <v>0.99999999863307498</v>
      </c>
    </row>
    <row r="3172" spans="1:40" x14ac:dyDescent="0.3">
      <c r="A3172" t="str">
        <f>"20200111160516573"</f>
        <v>20200111160516573</v>
      </c>
      <c r="B3172" t="str">
        <f>"1578729916564917"</f>
        <v>1578729916564917</v>
      </c>
      <c r="C3172" t="s">
        <v>40</v>
      </c>
      <c r="D3172">
        <v>5.6604809999999999</v>
      </c>
      <c r="E3172">
        <v>0.48279040000000001</v>
      </c>
      <c r="F3172" t="s">
        <v>57</v>
      </c>
      <c r="G3172">
        <v>-244.505</v>
      </c>
      <c r="H3172" s="1">
        <v>7.8571820000000001E-7</v>
      </c>
      <c r="I3172">
        <v>216.32859999999999</v>
      </c>
      <c r="J3172">
        <v>-261.25040000000001</v>
      </c>
      <c r="K3172">
        <v>1.1108169999999999</v>
      </c>
      <c r="L3172">
        <v>214.1463</v>
      </c>
      <c r="M3172">
        <v>0.99913390000000002</v>
      </c>
      <c r="N3172">
        <v>0</v>
      </c>
      <c r="O3172">
        <v>3.9015979999999999E-2</v>
      </c>
      <c r="P3172">
        <v>0.99674050000000003</v>
      </c>
      <c r="Q3172">
        <v>-9.0519799999999994E-3</v>
      </c>
      <c r="R3172">
        <v>8.0166059999999997E-2</v>
      </c>
      <c r="S3172">
        <v>2.9772340000000002</v>
      </c>
      <c r="T3172">
        <v>-0.19447229999999999</v>
      </c>
      <c r="U3172">
        <v>0.38389590000000001</v>
      </c>
      <c r="V3172">
        <v>-4.1217759999999999E-2</v>
      </c>
      <c r="W3172">
        <v>5.3642179999999996E-3</v>
      </c>
      <c r="X3172">
        <v>0.99913580000000002</v>
      </c>
      <c r="Y3172">
        <v>-8.8983339999999994E-2</v>
      </c>
      <c r="Z3172">
        <v>3.5762480000000002E-4</v>
      </c>
      <c r="AA3172">
        <v>0.9960331</v>
      </c>
      <c r="AB3172">
        <v>33</v>
      </c>
      <c r="AC3172">
        <v>16.7454</v>
      </c>
      <c r="AD3172">
        <v>-1.1108162142818001</v>
      </c>
      <c r="AE3172">
        <v>2.1822999999999899</v>
      </c>
      <c r="AF3172">
        <v>-1.5206517329381299</v>
      </c>
      <c r="AG3172">
        <v>-1.1108162142818001</v>
      </c>
      <c r="AH3172">
        <v>16.745344805749902</v>
      </c>
      <c r="AI3172">
        <v>93.779694970824707</v>
      </c>
      <c r="AJ3172">
        <v>95.188821560657999</v>
      </c>
      <c r="AK3172">
        <v>16.8509010743715</v>
      </c>
      <c r="AL3172">
        <v>89.692651478121803</v>
      </c>
      <c r="AM3172">
        <v>92.362306867248094</v>
      </c>
      <c r="AN3172">
        <v>1.0000000127079001</v>
      </c>
    </row>
    <row r="3173" spans="1:40" x14ac:dyDescent="0.3">
      <c r="A3173" t="str">
        <f>"20200111160516589"</f>
        <v>20200111160516589</v>
      </c>
      <c r="B3173" t="str">
        <f>"1578729916584437"</f>
        <v>1578729916584437</v>
      </c>
      <c r="C3173" t="s">
        <v>40</v>
      </c>
      <c r="D3173">
        <v>5.3608859999999998</v>
      </c>
      <c r="E3173">
        <v>0.48293599999999998</v>
      </c>
      <c r="F3173" t="s">
        <v>57</v>
      </c>
      <c r="G3173">
        <v>-244.36600000000001</v>
      </c>
      <c r="H3173" s="1">
        <v>7.1139659999999897E-7</v>
      </c>
      <c r="I3173">
        <v>216.3365</v>
      </c>
      <c r="J3173">
        <v>-261.02420000000001</v>
      </c>
      <c r="K3173">
        <v>1.1108049999999901</v>
      </c>
      <c r="L3173">
        <v>214.15549999999999</v>
      </c>
      <c r="M3173">
        <v>0.99912040000000002</v>
      </c>
      <c r="N3173">
        <v>0</v>
      </c>
      <c r="O3173">
        <v>3.9359239999999997E-2</v>
      </c>
      <c r="P3173">
        <v>0.99668990000000002</v>
      </c>
      <c r="Q3173">
        <v>-9.9789839999999998E-3</v>
      </c>
      <c r="R3173">
        <v>8.0683950000000004E-2</v>
      </c>
      <c r="S3173">
        <v>2.9769589999999999</v>
      </c>
      <c r="T3173">
        <v>-0.19585250000000001</v>
      </c>
      <c r="U3173">
        <v>0.3861694</v>
      </c>
      <c r="V3173">
        <v>-4.1393270000000003E-2</v>
      </c>
      <c r="W3173">
        <v>4.4358269999999998E-3</v>
      </c>
      <c r="X3173">
        <v>0.9991331</v>
      </c>
      <c r="Y3173">
        <v>-8.9399320000000004E-2</v>
      </c>
      <c r="Z3173">
        <v>3.5136869999999998E-4</v>
      </c>
      <c r="AA3173">
        <v>0.99599579999999999</v>
      </c>
      <c r="AB3173">
        <v>33</v>
      </c>
      <c r="AC3173">
        <v>16.658200000000001</v>
      </c>
      <c r="AD3173">
        <v>-1.11080428860339</v>
      </c>
      <c r="AE3173">
        <v>2.1810000000000098</v>
      </c>
      <c r="AF3173">
        <v>-1.5169554569914401</v>
      </c>
      <c r="AG3173">
        <v>-1.11080428860339</v>
      </c>
      <c r="AH3173">
        <v>16.6583177511482</v>
      </c>
      <c r="AI3173">
        <v>93.7992563717454</v>
      </c>
      <c r="AJ3173">
        <v>95.203171665627295</v>
      </c>
      <c r="AK3173">
        <v>16.764086325365099</v>
      </c>
      <c r="AL3173">
        <v>89.745845004686302</v>
      </c>
      <c r="AM3173">
        <v>92.372360778792199</v>
      </c>
      <c r="AN3173">
        <v>1.0000000154390301</v>
      </c>
    </row>
    <row r="3174" spans="1:40" x14ac:dyDescent="0.3">
      <c r="A3174" t="str">
        <f>"20200111160516606"</f>
        <v>20200111160516606</v>
      </c>
      <c r="B3174" t="str">
        <f>"1578729916594196"</f>
        <v>1578729916594196</v>
      </c>
      <c r="C3174" t="s">
        <v>40</v>
      </c>
      <c r="D3174">
        <v>5.4759969999999996</v>
      </c>
      <c r="E3174">
        <v>0.48298229999999998</v>
      </c>
      <c r="F3174" t="s">
        <v>57</v>
      </c>
      <c r="G3174">
        <v>-244.5993</v>
      </c>
      <c r="H3174" s="1">
        <v>8.3765619999999998E-7</v>
      </c>
      <c r="I3174">
        <v>216.2886</v>
      </c>
      <c r="J3174">
        <v>-260.77269999999999</v>
      </c>
      <c r="K3174">
        <v>1.1107929999999999</v>
      </c>
      <c r="L3174">
        <v>214.16579999999999</v>
      </c>
      <c r="M3174">
        <v>0.99910560000000004</v>
      </c>
      <c r="N3174">
        <v>0</v>
      </c>
      <c r="O3174">
        <v>3.9733770000000002E-2</v>
      </c>
      <c r="P3174">
        <v>0.99665360000000003</v>
      </c>
      <c r="Q3174">
        <v>-1.049813E-2</v>
      </c>
      <c r="R3174">
        <v>8.1064960000000005E-2</v>
      </c>
      <c r="S3174">
        <v>2.9766539999999999</v>
      </c>
      <c r="T3174">
        <v>-0.20130960000000001</v>
      </c>
      <c r="U3174">
        <v>0.38658140000000002</v>
      </c>
      <c r="V3174">
        <v>-4.1400029999999997E-2</v>
      </c>
      <c r="W3174">
        <v>3.9141710000000001E-3</v>
      </c>
      <c r="X3174">
        <v>0.999135</v>
      </c>
      <c r="Y3174">
        <v>-8.916992E-2</v>
      </c>
      <c r="Z3174">
        <v>3.2830590000000002E-4</v>
      </c>
      <c r="AA3174">
        <v>0.99601640000000002</v>
      </c>
      <c r="AB3174">
        <v>33</v>
      </c>
      <c r="AC3174">
        <v>16.173399999999901</v>
      </c>
      <c r="AD3174">
        <v>-1.1107921623438</v>
      </c>
      <c r="AE3174">
        <v>2.12280000000001</v>
      </c>
      <c r="AF3174">
        <v>-1.4716019416953301</v>
      </c>
      <c r="AG3174">
        <v>-1.1107921623438</v>
      </c>
      <c r="AH3174">
        <v>16.169999248111399</v>
      </c>
      <c r="AI3174">
        <v>93.913615641618705</v>
      </c>
      <c r="AJ3174">
        <v>95.200058792782499</v>
      </c>
      <c r="AK3174">
        <v>16.2747764097284</v>
      </c>
      <c r="AL3174">
        <v>89.775733952277406</v>
      </c>
      <c r="AM3174">
        <v>92.372743263022201</v>
      </c>
      <c r="AN3174">
        <v>1.0000000157218001</v>
      </c>
    </row>
    <row r="3175" spans="1:40" x14ac:dyDescent="0.3">
      <c r="A3175" t="str">
        <f>"20200111160516621"</f>
        <v>20200111160516621</v>
      </c>
      <c r="B3175" t="str">
        <f>"1578729916614693"</f>
        <v>1578729916614693</v>
      </c>
      <c r="C3175" t="s">
        <v>40</v>
      </c>
      <c r="D3175">
        <v>5.4331740000000002</v>
      </c>
      <c r="E3175">
        <v>0.48301939999999999</v>
      </c>
      <c r="F3175" t="s">
        <v>57</v>
      </c>
      <c r="G3175">
        <v>-244.53550000000001</v>
      </c>
      <c r="H3175" s="1">
        <v>8.0405709999999998E-7</v>
      </c>
      <c r="I3175">
        <v>216.2801</v>
      </c>
      <c r="J3175">
        <v>-260.54599999999999</v>
      </c>
      <c r="K3175">
        <v>1.1107830000000001</v>
      </c>
      <c r="L3175">
        <v>214.17509999999999</v>
      </c>
      <c r="M3175">
        <v>0.9990926</v>
      </c>
      <c r="N3175">
        <v>0</v>
      </c>
      <c r="O3175">
        <v>4.0063849999999998E-2</v>
      </c>
      <c r="P3175">
        <v>0.99662669999999998</v>
      </c>
      <c r="Q3175">
        <v>-1.097771E-2</v>
      </c>
      <c r="R3175">
        <v>8.1332009999999996E-2</v>
      </c>
      <c r="S3175">
        <v>2.97641</v>
      </c>
      <c r="T3175">
        <v>-0.2036172</v>
      </c>
      <c r="U3175">
        <v>0.38757320000000001</v>
      </c>
      <c r="V3175">
        <v>-4.1337199999999998E-2</v>
      </c>
      <c r="W3175">
        <v>3.4316160000000002E-3</v>
      </c>
      <c r="X3175">
        <v>0.99913940000000001</v>
      </c>
      <c r="Y3175">
        <v>-8.9175840000000006E-2</v>
      </c>
      <c r="Z3175">
        <v>3.0986659999999999E-4</v>
      </c>
      <c r="AA3175">
        <v>0.99601580000000001</v>
      </c>
      <c r="AB3175">
        <v>33</v>
      </c>
      <c r="AC3175">
        <v>16.010499999999901</v>
      </c>
      <c r="AD3175">
        <v>-1.1107821959428901</v>
      </c>
      <c r="AE3175">
        <v>2.1050000000000102</v>
      </c>
      <c r="AF3175">
        <v>-1.4549162862653799</v>
      </c>
      <c r="AG3175">
        <v>-1.1107821959428901</v>
      </c>
      <c r="AH3175">
        <v>16.0062513969457</v>
      </c>
      <c r="AI3175">
        <v>93.953530804467604</v>
      </c>
      <c r="AJ3175">
        <v>95.193727814546506</v>
      </c>
      <c r="AK3175">
        <v>16.110577341271501</v>
      </c>
      <c r="AL3175">
        <v>89.803382508330799</v>
      </c>
      <c r="AM3175">
        <v>92.369135997424195</v>
      </c>
      <c r="AN3175">
        <v>1.00000004036228</v>
      </c>
    </row>
    <row r="3176" spans="1:40" x14ac:dyDescent="0.3">
      <c r="A3176" t="str">
        <f>"20200111160516634"</f>
        <v>20200111160516634</v>
      </c>
      <c r="B3176" t="str">
        <f>"1578729916624453"</f>
        <v>1578729916624453</v>
      </c>
      <c r="C3176" t="s">
        <v>40</v>
      </c>
      <c r="D3176">
        <v>5.4127199999999904</v>
      </c>
      <c r="E3176">
        <v>0.48312470000000002</v>
      </c>
      <c r="F3176" t="s">
        <v>57</v>
      </c>
      <c r="G3176">
        <v>-244.3921</v>
      </c>
      <c r="H3176" s="1">
        <v>7.2772359999999904E-7</v>
      </c>
      <c r="I3176">
        <v>216.2807</v>
      </c>
      <c r="J3176">
        <v>-260.36529999999999</v>
      </c>
      <c r="K3176">
        <v>1.110771</v>
      </c>
      <c r="L3176">
        <v>214.18260000000001</v>
      </c>
      <c r="M3176">
        <v>0.99908209999999997</v>
      </c>
      <c r="N3176">
        <v>0</v>
      </c>
      <c r="O3176">
        <v>4.032256E-2</v>
      </c>
      <c r="P3176">
        <v>0.99659439999999999</v>
      </c>
      <c r="Q3176">
        <v>-1.1189019999999999E-2</v>
      </c>
      <c r="R3176">
        <v>8.1697870000000006E-2</v>
      </c>
      <c r="S3176">
        <v>2.9762270000000002</v>
      </c>
      <c r="T3176">
        <v>-0.204653</v>
      </c>
      <c r="U3176">
        <v>0.38793949999999999</v>
      </c>
      <c r="V3176">
        <v>-4.1445389999999999E-2</v>
      </c>
      <c r="W3176">
        <v>3.2175160000000001E-3</v>
      </c>
      <c r="X3176">
        <v>0.99913560000000001</v>
      </c>
      <c r="Y3176">
        <v>-8.9046020000000004E-2</v>
      </c>
      <c r="Z3176">
        <v>2.8935609999999998E-4</v>
      </c>
      <c r="AA3176">
        <v>0.99602749999999995</v>
      </c>
      <c r="AB3176">
        <v>33</v>
      </c>
      <c r="AC3176">
        <v>15.973199999999901</v>
      </c>
      <c r="AD3176">
        <v>-1.1107702722763999</v>
      </c>
      <c r="AE3176">
        <v>2.0980999999999801</v>
      </c>
      <c r="AF3176">
        <v>-1.4453747033333799</v>
      </c>
      <c r="AG3176">
        <v>-1.1107702722763999</v>
      </c>
      <c r="AH3176">
        <v>15.9689040765047</v>
      </c>
      <c r="AI3176">
        <v>93.962842100729603</v>
      </c>
      <c r="AJ3176">
        <v>95.171853196784795</v>
      </c>
      <c r="AK3176">
        <v>16.072610741115401</v>
      </c>
      <c r="AL3176">
        <v>89.815649596443507</v>
      </c>
      <c r="AM3176">
        <v>92.375338561521502</v>
      </c>
      <c r="AN3176">
        <v>1.00000000997441</v>
      </c>
    </row>
    <row r="3177" spans="1:40" x14ac:dyDescent="0.3">
      <c r="A3177" t="str">
        <f>"20200111160516678"</f>
        <v>20200111160516678</v>
      </c>
      <c r="B3177" t="str">
        <f>"1578729916674228"</f>
        <v>1578729916674228</v>
      </c>
      <c r="C3177" t="s">
        <v>40</v>
      </c>
      <c r="D3177">
        <v>5.5497329999999998</v>
      </c>
      <c r="E3177">
        <v>0.55146989999999996</v>
      </c>
      <c r="F3177" t="s">
        <v>57</v>
      </c>
      <c r="G3177">
        <v>-244.28819999999999</v>
      </c>
      <c r="H3177" s="1">
        <v>6.7245940000000002E-7</v>
      </c>
      <c r="I3177">
        <v>216.2801</v>
      </c>
      <c r="J3177">
        <v>-259.72980000000001</v>
      </c>
      <c r="K3177">
        <v>1.1107499999999999</v>
      </c>
      <c r="L3177">
        <v>214.20939999999999</v>
      </c>
      <c r="M3177">
        <v>0.99904660000000001</v>
      </c>
      <c r="N3177">
        <v>0</v>
      </c>
      <c r="O3177">
        <v>4.1200489999999999E-2</v>
      </c>
      <c r="P3177">
        <v>0.99651420000000002</v>
      </c>
      <c r="Q3177">
        <v>-1.1107550000000001E-2</v>
      </c>
      <c r="R3177">
        <v>8.2683069999999997E-2</v>
      </c>
      <c r="S3177">
        <v>2.9760740000000001</v>
      </c>
      <c r="T3177">
        <v>-0.2056182</v>
      </c>
      <c r="U3177">
        <v>0.38827509999999998</v>
      </c>
      <c r="V3177">
        <v>-4.1554969999999997E-2</v>
      </c>
      <c r="W3177">
        <v>3.2871350000000001E-3</v>
      </c>
      <c r="X3177">
        <v>0.99913079999999999</v>
      </c>
      <c r="Y3177">
        <v>-8.8290510000000003E-2</v>
      </c>
      <c r="Z3177">
        <v>2.0455500000000001E-4</v>
      </c>
      <c r="AA3177">
        <v>0.99609479999999995</v>
      </c>
      <c r="AB3177">
        <v>32</v>
      </c>
      <c r="AC3177">
        <v>15.441599999999999</v>
      </c>
      <c r="AD3177">
        <v>-1.1107493275406</v>
      </c>
      <c r="AE3177">
        <v>2.0707000000000102</v>
      </c>
      <c r="AF3177">
        <v>-1.42542837095687</v>
      </c>
      <c r="AG3177">
        <v>-1.1107493275406</v>
      </c>
      <c r="AH3177">
        <v>15.435352969333399</v>
      </c>
      <c r="AI3177">
        <v>94.098608474263401</v>
      </c>
      <c r="AJ3177">
        <v>95.276202073576897</v>
      </c>
      <c r="AK3177">
        <v>15.5407764090881</v>
      </c>
      <c r="AL3177">
        <v>89.811660696401304</v>
      </c>
      <c r="AM3177">
        <v>92.381623070737405</v>
      </c>
      <c r="AN3177">
        <v>0.99999998814842395</v>
      </c>
    </row>
    <row r="3178" spans="1:40" x14ac:dyDescent="0.3">
      <c r="A3178" t="str">
        <f>"20200111160516701"</f>
        <v>20200111160516701</v>
      </c>
      <c r="B3178" t="str">
        <f>"1578729916694724"</f>
        <v>1578729916694724</v>
      </c>
      <c r="C3178" t="s">
        <v>40</v>
      </c>
      <c r="D3178">
        <v>5.8730330000000004</v>
      </c>
      <c r="E3178">
        <v>0.5491741</v>
      </c>
      <c r="F3178" t="s">
        <v>42</v>
      </c>
      <c r="G3178">
        <v>-258.91239999999999</v>
      </c>
      <c r="H3178">
        <v>1.0485139999999999</v>
      </c>
      <c r="I3178">
        <v>214.16820000000001</v>
      </c>
      <c r="J3178">
        <v>-259.3999</v>
      </c>
      <c r="K3178">
        <v>1.1107279999999999</v>
      </c>
      <c r="L3178">
        <v>214.2234</v>
      </c>
      <c r="M3178">
        <v>0.99902869999999999</v>
      </c>
      <c r="N3178">
        <v>0</v>
      </c>
      <c r="O3178">
        <v>4.1634690000000002E-2</v>
      </c>
      <c r="P3178">
        <v>0.99653789999999998</v>
      </c>
      <c r="Q3178">
        <v>-1.151611E-2</v>
      </c>
      <c r="R3178">
        <v>8.2339540000000003E-2</v>
      </c>
      <c r="S3178">
        <v>3.020508</v>
      </c>
      <c r="T3178">
        <v>-0.23008319999999999</v>
      </c>
      <c r="U3178">
        <v>-0.151535</v>
      </c>
      <c r="V3178">
        <v>-4.0776050000000001E-2</v>
      </c>
      <c r="W3178">
        <v>2.8741959999999999E-3</v>
      </c>
      <c r="X3178">
        <v>0.99916419999999995</v>
      </c>
      <c r="Y3178">
        <v>9.1264780000000004E-2</v>
      </c>
      <c r="Z3178">
        <v>-6.6341519999999999E-3</v>
      </c>
      <c r="AA3178">
        <v>0.99580449999999998</v>
      </c>
      <c r="AB3178">
        <v>32</v>
      </c>
      <c r="AC3178">
        <v>0.48750000000001098</v>
      </c>
      <c r="AD3178">
        <v>-6.22140000000002E-2</v>
      </c>
      <c r="AE3178">
        <v>-5.5199999999984997E-2</v>
      </c>
      <c r="AF3178">
        <v>7.4257074587611702E-2</v>
      </c>
      <c r="AG3178">
        <v>-6.22140000000002E-2</v>
      </c>
      <c r="AH3178">
        <v>0.47710670635453001</v>
      </c>
      <c r="AI3178">
        <v>97.341952367879799</v>
      </c>
      <c r="AJ3178">
        <v>81.153439595788299</v>
      </c>
      <c r="AK3178">
        <v>0.48684238123932599</v>
      </c>
      <c r="AL3178">
        <v>89.835320476742396</v>
      </c>
      <c r="AM3178">
        <v>92.336953080785705</v>
      </c>
      <c r="AN3178">
        <v>1.0000000229089401</v>
      </c>
    </row>
    <row r="3179" spans="1:40" x14ac:dyDescent="0.3">
      <c r="A3179" t="str">
        <f>"20200111160516724"</f>
        <v>20200111160516724</v>
      </c>
      <c r="B3179" t="str">
        <f>"1578729916714243"</f>
        <v>1578729916714243</v>
      </c>
      <c r="C3179" t="s">
        <v>40</v>
      </c>
      <c r="D3179">
        <v>5.6957529999999998</v>
      </c>
      <c r="E3179">
        <v>0.55158009999999902</v>
      </c>
      <c r="F3179" t="s">
        <v>42</v>
      </c>
      <c r="G3179">
        <v>-258.62060000000002</v>
      </c>
      <c r="H3179">
        <v>1.052665</v>
      </c>
      <c r="I3179">
        <v>214.18860000000001</v>
      </c>
      <c r="J3179">
        <v>-259.07530000000003</v>
      </c>
      <c r="K3179">
        <v>1.1107100000000001</v>
      </c>
      <c r="L3179">
        <v>214.23740000000001</v>
      </c>
      <c r="M3179">
        <v>0.9990116</v>
      </c>
      <c r="N3179">
        <v>0</v>
      </c>
      <c r="O3179">
        <v>4.2043709999999998E-2</v>
      </c>
      <c r="P3179">
        <v>0.99653420000000004</v>
      </c>
      <c r="Q3179">
        <v>-1.2421339999999999E-2</v>
      </c>
      <c r="R3179">
        <v>8.2253060000000003E-2</v>
      </c>
      <c r="S3179">
        <v>3.0189210000000002</v>
      </c>
      <c r="T3179">
        <v>-0.22505990000000001</v>
      </c>
      <c r="U3179">
        <v>-0.13452149999999999</v>
      </c>
      <c r="V3179">
        <v>-4.027969E-2</v>
      </c>
      <c r="W3179">
        <v>1.964393E-3</v>
      </c>
      <c r="X3179">
        <v>0.99918649999999998</v>
      </c>
      <c r="Y3179">
        <v>8.6127239999999994E-2</v>
      </c>
      <c r="Z3179">
        <v>-6.3331769999999997E-3</v>
      </c>
      <c r="AA3179">
        <v>0.99626400000000004</v>
      </c>
      <c r="AB3179">
        <v>32</v>
      </c>
      <c r="AC3179">
        <v>0.45470000000000199</v>
      </c>
      <c r="AD3179">
        <v>-5.8045000000000103E-2</v>
      </c>
      <c r="AE3179">
        <v>-4.8799999999999899E-2</v>
      </c>
      <c r="AF3179">
        <v>6.67999328293159E-2</v>
      </c>
      <c r="AG3179">
        <v>-5.8045000000000103E-2</v>
      </c>
      <c r="AH3179">
        <v>0.44507557176559998</v>
      </c>
      <c r="AI3179">
        <v>97.348957193302695</v>
      </c>
      <c r="AJ3179">
        <v>81.464375083398593</v>
      </c>
      <c r="AK3179">
        <v>0.45378818586811698</v>
      </c>
      <c r="AL3179">
        <v>89.887448497948</v>
      </c>
      <c r="AM3179">
        <v>92.308485244468599</v>
      </c>
      <c r="AN3179">
        <v>0.99999998702430204</v>
      </c>
    </row>
    <row r="3180" spans="1:40" x14ac:dyDescent="0.3">
      <c r="A3180" t="str">
        <f>"20200111160516745"</f>
        <v>20200111160516745</v>
      </c>
      <c r="B3180" t="str">
        <f>"1578729916734741"</f>
        <v>1578729916734741</v>
      </c>
      <c r="C3180" t="s">
        <v>40</v>
      </c>
      <c r="D3180">
        <v>5.5999889999999999</v>
      </c>
      <c r="E3180">
        <v>0.55149049999999999</v>
      </c>
      <c r="F3180" t="s">
        <v>57</v>
      </c>
      <c r="G3180">
        <v>-243.40770000000001</v>
      </c>
      <c r="H3180" s="1">
        <v>3.2824939999999999E-7</v>
      </c>
      <c r="I3180">
        <v>213.43450000000001</v>
      </c>
      <c r="J3180">
        <v>-258.76729999999998</v>
      </c>
      <c r="K3180">
        <v>1.1106929999999999</v>
      </c>
      <c r="L3180">
        <v>214.2508</v>
      </c>
      <c r="M3180">
        <v>0.99899629999999995</v>
      </c>
      <c r="N3180">
        <v>0</v>
      </c>
      <c r="O3180">
        <v>4.2405400000000003E-2</v>
      </c>
      <c r="P3180">
        <v>0.99656699999999998</v>
      </c>
      <c r="Q3180">
        <v>-1.2610339999999999E-2</v>
      </c>
      <c r="R3180">
        <v>8.1824300000000003E-2</v>
      </c>
      <c r="S3180">
        <v>3.0205380000000002</v>
      </c>
      <c r="T3180">
        <v>-0.21413099999999999</v>
      </c>
      <c r="U3180">
        <v>-0.15478520000000001</v>
      </c>
      <c r="V3180">
        <v>-3.9488299999999997E-2</v>
      </c>
      <c r="W3180">
        <v>1.7722279999999901E-3</v>
      </c>
      <c r="X3180">
        <v>0.99921850000000001</v>
      </c>
      <c r="Y3180">
        <v>9.3145820000000004E-2</v>
      </c>
      <c r="Z3180">
        <v>-6.2962519999999996E-3</v>
      </c>
      <c r="AA3180">
        <v>0.99563259999999998</v>
      </c>
      <c r="AB3180">
        <v>32</v>
      </c>
      <c r="AC3180">
        <v>15.359599999999901</v>
      </c>
      <c r="AD3180">
        <v>-1.1106926717505901</v>
      </c>
      <c r="AE3180">
        <v>-0.81629999999998404</v>
      </c>
      <c r="AF3180">
        <v>1.45935372996602</v>
      </c>
      <c r="AG3180">
        <v>-1.1106926717505901</v>
      </c>
      <c r="AH3180">
        <v>15.2317376819234</v>
      </c>
      <c r="AI3180">
        <v>94.151660634484898</v>
      </c>
      <c r="AJ3180">
        <v>84.527193023779503</v>
      </c>
      <c r="AK3180">
        <v>15.3417464563579</v>
      </c>
      <c r="AL3180">
        <v>89.898458766039894</v>
      </c>
      <c r="AM3180">
        <v>92.2631048104992</v>
      </c>
      <c r="AN3180">
        <v>1.00000003868561</v>
      </c>
    </row>
    <row r="3181" spans="1:40" x14ac:dyDescent="0.3">
      <c r="A3181" t="str">
        <f>"20200111160516767"</f>
        <v>20200111160516767</v>
      </c>
      <c r="B3181" t="str">
        <f>"1578729916764996"</f>
        <v>1578729916764996</v>
      </c>
      <c r="C3181" t="s">
        <v>40</v>
      </c>
      <c r="D3181">
        <v>5.604311</v>
      </c>
      <c r="E3181">
        <v>0.55252429999999997</v>
      </c>
      <c r="F3181" t="s">
        <v>42</v>
      </c>
      <c r="G3181">
        <v>-257.76760000000002</v>
      </c>
      <c r="H3181">
        <v>1.0354380000000001</v>
      </c>
      <c r="I3181">
        <v>214.1994</v>
      </c>
      <c r="J3181">
        <v>-258.44130000000001</v>
      </c>
      <c r="K3181">
        <v>1.1106659999999999</v>
      </c>
      <c r="L3181">
        <v>214.26499999999999</v>
      </c>
      <c r="M3181">
        <v>0.99898180000000003</v>
      </c>
      <c r="N3181">
        <v>0</v>
      </c>
      <c r="O3181">
        <v>4.2749229999999999E-2</v>
      </c>
      <c r="P3181">
        <v>0.99671220000000005</v>
      </c>
      <c r="Q3181">
        <v>-1.308991E-2</v>
      </c>
      <c r="R3181">
        <v>7.9962169999999999E-2</v>
      </c>
      <c r="S3181">
        <v>3.0201570000000002</v>
      </c>
      <c r="T3181">
        <v>-0.22740850000000001</v>
      </c>
      <c r="U3181">
        <v>-0.15476989999999999</v>
      </c>
      <c r="V3181">
        <v>-3.7277440000000002E-2</v>
      </c>
      <c r="W3181">
        <v>1.2920539999999999E-3</v>
      </c>
      <c r="X3181">
        <v>0.99930410000000003</v>
      </c>
      <c r="Y3181">
        <v>9.3444650000000004E-2</v>
      </c>
      <c r="Z3181">
        <v>-6.7234950000000003E-3</v>
      </c>
      <c r="AA3181">
        <v>0.99560179999999998</v>
      </c>
      <c r="AB3181">
        <v>32</v>
      </c>
      <c r="AC3181">
        <v>0.67369999999999597</v>
      </c>
      <c r="AD3181">
        <v>-7.5228000000000003E-2</v>
      </c>
      <c r="AE3181">
        <v>-6.5599999999989195E-2</v>
      </c>
      <c r="AF3181">
        <v>9.3192085275939904E-2</v>
      </c>
      <c r="AG3181">
        <v>-7.5228000000000003E-2</v>
      </c>
      <c r="AH3181">
        <v>0.66210126473526498</v>
      </c>
      <c r="AI3181">
        <v>96.419412626938893</v>
      </c>
      <c r="AJ3181">
        <v>81.988135126071299</v>
      </c>
      <c r="AK3181">
        <v>0.67284626885055698</v>
      </c>
      <c r="AL3181">
        <v>89.925970736863803</v>
      </c>
      <c r="AM3181">
        <v>92.136336781335899</v>
      </c>
      <c r="AN3181">
        <v>0.99999998060665096</v>
      </c>
    </row>
    <row r="3182" spans="1:40" x14ac:dyDescent="0.3">
      <c r="A3182" t="str">
        <f>"20200111160516790"</f>
        <v>20200111160516790</v>
      </c>
      <c r="B3182" t="str">
        <f>"1578729916784519"</f>
        <v>1578729916784519</v>
      </c>
      <c r="C3182" t="s">
        <v>40</v>
      </c>
      <c r="D3182">
        <v>5.5861130000000001</v>
      </c>
      <c r="E3182">
        <v>0.55300240000000001</v>
      </c>
      <c r="F3182" t="s">
        <v>42</v>
      </c>
      <c r="G3182">
        <v>-257.48129999999998</v>
      </c>
      <c r="H3182">
        <v>1.0332479999999999</v>
      </c>
      <c r="I3182">
        <v>214.2115</v>
      </c>
      <c r="J3182">
        <v>-258.11489999999998</v>
      </c>
      <c r="K3182">
        <v>1.110638</v>
      </c>
      <c r="L3182">
        <v>214.27930000000001</v>
      </c>
      <c r="M3182">
        <v>0.99896870000000004</v>
      </c>
      <c r="N3182">
        <v>0</v>
      </c>
      <c r="O3182">
        <v>4.3056270000000001E-2</v>
      </c>
      <c r="P3182">
        <v>0.99685469999999998</v>
      </c>
      <c r="Q3182">
        <v>-1.231692E-2</v>
      </c>
      <c r="R3182">
        <v>7.8288899999999995E-2</v>
      </c>
      <c r="S3182">
        <v>3.0201419999999999</v>
      </c>
      <c r="T3182">
        <v>-0.24374129999999999</v>
      </c>
      <c r="U3182">
        <v>-0.16760249999999999</v>
      </c>
      <c r="V3182">
        <v>-3.5292200000000003E-2</v>
      </c>
      <c r="W3182">
        <v>2.0645279999999999E-3</v>
      </c>
      <c r="X3182">
        <v>0.99937489999999995</v>
      </c>
      <c r="Y3182">
        <v>9.7895759999999998E-2</v>
      </c>
      <c r="Z3182">
        <v>-7.4080830000000002E-3</v>
      </c>
      <c r="AA3182">
        <v>0.99516910000000003</v>
      </c>
      <c r="AB3182">
        <v>32</v>
      </c>
      <c r="AC3182">
        <v>0.63360000000000105</v>
      </c>
      <c r="AD3182">
        <v>-7.739E-2</v>
      </c>
      <c r="AE3182">
        <v>-6.7800000000005398E-2</v>
      </c>
      <c r="AF3182">
        <v>9.3639211826051102E-2</v>
      </c>
      <c r="AG3182">
        <v>-7.739E-2</v>
      </c>
      <c r="AH3182">
        <v>0.62093395809361196</v>
      </c>
      <c r="AI3182">
        <v>97.025781739286103</v>
      </c>
      <c r="AJ3182">
        <v>81.424197754852599</v>
      </c>
      <c r="AK3182">
        <v>0.63270569335608495</v>
      </c>
      <c r="AL3182">
        <v>89.881711174434201</v>
      </c>
      <c r="AM3182">
        <v>92.022518431233195</v>
      </c>
      <c r="AN3182">
        <v>0.999999996203356</v>
      </c>
    </row>
    <row r="3183" spans="1:40" x14ac:dyDescent="0.3">
      <c r="A3183" t="str">
        <f>"20200111160516812"</f>
        <v>20200111160516812</v>
      </c>
      <c r="B3183" t="str">
        <f>"1578729916805012"</f>
        <v>1578729916805012</v>
      </c>
      <c r="C3183" t="s">
        <v>40</v>
      </c>
      <c r="D3183">
        <v>5.6062139999999996</v>
      </c>
      <c r="E3183">
        <v>0.55328659999999996</v>
      </c>
      <c r="F3183" t="s">
        <v>42</v>
      </c>
      <c r="G3183">
        <v>-257.19349999999997</v>
      </c>
      <c r="H3183">
        <v>1.0349469999999901</v>
      </c>
      <c r="I3183">
        <v>214.22559999999999</v>
      </c>
      <c r="J3183">
        <v>-257.798</v>
      </c>
      <c r="K3183">
        <v>1.1106049999999901</v>
      </c>
      <c r="L3183">
        <v>214.29320000000001</v>
      </c>
      <c r="M3183">
        <v>0.99895809999999996</v>
      </c>
      <c r="N3183">
        <v>0</v>
      </c>
      <c r="O3183">
        <v>4.3302809999999997E-2</v>
      </c>
      <c r="P3183">
        <v>0.99693019999999999</v>
      </c>
      <c r="Q3183">
        <v>-1.0280890000000001E-2</v>
      </c>
      <c r="R3183">
        <v>7.7617420000000006E-2</v>
      </c>
      <c r="S3183">
        <v>3.0202330000000002</v>
      </c>
      <c r="T3183">
        <v>-0.24805659999999999</v>
      </c>
      <c r="U3183">
        <v>-0.17607120000000001</v>
      </c>
      <c r="V3183">
        <v>-3.4372729999999997E-2</v>
      </c>
      <c r="W3183">
        <v>4.0996590000000003E-3</v>
      </c>
      <c r="X3183">
        <v>0.99940070000000003</v>
      </c>
      <c r="Y3183">
        <v>0.1008936</v>
      </c>
      <c r="Z3183">
        <v>-7.6810280000000003E-3</v>
      </c>
      <c r="AA3183">
        <v>0.99486759999999996</v>
      </c>
      <c r="AB3183">
        <v>32</v>
      </c>
      <c r="AC3183">
        <v>0.60450000000003001</v>
      </c>
      <c r="AD3183">
        <v>-7.5658000000000003E-2</v>
      </c>
      <c r="AE3183">
        <v>-6.7600000000027194E-2</v>
      </c>
      <c r="AF3183">
        <v>9.2288050725673296E-2</v>
      </c>
      <c r="AG3183">
        <v>-7.5658000000000003E-2</v>
      </c>
      <c r="AH3183">
        <v>0.59184876315830204</v>
      </c>
      <c r="AI3183">
        <v>97.198737670397193</v>
      </c>
      <c r="AJ3183">
        <v>81.137137998932801</v>
      </c>
      <c r="AK3183">
        <v>0.60376003157111702</v>
      </c>
      <c r="AL3183">
        <v>89.765106189851096</v>
      </c>
      <c r="AM3183">
        <v>91.9698168806909</v>
      </c>
      <c r="AN3183">
        <v>1.00000002546602</v>
      </c>
    </row>
    <row r="3184" spans="1:40" x14ac:dyDescent="0.3">
      <c r="A3184" t="str">
        <f>"20200111160516834"</f>
        <v>20200111160516834</v>
      </c>
      <c r="B3184" t="str">
        <f>"1578729916824532"</f>
        <v>1578729916824532</v>
      </c>
      <c r="C3184" t="s">
        <v>40</v>
      </c>
      <c r="D3184">
        <v>5.6066140000000004</v>
      </c>
      <c r="E3184">
        <v>0.55389290000000002</v>
      </c>
      <c r="F3184" t="s">
        <v>42</v>
      </c>
      <c r="G3184">
        <v>-256.90570000000002</v>
      </c>
      <c r="H3184">
        <v>1.037506</v>
      </c>
      <c r="I3184">
        <v>214.2398</v>
      </c>
      <c r="J3184">
        <v>-257.48840000000001</v>
      </c>
      <c r="K3184">
        <v>1.11056</v>
      </c>
      <c r="L3184">
        <v>214.30690000000001</v>
      </c>
      <c r="M3184">
        <v>0.99895060000000002</v>
      </c>
      <c r="N3184">
        <v>0</v>
      </c>
      <c r="O3184">
        <v>4.3477780000000001E-2</v>
      </c>
      <c r="P3184">
        <v>0.9969228</v>
      </c>
      <c r="Q3184">
        <v>-8.8137089999999994E-3</v>
      </c>
      <c r="R3184">
        <v>7.7893439999999994E-2</v>
      </c>
      <c r="S3184">
        <v>3.0207060000000001</v>
      </c>
      <c r="T3184">
        <v>-0.24761050000000001</v>
      </c>
      <c r="U3184">
        <v>-0.1801605</v>
      </c>
      <c r="V3184">
        <v>-3.4473509999999999E-2</v>
      </c>
      <c r="W3184">
        <v>5.5654399999999996E-3</v>
      </c>
      <c r="X3184">
        <v>0.99939009999999995</v>
      </c>
      <c r="Y3184">
        <v>0.1023971</v>
      </c>
      <c r="Z3184">
        <v>-7.7415610000000001E-3</v>
      </c>
      <c r="AA3184">
        <v>0.99471350000000003</v>
      </c>
      <c r="AB3184">
        <v>32</v>
      </c>
      <c r="AC3184">
        <v>0.58269999999998801</v>
      </c>
      <c r="AD3184">
        <v>-7.3053999999999897E-2</v>
      </c>
      <c r="AE3184">
        <v>-6.7100000000010596E-2</v>
      </c>
      <c r="AF3184">
        <v>9.0962624590913393E-2</v>
      </c>
      <c r="AG3184">
        <v>-7.3053999999999897E-2</v>
      </c>
      <c r="AH3184">
        <v>0.57038324884009095</v>
      </c>
      <c r="AI3184">
        <v>97.208523817464595</v>
      </c>
      <c r="AJ3184">
        <v>80.938980873292294</v>
      </c>
      <c r="AK3184">
        <v>0.58219252532632604</v>
      </c>
      <c r="AL3184">
        <v>89.681122125747905</v>
      </c>
      <c r="AM3184">
        <v>91.975608702924802</v>
      </c>
      <c r="AN3184">
        <v>0.99999998449606098</v>
      </c>
    </row>
    <row r="3185" spans="1:40" x14ac:dyDescent="0.3">
      <c r="A3185" t="str">
        <f>"20200111160516856"</f>
        <v>20200111160516856</v>
      </c>
      <c r="B3185" t="str">
        <f>"1578729916854788"</f>
        <v>1578729916854788</v>
      </c>
      <c r="C3185" t="s">
        <v>40</v>
      </c>
      <c r="D3185">
        <v>5.6231330000000002</v>
      </c>
      <c r="E3185">
        <v>0.5538594</v>
      </c>
      <c r="F3185" t="s">
        <v>42</v>
      </c>
      <c r="G3185">
        <v>-256.61810000000003</v>
      </c>
      <c r="H3185">
        <v>1.039879</v>
      </c>
      <c r="I3185">
        <v>214.2535</v>
      </c>
      <c r="J3185">
        <v>-257.16930000000002</v>
      </c>
      <c r="K3185">
        <v>1.110503</v>
      </c>
      <c r="L3185">
        <v>214.32089999999999</v>
      </c>
      <c r="M3185">
        <v>0.99894609999999995</v>
      </c>
      <c r="N3185">
        <v>0</v>
      </c>
      <c r="O3185">
        <v>4.3584989999999997E-2</v>
      </c>
      <c r="P3185">
        <v>0.99685599999999996</v>
      </c>
      <c r="Q3185">
        <v>-8.5638369999999995E-3</v>
      </c>
      <c r="R3185">
        <v>7.8773250000000003E-2</v>
      </c>
      <c r="S3185">
        <v>3.0215299999999998</v>
      </c>
      <c r="T3185">
        <v>-0.2455524</v>
      </c>
      <c r="U3185">
        <v>-0.18443300000000001</v>
      </c>
      <c r="V3185">
        <v>-3.5247840000000003E-2</v>
      </c>
      <c r="W3185">
        <v>5.8148210000000004E-3</v>
      </c>
      <c r="X3185">
        <v>0.99936170000000002</v>
      </c>
      <c r="Y3185">
        <v>0.1038921</v>
      </c>
      <c r="Z3185">
        <v>-7.7443260000000002E-3</v>
      </c>
      <c r="AA3185">
        <v>0.99455839999999995</v>
      </c>
      <c r="AB3185">
        <v>32</v>
      </c>
      <c r="AC3185">
        <v>0.55119999999999403</v>
      </c>
      <c r="AD3185">
        <v>-7.0624000000000006E-2</v>
      </c>
      <c r="AE3185">
        <v>-6.7399999999992105E-2</v>
      </c>
      <c r="AF3185">
        <v>8.9908218548748295E-2</v>
      </c>
      <c r="AG3185">
        <v>-7.0624000000000006E-2</v>
      </c>
      <c r="AH3185">
        <v>0.5390195968857</v>
      </c>
      <c r="AI3185">
        <v>97.363949924695206</v>
      </c>
      <c r="AJ3185">
        <v>80.530270863373204</v>
      </c>
      <c r="AK3185">
        <v>0.55101121854770996</v>
      </c>
      <c r="AL3185">
        <v>89.666833425508599</v>
      </c>
      <c r="AM3185">
        <v>92.020005023054395</v>
      </c>
      <c r="AN3185">
        <v>1.0000000148974</v>
      </c>
    </row>
    <row r="3186" spans="1:40" x14ac:dyDescent="0.3">
      <c r="A3186" t="str">
        <f>"20200111160516879"</f>
        <v>20200111160516879</v>
      </c>
      <c r="B3186" t="str">
        <f>"1578729916874308"</f>
        <v>1578729916874308</v>
      </c>
      <c r="C3186" t="s">
        <v>40</v>
      </c>
      <c r="D3186">
        <v>6.015657</v>
      </c>
      <c r="E3186">
        <v>0.5536143</v>
      </c>
      <c r="F3186" t="s">
        <v>42</v>
      </c>
      <c r="G3186">
        <v>-256.33139999999997</v>
      </c>
      <c r="H3186">
        <v>1.041798</v>
      </c>
      <c r="I3186">
        <v>214.2704</v>
      </c>
      <c r="J3186">
        <v>-256.84710000000001</v>
      </c>
      <c r="K3186">
        <v>1.110428</v>
      </c>
      <c r="L3186">
        <v>214.33510000000001</v>
      </c>
      <c r="M3186">
        <v>0.99894530000000004</v>
      </c>
      <c r="N3186">
        <v>0</v>
      </c>
      <c r="O3186">
        <v>4.3604579999999997E-2</v>
      </c>
      <c r="P3186">
        <v>0.99673049999999996</v>
      </c>
      <c r="Q3186">
        <v>-8.7977409999999995E-3</v>
      </c>
      <c r="R3186">
        <v>8.0319520000000005E-2</v>
      </c>
      <c r="S3186">
        <v>3.021652</v>
      </c>
      <c r="T3186">
        <v>-0.2478831</v>
      </c>
      <c r="U3186">
        <v>-0.1812134</v>
      </c>
      <c r="V3186">
        <v>-3.6777509999999999E-2</v>
      </c>
      <c r="W3186">
        <v>5.5811760000000002E-3</v>
      </c>
      <c r="X3186">
        <v>0.99930790000000003</v>
      </c>
      <c r="Y3186">
        <v>0.10284749999999999</v>
      </c>
      <c r="Z3186">
        <v>-7.7763669999999898E-3</v>
      </c>
      <c r="AA3186">
        <v>0.99466679999999996</v>
      </c>
      <c r="AB3186">
        <v>32</v>
      </c>
      <c r="AC3186">
        <v>0.51570000000003802</v>
      </c>
      <c r="AD3186">
        <v>-6.8629999999999899E-2</v>
      </c>
      <c r="AE3186">
        <v>-6.4700000000016106E-2</v>
      </c>
      <c r="AF3186">
        <v>8.5634520036288894E-2</v>
      </c>
      <c r="AG3186">
        <v>-6.8629999999999899E-2</v>
      </c>
      <c r="AH3186">
        <v>0.50360691684788195</v>
      </c>
      <c r="AI3186">
        <v>97.651782195005495</v>
      </c>
      <c r="AJ3186">
        <v>80.349594564079993</v>
      </c>
      <c r="AK3186">
        <v>0.51542533369914501</v>
      </c>
      <c r="AL3186">
        <v>89.680220512503993</v>
      </c>
      <c r="AM3186">
        <v>92.107704247969906</v>
      </c>
      <c r="AN3186">
        <v>1.00000000688487</v>
      </c>
    </row>
    <row r="3187" spans="1:40" x14ac:dyDescent="0.3">
      <c r="A3187" t="str">
        <f>"20200111160516901"</f>
        <v>20200111160516901</v>
      </c>
      <c r="B3187" t="str">
        <f>"1578729916894804"</f>
        <v>1578729916894804</v>
      </c>
      <c r="C3187" t="s">
        <v>40</v>
      </c>
      <c r="D3187">
        <v>5.8777140000000001</v>
      </c>
      <c r="E3187">
        <v>0.55348240000000004</v>
      </c>
      <c r="F3187" t="s">
        <v>42</v>
      </c>
      <c r="G3187">
        <v>-256.04469999999998</v>
      </c>
      <c r="H3187">
        <v>1.0438000000000001</v>
      </c>
      <c r="I3187">
        <v>214.2886</v>
      </c>
      <c r="J3187">
        <v>-256.52269999999999</v>
      </c>
      <c r="K3187">
        <v>1.1103430000000001</v>
      </c>
      <c r="L3187">
        <v>214.3492</v>
      </c>
      <c r="M3187">
        <v>0.99894919999999998</v>
      </c>
      <c r="N3187">
        <v>0</v>
      </c>
      <c r="O3187">
        <v>4.3516159999999998E-2</v>
      </c>
      <c r="P3187">
        <v>0.99661180000000005</v>
      </c>
      <c r="Q3187">
        <v>-8.3337710000000002E-3</v>
      </c>
      <c r="R3187">
        <v>8.1828100000000001E-2</v>
      </c>
      <c r="S3187">
        <v>3.0216829999999999</v>
      </c>
      <c r="T3187">
        <v>-0.25106869999999998</v>
      </c>
      <c r="U3187">
        <v>-0.17445369999999999</v>
      </c>
      <c r="V3187">
        <v>-3.8377469999999997E-2</v>
      </c>
      <c r="W3187">
        <v>6.0470369999999999E-3</v>
      </c>
      <c r="X3187">
        <v>0.99924500000000005</v>
      </c>
      <c r="Y3187">
        <v>0.10053670000000001</v>
      </c>
      <c r="Z3187">
        <v>-7.7732699999999997E-3</v>
      </c>
      <c r="AA3187">
        <v>0.99490299999999998</v>
      </c>
      <c r="AB3187">
        <v>32</v>
      </c>
      <c r="AC3187">
        <v>0.47800000000000797</v>
      </c>
      <c r="AD3187">
        <v>-6.6543000000000005E-2</v>
      </c>
      <c r="AE3187">
        <v>-6.0599999999993701E-2</v>
      </c>
      <c r="AF3187">
        <v>7.9822977435318104E-2</v>
      </c>
      <c r="AG3187">
        <v>-6.6543000000000005E-2</v>
      </c>
      <c r="AH3187">
        <v>0.46602122747689101</v>
      </c>
      <c r="AI3187">
        <v>98.011188698698206</v>
      </c>
      <c r="AJ3187">
        <v>80.280349351201707</v>
      </c>
      <c r="AK3187">
        <v>0.47746776125169699</v>
      </c>
      <c r="AL3187">
        <v>89.653528184029298</v>
      </c>
      <c r="AM3187">
        <v>92.199447446865904</v>
      </c>
      <c r="AN3187">
        <v>0.99999998344253904</v>
      </c>
    </row>
    <row r="3188" spans="1:40" x14ac:dyDescent="0.3">
      <c r="A3188" t="str">
        <f>"20200111160516923"</f>
        <v>20200111160516923</v>
      </c>
      <c r="B3188" t="str">
        <f>"1578729916914324"</f>
        <v>1578729916914324</v>
      </c>
      <c r="C3188" t="s">
        <v>40</v>
      </c>
      <c r="D3188">
        <v>5.6675060000000004</v>
      </c>
      <c r="E3188">
        <v>0.55368399999999995</v>
      </c>
      <c r="F3188" t="s">
        <v>42</v>
      </c>
      <c r="G3188">
        <v>-255.7577</v>
      </c>
      <c r="H3188">
        <v>1.046208</v>
      </c>
      <c r="I3188">
        <v>214.3065</v>
      </c>
      <c r="J3188">
        <v>-256.2106</v>
      </c>
      <c r="K3188">
        <v>1.110255</v>
      </c>
      <c r="L3188">
        <v>214.36259999999999</v>
      </c>
      <c r="M3188">
        <v>0.99895789999999995</v>
      </c>
      <c r="N3188">
        <v>0</v>
      </c>
      <c r="O3188">
        <v>4.3317759999999997E-2</v>
      </c>
      <c r="P3188">
        <v>0.9964904</v>
      </c>
      <c r="Q3188">
        <v>-9.3785859999999995E-3</v>
      </c>
      <c r="R3188">
        <v>8.3180379999999998E-2</v>
      </c>
      <c r="S3188">
        <v>3.021881</v>
      </c>
      <c r="T3188">
        <v>-0.25336130000000001</v>
      </c>
      <c r="U3188">
        <v>-0.16802979999999901</v>
      </c>
      <c r="V3188">
        <v>-3.9930489999999999E-2</v>
      </c>
      <c r="W3188">
        <v>5.0056409999999999E-3</v>
      </c>
      <c r="X3188">
        <v>0.99918989999999996</v>
      </c>
      <c r="Y3188">
        <v>9.8226579999999994E-2</v>
      </c>
      <c r="Z3188">
        <v>-7.7307280000000001E-3</v>
      </c>
      <c r="AA3188">
        <v>0.99513410000000002</v>
      </c>
      <c r="AB3188">
        <v>32</v>
      </c>
      <c r="AC3188">
        <v>0.45289999999999903</v>
      </c>
      <c r="AD3188">
        <v>-6.4046999999999896E-2</v>
      </c>
      <c r="AE3188">
        <v>-5.6099999999986397E-2</v>
      </c>
      <c r="AF3188">
        <v>7.4206396052993895E-2</v>
      </c>
      <c r="AG3188">
        <v>-6.4046999999999896E-2</v>
      </c>
      <c r="AH3188">
        <v>0.44135151900445402</v>
      </c>
      <c r="AI3188">
        <v>98.144129018140106</v>
      </c>
      <c r="AJ3188">
        <v>80.455872296806405</v>
      </c>
      <c r="AK3188">
        <v>0.45210592868454302</v>
      </c>
      <c r="AL3188">
        <v>89.713196693017906</v>
      </c>
      <c r="AM3188">
        <v>92.2884856975585</v>
      </c>
      <c r="AN3188">
        <v>0.99999997836773502</v>
      </c>
    </row>
    <row r="3189" spans="1:40" x14ac:dyDescent="0.3">
      <c r="A3189" t="str">
        <f>"20200111160516947"</f>
        <v>20200111160516947</v>
      </c>
      <c r="B3189" t="str">
        <f>"1578729916934821"</f>
        <v>1578729916934821</v>
      </c>
      <c r="C3189" t="s">
        <v>40</v>
      </c>
      <c r="D3189">
        <v>5.6340820000000003</v>
      </c>
      <c r="E3189">
        <v>0.55365500000000001</v>
      </c>
      <c r="F3189" t="s">
        <v>42</v>
      </c>
      <c r="G3189">
        <v>-255.47210000000001</v>
      </c>
      <c r="H3189">
        <v>1.046718</v>
      </c>
      <c r="I3189">
        <v>214.32210000000001</v>
      </c>
      <c r="J3189">
        <v>-255.8835</v>
      </c>
      <c r="K3189">
        <v>1.11016</v>
      </c>
      <c r="L3189">
        <v>214.37649999999999</v>
      </c>
      <c r="M3189">
        <v>0.99897250000000004</v>
      </c>
      <c r="N3189">
        <v>0</v>
      </c>
      <c r="O3189">
        <v>4.298047E-2</v>
      </c>
      <c r="P3189">
        <v>0.99648020000000004</v>
      </c>
      <c r="Q3189">
        <v>-1.0188269999999999E-2</v>
      </c>
      <c r="R3189">
        <v>8.3209270000000002E-2</v>
      </c>
      <c r="S3189">
        <v>3.0218660000000002</v>
      </c>
      <c r="T3189">
        <v>-0.26006659999999998</v>
      </c>
      <c r="U3189">
        <v>-0.165023799999999</v>
      </c>
      <c r="V3189">
        <v>-4.0296569999999997E-2</v>
      </c>
      <c r="W3189">
        <v>4.2012250000000003E-3</v>
      </c>
      <c r="X3189">
        <v>0.99917889999999998</v>
      </c>
      <c r="Y3189">
        <v>9.6883510000000006E-2</v>
      </c>
      <c r="Z3189">
        <v>-7.8482229999999997E-3</v>
      </c>
      <c r="AA3189">
        <v>0.99526479999999995</v>
      </c>
      <c r="AB3189">
        <v>32</v>
      </c>
      <c r="AC3189">
        <v>0.411399999999986</v>
      </c>
      <c r="AD3189">
        <v>-6.3441999999999998E-2</v>
      </c>
      <c r="AE3189">
        <v>-5.4399999999986903E-2</v>
      </c>
      <c r="AF3189">
        <v>7.0388585105977799E-2</v>
      </c>
      <c r="AG3189">
        <v>-6.3441999999999998E-2</v>
      </c>
      <c r="AH3189">
        <v>0.39934779030790002</v>
      </c>
      <c r="AI3189">
        <v>98.891976427315598</v>
      </c>
      <c r="AJ3189">
        <v>80.003785543482806</v>
      </c>
      <c r="AK3189">
        <v>0.41043647243029502</v>
      </c>
      <c r="AL3189">
        <v>89.759286823145899</v>
      </c>
      <c r="AM3189">
        <v>92.309469160780296</v>
      </c>
      <c r="AN3189">
        <v>0.99999996902523702</v>
      </c>
    </row>
    <row r="3190" spans="1:40" x14ac:dyDescent="0.3">
      <c r="A3190" t="str">
        <f>"20200111160516968"</f>
        <v>20200111160516968</v>
      </c>
      <c r="B3190" t="str">
        <f>"1578729916964100"</f>
        <v>1578729916964100</v>
      </c>
      <c r="C3190" t="s">
        <v>40</v>
      </c>
      <c r="D3190">
        <v>5.8305569999999998</v>
      </c>
      <c r="E3190">
        <v>0.5536645</v>
      </c>
      <c r="F3190" t="s">
        <v>42</v>
      </c>
      <c r="G3190">
        <v>-254.9134</v>
      </c>
      <c r="H3190">
        <v>1.0250060000000001</v>
      </c>
      <c r="I3190">
        <v>214.3236</v>
      </c>
      <c r="J3190">
        <v>-255.56729999999999</v>
      </c>
      <c r="K3190">
        <v>1.1100699999999999</v>
      </c>
      <c r="L3190">
        <v>214.3897</v>
      </c>
      <c r="M3190">
        <v>0.99899099999999996</v>
      </c>
      <c r="N3190">
        <v>0</v>
      </c>
      <c r="O3190">
        <v>4.2548990000000002E-2</v>
      </c>
      <c r="P3190">
        <v>0.99652090000000004</v>
      </c>
      <c r="Q3190">
        <v>-1.0650389999999999E-2</v>
      </c>
      <c r="R3190">
        <v>8.2660910000000004E-2</v>
      </c>
      <c r="S3190">
        <v>3.0216219999999998</v>
      </c>
      <c r="T3190">
        <v>-0.26530340000000002</v>
      </c>
      <c r="U3190">
        <v>-0.16450499999999901</v>
      </c>
      <c r="V3190">
        <v>-4.0177989999999997E-2</v>
      </c>
      <c r="W3190">
        <v>3.7448960000000002E-3</v>
      </c>
      <c r="X3190">
        <v>0.99918549999999995</v>
      </c>
      <c r="Y3190">
        <v>9.6270590000000003E-2</v>
      </c>
      <c r="Z3190">
        <v>-7.9417129999999996E-3</v>
      </c>
      <c r="AA3190">
        <v>0.99532350000000003</v>
      </c>
      <c r="AB3190">
        <v>32</v>
      </c>
      <c r="AC3190">
        <v>0.65389999999999204</v>
      </c>
      <c r="AD3190">
        <v>-8.5064000000000195E-2</v>
      </c>
      <c r="AE3190">
        <v>-6.6100000000005807E-2</v>
      </c>
      <c r="AF3190">
        <v>9.2319298226912899E-2</v>
      </c>
      <c r="AG3190">
        <v>-8.5064000000000195E-2</v>
      </c>
      <c r="AH3190">
        <v>0.639777679738739</v>
      </c>
      <c r="AI3190">
        <v>97.496800518677304</v>
      </c>
      <c r="AJ3190">
        <v>81.788952305718993</v>
      </c>
      <c r="AK3190">
        <v>0.651977159425846</v>
      </c>
      <c r="AL3190">
        <v>89.785432758510296</v>
      </c>
      <c r="AM3190">
        <v>92.302665259551304</v>
      </c>
      <c r="AN3190">
        <v>0.99999997926837003</v>
      </c>
    </row>
    <row r="3191" spans="1:40" x14ac:dyDescent="0.3">
      <c r="A3191" t="str">
        <f>"20200111160516991"</f>
        <v>20200111160516991</v>
      </c>
      <c r="B3191" t="str">
        <f>"1578729916984599"</f>
        <v>1578729916984599</v>
      </c>
      <c r="C3191" t="s">
        <v>40</v>
      </c>
      <c r="D3191">
        <v>5.5991030000000004</v>
      </c>
      <c r="E3191">
        <v>0.55384230000000001</v>
      </c>
      <c r="F3191" t="s">
        <v>42</v>
      </c>
      <c r="G3191">
        <v>-254.62860000000001</v>
      </c>
      <c r="H3191">
        <v>1.0262560000000001</v>
      </c>
      <c r="I3191">
        <v>214.33799999999999</v>
      </c>
      <c r="J3191">
        <v>-255.25</v>
      </c>
      <c r="K3191">
        <v>1.10999</v>
      </c>
      <c r="L3191">
        <v>214.40270000000001</v>
      </c>
      <c r="M3191">
        <v>0.99901289999999998</v>
      </c>
      <c r="N3191">
        <v>0</v>
      </c>
      <c r="O3191">
        <v>4.2032739999999999E-2</v>
      </c>
      <c r="P3191">
        <v>0.99660760000000004</v>
      </c>
      <c r="Q3191">
        <v>-1.073846E-2</v>
      </c>
      <c r="R3191">
        <v>8.1598970000000007E-2</v>
      </c>
      <c r="S3191">
        <v>3.0213320000000001</v>
      </c>
      <c r="T3191">
        <v>-0.26982889999999998</v>
      </c>
      <c r="U3191">
        <v>-0.1659088</v>
      </c>
      <c r="V3191">
        <v>-3.9629129999999999E-2</v>
      </c>
      <c r="W3191">
        <v>3.6604960000000001E-3</v>
      </c>
      <c r="X3191">
        <v>0.99920770000000003</v>
      </c>
      <c r="Y3191">
        <v>9.6206459999999994E-2</v>
      </c>
      <c r="Z3191">
        <v>-8.0284950000000001E-3</v>
      </c>
      <c r="AA3191">
        <v>0.99532900000000002</v>
      </c>
      <c r="AB3191">
        <v>32</v>
      </c>
      <c r="AC3191">
        <v>0.62139999999999396</v>
      </c>
      <c r="AD3191">
        <v>-8.3733999999999906E-2</v>
      </c>
      <c r="AE3191">
        <v>-6.4700000000016106E-2</v>
      </c>
      <c r="AF3191">
        <v>8.9163016633052206E-2</v>
      </c>
      <c r="AG3191">
        <v>-8.3733999999999906E-2</v>
      </c>
      <c r="AH3191">
        <v>0.60722337439287799</v>
      </c>
      <c r="AI3191">
        <v>97.769098377631096</v>
      </c>
      <c r="AJ3191">
        <v>81.646540188455106</v>
      </c>
      <c r="AK3191">
        <v>0.61942041676084503</v>
      </c>
      <c r="AL3191">
        <v>89.790268548880405</v>
      </c>
      <c r="AM3191">
        <v>92.271191971391801</v>
      </c>
      <c r="AN3191">
        <v>0.99999994745740495</v>
      </c>
    </row>
    <row r="3192" spans="1:40" x14ac:dyDescent="0.3">
      <c r="A3192" t="str">
        <f>"20200111160517012"</f>
        <v>20200111160517012</v>
      </c>
      <c r="B3192" t="str">
        <f>"1578729917004116"</f>
        <v>1578729917004116</v>
      </c>
      <c r="C3192" t="s">
        <v>40</v>
      </c>
      <c r="D3192">
        <v>5.5882930000000002</v>
      </c>
      <c r="E3192">
        <v>0.55405519999999997</v>
      </c>
      <c r="F3192" t="s">
        <v>42</v>
      </c>
      <c r="G3192">
        <v>-254.34360000000001</v>
      </c>
      <c r="H3192">
        <v>1.0284390000000001</v>
      </c>
      <c r="I3192">
        <v>214.35159999999999</v>
      </c>
      <c r="J3192">
        <v>-254.94120000000001</v>
      </c>
      <c r="K3192">
        <v>1.1099300000000001</v>
      </c>
      <c r="L3192">
        <v>214.4151</v>
      </c>
      <c r="M3192">
        <v>0.99903679999999995</v>
      </c>
      <c r="N3192">
        <v>0</v>
      </c>
      <c r="O3192">
        <v>4.1461940000000003E-2</v>
      </c>
      <c r="P3192">
        <v>0.9966933</v>
      </c>
      <c r="Q3192">
        <v>-1.0132820000000001E-2</v>
      </c>
      <c r="R3192">
        <v>8.0623810000000004E-2</v>
      </c>
      <c r="S3192">
        <v>3.0212249999999998</v>
      </c>
      <c r="T3192">
        <v>-0.27183190000000002</v>
      </c>
      <c r="U3192">
        <v>-0.17030329999999999</v>
      </c>
      <c r="V3192">
        <v>-3.9221190000000003E-2</v>
      </c>
      <c r="W3192">
        <v>4.2684589999999996E-3</v>
      </c>
      <c r="X3192">
        <v>0.99922140000000004</v>
      </c>
      <c r="Y3192">
        <v>9.7073610000000005E-2</v>
      </c>
      <c r="Z3192">
        <v>-8.0755259999999995E-3</v>
      </c>
      <c r="AA3192">
        <v>0.99524440000000003</v>
      </c>
      <c r="AB3192">
        <v>32</v>
      </c>
      <c r="AC3192">
        <v>0.59759999999999902</v>
      </c>
      <c r="AD3192">
        <v>-8.1490999999999897E-2</v>
      </c>
      <c r="AE3192">
        <v>-6.3500000000004705E-2</v>
      </c>
      <c r="AF3192">
        <v>8.6632641269375199E-2</v>
      </c>
      <c r="AG3192">
        <v>-8.1490999999999897E-2</v>
      </c>
      <c r="AH3192">
        <v>0.58371977176501799</v>
      </c>
      <c r="AI3192">
        <v>97.862462790510094</v>
      </c>
      <c r="AJ3192">
        <v>81.558082793847106</v>
      </c>
      <c r="AK3192">
        <v>0.59571366407336401</v>
      </c>
      <c r="AL3192">
        <v>89.755434562777907</v>
      </c>
      <c r="AM3192">
        <v>92.247805770296196</v>
      </c>
      <c r="AN3192">
        <v>0.99999996385260403</v>
      </c>
    </row>
    <row r="3193" spans="1:40" x14ac:dyDescent="0.3">
      <c r="A3193" t="str">
        <f>"20200111160517035"</f>
        <v>20200111160517035</v>
      </c>
      <c r="B3193" t="str">
        <f>"1578729917024612"</f>
        <v>1578729917024612</v>
      </c>
      <c r="C3193" t="s">
        <v>40</v>
      </c>
      <c r="D3193">
        <v>5.4486999999999997</v>
      </c>
      <c r="E3193">
        <v>0.55405519999999997</v>
      </c>
      <c r="F3193" t="s">
        <v>42</v>
      </c>
      <c r="G3193">
        <v>-254.05879999999999</v>
      </c>
      <c r="H3193">
        <v>1.030734</v>
      </c>
      <c r="I3193">
        <v>214.3638</v>
      </c>
      <c r="J3193">
        <v>-254.6266</v>
      </c>
      <c r="K3193">
        <v>1.109882</v>
      </c>
      <c r="L3193">
        <v>214.42750000000001</v>
      </c>
      <c r="M3193">
        <v>0.99906309999999998</v>
      </c>
      <c r="N3193">
        <v>0</v>
      </c>
      <c r="O3193">
        <v>4.0823400000000003E-2</v>
      </c>
      <c r="P3193">
        <v>0.99680729999999995</v>
      </c>
      <c r="Q3193">
        <v>-9.3209130000000001E-3</v>
      </c>
      <c r="R3193">
        <v>7.9300949999999995E-2</v>
      </c>
      <c r="S3193">
        <v>3.0213619999999999</v>
      </c>
      <c r="T3193">
        <v>-0.2712541</v>
      </c>
      <c r="U3193">
        <v>-0.1748962</v>
      </c>
      <c r="V3193">
        <v>-3.8531589999999998E-2</v>
      </c>
      <c r="W3193">
        <v>5.0814579999999996E-3</v>
      </c>
      <c r="X3193">
        <v>0.99924449999999998</v>
      </c>
      <c r="Y3193">
        <v>9.7944459999999997E-2</v>
      </c>
      <c r="Z3193">
        <v>-8.0395599999999994E-3</v>
      </c>
      <c r="AA3193">
        <v>0.99515940000000003</v>
      </c>
      <c r="AB3193">
        <v>32</v>
      </c>
      <c r="AC3193">
        <v>0.56780000000000497</v>
      </c>
      <c r="AD3193">
        <v>-7.9147999999999996E-2</v>
      </c>
      <c r="AE3193">
        <v>-6.37000000000114E-2</v>
      </c>
      <c r="AF3193">
        <v>8.5194000063401096E-2</v>
      </c>
      <c r="AG3193">
        <v>-7.9147999999999996E-2</v>
      </c>
      <c r="AH3193">
        <v>0.55409323862875604</v>
      </c>
      <c r="AI3193">
        <v>98.036095922921703</v>
      </c>
      <c r="AJ3193">
        <v>81.259000981258197</v>
      </c>
      <c r="AK3193">
        <v>0.56616405806524495</v>
      </c>
      <c r="AL3193">
        <v>89.708852660834495</v>
      </c>
      <c r="AM3193">
        <v>92.208272580005698</v>
      </c>
      <c r="AN3193">
        <v>1.0000000377117899</v>
      </c>
    </row>
    <row r="3194" spans="1:40" x14ac:dyDescent="0.3">
      <c r="A3194" t="str">
        <f>"20200111160517057"</f>
        <v>20200111160517057</v>
      </c>
      <c r="B3194" t="str">
        <f>"1578729917054868"</f>
        <v>1578729917054868</v>
      </c>
      <c r="C3194" t="s">
        <v>40</v>
      </c>
      <c r="D3194">
        <v>5.9608670000000004</v>
      </c>
      <c r="E3194">
        <v>0.48296549999999999</v>
      </c>
      <c r="F3194" t="s">
        <v>42</v>
      </c>
      <c r="G3194">
        <v>-253.7739</v>
      </c>
      <c r="H3194">
        <v>1.034014</v>
      </c>
      <c r="I3194">
        <v>214.37690000000001</v>
      </c>
      <c r="J3194">
        <v>-254.3083</v>
      </c>
      <c r="K3194">
        <v>1.109839</v>
      </c>
      <c r="L3194">
        <v>214.43979999999999</v>
      </c>
      <c r="M3194">
        <v>0.99909110000000001</v>
      </c>
      <c r="N3194">
        <v>0</v>
      </c>
      <c r="O3194">
        <v>4.013386E-2</v>
      </c>
      <c r="P3194">
        <v>0.99693189999999998</v>
      </c>
      <c r="Q3194">
        <v>-8.8191950000000002E-3</v>
      </c>
      <c r="R3194">
        <v>7.7776830000000005E-2</v>
      </c>
      <c r="S3194">
        <v>3.021347</v>
      </c>
      <c r="T3194">
        <v>-0.26883479999999998</v>
      </c>
      <c r="U3194">
        <v>-0.1789703</v>
      </c>
      <c r="V3194">
        <v>-3.7692400000000001E-2</v>
      </c>
      <c r="W3194">
        <v>5.5826060000000004E-3</v>
      </c>
      <c r="X3194">
        <v>0.99927379999999999</v>
      </c>
      <c r="Y3194">
        <v>9.8605250000000005E-2</v>
      </c>
      <c r="Z3194">
        <v>-7.9360230000000004E-3</v>
      </c>
      <c r="AA3194">
        <v>0.99509499999999995</v>
      </c>
      <c r="AB3194">
        <v>32</v>
      </c>
      <c r="AC3194">
        <v>0.53440000000000498</v>
      </c>
      <c r="AD3194">
        <v>-7.5825000000000004E-2</v>
      </c>
      <c r="AE3194">
        <v>-6.2899999999984801E-2</v>
      </c>
      <c r="AF3194">
        <v>8.2657713181918099E-2</v>
      </c>
      <c r="AG3194">
        <v>-7.5825000000000004E-2</v>
      </c>
      <c r="AH3194">
        <v>0.52109717384246101</v>
      </c>
      <c r="AI3194">
        <v>98.178182386898001</v>
      </c>
      <c r="AJ3194">
        <v>80.986696961418403</v>
      </c>
      <c r="AK3194">
        <v>0.53303282521816997</v>
      </c>
      <c r="AL3194">
        <v>89.680138577640406</v>
      </c>
      <c r="AM3194">
        <v>92.160160800776893</v>
      </c>
      <c r="AN3194">
        <v>1.0000000049369699</v>
      </c>
    </row>
    <row r="3195" spans="1:40" x14ac:dyDescent="0.3">
      <c r="A3195" t="str">
        <f>"20200111160517080"</f>
        <v>20200111160517080</v>
      </c>
      <c r="B3195" t="str">
        <f>"1578729917074388"</f>
        <v>1578729917074388</v>
      </c>
      <c r="C3195" t="s">
        <v>40</v>
      </c>
      <c r="D3195">
        <v>5.7867670000000002</v>
      </c>
      <c r="E3195">
        <v>0.48026829999999998</v>
      </c>
      <c r="F3195" t="s">
        <v>57</v>
      </c>
      <c r="G3195">
        <v>-235.6431</v>
      </c>
      <c r="H3195" s="1">
        <v>1.37046699999999E-6</v>
      </c>
      <c r="I3195">
        <v>216.80549999999999</v>
      </c>
      <c r="J3195">
        <v>-253.98509999999999</v>
      </c>
      <c r="K3195">
        <v>1.109812</v>
      </c>
      <c r="L3195">
        <v>214.452</v>
      </c>
      <c r="M3195">
        <v>0.99912009999999996</v>
      </c>
      <c r="N3195">
        <v>0</v>
      </c>
      <c r="O3195">
        <v>3.9405919999999997E-2</v>
      </c>
      <c r="P3195">
        <v>0.99705739999999998</v>
      </c>
      <c r="Q3195">
        <v>-8.6314040000000005E-3</v>
      </c>
      <c r="R3195">
        <v>7.6169879999999995E-2</v>
      </c>
      <c r="S3195">
        <v>2.9782099999999998</v>
      </c>
      <c r="T3195">
        <v>-0.17708489999999999</v>
      </c>
      <c r="U3195">
        <v>0.37747190000000003</v>
      </c>
      <c r="V3195">
        <v>-3.6808929999999997E-2</v>
      </c>
      <c r="W3195">
        <v>5.7690469999999898E-3</v>
      </c>
      <c r="X3195">
        <v>0.99930569999999996</v>
      </c>
      <c r="Y3195">
        <v>-8.6462029999999995E-2</v>
      </c>
      <c r="Z3195">
        <v>2.279975E-4</v>
      </c>
      <c r="AA3195">
        <v>0.99625509999999995</v>
      </c>
      <c r="AB3195">
        <v>32</v>
      </c>
      <c r="AC3195">
        <v>18.341999999999899</v>
      </c>
      <c r="AD3195">
        <v>-1.1098106295329999</v>
      </c>
      <c r="AE3195">
        <v>2.3534999999999902</v>
      </c>
      <c r="AF3195">
        <v>-1.6229681996082299</v>
      </c>
      <c r="AG3195">
        <v>-1.1098106295329999</v>
      </c>
      <c r="AH3195">
        <v>18.354394191879901</v>
      </c>
      <c r="AI3195">
        <v>93.4467984307976</v>
      </c>
      <c r="AJ3195">
        <v>95.053177085305705</v>
      </c>
      <c r="AK3195">
        <v>18.4594011701701</v>
      </c>
      <c r="AL3195">
        <v>89.669456131677094</v>
      </c>
      <c r="AM3195">
        <v>92.109507929291695</v>
      </c>
      <c r="AN3195">
        <v>1.00000003064176</v>
      </c>
    </row>
    <row r="3196" spans="1:40" x14ac:dyDescent="0.3">
      <c r="A3196" t="str">
        <f>"20200111160517102"</f>
        <v>20200111160517102</v>
      </c>
      <c r="B3196" t="str">
        <f>"1578729917094884"</f>
        <v>1578729917094884</v>
      </c>
      <c r="C3196" t="s">
        <v>40</v>
      </c>
      <c r="D3196">
        <v>5.3183290000000003</v>
      </c>
      <c r="E3196">
        <v>0.48031649999999998</v>
      </c>
      <c r="F3196" t="s">
        <v>57</v>
      </c>
      <c r="G3196">
        <v>-234.6318</v>
      </c>
      <c r="H3196" s="1">
        <v>8.2330929999999998E-7</v>
      </c>
      <c r="I3196">
        <v>217.01179999999999</v>
      </c>
      <c r="J3196">
        <v>-253.67429999999999</v>
      </c>
      <c r="K3196">
        <v>1.1097939999999999</v>
      </c>
      <c r="L3196">
        <v>214.46360000000001</v>
      </c>
      <c r="M3196">
        <v>0.99914820000000004</v>
      </c>
      <c r="N3196">
        <v>0</v>
      </c>
      <c r="O3196">
        <v>3.869127E-2</v>
      </c>
      <c r="P3196">
        <v>0.99717279999999997</v>
      </c>
      <c r="Q3196">
        <v>-8.2419699999999995E-3</v>
      </c>
      <c r="R3196">
        <v>7.4689870000000005E-2</v>
      </c>
      <c r="S3196">
        <v>2.9772799999999999</v>
      </c>
      <c r="T3196">
        <v>-0.17073150000000001</v>
      </c>
      <c r="U3196">
        <v>0.39378360000000001</v>
      </c>
      <c r="V3196">
        <v>-3.6039750000000002E-2</v>
      </c>
      <c r="W3196">
        <v>6.1567089999999998E-3</v>
      </c>
      <c r="X3196">
        <v>0.99933139999999998</v>
      </c>
      <c r="Y3196">
        <v>-9.2574669999999998E-2</v>
      </c>
      <c r="Z3196">
        <v>4.3494509999999998E-4</v>
      </c>
      <c r="AA3196">
        <v>0.99570570000000003</v>
      </c>
      <c r="AB3196">
        <v>32</v>
      </c>
      <c r="AC3196">
        <v>19.042499999999901</v>
      </c>
      <c r="AD3196">
        <v>-1.1097931766907001</v>
      </c>
      <c r="AE3196">
        <v>2.54819999999998</v>
      </c>
      <c r="AF3196">
        <v>-1.8034195671309099</v>
      </c>
      <c r="AG3196">
        <v>-1.1097931766907001</v>
      </c>
      <c r="AH3196">
        <v>19.0632316279222</v>
      </c>
      <c r="AI3196">
        <v>93.317018271913298</v>
      </c>
      <c r="AJ3196">
        <v>95.404211087146294</v>
      </c>
      <c r="AK3196">
        <v>19.1804786991867</v>
      </c>
      <c r="AL3196">
        <v>89.647244332812207</v>
      </c>
      <c r="AM3196">
        <v>92.065411986549293</v>
      </c>
      <c r="AN3196">
        <v>1.00000000783586</v>
      </c>
    </row>
    <row r="3197" spans="1:40" x14ac:dyDescent="0.3">
      <c r="A3197" t="str">
        <f>"20200111160517125"</f>
        <v>20200111160517125</v>
      </c>
      <c r="B3197" t="str">
        <f>"1578729917114405"</f>
        <v>1578729917114405</v>
      </c>
      <c r="C3197" t="s">
        <v>40</v>
      </c>
      <c r="D3197">
        <v>5.4101860000000004</v>
      </c>
      <c r="E3197">
        <v>0.47896879999999997</v>
      </c>
      <c r="F3197" t="s">
        <v>57</v>
      </c>
      <c r="G3197">
        <v>-238.34039999999999</v>
      </c>
      <c r="H3197" s="1">
        <v>2.8200959999999998E-6</v>
      </c>
      <c r="I3197">
        <v>216.4804</v>
      </c>
      <c r="J3197">
        <v>-253.35740000000001</v>
      </c>
      <c r="K3197">
        <v>1.109785</v>
      </c>
      <c r="L3197">
        <v>214.4751</v>
      </c>
      <c r="M3197">
        <v>0.99917659999999997</v>
      </c>
      <c r="N3197">
        <v>0</v>
      </c>
      <c r="O3197">
        <v>3.7954359999999999E-2</v>
      </c>
      <c r="P3197">
        <v>0.99726040000000005</v>
      </c>
      <c r="Q3197">
        <v>-8.8960600000000008E-3</v>
      </c>
      <c r="R3197">
        <v>7.3438130000000004E-2</v>
      </c>
      <c r="S3197">
        <v>2.9773860000000001</v>
      </c>
      <c r="T3197">
        <v>-0.21548819999999999</v>
      </c>
      <c r="U3197">
        <v>0.39160159999999999</v>
      </c>
      <c r="V3197">
        <v>-3.5522850000000002E-2</v>
      </c>
      <c r="W3197">
        <v>5.5001140000000004E-3</v>
      </c>
      <c r="X3197">
        <v>0.99935370000000001</v>
      </c>
      <c r="Y3197">
        <v>-9.2533889999999994E-2</v>
      </c>
      <c r="Z3197">
        <v>6.0017570000000001E-4</v>
      </c>
      <c r="AA3197">
        <v>0.99570939999999997</v>
      </c>
      <c r="AB3197">
        <v>32</v>
      </c>
      <c r="AC3197">
        <v>15.016999999999999</v>
      </c>
      <c r="AD3197">
        <v>-1.109782179904</v>
      </c>
      <c r="AE3197">
        <v>2.0053000000000001</v>
      </c>
      <c r="AF3197">
        <v>-1.4261830198552199</v>
      </c>
      <c r="AG3197">
        <v>-1.109782179904</v>
      </c>
      <c r="AH3197">
        <v>15.0017989247191</v>
      </c>
      <c r="AI3197">
        <v>94.211919093417393</v>
      </c>
      <c r="AJ3197">
        <v>95.430643457310595</v>
      </c>
      <c r="AK3197">
        <v>15.1102476971974</v>
      </c>
      <c r="AL3197">
        <v>89.684865082908701</v>
      </c>
      <c r="AM3197">
        <v>92.035768539515701</v>
      </c>
      <c r="AN3197">
        <v>0.999999970914912</v>
      </c>
    </row>
    <row r="3198" spans="1:40" x14ac:dyDescent="0.3">
      <c r="A3198" t="str">
        <f>"20200111160517147"</f>
        <v>20200111160517147</v>
      </c>
      <c r="B3198" t="str">
        <f>"1578729917144660"</f>
        <v>1578729917144660</v>
      </c>
      <c r="C3198" t="s">
        <v>40</v>
      </c>
      <c r="D3198">
        <v>5.3760599999999998</v>
      </c>
      <c r="E3198">
        <v>0.47449780000000003</v>
      </c>
      <c r="F3198" t="s">
        <v>57</v>
      </c>
      <c r="G3198">
        <v>-238.6173</v>
      </c>
      <c r="H3198" s="1">
        <v>2.9687590000000002E-6</v>
      </c>
      <c r="I3198">
        <v>216.45050000000001</v>
      </c>
      <c r="J3198">
        <v>-253.0478</v>
      </c>
      <c r="K3198">
        <v>1.109774</v>
      </c>
      <c r="L3198">
        <v>214.48609999999999</v>
      </c>
      <c r="M3198">
        <v>0.99920370000000003</v>
      </c>
      <c r="N3198">
        <v>0</v>
      </c>
      <c r="O3198">
        <v>3.7231479999999997E-2</v>
      </c>
      <c r="P3198">
        <v>0.99727540000000003</v>
      </c>
      <c r="Q3198">
        <v>-8.6641759999999905E-3</v>
      </c>
      <c r="R3198">
        <v>7.3261160000000006E-2</v>
      </c>
      <c r="S3198">
        <v>2.9768680000000001</v>
      </c>
      <c r="T3198">
        <v>-0.22412969999999999</v>
      </c>
      <c r="U3198">
        <v>0.39894099999999999</v>
      </c>
      <c r="V3198">
        <v>-3.6067950000000001E-2</v>
      </c>
      <c r="W3198">
        <v>5.7294690000000001E-3</v>
      </c>
      <c r="X3198">
        <v>0.99933289999999997</v>
      </c>
      <c r="Y3198">
        <v>-9.5666459999999995E-2</v>
      </c>
      <c r="Z3198">
        <v>7.9547380000000005E-4</v>
      </c>
      <c r="AA3198">
        <v>0.99541310000000005</v>
      </c>
      <c r="AB3198">
        <v>32</v>
      </c>
      <c r="AC3198">
        <v>14.430499999999901</v>
      </c>
      <c r="AD3198">
        <v>-1.1097710312410001</v>
      </c>
      <c r="AE3198">
        <v>1.9644000000000099</v>
      </c>
      <c r="AF3198">
        <v>-1.4174826731143599</v>
      </c>
      <c r="AG3198">
        <v>-1.1097710312410001</v>
      </c>
      <c r="AH3198">
        <v>14.4099634475562</v>
      </c>
      <c r="AI3198">
        <v>94.382821805702605</v>
      </c>
      <c r="AJ3198">
        <v>95.618010697732998</v>
      </c>
      <c r="AK3198">
        <v>14.521979735224299</v>
      </c>
      <c r="AL3198">
        <v>89.671723806276404</v>
      </c>
      <c r="AM3198">
        <v>92.067023606867906</v>
      </c>
      <c r="AN3198">
        <v>0.99999998442731697</v>
      </c>
    </row>
    <row r="3199" spans="1:40" x14ac:dyDescent="0.3">
      <c r="A3199" t="str">
        <f>"20200111160517170"</f>
        <v>20200111160517170</v>
      </c>
      <c r="B3199" t="str">
        <f>"1578729917164180"</f>
        <v>1578729917164180</v>
      </c>
      <c r="C3199" t="s">
        <v>40</v>
      </c>
      <c r="D3199">
        <v>5.4289300000000003</v>
      </c>
      <c r="E3199">
        <v>0.47456359999999997</v>
      </c>
      <c r="F3199" t="s">
        <v>57</v>
      </c>
      <c r="G3199">
        <v>-232.476</v>
      </c>
      <c r="H3199" s="1">
        <v>-3.4361089999999997E-7</v>
      </c>
      <c r="I3199">
        <v>217.46340000000001</v>
      </c>
      <c r="J3199">
        <v>-252.73079999999999</v>
      </c>
      <c r="K3199">
        <v>1.1097760000000001</v>
      </c>
      <c r="L3199">
        <v>214.49709999999999</v>
      </c>
      <c r="M3199">
        <v>0.99923099999999998</v>
      </c>
      <c r="N3199">
        <v>0</v>
      </c>
      <c r="O3199">
        <v>3.6490620000000001E-2</v>
      </c>
      <c r="P3199">
        <v>0.99723390000000001</v>
      </c>
      <c r="Q3199">
        <v>-7.7559839999999996E-3</v>
      </c>
      <c r="R3199">
        <v>7.3920340000000001E-2</v>
      </c>
      <c r="S3199">
        <v>2.9751889999999999</v>
      </c>
      <c r="T3199">
        <v>-0.16050110000000001</v>
      </c>
      <c r="U3199">
        <v>0.43058780000000002</v>
      </c>
      <c r="V3199">
        <v>-3.7467720000000003E-2</v>
      </c>
      <c r="W3199">
        <v>6.63592E-3</v>
      </c>
      <c r="X3199">
        <v>0.99927580000000005</v>
      </c>
      <c r="Y3199">
        <v>-0.10692020000000001</v>
      </c>
      <c r="Z3199">
        <v>9.114568E-4</v>
      </c>
      <c r="AA3199">
        <v>0.99426720000000002</v>
      </c>
      <c r="AB3199">
        <v>32</v>
      </c>
      <c r="AC3199">
        <v>20.2547999999999</v>
      </c>
      <c r="AD3199">
        <v>-1.1097763436108901</v>
      </c>
      <c r="AE3199">
        <v>2.9663000000000102</v>
      </c>
      <c r="AF3199">
        <v>-2.2186172245856599</v>
      </c>
      <c r="AG3199">
        <v>-1.1097763436108901</v>
      </c>
      <c r="AH3199">
        <v>20.2899286817849</v>
      </c>
      <c r="AI3199">
        <v>93.112212439543896</v>
      </c>
      <c r="AJ3199">
        <v>96.240257569780198</v>
      </c>
      <c r="AK3199">
        <v>20.441014452173999</v>
      </c>
      <c r="AL3199">
        <v>89.619786998392499</v>
      </c>
      <c r="AM3199">
        <v>92.147292130356703</v>
      </c>
      <c r="AN3199">
        <v>0.99999999497094205</v>
      </c>
    </row>
    <row r="3200" spans="1:40" x14ac:dyDescent="0.3">
      <c r="A3200" t="str">
        <f>"20200111160517192"</f>
        <v>20200111160517192</v>
      </c>
      <c r="B3200" t="str">
        <f>"1578729917184676"</f>
        <v>1578729917184676</v>
      </c>
      <c r="C3200" t="s">
        <v>40</v>
      </c>
      <c r="D3200">
        <v>5.3579379999999999</v>
      </c>
      <c r="E3200">
        <v>0.47358210000000001</v>
      </c>
      <c r="F3200" t="s">
        <v>57</v>
      </c>
      <c r="G3200">
        <v>-232.1183</v>
      </c>
      <c r="H3200" s="1">
        <v>-5.351341E-7</v>
      </c>
      <c r="I3200">
        <v>217.49019999999999</v>
      </c>
      <c r="J3200">
        <v>-252.40819999999999</v>
      </c>
      <c r="K3200">
        <v>1.1097779999999999</v>
      </c>
      <c r="L3200">
        <v>214.50810000000001</v>
      </c>
      <c r="M3200">
        <v>0.99925830000000004</v>
      </c>
      <c r="N3200">
        <v>0</v>
      </c>
      <c r="O3200">
        <v>3.5738359999999997E-2</v>
      </c>
      <c r="P3200">
        <v>0.99723629999999996</v>
      </c>
      <c r="Q3200">
        <v>-5.8592820000000004E-3</v>
      </c>
      <c r="R3200">
        <v>7.4064160000000004E-2</v>
      </c>
      <c r="S3200">
        <v>2.9750519999999998</v>
      </c>
      <c r="T3200">
        <v>-0.16017709999999999</v>
      </c>
      <c r="U3200">
        <v>0.43200680000000002</v>
      </c>
      <c r="V3200">
        <v>-3.8360579999999998E-2</v>
      </c>
      <c r="W3200">
        <v>8.5308160000000001E-3</v>
      </c>
      <c r="X3200">
        <v>0.99922750000000005</v>
      </c>
      <c r="Y3200">
        <v>-0.1081372</v>
      </c>
      <c r="Z3200">
        <v>9.8239680000000002E-4</v>
      </c>
      <c r="AA3200">
        <v>0.99413549999999995</v>
      </c>
      <c r="AB3200">
        <v>31</v>
      </c>
      <c r="AC3200">
        <v>20.2898999999999</v>
      </c>
      <c r="AD3200">
        <v>-1.1097785351341001</v>
      </c>
      <c r="AE3200">
        <v>2.9820999999999702</v>
      </c>
      <c r="AF3200">
        <v>-2.2484080213866502</v>
      </c>
      <c r="AG3200">
        <v>-1.1097785351341001</v>
      </c>
      <c r="AH3200">
        <v>20.324005138033002</v>
      </c>
      <c r="AI3200">
        <v>93.1065785332122</v>
      </c>
      <c r="AJ3200">
        <v>96.312858721284002</v>
      </c>
      <c r="AK3200">
        <v>20.478089068037399</v>
      </c>
      <c r="AL3200">
        <v>89.511214295673895</v>
      </c>
      <c r="AM3200">
        <v>92.198518881131704</v>
      </c>
      <c r="AN3200">
        <v>0.99999995283790499</v>
      </c>
    </row>
    <row r="3201" spans="1:40" x14ac:dyDescent="0.3">
      <c r="A3201" t="str">
        <f>"20200111160517213"</f>
        <v>20200111160517213</v>
      </c>
      <c r="B3201" t="str">
        <f>"1578729917204196"</f>
        <v>1578729917204196</v>
      </c>
      <c r="C3201" t="s">
        <v>40</v>
      </c>
      <c r="D3201">
        <v>5.250184</v>
      </c>
      <c r="E3201">
        <v>0.47306619999999999</v>
      </c>
      <c r="F3201" t="s">
        <v>57</v>
      </c>
      <c r="G3201">
        <v>-229.5856</v>
      </c>
      <c r="H3201" s="1">
        <v>3.4215510000000001E-6</v>
      </c>
      <c r="I3201">
        <v>217.88</v>
      </c>
      <c r="J3201">
        <v>-252.10839999999999</v>
      </c>
      <c r="K3201">
        <v>1.1097790000000001</v>
      </c>
      <c r="L3201">
        <v>214.5181</v>
      </c>
      <c r="M3201">
        <v>0.99928309999999998</v>
      </c>
      <c r="N3201">
        <v>0</v>
      </c>
      <c r="O3201">
        <v>3.5041379999999997E-2</v>
      </c>
      <c r="P3201">
        <v>0.99729849999999998</v>
      </c>
      <c r="Q3201">
        <v>-4.2941919999999996E-3</v>
      </c>
      <c r="R3201">
        <v>7.3331069999999998E-2</v>
      </c>
      <c r="S3201">
        <v>2.9748230000000002</v>
      </c>
      <c r="T3201">
        <v>-0.144654</v>
      </c>
      <c r="U3201">
        <v>0.43951420000000002</v>
      </c>
      <c r="V3201">
        <v>-3.8320479999999997E-2</v>
      </c>
      <c r="W3201">
        <v>1.009239E-2</v>
      </c>
      <c r="X3201">
        <v>0.99921450000000001</v>
      </c>
      <c r="Y3201">
        <v>-0.1113116</v>
      </c>
      <c r="Z3201">
        <v>9.9758209999999993E-4</v>
      </c>
      <c r="AA3201">
        <v>0.99378509999999998</v>
      </c>
      <c r="AB3201">
        <v>31</v>
      </c>
      <c r="AC3201">
        <v>22.522799999999901</v>
      </c>
      <c r="AD3201">
        <v>-1.109775578449</v>
      </c>
      <c r="AE3201">
        <v>3.3618999999999901</v>
      </c>
      <c r="AF3201">
        <v>-2.5644334355165701</v>
      </c>
      <c r="AG3201">
        <v>-1.109775578449</v>
      </c>
      <c r="AH3201">
        <v>22.5731724892626</v>
      </c>
      <c r="AI3201">
        <v>92.796633124759197</v>
      </c>
      <c r="AJ3201">
        <v>96.481320077221895</v>
      </c>
      <c r="AK3201">
        <v>22.745461897040499</v>
      </c>
      <c r="AL3201">
        <v>89.421738811415395</v>
      </c>
      <c r="AM3201">
        <v>92.196251469765599</v>
      </c>
      <c r="AN3201">
        <v>0.99999996626679499</v>
      </c>
    </row>
    <row r="3202" spans="1:40" x14ac:dyDescent="0.3">
      <c r="A3202" t="str">
        <f>"20200111160517236"</f>
        <v>20200111160517236</v>
      </c>
      <c r="B3202" t="str">
        <f>"1578729917224691"</f>
        <v>1578729917224691</v>
      </c>
      <c r="C3202" t="s">
        <v>40</v>
      </c>
      <c r="D3202">
        <v>5.3485750000000003</v>
      </c>
      <c r="E3202">
        <v>0.47310639999999998</v>
      </c>
      <c r="F3202" t="s">
        <v>57</v>
      </c>
      <c r="G3202">
        <v>-229.511</v>
      </c>
      <c r="H3202" s="1">
        <v>3.38197E-6</v>
      </c>
      <c r="I3202">
        <v>217.8768</v>
      </c>
      <c r="J3202">
        <v>-251.79490000000001</v>
      </c>
      <c r="K3202">
        <v>1.109769</v>
      </c>
      <c r="L3202">
        <v>214.5283</v>
      </c>
      <c r="M3202">
        <v>0.99930830000000004</v>
      </c>
      <c r="N3202">
        <v>0</v>
      </c>
      <c r="O3202">
        <v>3.431443E-2</v>
      </c>
      <c r="P3202">
        <v>0.99737569999999998</v>
      </c>
      <c r="Q3202">
        <v>-3.9884669999999999E-3</v>
      </c>
      <c r="R3202">
        <v>7.2290140000000003E-2</v>
      </c>
      <c r="S3202">
        <v>2.9749759999999998</v>
      </c>
      <c r="T3202">
        <v>-0.14610310000000001</v>
      </c>
      <c r="U3202">
        <v>0.44218439999999998</v>
      </c>
      <c r="V3202">
        <v>-3.800398E-2</v>
      </c>
      <c r="W3202">
        <v>1.0394209999999999E-2</v>
      </c>
      <c r="X3202">
        <v>0.99922350000000004</v>
      </c>
      <c r="Y3202">
        <v>-0.1128953</v>
      </c>
      <c r="Z3202">
        <v>1.081535E-3</v>
      </c>
      <c r="AA3202">
        <v>0.99360630000000005</v>
      </c>
      <c r="AB3202">
        <v>31</v>
      </c>
      <c r="AC3202">
        <v>22.283899999999999</v>
      </c>
      <c r="AD3202">
        <v>-1.10976561803</v>
      </c>
      <c r="AE3202">
        <v>3.3485</v>
      </c>
      <c r="AF3202">
        <v>-2.5755430166868001</v>
      </c>
      <c r="AG3202">
        <v>-1.10976561803</v>
      </c>
      <c r="AH3202">
        <v>22.331524858268399</v>
      </c>
      <c r="AI3202">
        <v>92.826270525472097</v>
      </c>
      <c r="AJ3202">
        <v>96.578978700589502</v>
      </c>
      <c r="AK3202">
        <v>22.506932355459401</v>
      </c>
      <c r="AL3202">
        <v>89.404444895013</v>
      </c>
      <c r="AM3202">
        <v>92.178109934149603</v>
      </c>
      <c r="AN3202">
        <v>0.99999997252480599</v>
      </c>
    </row>
    <row r="3203" spans="1:40" x14ac:dyDescent="0.3">
      <c r="A3203" t="str">
        <f>"20200111160517258"</f>
        <v>20200111160517258</v>
      </c>
      <c r="B3203" t="str">
        <f>"1578729917254948"</f>
        <v>1578729917254948</v>
      </c>
      <c r="C3203" t="s">
        <v>40</v>
      </c>
      <c r="D3203">
        <v>5.3396629999999998</v>
      </c>
      <c r="E3203">
        <v>0.47230569999999999</v>
      </c>
      <c r="F3203" t="s">
        <v>57</v>
      </c>
      <c r="G3203">
        <v>-229.9136</v>
      </c>
      <c r="H3203" s="1">
        <v>3.6014520000000001E-6</v>
      </c>
      <c r="I3203">
        <v>217.75710000000001</v>
      </c>
      <c r="J3203">
        <v>-251.47229999999999</v>
      </c>
      <c r="K3203">
        <v>1.109764</v>
      </c>
      <c r="L3203">
        <v>214.5386</v>
      </c>
      <c r="M3203">
        <v>0.99933369999999999</v>
      </c>
      <c r="N3203">
        <v>0</v>
      </c>
      <c r="O3203">
        <v>3.3567420000000001E-2</v>
      </c>
      <c r="P3203">
        <v>0.99744869999999997</v>
      </c>
      <c r="Q3203">
        <v>-4.8730600000000002E-3</v>
      </c>
      <c r="R3203">
        <v>7.1220640000000002E-2</v>
      </c>
      <c r="S3203">
        <v>2.975479</v>
      </c>
      <c r="T3203">
        <v>-0.15090899999999999</v>
      </c>
      <c r="U3203">
        <v>0.43905640000000001</v>
      </c>
      <c r="V3203">
        <v>-3.7680789999999999E-2</v>
      </c>
      <c r="W3203">
        <v>9.5059089999999999E-3</v>
      </c>
      <c r="X3203">
        <v>0.99924460000000004</v>
      </c>
      <c r="Y3203">
        <v>-0.1125847</v>
      </c>
      <c r="Z3203">
        <v>1.146729E-3</v>
      </c>
      <c r="AA3203">
        <v>0.99364140000000001</v>
      </c>
      <c r="AB3203">
        <v>31</v>
      </c>
      <c r="AC3203">
        <v>21.558699999999899</v>
      </c>
      <c r="AD3203">
        <v>-1.109760398548</v>
      </c>
      <c r="AE3203">
        <v>3.2185000000000001</v>
      </c>
      <c r="AF3203">
        <v>-2.48649651778313</v>
      </c>
      <c r="AG3203">
        <v>-1.109760398548</v>
      </c>
      <c r="AH3203">
        <v>21.598611773014799</v>
      </c>
      <c r="AI3203">
        <v>92.922067515411996</v>
      </c>
      <c r="AJ3203">
        <v>96.567150480867198</v>
      </c>
      <c r="AK3203">
        <v>21.769571966314501</v>
      </c>
      <c r="AL3203">
        <v>89.455343324072004</v>
      </c>
      <c r="AM3203">
        <v>92.159559104052505</v>
      </c>
      <c r="AN3203">
        <v>0.99999998743505003</v>
      </c>
    </row>
    <row r="3204" spans="1:40" x14ac:dyDescent="0.3">
      <c r="A3204" t="str">
        <f>"20200111160517281"</f>
        <v>20200111160517281</v>
      </c>
      <c r="B3204" t="str">
        <f>"1578729917274468"</f>
        <v>1578729917274468</v>
      </c>
      <c r="C3204" t="s">
        <v>40</v>
      </c>
      <c r="D3204">
        <v>5.5976879999999998</v>
      </c>
      <c r="E3204">
        <v>0.4718463</v>
      </c>
      <c r="F3204" t="s">
        <v>57</v>
      </c>
      <c r="G3204">
        <v>-228.41730000000001</v>
      </c>
      <c r="H3204" s="1">
        <v>2.7962750000000002E-6</v>
      </c>
      <c r="I3204">
        <v>217.9615</v>
      </c>
      <c r="J3204">
        <v>-251.16149999999999</v>
      </c>
      <c r="K3204">
        <v>1.1097680000000001</v>
      </c>
      <c r="L3204">
        <v>214.54820000000001</v>
      </c>
      <c r="M3204">
        <v>0.99935759999999996</v>
      </c>
      <c r="N3204">
        <v>0</v>
      </c>
      <c r="O3204">
        <v>3.2850110000000002E-2</v>
      </c>
      <c r="P3204">
        <v>0.99754730000000003</v>
      </c>
      <c r="Q3204">
        <v>-6.3563140000000001E-3</v>
      </c>
      <c r="R3204">
        <v>6.9707530000000004E-2</v>
      </c>
      <c r="S3204">
        <v>2.9754489999999998</v>
      </c>
      <c r="T3204">
        <v>-0.14322480000000001</v>
      </c>
      <c r="U3204">
        <v>0.44175720000000002</v>
      </c>
      <c r="V3204">
        <v>-3.6885069999999999E-2</v>
      </c>
      <c r="W3204">
        <v>8.0187100000000001E-3</v>
      </c>
      <c r="X3204">
        <v>0.99928740000000005</v>
      </c>
      <c r="Y3204">
        <v>-0.1141891</v>
      </c>
      <c r="Z3204">
        <v>1.1609999999999999E-3</v>
      </c>
      <c r="AA3204">
        <v>0.99345830000000002</v>
      </c>
      <c r="AB3204">
        <v>31</v>
      </c>
      <c r="AC3204">
        <v>22.7441999999999</v>
      </c>
      <c r="AD3204">
        <v>-1.1097652037250001</v>
      </c>
      <c r="AE3204">
        <v>3.4132999999999898</v>
      </c>
      <c r="AF3204">
        <v>-2.6580424129541602</v>
      </c>
      <c r="AG3204">
        <v>-1.1097652037250001</v>
      </c>
      <c r="AH3204">
        <v>22.790995578415099</v>
      </c>
      <c r="AI3204">
        <v>92.7689713048985</v>
      </c>
      <c r="AJ3204">
        <v>96.652175311148099</v>
      </c>
      <c r="AK3204">
        <v>22.972293044705001</v>
      </c>
      <c r="AL3204">
        <v>89.540556862718603</v>
      </c>
      <c r="AM3204">
        <v>92.113906209903405</v>
      </c>
      <c r="AN3204">
        <v>1.0000000579488599</v>
      </c>
    </row>
    <row r="3205" spans="1:40" x14ac:dyDescent="0.3">
      <c r="A3205" t="str">
        <f>"20200111160517302"</f>
        <v>20200111160517302</v>
      </c>
      <c r="B3205" t="str">
        <f>"1578729917294964"</f>
        <v>1578729917294964</v>
      </c>
      <c r="C3205" t="s">
        <v>40</v>
      </c>
      <c r="D3205">
        <v>5.3022280000000004</v>
      </c>
      <c r="E3205">
        <v>0.4718466</v>
      </c>
      <c r="F3205" t="s">
        <v>57</v>
      </c>
      <c r="G3205">
        <v>-228.1113</v>
      </c>
      <c r="H3205" s="1">
        <v>2.6333470000000001E-6</v>
      </c>
      <c r="I3205">
        <v>217.96250000000001</v>
      </c>
      <c r="J3205">
        <v>-250.85589999999999</v>
      </c>
      <c r="K3205">
        <v>1.1097669999999999</v>
      </c>
      <c r="L3205">
        <v>214.55760000000001</v>
      </c>
      <c r="M3205">
        <v>0.99938039999999995</v>
      </c>
      <c r="N3205">
        <v>0</v>
      </c>
      <c r="O3205">
        <v>3.2152649999999998E-2</v>
      </c>
      <c r="P3205">
        <v>0.997614</v>
      </c>
      <c r="Q3205">
        <v>-8.2146619999999993E-3</v>
      </c>
      <c r="R3205">
        <v>6.8550440000000004E-2</v>
      </c>
      <c r="S3205">
        <v>2.9756469999999999</v>
      </c>
      <c r="T3205">
        <v>-0.14326410000000001</v>
      </c>
      <c r="U3205">
        <v>0.44076539999999997</v>
      </c>
      <c r="V3205">
        <v>-3.6426680000000003E-2</v>
      </c>
      <c r="W3205">
        <v>6.1562300000000004E-3</v>
      </c>
      <c r="X3205">
        <v>0.99931729999999996</v>
      </c>
      <c r="Y3205">
        <v>-0.1145476</v>
      </c>
      <c r="Z3205">
        <v>1.203174E-3</v>
      </c>
      <c r="AA3205">
        <v>0.99341699999999999</v>
      </c>
      <c r="AB3205">
        <v>31</v>
      </c>
      <c r="AC3205">
        <v>22.744599999999899</v>
      </c>
      <c r="AD3205">
        <v>-1.1097643666529999</v>
      </c>
      <c r="AE3205">
        <v>3.4048999999999898</v>
      </c>
      <c r="AF3205">
        <v>-2.6655582608642701</v>
      </c>
      <c r="AG3205">
        <v>-1.1097643666529999</v>
      </c>
      <c r="AH3205">
        <v>22.7892605199022</v>
      </c>
      <c r="AI3205">
        <v>92.7690718128855</v>
      </c>
      <c r="AJ3205">
        <v>96.671318938664896</v>
      </c>
      <c r="AK3205">
        <v>22.971442550164902</v>
      </c>
      <c r="AL3205">
        <v>89.6472717520125</v>
      </c>
      <c r="AM3205">
        <v>92.087596578153295</v>
      </c>
      <c r="AN3205">
        <v>0.99999993413146004</v>
      </c>
    </row>
    <row r="3206" spans="1:40" x14ac:dyDescent="0.3">
      <c r="A3206" t="str">
        <f>"20200111160517321"</f>
        <v>20200111160517321</v>
      </c>
      <c r="B3206" t="str">
        <f>"1578729917314484"</f>
        <v>1578729917314484</v>
      </c>
      <c r="C3206" t="s">
        <v>40</v>
      </c>
      <c r="D3206">
        <v>5.3717959999999998</v>
      </c>
      <c r="E3206">
        <v>0.4718233</v>
      </c>
      <c r="F3206" t="s">
        <v>57</v>
      </c>
      <c r="G3206">
        <v>-229.6054</v>
      </c>
      <c r="H3206" s="1">
        <v>3.4406729999999998E-6</v>
      </c>
      <c r="I3206">
        <v>217.6832</v>
      </c>
      <c r="J3206">
        <v>-250.6001</v>
      </c>
      <c r="K3206">
        <v>1.109772</v>
      </c>
      <c r="L3206">
        <v>214.5651</v>
      </c>
      <c r="M3206">
        <v>0.99939880000000003</v>
      </c>
      <c r="N3206">
        <v>0</v>
      </c>
      <c r="O3206">
        <v>3.1575739999999998E-2</v>
      </c>
      <c r="P3206">
        <v>0.99767930000000005</v>
      </c>
      <c r="Q3206">
        <v>-8.6617769999999903E-3</v>
      </c>
      <c r="R3206">
        <v>6.7536289999999999E-2</v>
      </c>
      <c r="S3206">
        <v>2.9758149999999999</v>
      </c>
      <c r="T3206">
        <v>-0.15540590000000001</v>
      </c>
      <c r="U3206">
        <v>0.43769839999999999</v>
      </c>
      <c r="V3206">
        <v>-3.598838E-2</v>
      </c>
      <c r="W3206">
        <v>5.7051510000000003E-3</v>
      </c>
      <c r="X3206">
        <v>0.99933590000000005</v>
      </c>
      <c r="Y3206">
        <v>-0.11409420000000001</v>
      </c>
      <c r="Z3206">
        <v>1.32316799999999E-3</v>
      </c>
      <c r="AA3206">
        <v>0.99346909999999999</v>
      </c>
      <c r="AB3206">
        <v>31</v>
      </c>
      <c r="AC3206">
        <v>20.994699999999899</v>
      </c>
      <c r="AD3206">
        <v>-1.1097685593269999</v>
      </c>
      <c r="AE3206">
        <v>3.1180999999999899</v>
      </c>
      <c r="AF3206">
        <v>-2.4468644364230698</v>
      </c>
      <c r="AG3206">
        <v>-1.1097685593269999</v>
      </c>
      <c r="AH3206">
        <v>21.025216330278599</v>
      </c>
      <c r="AI3206">
        <v>93.001206454657904</v>
      </c>
      <c r="AJ3206">
        <v>96.638085199569005</v>
      </c>
      <c r="AK3206">
        <v>21.196189600032302</v>
      </c>
      <c r="AL3206">
        <v>89.673117145290107</v>
      </c>
      <c r="AM3206">
        <v>92.0624612740788</v>
      </c>
      <c r="AN3206">
        <v>0.99999997663588303</v>
      </c>
    </row>
    <row r="3207" spans="1:40" x14ac:dyDescent="0.3">
      <c r="A3207" t="str">
        <f>"20200111160517336"</f>
        <v>20200111160517336</v>
      </c>
      <c r="B3207" t="str">
        <f>"1578729917334980"</f>
        <v>1578729917334980</v>
      </c>
      <c r="C3207" t="s">
        <v>40</v>
      </c>
      <c r="D3207">
        <v>5.4943489999999997</v>
      </c>
      <c r="E3207">
        <v>0.47131590000000001</v>
      </c>
      <c r="F3207" t="s">
        <v>57</v>
      </c>
      <c r="G3207">
        <v>-230.24369999999999</v>
      </c>
      <c r="H3207" s="1">
        <v>-1.534972E-6</v>
      </c>
      <c r="I3207">
        <v>217.5412</v>
      </c>
      <c r="J3207">
        <v>-250.38740000000001</v>
      </c>
      <c r="K3207">
        <v>1.1097790000000001</v>
      </c>
      <c r="L3207">
        <v>214.57140000000001</v>
      </c>
      <c r="M3207">
        <v>0.99941380000000002</v>
      </c>
      <c r="N3207">
        <v>0</v>
      </c>
      <c r="O3207">
        <v>3.1101030000000002E-2</v>
      </c>
      <c r="P3207">
        <v>0.99771900000000002</v>
      </c>
      <c r="Q3207">
        <v>-8.6749789999999993E-3</v>
      </c>
      <c r="R3207">
        <v>6.6947179999999995E-2</v>
      </c>
      <c r="S3207">
        <v>2.9761199999999999</v>
      </c>
      <c r="T3207">
        <v>-0.1622497</v>
      </c>
      <c r="U3207">
        <v>0.4351044</v>
      </c>
      <c r="V3207">
        <v>-3.587307E-2</v>
      </c>
      <c r="W3207">
        <v>5.68894E-3</v>
      </c>
      <c r="X3207">
        <v>0.99934020000000001</v>
      </c>
      <c r="Y3207">
        <v>-0.11369369999999999</v>
      </c>
      <c r="Z3207">
        <v>1.3961329999999999E-3</v>
      </c>
      <c r="AA3207">
        <v>0.99351489999999998</v>
      </c>
      <c r="AB3207">
        <v>31</v>
      </c>
      <c r="AC3207">
        <v>20.143699999999999</v>
      </c>
      <c r="AD3207">
        <v>-1.109780534972</v>
      </c>
      <c r="AE3207">
        <v>2.96979999999999</v>
      </c>
      <c r="AF3207">
        <v>-2.33487289820583</v>
      </c>
      <c r="AG3207">
        <v>-1.109780534972</v>
      </c>
      <c r="AH3207">
        <v>20.1664185592407</v>
      </c>
      <c r="AI3207">
        <v>93.129013036359495</v>
      </c>
      <c r="AJ3207">
        <v>96.604313773676793</v>
      </c>
      <c r="AK3207">
        <v>20.331445639527601</v>
      </c>
      <c r="AL3207">
        <v>89.6740460023547</v>
      </c>
      <c r="AM3207">
        <v>92.055849804278907</v>
      </c>
      <c r="AN3207">
        <v>1.00000003826279</v>
      </c>
    </row>
    <row r="3208" spans="1:40" x14ac:dyDescent="0.3">
      <c r="A3208" t="str">
        <f>"20200111160517354"</f>
        <v>20200111160517354</v>
      </c>
      <c r="B3208" t="str">
        <f>"1578729917344740"</f>
        <v>1578729917344740</v>
      </c>
      <c r="C3208" t="s">
        <v>40</v>
      </c>
      <c r="D3208">
        <v>5.7970199999999998</v>
      </c>
      <c r="E3208">
        <v>0.47128710000000001</v>
      </c>
      <c r="F3208" t="s">
        <v>57</v>
      </c>
      <c r="G3208">
        <v>-230.2756</v>
      </c>
      <c r="H3208" s="1">
        <v>-1.5173240000000001E-6</v>
      </c>
      <c r="I3208">
        <v>217.52590000000001</v>
      </c>
      <c r="J3208">
        <v>-250.14189999999999</v>
      </c>
      <c r="K3208">
        <v>1.109785</v>
      </c>
      <c r="L3208">
        <v>214.57839999999999</v>
      </c>
      <c r="M3208">
        <v>0.9994305</v>
      </c>
      <c r="N3208">
        <v>0</v>
      </c>
      <c r="O3208">
        <v>3.0557210000000001E-2</v>
      </c>
      <c r="P3208">
        <v>0.99775440000000004</v>
      </c>
      <c r="Q3208">
        <v>-8.3722620000000001E-3</v>
      </c>
      <c r="R3208">
        <v>6.6453910000000005E-2</v>
      </c>
      <c r="S3208">
        <v>2.976089</v>
      </c>
      <c r="T3208">
        <v>-0.1642219</v>
      </c>
      <c r="U3208">
        <v>0.43721009999999999</v>
      </c>
      <c r="V3208">
        <v>-3.5922559999999999E-2</v>
      </c>
      <c r="W3208">
        <v>5.9883870000000004E-3</v>
      </c>
      <c r="X3208">
        <v>0.99933669999999997</v>
      </c>
      <c r="Y3208">
        <v>-0.1149183</v>
      </c>
      <c r="Z3208">
        <v>1.4763910000000001E-3</v>
      </c>
      <c r="AA3208">
        <v>0.99337390000000003</v>
      </c>
      <c r="AB3208">
        <v>31</v>
      </c>
      <c r="AC3208">
        <v>19.866299999999899</v>
      </c>
      <c r="AD3208">
        <v>-1.109786517324</v>
      </c>
      <c r="AE3208">
        <v>2.9475000000000202</v>
      </c>
      <c r="AF3208">
        <v>-2.3318821295390602</v>
      </c>
      <c r="AG3208">
        <v>-1.109786517324</v>
      </c>
      <c r="AH3208">
        <v>19.886375782366901</v>
      </c>
      <c r="AI3208">
        <v>93.172465180516099</v>
      </c>
      <c r="AJ3208">
        <v>96.687977959660699</v>
      </c>
      <c r="AK3208">
        <v>20.053359871542899</v>
      </c>
      <c r="AL3208">
        <v>89.656888670566204</v>
      </c>
      <c r="AM3208">
        <v>92.058690791932605</v>
      </c>
      <c r="AN3208">
        <v>1.0000000655313499</v>
      </c>
    </row>
    <row r="3209" spans="1:40" x14ac:dyDescent="0.3">
      <c r="A3209" t="str">
        <f>"20200111160517369"</f>
        <v>20200111160517369</v>
      </c>
      <c r="B3209" t="str">
        <f>"1578729917364260"</f>
        <v>1578729917364260</v>
      </c>
      <c r="C3209" t="s">
        <v>40</v>
      </c>
      <c r="D3209">
        <v>5.4133319999999996</v>
      </c>
      <c r="E3209">
        <v>0.47115810000000002</v>
      </c>
      <c r="F3209" t="s">
        <v>57</v>
      </c>
      <c r="G3209">
        <v>-229.62299999999999</v>
      </c>
      <c r="H3209" s="1">
        <v>3.4544720000000002E-6</v>
      </c>
      <c r="I3209">
        <v>217.58199999999999</v>
      </c>
      <c r="J3209">
        <v>-249.9461</v>
      </c>
      <c r="K3209">
        <v>1.1097900000000001</v>
      </c>
      <c r="L3209">
        <v>214.584</v>
      </c>
      <c r="M3209">
        <v>0.99944370000000005</v>
      </c>
      <c r="N3209">
        <v>0</v>
      </c>
      <c r="O3209">
        <v>3.0126409999999999E-2</v>
      </c>
      <c r="P3209">
        <v>0.99779899999999999</v>
      </c>
      <c r="Q3209">
        <v>-8.2070319999999995E-3</v>
      </c>
      <c r="R3209">
        <v>6.5803940000000005E-2</v>
      </c>
      <c r="S3209">
        <v>2.9763790000000001</v>
      </c>
      <c r="T3209">
        <v>-0.16098029999999999</v>
      </c>
      <c r="U3209">
        <v>0.43568420000000002</v>
      </c>
      <c r="V3209">
        <v>-3.5701900000000002E-2</v>
      </c>
      <c r="W3209">
        <v>6.1509859999999998E-3</v>
      </c>
      <c r="X3209">
        <v>0.9993436</v>
      </c>
      <c r="Y3209">
        <v>-0.11483839999999999</v>
      </c>
      <c r="Z3209">
        <v>1.4681830000000001E-3</v>
      </c>
      <c r="AA3209">
        <v>0.99338309999999996</v>
      </c>
      <c r="AB3209">
        <v>31</v>
      </c>
      <c r="AC3209">
        <v>20.3231</v>
      </c>
      <c r="AD3209">
        <v>-1.109786545528</v>
      </c>
      <c r="AE3209">
        <v>2.99799999999999</v>
      </c>
      <c r="AF3209">
        <v>-2.37737599432069</v>
      </c>
      <c r="AG3209">
        <v>-1.109786545528</v>
      </c>
      <c r="AH3209">
        <v>20.344826617165701</v>
      </c>
      <c r="AI3209">
        <v>93.101263169328405</v>
      </c>
      <c r="AJ3209">
        <v>96.665018609264294</v>
      </c>
      <c r="AK3209">
        <v>20.513300877175801</v>
      </c>
      <c r="AL3209">
        <v>89.647572256065899</v>
      </c>
      <c r="AM3209">
        <v>92.046041624805497</v>
      </c>
      <c r="AN3209">
        <v>1.00000004557667</v>
      </c>
    </row>
    <row r="3210" spans="1:40" x14ac:dyDescent="0.3">
      <c r="A3210" t="str">
        <f>"20200111160517381"</f>
        <v>20200111160517381</v>
      </c>
      <c r="B3210" t="str">
        <f>"1578729917374996"</f>
        <v>1578729917374996</v>
      </c>
      <c r="C3210" t="s">
        <v>40</v>
      </c>
      <c r="D3210">
        <v>5.6106400000000001</v>
      </c>
      <c r="E3210">
        <v>0.47098400000000001</v>
      </c>
      <c r="F3210" t="s">
        <v>57</v>
      </c>
      <c r="G3210">
        <v>-229.89259999999999</v>
      </c>
      <c r="H3210" s="1">
        <v>3.6008529999999999E-6</v>
      </c>
      <c r="I3210">
        <v>217.51499999999999</v>
      </c>
      <c r="J3210">
        <v>-249.74950000000001</v>
      </c>
      <c r="K3210">
        <v>1.1097950000000001</v>
      </c>
      <c r="L3210">
        <v>214.58949999999999</v>
      </c>
      <c r="M3210">
        <v>0.99945649999999997</v>
      </c>
      <c r="N3210">
        <v>0</v>
      </c>
      <c r="O3210">
        <v>2.9696779999999999E-2</v>
      </c>
      <c r="P3210">
        <v>0.99785880000000005</v>
      </c>
      <c r="Q3210">
        <v>-8.3094559999999998E-3</v>
      </c>
      <c r="R3210">
        <v>6.4876210000000004E-2</v>
      </c>
      <c r="S3210">
        <v>2.9765929999999998</v>
      </c>
      <c r="T3210">
        <v>-0.16472879999999901</v>
      </c>
      <c r="U3210">
        <v>0.43505859999999902</v>
      </c>
      <c r="V3210">
        <v>-3.5202990000000003E-2</v>
      </c>
      <c r="W3210">
        <v>6.0446529999999997E-3</v>
      </c>
      <c r="X3210">
        <v>0.99936190000000003</v>
      </c>
      <c r="Y3210">
        <v>-0.1150442</v>
      </c>
      <c r="Z3210">
        <v>1.531494E-3</v>
      </c>
      <c r="AA3210">
        <v>0.9933592</v>
      </c>
      <c r="AB3210">
        <v>31</v>
      </c>
      <c r="AC3210">
        <v>19.8569</v>
      </c>
      <c r="AD3210">
        <v>-1.1097913991470001</v>
      </c>
      <c r="AE3210">
        <v>2.9254999999999902</v>
      </c>
      <c r="AF3210">
        <v>-2.3273477355904499</v>
      </c>
      <c r="AG3210">
        <v>-1.1097913991470001</v>
      </c>
      <c r="AH3210">
        <v>19.874266199010599</v>
      </c>
      <c r="AI3210">
        <v>93.174465562947304</v>
      </c>
      <c r="AJ3210">
        <v>96.679120976405997</v>
      </c>
      <c r="AK3210">
        <v>20.040824368800699</v>
      </c>
      <c r="AL3210">
        <v>89.653664784622705</v>
      </c>
      <c r="AM3210">
        <v>92.017436453364496</v>
      </c>
      <c r="AN3210">
        <v>0.99999999775322002</v>
      </c>
    </row>
    <row r="3211" spans="1:40" x14ac:dyDescent="0.3">
      <c r="A3211" t="str">
        <f>"20200111160517401"</f>
        <v>20200111160517401</v>
      </c>
      <c r="B3211" t="str">
        <f>"1578729917394516"</f>
        <v>1578729917394516</v>
      </c>
      <c r="C3211" t="s">
        <v>40</v>
      </c>
      <c r="D3211">
        <v>5.4284860000000004</v>
      </c>
      <c r="E3211">
        <v>0.47087709999999999</v>
      </c>
      <c r="F3211" t="s">
        <v>57</v>
      </c>
      <c r="G3211">
        <v>-229.89680000000001</v>
      </c>
      <c r="H3211" s="1">
        <v>3.6045369999999999E-6</v>
      </c>
      <c r="I3211">
        <v>217.4821</v>
      </c>
      <c r="J3211">
        <v>-249.49299999999999</v>
      </c>
      <c r="K3211">
        <v>1.1097969999999999</v>
      </c>
      <c r="L3211">
        <v>214.59649999999999</v>
      </c>
      <c r="M3211">
        <v>0.99947299999999994</v>
      </c>
      <c r="N3211">
        <v>0</v>
      </c>
      <c r="O3211">
        <v>2.913955E-2</v>
      </c>
      <c r="P3211">
        <v>0.99790480000000004</v>
      </c>
      <c r="Q3211">
        <v>-8.4079629999999992E-3</v>
      </c>
      <c r="R3211">
        <v>6.4152710000000002E-2</v>
      </c>
      <c r="S3211">
        <v>2.9768219999999999</v>
      </c>
      <c r="T3211">
        <v>-0.16640839999999901</v>
      </c>
      <c r="U3211">
        <v>0.43374629999999997</v>
      </c>
      <c r="V3211">
        <v>-3.5035280000000002E-2</v>
      </c>
      <c r="W3211">
        <v>5.9430899999999998E-3</v>
      </c>
      <c r="X3211">
        <v>0.99936840000000005</v>
      </c>
      <c r="Y3211">
        <v>-0.1151547</v>
      </c>
      <c r="Z3211">
        <v>1.5810079999999901E-3</v>
      </c>
      <c r="AA3211">
        <v>0.99334630000000002</v>
      </c>
      <c r="AB3211">
        <v>31</v>
      </c>
      <c r="AC3211">
        <v>19.5961999999999</v>
      </c>
      <c r="AD3211">
        <v>-1.1097933954629999</v>
      </c>
      <c r="AE3211">
        <v>2.8856000000000099</v>
      </c>
      <c r="AF3211">
        <v>-2.3060522652910098</v>
      </c>
      <c r="AG3211">
        <v>-1.1097933954629999</v>
      </c>
      <c r="AH3211">
        <v>19.610408789024099</v>
      </c>
      <c r="AI3211">
        <v>93.216912574160702</v>
      </c>
      <c r="AJ3211">
        <v>96.706797478761402</v>
      </c>
      <c r="AK3211">
        <v>19.776694650610899</v>
      </c>
      <c r="AL3211">
        <v>89.659484019502699</v>
      </c>
      <c r="AM3211">
        <v>92.007820053722597</v>
      </c>
      <c r="AN3211">
        <v>0.99999999504099302</v>
      </c>
    </row>
    <row r="3212" spans="1:40" x14ac:dyDescent="0.3">
      <c r="A3212" t="str">
        <f>"20200111160517415"</f>
        <v>20200111160517415</v>
      </c>
      <c r="B3212" t="str">
        <f>"1578729917404276"</f>
        <v>1578729917404276</v>
      </c>
      <c r="C3212" t="s">
        <v>40</v>
      </c>
      <c r="D3212">
        <v>5.4520390000000001</v>
      </c>
      <c r="E3212">
        <v>0.47079579999999999</v>
      </c>
      <c r="F3212" t="s">
        <v>57</v>
      </c>
      <c r="G3212">
        <v>-230.0745</v>
      </c>
      <c r="H3212" s="1">
        <v>-1.6196239999999999E-6</v>
      </c>
      <c r="I3212">
        <v>217.41839999999999</v>
      </c>
      <c r="J3212">
        <v>-249.2978</v>
      </c>
      <c r="K3212">
        <v>1.1097980000000001</v>
      </c>
      <c r="L3212">
        <v>214.60169999999999</v>
      </c>
      <c r="M3212">
        <v>0.99948519999999996</v>
      </c>
      <c r="N3212">
        <v>0</v>
      </c>
      <c r="O3212">
        <v>2.8717340000000001E-2</v>
      </c>
      <c r="P3212">
        <v>0.99791240000000003</v>
      </c>
      <c r="Q3212">
        <v>-8.9919919999999903E-3</v>
      </c>
      <c r="R3212">
        <v>6.3953430000000006E-2</v>
      </c>
      <c r="S3212">
        <v>2.9770509999999999</v>
      </c>
      <c r="T3212">
        <v>-0.17014309999999999</v>
      </c>
      <c r="U3212">
        <v>0.43263239999999997</v>
      </c>
      <c r="V3212">
        <v>-3.5258879999999999E-2</v>
      </c>
      <c r="W3212">
        <v>5.3570650000000003E-3</v>
      </c>
      <c r="X3212">
        <v>0.99936380000000002</v>
      </c>
      <c r="Y3212">
        <v>-0.1151927</v>
      </c>
      <c r="Z3212">
        <v>1.6413879999999999E-3</v>
      </c>
      <c r="AA3212">
        <v>0.99334180000000005</v>
      </c>
      <c r="AB3212">
        <v>31</v>
      </c>
      <c r="AC3212">
        <v>19.223299999999899</v>
      </c>
      <c r="AD3212">
        <v>-1.1097996196240001</v>
      </c>
      <c r="AE3212">
        <v>2.8166999999999902</v>
      </c>
      <c r="AF3212">
        <v>-2.25607811302452</v>
      </c>
      <c r="AG3212">
        <v>-1.1097996196240001</v>
      </c>
      <c r="AH3212">
        <v>19.233508965137499</v>
      </c>
      <c r="AI3212">
        <v>93.279944681354394</v>
      </c>
      <c r="AJ3212">
        <v>96.690185782405507</v>
      </c>
      <c r="AK3212">
        <v>19.397149552442201</v>
      </c>
      <c r="AL3212">
        <v>89.693061300166306</v>
      </c>
      <c r="AM3212">
        <v>92.020632943296803</v>
      </c>
      <c r="AN3212">
        <v>0.99999994575735196</v>
      </c>
    </row>
    <row r="3213" spans="1:40" x14ac:dyDescent="0.3">
      <c r="A3213" t="str">
        <f>"20200111160517438"</f>
        <v>20200111160517438</v>
      </c>
      <c r="B3213" t="str">
        <f>"1578729917434532"</f>
        <v>1578729917434532</v>
      </c>
      <c r="C3213" t="s">
        <v>40</v>
      </c>
      <c r="D3213">
        <v>5.4385329999999996</v>
      </c>
      <c r="E3213">
        <v>0.47063270000000001</v>
      </c>
      <c r="F3213" t="s">
        <v>57</v>
      </c>
      <c r="G3213">
        <v>-230.23660000000001</v>
      </c>
      <c r="H3213" s="1">
        <v>-1.5313839999999901E-6</v>
      </c>
      <c r="I3213">
        <v>217.37260000000001</v>
      </c>
      <c r="J3213">
        <v>-248.98740000000001</v>
      </c>
      <c r="K3213">
        <v>1.109802</v>
      </c>
      <c r="L3213">
        <v>214.61</v>
      </c>
      <c r="M3213">
        <v>0.99950430000000001</v>
      </c>
      <c r="N3213">
        <v>0</v>
      </c>
      <c r="O3213">
        <v>2.8047320000000001E-2</v>
      </c>
      <c r="P3213">
        <v>0.99796510000000005</v>
      </c>
      <c r="Q3213">
        <v>-9.3659239999999994E-3</v>
      </c>
      <c r="R3213">
        <v>6.3072790000000004E-2</v>
      </c>
      <c r="S3213">
        <v>2.9769589999999999</v>
      </c>
      <c r="T3213">
        <v>-0.17332690000000001</v>
      </c>
      <c r="U3213">
        <v>0.43275449999999999</v>
      </c>
      <c r="V3213">
        <v>-3.5047849999999998E-2</v>
      </c>
      <c r="W3213">
        <v>4.9789379999999996E-3</v>
      </c>
      <c r="X3213">
        <v>0.99937330000000002</v>
      </c>
      <c r="Y3213">
        <v>-0.1158954</v>
      </c>
      <c r="Z3213">
        <v>1.7311539999999999E-3</v>
      </c>
      <c r="AA3213">
        <v>0.99325989999999997</v>
      </c>
      <c r="AB3213">
        <v>31</v>
      </c>
      <c r="AC3213">
        <v>18.750800000000002</v>
      </c>
      <c r="AD3213">
        <v>-1.109803531384</v>
      </c>
      <c r="AE3213">
        <v>2.7625999999999902</v>
      </c>
      <c r="AF3213">
        <v>-2.2279107088493002</v>
      </c>
      <c r="AG3213">
        <v>-1.109803531384</v>
      </c>
      <c r="AH3213">
        <v>18.7566030179294</v>
      </c>
      <c r="AI3213">
        <v>93.362585048291095</v>
      </c>
      <c r="AJ3213">
        <v>96.773859156044907</v>
      </c>
      <c r="AK3213">
        <v>18.921030806409</v>
      </c>
      <c r="AL3213">
        <v>89.714726706654204</v>
      </c>
      <c r="AM3213">
        <v>92.0085299919498</v>
      </c>
      <c r="AN3213">
        <v>1.00000006718305</v>
      </c>
    </row>
    <row r="3214" spans="1:40" x14ac:dyDescent="0.3">
      <c r="A3214" t="str">
        <f>"20200111160517460"</f>
        <v>20200111160517460</v>
      </c>
      <c r="B3214" t="str">
        <f>"1578729917455028"</f>
        <v>1578729917455028</v>
      </c>
      <c r="C3214" t="s">
        <v>40</v>
      </c>
      <c r="D3214">
        <v>5.5416639999999999</v>
      </c>
      <c r="E3214">
        <v>0.47043420000000002</v>
      </c>
      <c r="F3214" t="s">
        <v>57</v>
      </c>
      <c r="G3214">
        <v>-230.51580000000001</v>
      </c>
      <c r="H3214" s="1">
        <v>-1.3791639999999999E-6</v>
      </c>
      <c r="I3214">
        <v>217.29</v>
      </c>
      <c r="J3214">
        <v>-248.67080000000001</v>
      </c>
      <c r="K3214">
        <v>1.109807</v>
      </c>
      <c r="L3214">
        <v>214.6181</v>
      </c>
      <c r="M3214">
        <v>0.99952339999999995</v>
      </c>
      <c r="N3214">
        <v>0</v>
      </c>
      <c r="O3214">
        <v>2.7364360000000001E-2</v>
      </c>
      <c r="P3214">
        <v>0.99800840000000002</v>
      </c>
      <c r="Q3214">
        <v>-9.385483E-3</v>
      </c>
      <c r="R3214">
        <v>6.2380339999999999E-2</v>
      </c>
      <c r="S3214">
        <v>2.9771269999999999</v>
      </c>
      <c r="T3214">
        <v>-0.17887059999999999</v>
      </c>
      <c r="U3214">
        <v>0.43194579999999999</v>
      </c>
      <c r="V3214">
        <v>-3.5037369999999998E-2</v>
      </c>
      <c r="W3214">
        <v>4.9555739999999999E-3</v>
      </c>
      <c r="X3214">
        <v>0.99937370000000003</v>
      </c>
      <c r="Y3214">
        <v>-0.1162905</v>
      </c>
      <c r="Z3214">
        <v>1.8388930000000001E-3</v>
      </c>
      <c r="AA3214">
        <v>0.99321349999999997</v>
      </c>
      <c r="AB3214">
        <v>31</v>
      </c>
      <c r="AC3214">
        <v>18.155000000000001</v>
      </c>
      <c r="AD3214">
        <v>-1.1098083791640001</v>
      </c>
      <c r="AE3214">
        <v>2.6718999999999902</v>
      </c>
      <c r="AF3214">
        <v>-2.1661257181151399</v>
      </c>
      <c r="AG3214">
        <v>-1.1098083791640001</v>
      </c>
      <c r="AH3214">
        <v>18.154918728839299</v>
      </c>
      <c r="AI3214">
        <v>93.473556385496096</v>
      </c>
      <c r="AJ3214">
        <v>96.803991415053005</v>
      </c>
      <c r="AK3214">
        <v>18.3173373970101</v>
      </c>
      <c r="AL3214">
        <v>89.716065357948395</v>
      </c>
      <c r="AM3214">
        <v>92.007929090455093</v>
      </c>
      <c r="AN3214">
        <v>0.99999998363093801</v>
      </c>
    </row>
    <row r="3215" spans="1:40" x14ac:dyDescent="0.3">
      <c r="A3215" t="str">
        <f>"20200111160517479"</f>
        <v>20200111160517479</v>
      </c>
      <c r="B3215" t="str">
        <f>"1578729917474548"</f>
        <v>1578729917474548</v>
      </c>
      <c r="C3215" t="s">
        <v>40</v>
      </c>
      <c r="D3215">
        <v>6.3487419999999997</v>
      </c>
      <c r="E3215">
        <v>0.47040179999999998</v>
      </c>
      <c r="F3215" t="s">
        <v>57</v>
      </c>
      <c r="G3215">
        <v>-230.44800000000001</v>
      </c>
      <c r="H3215" s="1">
        <v>-1.4138309999999999E-6</v>
      </c>
      <c r="I3215">
        <v>217.2576</v>
      </c>
      <c r="J3215">
        <v>-248.41460000000001</v>
      </c>
      <c r="K3215">
        <v>1.1098110000000001</v>
      </c>
      <c r="L3215">
        <v>214.62450000000001</v>
      </c>
      <c r="M3215">
        <v>0.99953829999999999</v>
      </c>
      <c r="N3215">
        <v>0</v>
      </c>
      <c r="O3215">
        <v>2.681155E-2</v>
      </c>
      <c r="P3215">
        <v>0.99803810000000004</v>
      </c>
      <c r="Q3215">
        <v>-9.1235120000000003E-3</v>
      </c>
      <c r="R3215">
        <v>6.1943070000000003E-2</v>
      </c>
      <c r="S3215">
        <v>2.977325</v>
      </c>
      <c r="T3215">
        <v>-0.18132619999999999</v>
      </c>
      <c r="U3215">
        <v>0.43125920000000001</v>
      </c>
      <c r="V3215">
        <v>-3.5151689999999999E-2</v>
      </c>
      <c r="W3215">
        <v>5.2149700000000002E-3</v>
      </c>
      <c r="X3215">
        <v>0.99936840000000005</v>
      </c>
      <c r="Y3215">
        <v>-0.1166001</v>
      </c>
      <c r="Z3215">
        <v>1.906795E-3</v>
      </c>
      <c r="AA3215">
        <v>0.99317710000000003</v>
      </c>
      <c r="AB3215">
        <v>31</v>
      </c>
      <c r="AC3215">
        <v>17.9666</v>
      </c>
      <c r="AD3215">
        <v>-1.1098124138309999</v>
      </c>
      <c r="AE3215">
        <v>2.6330999999999798</v>
      </c>
      <c r="AF3215">
        <v>-2.14238890830402</v>
      </c>
      <c r="AG3215">
        <v>-1.1098124138309999</v>
      </c>
      <c r="AH3215">
        <v>17.963642944816399</v>
      </c>
      <c r="AI3215">
        <v>93.510484306576402</v>
      </c>
      <c r="AJ3215">
        <v>96.801113807828301</v>
      </c>
      <c r="AK3215">
        <v>18.124954666899701</v>
      </c>
      <c r="AL3215">
        <v>89.701202879758199</v>
      </c>
      <c r="AM3215">
        <v>92.014485851056904</v>
      </c>
      <c r="AN3215">
        <v>1.00000001807025</v>
      </c>
    </row>
    <row r="3216" spans="1:40" x14ac:dyDescent="0.3">
      <c r="A3216" t="str">
        <f>"20200111160517493"</f>
        <v>20200111160517493</v>
      </c>
      <c r="B3216" t="str">
        <f>"1578729917484308"</f>
        <v>1578729917484308</v>
      </c>
      <c r="C3216" t="s">
        <v>40</v>
      </c>
      <c r="D3216">
        <v>6.1212099999999996</v>
      </c>
      <c r="E3216">
        <v>0.44062849999999998</v>
      </c>
      <c r="F3216" t="s">
        <v>57</v>
      </c>
      <c r="G3216">
        <v>-230.25399999999999</v>
      </c>
      <c r="H3216" s="1">
        <v>-1.516653E-6</v>
      </c>
      <c r="I3216">
        <v>217.2483</v>
      </c>
      <c r="J3216">
        <v>-248.22040000000001</v>
      </c>
      <c r="K3216">
        <v>1.1098140000000001</v>
      </c>
      <c r="L3216">
        <v>214.6293</v>
      </c>
      <c r="M3216">
        <v>0.99954949999999998</v>
      </c>
      <c r="N3216">
        <v>0</v>
      </c>
      <c r="O3216">
        <v>2.6391810000000002E-2</v>
      </c>
      <c r="P3216">
        <v>0.99801209999999996</v>
      </c>
      <c r="Q3216">
        <v>-8.2917999999999898E-3</v>
      </c>
      <c r="R3216">
        <v>6.2475530000000001E-2</v>
      </c>
      <c r="S3216">
        <v>2.977554</v>
      </c>
      <c r="T3216">
        <v>-0.18196180000000001</v>
      </c>
      <c r="U3216">
        <v>0.43019099999999999</v>
      </c>
      <c r="V3216">
        <v>-3.6103629999999998E-2</v>
      </c>
      <c r="W3216">
        <v>6.0460840000000002E-3</v>
      </c>
      <c r="X3216">
        <v>0.99932969999999999</v>
      </c>
      <c r="Y3216">
        <v>-0.11665540000000001</v>
      </c>
      <c r="Z3216">
        <v>1.940513E-3</v>
      </c>
      <c r="AA3216">
        <v>0.99317060000000001</v>
      </c>
      <c r="AB3216">
        <v>31</v>
      </c>
      <c r="AC3216">
        <v>17.966399999999901</v>
      </c>
      <c r="AD3216">
        <v>-1.1098155166529999</v>
      </c>
      <c r="AE3216">
        <v>2.6190000000000002</v>
      </c>
      <c r="AF3216">
        <v>-2.1358928562839501</v>
      </c>
      <c r="AG3216">
        <v>-1.1098155166529999</v>
      </c>
      <c r="AH3216">
        <v>17.962154890956398</v>
      </c>
      <c r="AI3216">
        <v>93.510928847245694</v>
      </c>
      <c r="AJ3216">
        <v>96.781240591958493</v>
      </c>
      <c r="AK3216">
        <v>18.1227132930265</v>
      </c>
      <c r="AL3216">
        <v>89.6535827722563</v>
      </c>
      <c r="AM3216">
        <v>92.069073240714403</v>
      </c>
      <c r="AN3216">
        <v>0.99999993826649902</v>
      </c>
    </row>
    <row r="3217" spans="1:40" x14ac:dyDescent="0.3">
      <c r="A3217" t="str">
        <f>"20200111160517515"</f>
        <v>20200111160517515</v>
      </c>
      <c r="B3217" t="str">
        <f>"1578729917504803"</f>
        <v>1578729917504803</v>
      </c>
      <c r="C3217" t="s">
        <v>40</v>
      </c>
      <c r="D3217">
        <v>5.4225570000000003</v>
      </c>
      <c r="E3217">
        <v>0.47468939999999998</v>
      </c>
      <c r="F3217" t="s">
        <v>69</v>
      </c>
      <c r="G3217">
        <v>-157.25</v>
      </c>
      <c r="H3217">
        <v>3.2529159999999999</v>
      </c>
      <c r="I3217">
        <v>234.74</v>
      </c>
      <c r="J3217">
        <v>-247.91159999999999</v>
      </c>
      <c r="K3217">
        <v>1.1098170000000001</v>
      </c>
      <c r="L3217">
        <v>214.63669999999999</v>
      </c>
      <c r="M3217">
        <v>0.99956690000000004</v>
      </c>
      <c r="N3217">
        <v>0</v>
      </c>
      <c r="O3217">
        <v>2.572344E-2</v>
      </c>
      <c r="P3217">
        <v>0.99803169999999997</v>
      </c>
      <c r="Q3217">
        <v>-8.7951680000000008E-3</v>
      </c>
      <c r="R3217">
        <v>6.2091699999999903E-2</v>
      </c>
      <c r="S3217">
        <v>2.9655</v>
      </c>
      <c r="T3217">
        <v>6.9863800000000004E-2</v>
      </c>
      <c r="U3217">
        <v>0.65557860000000001</v>
      </c>
      <c r="V3217">
        <v>-3.6388219999999999E-2</v>
      </c>
      <c r="W3217">
        <v>5.5387369999999898E-3</v>
      </c>
      <c r="X3217">
        <v>0.99932240000000006</v>
      </c>
      <c r="Y3217">
        <v>-0.19062229999999999</v>
      </c>
      <c r="Z3217">
        <v>-1.6200429999999901E-3</v>
      </c>
      <c r="AA3217">
        <v>0.98166220000000004</v>
      </c>
      <c r="AB3217">
        <v>31</v>
      </c>
      <c r="AC3217">
        <v>90.661600000000007</v>
      </c>
      <c r="AD3217">
        <v>2.1430989999999999</v>
      </c>
      <c r="AE3217">
        <v>20.103300000000001</v>
      </c>
      <c r="AF3217">
        <v>-17.754823869449002</v>
      </c>
      <c r="AG3217">
        <v>2.1430989999999999</v>
      </c>
      <c r="AH3217">
        <v>91.100253574317094</v>
      </c>
      <c r="AI3217">
        <v>88.677264782603899</v>
      </c>
      <c r="AJ3217">
        <v>101.028316235258</v>
      </c>
      <c r="AK3217">
        <v>92.839015749111795</v>
      </c>
      <c r="AL3217">
        <v>89.682652129710604</v>
      </c>
      <c r="AM3217">
        <v>92.085383766706798</v>
      </c>
      <c r="AN3217">
        <v>1.00000001965204</v>
      </c>
    </row>
    <row r="3218" spans="1:40" x14ac:dyDescent="0.3">
      <c r="A3218" t="str">
        <f>"20200111160517537"</f>
        <v>20200111160517537</v>
      </c>
      <c r="B3218" t="str">
        <f>"1578729917535060"</f>
        <v>1578729917535060</v>
      </c>
      <c r="C3218" t="s">
        <v>40</v>
      </c>
      <c r="D3218">
        <v>5.5908089999999904</v>
      </c>
      <c r="E3218">
        <v>0.473381</v>
      </c>
      <c r="F3218" t="s">
        <v>57</v>
      </c>
      <c r="G3218">
        <v>-209.9692</v>
      </c>
      <c r="H3218">
        <v>2.5883710000000001E-2</v>
      </c>
      <c r="I3218">
        <v>219.6163</v>
      </c>
      <c r="J3218">
        <v>-247.60390000000001</v>
      </c>
      <c r="K3218">
        <v>1.1098129999999999</v>
      </c>
      <c r="L3218">
        <v>214.6439</v>
      </c>
      <c r="M3218">
        <v>0.99958389999999997</v>
      </c>
      <c r="N3218">
        <v>0</v>
      </c>
      <c r="O3218">
        <v>2.5057329999999999E-2</v>
      </c>
      <c r="P3218">
        <v>0.9980369</v>
      </c>
      <c r="Q3218">
        <v>-1.001109E-2</v>
      </c>
      <c r="R3218">
        <v>6.1823900000000001E-2</v>
      </c>
      <c r="S3218">
        <v>2.98082</v>
      </c>
      <c r="T3218">
        <v>-8.5155729999999999E-2</v>
      </c>
      <c r="U3218">
        <v>0.39120480000000002</v>
      </c>
      <c r="V3218">
        <v>-3.6787750000000001E-2</v>
      </c>
      <c r="W3218">
        <v>4.3204330000000003E-3</v>
      </c>
      <c r="X3218">
        <v>0.99931380000000003</v>
      </c>
      <c r="Y3218">
        <v>-0.10520500000000001</v>
      </c>
      <c r="Z3218">
        <v>7.8366530000000001E-4</v>
      </c>
      <c r="AA3218">
        <v>0.99445030000000001</v>
      </c>
      <c r="AB3218">
        <v>31</v>
      </c>
      <c r="AC3218">
        <v>37.634700000000002</v>
      </c>
      <c r="AD3218">
        <v>-1.0839292899999999</v>
      </c>
      <c r="AE3218">
        <v>4.9723999999999897</v>
      </c>
      <c r="AF3218">
        <v>-4.0244359912912602</v>
      </c>
      <c r="AG3218">
        <v>-1.0839292899999999</v>
      </c>
      <c r="AH3218">
        <v>37.716738802682201</v>
      </c>
      <c r="AI3218">
        <v>91.636865410990893</v>
      </c>
      <c r="AJ3218">
        <v>96.090506583286199</v>
      </c>
      <c r="AK3218">
        <v>37.946322267954699</v>
      </c>
      <c r="AL3218">
        <v>89.752456662666106</v>
      </c>
      <c r="AM3218">
        <v>92.108278132502605</v>
      </c>
      <c r="AN3218">
        <v>1.0000000377809</v>
      </c>
    </row>
    <row r="3219" spans="1:40" x14ac:dyDescent="0.3">
      <c r="A3219" t="str">
        <f>"20200111160517555"</f>
        <v>20200111160517555</v>
      </c>
      <c r="B3219" t="str">
        <f>"1578729917544821"</f>
        <v>1578729917544821</v>
      </c>
      <c r="C3219" t="s">
        <v>40</v>
      </c>
      <c r="D3219">
        <v>5.57158</v>
      </c>
      <c r="E3219">
        <v>0.4730781</v>
      </c>
      <c r="F3219" t="s">
        <v>57</v>
      </c>
      <c r="G3219">
        <v>-226.00219999999999</v>
      </c>
      <c r="H3219" s="1">
        <v>1.5279720000000001E-6</v>
      </c>
      <c r="I3219">
        <v>217.57480000000001</v>
      </c>
      <c r="J3219">
        <v>-247.35830000000001</v>
      </c>
      <c r="K3219">
        <v>1.1098140000000001</v>
      </c>
      <c r="L3219">
        <v>214.64949999999999</v>
      </c>
      <c r="M3219">
        <v>0.99959710000000002</v>
      </c>
      <c r="N3219">
        <v>0</v>
      </c>
      <c r="O3219">
        <v>2.4526820000000001E-2</v>
      </c>
      <c r="P3219">
        <v>0.99803019999999998</v>
      </c>
      <c r="Q3219">
        <v>-1.0882009999999999E-2</v>
      </c>
      <c r="R3219">
        <v>6.1785640000000003E-2</v>
      </c>
      <c r="S3219">
        <v>2.9793240000000001</v>
      </c>
      <c r="T3219">
        <v>-0.15306600000000001</v>
      </c>
      <c r="U3219">
        <v>0.40423579999999998</v>
      </c>
      <c r="V3219">
        <v>-3.7281540000000002E-2</v>
      </c>
      <c r="W3219">
        <v>3.4468749999999999E-3</v>
      </c>
      <c r="X3219">
        <v>0.99929889999999999</v>
      </c>
      <c r="Y3219">
        <v>-0.1099908</v>
      </c>
      <c r="Z3219">
        <v>1.55769E-3</v>
      </c>
      <c r="AA3219">
        <v>0.99393140000000002</v>
      </c>
      <c r="AB3219">
        <v>31</v>
      </c>
      <c r="AC3219">
        <v>21.356100000000001</v>
      </c>
      <c r="AD3219">
        <v>-1.10981247202799</v>
      </c>
      <c r="AE3219">
        <v>2.92530000000002</v>
      </c>
      <c r="AF3219">
        <v>-2.3942224518372899</v>
      </c>
      <c r="AG3219">
        <v>-1.10981247202799</v>
      </c>
      <c r="AH3219">
        <v>21.364795322221099</v>
      </c>
      <c r="AI3219">
        <v>92.955140501173304</v>
      </c>
      <c r="AJ3219">
        <v>96.394111570132793</v>
      </c>
      <c r="AK3219">
        <v>21.527156431641199</v>
      </c>
      <c r="AL3219">
        <v>89.802508227388401</v>
      </c>
      <c r="AM3219">
        <v>92.136582638584102</v>
      </c>
      <c r="AN3219">
        <v>1.00000004285662</v>
      </c>
    </row>
    <row r="3220" spans="1:40" x14ac:dyDescent="0.3">
      <c r="A3220" t="str">
        <f>"20200111160517573"</f>
        <v>20200111160517573</v>
      </c>
      <c r="B3220" t="str">
        <f>"1578729917564340"</f>
        <v>1578729917564340</v>
      </c>
      <c r="C3220" t="s">
        <v>40</v>
      </c>
      <c r="D3220">
        <v>5.7794990000000004</v>
      </c>
      <c r="E3220">
        <v>0.47337030000000002</v>
      </c>
      <c r="F3220" t="s">
        <v>57</v>
      </c>
      <c r="G3220">
        <v>-227.02510000000001</v>
      </c>
      <c r="H3220" s="1">
        <v>2.0787620000000001E-6</v>
      </c>
      <c r="I3220">
        <v>217.4264</v>
      </c>
      <c r="J3220">
        <v>-247.12299999999999</v>
      </c>
      <c r="K3220">
        <v>1.1098250000000001</v>
      </c>
      <c r="L3220">
        <v>214.65479999999999</v>
      </c>
      <c r="M3220">
        <v>0.99960959999999999</v>
      </c>
      <c r="N3220">
        <v>0</v>
      </c>
      <c r="O3220">
        <v>2.4021899999999999E-2</v>
      </c>
      <c r="P3220">
        <v>0.99800429999999996</v>
      </c>
      <c r="Q3220">
        <v>-1.200381E-2</v>
      </c>
      <c r="R3220">
        <v>6.1998089999999999E-2</v>
      </c>
      <c r="S3220">
        <v>2.9789430000000001</v>
      </c>
      <c r="T3220">
        <v>-0.1625943</v>
      </c>
      <c r="U3220">
        <v>0.40682980000000002</v>
      </c>
      <c r="V3220">
        <v>-3.8000689999999997E-2</v>
      </c>
      <c r="W3220">
        <v>2.3229739999999998E-3</v>
      </c>
      <c r="X3220">
        <v>0.99927500000000002</v>
      </c>
      <c r="Y3220">
        <v>-0.1113426</v>
      </c>
      <c r="Z3220">
        <v>1.718713E-3</v>
      </c>
      <c r="AA3220">
        <v>0.99378060000000001</v>
      </c>
      <c r="AB3220">
        <v>31</v>
      </c>
      <c r="AC3220">
        <v>20.0978999999999</v>
      </c>
      <c r="AD3220">
        <v>-1.109822921238</v>
      </c>
      <c r="AE3220">
        <v>2.7715999999999998</v>
      </c>
      <c r="AF3220">
        <v>-2.2811350040968699</v>
      </c>
      <c r="AG3220">
        <v>-1.109822921238</v>
      </c>
      <c r="AH3220">
        <v>20.098541580752801</v>
      </c>
      <c r="AI3220">
        <v>93.140488369680597</v>
      </c>
      <c r="AJ3220">
        <v>96.475220900169504</v>
      </c>
      <c r="AK3220">
        <v>20.258002307647899</v>
      </c>
      <c r="AL3220">
        <v>89.866903272466203</v>
      </c>
      <c r="AM3220">
        <v>92.177809420766195</v>
      </c>
      <c r="AN3220">
        <v>0.99999998713684002</v>
      </c>
    </row>
    <row r="3221" spans="1:40" x14ac:dyDescent="0.3">
      <c r="A3221" t="str">
        <f>"20200111160517593"</f>
        <v>20200111160517593</v>
      </c>
      <c r="B3221" t="str">
        <f>"1578729917584836"</f>
        <v>1578729917584836</v>
      </c>
      <c r="C3221" t="s">
        <v>40</v>
      </c>
      <c r="D3221">
        <v>5.7241229999999996</v>
      </c>
      <c r="E3221">
        <v>0.45668779999999998</v>
      </c>
      <c r="F3221" t="s">
        <v>57</v>
      </c>
      <c r="G3221">
        <v>-228.6386</v>
      </c>
      <c r="H3221" s="1">
        <v>2.9484929999999998E-6</v>
      </c>
      <c r="I3221">
        <v>217.1729</v>
      </c>
      <c r="J3221">
        <v>-246.8348</v>
      </c>
      <c r="K3221">
        <v>1.109842</v>
      </c>
      <c r="L3221">
        <v>214.661</v>
      </c>
      <c r="M3221">
        <v>0.99962399999999996</v>
      </c>
      <c r="N3221">
        <v>0</v>
      </c>
      <c r="O3221">
        <v>2.3410230000000001E-2</v>
      </c>
      <c r="P3221">
        <v>0.99801470000000003</v>
      </c>
      <c r="Q3221">
        <v>-1.2153529999999999E-2</v>
      </c>
      <c r="R3221">
        <v>6.1796719999999999E-2</v>
      </c>
      <c r="S3221">
        <v>2.9786380000000001</v>
      </c>
      <c r="T3221">
        <v>-0.1788402</v>
      </c>
      <c r="U3221">
        <v>0.405777</v>
      </c>
      <c r="V3221">
        <v>-3.8410970000000003E-2</v>
      </c>
      <c r="W3221">
        <v>2.1694330000000001E-3</v>
      </c>
      <c r="X3221">
        <v>0.99925969999999997</v>
      </c>
      <c r="Y3221">
        <v>-0.1115912</v>
      </c>
      <c r="Z3221">
        <v>1.934299E-3</v>
      </c>
      <c r="AA3221">
        <v>0.99375230000000003</v>
      </c>
      <c r="AB3221">
        <v>31</v>
      </c>
      <c r="AC3221">
        <v>18.196200000000001</v>
      </c>
      <c r="AD3221">
        <v>-1.109839051507</v>
      </c>
      <c r="AE3221">
        <v>2.5119000000000198</v>
      </c>
      <c r="AF3221">
        <v>-2.0776063693988802</v>
      </c>
      <c r="AG3221">
        <v>-1.109839051507</v>
      </c>
      <c r="AH3221">
        <v>18.1836417337123</v>
      </c>
      <c r="AI3221">
        <v>93.470194692541696</v>
      </c>
      <c r="AJ3221">
        <v>96.518171578932396</v>
      </c>
      <c r="AK3221">
        <v>18.335567011860299</v>
      </c>
      <c r="AL3221">
        <v>89.875700551210898</v>
      </c>
      <c r="AM3221">
        <v>92.201333121872096</v>
      </c>
      <c r="AN3221">
        <v>1.0000000285499799</v>
      </c>
    </row>
    <row r="3222" spans="1:40" x14ac:dyDescent="0.3">
      <c r="A3222" t="str">
        <f>"20200111160517616"</f>
        <v>20200111160517616</v>
      </c>
      <c r="B3222" t="str">
        <f>"1578729917604356"</f>
        <v>1578729917604356</v>
      </c>
      <c r="C3222" t="s">
        <v>40</v>
      </c>
      <c r="D3222">
        <v>6.2253569999999998</v>
      </c>
      <c r="E3222">
        <v>0.46166499999999999</v>
      </c>
      <c r="F3222" t="s">
        <v>69</v>
      </c>
      <c r="G3222">
        <v>-157.25</v>
      </c>
      <c r="H3222">
        <v>2.698264</v>
      </c>
      <c r="I3222">
        <v>230.50200000000001</v>
      </c>
      <c r="J3222">
        <v>-246.52979999999999</v>
      </c>
      <c r="K3222">
        <v>1.1098619999999999</v>
      </c>
      <c r="L3222">
        <v>214.66749999999999</v>
      </c>
      <c r="M3222">
        <v>0.9996389</v>
      </c>
      <c r="N3222">
        <v>0</v>
      </c>
      <c r="O3222">
        <v>2.2771599999999999E-2</v>
      </c>
      <c r="P3222">
        <v>0.99809749999999997</v>
      </c>
      <c r="Q3222">
        <v>-1.141525E-2</v>
      </c>
      <c r="R3222">
        <v>6.0593760000000003E-2</v>
      </c>
      <c r="S3222">
        <v>2.9740600000000001</v>
      </c>
      <c r="T3222">
        <v>5.273473E-2</v>
      </c>
      <c r="U3222">
        <v>0.52589419999999898</v>
      </c>
      <c r="V3222">
        <v>-3.7843399999999999E-2</v>
      </c>
      <c r="W3222">
        <v>2.903283E-3</v>
      </c>
      <c r="X3222">
        <v>0.99927940000000004</v>
      </c>
      <c r="Y3222">
        <v>-0.15163489999999999</v>
      </c>
      <c r="Z3222">
        <v>-9.3345940000000001E-4</v>
      </c>
      <c r="AA3222">
        <v>0.98843610000000004</v>
      </c>
      <c r="AB3222">
        <v>31</v>
      </c>
      <c r="AC3222">
        <v>89.279799999999994</v>
      </c>
      <c r="AD3222">
        <v>1.5884020000000001</v>
      </c>
      <c r="AE3222">
        <v>15.8345</v>
      </c>
      <c r="AF3222">
        <v>-13.7929096424019</v>
      </c>
      <c r="AG3222">
        <v>1.5884020000000001</v>
      </c>
      <c r="AH3222">
        <v>89.589765050911197</v>
      </c>
      <c r="AI3222">
        <v>88.996093370684505</v>
      </c>
      <c r="AJ3222">
        <v>98.752327713800199</v>
      </c>
      <c r="AK3222">
        <v>90.659215633020594</v>
      </c>
      <c r="AL3222">
        <v>89.833653892967902</v>
      </c>
      <c r="AM3222">
        <v>92.168794258264796</v>
      </c>
      <c r="AN3222">
        <v>0.99999993562004696</v>
      </c>
    </row>
    <row r="3223" spans="1:40" x14ac:dyDescent="0.3">
      <c r="A3223" t="str">
        <f>"20200111160517648"</f>
        <v>20200111160517648</v>
      </c>
      <c r="B3223" t="str">
        <f>"1578729917644372"</f>
        <v>1578729917644372</v>
      </c>
      <c r="C3223" t="s">
        <v>40</v>
      </c>
      <c r="D3223">
        <v>6.0752839999999999</v>
      </c>
      <c r="E3223">
        <v>0.46166499999999999</v>
      </c>
      <c r="F3223" t="s">
        <v>69</v>
      </c>
      <c r="G3223">
        <v>-157.25</v>
      </c>
      <c r="H3223">
        <v>2.2579319999999998</v>
      </c>
      <c r="I3223">
        <v>229.16909999999999</v>
      </c>
      <c r="J3223">
        <v>-246.09309999999999</v>
      </c>
      <c r="K3223">
        <v>1.1098809999999999</v>
      </c>
      <c r="L3223">
        <v>214.6764</v>
      </c>
      <c r="M3223">
        <v>0.99965890000000002</v>
      </c>
      <c r="N3223">
        <v>0</v>
      </c>
      <c r="O3223">
        <v>2.1872599999999999E-2</v>
      </c>
      <c r="P3223">
        <v>0.99823580000000001</v>
      </c>
      <c r="Q3223">
        <v>-1.018993E-2</v>
      </c>
      <c r="R3223">
        <v>5.8493030000000001E-2</v>
      </c>
      <c r="S3223">
        <v>2.976807</v>
      </c>
      <c r="T3223">
        <v>3.8281320000000001E-2</v>
      </c>
      <c r="U3223">
        <v>0.48352050000000002</v>
      </c>
      <c r="V3223">
        <v>-3.6637200000000002E-2</v>
      </c>
      <c r="W3223">
        <v>4.1249320000000004E-3</v>
      </c>
      <c r="X3223">
        <v>0.99932010000000004</v>
      </c>
      <c r="Y3223">
        <v>-0.13868849999999999</v>
      </c>
      <c r="Z3223">
        <v>-6.065911E-4</v>
      </c>
      <c r="AA3223">
        <v>0.99033590000000005</v>
      </c>
      <c r="AB3223">
        <v>31</v>
      </c>
      <c r="AC3223">
        <v>88.843099999999893</v>
      </c>
      <c r="AD3223">
        <v>1.1480509999999999</v>
      </c>
      <c r="AE3223">
        <v>14.4926999999999</v>
      </c>
      <c r="AF3223">
        <v>-12.5437643221616</v>
      </c>
      <c r="AG3223">
        <v>1.1480509999999999</v>
      </c>
      <c r="AH3223">
        <v>89.124370114713003</v>
      </c>
      <c r="AI3223">
        <v>89.269190196735806</v>
      </c>
      <c r="AJ3223">
        <v>98.011442448554405</v>
      </c>
      <c r="AK3223">
        <v>90.010096060457997</v>
      </c>
      <c r="AL3223">
        <v>89.7636581308698</v>
      </c>
      <c r="AM3223">
        <v>92.099644739047207</v>
      </c>
      <c r="AN3223">
        <v>0.99999998087592701</v>
      </c>
    </row>
    <row r="3224" spans="1:40" x14ac:dyDescent="0.3">
      <c r="A3224" t="str">
        <f>"20200111160517660"</f>
        <v>20200111160517660</v>
      </c>
      <c r="B3224" t="str">
        <f>"1578729917655108"</f>
        <v>1578729917655108</v>
      </c>
      <c r="C3224" t="s">
        <v>40</v>
      </c>
      <c r="D3224">
        <v>8.8385400000000001</v>
      </c>
      <c r="E3224">
        <v>0.5841944</v>
      </c>
      <c r="F3224" t="s">
        <v>69</v>
      </c>
      <c r="G3224">
        <v>-157.25</v>
      </c>
      <c r="H3224">
        <v>2.3603900000000002</v>
      </c>
      <c r="I3224">
        <v>228.91800000000001</v>
      </c>
      <c r="J3224">
        <v>-245.9075</v>
      </c>
      <c r="K3224">
        <v>1.1098939999999999</v>
      </c>
      <c r="L3224">
        <v>214.68</v>
      </c>
      <c r="M3224">
        <v>0.99966710000000003</v>
      </c>
      <c r="N3224">
        <v>0</v>
      </c>
      <c r="O3224">
        <v>2.1495420000000001E-2</v>
      </c>
      <c r="P3224">
        <v>0.99834579999999995</v>
      </c>
      <c r="Q3224">
        <v>-9.9085790000000007E-3</v>
      </c>
      <c r="R3224">
        <v>5.6636430000000001E-2</v>
      </c>
      <c r="S3224">
        <v>2.9777830000000001</v>
      </c>
      <c r="T3224">
        <v>4.191566E-2</v>
      </c>
      <c r="U3224">
        <v>0.47734070000000001</v>
      </c>
      <c r="V3224">
        <v>-3.5155649999999997E-2</v>
      </c>
      <c r="W3224">
        <v>4.4043559999999999E-3</v>
      </c>
      <c r="X3224">
        <v>0.99937209999999999</v>
      </c>
      <c r="Y3224">
        <v>-0.13700570000000001</v>
      </c>
      <c r="Z3224">
        <v>-6.5756880000000003E-4</v>
      </c>
      <c r="AA3224">
        <v>0.99057010000000001</v>
      </c>
      <c r="AB3224">
        <v>31</v>
      </c>
      <c r="AC3224">
        <v>88.657499999999999</v>
      </c>
      <c r="AD3224">
        <v>1.2504959999999901</v>
      </c>
      <c r="AE3224">
        <v>14.238</v>
      </c>
      <c r="AF3224">
        <v>-12.326394706166299</v>
      </c>
      <c r="AG3224">
        <v>1.2504959999999901</v>
      </c>
      <c r="AH3224">
        <v>88.925847608563103</v>
      </c>
      <c r="AI3224">
        <v>89.2019756067141</v>
      </c>
      <c r="AJ3224">
        <v>97.891727456914396</v>
      </c>
      <c r="AK3224">
        <v>89.7847989338931</v>
      </c>
      <c r="AL3224">
        <v>89.747648162793098</v>
      </c>
      <c r="AM3224">
        <v>92.014705152193102</v>
      </c>
      <c r="AN3224">
        <v>0.99999995616855197</v>
      </c>
    </row>
    <row r="3225" spans="1:40" x14ac:dyDescent="0.3">
      <c r="A3225" t="str">
        <f>"20200111160517683"</f>
        <v>20200111160517683</v>
      </c>
      <c r="B3225" t="str">
        <f>"1578729917674628"</f>
        <v>1578729917674628</v>
      </c>
      <c r="C3225" t="s">
        <v>40</v>
      </c>
      <c r="D3225">
        <v>5.700774</v>
      </c>
      <c r="E3225">
        <v>0.59824160000000004</v>
      </c>
      <c r="F3225" t="s">
        <v>56</v>
      </c>
      <c r="G3225">
        <v>-207.97970000000001</v>
      </c>
      <c r="H3225">
        <v>8.0000730000000006E-2</v>
      </c>
      <c r="I3225">
        <v>208.44540000000001</v>
      </c>
      <c r="J3225">
        <v>-245.60910000000001</v>
      </c>
      <c r="K3225">
        <v>1.10991</v>
      </c>
      <c r="L3225">
        <v>214.6858</v>
      </c>
      <c r="M3225">
        <v>0.99967980000000001</v>
      </c>
      <c r="N3225">
        <v>0</v>
      </c>
      <c r="O3225">
        <v>2.089326E-2</v>
      </c>
      <c r="P3225">
        <v>0.9984674</v>
      </c>
      <c r="Q3225">
        <v>-9.7560679999999997E-3</v>
      </c>
      <c r="R3225">
        <v>5.4478239999999997E-2</v>
      </c>
      <c r="S3225">
        <v>3.0324550000000001</v>
      </c>
      <c r="T3225">
        <v>-8.2343340000000001E-2</v>
      </c>
      <c r="U3225">
        <v>-0.49847409999999998</v>
      </c>
      <c r="V3225">
        <v>-3.3597299999999997E-2</v>
      </c>
      <c r="W3225">
        <v>4.5555120000000003E-3</v>
      </c>
      <c r="X3225">
        <v>0.99942509999999996</v>
      </c>
      <c r="Y3225">
        <v>0.18271299999999999</v>
      </c>
      <c r="Z3225">
        <v>-3.0274350000000002E-3</v>
      </c>
      <c r="AA3225">
        <v>0.98316159999999997</v>
      </c>
      <c r="AB3225">
        <v>31</v>
      </c>
      <c r="AC3225">
        <v>37.629399999999997</v>
      </c>
      <c r="AD3225">
        <v>-1.0299092700000001</v>
      </c>
      <c r="AE3225">
        <v>-6.2403999999999904</v>
      </c>
      <c r="AF3225">
        <v>7.0202003551064198</v>
      </c>
      <c r="AG3225">
        <v>-1.0299092700000001</v>
      </c>
      <c r="AH3225">
        <v>37.463475746224098</v>
      </c>
      <c r="AI3225">
        <v>91.547796054078503</v>
      </c>
      <c r="AJ3225">
        <v>79.386552071380294</v>
      </c>
      <c r="AK3225">
        <v>38.129462900992898</v>
      </c>
      <c r="AL3225">
        <v>89.7389874941492</v>
      </c>
      <c r="AM3225">
        <v>91.925365750196903</v>
      </c>
      <c r="AN3225">
        <v>1.00000003088344</v>
      </c>
    </row>
    <row r="3226" spans="1:40" x14ac:dyDescent="0.3">
      <c r="A3226" t="str">
        <f>"20200111160517705"</f>
        <v>20200111160517705</v>
      </c>
      <c r="B3226" t="str">
        <f>"1578729917695125"</f>
        <v>1578729917695125</v>
      </c>
      <c r="C3226" t="s">
        <v>40</v>
      </c>
      <c r="D3226">
        <v>6.1456520000000001</v>
      </c>
      <c r="E3226">
        <v>0.60423760000000004</v>
      </c>
      <c r="F3226" t="s">
        <v>56</v>
      </c>
      <c r="G3226">
        <v>-208.0693</v>
      </c>
      <c r="H3226">
        <v>8.0000699999999994E-2</v>
      </c>
      <c r="I3226">
        <v>207.05799999999999</v>
      </c>
      <c r="J3226">
        <v>-245.3056</v>
      </c>
      <c r="K3226">
        <v>1.1099239999999999</v>
      </c>
      <c r="L3226">
        <v>214.69139999999999</v>
      </c>
      <c r="M3226">
        <v>0.99969240000000004</v>
      </c>
      <c r="N3226">
        <v>0</v>
      </c>
      <c r="O3226">
        <v>2.0284739999999999E-2</v>
      </c>
      <c r="P3226">
        <v>0.9985908</v>
      </c>
      <c r="Q3226">
        <v>-9.5704910000000004E-3</v>
      </c>
      <c r="R3226">
        <v>5.2200379999999998E-2</v>
      </c>
      <c r="S3226">
        <v>3.0374759999999998</v>
      </c>
      <c r="T3226">
        <v>-8.3333489999999996E-2</v>
      </c>
      <c r="U3226">
        <v>-0.6171875</v>
      </c>
      <c r="V3226">
        <v>-3.1925439999999999E-2</v>
      </c>
      <c r="W3226">
        <v>4.7400460000000004E-3</v>
      </c>
      <c r="X3226">
        <v>0.99947900000000001</v>
      </c>
      <c r="Y3226">
        <v>0.21887509999999999</v>
      </c>
      <c r="Z3226">
        <v>-3.522617E-3</v>
      </c>
      <c r="AA3226">
        <v>0.97574649999999996</v>
      </c>
      <c r="AB3226">
        <v>31</v>
      </c>
      <c r="AC3226">
        <v>37.2363</v>
      </c>
      <c r="AD3226">
        <v>-1.0299233000000001</v>
      </c>
      <c r="AE3226">
        <v>-7.6333999999999902</v>
      </c>
      <c r="AF3226">
        <v>8.3810814707806696</v>
      </c>
      <c r="AG3226">
        <v>-1.0299233000000001</v>
      </c>
      <c r="AH3226">
        <v>37.046580903557903</v>
      </c>
      <c r="AI3226">
        <v>91.553224909700404</v>
      </c>
      <c r="AJ3226">
        <v>77.252506969365299</v>
      </c>
      <c r="AK3226">
        <v>37.996742298091903</v>
      </c>
      <c r="AL3226">
        <v>89.728414348856504</v>
      </c>
      <c r="AM3226">
        <v>91.829524427436198</v>
      </c>
      <c r="AN3226">
        <v>0.99999998659813705</v>
      </c>
    </row>
    <row r="3227" spans="1:40" x14ac:dyDescent="0.3">
      <c r="A3227" t="str">
        <f>"20200111160517728"</f>
        <v>20200111160517728</v>
      </c>
      <c r="B3227" t="str">
        <f>"1578729917724912"</f>
        <v>1578729917724912</v>
      </c>
      <c r="C3227" t="s">
        <v>40</v>
      </c>
      <c r="D3227">
        <v>5.6241269999999997</v>
      </c>
      <c r="E3227">
        <v>0.60720339999999995</v>
      </c>
      <c r="F3227" t="s">
        <v>56</v>
      </c>
      <c r="G3227">
        <v>-190.68199999999999</v>
      </c>
      <c r="H3227" s="1">
        <v>6.6987050000000003E-6</v>
      </c>
      <c r="I3227">
        <v>202.59450000000001</v>
      </c>
      <c r="J3227">
        <v>-244.995</v>
      </c>
      <c r="K3227">
        <v>1.1099330000000001</v>
      </c>
      <c r="L3227">
        <v>214.697</v>
      </c>
      <c r="M3227">
        <v>0.9997047</v>
      </c>
      <c r="N3227">
        <v>0</v>
      </c>
      <c r="O3227">
        <v>1.9664689999999999E-2</v>
      </c>
      <c r="P3227">
        <v>0.99869870000000005</v>
      </c>
      <c r="Q3227">
        <v>-9.4507080000000004E-3</v>
      </c>
      <c r="R3227">
        <v>5.0118450000000002E-2</v>
      </c>
      <c r="S3227">
        <v>3.0388030000000001</v>
      </c>
      <c r="T3227">
        <v>-6.1746599999999999E-2</v>
      </c>
      <c r="U3227">
        <v>-0.67297359999999995</v>
      </c>
      <c r="V3227">
        <v>-3.0461309999999998E-2</v>
      </c>
      <c r="W3227">
        <v>4.8587769999999999E-3</v>
      </c>
      <c r="X3227">
        <v>0.99952410000000003</v>
      </c>
      <c r="Y3227">
        <v>0.23533080000000001</v>
      </c>
      <c r="Z3227">
        <v>-2.757022E-3</v>
      </c>
      <c r="AA3227">
        <v>0.97191139999999998</v>
      </c>
      <c r="AB3227">
        <v>31</v>
      </c>
      <c r="AC3227">
        <v>54.312999999999903</v>
      </c>
      <c r="AD3227">
        <v>-1.109926301295</v>
      </c>
      <c r="AE3227">
        <v>-12.1024999999999</v>
      </c>
      <c r="AF3227">
        <v>13.163079322865601</v>
      </c>
      <c r="AG3227">
        <v>-1.109926301295</v>
      </c>
      <c r="AH3227">
        <v>54.0429774795264</v>
      </c>
      <c r="AI3227">
        <v>91.143155471447699</v>
      </c>
      <c r="AJ3227">
        <v>76.311187088493398</v>
      </c>
      <c r="AK3227">
        <v>55.6340004718963</v>
      </c>
      <c r="AL3227">
        <v>89.721611478588798</v>
      </c>
      <c r="AM3227">
        <v>91.745595199254794</v>
      </c>
      <c r="AN3227">
        <v>0.99999996280083003</v>
      </c>
    </row>
    <row r="3228" spans="1:40" x14ac:dyDescent="0.3">
      <c r="A3228" t="str">
        <f>"20200111160517751"</f>
        <v>20200111160517751</v>
      </c>
      <c r="B3228" t="str">
        <f>"1578729917744432"</f>
        <v>1578729917744432</v>
      </c>
      <c r="C3228" t="s">
        <v>40</v>
      </c>
      <c r="D3228">
        <v>5.5599420000000004</v>
      </c>
      <c r="E3228">
        <v>0.60926579999999997</v>
      </c>
      <c r="F3228" t="s">
        <v>57</v>
      </c>
      <c r="G3228">
        <v>-212.48159999999999</v>
      </c>
      <c r="H3228">
        <v>8.0001059999999999E-2</v>
      </c>
      <c r="I3228">
        <v>207.1944</v>
      </c>
      <c r="J3228">
        <v>-244.685</v>
      </c>
      <c r="K3228">
        <v>1.1099250000000001</v>
      </c>
      <c r="L3228">
        <v>214.70240000000001</v>
      </c>
      <c r="M3228">
        <v>0.99971679999999996</v>
      </c>
      <c r="N3228">
        <v>0</v>
      </c>
      <c r="O3228">
        <v>1.904571E-2</v>
      </c>
      <c r="P3228">
        <v>0.99878129999999998</v>
      </c>
      <c r="Q3228">
        <v>-1.042745E-2</v>
      </c>
      <c r="R3228">
        <v>4.8243710000000002E-2</v>
      </c>
      <c r="S3228">
        <v>3.0381619999999998</v>
      </c>
      <c r="T3228">
        <v>-9.6240160000000005E-2</v>
      </c>
      <c r="U3228">
        <v>-0.7010651</v>
      </c>
      <c r="V3228">
        <v>-2.9205539999999999E-2</v>
      </c>
      <c r="W3228">
        <v>3.880793E-3</v>
      </c>
      <c r="X3228">
        <v>0.99956590000000001</v>
      </c>
      <c r="Y3228">
        <v>0.2432386</v>
      </c>
      <c r="Z3228">
        <v>-4.3973689999999999E-3</v>
      </c>
      <c r="AA3228">
        <v>0.9699565</v>
      </c>
      <c r="AB3228">
        <v>30</v>
      </c>
      <c r="AC3228">
        <v>32.203400000000002</v>
      </c>
      <c r="AD3228">
        <v>-1.02992394</v>
      </c>
      <c r="AE3228">
        <v>-7.5080000000000098</v>
      </c>
      <c r="AF3228">
        <v>8.1121672639612594</v>
      </c>
      <c r="AG3228">
        <v>-1.02992394</v>
      </c>
      <c r="AH3228">
        <v>32.023481608234299</v>
      </c>
      <c r="AI3228">
        <v>91.785718268690403</v>
      </c>
      <c r="AJ3228">
        <v>75.784899871128701</v>
      </c>
      <c r="AK3228">
        <v>33.051041970769802</v>
      </c>
      <c r="AL3228">
        <v>89.777646383202395</v>
      </c>
      <c r="AM3228">
        <v>91.673604752604206</v>
      </c>
      <c r="AN3228">
        <v>1.0000000062818999</v>
      </c>
    </row>
    <row r="3229" spans="1:40" x14ac:dyDescent="0.3">
      <c r="A3229" t="str">
        <f>"20200111160517773"</f>
        <v>20200111160517773</v>
      </c>
      <c r="B3229" t="str">
        <f>"1578729917764928"</f>
        <v>1578729917764928</v>
      </c>
      <c r="C3229" t="s">
        <v>40</v>
      </c>
      <c r="D3229">
        <v>5.4313580000000004</v>
      </c>
      <c r="E3229">
        <v>0.61113799999999996</v>
      </c>
      <c r="F3229" t="s">
        <v>57</v>
      </c>
      <c r="G3229">
        <v>-210.43639999999999</v>
      </c>
      <c r="H3229">
        <v>8.0001680000000006E-2</v>
      </c>
      <c r="I3229">
        <v>206.5428</v>
      </c>
      <c r="J3229">
        <v>-244.37960000000001</v>
      </c>
      <c r="K3229">
        <v>1.1099220000000001</v>
      </c>
      <c r="L3229">
        <v>214.70760000000001</v>
      </c>
      <c r="M3229">
        <v>0.99972810000000001</v>
      </c>
      <c r="N3229">
        <v>0</v>
      </c>
      <c r="O3229">
        <v>1.8435420000000001E-2</v>
      </c>
      <c r="P3229">
        <v>0.99887749999999997</v>
      </c>
      <c r="Q3229">
        <v>-1.1951E-2</v>
      </c>
      <c r="R3229">
        <v>4.5837799999999998E-2</v>
      </c>
      <c r="S3229">
        <v>3.0376430000000001</v>
      </c>
      <c r="T3229">
        <v>-9.1348170000000006E-2</v>
      </c>
      <c r="U3229">
        <v>-0.72370909999999999</v>
      </c>
      <c r="V3229">
        <v>-2.741064E-2</v>
      </c>
      <c r="W3229">
        <v>2.3549220000000002E-3</v>
      </c>
      <c r="X3229">
        <v>0.99962150000000005</v>
      </c>
      <c r="Y3229">
        <v>0.24954129999999999</v>
      </c>
      <c r="Z3229">
        <v>-4.2464720000000003E-3</v>
      </c>
      <c r="AA3229">
        <v>0.96835479999999996</v>
      </c>
      <c r="AB3229">
        <v>30</v>
      </c>
      <c r="AC3229">
        <v>33.943199999999997</v>
      </c>
      <c r="AD3229">
        <v>-1.02992031999999</v>
      </c>
      <c r="AE3229">
        <v>-8.1648000000000103</v>
      </c>
      <c r="AF3229">
        <v>8.7815903865883307</v>
      </c>
      <c r="AG3229">
        <v>-1.02992031999999</v>
      </c>
      <c r="AH3229">
        <v>33.757513980184498</v>
      </c>
      <c r="AI3229">
        <v>91.691261753311693</v>
      </c>
      <c r="AJ3229">
        <v>75.418412521676998</v>
      </c>
      <c r="AK3229">
        <v>34.896229247666902</v>
      </c>
      <c r="AL3229">
        <v>89.865072785773194</v>
      </c>
      <c r="AM3229">
        <v>91.570715049306898</v>
      </c>
      <c r="AN3229">
        <v>1.00000001605254</v>
      </c>
    </row>
    <row r="3230" spans="1:40" x14ac:dyDescent="0.3">
      <c r="A3230" t="str">
        <f>"20200111160517795"</f>
        <v>20200111160517795</v>
      </c>
      <c r="B3230" t="str">
        <f>"1578729917784451"</f>
        <v>1578729917784451</v>
      </c>
      <c r="C3230" t="s">
        <v>40</v>
      </c>
      <c r="D3230">
        <v>5.4603640000000002</v>
      </c>
      <c r="E3230">
        <v>0.61243749999999997</v>
      </c>
      <c r="F3230" t="s">
        <v>57</v>
      </c>
      <c r="G3230">
        <v>-218.22669999999999</v>
      </c>
      <c r="H3230">
        <v>8.0000799999999997E-2</v>
      </c>
      <c r="I3230">
        <v>208.29400000000001</v>
      </c>
      <c r="J3230">
        <v>-244.09</v>
      </c>
      <c r="K3230">
        <v>1.1099129999999999</v>
      </c>
      <c r="L3230">
        <v>214.7123</v>
      </c>
      <c r="M3230">
        <v>0.99973880000000004</v>
      </c>
      <c r="N3230">
        <v>0</v>
      </c>
      <c r="O3230">
        <v>1.7855650000000001E-2</v>
      </c>
      <c r="P3230">
        <v>0.99899769999999999</v>
      </c>
      <c r="Q3230">
        <v>-1.2879740000000001E-2</v>
      </c>
      <c r="R3230">
        <v>4.2870829999999999E-2</v>
      </c>
      <c r="S3230">
        <v>3.0361020000000001</v>
      </c>
      <c r="T3230">
        <v>-0.1195645</v>
      </c>
      <c r="U3230">
        <v>-0.74455260000000001</v>
      </c>
      <c r="V3230">
        <v>-2.5022550000000001E-2</v>
      </c>
      <c r="W3230">
        <v>1.423183E-3</v>
      </c>
      <c r="X3230">
        <v>0.99968590000000002</v>
      </c>
      <c r="Y3230">
        <v>0.25528139999999999</v>
      </c>
      <c r="Z3230">
        <v>-5.6444529999999998E-3</v>
      </c>
      <c r="AA3230">
        <v>0.96685030000000005</v>
      </c>
      <c r="AB3230">
        <v>30</v>
      </c>
      <c r="AC3230">
        <v>25.863299999999999</v>
      </c>
      <c r="AD3230">
        <v>-1.0299121999999901</v>
      </c>
      <c r="AE3230">
        <v>-6.4182999999999799</v>
      </c>
      <c r="AF3230">
        <v>6.86886921225355</v>
      </c>
      <c r="AG3230">
        <v>-1.0299121999999901</v>
      </c>
      <c r="AH3230">
        <v>25.706162746387299</v>
      </c>
      <c r="AI3230">
        <v>92.2166293895975</v>
      </c>
      <c r="AJ3230">
        <v>75.039677875653794</v>
      </c>
      <c r="AK3230">
        <v>26.627971881810801</v>
      </c>
      <c r="AL3230">
        <v>89.918457595223401</v>
      </c>
      <c r="AM3230">
        <v>91.433837576720094</v>
      </c>
      <c r="AN3230">
        <v>1.00000002605858</v>
      </c>
    </row>
    <row r="3231" spans="1:40" x14ac:dyDescent="0.3">
      <c r="A3231" t="str">
        <f>"20200111160517829"</f>
        <v>20200111160517829</v>
      </c>
      <c r="B3231" t="str">
        <f>"1578729917824464"</f>
        <v>1578729917824464</v>
      </c>
      <c r="C3231" t="s">
        <v>40</v>
      </c>
      <c r="D3231">
        <v>5.451657</v>
      </c>
      <c r="E3231">
        <v>0.61413130000000005</v>
      </c>
      <c r="F3231" t="s">
        <v>57</v>
      </c>
      <c r="G3231">
        <v>-221.63030000000001</v>
      </c>
      <c r="H3231">
        <v>8.0001230000000007E-2</v>
      </c>
      <c r="I3231">
        <v>209.06460000000001</v>
      </c>
      <c r="J3231">
        <v>-243.63030000000001</v>
      </c>
      <c r="K3231">
        <v>1.109926</v>
      </c>
      <c r="L3231">
        <v>214.71940000000001</v>
      </c>
      <c r="M3231">
        <v>0.9997547</v>
      </c>
      <c r="N3231">
        <v>0</v>
      </c>
      <c r="O3231">
        <v>1.6933670000000001E-2</v>
      </c>
      <c r="P3231">
        <v>0.99910189999999999</v>
      </c>
      <c r="Q3231">
        <v>-1.3277250000000001E-2</v>
      </c>
      <c r="R3231">
        <v>4.0242989999999999E-2</v>
      </c>
      <c r="S3231">
        <v>3.0339510000000001</v>
      </c>
      <c r="T3231">
        <v>-0.1391249</v>
      </c>
      <c r="U3231">
        <v>-0.7629089</v>
      </c>
      <c r="V3231">
        <v>-2.3315990000000002E-2</v>
      </c>
      <c r="W3231">
        <v>1.0226409999999999E-3</v>
      </c>
      <c r="X3231">
        <v>0.99972760000000005</v>
      </c>
      <c r="Y3231">
        <v>0.25998070000000001</v>
      </c>
      <c r="Z3231">
        <v>-6.6312100000000002E-3</v>
      </c>
      <c r="AA3231">
        <v>0.96559110000000004</v>
      </c>
      <c r="AB3231">
        <v>30</v>
      </c>
      <c r="AC3231">
        <v>22</v>
      </c>
      <c r="AD3231">
        <v>-1.02992477</v>
      </c>
      <c r="AE3231">
        <v>-5.6547999999999901</v>
      </c>
      <c r="AF3231">
        <v>6.0142037278692904</v>
      </c>
      <c r="AG3231">
        <v>-1.02992477</v>
      </c>
      <c r="AH3231">
        <v>21.8561467475099</v>
      </c>
      <c r="AI3231">
        <v>92.601395618441899</v>
      </c>
      <c r="AJ3231">
        <v>74.6145771278686</v>
      </c>
      <c r="AK3231">
        <v>22.691904771545001</v>
      </c>
      <c r="AL3231">
        <v>89.941406975223202</v>
      </c>
      <c r="AM3231">
        <v>91.336029621459403</v>
      </c>
      <c r="AN3231">
        <v>0.99999997769302695</v>
      </c>
    </row>
    <row r="3232" spans="1:40" x14ac:dyDescent="0.3">
      <c r="A3232" t="str">
        <f>"20200111160517851"</f>
        <v>20200111160517851</v>
      </c>
      <c r="B3232" t="str">
        <f>"1578729917844959"</f>
        <v>1578729917844959</v>
      </c>
      <c r="C3232" t="s">
        <v>40</v>
      </c>
      <c r="D3232">
        <v>5.4426180000000004</v>
      </c>
      <c r="E3232">
        <v>0.61480959999999996</v>
      </c>
      <c r="F3232" t="s">
        <v>57</v>
      </c>
      <c r="G3232">
        <v>-223.8732</v>
      </c>
      <c r="H3232">
        <v>4.7180180000000002E-2</v>
      </c>
      <c r="I3232">
        <v>209.6163</v>
      </c>
      <c r="J3232">
        <v>-243.32599999999999</v>
      </c>
      <c r="K3232">
        <v>1.109939</v>
      </c>
      <c r="L3232">
        <v>214.72380000000001</v>
      </c>
      <c r="M3232">
        <v>0.99976500000000001</v>
      </c>
      <c r="N3232">
        <v>0</v>
      </c>
      <c r="O3232">
        <v>1.6322369999999999E-2</v>
      </c>
      <c r="P3232">
        <v>0.99919139999999995</v>
      </c>
      <c r="Q3232">
        <v>-1.185164E-2</v>
      </c>
      <c r="R3232">
        <v>3.8420650000000001E-2</v>
      </c>
      <c r="S3232">
        <v>3.032089</v>
      </c>
      <c r="T3232">
        <v>-0.1630972</v>
      </c>
      <c r="U3232">
        <v>-0.78315729999999995</v>
      </c>
      <c r="V3232">
        <v>-2.210175E-2</v>
      </c>
      <c r="W3232">
        <v>2.445998E-3</v>
      </c>
      <c r="X3232">
        <v>0.9997528</v>
      </c>
      <c r="Y3232">
        <v>0.26547209999999899</v>
      </c>
      <c r="Z3232">
        <v>-7.8835429999999998E-3</v>
      </c>
      <c r="AA3232">
        <v>0.96408629999999995</v>
      </c>
      <c r="AB3232">
        <v>30</v>
      </c>
      <c r="AC3232">
        <v>19.4528</v>
      </c>
      <c r="AD3232">
        <v>-1.06275882</v>
      </c>
      <c r="AE3232">
        <v>-5.1075000000000097</v>
      </c>
      <c r="AF3232">
        <v>5.4092635883223803</v>
      </c>
      <c r="AG3232">
        <v>-1.06275882</v>
      </c>
      <c r="AH3232">
        <v>19.3129066934085</v>
      </c>
      <c r="AI3232">
        <v>93.033221668611901</v>
      </c>
      <c r="AJ3232">
        <v>74.353215232539398</v>
      </c>
      <c r="AK3232">
        <v>20.084271304325199</v>
      </c>
      <c r="AL3232">
        <v>89.859854507361305</v>
      </c>
      <c r="AM3232">
        <v>91.266443821722305</v>
      </c>
      <c r="AN3232">
        <v>1.0000000656835499</v>
      </c>
    </row>
    <row r="3233" spans="1:40" x14ac:dyDescent="0.3">
      <c r="A3233" t="str">
        <f>"20200111160517872"</f>
        <v>20200111160517872</v>
      </c>
      <c r="B3233" t="str">
        <f>"1578729917864495"</f>
        <v>1578729917864495</v>
      </c>
      <c r="C3233" t="s">
        <v>40</v>
      </c>
      <c r="D3233">
        <v>5.4648659999999998</v>
      </c>
      <c r="E3233">
        <v>0.61531669999999905</v>
      </c>
      <c r="F3233" t="s">
        <v>57</v>
      </c>
      <c r="G3233">
        <v>-223.82060000000001</v>
      </c>
      <c r="H3233">
        <v>3.8410890000000003E-2</v>
      </c>
      <c r="I3233">
        <v>209.6163</v>
      </c>
      <c r="J3233">
        <v>-243.0359</v>
      </c>
      <c r="K3233">
        <v>1.1099479999999999</v>
      </c>
      <c r="L3233">
        <v>214.72800000000001</v>
      </c>
      <c r="M3233">
        <v>0.9997743</v>
      </c>
      <c r="N3233">
        <v>0</v>
      </c>
      <c r="O3233">
        <v>1.5739799999999901E-2</v>
      </c>
      <c r="P3233">
        <v>0.99927690000000002</v>
      </c>
      <c r="Q3233">
        <v>-1.030785E-2</v>
      </c>
      <c r="R3233">
        <v>3.6598209999999999E-2</v>
      </c>
      <c r="S3233">
        <v>3.0309910000000002</v>
      </c>
      <c r="T3233">
        <v>-0.16650709999999999</v>
      </c>
      <c r="U3233">
        <v>-0.79367069999999995</v>
      </c>
      <c r="V3233">
        <v>-2.085882E-2</v>
      </c>
      <c r="W3233">
        <v>3.987127E-3</v>
      </c>
      <c r="X3233">
        <v>0.99977450000000001</v>
      </c>
      <c r="Y3233">
        <v>0.26810719999999999</v>
      </c>
      <c r="Z3233">
        <v>-8.0871569999999993E-3</v>
      </c>
      <c r="AA3233">
        <v>0.96335510000000002</v>
      </c>
      <c r="AB3233">
        <v>30</v>
      </c>
      <c r="AC3233">
        <v>19.2152999999999</v>
      </c>
      <c r="AD3233">
        <v>-1.07153711</v>
      </c>
      <c r="AE3233">
        <v>-5.1116999999999804</v>
      </c>
      <c r="AF3233">
        <v>5.3978659975479797</v>
      </c>
      <c r="AG3233">
        <v>-1.07153711</v>
      </c>
      <c r="AH3233">
        <v>19.077050484664099</v>
      </c>
      <c r="AI3233">
        <v>93.093656672857307</v>
      </c>
      <c r="AJ3233">
        <v>74.201098835746507</v>
      </c>
      <c r="AK3233">
        <v>19.854949113508599</v>
      </c>
      <c r="AL3233">
        <v>89.771553849626201</v>
      </c>
      <c r="AM3233">
        <v>91.195218511731895</v>
      </c>
      <c r="AN3233">
        <v>1.0000000192018701</v>
      </c>
    </row>
    <row r="3234" spans="1:40" x14ac:dyDescent="0.3">
      <c r="A3234" t="str">
        <f>"20200111160517895"</f>
        <v>20200111160517895</v>
      </c>
      <c r="B3234" t="str">
        <f>"1578729917884976"</f>
        <v>1578729917884976</v>
      </c>
      <c r="C3234" t="s">
        <v>40</v>
      </c>
      <c r="D3234">
        <v>5.4432369999999999</v>
      </c>
      <c r="E3234">
        <v>0.61571629999999999</v>
      </c>
      <c r="F3234" t="s">
        <v>57</v>
      </c>
      <c r="G3234">
        <v>-223.74619999999999</v>
      </c>
      <c r="H3234">
        <v>3.9484329999999998E-2</v>
      </c>
      <c r="I3234">
        <v>209.6163</v>
      </c>
      <c r="J3234">
        <v>-242.73099999999999</v>
      </c>
      <c r="K3234">
        <v>1.1099490000000001</v>
      </c>
      <c r="L3234">
        <v>214.7321</v>
      </c>
      <c r="M3234">
        <v>0.99978389999999995</v>
      </c>
      <c r="N3234">
        <v>0</v>
      </c>
      <c r="O3234">
        <v>1.512731E-2</v>
      </c>
      <c r="P3234">
        <v>0.99935660000000004</v>
      </c>
      <c r="Q3234">
        <v>-1.1015550000000001E-2</v>
      </c>
      <c r="R3234">
        <v>3.414118E-2</v>
      </c>
      <c r="S3234">
        <v>3.029846</v>
      </c>
      <c r="T3234">
        <v>-0.16813829999999999</v>
      </c>
      <c r="U3234">
        <v>-0.80288700000000002</v>
      </c>
      <c r="V3234">
        <v>-1.9014369999999999E-2</v>
      </c>
      <c r="W3234">
        <v>3.2756909999999998E-3</v>
      </c>
      <c r="X3234">
        <v>0.99981390000000003</v>
      </c>
      <c r="Y3234">
        <v>0.27033559999999901</v>
      </c>
      <c r="Z3234">
        <v>-8.1934580000000007E-3</v>
      </c>
      <c r="AA3234">
        <v>0.96273129999999996</v>
      </c>
      <c r="AB3234">
        <v>30</v>
      </c>
      <c r="AC3234">
        <v>18.9848</v>
      </c>
      <c r="AD3234">
        <v>-1.07046467</v>
      </c>
      <c r="AE3234">
        <v>-5.1158000000000001</v>
      </c>
      <c r="AF3234">
        <v>5.3864667600661802</v>
      </c>
      <c r="AG3234">
        <v>-1.07046467</v>
      </c>
      <c r="AH3234">
        <v>18.849360114928501</v>
      </c>
      <c r="AI3234">
        <v>93.125515712481302</v>
      </c>
      <c r="AJ3234">
        <v>74.051975702761098</v>
      </c>
      <c r="AK3234">
        <v>19.633091847930402</v>
      </c>
      <c r="AL3234">
        <v>89.812316405485703</v>
      </c>
      <c r="AM3234">
        <v>91.089514594678704</v>
      </c>
      <c r="AN3234">
        <v>1.0000000555256101</v>
      </c>
    </row>
    <row r="3235" spans="1:40" x14ac:dyDescent="0.3">
      <c r="A3235" t="str">
        <f>"20200111160517918"</f>
        <v>20200111160517918</v>
      </c>
      <c r="B3235" t="str">
        <f>"1578729917914255"</f>
        <v>1578729917914255</v>
      </c>
      <c r="C3235" t="s">
        <v>40</v>
      </c>
      <c r="D3235">
        <v>5.6370809999999896</v>
      </c>
      <c r="E3235">
        <v>0.61537489999999995</v>
      </c>
      <c r="F3235" t="s">
        <v>57</v>
      </c>
      <c r="G3235">
        <v>-223.852</v>
      </c>
      <c r="H3235" s="1">
        <v>7.2957489999999997E-7</v>
      </c>
      <c r="I3235">
        <v>209.66329999999999</v>
      </c>
      <c r="J3235">
        <v>-242.42750000000001</v>
      </c>
      <c r="K3235">
        <v>1.109942</v>
      </c>
      <c r="L3235">
        <v>214.73599999999999</v>
      </c>
      <c r="M3235">
        <v>0.99979289999999998</v>
      </c>
      <c r="N3235">
        <v>0</v>
      </c>
      <c r="O3235">
        <v>1.4517499999999999E-2</v>
      </c>
      <c r="P3235">
        <v>0.99942129999999996</v>
      </c>
      <c r="Q3235">
        <v>-1.227783E-2</v>
      </c>
      <c r="R3235">
        <v>3.1723439999999999E-2</v>
      </c>
      <c r="S3235">
        <v>3.0277250000000002</v>
      </c>
      <c r="T3235">
        <v>-0.17800829999999901</v>
      </c>
      <c r="U3235">
        <v>-0.81291199999999997</v>
      </c>
      <c r="V3235">
        <v>-1.720704E-2</v>
      </c>
      <c r="W3235">
        <v>2.0096929999999999E-3</v>
      </c>
      <c r="X3235">
        <v>0.99984989999999996</v>
      </c>
      <c r="Y3235">
        <v>0.27283750000000001</v>
      </c>
      <c r="Z3235">
        <v>-8.7128780000000003E-3</v>
      </c>
      <c r="AA3235">
        <v>0.96202069999999995</v>
      </c>
      <c r="AB3235">
        <v>30</v>
      </c>
      <c r="AC3235">
        <v>18.575500000000002</v>
      </c>
      <c r="AD3235">
        <v>-1.1099412704250999</v>
      </c>
      <c r="AE3235">
        <v>-5.0726999999999904</v>
      </c>
      <c r="AF3235">
        <v>5.3241723045568303</v>
      </c>
      <c r="AG3235">
        <v>-1.1099412704250999</v>
      </c>
      <c r="AH3235">
        <v>18.438626888214401</v>
      </c>
      <c r="AI3235">
        <v>93.309944553677695</v>
      </c>
      <c r="AJ3235">
        <v>73.893872918839904</v>
      </c>
      <c r="AK3235">
        <v>19.223988708777</v>
      </c>
      <c r="AL3235">
        <v>89.884852992226399</v>
      </c>
      <c r="AM3235">
        <v>90.985941446221801</v>
      </c>
      <c r="AN3235">
        <v>0.99999997181076195</v>
      </c>
    </row>
    <row r="3236" spans="1:40" x14ac:dyDescent="0.3">
      <c r="A3236" t="str">
        <f>"20200111160517941"</f>
        <v>20200111160517941</v>
      </c>
      <c r="B3236" t="str">
        <f>"1578729917934751"</f>
        <v>1578729917934751</v>
      </c>
      <c r="C3236" t="s">
        <v>40</v>
      </c>
      <c r="D3236">
        <v>5.8922049999999997</v>
      </c>
      <c r="E3236">
        <v>0.54989739999999998</v>
      </c>
      <c r="F3236" t="s">
        <v>57</v>
      </c>
      <c r="G3236">
        <v>-224.40459999999999</v>
      </c>
      <c r="H3236" s="1">
        <v>1.0146349999999999E-6</v>
      </c>
      <c r="I3236">
        <v>209.86859999999999</v>
      </c>
      <c r="J3236">
        <v>-242.1123</v>
      </c>
      <c r="K3236">
        <v>1.109936</v>
      </c>
      <c r="L3236">
        <v>214.73990000000001</v>
      </c>
      <c r="M3236">
        <v>0.99980190000000002</v>
      </c>
      <c r="N3236">
        <v>0</v>
      </c>
      <c r="O3236">
        <v>1.3883680000000001E-2</v>
      </c>
      <c r="P3236">
        <v>0.99944630000000001</v>
      </c>
      <c r="Q3236">
        <v>-1.351421E-2</v>
      </c>
      <c r="R3236">
        <v>3.0410280000000001E-2</v>
      </c>
      <c r="S3236">
        <v>3.0253909999999999</v>
      </c>
      <c r="T3236">
        <v>-0.1863186</v>
      </c>
      <c r="U3236">
        <v>-0.81706239999999997</v>
      </c>
      <c r="V3236">
        <v>-1.652911E-2</v>
      </c>
      <c r="W3236">
        <v>7.7039410000000002E-4</v>
      </c>
      <c r="X3236">
        <v>0.9998631</v>
      </c>
      <c r="Y3236">
        <v>0.27359899999999998</v>
      </c>
      <c r="Z3236">
        <v>-9.1087819999999993E-3</v>
      </c>
      <c r="AA3236">
        <v>0.96180069999999995</v>
      </c>
      <c r="AB3236">
        <v>30</v>
      </c>
      <c r="AC3236">
        <v>17.707699999999999</v>
      </c>
      <c r="AD3236">
        <v>-1.109934985365</v>
      </c>
      <c r="AE3236">
        <v>-4.8713000000000104</v>
      </c>
      <c r="AF3236">
        <v>5.0980827564172202</v>
      </c>
      <c r="AG3236">
        <v>-1.109934985365</v>
      </c>
      <c r="AH3236">
        <v>17.574165058772699</v>
      </c>
      <c r="AI3236">
        <v>93.471111892098804</v>
      </c>
      <c r="AJ3236">
        <v>73.823104912963402</v>
      </c>
      <c r="AK3236">
        <v>18.332312483044898</v>
      </c>
      <c r="AL3236">
        <v>89.955859665665599</v>
      </c>
      <c r="AM3236">
        <v>90.947091641327106</v>
      </c>
      <c r="AN3236">
        <v>1.0000000118630299</v>
      </c>
    </row>
    <row r="3237" spans="1:40" x14ac:dyDescent="0.3">
      <c r="A3237" t="str">
        <f>"20200111160517963"</f>
        <v>20200111160517963</v>
      </c>
      <c r="B3237" t="str">
        <f>"1578729917954272"</f>
        <v>1578729917954272</v>
      </c>
      <c r="C3237" t="s">
        <v>40</v>
      </c>
      <c r="D3237">
        <v>5.5880679999999998</v>
      </c>
      <c r="E3237">
        <v>0.549763</v>
      </c>
      <c r="F3237" t="s">
        <v>42</v>
      </c>
      <c r="G3237">
        <v>-241.34280000000001</v>
      </c>
      <c r="H3237">
        <v>1.0455080000000001</v>
      </c>
      <c r="I3237">
        <v>214.6644</v>
      </c>
      <c r="J3237">
        <v>-241.8184</v>
      </c>
      <c r="K3237">
        <v>1.109928</v>
      </c>
      <c r="L3237">
        <v>214.7433</v>
      </c>
      <c r="M3237">
        <v>0.99980990000000003</v>
      </c>
      <c r="N3237">
        <v>0</v>
      </c>
      <c r="O3237">
        <v>1.3292709999999999E-2</v>
      </c>
      <c r="P3237">
        <v>0.99946120000000005</v>
      </c>
      <c r="Q3237">
        <v>-1.403154E-2</v>
      </c>
      <c r="R3237">
        <v>2.9673930000000001E-2</v>
      </c>
      <c r="S3237">
        <v>3.0072169999999998</v>
      </c>
      <c r="T3237">
        <v>-0.25186019999999998</v>
      </c>
      <c r="U3237">
        <v>-0.29458620000000002</v>
      </c>
      <c r="V3237">
        <v>-1.638417E-2</v>
      </c>
      <c r="W3237">
        <v>2.5016479999999999E-4</v>
      </c>
      <c r="X3237">
        <v>0.99986569999999997</v>
      </c>
      <c r="Y3237">
        <v>0.1102865</v>
      </c>
      <c r="Z3237">
        <v>-5.7083029999999996E-3</v>
      </c>
      <c r="AA3237">
        <v>0.99388339999999997</v>
      </c>
      <c r="AB3237">
        <v>30</v>
      </c>
      <c r="AC3237">
        <v>0.47559999999998498</v>
      </c>
      <c r="AD3237">
        <v>-6.4420000000000102E-2</v>
      </c>
      <c r="AE3237">
        <v>-7.8900000000004397E-2</v>
      </c>
      <c r="AF3237">
        <v>8.3720824252143999E-2</v>
      </c>
      <c r="AG3237">
        <v>-6.4420000000000102E-2</v>
      </c>
      <c r="AH3237">
        <v>0.46618519836641498</v>
      </c>
      <c r="AI3237">
        <v>97.745249076563397</v>
      </c>
      <c r="AJ3237">
        <v>79.818945716910605</v>
      </c>
      <c r="AK3237">
        <v>0.478003924658985</v>
      </c>
      <c r="AL3237">
        <v>89.985666612066197</v>
      </c>
      <c r="AM3237">
        <v>90.938785862617706</v>
      </c>
      <c r="AN3237">
        <v>0.999999960822752</v>
      </c>
    </row>
    <row r="3238" spans="1:40" x14ac:dyDescent="0.3">
      <c r="A3238" t="str">
        <f>"20200111160517985"</f>
        <v>20200111160517985</v>
      </c>
      <c r="B3238" t="str">
        <f>"1578729917974769"</f>
        <v>1578729917974769</v>
      </c>
      <c r="C3238" t="s">
        <v>40</v>
      </c>
      <c r="D3238">
        <v>5.4787229999999996</v>
      </c>
      <c r="E3238">
        <v>0.55004240000000004</v>
      </c>
      <c r="F3238" t="s">
        <v>42</v>
      </c>
      <c r="G3238">
        <v>-241.07239999999999</v>
      </c>
      <c r="H3238">
        <v>1.047506</v>
      </c>
      <c r="I3238">
        <v>214.66990000000001</v>
      </c>
      <c r="J3238">
        <v>-241.53110000000001</v>
      </c>
      <c r="K3238">
        <v>1.1099349999999999</v>
      </c>
      <c r="L3238">
        <v>214.7465</v>
      </c>
      <c r="M3238">
        <v>0.99981750000000003</v>
      </c>
      <c r="N3238">
        <v>0</v>
      </c>
      <c r="O3238">
        <v>1.271532E-2</v>
      </c>
      <c r="P3238">
        <v>0.99945930000000005</v>
      </c>
      <c r="Q3238">
        <v>-1.4216029999999999E-2</v>
      </c>
      <c r="R3238">
        <v>2.9651489999999999E-2</v>
      </c>
      <c r="S3238">
        <v>3.0068820000000001</v>
      </c>
      <c r="T3238">
        <v>-0.251577299999999</v>
      </c>
      <c r="U3238">
        <v>-0.29595949999999999</v>
      </c>
      <c r="V3238">
        <v>-1.6939610000000001E-2</v>
      </c>
      <c r="W3238" s="1">
        <v>6.431699E-5</v>
      </c>
      <c r="X3238">
        <v>0.99985650000000004</v>
      </c>
      <c r="Y3238">
        <v>0.1101762</v>
      </c>
      <c r="Z3238">
        <v>-5.6496979999999999E-3</v>
      </c>
      <c r="AA3238">
        <v>0.993896</v>
      </c>
      <c r="AB3238">
        <v>30</v>
      </c>
      <c r="AC3238">
        <v>0.45870000000002098</v>
      </c>
      <c r="AD3238">
        <v>-6.2428999999999998E-2</v>
      </c>
      <c r="AE3238">
        <v>-7.6599999999984902E-2</v>
      </c>
      <c r="AF3238">
        <v>8.0967825229325094E-2</v>
      </c>
      <c r="AG3238">
        <v>-6.2428999999999998E-2</v>
      </c>
      <c r="AH3238">
        <v>0.44958697707116602</v>
      </c>
      <c r="AI3238">
        <v>97.781838186243803</v>
      </c>
      <c r="AJ3238">
        <v>79.790820918101701</v>
      </c>
      <c r="AK3238">
        <v>0.46106574229209002</v>
      </c>
      <c r="AL3238">
        <v>89.996314907873597</v>
      </c>
      <c r="AM3238">
        <v>90.970614597162594</v>
      </c>
      <c r="AN3238">
        <v>0.99999998755793795</v>
      </c>
    </row>
    <row r="3239" spans="1:40" x14ac:dyDescent="0.3">
      <c r="A3239" t="str">
        <f>"20200111160518007"</f>
        <v>20200111160518007</v>
      </c>
      <c r="B3239" t="str">
        <f>"1578729918005024"</f>
        <v>1578729918005024</v>
      </c>
      <c r="C3239" t="s">
        <v>40</v>
      </c>
      <c r="D3239">
        <v>5.4824890000000002</v>
      </c>
      <c r="E3239">
        <v>0.54907569999999895</v>
      </c>
      <c r="F3239" t="s">
        <v>42</v>
      </c>
      <c r="G3239">
        <v>-240.54730000000001</v>
      </c>
      <c r="H3239">
        <v>1.0269980000000001</v>
      </c>
      <c r="I3239">
        <v>214.649</v>
      </c>
      <c r="J3239">
        <v>-241.2226</v>
      </c>
      <c r="K3239">
        <v>1.109942</v>
      </c>
      <c r="L3239">
        <v>214.74969999999999</v>
      </c>
      <c r="M3239">
        <v>0.99982530000000003</v>
      </c>
      <c r="N3239">
        <v>0</v>
      </c>
      <c r="O3239">
        <v>1.209467E-2</v>
      </c>
      <c r="P3239">
        <v>0.99945070000000003</v>
      </c>
      <c r="Q3239">
        <v>-1.404713E-2</v>
      </c>
      <c r="R3239">
        <v>3.001999E-2</v>
      </c>
      <c r="S3239">
        <v>3.0068510000000002</v>
      </c>
      <c r="T3239">
        <v>-0.25344470000000002</v>
      </c>
      <c r="U3239">
        <v>-0.29812620000000001</v>
      </c>
      <c r="V3239">
        <v>-1.792794E-2</v>
      </c>
      <c r="W3239">
        <v>2.3156810000000001E-4</v>
      </c>
      <c r="X3239">
        <v>0.99983920000000004</v>
      </c>
      <c r="Y3239">
        <v>0.1102651</v>
      </c>
      <c r="Z3239">
        <v>-5.6429660000000001E-3</v>
      </c>
      <c r="AA3239">
        <v>0.99388620000000005</v>
      </c>
      <c r="AB3239">
        <v>30</v>
      </c>
      <c r="AC3239">
        <v>0.67529999999999202</v>
      </c>
      <c r="AD3239">
        <v>-8.2944000000000101E-2</v>
      </c>
      <c r="AE3239">
        <v>-0.10069999999998901</v>
      </c>
      <c r="AF3239">
        <v>0.107277796220219</v>
      </c>
      <c r="AG3239">
        <v>-8.2944000000000101E-2</v>
      </c>
      <c r="AH3239">
        <v>0.66422988924750603</v>
      </c>
      <c r="AI3239">
        <v>97.027680813300904</v>
      </c>
      <c r="AJ3239">
        <v>80.825551800246501</v>
      </c>
      <c r="AK3239">
        <v>0.67793036402540696</v>
      </c>
      <c r="AL3239">
        <v>89.9867321243552</v>
      </c>
      <c r="AM3239">
        <v>91.027250414427499</v>
      </c>
      <c r="AN3239">
        <v>0.99999994525653202</v>
      </c>
    </row>
    <row r="3240" spans="1:40" x14ac:dyDescent="0.3">
      <c r="A3240" t="str">
        <f>"20200111160518030"</f>
        <v>20200111160518030</v>
      </c>
      <c r="B3240" t="str">
        <f>"1578729918024546"</f>
        <v>1578729918024546</v>
      </c>
      <c r="C3240" t="s">
        <v>40</v>
      </c>
      <c r="D3240">
        <v>5.6517589999999904</v>
      </c>
      <c r="E3240">
        <v>0.54883719999999903</v>
      </c>
      <c r="F3240" t="s">
        <v>42</v>
      </c>
      <c r="G3240">
        <v>-240.2791</v>
      </c>
      <c r="H3240">
        <v>1.027957</v>
      </c>
      <c r="I3240">
        <v>214.6591</v>
      </c>
      <c r="J3240">
        <v>-240.91980000000001</v>
      </c>
      <c r="K3240">
        <v>1.10996299999999</v>
      </c>
      <c r="L3240">
        <v>214.7527</v>
      </c>
      <c r="M3240">
        <v>0.99983250000000001</v>
      </c>
      <c r="N3240">
        <v>0</v>
      </c>
      <c r="O3240">
        <v>1.148588E-2</v>
      </c>
      <c r="P3240">
        <v>0.99946080000000004</v>
      </c>
      <c r="Q3240">
        <v>-1.247816E-2</v>
      </c>
      <c r="R3240">
        <v>3.037722E-2</v>
      </c>
      <c r="S3240">
        <v>3.0066380000000001</v>
      </c>
      <c r="T3240">
        <v>-0.261328</v>
      </c>
      <c r="U3240">
        <v>-0.28855900000000001</v>
      </c>
      <c r="V3240">
        <v>-1.8892389999999998E-2</v>
      </c>
      <c r="W3240">
        <v>1.799408E-3</v>
      </c>
      <c r="X3240">
        <v>0.99981989999999998</v>
      </c>
      <c r="Y3240">
        <v>0.1065222</v>
      </c>
      <c r="Z3240">
        <v>-5.6044459999999999E-3</v>
      </c>
      <c r="AA3240">
        <v>0.99429449999999997</v>
      </c>
      <c r="AB3240">
        <v>30</v>
      </c>
      <c r="AC3240">
        <v>0.64070000000000904</v>
      </c>
      <c r="AD3240">
        <v>-8.2005999999999801E-2</v>
      </c>
      <c r="AE3240">
        <v>-9.3600000000009204E-2</v>
      </c>
      <c r="AF3240">
        <v>9.9359821037573196E-2</v>
      </c>
      <c r="AG3240">
        <v>-8.2005999999999801E-2</v>
      </c>
      <c r="AH3240">
        <v>0.62948545159227398</v>
      </c>
      <c r="AI3240">
        <v>97.332611014056496</v>
      </c>
      <c r="AJ3240">
        <v>81.030270144082493</v>
      </c>
      <c r="AK3240">
        <v>0.64253349472144095</v>
      </c>
      <c r="AL3240">
        <v>89.896901459965207</v>
      </c>
      <c r="AM3240">
        <v>91.082520370974095</v>
      </c>
      <c r="AN3240">
        <v>0.999999996352536</v>
      </c>
    </row>
    <row r="3241" spans="1:40" x14ac:dyDescent="0.3">
      <c r="A3241" t="str">
        <f>"20200111160518051"</f>
        <v>20200111160518051</v>
      </c>
      <c r="B3241" t="str">
        <f>"1578729918045039"</f>
        <v>1578729918045039</v>
      </c>
      <c r="C3241" t="s">
        <v>40</v>
      </c>
      <c r="D3241">
        <v>5.3655689999999998</v>
      </c>
      <c r="E3241">
        <v>0.54883000000000004</v>
      </c>
      <c r="F3241" t="s">
        <v>42</v>
      </c>
      <c r="G3241">
        <v>-240.0095</v>
      </c>
      <c r="H3241">
        <v>1.032486</v>
      </c>
      <c r="I3241">
        <v>214.6662</v>
      </c>
      <c r="J3241">
        <v>-240.62389999999999</v>
      </c>
      <c r="K3241">
        <v>1.1099810000000001</v>
      </c>
      <c r="L3241">
        <v>214.75540000000001</v>
      </c>
      <c r="M3241">
        <v>0.99983909999999998</v>
      </c>
      <c r="N3241">
        <v>0</v>
      </c>
      <c r="O3241">
        <v>1.089237E-2</v>
      </c>
      <c r="P3241">
        <v>0.9994807</v>
      </c>
      <c r="Q3241">
        <v>-1.1032419999999999E-2</v>
      </c>
      <c r="R3241">
        <v>3.0278280000000001E-2</v>
      </c>
      <c r="S3241">
        <v>3.0071110000000001</v>
      </c>
      <c r="T3241">
        <v>-0.25597009999999998</v>
      </c>
      <c r="U3241">
        <v>-0.28543089999999999</v>
      </c>
      <c r="V3241">
        <v>-1.9384800000000001E-2</v>
      </c>
      <c r="W3241">
        <v>3.2427889999999998E-3</v>
      </c>
      <c r="X3241">
        <v>0.9998068</v>
      </c>
      <c r="Y3241">
        <v>0.104917899999999</v>
      </c>
      <c r="Z3241">
        <v>-5.3710260000000001E-3</v>
      </c>
      <c r="AA3241">
        <v>0.99446639999999997</v>
      </c>
      <c r="AB3241">
        <v>30</v>
      </c>
      <c r="AC3241">
        <v>0.61439999999998895</v>
      </c>
      <c r="AD3241">
        <v>-7.74949999999998E-2</v>
      </c>
      <c r="AE3241">
        <v>-8.9200000000005206E-2</v>
      </c>
      <c r="AF3241">
        <v>9.4416585708698597E-2</v>
      </c>
      <c r="AG3241">
        <v>-7.74949999999998E-2</v>
      </c>
      <c r="AH3241">
        <v>0.60398141215606704</v>
      </c>
      <c r="AI3241">
        <v>97.224699234886799</v>
      </c>
      <c r="AJ3241">
        <v>81.115220997314793</v>
      </c>
      <c r="AK3241">
        <v>0.61620898477052799</v>
      </c>
      <c r="AL3241">
        <v>89.814201543705806</v>
      </c>
      <c r="AM3241">
        <v>91.110742681152999</v>
      </c>
      <c r="AN3241">
        <v>0.99999996173888805</v>
      </c>
    </row>
    <row r="3242" spans="1:40" x14ac:dyDescent="0.3">
      <c r="A3242" t="str">
        <f>"20200111160518073"</f>
        <v>20200111160518073</v>
      </c>
      <c r="B3242" t="str">
        <f>"1578729918064559"</f>
        <v>1578729918064559</v>
      </c>
      <c r="C3242" t="s">
        <v>40</v>
      </c>
      <c r="D3242">
        <v>5.3028380000000004</v>
      </c>
      <c r="E3242">
        <v>0.54881440000000004</v>
      </c>
      <c r="F3242" t="s">
        <v>42</v>
      </c>
      <c r="G3242">
        <v>-239.7406</v>
      </c>
      <c r="H3242">
        <v>1.0360879999999999</v>
      </c>
      <c r="I3242">
        <v>214.6712</v>
      </c>
      <c r="J3242">
        <v>-240.33609999999999</v>
      </c>
      <c r="K3242">
        <v>1.1099920000000001</v>
      </c>
      <c r="L3242">
        <v>214.75790000000001</v>
      </c>
      <c r="M3242">
        <v>0.99984519999999999</v>
      </c>
      <c r="N3242">
        <v>0</v>
      </c>
      <c r="O3242">
        <v>1.031951E-2</v>
      </c>
      <c r="P3242">
        <v>0.99950300000000003</v>
      </c>
      <c r="Q3242">
        <v>-1.119412E-2</v>
      </c>
      <c r="R3242">
        <v>2.9469140000000001E-2</v>
      </c>
      <c r="S3242">
        <v>3.007431</v>
      </c>
      <c r="T3242">
        <v>-0.2516813</v>
      </c>
      <c r="U3242">
        <v>-0.28573609999999999</v>
      </c>
      <c r="V3242">
        <v>-1.914834E-2</v>
      </c>
      <c r="W3242">
        <v>3.078281E-3</v>
      </c>
      <c r="X3242">
        <v>0.99981189999999998</v>
      </c>
      <c r="Y3242">
        <v>0.1044556</v>
      </c>
      <c r="Z3242">
        <v>-5.2137360000000001E-3</v>
      </c>
      <c r="AA3242">
        <v>0.99451590000000001</v>
      </c>
      <c r="AB3242">
        <v>30</v>
      </c>
      <c r="AC3242">
        <v>0.59549999999998704</v>
      </c>
      <c r="AD3242">
        <v>-7.3904000000000095E-2</v>
      </c>
      <c r="AE3242">
        <v>-8.6700000000007493E-2</v>
      </c>
      <c r="AF3242">
        <v>9.1461835061620603E-2</v>
      </c>
      <c r="AG3242">
        <v>-7.3904000000000095E-2</v>
      </c>
      <c r="AH3242">
        <v>0.58573929319027496</v>
      </c>
      <c r="AI3242">
        <v>97.105923317321697</v>
      </c>
      <c r="AJ3242">
        <v>81.125063407014494</v>
      </c>
      <c r="AK3242">
        <v>0.597425801314173</v>
      </c>
      <c r="AL3242">
        <v>89.823627209362996</v>
      </c>
      <c r="AM3242">
        <v>91.097191337927896</v>
      </c>
      <c r="AN3242">
        <v>0.99999998506013998</v>
      </c>
    </row>
    <row r="3243" spans="1:40" x14ac:dyDescent="0.3">
      <c r="A3243" t="str">
        <f>"20200111160518096"</f>
        <v>20200111160518096</v>
      </c>
      <c r="B3243" t="str">
        <f>"1578729918085056"</f>
        <v>1578729918085056</v>
      </c>
      <c r="C3243" t="s">
        <v>40</v>
      </c>
      <c r="D3243">
        <v>5.3268219999999999</v>
      </c>
      <c r="E3243">
        <v>0.54936509999999905</v>
      </c>
      <c r="F3243" t="s">
        <v>42</v>
      </c>
      <c r="G3243">
        <v>-239.47319999999999</v>
      </c>
      <c r="H3243">
        <v>1.0372189999999999</v>
      </c>
      <c r="I3243">
        <v>214.67509999999999</v>
      </c>
      <c r="J3243">
        <v>-240.03729999999999</v>
      </c>
      <c r="K3243">
        <v>1.109998</v>
      </c>
      <c r="L3243">
        <v>214.7604</v>
      </c>
      <c r="M3243">
        <v>0.99985119999999905</v>
      </c>
      <c r="N3243">
        <v>0</v>
      </c>
      <c r="O3243">
        <v>9.7312609999999997E-3</v>
      </c>
      <c r="P3243">
        <v>0.99953150000000002</v>
      </c>
      <c r="Q3243">
        <v>-1.2744800000000001E-2</v>
      </c>
      <c r="R3243">
        <v>2.7829639999999999E-2</v>
      </c>
      <c r="S3243">
        <v>3.0070950000000001</v>
      </c>
      <c r="T3243">
        <v>-0.2537702</v>
      </c>
      <c r="U3243">
        <v>-0.28773500000000002</v>
      </c>
      <c r="V3243">
        <v>-1.809908E-2</v>
      </c>
      <c r="W3243">
        <v>1.5228430000000001E-3</v>
      </c>
      <c r="X3243">
        <v>0.99983500000000003</v>
      </c>
      <c r="Y3243">
        <v>0.1045312</v>
      </c>
      <c r="Z3243">
        <v>-5.2109959999999999E-3</v>
      </c>
      <c r="AA3243">
        <v>0.99450799999999995</v>
      </c>
      <c r="AB3243">
        <v>30</v>
      </c>
      <c r="AC3243">
        <v>0.56409999999999605</v>
      </c>
      <c r="AD3243">
        <v>-7.2778999999999899E-2</v>
      </c>
      <c r="AE3243">
        <v>-8.5300000000017903E-2</v>
      </c>
      <c r="AF3243">
        <v>8.9332173193747699E-2</v>
      </c>
      <c r="AG3243">
        <v>-7.2778999999999899E-2</v>
      </c>
      <c r="AH3243">
        <v>0.55422395290016602</v>
      </c>
      <c r="AI3243">
        <v>97.386833492646204</v>
      </c>
      <c r="AJ3243">
        <v>80.843576366988998</v>
      </c>
      <c r="AK3243">
        <v>0.56607526882633097</v>
      </c>
      <c r="AL3243">
        <v>89.912747486154601</v>
      </c>
      <c r="AM3243">
        <v>91.037058764211807</v>
      </c>
      <c r="AN3243">
        <v>0.99999996148632297</v>
      </c>
    </row>
    <row r="3244" spans="1:40" x14ac:dyDescent="0.3">
      <c r="A3244" t="str">
        <f>"20200111160518119"</f>
        <v>20200111160518119</v>
      </c>
      <c r="B3244" t="str">
        <f>"1578729918114335"</f>
        <v>1578729918114335</v>
      </c>
      <c r="C3244" t="s">
        <v>40</v>
      </c>
      <c r="D3244">
        <v>5.2581230000000003</v>
      </c>
      <c r="E3244">
        <v>0.54909490000000005</v>
      </c>
      <c r="F3244" t="s">
        <v>42</v>
      </c>
      <c r="G3244">
        <v>-239.20609999999999</v>
      </c>
      <c r="H3244">
        <v>1.038435</v>
      </c>
      <c r="I3244">
        <v>214.678</v>
      </c>
      <c r="J3244">
        <v>-239.7287</v>
      </c>
      <c r="K3244">
        <v>1.110012</v>
      </c>
      <c r="L3244">
        <v>214.7627</v>
      </c>
      <c r="M3244">
        <v>0.99985690000000005</v>
      </c>
      <c r="N3244">
        <v>0</v>
      </c>
      <c r="O3244">
        <v>9.1341800000000004E-3</v>
      </c>
      <c r="P3244">
        <v>0.99959089999999995</v>
      </c>
      <c r="Q3244">
        <v>-1.339777E-2</v>
      </c>
      <c r="R3244">
        <v>2.52783E-2</v>
      </c>
      <c r="S3244">
        <v>3.0063629999999999</v>
      </c>
      <c r="T3244">
        <v>-0.25906849999999998</v>
      </c>
      <c r="U3244">
        <v>-0.2967224</v>
      </c>
      <c r="V3244">
        <v>-1.6144829999999999E-2</v>
      </c>
      <c r="W3244">
        <v>8.6433099999999998E-4</v>
      </c>
      <c r="X3244">
        <v>0.99986929999999996</v>
      </c>
      <c r="Y3244">
        <v>0.1068818</v>
      </c>
      <c r="Z3244">
        <v>-5.36952E-3</v>
      </c>
      <c r="AA3244">
        <v>0.99425719999999995</v>
      </c>
      <c r="AB3244">
        <v>30</v>
      </c>
      <c r="AC3244">
        <v>0.52260000000001094</v>
      </c>
      <c r="AD3244">
        <v>-7.1577000000000002E-2</v>
      </c>
      <c r="AE3244">
        <v>-8.4699999999997999E-2</v>
      </c>
      <c r="AF3244">
        <v>8.7864417336006695E-2</v>
      </c>
      <c r="AG3244">
        <v>-7.1577000000000002E-2</v>
      </c>
      <c r="AH3244">
        <v>0.51243771102234403</v>
      </c>
      <c r="AI3244">
        <v>97.838654801504504</v>
      </c>
      <c r="AJ3244">
        <v>80.270471482261101</v>
      </c>
      <c r="AK3244">
        <v>0.52481980759172497</v>
      </c>
      <c r="AL3244">
        <v>89.950477475919001</v>
      </c>
      <c r="AM3244">
        <v>90.925071146864994</v>
      </c>
      <c r="AN3244">
        <v>1.0000000098431401</v>
      </c>
    </row>
    <row r="3245" spans="1:40" x14ac:dyDescent="0.3">
      <c r="A3245" t="str">
        <f>"20200111160518141"</f>
        <v>20200111160518141</v>
      </c>
      <c r="B3245" t="str">
        <f>"1578729918134831"</f>
        <v>1578729918134831</v>
      </c>
      <c r="C3245" t="s">
        <v>40</v>
      </c>
      <c r="D3245">
        <v>5.6826730000000003</v>
      </c>
      <c r="E3245">
        <v>0.54894160000000003</v>
      </c>
      <c r="F3245" t="s">
        <v>42</v>
      </c>
      <c r="G3245">
        <v>-238.93870000000001</v>
      </c>
      <c r="H3245">
        <v>1.040964</v>
      </c>
      <c r="I3245">
        <v>214.6832</v>
      </c>
      <c r="J3245">
        <v>-239.43029999999999</v>
      </c>
      <c r="K3245">
        <v>1.110033</v>
      </c>
      <c r="L3245">
        <v>214.76480000000001</v>
      </c>
      <c r="M3245">
        <v>0.99986200000000003</v>
      </c>
      <c r="N3245">
        <v>0</v>
      </c>
      <c r="O3245">
        <v>8.5664350000000007E-3</v>
      </c>
      <c r="P3245">
        <v>0.9996777</v>
      </c>
      <c r="Q3245">
        <v>-1.189336E-2</v>
      </c>
      <c r="R3245">
        <v>2.2432899999999999E-2</v>
      </c>
      <c r="S3245">
        <v>3.0053559999999999</v>
      </c>
      <c r="T3245">
        <v>-0.26268059999999899</v>
      </c>
      <c r="U3245">
        <v>-0.30200199999999999</v>
      </c>
      <c r="V3245">
        <v>-1.386481E-2</v>
      </c>
      <c r="W3245">
        <v>2.3635050000000001E-3</v>
      </c>
      <c r="X3245">
        <v>0.99990109999999999</v>
      </c>
      <c r="Y3245">
        <v>0.1080648</v>
      </c>
      <c r="Z3245">
        <v>-5.4474959999999996E-3</v>
      </c>
      <c r="AA3245">
        <v>0.99412889999999998</v>
      </c>
      <c r="AB3245">
        <v>30</v>
      </c>
      <c r="AC3245">
        <v>0.491599999999977</v>
      </c>
      <c r="AD3245">
        <v>-6.9069000000000005E-2</v>
      </c>
      <c r="AE3245">
        <v>-8.1600000000008693E-2</v>
      </c>
      <c r="AF3245">
        <v>8.4191333700087398E-2</v>
      </c>
      <c r="AG3245">
        <v>-6.9069000000000005E-2</v>
      </c>
      <c r="AH3245">
        <v>0.48163050318527501</v>
      </c>
      <c r="AI3245">
        <v>98.040659390124702</v>
      </c>
      <c r="AJ3245">
        <v>80.084605507951196</v>
      </c>
      <c r="AK3245">
        <v>0.49378806084159299</v>
      </c>
      <c r="AL3245">
        <v>89.864581014519501</v>
      </c>
      <c r="AM3245">
        <v>90.794422757991398</v>
      </c>
      <c r="AN3245">
        <v>1.0000000144467101</v>
      </c>
    </row>
    <row r="3246" spans="1:40" x14ac:dyDescent="0.3">
      <c r="A3246" t="str">
        <f>"20200111160518163"</f>
        <v>20200111160518163</v>
      </c>
      <c r="B3246" t="str">
        <f>"1578729918154352"</f>
        <v>1578729918154352</v>
      </c>
      <c r="C3246" t="s">
        <v>40</v>
      </c>
      <c r="D3246">
        <v>5.223808</v>
      </c>
      <c r="E3246">
        <v>0.54913669999999903</v>
      </c>
      <c r="F3246" t="s">
        <v>42</v>
      </c>
      <c r="G3246">
        <v>-238.66970000000001</v>
      </c>
      <c r="H3246">
        <v>1.045164</v>
      </c>
      <c r="I3246">
        <v>214.68620000000001</v>
      </c>
      <c r="J3246">
        <v>-239.14850000000001</v>
      </c>
      <c r="K3246">
        <v>1.1100639999999999</v>
      </c>
      <c r="L3246">
        <v>214.76660000000001</v>
      </c>
      <c r="M3246">
        <v>0.99986629999999999</v>
      </c>
      <c r="N3246">
        <v>0</v>
      </c>
      <c r="O3246">
        <v>8.039203E-3</v>
      </c>
      <c r="P3246">
        <v>0.99975539999999996</v>
      </c>
      <c r="Q3246">
        <v>-8.8932349999999993E-3</v>
      </c>
      <c r="R3246">
        <v>2.0249679999999999E-2</v>
      </c>
      <c r="S3246">
        <v>3.0048680000000001</v>
      </c>
      <c r="T3246">
        <v>-0.25640180000000001</v>
      </c>
      <c r="U3246">
        <v>-0.30950929999999999</v>
      </c>
      <c r="V3246">
        <v>-1.2204949999999999E-2</v>
      </c>
      <c r="W3246">
        <v>5.3589730000000004E-3</v>
      </c>
      <c r="X3246">
        <v>0.99991110000000005</v>
      </c>
      <c r="Y3246">
        <v>0.1100303</v>
      </c>
      <c r="Z3246">
        <v>-5.3566350000000002E-3</v>
      </c>
      <c r="AA3246">
        <v>0.99391379999999996</v>
      </c>
      <c r="AB3246">
        <v>30</v>
      </c>
      <c r="AC3246">
        <v>0.478800000000006</v>
      </c>
      <c r="AD3246">
        <v>-6.4899999999999902E-2</v>
      </c>
      <c r="AE3246">
        <v>-8.0399999999997293E-2</v>
      </c>
      <c r="AF3246">
        <v>8.2767965904782401E-2</v>
      </c>
      <c r="AG3246">
        <v>-6.4899999999999902E-2</v>
      </c>
      <c r="AH3246">
        <v>0.46974416155092003</v>
      </c>
      <c r="AI3246">
        <v>97.748330400723404</v>
      </c>
      <c r="AJ3246">
        <v>80.007169248677101</v>
      </c>
      <c r="AK3246">
        <v>0.48137524187601499</v>
      </c>
      <c r="AL3246">
        <v>89.692951977596607</v>
      </c>
      <c r="AM3246">
        <v>90.699319568234998</v>
      </c>
      <c r="AN3246">
        <v>0.99999994364966205</v>
      </c>
    </row>
    <row r="3247" spans="1:40" x14ac:dyDescent="0.3">
      <c r="A3247" t="str">
        <f>"20200111160518185"</f>
        <v>20200111160518185</v>
      </c>
      <c r="B3247" t="str">
        <f>"1578729918174847"</f>
        <v>1578729918174847</v>
      </c>
      <c r="C3247" t="s">
        <v>40</v>
      </c>
      <c r="D3247">
        <v>5.2381460000000004</v>
      </c>
      <c r="E3247">
        <v>0.54932179999999997</v>
      </c>
      <c r="F3247" t="s">
        <v>42</v>
      </c>
      <c r="G3247">
        <v>-238.4008</v>
      </c>
      <c r="H3247">
        <v>1.0488879999999901</v>
      </c>
      <c r="I3247">
        <v>214.6875</v>
      </c>
      <c r="J3247">
        <v>-238.852</v>
      </c>
      <c r="K3247">
        <v>1.110088</v>
      </c>
      <c r="L3247">
        <v>214.76840000000001</v>
      </c>
      <c r="M3247">
        <v>0.9998707</v>
      </c>
      <c r="N3247">
        <v>0</v>
      </c>
      <c r="O3247">
        <v>7.4927569999999897E-3</v>
      </c>
      <c r="P3247">
        <v>0.99981140000000002</v>
      </c>
      <c r="Q3247">
        <v>-5.9589839999999996E-3</v>
      </c>
      <c r="R3247">
        <v>1.8500679999999999E-2</v>
      </c>
      <c r="S3247">
        <v>3.0049739999999998</v>
      </c>
      <c r="T3247">
        <v>-0.24588489999999999</v>
      </c>
      <c r="U3247">
        <v>-0.31785580000000002</v>
      </c>
      <c r="V3247">
        <v>-1.0998910000000001E-2</v>
      </c>
      <c r="W3247">
        <v>8.2881139999999992E-3</v>
      </c>
      <c r="X3247">
        <v>0.99990520000000005</v>
      </c>
      <c r="Y3247">
        <v>0.11224290000000001</v>
      </c>
      <c r="Z3247">
        <v>-5.1823429999999998E-3</v>
      </c>
      <c r="AA3247">
        <v>0.99366730000000003</v>
      </c>
      <c r="AB3247">
        <v>30</v>
      </c>
      <c r="AC3247">
        <v>0.45119999999999999</v>
      </c>
      <c r="AD3247">
        <v>-6.1200000000000102E-2</v>
      </c>
      <c r="AE3247">
        <v>-8.0900000000013905E-2</v>
      </c>
      <c r="AF3247">
        <v>8.2802865525439195E-2</v>
      </c>
      <c r="AG3247">
        <v>-6.1200000000000102E-2</v>
      </c>
      <c r="AH3247">
        <v>0.44269027938181998</v>
      </c>
      <c r="AI3247">
        <v>97.738465337344493</v>
      </c>
      <c r="AJ3247">
        <v>79.405548225440796</v>
      </c>
      <c r="AK3247">
        <v>0.454506807427983</v>
      </c>
      <c r="AL3247">
        <v>89.5251206292522</v>
      </c>
      <c r="AM3247">
        <v>90.630225451971697</v>
      </c>
      <c r="AN3247">
        <v>1.00000003892095</v>
      </c>
    </row>
    <row r="3248" spans="1:40" x14ac:dyDescent="0.3">
      <c r="A3248" t="str">
        <f>"20200111160518209"</f>
        <v>20200111160518209</v>
      </c>
      <c r="B3248" t="str">
        <f>"1578729918205104"</f>
        <v>1578729918205104</v>
      </c>
      <c r="C3248" t="s">
        <v>40</v>
      </c>
      <c r="D3248">
        <v>5.2882030000000002</v>
      </c>
      <c r="E3248">
        <v>0.54912640000000001</v>
      </c>
      <c r="F3248" t="s">
        <v>42</v>
      </c>
      <c r="G3248">
        <v>-237.88</v>
      </c>
      <c r="H3248">
        <v>1.0339179999999999</v>
      </c>
      <c r="I3248">
        <v>214.66329999999999</v>
      </c>
      <c r="J3248">
        <v>-238.54910000000001</v>
      </c>
      <c r="K3248">
        <v>1.1100989999999999</v>
      </c>
      <c r="L3248">
        <v>214.77010000000001</v>
      </c>
      <c r="M3248">
        <v>0.99987470000000001</v>
      </c>
      <c r="N3248">
        <v>0</v>
      </c>
      <c r="O3248">
        <v>6.9406149999999998E-3</v>
      </c>
      <c r="P3248">
        <v>0.99982890000000002</v>
      </c>
      <c r="Q3248">
        <v>-4.5451390000000001E-3</v>
      </c>
      <c r="R3248">
        <v>1.794082E-2</v>
      </c>
      <c r="S3248">
        <v>3.005188</v>
      </c>
      <c r="T3248">
        <v>-0.23554269999999999</v>
      </c>
      <c r="U3248">
        <v>-0.3246155</v>
      </c>
      <c r="V3248">
        <v>-1.098971E-2</v>
      </c>
      <c r="W3248">
        <v>9.6985430000000004E-3</v>
      </c>
      <c r="X3248">
        <v>0.99989260000000002</v>
      </c>
      <c r="Y3248">
        <v>0.1139257</v>
      </c>
      <c r="Z3248">
        <v>-4.9866670000000002E-3</v>
      </c>
      <c r="AA3248">
        <v>0.99347669999999999</v>
      </c>
      <c r="AB3248">
        <v>30</v>
      </c>
      <c r="AC3248">
        <v>0.66910000000001402</v>
      </c>
      <c r="AD3248">
        <v>-7.6180999999999804E-2</v>
      </c>
      <c r="AE3248">
        <v>-0.106800000000021</v>
      </c>
      <c r="AF3248">
        <v>0.11005070012228101</v>
      </c>
      <c r="AG3248">
        <v>-7.6180999999999804E-2</v>
      </c>
      <c r="AH3248">
        <v>0.65999942554130697</v>
      </c>
      <c r="AI3248">
        <v>96.495380884780104</v>
      </c>
      <c r="AJ3248">
        <v>80.533387342477297</v>
      </c>
      <c r="AK3248">
        <v>0.67343443858571705</v>
      </c>
      <c r="AL3248">
        <v>89.444305719905003</v>
      </c>
      <c r="AM3248">
        <v>90.6297062789629</v>
      </c>
      <c r="AN3248">
        <v>1.0000000234984801</v>
      </c>
    </row>
    <row r="3249" spans="1:40" x14ac:dyDescent="0.3">
      <c r="A3249" t="str">
        <f>"20200111160518231"</f>
        <v>20200111160518231</v>
      </c>
      <c r="B3249" t="str">
        <f>"1578729918224623"</f>
        <v>1578729918224623</v>
      </c>
      <c r="C3249" t="s">
        <v>40</v>
      </c>
      <c r="D3249">
        <v>5.2598089999999997</v>
      </c>
      <c r="E3249">
        <v>0.51039029999999996</v>
      </c>
      <c r="F3249" t="s">
        <v>42</v>
      </c>
      <c r="G3249">
        <v>-237.61330000000001</v>
      </c>
      <c r="H3249">
        <v>1.0382469999999999</v>
      </c>
      <c r="I3249">
        <v>214.6688</v>
      </c>
      <c r="J3249">
        <v>-238.24340000000001</v>
      </c>
      <c r="K3249">
        <v>1.110104</v>
      </c>
      <c r="L3249">
        <v>214.77160000000001</v>
      </c>
      <c r="M3249">
        <v>0.99987839999999995</v>
      </c>
      <c r="N3249">
        <v>0</v>
      </c>
      <c r="O3249">
        <v>6.3867719999999998E-3</v>
      </c>
      <c r="P3249">
        <v>0.99982680000000002</v>
      </c>
      <c r="Q3249">
        <v>-5.6994180000000004E-3</v>
      </c>
      <c r="R3249">
        <v>1.7716869999999999E-2</v>
      </c>
      <c r="S3249">
        <v>3.00528</v>
      </c>
      <c r="T3249">
        <v>-0.23087350000000001</v>
      </c>
      <c r="U3249">
        <v>-0.32469179999999997</v>
      </c>
      <c r="V3249">
        <v>-1.132119E-2</v>
      </c>
      <c r="W3249">
        <v>8.541781E-3</v>
      </c>
      <c r="X3249">
        <v>0.99989939999999999</v>
      </c>
      <c r="Y3249">
        <v>0.11341469999999999</v>
      </c>
      <c r="Z3249">
        <v>-4.8260330000000004E-3</v>
      </c>
      <c r="AA3249">
        <v>0.99353599999999997</v>
      </c>
      <c r="AB3249">
        <v>30</v>
      </c>
      <c r="AC3249">
        <v>0.630099999999998</v>
      </c>
      <c r="AD3249">
        <v>-7.1857000000000004E-2</v>
      </c>
      <c r="AE3249">
        <v>-0.102800000000001</v>
      </c>
      <c r="AF3249">
        <v>0.105486307064125</v>
      </c>
      <c r="AG3249">
        <v>-7.1857000000000004E-2</v>
      </c>
      <c r="AH3249">
        <v>0.62155659546987296</v>
      </c>
      <c r="AI3249">
        <v>96.502417857759994</v>
      </c>
      <c r="AJ3249">
        <v>80.367930947111702</v>
      </c>
      <c r="AK3249">
        <v>0.63452611514351898</v>
      </c>
      <c r="AL3249">
        <v>89.510586033294103</v>
      </c>
      <c r="AM3249">
        <v>90.648693948610301</v>
      </c>
      <c r="AN3249">
        <v>0.99999997074301294</v>
      </c>
    </row>
    <row r="3250" spans="1:40" x14ac:dyDescent="0.3">
      <c r="A3250" t="str">
        <f>"20200111160518252"</f>
        <v>20200111160518252</v>
      </c>
      <c r="B3250" t="str">
        <f>"1578729918245119"</f>
        <v>1578729918245119</v>
      </c>
      <c r="C3250" t="s">
        <v>40</v>
      </c>
      <c r="D3250">
        <v>5.2228399999999997</v>
      </c>
      <c r="E3250">
        <v>0.50436990000000004</v>
      </c>
      <c r="F3250" t="s">
        <v>42</v>
      </c>
      <c r="G3250">
        <v>-237.35290000000001</v>
      </c>
      <c r="H3250">
        <v>1.030894</v>
      </c>
      <c r="I3250">
        <v>214.76750000000001</v>
      </c>
      <c r="J3250">
        <v>-237.96459999999999</v>
      </c>
      <c r="K3250">
        <v>1.1101129999999999</v>
      </c>
      <c r="L3250">
        <v>214.77279999999999</v>
      </c>
      <c r="M3250">
        <v>0.99988160000000004</v>
      </c>
      <c r="N3250">
        <v>0</v>
      </c>
      <c r="O3250">
        <v>5.8826690000000001E-3</v>
      </c>
      <c r="P3250">
        <v>0.99981169999999997</v>
      </c>
      <c r="Q3250">
        <v>-7.4110829999999997E-3</v>
      </c>
      <c r="R3250">
        <v>1.794666E-2</v>
      </c>
      <c r="S3250">
        <v>2.9992369999999999</v>
      </c>
      <c r="T3250">
        <v>-0.26686910000000003</v>
      </c>
      <c r="U3250">
        <v>-1.350403E-2</v>
      </c>
      <c r="V3250">
        <v>-1.2056559999999999E-2</v>
      </c>
      <c r="W3250">
        <v>6.8276029999999998E-3</v>
      </c>
      <c r="X3250">
        <v>0.99990400000000002</v>
      </c>
      <c r="Y3250">
        <v>1.0321550000000001E-2</v>
      </c>
      <c r="Z3250">
        <v>-9.8074439999999989E-4</v>
      </c>
      <c r="AA3250">
        <v>0.99994620000000001</v>
      </c>
      <c r="AB3250">
        <v>30</v>
      </c>
      <c r="AC3250">
        <v>0.61169999999998403</v>
      </c>
      <c r="AD3250">
        <v>-7.9218999999999901E-2</v>
      </c>
      <c r="AE3250">
        <v>-5.2999999999769898E-3</v>
      </c>
      <c r="AF3250">
        <v>8.7519254961981995E-3</v>
      </c>
      <c r="AG3250">
        <v>-7.9218999999999901E-2</v>
      </c>
      <c r="AH3250">
        <v>0.60156953746514596</v>
      </c>
      <c r="AI3250">
        <v>97.501168909850406</v>
      </c>
      <c r="AJ3250">
        <v>89.166492004301801</v>
      </c>
      <c r="AK3250">
        <v>0.60682629686502598</v>
      </c>
      <c r="AL3250">
        <v>89.608804121792204</v>
      </c>
      <c r="AM3250">
        <v>90.690822847706798</v>
      </c>
      <c r="AN3250">
        <v>0.99999999300887898</v>
      </c>
    </row>
    <row r="3251" spans="1:40" x14ac:dyDescent="0.3">
      <c r="A3251" t="str">
        <f>"20200111160518275"</f>
        <v>20200111160518275</v>
      </c>
      <c r="B3251" t="str">
        <f>"1578729918264640"</f>
        <v>1578729918264640</v>
      </c>
      <c r="C3251" t="s">
        <v>40</v>
      </c>
      <c r="D3251">
        <v>5.1302320000000003</v>
      </c>
      <c r="E3251">
        <v>0.50299439999999995</v>
      </c>
      <c r="F3251" t="s">
        <v>42</v>
      </c>
      <c r="G3251">
        <v>-237.0907</v>
      </c>
      <c r="H3251">
        <v>1.0266839999999999</v>
      </c>
      <c r="I3251">
        <v>214.78319999999999</v>
      </c>
      <c r="J3251">
        <v>-237.6711</v>
      </c>
      <c r="K3251">
        <v>1.1101190000000001</v>
      </c>
      <c r="L3251">
        <v>214.7739</v>
      </c>
      <c r="M3251">
        <v>0.99988449999999995</v>
      </c>
      <c r="N3251">
        <v>0</v>
      </c>
      <c r="O3251">
        <v>5.3515610000000003E-3</v>
      </c>
      <c r="P3251">
        <v>0.99980469999999999</v>
      </c>
      <c r="Q3251">
        <v>-8.5437220000000001E-3</v>
      </c>
      <c r="R3251">
        <v>1.78255999999999E-2</v>
      </c>
      <c r="S3251">
        <v>2.997757</v>
      </c>
      <c r="T3251">
        <v>-0.28629909999999997</v>
      </c>
      <c r="U3251">
        <v>3.6376949999999998E-2</v>
      </c>
      <c r="V3251">
        <v>-1.246859E-2</v>
      </c>
      <c r="W3251">
        <v>5.6922759999999996E-3</v>
      </c>
      <c r="X3251">
        <v>0.99990610000000002</v>
      </c>
      <c r="Y3251">
        <v>-6.7754719999999899E-3</v>
      </c>
      <c r="Z3251">
        <v>-1.871671E-4</v>
      </c>
      <c r="AA3251">
        <v>0.99997709999999995</v>
      </c>
      <c r="AB3251">
        <v>30</v>
      </c>
      <c r="AC3251">
        <v>0.58039999999999703</v>
      </c>
      <c r="AD3251">
        <v>-8.3435000000000106E-2</v>
      </c>
      <c r="AE3251">
        <v>9.2999999999960892E-3</v>
      </c>
      <c r="AF3251">
        <v>-6.0681387720869897E-3</v>
      </c>
      <c r="AG3251">
        <v>-8.3435000000000106E-2</v>
      </c>
      <c r="AH3251">
        <v>0.56869228121662696</v>
      </c>
      <c r="AI3251">
        <v>98.346066266913397</v>
      </c>
      <c r="AJ3251">
        <v>90.611342123690406</v>
      </c>
      <c r="AK3251">
        <v>0.57481225826223303</v>
      </c>
      <c r="AL3251">
        <v>89.673854860552296</v>
      </c>
      <c r="AM3251">
        <v>90.714427643286498</v>
      </c>
      <c r="AN3251">
        <v>1.0000000382799199</v>
      </c>
    </row>
    <row r="3252" spans="1:40" x14ac:dyDescent="0.3">
      <c r="A3252" t="str">
        <f>"20200111160518296"</f>
        <v>20200111160518296</v>
      </c>
      <c r="B3252" t="str">
        <f>"1578729918294897"</f>
        <v>1578729918294897</v>
      </c>
      <c r="C3252" t="s">
        <v>40</v>
      </c>
      <c r="D3252">
        <v>5.1085450000000003</v>
      </c>
      <c r="E3252">
        <v>0.50091370000000002</v>
      </c>
      <c r="F3252" t="s">
        <v>42</v>
      </c>
      <c r="G3252">
        <v>-236.82769999999999</v>
      </c>
      <c r="H3252">
        <v>1.0249170000000001</v>
      </c>
      <c r="I3252">
        <v>214.78739999999999</v>
      </c>
      <c r="J3252">
        <v>-237.37639999999999</v>
      </c>
      <c r="K3252">
        <v>1.110115</v>
      </c>
      <c r="L3252">
        <v>214.7749</v>
      </c>
      <c r="M3252">
        <v>0.99988739999999998</v>
      </c>
      <c r="N3252">
        <v>0</v>
      </c>
      <c r="O3252">
        <v>4.8170490000000003E-3</v>
      </c>
      <c r="P3252">
        <v>0.9997895</v>
      </c>
      <c r="Q3252">
        <v>-9.7933499999999993E-3</v>
      </c>
      <c r="R3252">
        <v>1.8032989999999999E-2</v>
      </c>
      <c r="S3252">
        <v>2.997131</v>
      </c>
      <c r="T3252">
        <v>-0.30281560000000002</v>
      </c>
      <c r="U3252">
        <v>4.769897E-2</v>
      </c>
      <c r="V3252">
        <v>-1.3211509999999999E-2</v>
      </c>
      <c r="W3252">
        <v>4.4401190000000002E-3</v>
      </c>
      <c r="X3252">
        <v>0.99990279999999998</v>
      </c>
      <c r="Y3252">
        <v>-1.1063959999999999E-2</v>
      </c>
      <c r="Z3252" s="1">
        <v>7.2002089999999999E-5</v>
      </c>
      <c r="AA3252">
        <v>0.99993880000000002</v>
      </c>
      <c r="AB3252">
        <v>30</v>
      </c>
      <c r="AC3252">
        <v>0.54869999999999597</v>
      </c>
      <c r="AD3252">
        <v>-8.5197999999999802E-2</v>
      </c>
      <c r="AE3252">
        <v>1.24999999999886E-2</v>
      </c>
      <c r="AF3252">
        <v>-9.6245500974317198E-3</v>
      </c>
      <c r="AG3252">
        <v>-8.5197999999999802E-2</v>
      </c>
      <c r="AH3252">
        <v>0.53584165846143506</v>
      </c>
      <c r="AI3252">
        <v>99.032883760663793</v>
      </c>
      <c r="AJ3252">
        <v>91.029010718017005</v>
      </c>
      <c r="AK3252">
        <v>0.54265791628914695</v>
      </c>
      <c r="AL3252">
        <v>89.745599068077297</v>
      </c>
      <c r="AM3252">
        <v>90.756993298633901</v>
      </c>
      <c r="AN3252">
        <v>0.99999993405052401</v>
      </c>
    </row>
    <row r="3253" spans="1:40" x14ac:dyDescent="0.3">
      <c r="A3253" t="str">
        <f>"20200111160518320"</f>
        <v>20200111160518320</v>
      </c>
      <c r="B3253" t="str">
        <f>"1578729918314415"</f>
        <v>1578729918314415</v>
      </c>
      <c r="C3253" t="s">
        <v>40</v>
      </c>
      <c r="D3253">
        <v>5.1638979999999997</v>
      </c>
      <c r="E3253">
        <v>0.50010790000000005</v>
      </c>
      <c r="F3253" t="s">
        <v>42</v>
      </c>
      <c r="G3253">
        <v>-236.56299999999999</v>
      </c>
      <c r="H3253">
        <v>1.0257099999999999</v>
      </c>
      <c r="I3253">
        <v>214.79220000000001</v>
      </c>
      <c r="J3253">
        <v>-237.071</v>
      </c>
      <c r="K3253">
        <v>1.110117</v>
      </c>
      <c r="L3253">
        <v>214.7758</v>
      </c>
      <c r="M3253">
        <v>0.9998899</v>
      </c>
      <c r="N3253">
        <v>0</v>
      </c>
      <c r="O3253">
        <v>4.2627460000000004E-3</v>
      </c>
      <c r="P3253">
        <v>0.99978590000000001</v>
      </c>
      <c r="Q3253">
        <v>-1.062476E-2</v>
      </c>
      <c r="R3253">
        <v>1.7764820000000001E-2</v>
      </c>
      <c r="S3253">
        <v>2.9963989999999998</v>
      </c>
      <c r="T3253">
        <v>-0.3111178</v>
      </c>
      <c r="U3253">
        <v>6.4758300000000005E-2</v>
      </c>
      <c r="V3253">
        <v>-1.349859E-2</v>
      </c>
      <c r="W3253">
        <v>3.6056600000000001E-3</v>
      </c>
      <c r="X3253">
        <v>0.99990239999999997</v>
      </c>
      <c r="Y3253">
        <v>-1.72747E-2</v>
      </c>
      <c r="Z3253">
        <v>4.5290899999999998E-4</v>
      </c>
      <c r="AA3253">
        <v>0.99985069999999998</v>
      </c>
      <c r="AB3253">
        <v>29</v>
      </c>
      <c r="AC3253">
        <v>0.508000000000009</v>
      </c>
      <c r="AD3253">
        <v>-8.4406999999999899E-2</v>
      </c>
      <c r="AE3253">
        <v>1.6400000000004401E-2</v>
      </c>
      <c r="AF3253">
        <v>-1.38521305620609E-2</v>
      </c>
      <c r="AG3253">
        <v>-8.4406999999999899E-2</v>
      </c>
      <c r="AH3253">
        <v>0.49442947338709697</v>
      </c>
      <c r="AI3253">
        <v>99.684181709907804</v>
      </c>
      <c r="AJ3253">
        <v>91.604801299101396</v>
      </c>
      <c r="AK3253">
        <v>0.50177378102482595</v>
      </c>
      <c r="AL3253">
        <v>89.793410454299007</v>
      </c>
      <c r="AM3253">
        <v>90.773440745181006</v>
      </c>
      <c r="AN3253">
        <v>1.00000001112089</v>
      </c>
    </row>
    <row r="3254" spans="1:40" x14ac:dyDescent="0.3">
      <c r="A3254" t="str">
        <f>"20200111160518342"</f>
        <v>20200111160518342</v>
      </c>
      <c r="B3254" t="str">
        <f>"1578729918334911"</f>
        <v>1578729918334911</v>
      </c>
      <c r="C3254" t="s">
        <v>40</v>
      </c>
      <c r="D3254">
        <v>5.1466050000000001</v>
      </c>
      <c r="E3254">
        <v>0.49961499999999998</v>
      </c>
      <c r="F3254" t="s">
        <v>42</v>
      </c>
      <c r="G3254">
        <v>-236.2972</v>
      </c>
      <c r="H3254">
        <v>1.028645</v>
      </c>
      <c r="I3254">
        <v>214.7938</v>
      </c>
      <c r="J3254">
        <v>-236.77860000000001</v>
      </c>
      <c r="K3254">
        <v>1.1101110000000001</v>
      </c>
      <c r="L3254">
        <v>214.7764</v>
      </c>
      <c r="M3254">
        <v>0.99989209999999995</v>
      </c>
      <c r="N3254">
        <v>0</v>
      </c>
      <c r="O3254">
        <v>3.7314980000000002E-3</v>
      </c>
      <c r="P3254">
        <v>0.99978639999999996</v>
      </c>
      <c r="Q3254">
        <v>-1.096334E-2</v>
      </c>
      <c r="R3254">
        <v>1.753447E-2</v>
      </c>
      <c r="S3254">
        <v>2.9960330000000002</v>
      </c>
      <c r="T3254">
        <v>-0.31548310000000002</v>
      </c>
      <c r="U3254">
        <v>7.0388790000000007E-2</v>
      </c>
      <c r="V3254">
        <v>-1.379994E-2</v>
      </c>
      <c r="W3254">
        <v>3.2642470000000001E-3</v>
      </c>
      <c r="X3254">
        <v>0.99989939999999999</v>
      </c>
      <c r="Y3254">
        <v>-1.9668450000000001E-2</v>
      </c>
      <c r="Z3254">
        <v>6.4072510000000001E-4</v>
      </c>
      <c r="AA3254">
        <v>0.99980630000000004</v>
      </c>
      <c r="AB3254">
        <v>29</v>
      </c>
      <c r="AC3254">
        <v>0.48140000000000699</v>
      </c>
      <c r="AD3254">
        <v>-8.1465999999999997E-2</v>
      </c>
      <c r="AE3254">
        <v>1.7400000000009099E-2</v>
      </c>
      <c r="AF3254">
        <v>-1.51694991196917E-2</v>
      </c>
      <c r="AG3254">
        <v>-8.1465999999999997E-2</v>
      </c>
      <c r="AH3254">
        <v>0.46807442046833297</v>
      </c>
      <c r="AI3254">
        <v>99.868064963936703</v>
      </c>
      <c r="AJ3254">
        <v>91.856209487601106</v>
      </c>
      <c r="AK3254">
        <v>0.47535301193566498</v>
      </c>
      <c r="AL3254">
        <v>89.812972082472101</v>
      </c>
      <c r="AM3254">
        <v>90.790707668538403</v>
      </c>
      <c r="AN3254">
        <v>0.99999995188641899</v>
      </c>
    </row>
    <row r="3255" spans="1:40" x14ac:dyDescent="0.3">
      <c r="A3255" t="str">
        <f>"20200111160518361"</f>
        <v>20200111160518361</v>
      </c>
      <c r="B3255" t="str">
        <f>"1578729918354432"</f>
        <v>1578729918354432</v>
      </c>
      <c r="C3255" t="s">
        <v>40</v>
      </c>
      <c r="D3255">
        <v>5.1401870000000001</v>
      </c>
      <c r="E3255">
        <v>0.4994286</v>
      </c>
      <c r="F3255" t="s">
        <v>42</v>
      </c>
      <c r="G3255">
        <v>-236.03219999999999</v>
      </c>
      <c r="H3255">
        <v>1.0310839999999999</v>
      </c>
      <c r="I3255">
        <v>214.7946</v>
      </c>
      <c r="J3255">
        <v>-236.52799999999999</v>
      </c>
      <c r="K3255">
        <v>1.1101099999999999</v>
      </c>
      <c r="L3255">
        <v>214.77690000000001</v>
      </c>
      <c r="M3255">
        <v>0.9998937</v>
      </c>
      <c r="N3255">
        <v>0</v>
      </c>
      <c r="O3255">
        <v>3.2755190000000002E-3</v>
      </c>
      <c r="P3255">
        <v>0.99978619999999996</v>
      </c>
      <c r="Q3255">
        <v>-1.130052E-2</v>
      </c>
      <c r="R3255">
        <v>1.7313869999999999E-2</v>
      </c>
      <c r="S3255">
        <v>2.995911</v>
      </c>
      <c r="T3255">
        <v>-0.31727630000000001</v>
      </c>
      <c r="U3255">
        <v>7.3547360000000006E-2</v>
      </c>
      <c r="V3255">
        <v>-1.4035479999999999E-2</v>
      </c>
      <c r="W3255">
        <v>2.9247399999999999E-3</v>
      </c>
      <c r="X3255">
        <v>0.99989720000000004</v>
      </c>
      <c r="Y3255">
        <v>-2.1166879999999999E-2</v>
      </c>
      <c r="Z3255">
        <v>7.7162750000000005E-4</v>
      </c>
      <c r="AA3255">
        <v>0.99977559999999999</v>
      </c>
      <c r="AB3255">
        <v>29</v>
      </c>
      <c r="AC3255">
        <v>0.49580000000000202</v>
      </c>
      <c r="AD3255">
        <v>-7.9025999999999805E-2</v>
      </c>
      <c r="AE3255">
        <v>1.7699999999990699E-2</v>
      </c>
      <c r="AF3255">
        <v>-1.5677940566339799E-2</v>
      </c>
      <c r="AG3255">
        <v>-7.9025999999999805E-2</v>
      </c>
      <c r="AH3255">
        <v>0.48358525736391</v>
      </c>
      <c r="AI3255">
        <v>99.276272389701305</v>
      </c>
      <c r="AJ3255">
        <v>91.856891400286102</v>
      </c>
      <c r="AK3255">
        <v>0.49025055597737</v>
      </c>
      <c r="AL3255">
        <v>89.8324244995123</v>
      </c>
      <c r="AM3255">
        <v>90.804203628968196</v>
      </c>
      <c r="AN3255">
        <v>0.99999997968536802</v>
      </c>
    </row>
    <row r="3256" spans="1:40" x14ac:dyDescent="0.3">
      <c r="A3256" t="str">
        <f>"20200111160518374"</f>
        <v>20200111160518374</v>
      </c>
      <c r="B3256" t="str">
        <f>"1578729918364192"</f>
        <v>1578729918364192</v>
      </c>
      <c r="C3256" t="s">
        <v>40</v>
      </c>
      <c r="D3256">
        <v>5.2244250000000001</v>
      </c>
      <c r="E3256">
        <v>0.49927240000000001</v>
      </c>
      <c r="F3256" t="s">
        <v>42</v>
      </c>
      <c r="G3256">
        <v>-235.77119999999999</v>
      </c>
      <c r="H3256">
        <v>1.02911</v>
      </c>
      <c r="I3256">
        <v>214.7955</v>
      </c>
      <c r="J3256">
        <v>-236.35</v>
      </c>
      <c r="K3256">
        <v>1.110098</v>
      </c>
      <c r="L3256">
        <v>214.77709999999999</v>
      </c>
      <c r="M3256">
        <v>0.99989479999999997</v>
      </c>
      <c r="N3256">
        <v>0</v>
      </c>
      <c r="O3256">
        <v>2.9513709999999999E-3</v>
      </c>
      <c r="P3256">
        <v>0.99977800000000006</v>
      </c>
      <c r="Q3256">
        <v>-1.21621E-2</v>
      </c>
      <c r="R3256">
        <v>1.7220409999999998E-2</v>
      </c>
      <c r="S3256">
        <v>2.9957280000000002</v>
      </c>
      <c r="T3256">
        <v>-0.3207277</v>
      </c>
      <c r="U3256">
        <v>7.4417109999999995E-2</v>
      </c>
      <c r="V3256">
        <v>-1.4267230000000001E-2</v>
      </c>
      <c r="W3256">
        <v>2.061191E-3</v>
      </c>
      <c r="X3256">
        <v>0.99989609999999995</v>
      </c>
      <c r="Y3256">
        <v>-2.1775050000000001E-2</v>
      </c>
      <c r="Z3256">
        <v>8.4707929999999895E-4</v>
      </c>
      <c r="AA3256">
        <v>0.9997625</v>
      </c>
      <c r="AB3256">
        <v>29</v>
      </c>
      <c r="AC3256">
        <v>0.57880000000000098</v>
      </c>
      <c r="AD3256">
        <v>-8.0988000000000004E-2</v>
      </c>
      <c r="AE3256">
        <v>1.8400000000013898E-2</v>
      </c>
      <c r="AF3256">
        <v>-1.6371288741242201E-2</v>
      </c>
      <c r="AG3256">
        <v>-8.0988000000000004E-2</v>
      </c>
      <c r="AH3256">
        <v>0.56774724699245704</v>
      </c>
      <c r="AI3256">
        <v>98.115029633979503</v>
      </c>
      <c r="AJ3256">
        <v>91.651696075453202</v>
      </c>
      <c r="AK3256">
        <v>0.57372816882785505</v>
      </c>
      <c r="AL3256">
        <v>89.881902372083204</v>
      </c>
      <c r="AM3256">
        <v>90.817481530749802</v>
      </c>
      <c r="AN3256">
        <v>1.0000000065777099</v>
      </c>
    </row>
    <row r="3257" spans="1:40" x14ac:dyDescent="0.3">
      <c r="A3257" t="str">
        <f>"20200111160518398"</f>
        <v>20200111160518398</v>
      </c>
      <c r="B3257" t="str">
        <f>"1578729918394448"</f>
        <v>1578729918394448</v>
      </c>
      <c r="C3257" t="s">
        <v>40</v>
      </c>
      <c r="D3257">
        <v>5.1842579999999998</v>
      </c>
      <c r="E3257">
        <v>0.49909369999999997</v>
      </c>
      <c r="F3257" t="s">
        <v>42</v>
      </c>
      <c r="G3257">
        <v>-235.51589999999999</v>
      </c>
      <c r="H3257">
        <v>1.0198339999999999</v>
      </c>
      <c r="I3257">
        <v>214.7979</v>
      </c>
      <c r="J3257">
        <v>-236.04830000000001</v>
      </c>
      <c r="K3257">
        <v>1.1100939999999999</v>
      </c>
      <c r="L3257">
        <v>214.7774</v>
      </c>
      <c r="M3257">
        <v>0.99989620000000001</v>
      </c>
      <c r="N3257">
        <v>0</v>
      </c>
      <c r="O3257">
        <v>2.4020640000000002E-3</v>
      </c>
      <c r="P3257">
        <v>0.9997684</v>
      </c>
      <c r="Q3257">
        <v>-1.350957E-2</v>
      </c>
      <c r="R3257">
        <v>1.6756190000000001E-2</v>
      </c>
      <c r="S3257">
        <v>2.995438</v>
      </c>
      <c r="T3257">
        <v>-0.32427709999999998</v>
      </c>
      <c r="U3257">
        <v>7.5531009999999996E-2</v>
      </c>
      <c r="V3257">
        <v>-1.435403E-2</v>
      </c>
      <c r="W3257">
        <v>7.1078929999999997E-4</v>
      </c>
      <c r="X3257">
        <v>0.99989669999999997</v>
      </c>
      <c r="Y3257">
        <v>-2.2687280000000001E-2</v>
      </c>
      <c r="Z3257">
        <v>9.6499240000000005E-4</v>
      </c>
      <c r="AA3257">
        <v>0.99974220000000003</v>
      </c>
      <c r="AB3257">
        <v>29</v>
      </c>
      <c r="AC3257">
        <v>0.53240000000002397</v>
      </c>
      <c r="AD3257">
        <v>-9.0260000000000201E-2</v>
      </c>
      <c r="AE3257">
        <v>2.0499999999998401E-2</v>
      </c>
      <c r="AF3257">
        <v>-1.8684714862789099E-2</v>
      </c>
      <c r="AG3257">
        <v>-9.0260000000000201E-2</v>
      </c>
      <c r="AH3257">
        <v>0.51759315520970794</v>
      </c>
      <c r="AI3257">
        <v>99.885688242166793</v>
      </c>
      <c r="AJ3257">
        <v>92.067435827853302</v>
      </c>
      <c r="AK3257">
        <v>0.52573630318767695</v>
      </c>
      <c r="AL3257">
        <v>89.959274768622393</v>
      </c>
      <c r="AM3257">
        <v>90.822453809123303</v>
      </c>
      <c r="AN3257">
        <v>0.99999997703477905</v>
      </c>
    </row>
    <row r="3258" spans="1:40" x14ac:dyDescent="0.3">
      <c r="A3258" t="str">
        <f>"20200111160518420"</f>
        <v>20200111160518420</v>
      </c>
      <c r="B3258" t="str">
        <f>"1578729918414943"</f>
        <v>1578729918414943</v>
      </c>
      <c r="C3258" t="s">
        <v>40</v>
      </c>
      <c r="D3258">
        <v>6.0538869999999996</v>
      </c>
      <c r="E3258">
        <v>0.49897940000000002</v>
      </c>
      <c r="F3258" t="s">
        <v>42</v>
      </c>
      <c r="G3258">
        <v>-235.2525</v>
      </c>
      <c r="H3258">
        <v>1.0223150000000001</v>
      </c>
      <c r="I3258">
        <v>214.79750000000001</v>
      </c>
      <c r="J3258">
        <v>-235.755</v>
      </c>
      <c r="K3258">
        <v>1.1100840000000001</v>
      </c>
      <c r="L3258">
        <v>214.7775</v>
      </c>
      <c r="M3258">
        <v>0.99989749999999999</v>
      </c>
      <c r="N3258">
        <v>0</v>
      </c>
      <c r="O3258">
        <v>1.867655E-3</v>
      </c>
      <c r="P3258">
        <v>0.99976480000000001</v>
      </c>
      <c r="Q3258">
        <v>-1.45833E-2</v>
      </c>
      <c r="R3258">
        <v>1.6052110000000001E-2</v>
      </c>
      <c r="S3258">
        <v>2.9949650000000001</v>
      </c>
      <c r="T3258">
        <v>-0.33040310000000001</v>
      </c>
      <c r="U3258">
        <v>7.5744629999999993E-2</v>
      </c>
      <c r="V3258">
        <v>-1.418525E-2</v>
      </c>
      <c r="W3258">
        <v>-3.6640199999999999E-4</v>
      </c>
      <c r="X3258">
        <v>0.99989930000000005</v>
      </c>
      <c r="Y3258">
        <v>-2.3285429999999999E-2</v>
      </c>
      <c r="Z3258">
        <v>1.0749290000000001E-3</v>
      </c>
      <c r="AA3258">
        <v>0.99972830000000001</v>
      </c>
      <c r="AB3258">
        <v>29</v>
      </c>
      <c r="AC3258">
        <v>0.50249999999999695</v>
      </c>
      <c r="AD3258">
        <v>-8.7769000000000194E-2</v>
      </c>
      <c r="AE3258">
        <v>2.0000000000010201E-2</v>
      </c>
      <c r="AF3258">
        <v>-1.849793606314E-2</v>
      </c>
      <c r="AG3258">
        <v>-8.7769000000000194E-2</v>
      </c>
      <c r="AH3258">
        <v>0.48768193352004102</v>
      </c>
      <c r="AI3258">
        <v>100.19523178781699</v>
      </c>
      <c r="AJ3258">
        <v>92.172206427278496</v>
      </c>
      <c r="AK3258">
        <v>0.495862117207436</v>
      </c>
      <c r="AL3258">
        <v>90.020993289034806</v>
      </c>
      <c r="AM3258">
        <v>90.812782284575405</v>
      </c>
      <c r="AN3258">
        <v>0.99999998285423897</v>
      </c>
    </row>
    <row r="3259" spans="1:40" x14ac:dyDescent="0.3">
      <c r="A3259" t="str">
        <f>"20200111160518439"</f>
        <v>20200111160518439</v>
      </c>
      <c r="B3259" t="str">
        <f>"1578729918434470"</f>
        <v>1578729918434470</v>
      </c>
      <c r="C3259" t="s">
        <v>40</v>
      </c>
      <c r="D3259">
        <v>5.3106640000000001</v>
      </c>
      <c r="E3259">
        <v>0.49876490000000001</v>
      </c>
      <c r="F3259" t="s">
        <v>42</v>
      </c>
      <c r="G3259">
        <v>-234.98849999999999</v>
      </c>
      <c r="H3259">
        <v>1.0254509999999999</v>
      </c>
      <c r="I3259">
        <v>214.7961</v>
      </c>
      <c r="J3259">
        <v>-235.51300000000001</v>
      </c>
      <c r="K3259">
        <v>1.1100810000000001</v>
      </c>
      <c r="L3259">
        <v>214.7775</v>
      </c>
      <c r="M3259">
        <v>0.99989830000000002</v>
      </c>
      <c r="N3259">
        <v>0</v>
      </c>
      <c r="O3259">
        <v>1.4265759999999999E-3</v>
      </c>
      <c r="P3259">
        <v>0.99976589999999999</v>
      </c>
      <c r="Q3259">
        <v>-1.488722E-2</v>
      </c>
      <c r="R3259">
        <v>1.5704019999999999E-2</v>
      </c>
      <c r="S3259">
        <v>2.9947050000000002</v>
      </c>
      <c r="T3259">
        <v>-0.33083750000000001</v>
      </c>
      <c r="U3259">
        <v>7.388306E-2</v>
      </c>
      <c r="V3259">
        <v>-1.4278229999999999E-2</v>
      </c>
      <c r="W3259">
        <v>-6.7278960000000001E-4</v>
      </c>
      <c r="X3259">
        <v>0.99989779999999995</v>
      </c>
      <c r="Y3259">
        <v>-2.3105609999999999E-2</v>
      </c>
      <c r="Z3259">
        <v>1.1151100000000001E-3</v>
      </c>
      <c r="AA3259">
        <v>0.99973239999999997</v>
      </c>
      <c r="AB3259">
        <v>29</v>
      </c>
      <c r="AC3259">
        <v>0.52450000000001695</v>
      </c>
      <c r="AD3259">
        <v>-8.4629999999999705E-2</v>
      </c>
      <c r="AE3259">
        <v>1.8599999999992099E-2</v>
      </c>
      <c r="AF3259">
        <v>-1.7399246078327699E-2</v>
      </c>
      <c r="AG3259">
        <v>-8.4629999999999705E-2</v>
      </c>
      <c r="AH3259">
        <v>0.51123277171580905</v>
      </c>
      <c r="AI3259">
        <v>99.394217599531203</v>
      </c>
      <c r="AJ3259">
        <v>91.949246571947299</v>
      </c>
      <c r="AK3259">
        <v>0.51848232133827199</v>
      </c>
      <c r="AL3259">
        <v>90.038548008819305</v>
      </c>
      <c r="AM3259">
        <v>90.818110330668205</v>
      </c>
      <c r="AN3259">
        <v>0.99999996547130798</v>
      </c>
    </row>
    <row r="3260" spans="1:40" x14ac:dyDescent="0.3">
      <c r="A3260" t="str">
        <f>"20200111160518453"</f>
        <v>20200111160518453</v>
      </c>
      <c r="B3260" t="str">
        <f>"1578729918444229"</f>
        <v>1578729918444229</v>
      </c>
      <c r="C3260" t="s">
        <v>40</v>
      </c>
      <c r="D3260">
        <v>6.0796169999999998</v>
      </c>
      <c r="E3260">
        <v>0.49876490000000001</v>
      </c>
      <c r="F3260" t="s">
        <v>42</v>
      </c>
      <c r="G3260">
        <v>-234.72800000000001</v>
      </c>
      <c r="H3260">
        <v>1.0242340000000001</v>
      </c>
      <c r="I3260">
        <v>214.79689999999999</v>
      </c>
      <c r="J3260">
        <v>-235.32679999999999</v>
      </c>
      <c r="K3260">
        <v>1.1100719999999999</v>
      </c>
      <c r="L3260">
        <v>214.7774</v>
      </c>
      <c r="M3260">
        <v>0.99989859999999997</v>
      </c>
      <c r="N3260">
        <v>0</v>
      </c>
      <c r="O3260">
        <v>1.0872919999999999E-3</v>
      </c>
      <c r="P3260">
        <v>0.99976050000000005</v>
      </c>
      <c r="Q3260">
        <v>-1.5131550000000001E-2</v>
      </c>
      <c r="R3260">
        <v>1.5815889999999999E-2</v>
      </c>
      <c r="S3260">
        <v>2.994675</v>
      </c>
      <c r="T3260">
        <v>-0.32765709999999998</v>
      </c>
      <c r="U3260">
        <v>7.4340820000000002E-2</v>
      </c>
      <c r="V3260">
        <v>-1.473022E-2</v>
      </c>
      <c r="W3260">
        <v>-9.1870929999999997E-4</v>
      </c>
      <c r="X3260">
        <v>0.99989110000000003</v>
      </c>
      <c r="Y3260">
        <v>-2.3595370000000001E-2</v>
      </c>
      <c r="Z3260">
        <v>1.1681829999999999E-3</v>
      </c>
      <c r="AA3260">
        <v>0.99972090000000002</v>
      </c>
      <c r="AB3260">
        <v>29</v>
      </c>
      <c r="AC3260">
        <v>0.59880000000001099</v>
      </c>
      <c r="AD3260">
        <v>-8.5837999999999803E-2</v>
      </c>
      <c r="AE3260">
        <v>1.9499999999993599E-2</v>
      </c>
      <c r="AF3260">
        <v>-1.84697159709469E-2</v>
      </c>
      <c r="AG3260">
        <v>-8.5837999999999803E-2</v>
      </c>
      <c r="AH3260">
        <v>0.586775831171788</v>
      </c>
      <c r="AI3260">
        <v>98.318563975797801</v>
      </c>
      <c r="AJ3260">
        <v>91.8028818384647</v>
      </c>
      <c r="AK3260">
        <v>0.59330866224874002</v>
      </c>
      <c r="AL3260">
        <v>90.052638171965896</v>
      </c>
      <c r="AM3260">
        <v>90.844010302627794</v>
      </c>
      <c r="AN3260">
        <v>1.0000000176336099</v>
      </c>
    </row>
    <row r="3261" spans="1:40" x14ac:dyDescent="0.3">
      <c r="A3261" t="str">
        <f>"20200111160518494"</f>
        <v>20200111160518494</v>
      </c>
      <c r="B3261" t="str">
        <f>"1578729918484245"</f>
        <v>1578729918484245</v>
      </c>
      <c r="C3261" t="s">
        <v>40</v>
      </c>
      <c r="D3261">
        <v>4.9072459999999998</v>
      </c>
      <c r="E3261">
        <v>0.42117690000000002</v>
      </c>
      <c r="F3261" t="s">
        <v>42</v>
      </c>
      <c r="G3261">
        <v>-234.47190000000001</v>
      </c>
      <c r="H3261">
        <v>1.01637</v>
      </c>
      <c r="I3261">
        <v>214.79839999999999</v>
      </c>
      <c r="J3261">
        <v>-234.78389999999999</v>
      </c>
      <c r="K3261">
        <v>1.1100779999999999</v>
      </c>
      <c r="L3261">
        <v>214.77680000000001</v>
      </c>
      <c r="M3261">
        <v>0.99989939999999999</v>
      </c>
      <c r="N3261">
        <v>0</v>
      </c>
      <c r="O3261" s="1">
        <v>9.7270229999999998E-5</v>
      </c>
      <c r="P3261">
        <v>0.99977079999999996</v>
      </c>
      <c r="Q3261">
        <v>-1.324791E-2</v>
      </c>
      <c r="R3261">
        <v>1.682964E-2</v>
      </c>
      <c r="S3261">
        <v>2.9945979999999999</v>
      </c>
      <c r="T3261">
        <v>-0.32839420000000002</v>
      </c>
      <c r="U3261">
        <v>7.4295040000000007E-2</v>
      </c>
      <c r="V3261">
        <v>-1.673125E-2</v>
      </c>
      <c r="W3261">
        <v>9.6112870000000003E-4</v>
      </c>
      <c r="X3261">
        <v>0.99985959999999996</v>
      </c>
      <c r="Y3261">
        <v>-2.455825E-2</v>
      </c>
      <c r="Z3261">
        <v>1.3316929999999999E-3</v>
      </c>
      <c r="AA3261">
        <v>0.99969750000000002</v>
      </c>
      <c r="AB3261">
        <v>29</v>
      </c>
      <c r="AC3261">
        <v>0.31199999999998301</v>
      </c>
      <c r="AD3261">
        <v>-9.3708000000000097E-2</v>
      </c>
      <c r="AE3261">
        <v>2.1599999999978001E-2</v>
      </c>
      <c r="AF3261">
        <v>-1.9792708315274798E-2</v>
      </c>
      <c r="AG3261">
        <v>-9.3708000000000097E-2</v>
      </c>
      <c r="AH3261">
        <v>0.28629889565181499</v>
      </c>
      <c r="AI3261">
        <v>108.083357311038</v>
      </c>
      <c r="AJ3261">
        <v>93.954738096103199</v>
      </c>
      <c r="AK3261">
        <v>0.301894018188341</v>
      </c>
      <c r="AL3261">
        <v>89.944931375595999</v>
      </c>
      <c r="AM3261">
        <v>90.958675147598797</v>
      </c>
      <c r="AN3261">
        <v>1.00000003910354</v>
      </c>
    </row>
    <row r="3262" spans="1:40" x14ac:dyDescent="0.3">
      <c r="A3262" t="str">
        <f>"20200111160518512"</f>
        <v>20200111160518512</v>
      </c>
      <c r="B3262" t="str">
        <f>"1578729918504741"</f>
        <v>1578729918504741</v>
      </c>
      <c r="C3262" t="s">
        <v>40</v>
      </c>
      <c r="D3262">
        <v>4.9188219999999996</v>
      </c>
      <c r="E3262">
        <v>0.41576980000000002</v>
      </c>
      <c r="F3262" t="s">
        <v>44</v>
      </c>
      <c r="G3262">
        <v>-158.18049999999999</v>
      </c>
      <c r="H3262">
        <v>-0.05</v>
      </c>
      <c r="I3262">
        <v>232.21539999999999</v>
      </c>
      <c r="J3262">
        <v>-234.55850000000001</v>
      </c>
      <c r="K3262">
        <v>1.1100829999999999</v>
      </c>
      <c r="L3262">
        <v>214.7764</v>
      </c>
      <c r="M3262">
        <v>0.99989939999999999</v>
      </c>
      <c r="N3262">
        <v>0</v>
      </c>
      <c r="O3262">
        <v>-3.1322750000000002E-4</v>
      </c>
      <c r="P3262">
        <v>0.99975599999999998</v>
      </c>
      <c r="Q3262">
        <v>-1.3128829999999999E-2</v>
      </c>
      <c r="R3262">
        <v>1.777215E-2</v>
      </c>
      <c r="S3262">
        <v>2.9886469999999998</v>
      </c>
      <c r="T3262">
        <v>-4.525995E-2</v>
      </c>
      <c r="U3262">
        <v>0.68035889999999999</v>
      </c>
      <c r="V3262">
        <v>-1.808384E-2</v>
      </c>
      <c r="W3262">
        <v>1.0784309999999999E-3</v>
      </c>
      <c r="X3262">
        <v>0.9998359</v>
      </c>
      <c r="Y3262">
        <v>-0.22225</v>
      </c>
      <c r="Z3262">
        <v>1.666208E-3</v>
      </c>
      <c r="AA3262">
        <v>0.97498830000000003</v>
      </c>
      <c r="AB3262">
        <v>29</v>
      </c>
      <c r="AC3262">
        <v>76.378</v>
      </c>
      <c r="AD3262">
        <v>-1.160083</v>
      </c>
      <c r="AE3262">
        <v>17.438999999999901</v>
      </c>
      <c r="AF3262">
        <v>-17.4590970543866</v>
      </c>
      <c r="AG3262">
        <v>-1.160083</v>
      </c>
      <c r="AH3262">
        <v>76.355791102656397</v>
      </c>
      <c r="AI3262">
        <v>90.848538801576893</v>
      </c>
      <c r="AJ3262">
        <v>102.87952609595</v>
      </c>
      <c r="AK3262">
        <v>78.335003015471202</v>
      </c>
      <c r="AL3262">
        <v>89.938210443696804</v>
      </c>
      <c r="AM3262">
        <v>91.036184785758493</v>
      </c>
      <c r="AN3262">
        <v>1.0000000076056801</v>
      </c>
    </row>
    <row r="3263" spans="1:40" x14ac:dyDescent="0.3">
      <c r="A3263" t="str">
        <f>"20200111160518532"</f>
        <v>20200111160518532</v>
      </c>
      <c r="B3263" t="str">
        <f>"1578729918524767"</f>
        <v>1578729918524767</v>
      </c>
      <c r="C3263" t="s">
        <v>40</v>
      </c>
      <c r="D3263">
        <v>4.9366099999999999</v>
      </c>
      <c r="E3263">
        <v>0.41273209999999999</v>
      </c>
      <c r="F3263" t="s">
        <v>56</v>
      </c>
      <c r="G3263">
        <v>-183.08629999999999</v>
      </c>
      <c r="H3263" s="1">
        <v>6.8289389999999996E-7</v>
      </c>
      <c r="I3263">
        <v>227.3143</v>
      </c>
      <c r="J3263">
        <v>-234.29679999999999</v>
      </c>
      <c r="K3263">
        <v>1.1100859999999999</v>
      </c>
      <c r="L3263">
        <v>214.7758</v>
      </c>
      <c r="M3263">
        <v>0.99989910000000004</v>
      </c>
      <c r="N3263">
        <v>0</v>
      </c>
      <c r="O3263">
        <v>-7.8843520000000005E-4</v>
      </c>
      <c r="P3263">
        <v>0.99972179999999999</v>
      </c>
      <c r="Q3263">
        <v>-1.4228289999999999E-2</v>
      </c>
      <c r="R3263">
        <v>1.882182E-2</v>
      </c>
      <c r="S3263">
        <v>2.9869690000000002</v>
      </c>
      <c r="T3263">
        <v>-6.4418909999999996E-2</v>
      </c>
      <c r="U3263">
        <v>0.72758480000000003</v>
      </c>
      <c r="V3263">
        <v>-1.96104E-2</v>
      </c>
      <c r="W3263" s="1">
        <v>-2.237875E-5</v>
      </c>
      <c r="X3263">
        <v>0.99980769999999997</v>
      </c>
      <c r="Y3263">
        <v>-0.23738000000000001</v>
      </c>
      <c r="Z3263">
        <v>2.5393400000000002E-3</v>
      </c>
      <c r="AA3263">
        <v>0.97141359999999999</v>
      </c>
      <c r="AB3263">
        <v>29</v>
      </c>
      <c r="AC3263">
        <v>51.210500000000003</v>
      </c>
      <c r="AD3263">
        <v>-1.1100853171061</v>
      </c>
      <c r="AE3263">
        <v>12.538500000000001</v>
      </c>
      <c r="AF3263">
        <v>-12.573302419526801</v>
      </c>
      <c r="AG3263">
        <v>-1.1100853171061</v>
      </c>
      <c r="AH3263">
        <v>51.177909471228197</v>
      </c>
      <c r="AI3263">
        <v>91.206718591740696</v>
      </c>
      <c r="AJ3263">
        <v>103.802958620376</v>
      </c>
      <c r="AK3263">
        <v>52.711465934741</v>
      </c>
      <c r="AL3263">
        <v>90.0012822079225</v>
      </c>
      <c r="AM3263">
        <v>91.123665180639193</v>
      </c>
      <c r="AN3263">
        <v>1.00000000263412</v>
      </c>
    </row>
    <row r="3264" spans="1:40" x14ac:dyDescent="0.3">
      <c r="A3264" t="str">
        <f>"20200111160518576"</f>
        <v>20200111160518576</v>
      </c>
      <c r="B3264" t="str">
        <f>"1578729918564783"</f>
        <v>1578729918564783</v>
      </c>
      <c r="C3264" t="s">
        <v>40</v>
      </c>
      <c r="D3264">
        <v>5.0187999999999997</v>
      </c>
      <c r="E3264">
        <v>0.41149150000000001</v>
      </c>
      <c r="F3264" t="s">
        <v>56</v>
      </c>
      <c r="G3264">
        <v>-187.23050000000001</v>
      </c>
      <c r="H3264" s="1">
        <v>1.0383080000000001E-6</v>
      </c>
      <c r="I3264">
        <v>226.67910000000001</v>
      </c>
      <c r="J3264">
        <v>-233.72900000000001</v>
      </c>
      <c r="K3264">
        <v>1.110104</v>
      </c>
      <c r="L3264">
        <v>214.7741</v>
      </c>
      <c r="M3264">
        <v>0.99989790000000001</v>
      </c>
      <c r="N3264">
        <v>0</v>
      </c>
      <c r="O3264">
        <v>-1.804188E-3</v>
      </c>
      <c r="P3264">
        <v>0.99968760000000001</v>
      </c>
      <c r="Q3264">
        <v>-1.4959299999999899E-2</v>
      </c>
      <c r="R3264">
        <v>2.0025769999999998E-2</v>
      </c>
      <c r="S3264">
        <v>2.9855800000000001</v>
      </c>
      <c r="T3264">
        <v>-7.0416569999999998E-2</v>
      </c>
      <c r="U3264">
        <v>0.75506589999999996</v>
      </c>
      <c r="V3264">
        <v>-2.1830550000000001E-2</v>
      </c>
      <c r="W3264">
        <v>-7.5828410000000005E-4</v>
      </c>
      <c r="X3264">
        <v>0.99976140000000002</v>
      </c>
      <c r="Y3264">
        <v>-0.24686859999999999</v>
      </c>
      <c r="Z3264">
        <v>2.9076599999999998E-3</v>
      </c>
      <c r="AA3264">
        <v>0.96904460000000003</v>
      </c>
      <c r="AB3264">
        <v>29</v>
      </c>
      <c r="AC3264">
        <v>46.4985</v>
      </c>
      <c r="AD3264">
        <v>-1.110102961692</v>
      </c>
      <c r="AE3264">
        <v>11.904999999999999</v>
      </c>
      <c r="AF3264">
        <v>-11.982471636370599</v>
      </c>
      <c r="AG3264">
        <v>-1.110102961692</v>
      </c>
      <c r="AH3264">
        <v>46.452095966473202</v>
      </c>
      <c r="AI3264">
        <v>91.325606192324798</v>
      </c>
      <c r="AJ3264">
        <v>104.464319819007</v>
      </c>
      <c r="AK3264">
        <v>47.9855100502269</v>
      </c>
      <c r="AL3264">
        <v>90.0434464826603</v>
      </c>
      <c r="AM3264">
        <v>91.250898106860205</v>
      </c>
      <c r="AN3264">
        <v>1.0000000024190101</v>
      </c>
    </row>
    <row r="3265" spans="1:40" x14ac:dyDescent="0.3">
      <c r="A3265" t="str">
        <f>"20200111160518599"</f>
        <v>20200111160518599</v>
      </c>
      <c r="B3265" t="str">
        <f>"1578729918595039"</f>
        <v>1578729918595039</v>
      </c>
      <c r="C3265" t="s">
        <v>40</v>
      </c>
      <c r="D3265">
        <v>5.047288</v>
      </c>
      <c r="E3265">
        <v>0.41077209999999997</v>
      </c>
      <c r="F3265" t="s">
        <v>56</v>
      </c>
      <c r="G3265">
        <v>-187.88399999999999</v>
      </c>
      <c r="H3265" s="1">
        <v>1.0741429999999999E-6</v>
      </c>
      <c r="I3265">
        <v>226.57769999999999</v>
      </c>
      <c r="J3265">
        <v>-233.4357</v>
      </c>
      <c r="K3265">
        <v>1.1101270000000001</v>
      </c>
      <c r="L3265">
        <v>214.773</v>
      </c>
      <c r="M3265">
        <v>0.99989689999999998</v>
      </c>
      <c r="N3265">
        <v>0</v>
      </c>
      <c r="O3265">
        <v>-2.314193E-3</v>
      </c>
      <c r="P3265">
        <v>0.99971109999999996</v>
      </c>
      <c r="Q3265">
        <v>-1.3681560000000001E-2</v>
      </c>
      <c r="R3265">
        <v>1.9760280000000002E-2</v>
      </c>
      <c r="S3265">
        <v>2.984467</v>
      </c>
      <c r="T3265">
        <v>-7.2266579999999997E-2</v>
      </c>
      <c r="U3265">
        <v>0.76840209999999998</v>
      </c>
      <c r="V3265">
        <v>-2.2073209999999999E-2</v>
      </c>
      <c r="W3265">
        <v>5.1623979999999999E-4</v>
      </c>
      <c r="X3265">
        <v>0.99975619999999998</v>
      </c>
      <c r="Y3265">
        <v>-0.25150650000000002</v>
      </c>
      <c r="Z3265">
        <v>3.0508829999999999E-3</v>
      </c>
      <c r="AA3265">
        <v>0.96785080000000001</v>
      </c>
      <c r="AB3265">
        <v>29</v>
      </c>
      <c r="AC3265">
        <v>45.551699999999897</v>
      </c>
      <c r="AD3265">
        <v>-1.110125925857</v>
      </c>
      <c r="AE3265">
        <v>11.804699999999899</v>
      </c>
      <c r="AF3265">
        <v>-11.903469486309101</v>
      </c>
      <c r="AG3265">
        <v>-1.110125925857</v>
      </c>
      <c r="AH3265">
        <v>45.498934340851903</v>
      </c>
      <c r="AI3265">
        <v>91.352187239842394</v>
      </c>
      <c r="AJ3265">
        <v>104.661168856598</v>
      </c>
      <c r="AK3265">
        <v>47.043362885064901</v>
      </c>
      <c r="AL3265">
        <v>89.970421636227599</v>
      </c>
      <c r="AM3265">
        <v>91.264804693802802</v>
      </c>
      <c r="AN3265">
        <v>0.99999997627083703</v>
      </c>
    </row>
    <row r="3266" spans="1:40" x14ac:dyDescent="0.3">
      <c r="A3266" t="str">
        <f>"20200111160518621"</f>
        <v>20200111160518621</v>
      </c>
      <c r="B3266" t="str">
        <f>"1578729918614559"</f>
        <v>1578729918614559</v>
      </c>
      <c r="C3266" t="s">
        <v>40</v>
      </c>
      <c r="D3266">
        <v>5.0690809999999997</v>
      </c>
      <c r="E3266">
        <v>0.41052090000000002</v>
      </c>
      <c r="F3266" t="s">
        <v>56</v>
      </c>
      <c r="G3266">
        <v>-194.06190000000001</v>
      </c>
      <c r="H3266" s="1">
        <v>1.271814E-6</v>
      </c>
      <c r="I3266">
        <v>224.9888</v>
      </c>
      <c r="J3266">
        <v>-233.1405</v>
      </c>
      <c r="K3266">
        <v>1.110152</v>
      </c>
      <c r="L3266">
        <v>214.77180000000001</v>
      </c>
      <c r="M3266">
        <v>0.9998958</v>
      </c>
      <c r="N3266">
        <v>0</v>
      </c>
      <c r="O3266">
        <v>-2.8116149999999999E-3</v>
      </c>
      <c r="P3266">
        <v>0.99974399999999997</v>
      </c>
      <c r="Q3266">
        <v>-1.159628E-2</v>
      </c>
      <c r="R3266">
        <v>1.943864E-2</v>
      </c>
      <c r="S3266">
        <v>2.9844059999999999</v>
      </c>
      <c r="T3266">
        <v>-8.4143999999999997E-2</v>
      </c>
      <c r="U3266">
        <v>0.77432250000000002</v>
      </c>
      <c r="V3266">
        <v>-2.2247139999999999E-2</v>
      </c>
      <c r="W3266">
        <v>2.597631E-3</v>
      </c>
      <c r="X3266">
        <v>0.99974909999999995</v>
      </c>
      <c r="Y3266">
        <v>-0.25376599999999999</v>
      </c>
      <c r="Z3266">
        <v>3.5964650000000001E-3</v>
      </c>
      <c r="AA3266">
        <v>0.96725890000000003</v>
      </c>
      <c r="AB3266">
        <v>29</v>
      </c>
      <c r="AC3266">
        <v>39.078600000000002</v>
      </c>
      <c r="AD3266">
        <v>-1.1101507281859999</v>
      </c>
      <c r="AE3266">
        <v>10.216999999999899</v>
      </c>
      <c r="AF3266">
        <v>-10.319049709545601</v>
      </c>
      <c r="AG3266">
        <v>-1.1101507281859999</v>
      </c>
      <c r="AH3266">
        <v>39.020240912431099</v>
      </c>
      <c r="AI3266">
        <v>91.575528604586296</v>
      </c>
      <c r="AJ3266">
        <v>104.8129798807</v>
      </c>
      <c r="AK3266">
        <v>40.376904566986397</v>
      </c>
      <c r="AL3266">
        <v>89.851166535559301</v>
      </c>
      <c r="AM3266">
        <v>91.274776734067899</v>
      </c>
      <c r="AN3266">
        <v>0.99999997293789999</v>
      </c>
    </row>
    <row r="3267" spans="1:40" x14ac:dyDescent="0.3">
      <c r="A3267" t="str">
        <f>"20200111160518643"</f>
        <v>20200111160518643</v>
      </c>
      <c r="B3267" t="str">
        <f>"1578729918634586"</f>
        <v>1578729918634586</v>
      </c>
      <c r="C3267" t="s">
        <v>40</v>
      </c>
      <c r="D3267">
        <v>5.0747169999999997</v>
      </c>
      <c r="E3267">
        <v>0.41036400000000001</v>
      </c>
      <c r="F3267" t="s">
        <v>56</v>
      </c>
      <c r="G3267">
        <v>-194.69900000000001</v>
      </c>
      <c r="H3267" s="1">
        <v>1.295256E-6</v>
      </c>
      <c r="I3267">
        <v>224.76259999999999</v>
      </c>
      <c r="J3267">
        <v>-232.86340000000001</v>
      </c>
      <c r="K3267">
        <v>1.110185</v>
      </c>
      <c r="L3267">
        <v>214.7705</v>
      </c>
      <c r="M3267">
        <v>0.99989430000000001</v>
      </c>
      <c r="N3267">
        <v>0</v>
      </c>
      <c r="O3267">
        <v>-3.2584469999999998E-3</v>
      </c>
      <c r="P3267">
        <v>0.99977439999999995</v>
      </c>
      <c r="Q3267">
        <v>-9.3892679999999992E-3</v>
      </c>
      <c r="R3267">
        <v>1.9048780000000001E-2</v>
      </c>
      <c r="S3267">
        <v>2.98468</v>
      </c>
      <c r="T3267">
        <v>-8.6194399999999893E-2</v>
      </c>
      <c r="U3267">
        <v>0.77571109999999999</v>
      </c>
      <c r="V3267">
        <v>-2.230178E-2</v>
      </c>
      <c r="W3267">
        <v>4.8010809999999996E-3</v>
      </c>
      <c r="X3267">
        <v>0.99973979999999996</v>
      </c>
      <c r="Y3267">
        <v>-0.25459290000000001</v>
      </c>
      <c r="Z3267">
        <v>3.707966E-3</v>
      </c>
      <c r="AA3267">
        <v>0.96704120000000005</v>
      </c>
      <c r="AB3267">
        <v>29</v>
      </c>
      <c r="AC3267">
        <v>38.164400000000001</v>
      </c>
      <c r="AD3267">
        <v>-1.110183704744</v>
      </c>
      <c r="AE3267">
        <v>9.99209999999999</v>
      </c>
      <c r="AF3267">
        <v>-10.1084110998583</v>
      </c>
      <c r="AG3267">
        <v>-1.110183704744</v>
      </c>
      <c r="AH3267">
        <v>38.101462230812103</v>
      </c>
      <c r="AI3267">
        <v>91.613210233679794</v>
      </c>
      <c r="AJ3267">
        <v>104.85841761774699</v>
      </c>
      <c r="AK3267">
        <v>39.4351861533329</v>
      </c>
      <c r="AL3267">
        <v>89.724917276830496</v>
      </c>
      <c r="AM3267">
        <v>91.277918491146295</v>
      </c>
      <c r="AN3267">
        <v>1.00000004373698</v>
      </c>
    </row>
    <row r="3268" spans="1:40" x14ac:dyDescent="0.3">
      <c r="A3268" t="str">
        <f>"20200111160518666"</f>
        <v>20200111160518666</v>
      </c>
      <c r="B3268" t="str">
        <f>"1578729918655083"</f>
        <v>1578729918655083</v>
      </c>
      <c r="C3268" t="s">
        <v>40</v>
      </c>
      <c r="D3268">
        <v>4.9937269999999998</v>
      </c>
      <c r="E3268">
        <v>0.40982619999999997</v>
      </c>
      <c r="F3268" t="s">
        <v>56</v>
      </c>
      <c r="G3268">
        <v>-194.03280000000001</v>
      </c>
      <c r="H3268" s="1">
        <v>1.318065E-6</v>
      </c>
      <c r="I3268">
        <v>224.86529999999999</v>
      </c>
      <c r="J3268">
        <v>-232.57249999999999</v>
      </c>
      <c r="K3268">
        <v>1.110204</v>
      </c>
      <c r="L3268">
        <v>214.76910000000001</v>
      </c>
      <c r="M3268">
        <v>0.99989280000000003</v>
      </c>
      <c r="N3268">
        <v>0</v>
      </c>
      <c r="O3268">
        <v>-3.7031849999999999E-3</v>
      </c>
      <c r="P3268">
        <v>0.99980440000000004</v>
      </c>
      <c r="Q3268">
        <v>-7.9589729999999994E-3</v>
      </c>
      <c r="R3268">
        <v>1.810426E-2</v>
      </c>
      <c r="S3268">
        <v>2.9850919999999999</v>
      </c>
      <c r="T3268">
        <v>-8.5345030000000002E-2</v>
      </c>
      <c r="U3268">
        <v>0.77603149999999999</v>
      </c>
      <c r="V3268">
        <v>-2.180153E-2</v>
      </c>
      <c r="W3268">
        <v>6.2268009999999997E-3</v>
      </c>
      <c r="X3268">
        <v>0.99974289999999999</v>
      </c>
      <c r="Y3268">
        <v>-0.25508940000000002</v>
      </c>
      <c r="Z3268">
        <v>3.6903919999999998E-3</v>
      </c>
      <c r="AA3268">
        <v>0.96691039999999995</v>
      </c>
      <c r="AB3268">
        <v>29</v>
      </c>
      <c r="AC3268">
        <v>38.539699999999897</v>
      </c>
      <c r="AD3268">
        <v>-1.1102026819349999</v>
      </c>
      <c r="AE3268">
        <v>10.0961999999999</v>
      </c>
      <c r="AF3268">
        <v>-10.230920044100699</v>
      </c>
      <c r="AG3268">
        <v>-1.1102026819349999</v>
      </c>
      <c r="AH3268">
        <v>38.472168823432703</v>
      </c>
      <c r="AI3268">
        <v>91.597452416063902</v>
      </c>
      <c r="AJ3268">
        <v>104.892026766003</v>
      </c>
      <c r="AK3268">
        <v>39.824766778004701</v>
      </c>
      <c r="AL3268">
        <v>89.643228267627805</v>
      </c>
      <c r="AM3268">
        <v>91.249258887543704</v>
      </c>
      <c r="AN3268">
        <v>0.99999997293072096</v>
      </c>
    </row>
    <row r="3269" spans="1:40" x14ac:dyDescent="0.3">
      <c r="A3269" t="str">
        <f>"20200111160518756"</f>
        <v>20200111160518756</v>
      </c>
      <c r="B3269" t="str">
        <f>"1578729918744405"</f>
        <v>1578729918744405</v>
      </c>
      <c r="C3269" t="s">
        <v>40</v>
      </c>
      <c r="D3269">
        <v>5.8622019999999999</v>
      </c>
      <c r="E3269">
        <v>0.41035840000000001</v>
      </c>
      <c r="F3269" t="s">
        <v>56</v>
      </c>
      <c r="G3269">
        <v>-190.60990000000001</v>
      </c>
      <c r="H3269" s="1">
        <v>1.3272960000000001E-6</v>
      </c>
      <c r="I3269">
        <v>225.69800000000001</v>
      </c>
      <c r="J3269">
        <v>-231.42269999999999</v>
      </c>
      <c r="K3269">
        <v>1.1102379999999901</v>
      </c>
      <c r="L3269">
        <v>214.76230000000001</v>
      </c>
      <c r="M3269">
        <v>0.9998861</v>
      </c>
      <c r="N3269">
        <v>0</v>
      </c>
      <c r="O3269">
        <v>-5.2409020000000004E-3</v>
      </c>
      <c r="P3269">
        <v>0.9998707</v>
      </c>
      <c r="Q3269">
        <v>-8.1162619999999904E-3</v>
      </c>
      <c r="R3269">
        <v>1.3888269999999999E-2</v>
      </c>
      <c r="S3269">
        <v>2.9858699999999998</v>
      </c>
      <c r="T3269">
        <v>-7.8996899999999995E-2</v>
      </c>
      <c r="U3269">
        <v>0.77764889999999998</v>
      </c>
      <c r="V3269">
        <v>-1.9124249999999999E-2</v>
      </c>
      <c r="W3269">
        <v>6.0522830000000003E-3</v>
      </c>
      <c r="X3269">
        <v>0.99979879999999999</v>
      </c>
      <c r="Y3269">
        <v>-0.25701810000000003</v>
      </c>
      <c r="Z3269">
        <v>3.480014E-3</v>
      </c>
      <c r="AA3269">
        <v>0.96640029999999999</v>
      </c>
      <c r="AB3269">
        <v>29</v>
      </c>
      <c r="AC3269">
        <v>40.812799999999903</v>
      </c>
      <c r="AD3269">
        <v>-1.1102366727039901</v>
      </c>
      <c r="AE3269">
        <v>10.935699999999899</v>
      </c>
      <c r="AF3269">
        <v>-11.1417743638502</v>
      </c>
      <c r="AG3269">
        <v>-1.1102366727039901</v>
      </c>
      <c r="AH3269">
        <v>40.726801276692498</v>
      </c>
      <c r="AI3269">
        <v>91.506209667156</v>
      </c>
      <c r="AJ3269">
        <v>105.300238621937</v>
      </c>
      <c r="AK3269">
        <v>42.237946253050303</v>
      </c>
      <c r="AL3269">
        <v>89.653227611915199</v>
      </c>
      <c r="AM3269">
        <v>91.095825682987297</v>
      </c>
      <c r="AN3269">
        <v>1.0000000037745</v>
      </c>
    </row>
    <row r="3270" spans="1:40" x14ac:dyDescent="0.3">
      <c r="A3270" t="str">
        <f>"20200111160518777"</f>
        <v>20200111160518777</v>
      </c>
      <c r="B3270" t="str">
        <f>"1578729918774662"</f>
        <v>1578729918774662</v>
      </c>
      <c r="C3270" t="s">
        <v>40</v>
      </c>
      <c r="D3270">
        <v>5.3415599999999896</v>
      </c>
      <c r="E3270">
        <v>0.55148839999999999</v>
      </c>
      <c r="F3270" t="s">
        <v>56</v>
      </c>
      <c r="G3270">
        <v>-190.06489999999999</v>
      </c>
      <c r="H3270" s="1">
        <v>1.5215219999999999E-6</v>
      </c>
      <c r="I3270">
        <v>225.2852</v>
      </c>
      <c r="J3270">
        <v>-231.1386</v>
      </c>
      <c r="K3270">
        <v>1.110244</v>
      </c>
      <c r="L3270">
        <v>214.76050000000001</v>
      </c>
      <c r="M3270">
        <v>0.9998842</v>
      </c>
      <c r="N3270">
        <v>0</v>
      </c>
      <c r="O3270">
        <v>-5.5812519999999897E-3</v>
      </c>
      <c r="P3270">
        <v>0.99986920000000001</v>
      </c>
      <c r="Q3270">
        <v>-7.8250390000000006E-3</v>
      </c>
      <c r="R3270">
        <v>1.4164940000000001E-2</v>
      </c>
      <c r="S3270">
        <v>2.9891969999999999</v>
      </c>
      <c r="T3270">
        <v>-8.0244060000000006E-2</v>
      </c>
      <c r="U3270">
        <v>0.76055909999999904</v>
      </c>
      <c r="V3270">
        <v>-1.974159E-2</v>
      </c>
      <c r="W3270">
        <v>6.3402869999999896E-3</v>
      </c>
      <c r="X3270">
        <v>0.99978500000000003</v>
      </c>
      <c r="Y3270">
        <v>-0.25189810000000001</v>
      </c>
      <c r="Z3270">
        <v>3.474965E-3</v>
      </c>
      <c r="AA3270">
        <v>0.96774749999999998</v>
      </c>
      <c r="AB3270">
        <v>29</v>
      </c>
      <c r="AC3270">
        <v>41.073700000000002</v>
      </c>
      <c r="AD3270">
        <v>-1.1102424784780001</v>
      </c>
      <c r="AE3270">
        <v>10.5246999999999</v>
      </c>
      <c r="AF3270">
        <v>-10.746433610563001</v>
      </c>
      <c r="AG3270">
        <v>-1.1102424784780001</v>
      </c>
      <c r="AH3270">
        <v>40.986211862016098</v>
      </c>
      <c r="AI3270">
        <v>91.500948856916693</v>
      </c>
      <c r="AJ3270">
        <v>104.69202434893501</v>
      </c>
      <c r="AK3270">
        <v>42.386177422661298</v>
      </c>
      <c r="AL3270">
        <v>89.636725875691596</v>
      </c>
      <c r="AM3270">
        <v>91.131206025734002</v>
      </c>
      <c r="AN3270">
        <v>0.99999998791998501</v>
      </c>
    </row>
    <row r="3271" spans="1:40" x14ac:dyDescent="0.3">
      <c r="A3271" t="str">
        <f>"20200111160518800"</f>
        <v>20200111160518800</v>
      </c>
      <c r="B3271" t="str">
        <f>"1578729918795157"</f>
        <v>1578729918795157</v>
      </c>
      <c r="C3271" t="s">
        <v>40</v>
      </c>
      <c r="D3271">
        <v>5.4663490000000001</v>
      </c>
      <c r="E3271">
        <v>0.55139700000000003</v>
      </c>
      <c r="F3271" t="s">
        <v>42</v>
      </c>
      <c r="G3271">
        <v>-230.3723</v>
      </c>
      <c r="H3271">
        <v>0.95385039999999999</v>
      </c>
      <c r="I3271">
        <v>214.67429999999999</v>
      </c>
      <c r="J3271">
        <v>-230.84819999999999</v>
      </c>
      <c r="K3271">
        <v>1.110258</v>
      </c>
      <c r="L3271">
        <v>214.7585</v>
      </c>
      <c r="M3271">
        <v>0.99988239999999995</v>
      </c>
      <c r="N3271">
        <v>0</v>
      </c>
      <c r="O3271">
        <v>-5.9220009999999997E-3</v>
      </c>
      <c r="P3271">
        <v>0.99985679999999999</v>
      </c>
      <c r="Q3271">
        <v>-7.867644E-3</v>
      </c>
      <c r="R3271">
        <v>1.498275E-2</v>
      </c>
      <c r="S3271">
        <v>3.0003660000000001</v>
      </c>
      <c r="T3271">
        <v>-0.61232129999999996</v>
      </c>
      <c r="U3271">
        <v>-0.33692929999999999</v>
      </c>
      <c r="V3271">
        <v>-2.0900040000000002E-2</v>
      </c>
      <c r="W3271">
        <v>6.2945099999999997E-3</v>
      </c>
      <c r="X3271">
        <v>0.99976180000000003</v>
      </c>
      <c r="Y3271">
        <v>0.1037165</v>
      </c>
      <c r="Z3271">
        <v>-9.2509229999999994E-3</v>
      </c>
      <c r="AA3271">
        <v>0.99456389999999995</v>
      </c>
      <c r="AB3271">
        <v>29</v>
      </c>
      <c r="AC3271">
        <v>0.47589999999999499</v>
      </c>
      <c r="AD3271">
        <v>-0.15640759999999901</v>
      </c>
      <c r="AE3271">
        <v>-8.4200000000009795E-2</v>
      </c>
      <c r="AF3271">
        <v>7.3664593663001807E-2</v>
      </c>
      <c r="AG3271">
        <v>-0.15640759999999901</v>
      </c>
      <c r="AH3271">
        <v>0.43122532996827201</v>
      </c>
      <c r="AI3271">
        <v>109.673288873426</v>
      </c>
      <c r="AJ3271">
        <v>80.305951647778798</v>
      </c>
      <c r="AK3271">
        <v>0.46459132030585798</v>
      </c>
      <c r="AL3271">
        <v>89.639348777415904</v>
      </c>
      <c r="AM3271">
        <v>91.197594955063593</v>
      </c>
      <c r="AN3271">
        <v>1.0000000446336901</v>
      </c>
    </row>
    <row r="3272" spans="1:40" x14ac:dyDescent="0.3">
      <c r="A3272" t="str">
        <f>"20200111160518821"</f>
        <v>20200111160518821</v>
      </c>
      <c r="B3272" t="str">
        <f>"1578729918814677"</f>
        <v>1578729918814677</v>
      </c>
      <c r="C3272" t="s">
        <v>40</v>
      </c>
      <c r="D3272">
        <v>5.3365419999999997</v>
      </c>
      <c r="E3272">
        <v>0.55161450000000001</v>
      </c>
      <c r="F3272" t="s">
        <v>42</v>
      </c>
      <c r="G3272">
        <v>-230.11920000000001</v>
      </c>
      <c r="H3272">
        <v>0.94888760000000005</v>
      </c>
      <c r="I3272">
        <v>214.67779999999999</v>
      </c>
      <c r="J3272">
        <v>-230.5907</v>
      </c>
      <c r="K3272">
        <v>1.1102669999999999</v>
      </c>
      <c r="L3272">
        <v>214.75659999999999</v>
      </c>
      <c r="M3272">
        <v>0.99988060000000001</v>
      </c>
      <c r="N3272">
        <v>0</v>
      </c>
      <c r="O3272">
        <v>-6.221089E-3</v>
      </c>
      <c r="P3272">
        <v>0.99984030000000002</v>
      </c>
      <c r="Q3272">
        <v>-8.5189250000000001E-3</v>
      </c>
      <c r="R3272">
        <v>1.5705E-2</v>
      </c>
      <c r="S3272">
        <v>3.0001530000000001</v>
      </c>
      <c r="T3272">
        <v>-0.66410619999999998</v>
      </c>
      <c r="U3272">
        <v>-0.3314667</v>
      </c>
      <c r="V3272">
        <v>-2.1921739999999999E-2</v>
      </c>
      <c r="W3272">
        <v>5.6407799999999998E-3</v>
      </c>
      <c r="X3272">
        <v>0.99974379999999996</v>
      </c>
      <c r="Y3272">
        <v>0.1013539</v>
      </c>
      <c r="Z3272">
        <v>-9.6944839999999997E-3</v>
      </c>
      <c r="AA3272">
        <v>0.9948032</v>
      </c>
      <c r="AB3272">
        <v>29</v>
      </c>
      <c r="AC3272">
        <v>0.47149999999999098</v>
      </c>
      <c r="AD3272">
        <v>-0.16137940000000001</v>
      </c>
      <c r="AE3272">
        <v>-7.8800000000000994E-2</v>
      </c>
      <c r="AF3272">
        <v>6.8103563972926606E-2</v>
      </c>
      <c r="AG3272">
        <v>-0.16137940000000001</v>
      </c>
      <c r="AH3272">
        <v>0.42369504283812698</v>
      </c>
      <c r="AI3272">
        <v>110.609207625438</v>
      </c>
      <c r="AJ3272">
        <v>80.868542483442496</v>
      </c>
      <c r="AK3272">
        <v>0.45847453091287099</v>
      </c>
      <c r="AL3272">
        <v>89.676805406450498</v>
      </c>
      <c r="AM3272">
        <v>91.256143761242697</v>
      </c>
      <c r="AN3272">
        <v>1.00000002336103</v>
      </c>
    </row>
    <row r="3273" spans="1:40" x14ac:dyDescent="0.3">
      <c r="A3273" t="str">
        <f>"20200111160518834"</f>
        <v>20200111160518834</v>
      </c>
      <c r="B3273" t="str">
        <f>"1578729918824945"</f>
        <v>1578729918824945</v>
      </c>
      <c r="C3273" t="s">
        <v>40</v>
      </c>
      <c r="D3273">
        <v>5.2522640000000003</v>
      </c>
      <c r="E3273">
        <v>0.55159199999999997</v>
      </c>
      <c r="F3273" t="s">
        <v>42</v>
      </c>
      <c r="G3273">
        <v>-229.8664</v>
      </c>
      <c r="H3273">
        <v>0.94371530000000003</v>
      </c>
      <c r="I3273">
        <v>214.67679999999999</v>
      </c>
      <c r="J3273">
        <v>-230.41030000000001</v>
      </c>
      <c r="K3273">
        <v>1.110268</v>
      </c>
      <c r="L3273">
        <v>214.75530000000001</v>
      </c>
      <c r="M3273">
        <v>0.99987939999999997</v>
      </c>
      <c r="N3273">
        <v>0</v>
      </c>
      <c r="O3273">
        <v>-6.429995E-3</v>
      </c>
      <c r="P3273">
        <v>0.99979830000000003</v>
      </c>
      <c r="Q3273">
        <v>-9.3977990000000001E-3</v>
      </c>
      <c r="R3273">
        <v>1.7755400000000001E-2</v>
      </c>
      <c r="S3273">
        <v>2.9997560000000001</v>
      </c>
      <c r="T3273">
        <v>-0.68981210000000004</v>
      </c>
      <c r="U3273">
        <v>-0.32960509999999998</v>
      </c>
      <c r="V3273">
        <v>-2.418095E-2</v>
      </c>
      <c r="W3273">
        <v>4.7600730000000001E-3</v>
      </c>
      <c r="X3273">
        <v>0.99969629999999998</v>
      </c>
      <c r="Y3273">
        <v>0.1004023</v>
      </c>
      <c r="Z3273">
        <v>-9.9070860000000007E-3</v>
      </c>
      <c r="AA3273">
        <v>0.99489760000000005</v>
      </c>
      <c r="AB3273">
        <v>29</v>
      </c>
      <c r="AC3273">
        <v>0.54390000000000704</v>
      </c>
      <c r="AD3273">
        <v>-0.1665527</v>
      </c>
      <c r="AE3273">
        <v>-7.8500000000019499E-2</v>
      </c>
      <c r="AF3273">
        <v>6.8691012732787202E-2</v>
      </c>
      <c r="AG3273">
        <v>-0.1665527</v>
      </c>
      <c r="AH3273">
        <v>0.49859425869991097</v>
      </c>
      <c r="AI3273">
        <v>108.310352371826</v>
      </c>
      <c r="AJ3273">
        <v>82.155777127706699</v>
      </c>
      <c r="AK3273">
        <v>0.53014572705630703</v>
      </c>
      <c r="AL3273">
        <v>89.727266886366394</v>
      </c>
      <c r="AM3273">
        <v>91.385617086375404</v>
      </c>
      <c r="AN3273">
        <v>1.00000003443577</v>
      </c>
    </row>
    <row r="3274" spans="1:40" x14ac:dyDescent="0.3">
      <c r="A3274" t="str">
        <f>"20200111160518856"</f>
        <v>20200111160518856</v>
      </c>
      <c r="B3274" t="str">
        <f>"1578729918844466"</f>
        <v>1578729918844466</v>
      </c>
      <c r="C3274" t="s">
        <v>40</v>
      </c>
      <c r="D3274">
        <v>5.2778099999999997</v>
      </c>
      <c r="E3274">
        <v>0.55220360000000002</v>
      </c>
      <c r="F3274" t="s">
        <v>42</v>
      </c>
      <c r="G3274">
        <v>-229.6199</v>
      </c>
      <c r="H3274">
        <v>0.92641910000000005</v>
      </c>
      <c r="I3274">
        <v>214.67009999999999</v>
      </c>
      <c r="J3274">
        <v>-230.14070000000001</v>
      </c>
      <c r="K3274">
        <v>1.110274</v>
      </c>
      <c r="L3274">
        <v>214.75319999999999</v>
      </c>
      <c r="M3274">
        <v>0.99987729999999997</v>
      </c>
      <c r="N3274">
        <v>0</v>
      </c>
      <c r="O3274">
        <v>-6.7421249999999999E-3</v>
      </c>
      <c r="P3274">
        <v>0.99976299999999996</v>
      </c>
      <c r="Q3274">
        <v>-1.047149E-2</v>
      </c>
      <c r="R3274">
        <v>1.9095239999999999E-2</v>
      </c>
      <c r="S3274">
        <v>2.9998019999999999</v>
      </c>
      <c r="T3274">
        <v>-0.69775779999999998</v>
      </c>
      <c r="U3274">
        <v>-0.32293699999999997</v>
      </c>
      <c r="V3274">
        <v>-2.5833720000000001E-2</v>
      </c>
      <c r="W3274">
        <v>3.6838610000000001E-3</v>
      </c>
      <c r="X3274">
        <v>0.99965950000000003</v>
      </c>
      <c r="Y3274">
        <v>9.7921770000000005E-2</v>
      </c>
      <c r="Z3274">
        <v>-9.6639440000000007E-3</v>
      </c>
      <c r="AA3274">
        <v>0.99514720000000001</v>
      </c>
      <c r="AB3274">
        <v>29</v>
      </c>
      <c r="AC3274">
        <v>0.52080000000000803</v>
      </c>
      <c r="AD3274">
        <v>-0.18385489999999999</v>
      </c>
      <c r="AE3274">
        <v>-8.31000000000017E-2</v>
      </c>
      <c r="AF3274">
        <v>7.0962290777366197E-2</v>
      </c>
      <c r="AG3274">
        <v>-0.18385489999999999</v>
      </c>
      <c r="AH3274">
        <v>0.46485397671238998</v>
      </c>
      <c r="AI3274">
        <v>111.354588301665</v>
      </c>
      <c r="AJ3274">
        <v>81.320518903633797</v>
      </c>
      <c r="AK3274">
        <v>0.50490344684078503</v>
      </c>
      <c r="AL3274">
        <v>89.788929842147397</v>
      </c>
      <c r="AM3274">
        <v>91.4803378101372</v>
      </c>
      <c r="AN3274">
        <v>1.0000000339305699</v>
      </c>
    </row>
    <row r="3275" spans="1:40" x14ac:dyDescent="0.3">
      <c r="A3275" t="str">
        <f>"20200111160518878"</f>
        <v>20200111160518878</v>
      </c>
      <c r="B3275" t="str">
        <f>"1578729918874722"</f>
        <v>1578729918874722</v>
      </c>
      <c r="C3275" t="s">
        <v>40</v>
      </c>
      <c r="D3275">
        <v>5.1846389999999998</v>
      </c>
      <c r="E3275">
        <v>0.55266169999999903</v>
      </c>
      <c r="F3275" t="s">
        <v>42</v>
      </c>
      <c r="G3275">
        <v>-229.36510000000001</v>
      </c>
      <c r="H3275">
        <v>0.92694829999999995</v>
      </c>
      <c r="I3275">
        <v>214.6694</v>
      </c>
      <c r="J3275">
        <v>-229.85720000000001</v>
      </c>
      <c r="K3275">
        <v>1.110277</v>
      </c>
      <c r="L3275">
        <v>214.7509</v>
      </c>
      <c r="M3275">
        <v>0.99987519999999996</v>
      </c>
      <c r="N3275">
        <v>0</v>
      </c>
      <c r="O3275">
        <v>-7.0710779999999997E-3</v>
      </c>
      <c r="P3275">
        <v>0.99975930000000002</v>
      </c>
      <c r="Q3275">
        <v>-9.9983120000000005E-3</v>
      </c>
      <c r="R3275">
        <v>1.9533189999999999E-2</v>
      </c>
      <c r="S3275">
        <v>2.999466</v>
      </c>
      <c r="T3275">
        <v>-0.70899330000000005</v>
      </c>
      <c r="U3275">
        <v>-0.32342530000000003</v>
      </c>
      <c r="V3275">
        <v>-2.6600160000000001E-2</v>
      </c>
      <c r="W3275">
        <v>4.1540190000000001E-3</v>
      </c>
      <c r="X3275">
        <v>0.99963749999999996</v>
      </c>
      <c r="Y3275">
        <v>9.7703799999999993E-2</v>
      </c>
      <c r="Z3275">
        <v>-9.7146119999999992E-3</v>
      </c>
      <c r="AA3275">
        <v>0.9951681</v>
      </c>
      <c r="AB3275">
        <v>29</v>
      </c>
      <c r="AC3275">
        <v>0.49209999999999299</v>
      </c>
      <c r="AD3275">
        <v>-0.18332869999999901</v>
      </c>
      <c r="AE3275">
        <v>-8.1500000000005401E-2</v>
      </c>
      <c r="AF3275">
        <v>6.8733212212304495E-2</v>
      </c>
      <c r="AG3275">
        <v>-0.18332869999999901</v>
      </c>
      <c r="AH3275">
        <v>0.43403329477818903</v>
      </c>
      <c r="AI3275">
        <v>112.645181381928</v>
      </c>
      <c r="AJ3275">
        <v>81.001404742563395</v>
      </c>
      <c r="AK3275">
        <v>0.47614973241693798</v>
      </c>
      <c r="AL3275">
        <v>89.761991553511194</v>
      </c>
      <c r="AM3275">
        <v>91.524269879260501</v>
      </c>
      <c r="AN3275">
        <v>0.99999997789606299</v>
      </c>
    </row>
    <row r="3276" spans="1:40" x14ac:dyDescent="0.3">
      <c r="A3276" t="str">
        <f>"20200111160518901"</f>
        <v>20200111160518901</v>
      </c>
      <c r="B3276" t="str">
        <f>"1578729918894241"</f>
        <v>1578729918894241</v>
      </c>
      <c r="C3276" t="s">
        <v>40</v>
      </c>
      <c r="D3276">
        <v>5.233142</v>
      </c>
      <c r="E3276">
        <v>0.55281309999999995</v>
      </c>
      <c r="F3276" t="s">
        <v>42</v>
      </c>
      <c r="G3276">
        <v>-229.1086</v>
      </c>
      <c r="H3276">
        <v>0.93136660000000004</v>
      </c>
      <c r="I3276">
        <v>214.6696</v>
      </c>
      <c r="J3276">
        <v>-229.56389999999999</v>
      </c>
      <c r="K3276">
        <v>1.110279</v>
      </c>
      <c r="L3276">
        <v>214.74850000000001</v>
      </c>
      <c r="M3276">
        <v>0.9998726</v>
      </c>
      <c r="N3276">
        <v>0</v>
      </c>
      <c r="O3276">
        <v>-7.4124400000000002E-3</v>
      </c>
      <c r="P3276">
        <v>0.99976379999999998</v>
      </c>
      <c r="Q3276">
        <v>-9.4594529999999996E-3</v>
      </c>
      <c r="R3276">
        <v>1.956774E-2</v>
      </c>
      <c r="S3276">
        <v>2.999924</v>
      </c>
      <c r="T3276">
        <v>-0.71692840000000002</v>
      </c>
      <c r="U3276">
        <v>-0.32539370000000001</v>
      </c>
      <c r="V3276">
        <v>-2.6975699999999998E-2</v>
      </c>
      <c r="W3276">
        <v>4.6895019999999999E-3</v>
      </c>
      <c r="X3276">
        <v>0.99962510000000004</v>
      </c>
      <c r="Y3276">
        <v>9.7942379999999996E-2</v>
      </c>
      <c r="Z3276">
        <v>-9.7664410000000007E-3</v>
      </c>
      <c r="AA3276">
        <v>0.99514420000000003</v>
      </c>
      <c r="AB3276">
        <v>28</v>
      </c>
      <c r="AC3276">
        <v>0.45529999999999399</v>
      </c>
      <c r="AD3276">
        <v>-0.1789124</v>
      </c>
      <c r="AE3276">
        <v>-7.8900000000004397E-2</v>
      </c>
      <c r="AF3276">
        <v>6.5676876707847401E-2</v>
      </c>
      <c r="AG3276">
        <v>-0.1789124</v>
      </c>
      <c r="AH3276">
        <v>0.396441203374715</v>
      </c>
      <c r="AI3276">
        <v>113.99995936705299</v>
      </c>
      <c r="AJ3276">
        <v>80.593464442268996</v>
      </c>
      <c r="AK3276">
        <v>0.43987353494049802</v>
      </c>
      <c r="AL3276">
        <v>89.731310345300599</v>
      </c>
      <c r="AM3276">
        <v>91.545798258220401</v>
      </c>
      <c r="AN3276">
        <v>1.0000000101847499</v>
      </c>
    </row>
    <row r="3277" spans="1:40" x14ac:dyDescent="0.3">
      <c r="A3277" t="str">
        <f>"20200111160518922"</f>
        <v>20200111160518922</v>
      </c>
      <c r="B3277" t="str">
        <f>"1578729918914737"</f>
        <v>1578729918914737</v>
      </c>
      <c r="C3277" t="s">
        <v>40</v>
      </c>
      <c r="D3277">
        <v>5.1734790000000004</v>
      </c>
      <c r="E3277">
        <v>0.55311069999999996</v>
      </c>
      <c r="F3277" t="s">
        <v>42</v>
      </c>
      <c r="G3277">
        <v>-228.85069999999999</v>
      </c>
      <c r="H3277">
        <v>0.93903029999999998</v>
      </c>
      <c r="I3277">
        <v>214.67060000000001</v>
      </c>
      <c r="J3277">
        <v>-229.2885</v>
      </c>
      <c r="K3277">
        <v>1.110269</v>
      </c>
      <c r="L3277">
        <v>214.74610000000001</v>
      </c>
      <c r="M3277">
        <v>0.99987029999999999</v>
      </c>
      <c r="N3277">
        <v>0</v>
      </c>
      <c r="O3277">
        <v>-7.73450099999999E-3</v>
      </c>
      <c r="P3277">
        <v>0.99976069999999995</v>
      </c>
      <c r="Q3277">
        <v>-9.7286939999999995E-3</v>
      </c>
      <c r="R3277">
        <v>1.959611E-2</v>
      </c>
      <c r="S3277">
        <v>3.0002900000000001</v>
      </c>
      <c r="T3277">
        <v>-0.72044919999999901</v>
      </c>
      <c r="U3277">
        <v>-0.32681270000000001</v>
      </c>
      <c r="V3277">
        <v>-2.7326079999999999E-2</v>
      </c>
      <c r="W3277">
        <v>4.4172309999999998E-3</v>
      </c>
      <c r="X3277">
        <v>0.99961679999999997</v>
      </c>
      <c r="Y3277">
        <v>9.8056249999999998E-2</v>
      </c>
      <c r="Z3277">
        <v>-9.7491100000000001E-3</v>
      </c>
      <c r="AA3277">
        <v>0.99513309999999999</v>
      </c>
      <c r="AB3277">
        <v>28</v>
      </c>
      <c r="AC3277">
        <v>0.43780000000001001</v>
      </c>
      <c r="AD3277">
        <v>-0.17123869999999899</v>
      </c>
      <c r="AE3277">
        <v>-7.5500000000005202E-2</v>
      </c>
      <c r="AF3277">
        <v>6.2783614926568601E-2</v>
      </c>
      <c r="AG3277">
        <v>-0.17123869999999899</v>
      </c>
      <c r="AH3277">
        <v>0.38166742392331598</v>
      </c>
      <c r="AI3277">
        <v>113.879434563841</v>
      </c>
      <c r="AJ3277">
        <v>80.658604615645899</v>
      </c>
      <c r="AK3277">
        <v>0.42300649778129701</v>
      </c>
      <c r="AL3277">
        <v>89.746910480153304</v>
      </c>
      <c r="AM3277">
        <v>91.565879272834493</v>
      </c>
      <c r="AN3277">
        <v>0.99999998671005597</v>
      </c>
    </row>
    <row r="3278" spans="1:40" x14ac:dyDescent="0.3">
      <c r="A3278" t="str">
        <f>"20200111160518945"</f>
        <v>20200111160518945</v>
      </c>
      <c r="B3278" t="str">
        <f>"1578729918934257"</f>
        <v>1578729918934257</v>
      </c>
      <c r="C3278" t="s">
        <v>40</v>
      </c>
      <c r="D3278">
        <v>5.3522619999999996</v>
      </c>
      <c r="E3278">
        <v>0.55371499999999996</v>
      </c>
      <c r="F3278" t="s">
        <v>42</v>
      </c>
      <c r="G3278">
        <v>-228.5949</v>
      </c>
      <c r="H3278">
        <v>0.94315090000000001</v>
      </c>
      <c r="I3278">
        <v>214.66990000000001</v>
      </c>
      <c r="J3278">
        <v>-229.00620000000001</v>
      </c>
      <c r="K3278">
        <v>1.1102559999999999</v>
      </c>
      <c r="L3278">
        <v>214.74350000000001</v>
      </c>
      <c r="M3278">
        <v>0.99986759999999997</v>
      </c>
      <c r="N3278">
        <v>0</v>
      </c>
      <c r="O3278">
        <v>-8.0656219999999997E-3</v>
      </c>
      <c r="P3278">
        <v>0.99974490000000005</v>
      </c>
      <c r="Q3278">
        <v>-1.088302E-2</v>
      </c>
      <c r="R3278">
        <v>1.9799790000000001E-2</v>
      </c>
      <c r="S3278">
        <v>3.0001679999999999</v>
      </c>
      <c r="T3278">
        <v>-0.722890699999999</v>
      </c>
      <c r="U3278">
        <v>-0.32995609999999997</v>
      </c>
      <c r="V3278">
        <v>-2.7861480000000001E-2</v>
      </c>
      <c r="W3278">
        <v>3.2599550000000001E-3</v>
      </c>
      <c r="X3278">
        <v>0.99960649999999995</v>
      </c>
      <c r="Y3278">
        <v>9.8734740000000001E-2</v>
      </c>
      <c r="Z3278">
        <v>-9.7830269999999997E-3</v>
      </c>
      <c r="AA3278">
        <v>0.99506570000000005</v>
      </c>
      <c r="AB3278">
        <v>28</v>
      </c>
      <c r="AC3278">
        <v>0.41130000000001099</v>
      </c>
      <c r="AD3278">
        <v>-0.16710509999999901</v>
      </c>
      <c r="AE3278">
        <v>-7.3599999999999E-2</v>
      </c>
      <c r="AF3278">
        <v>6.0588927853366399E-2</v>
      </c>
      <c r="AG3278">
        <v>-0.16710509999999901</v>
      </c>
      <c r="AH3278">
        <v>0.35508576416912302</v>
      </c>
      <c r="AI3278">
        <v>114.88658897590599</v>
      </c>
      <c r="AJ3278">
        <v>80.316774920834405</v>
      </c>
      <c r="AK3278">
        <v>0.39709071071985602</v>
      </c>
      <c r="AL3278">
        <v>89.813218010394294</v>
      </c>
      <c r="AM3278">
        <v>91.596560268019203</v>
      </c>
      <c r="AN3278">
        <v>1.0000000221083201</v>
      </c>
    </row>
    <row r="3279" spans="1:40" x14ac:dyDescent="0.3">
      <c r="A3279" t="str">
        <f>"20200111160518967"</f>
        <v>20200111160518967</v>
      </c>
      <c r="B3279" t="str">
        <f>"1578729918964513"</f>
        <v>1578729918964513</v>
      </c>
      <c r="C3279" t="s">
        <v>40</v>
      </c>
      <c r="D3279">
        <v>5.2694669999999997</v>
      </c>
      <c r="E3279">
        <v>0.56652999999999998</v>
      </c>
      <c r="F3279" t="s">
        <v>42</v>
      </c>
      <c r="G3279">
        <v>-228.11179999999999</v>
      </c>
      <c r="H3279">
        <v>0.89255110000000004</v>
      </c>
      <c r="I3279">
        <v>214.64400000000001</v>
      </c>
      <c r="J3279">
        <v>-228.7243</v>
      </c>
      <c r="K3279">
        <v>1.110249</v>
      </c>
      <c r="L3279">
        <v>214.74090000000001</v>
      </c>
      <c r="M3279">
        <v>0.99986489999999995</v>
      </c>
      <c r="N3279">
        <v>0</v>
      </c>
      <c r="O3279">
        <v>-8.3968549999999999E-3</v>
      </c>
      <c r="P3279">
        <v>0.99971120000000002</v>
      </c>
      <c r="Q3279">
        <v>-1.262713E-2</v>
      </c>
      <c r="R3279">
        <v>2.044899E-2</v>
      </c>
      <c r="S3279">
        <v>2.9994200000000002</v>
      </c>
      <c r="T3279">
        <v>-0.73012390000000005</v>
      </c>
      <c r="U3279">
        <v>-0.33380130000000002</v>
      </c>
      <c r="V3279">
        <v>-2.8842530000000002E-2</v>
      </c>
      <c r="W3279">
        <v>1.512829E-3</v>
      </c>
      <c r="X3279">
        <v>0.99958279999999999</v>
      </c>
      <c r="Y3279">
        <v>9.9624569999999996E-2</v>
      </c>
      <c r="Z3279">
        <v>-9.9070960000000007E-3</v>
      </c>
      <c r="AA3279">
        <v>0.99497579999999997</v>
      </c>
      <c r="AB3279">
        <v>28</v>
      </c>
      <c r="AC3279">
        <v>0.61250000000001104</v>
      </c>
      <c r="AD3279">
        <v>-0.217697899999999</v>
      </c>
      <c r="AE3279">
        <v>-9.6900000000005093E-2</v>
      </c>
      <c r="AF3279">
        <v>8.1685833348148801E-2</v>
      </c>
      <c r="AG3279">
        <v>-0.217697899999999</v>
      </c>
      <c r="AH3279">
        <v>0.54600156583126702</v>
      </c>
      <c r="AI3279">
        <v>111.520528872854</v>
      </c>
      <c r="AJ3279">
        <v>81.491239234240197</v>
      </c>
      <c r="AK3279">
        <v>0.59344979646503104</v>
      </c>
      <c r="AL3279">
        <v>89.913321248128995</v>
      </c>
      <c r="AM3279">
        <v>91.652786379422693</v>
      </c>
      <c r="AN3279">
        <v>0.99999997712211097</v>
      </c>
    </row>
    <row r="3280" spans="1:40" x14ac:dyDescent="0.3">
      <c r="A3280" t="str">
        <f>"20200111160518990"</f>
        <v>20200111160518990</v>
      </c>
      <c r="B3280" t="str">
        <f>"1578729918985009"</f>
        <v>1578729918985009</v>
      </c>
      <c r="C3280" t="s">
        <v>40</v>
      </c>
      <c r="D3280">
        <v>5.2973299999999997</v>
      </c>
      <c r="E3280">
        <v>0.56560269999999901</v>
      </c>
      <c r="F3280" t="s">
        <v>42</v>
      </c>
      <c r="G3280">
        <v>-227.86410000000001</v>
      </c>
      <c r="H3280">
        <v>0.87825239999999904</v>
      </c>
      <c r="I3280">
        <v>214.61699999999999</v>
      </c>
      <c r="J3280">
        <v>-228.42679999999999</v>
      </c>
      <c r="K3280">
        <v>1.1102369999999999</v>
      </c>
      <c r="L3280">
        <v>214.738</v>
      </c>
      <c r="M3280">
        <v>0.99986209999999998</v>
      </c>
      <c r="N3280">
        <v>0</v>
      </c>
      <c r="O3280">
        <v>-8.7460839999999995E-3</v>
      </c>
      <c r="P3280">
        <v>0.99966379999999999</v>
      </c>
      <c r="Q3280">
        <v>-1.4018350000000001E-2</v>
      </c>
      <c r="R3280">
        <v>2.1813809999999999E-2</v>
      </c>
      <c r="S3280">
        <v>2.999466</v>
      </c>
      <c r="T3280">
        <v>-0.80891650000000004</v>
      </c>
      <c r="U3280">
        <v>-0.43072510000000003</v>
      </c>
      <c r="V3280">
        <v>-3.0556989999999999E-2</v>
      </c>
      <c r="W3280">
        <v>1.180807E-4</v>
      </c>
      <c r="X3280">
        <v>0.999533</v>
      </c>
      <c r="Y3280">
        <v>0.12926019999999999</v>
      </c>
      <c r="Z3280">
        <v>-1.4735109999999999E-2</v>
      </c>
      <c r="AA3280">
        <v>0.99150119999999997</v>
      </c>
      <c r="AB3280">
        <v>28</v>
      </c>
      <c r="AC3280">
        <v>0.562699999999978</v>
      </c>
      <c r="AD3280">
        <v>-0.23198460000000001</v>
      </c>
      <c r="AE3280">
        <v>-0.12099999999998</v>
      </c>
      <c r="AF3280">
        <v>9.9851998335054995E-2</v>
      </c>
      <c r="AG3280">
        <v>-0.23198460000000001</v>
      </c>
      <c r="AH3280">
        <v>0.48495368313676601</v>
      </c>
      <c r="AI3280">
        <v>115.10477151491899</v>
      </c>
      <c r="AJ3280">
        <v>78.365392053421402</v>
      </c>
      <c r="AK3280">
        <v>0.54677906964017797</v>
      </c>
      <c r="AL3280">
        <v>89.993234474102593</v>
      </c>
      <c r="AM3280">
        <v>91.751059182166898</v>
      </c>
      <c r="AN3280">
        <v>0.999999980834955</v>
      </c>
    </row>
    <row r="3281" spans="1:40" x14ac:dyDescent="0.3">
      <c r="A3281" t="str">
        <f>"20200111160519012"</f>
        <v>20200111160519012</v>
      </c>
      <c r="B3281" t="str">
        <f>"1578729919004529"</f>
        <v>1578729919004529</v>
      </c>
      <c r="C3281" t="s">
        <v>40</v>
      </c>
      <c r="D3281">
        <v>5.0980319999999999</v>
      </c>
      <c r="E3281">
        <v>0.53951280000000001</v>
      </c>
      <c r="F3281" t="s">
        <v>42</v>
      </c>
      <c r="G3281">
        <v>-227.60730000000001</v>
      </c>
      <c r="H3281">
        <v>0.88911890000000005</v>
      </c>
      <c r="I3281">
        <v>214.62309999999999</v>
      </c>
      <c r="J3281">
        <v>-228.15389999999999</v>
      </c>
      <c r="K3281">
        <v>1.1102399999999999</v>
      </c>
      <c r="L3281">
        <v>214.73519999999999</v>
      </c>
      <c r="M3281">
        <v>0.99985930000000001</v>
      </c>
      <c r="N3281">
        <v>0</v>
      </c>
      <c r="O3281">
        <v>-9.0640660000000008E-3</v>
      </c>
      <c r="P3281">
        <v>0.99961730000000004</v>
      </c>
      <c r="Q3281">
        <v>-1.505865E-2</v>
      </c>
      <c r="R3281">
        <v>2.3213999999999999E-2</v>
      </c>
      <c r="S3281">
        <v>2.9988100000000002</v>
      </c>
      <c r="T3281">
        <v>-0.80908259999999999</v>
      </c>
      <c r="U3281">
        <v>-0.4194946</v>
      </c>
      <c r="V3281">
        <v>-3.2275129999999999E-2</v>
      </c>
      <c r="W3281">
        <v>-9.2473380000000001E-4</v>
      </c>
      <c r="X3281">
        <v>0.99947859999999999</v>
      </c>
      <c r="Y3281">
        <v>0.12547239999999901</v>
      </c>
      <c r="Z3281">
        <v>-1.4161200000000001E-2</v>
      </c>
      <c r="AA3281">
        <v>0.99199599999999999</v>
      </c>
      <c r="AB3281">
        <v>28</v>
      </c>
      <c r="AC3281">
        <v>0.54659999999998299</v>
      </c>
      <c r="AD3281">
        <v>-0.22112109999999899</v>
      </c>
      <c r="AE3281">
        <v>-0.11209999999999801</v>
      </c>
      <c r="AF3281">
        <v>9.2598250203048793E-2</v>
      </c>
      <c r="AG3281">
        <v>-0.22112109999999899</v>
      </c>
      <c r="AH3281">
        <v>0.47326855136475099</v>
      </c>
      <c r="AI3281">
        <v>114.63273623951901</v>
      </c>
      <c r="AJ3281">
        <v>78.929537486571405</v>
      </c>
      <c r="AK3281">
        <v>0.53052059198184398</v>
      </c>
      <c r="AL3281">
        <v>90.052983351172799</v>
      </c>
      <c r="AM3281">
        <v>91.849550715725201</v>
      </c>
      <c r="AN3281">
        <v>1.0000000055035301</v>
      </c>
    </row>
    <row r="3282" spans="1:40" x14ac:dyDescent="0.3">
      <c r="A3282" t="str">
        <f>"20200111160519057"</f>
        <v>20200111160519057</v>
      </c>
      <c r="B3282" t="str">
        <f>"1578729919054306"</f>
        <v>1578729919054306</v>
      </c>
      <c r="C3282" t="s">
        <v>40</v>
      </c>
      <c r="D3282">
        <v>5.0865600000000004</v>
      </c>
      <c r="E3282">
        <v>0.5266284</v>
      </c>
      <c r="F3282" t="s">
        <v>42</v>
      </c>
      <c r="G3282">
        <v>-227.3235</v>
      </c>
      <c r="H3282">
        <v>0.95726739999999999</v>
      </c>
      <c r="I3282">
        <v>214.67400000000001</v>
      </c>
      <c r="J3282">
        <v>-227.5943</v>
      </c>
      <c r="K3282">
        <v>1.110268</v>
      </c>
      <c r="L3282">
        <v>214.7294</v>
      </c>
      <c r="M3282">
        <v>0.99985360000000001</v>
      </c>
      <c r="N3282">
        <v>0</v>
      </c>
      <c r="O3282">
        <v>-9.6845679999999993E-3</v>
      </c>
      <c r="P3282">
        <v>0.99960919999999998</v>
      </c>
      <c r="Q3282">
        <v>-1.3982980000000001E-2</v>
      </c>
      <c r="R3282">
        <v>2.4211460000000001E-2</v>
      </c>
      <c r="S3282">
        <v>2.9979550000000001</v>
      </c>
      <c r="T3282">
        <v>-0.55239700000000003</v>
      </c>
      <c r="U3282">
        <v>-0.22016910000000001</v>
      </c>
      <c r="V3282">
        <v>-3.3891690000000002E-2</v>
      </c>
      <c r="W3282">
        <v>1.4383000000000001E-4</v>
      </c>
      <c r="X3282">
        <v>0.99942549999999997</v>
      </c>
      <c r="Y3282">
        <v>6.2692139999999993E-2</v>
      </c>
      <c r="Z3282">
        <v>-3.9527980000000004E-3</v>
      </c>
      <c r="AA3282">
        <v>0.9980251</v>
      </c>
      <c r="AB3282">
        <v>28</v>
      </c>
      <c r="AC3282">
        <v>0.27080000000000798</v>
      </c>
      <c r="AD3282">
        <v>-0.15300059999999899</v>
      </c>
      <c r="AE3282">
        <v>-5.5399999999991602E-2</v>
      </c>
      <c r="AF3282">
        <v>4.03970704355903E-2</v>
      </c>
      <c r="AG3282">
        <v>-0.15300059999999899</v>
      </c>
      <c r="AH3282">
        <v>0.20768889142515601</v>
      </c>
      <c r="AI3282">
        <v>125.87180192999099</v>
      </c>
      <c r="AJ3282">
        <v>78.992971774964303</v>
      </c>
      <c r="AK3282">
        <v>0.26110492626824999</v>
      </c>
      <c r="AL3282">
        <v>89.991759147993406</v>
      </c>
      <c r="AM3282">
        <v>91.942222762555005</v>
      </c>
      <c r="AN3282">
        <v>0.99999999869418699</v>
      </c>
    </row>
    <row r="3283" spans="1:40" x14ac:dyDescent="0.3">
      <c r="A3283" t="str">
        <f>"20200111160519079"</f>
        <v>20200111160519079</v>
      </c>
      <c r="B3283" t="str">
        <f>"1578729919074801"</f>
        <v>1578729919074801</v>
      </c>
      <c r="C3283" t="s">
        <v>40</v>
      </c>
      <c r="D3283">
        <v>4.9806689999999998</v>
      </c>
      <c r="E3283">
        <v>0.52867010000000003</v>
      </c>
      <c r="F3283" t="s">
        <v>56</v>
      </c>
      <c r="G3283">
        <v>-198.3006</v>
      </c>
      <c r="H3283" s="1">
        <v>2.598646E-6</v>
      </c>
      <c r="I3283">
        <v>213.39879999999999</v>
      </c>
      <c r="J3283">
        <v>-227.31100000000001</v>
      </c>
      <c r="K3283">
        <v>1.1102810000000001</v>
      </c>
      <c r="L3283">
        <v>214.72630000000001</v>
      </c>
      <c r="M3283">
        <v>0.99985089999999999</v>
      </c>
      <c r="N3283">
        <v>0</v>
      </c>
      <c r="O3283">
        <v>-9.9644729999999997E-3</v>
      </c>
      <c r="P3283">
        <v>0.99960420000000005</v>
      </c>
      <c r="Q3283">
        <v>-1.395909E-2</v>
      </c>
      <c r="R3283">
        <v>2.442708E-2</v>
      </c>
      <c r="S3283">
        <v>3.0028839999999999</v>
      </c>
      <c r="T3283">
        <v>-0.113813</v>
      </c>
      <c r="U3283">
        <v>-0.1363983</v>
      </c>
      <c r="V3283">
        <v>-3.4387309999999997E-2</v>
      </c>
      <c r="W3283">
        <v>1.633804E-4</v>
      </c>
      <c r="X3283">
        <v>0.99940850000000003</v>
      </c>
      <c r="Y3283">
        <v>3.5399979999999998E-2</v>
      </c>
      <c r="Z3283">
        <v>-2.929184E-4</v>
      </c>
      <c r="AA3283">
        <v>0.99937319999999996</v>
      </c>
      <c r="AB3283">
        <v>28</v>
      </c>
      <c r="AC3283">
        <v>29.010399999999901</v>
      </c>
      <c r="AD3283">
        <v>-1.1102784013539999</v>
      </c>
      <c r="AE3283">
        <v>-1.3275000000000099</v>
      </c>
      <c r="AF3283">
        <v>1.0368165041139401</v>
      </c>
      <c r="AG3283">
        <v>-1.1102784013539999</v>
      </c>
      <c r="AH3283">
        <v>28.979829789666699</v>
      </c>
      <c r="AI3283">
        <v>92.192647606844403</v>
      </c>
      <c r="AJ3283">
        <v>87.950992695787093</v>
      </c>
      <c r="AK3283">
        <v>29.019618213025598</v>
      </c>
      <c r="AL3283">
        <v>89.990638991945005</v>
      </c>
      <c r="AM3283">
        <v>91.970636398034003</v>
      </c>
      <c r="AN3283">
        <v>0.99999993182721802</v>
      </c>
    </row>
    <row r="3284" spans="1:40" x14ac:dyDescent="0.3">
      <c r="A3284" t="str">
        <f>"20200111160519101"</f>
        <v>20200111160519101</v>
      </c>
      <c r="B3284" t="str">
        <f>"1578729919094321"</f>
        <v>1578729919094321</v>
      </c>
      <c r="C3284" t="s">
        <v>40</v>
      </c>
      <c r="D3284">
        <v>5.0518510000000001</v>
      </c>
      <c r="E3284">
        <v>0.528582199999999</v>
      </c>
      <c r="F3284" t="s">
        <v>56</v>
      </c>
      <c r="G3284">
        <v>-208.0778</v>
      </c>
      <c r="H3284" s="1">
        <v>5.8731959999999998E-6</v>
      </c>
      <c r="I3284">
        <v>213.76949999999999</v>
      </c>
      <c r="J3284">
        <v>-227.03450000000001</v>
      </c>
      <c r="K3284">
        <v>1.1102909999999999</v>
      </c>
      <c r="L3284">
        <v>214.72319999999999</v>
      </c>
      <c r="M3284">
        <v>0.99984870000000003</v>
      </c>
      <c r="N3284">
        <v>0</v>
      </c>
      <c r="O3284">
        <v>-1.0195900000000001E-2</v>
      </c>
      <c r="P3284">
        <v>0.99958029999999998</v>
      </c>
      <c r="Q3284">
        <v>-1.5596219999999999E-2</v>
      </c>
      <c r="R3284">
        <v>2.442341E-2</v>
      </c>
      <c r="S3284">
        <v>3.0024259999999998</v>
      </c>
      <c r="T3284">
        <v>-0.173321</v>
      </c>
      <c r="U3284">
        <v>-0.14935300000000001</v>
      </c>
      <c r="V3284">
        <v>-3.4616019999999997E-2</v>
      </c>
      <c r="W3284">
        <v>-1.4794560000000001E-3</v>
      </c>
      <c r="X3284">
        <v>0.99939960000000005</v>
      </c>
      <c r="Y3284">
        <v>3.9447210000000003E-2</v>
      </c>
      <c r="Z3284">
        <v>-5.4919569999999996E-4</v>
      </c>
      <c r="AA3284">
        <v>0.99922149999999998</v>
      </c>
      <c r="AB3284">
        <v>28</v>
      </c>
      <c r="AC3284">
        <v>18.956700000000001</v>
      </c>
      <c r="AD3284">
        <v>-1.1102851268039999</v>
      </c>
      <c r="AE3284">
        <v>-0.95369999999999699</v>
      </c>
      <c r="AF3284">
        <v>0.75775775960741798</v>
      </c>
      <c r="AG3284">
        <v>-1.1102851268039999</v>
      </c>
      <c r="AH3284">
        <v>18.900765920587801</v>
      </c>
      <c r="AI3284">
        <v>93.359162454503704</v>
      </c>
      <c r="AJ3284">
        <v>87.704162740232505</v>
      </c>
      <c r="AK3284">
        <v>18.948506069606101</v>
      </c>
      <c r="AL3284">
        <v>90.084766614930402</v>
      </c>
      <c r="AM3284">
        <v>91.983750315302203</v>
      </c>
      <c r="AN3284">
        <v>1.00000000905542</v>
      </c>
    </row>
    <row r="3285" spans="1:40" x14ac:dyDescent="0.3">
      <c r="A3285" t="str">
        <f>"20200111160519123"</f>
        <v>20200111160519123</v>
      </c>
      <c r="B3285" t="str">
        <f>"1578729919114818"</f>
        <v>1578729919114818</v>
      </c>
      <c r="C3285" t="s">
        <v>40</v>
      </c>
      <c r="D3285">
        <v>4.901262</v>
      </c>
      <c r="E3285">
        <v>0.52876029999999996</v>
      </c>
      <c r="F3285" t="s">
        <v>57</v>
      </c>
      <c r="G3285">
        <v>-212.0078</v>
      </c>
      <c r="H3285" s="1">
        <v>-4.4099809999999998E-7</v>
      </c>
      <c r="I3285">
        <v>213.9905</v>
      </c>
      <c r="J3285">
        <v>-226.7586</v>
      </c>
      <c r="K3285">
        <v>1.110312</v>
      </c>
      <c r="L3285">
        <v>214.72020000000001</v>
      </c>
      <c r="M3285">
        <v>0.99984689999999998</v>
      </c>
      <c r="N3285">
        <v>0</v>
      </c>
      <c r="O3285">
        <v>-1.036281E-2</v>
      </c>
      <c r="P3285">
        <v>0.99953890000000001</v>
      </c>
      <c r="Q3285">
        <v>-1.8212200000000001E-2</v>
      </c>
      <c r="R3285">
        <v>2.4298710000000001E-2</v>
      </c>
      <c r="S3285">
        <v>3.0013890000000001</v>
      </c>
      <c r="T3285">
        <v>-0.22176560000000001</v>
      </c>
      <c r="U3285">
        <v>-0.146362299999999</v>
      </c>
      <c r="V3285">
        <v>-3.4658179999999997E-2</v>
      </c>
      <c r="W3285">
        <v>-4.1024809999999998E-3</v>
      </c>
      <c r="X3285">
        <v>0.99939080000000002</v>
      </c>
      <c r="Y3285">
        <v>3.8276930000000001E-2</v>
      </c>
      <c r="Z3285">
        <v>-6.4712919999999896E-4</v>
      </c>
      <c r="AA3285">
        <v>0.99926700000000002</v>
      </c>
      <c r="AB3285">
        <v>28</v>
      </c>
      <c r="AC3285">
        <v>14.7507999999999</v>
      </c>
      <c r="AD3285">
        <v>-1.1103124409981</v>
      </c>
      <c r="AE3285">
        <v>-0.72970000000000801</v>
      </c>
      <c r="AF3285">
        <v>0.57354423787042197</v>
      </c>
      <c r="AG3285">
        <v>-1.1103124409981</v>
      </c>
      <c r="AH3285">
        <v>14.6746301120544</v>
      </c>
      <c r="AI3285">
        <v>94.323582863349003</v>
      </c>
      <c r="AJ3285">
        <v>87.761787077848396</v>
      </c>
      <c r="AK3285">
        <v>14.727746454737799</v>
      </c>
      <c r="AL3285">
        <v>90.235055507247793</v>
      </c>
      <c r="AM3285">
        <v>91.986181931655906</v>
      </c>
      <c r="AN3285">
        <v>0.99999999545795304</v>
      </c>
    </row>
    <row r="3286" spans="1:40" x14ac:dyDescent="0.3">
      <c r="A3286" t="str">
        <f>"20200111160519147"</f>
        <v>20200111160519147</v>
      </c>
      <c r="B3286" t="str">
        <f>"1578729919134337"</f>
        <v>1578729919134337</v>
      </c>
      <c r="C3286" t="s">
        <v>40</v>
      </c>
      <c r="D3286">
        <v>4.8289970000000002</v>
      </c>
      <c r="E3286">
        <v>0.52932919999999895</v>
      </c>
      <c r="F3286" t="s">
        <v>42</v>
      </c>
      <c r="G3286">
        <v>-226.01900000000001</v>
      </c>
      <c r="H3286">
        <v>1.0474079999999999</v>
      </c>
      <c r="I3286">
        <v>214.68389999999999</v>
      </c>
      <c r="J3286">
        <v>-226.477</v>
      </c>
      <c r="K3286">
        <v>1.110352</v>
      </c>
      <c r="L3286">
        <v>214.71709999999999</v>
      </c>
      <c r="M3286">
        <v>0.99984600000000001</v>
      </c>
      <c r="N3286">
        <v>0</v>
      </c>
      <c r="O3286">
        <v>-1.0452009999999999E-2</v>
      </c>
      <c r="P3286">
        <v>0.99946780000000002</v>
      </c>
      <c r="Q3286">
        <v>-2.1111009999999999E-2</v>
      </c>
      <c r="R3286">
        <v>2.486623E-2</v>
      </c>
      <c r="S3286">
        <v>3.0002900000000001</v>
      </c>
      <c r="T3286">
        <v>-0.25526670000000001</v>
      </c>
      <c r="U3286">
        <v>-0.14698789999999901</v>
      </c>
      <c r="V3286">
        <v>-3.5313799999999999E-2</v>
      </c>
      <c r="W3286">
        <v>-7.009759E-3</v>
      </c>
      <c r="X3286">
        <v>0.99935169999999995</v>
      </c>
      <c r="Y3286">
        <v>3.838867E-2</v>
      </c>
      <c r="Z3286">
        <v>-7.4199929999999904E-4</v>
      </c>
      <c r="AA3286">
        <v>0.9992626</v>
      </c>
      <c r="AB3286">
        <v>28</v>
      </c>
      <c r="AC3286">
        <v>0.45799999999999802</v>
      </c>
      <c r="AD3286">
        <v>-6.2944000000000097E-2</v>
      </c>
      <c r="AE3286">
        <v>-3.3199999999993603E-2</v>
      </c>
      <c r="AF3286">
        <v>2.7886728537213901E-2</v>
      </c>
      <c r="AG3286">
        <v>-6.2944000000000097E-2</v>
      </c>
      <c r="AH3286">
        <v>0.44986946104738701</v>
      </c>
      <c r="AI3286">
        <v>97.949834449985701</v>
      </c>
      <c r="AJ3286">
        <v>86.452859886281402</v>
      </c>
      <c r="AK3286">
        <v>0.45510674434419801</v>
      </c>
      <c r="AL3286">
        <v>90.401632890989006</v>
      </c>
      <c r="AM3286">
        <v>92.023802193304505</v>
      </c>
      <c r="AN3286">
        <v>1.00000001074228</v>
      </c>
    </row>
    <row r="3287" spans="1:40" x14ac:dyDescent="0.3">
      <c r="A3287" t="str">
        <f>"20200111160519168"</f>
        <v>20200111160519168</v>
      </c>
      <c r="B3287" t="str">
        <f>"1578729919164594"</f>
        <v>1578729919164594</v>
      </c>
      <c r="C3287" t="s">
        <v>40</v>
      </c>
      <c r="D3287">
        <v>4.7097410000000002</v>
      </c>
      <c r="E3287">
        <v>0.5297868</v>
      </c>
      <c r="F3287" t="s">
        <v>42</v>
      </c>
      <c r="G3287">
        <v>-225.5341</v>
      </c>
      <c r="H3287">
        <v>1.0227660000000001</v>
      </c>
      <c r="I3287">
        <v>214.67019999999999</v>
      </c>
      <c r="J3287">
        <v>-226.1994</v>
      </c>
      <c r="K3287">
        <v>1.1104069999999999</v>
      </c>
      <c r="L3287">
        <v>214.71420000000001</v>
      </c>
      <c r="M3287">
        <v>0.99984620000000002</v>
      </c>
      <c r="N3287">
        <v>0</v>
      </c>
      <c r="O3287">
        <v>-1.043933E-2</v>
      </c>
      <c r="P3287">
        <v>0.99943300000000002</v>
      </c>
      <c r="Q3287">
        <v>-2.1578460000000001E-2</v>
      </c>
      <c r="R3287">
        <v>2.585399E-2</v>
      </c>
      <c r="S3287">
        <v>2.9994200000000002</v>
      </c>
      <c r="T3287">
        <v>-0.27871079999999998</v>
      </c>
      <c r="U3287">
        <v>-0.1491547</v>
      </c>
      <c r="V3287">
        <v>-3.6287680000000003E-2</v>
      </c>
      <c r="W3287">
        <v>-7.4865490000000003E-3</v>
      </c>
      <c r="X3287">
        <v>0.99931340000000002</v>
      </c>
      <c r="Y3287">
        <v>3.911307E-2</v>
      </c>
      <c r="Z3287">
        <v>-8.4482559999999999E-4</v>
      </c>
      <c r="AA3287">
        <v>0.99923439999999997</v>
      </c>
      <c r="AB3287">
        <v>28</v>
      </c>
      <c r="AC3287">
        <v>0.665300000000002</v>
      </c>
      <c r="AD3287">
        <v>-8.7640999999999802E-2</v>
      </c>
      <c r="AE3287">
        <v>-4.40000000000111E-2</v>
      </c>
      <c r="AF3287">
        <v>3.64223342734298E-2</v>
      </c>
      <c r="AG3287">
        <v>-8.7640999999999802E-2</v>
      </c>
      <c r="AH3287">
        <v>0.65441635208750104</v>
      </c>
      <c r="AI3287">
        <v>97.616153415913899</v>
      </c>
      <c r="AJ3287">
        <v>86.8144205512789</v>
      </c>
      <c r="AK3287">
        <v>0.66126265068763501</v>
      </c>
      <c r="AL3287">
        <v>90.428951643107496</v>
      </c>
      <c r="AM3287">
        <v>92.079645667997198</v>
      </c>
      <c r="AN3287">
        <v>1.00000005777763</v>
      </c>
    </row>
    <row r="3288" spans="1:40" x14ac:dyDescent="0.3">
      <c r="A3288" t="str">
        <f>"20200111160519190"</f>
        <v>20200111160519190</v>
      </c>
      <c r="B3288" t="str">
        <f>"1578729919185089"</f>
        <v>1578729919185089</v>
      </c>
      <c r="C3288" t="s">
        <v>40</v>
      </c>
      <c r="D3288">
        <v>4.7558850000000001</v>
      </c>
      <c r="E3288">
        <v>0.52986540000000004</v>
      </c>
      <c r="F3288" t="s">
        <v>42</v>
      </c>
      <c r="G3288">
        <v>-225.2852</v>
      </c>
      <c r="H3288">
        <v>1.021118</v>
      </c>
      <c r="I3288">
        <v>214.6686</v>
      </c>
      <c r="J3288">
        <v>-225.91069999999999</v>
      </c>
      <c r="K3288">
        <v>1.1104909999999999</v>
      </c>
      <c r="L3288">
        <v>214.71129999999999</v>
      </c>
      <c r="M3288">
        <v>0.9998475</v>
      </c>
      <c r="N3288">
        <v>0</v>
      </c>
      <c r="O3288">
        <v>-1.032019E-2</v>
      </c>
      <c r="P3288">
        <v>0.99945249999999997</v>
      </c>
      <c r="Q3288">
        <v>-1.9514630000000002E-2</v>
      </c>
      <c r="R3288">
        <v>2.6722610000000001E-2</v>
      </c>
      <c r="S3288">
        <v>2.9992369999999999</v>
      </c>
      <c r="T3288">
        <v>-0.29305019999999998</v>
      </c>
      <c r="U3288">
        <v>-0.14941409999999999</v>
      </c>
      <c r="V3288">
        <v>-3.7036279999999998E-2</v>
      </c>
      <c r="W3288">
        <v>-5.4324569999999999E-3</v>
      </c>
      <c r="X3288">
        <v>0.99929920000000005</v>
      </c>
      <c r="Y3288">
        <v>3.9306889999999997E-2</v>
      </c>
      <c r="Z3288">
        <v>-9.0918819999999997E-4</v>
      </c>
      <c r="AA3288">
        <v>0.99922670000000002</v>
      </c>
      <c r="AB3288">
        <v>28</v>
      </c>
      <c r="AC3288">
        <v>0.62549999999998795</v>
      </c>
      <c r="AD3288">
        <v>-8.9372999999999897E-2</v>
      </c>
      <c r="AE3288">
        <v>-4.2699999999996401E-2</v>
      </c>
      <c r="AF3288">
        <v>3.5520014165526199E-2</v>
      </c>
      <c r="AG3288">
        <v>-8.9372999999999897E-2</v>
      </c>
      <c r="AH3288">
        <v>0.61344182550631299</v>
      </c>
      <c r="AI3288">
        <v>98.275495108709507</v>
      </c>
      <c r="AJ3288">
        <v>86.686112778162993</v>
      </c>
      <c r="AK3288">
        <v>0.62093484184400305</v>
      </c>
      <c r="AL3288">
        <v>90.311258375642396</v>
      </c>
      <c r="AM3288">
        <v>92.122539197426903</v>
      </c>
      <c r="AN3288">
        <v>1.00000004437296</v>
      </c>
    </row>
    <row r="3289" spans="1:40" x14ac:dyDescent="0.3">
      <c r="A3289" t="str">
        <f>"20200111160519213"</f>
        <v>20200111160519213</v>
      </c>
      <c r="B3289" t="str">
        <f>"1578729919204612"</f>
        <v>1578729919204612</v>
      </c>
      <c r="C3289" t="s">
        <v>40</v>
      </c>
      <c r="D3289">
        <v>4.6925189999999999</v>
      </c>
      <c r="E3289">
        <v>0.53008540000000004</v>
      </c>
      <c r="F3289" t="s">
        <v>42</v>
      </c>
      <c r="G3289">
        <v>-225.0334</v>
      </c>
      <c r="H3289">
        <v>1.0261439999999999</v>
      </c>
      <c r="I3289">
        <v>214.66820000000001</v>
      </c>
      <c r="J3289">
        <v>-225.63900000000001</v>
      </c>
      <c r="K3289">
        <v>1.1106</v>
      </c>
      <c r="L3289">
        <v>214.70859999999999</v>
      </c>
      <c r="M3289">
        <v>0.9998494</v>
      </c>
      <c r="N3289">
        <v>0</v>
      </c>
      <c r="O3289">
        <v>-1.008063E-2</v>
      </c>
      <c r="P3289">
        <v>0.99947810000000004</v>
      </c>
      <c r="Q3289">
        <v>-1.6548029999999998E-2</v>
      </c>
      <c r="R3289">
        <v>2.7743400000000001E-2</v>
      </c>
      <c r="S3289">
        <v>2.999924</v>
      </c>
      <c r="T3289">
        <v>-0.288497</v>
      </c>
      <c r="U3289">
        <v>-0.14710999999999999</v>
      </c>
      <c r="V3289">
        <v>-3.7817240000000002E-2</v>
      </c>
      <c r="W3289">
        <v>-2.434187E-3</v>
      </c>
      <c r="X3289">
        <v>0.99928170000000005</v>
      </c>
      <c r="Y3289">
        <v>3.8774980000000001E-2</v>
      </c>
      <c r="Z3289">
        <v>-8.9240679999999897E-4</v>
      </c>
      <c r="AA3289">
        <v>0.99924760000000001</v>
      </c>
      <c r="AB3289">
        <v>28</v>
      </c>
      <c r="AC3289">
        <v>0.60560000000000902</v>
      </c>
      <c r="AD3289">
        <v>-8.4456000000000003E-2</v>
      </c>
      <c r="AE3289">
        <v>-4.0399999999976899E-2</v>
      </c>
      <c r="AF3289">
        <v>3.36411325598878E-2</v>
      </c>
      <c r="AG3289">
        <v>-8.4456000000000003E-2</v>
      </c>
      <c r="AH3289">
        <v>0.59446618547869901</v>
      </c>
      <c r="AI3289">
        <v>98.073171309292505</v>
      </c>
      <c r="AJ3289">
        <v>86.761058382904395</v>
      </c>
      <c r="AK3289">
        <v>0.60137724218123501</v>
      </c>
      <c r="AL3289">
        <v>90.139468780433006</v>
      </c>
      <c r="AM3289">
        <v>92.167291482841193</v>
      </c>
      <c r="AN3289">
        <v>0.99999999243122895</v>
      </c>
    </row>
    <row r="3290" spans="1:40" x14ac:dyDescent="0.3">
      <c r="A3290" t="str">
        <f>"20200111160519235"</f>
        <v>20200111160519235</v>
      </c>
      <c r="B3290" t="str">
        <f>"1578729919225106"</f>
        <v>1578729919225106</v>
      </c>
      <c r="C3290" t="s">
        <v>40</v>
      </c>
      <c r="D3290">
        <v>4.6963080000000001</v>
      </c>
      <c r="E3290">
        <v>0.53018949999999998</v>
      </c>
      <c r="F3290" t="s">
        <v>42</v>
      </c>
      <c r="G3290">
        <v>-224.78229999999999</v>
      </c>
      <c r="H3290">
        <v>1.0309109999999999</v>
      </c>
      <c r="I3290">
        <v>214.667</v>
      </c>
      <c r="J3290">
        <v>-225.35810000000001</v>
      </c>
      <c r="K3290">
        <v>1.110784</v>
      </c>
      <c r="L3290">
        <v>214.7062</v>
      </c>
      <c r="M3290">
        <v>0.99985060000000003</v>
      </c>
      <c r="N3290">
        <v>0</v>
      </c>
      <c r="O3290">
        <v>-9.6714660000000001E-3</v>
      </c>
      <c r="P3290">
        <v>0.99948780000000004</v>
      </c>
      <c r="Q3290">
        <v>-1.369327E-2</v>
      </c>
      <c r="R3290">
        <v>2.892511E-2</v>
      </c>
      <c r="S3290">
        <v>3.001007</v>
      </c>
      <c r="T3290">
        <v>-0.2791785</v>
      </c>
      <c r="U3290">
        <v>-0.14553829999999901</v>
      </c>
      <c r="V3290">
        <v>-3.8592109999999999E-2</v>
      </c>
      <c r="W3290">
        <v>5.9825570000000003E-4</v>
      </c>
      <c r="X3290">
        <v>0.99925489999999995</v>
      </c>
      <c r="Y3290">
        <v>3.8651379999999999E-2</v>
      </c>
      <c r="Z3290">
        <v>-8.9562889999999997E-4</v>
      </c>
      <c r="AA3290">
        <v>0.99925240000000004</v>
      </c>
      <c r="AB3290">
        <v>28</v>
      </c>
      <c r="AC3290">
        <v>0.57580000000001497</v>
      </c>
      <c r="AD3290">
        <v>-7.9872999999999805E-2</v>
      </c>
      <c r="AE3290">
        <v>-3.9199999999993899E-2</v>
      </c>
      <c r="AF3290">
        <v>3.2996760646676601E-2</v>
      </c>
      <c r="AG3290">
        <v>-7.9872999999999805E-2</v>
      </c>
      <c r="AH3290">
        <v>0.56532427833836396</v>
      </c>
      <c r="AI3290">
        <v>98.028437151348797</v>
      </c>
      <c r="AJ3290">
        <v>86.659558712901102</v>
      </c>
      <c r="AK3290">
        <v>0.57189161737252803</v>
      </c>
      <c r="AL3290">
        <v>89.965722472373102</v>
      </c>
      <c r="AM3290">
        <v>92.211714585617798</v>
      </c>
      <c r="AN3290">
        <v>1.0000000320190701</v>
      </c>
    </row>
    <row r="3291" spans="1:40" x14ac:dyDescent="0.3">
      <c r="A3291" t="str">
        <f>"20200111160519258"</f>
        <v>20200111160519258</v>
      </c>
      <c r="B3291" t="str">
        <f>"1578729919254386"</f>
        <v>1578729919254386</v>
      </c>
      <c r="C3291" t="s">
        <v>40</v>
      </c>
      <c r="D3291">
        <v>4.6130940000000002</v>
      </c>
      <c r="E3291">
        <v>0.53052319999999997</v>
      </c>
      <c r="F3291" t="s">
        <v>42</v>
      </c>
      <c r="G3291">
        <v>-224.53190000000001</v>
      </c>
      <c r="H3291">
        <v>1.0366340000000001</v>
      </c>
      <c r="I3291">
        <v>214.66669999999999</v>
      </c>
      <c r="J3291">
        <v>-225.08420000000001</v>
      </c>
      <c r="K3291">
        <v>1.1110329999999999</v>
      </c>
      <c r="L3291">
        <v>214.70400000000001</v>
      </c>
      <c r="M3291">
        <v>0.99985119999999905</v>
      </c>
      <c r="N3291">
        <v>0</v>
      </c>
      <c r="O3291">
        <v>-9.0914099999999994E-3</v>
      </c>
      <c r="P3291">
        <v>0.99950220000000001</v>
      </c>
      <c r="Q3291">
        <v>-1.0338119999999999E-2</v>
      </c>
      <c r="R3291">
        <v>2.9809490000000001E-2</v>
      </c>
      <c r="S3291">
        <v>3.0019680000000002</v>
      </c>
      <c r="T3291">
        <v>-0.26944420000000002</v>
      </c>
      <c r="U3291">
        <v>-0.14299010000000001</v>
      </c>
      <c r="V3291">
        <v>-3.8900039999999997E-2</v>
      </c>
      <c r="W3291">
        <v>4.2846710000000003E-3</v>
      </c>
      <c r="X3291">
        <v>0.99923390000000001</v>
      </c>
      <c r="Y3291">
        <v>3.8376680000000003E-2</v>
      </c>
      <c r="Z3291">
        <v>-9.0389590000000003E-4</v>
      </c>
      <c r="AA3291">
        <v>0.99926289999999995</v>
      </c>
      <c r="AB3291">
        <v>28</v>
      </c>
      <c r="AC3291">
        <v>0.55230000000000201</v>
      </c>
      <c r="AD3291">
        <v>-7.4398999999999799E-2</v>
      </c>
      <c r="AE3291">
        <v>-3.7300000000016098E-2</v>
      </c>
      <c r="AF3291">
        <v>3.1704039091541902E-2</v>
      </c>
      <c r="AG3291">
        <v>-7.4398999999999799E-2</v>
      </c>
      <c r="AH3291">
        <v>0.54281111497942502</v>
      </c>
      <c r="AI3291">
        <v>97.791353395903698</v>
      </c>
      <c r="AJ3291">
        <v>86.657315603775103</v>
      </c>
      <c r="AK3291">
        <v>0.54880257273533695</v>
      </c>
      <c r="AL3291">
        <v>89.7545056788436</v>
      </c>
      <c r="AM3291">
        <v>92.229391129105295</v>
      </c>
      <c r="AN3291">
        <v>0.99999997921339401</v>
      </c>
    </row>
    <row r="3292" spans="1:40" x14ac:dyDescent="0.3">
      <c r="A3292" t="str">
        <f>"20200111160519280"</f>
        <v>20200111160519280</v>
      </c>
      <c r="B3292" t="str">
        <f>"1578729919274881"</f>
        <v>1578729919274881</v>
      </c>
      <c r="C3292" t="s">
        <v>40</v>
      </c>
      <c r="D3292">
        <v>4.5613429999999999</v>
      </c>
      <c r="E3292">
        <v>0.5306999</v>
      </c>
      <c r="F3292" t="s">
        <v>42</v>
      </c>
      <c r="G3292">
        <v>-224.28190000000001</v>
      </c>
      <c r="H3292">
        <v>1.0418350000000001</v>
      </c>
      <c r="I3292">
        <v>214.66589999999999</v>
      </c>
      <c r="J3292">
        <v>-224.80869999999999</v>
      </c>
      <c r="K3292">
        <v>1.1113189999999999</v>
      </c>
      <c r="L3292">
        <v>214.70230000000001</v>
      </c>
      <c r="M3292">
        <v>0.9998515</v>
      </c>
      <c r="N3292">
        <v>0</v>
      </c>
      <c r="O3292">
        <v>-8.3008089999999993E-3</v>
      </c>
      <c r="P3292">
        <v>0.99953449999999999</v>
      </c>
      <c r="Q3292">
        <v>-6.7737659999999996E-3</v>
      </c>
      <c r="R3292">
        <v>2.9747389999999999E-2</v>
      </c>
      <c r="S3292">
        <v>3.0030670000000002</v>
      </c>
      <c r="T3292">
        <v>-0.2590266</v>
      </c>
      <c r="U3292">
        <v>-0.1427155</v>
      </c>
      <c r="V3292">
        <v>-3.8055239999999997E-2</v>
      </c>
      <c r="W3292">
        <v>8.2714260000000001E-3</v>
      </c>
      <c r="X3292">
        <v>0.99924139999999995</v>
      </c>
      <c r="Y3292">
        <v>3.9061680000000001E-2</v>
      </c>
      <c r="Z3292">
        <v>-9.6625810000000004E-4</v>
      </c>
      <c r="AA3292">
        <v>0.99923629999999997</v>
      </c>
      <c r="AB3292">
        <v>28</v>
      </c>
      <c r="AC3292">
        <v>0.52679999999997995</v>
      </c>
      <c r="AD3292">
        <v>-6.9483999999999796E-2</v>
      </c>
      <c r="AE3292">
        <v>-3.6400000000014601E-2</v>
      </c>
      <c r="AF3292">
        <v>3.1480315283612802E-2</v>
      </c>
      <c r="AG3292">
        <v>-6.9483999999999796E-2</v>
      </c>
      <c r="AH3292">
        <v>0.51811316789393203</v>
      </c>
      <c r="AI3292">
        <v>97.624449448159794</v>
      </c>
      <c r="AJ3292">
        <v>86.523009554451306</v>
      </c>
      <c r="AK3292">
        <v>0.52369866454998804</v>
      </c>
      <c r="AL3292">
        <v>89.526076793914797</v>
      </c>
      <c r="AM3292">
        <v>92.181005914167898</v>
      </c>
      <c r="AN3292">
        <v>0.99999999662674499</v>
      </c>
    </row>
    <row r="3293" spans="1:40" x14ac:dyDescent="0.3">
      <c r="A3293" t="str">
        <f>"20200111160519303"</f>
        <v>20200111160519303</v>
      </c>
      <c r="B3293" t="str">
        <f>"1578729919294401"</f>
        <v>1578729919294401</v>
      </c>
      <c r="C3293" t="s">
        <v>40</v>
      </c>
      <c r="D3293">
        <v>4.6079030000000003</v>
      </c>
      <c r="E3293">
        <v>0.5308735</v>
      </c>
      <c r="F3293" t="s">
        <v>42</v>
      </c>
      <c r="G3293">
        <v>-224.03229999999999</v>
      </c>
      <c r="H3293">
        <v>1.0466580000000001</v>
      </c>
      <c r="I3293">
        <v>214.66499999999999</v>
      </c>
      <c r="J3293">
        <v>-224.53100000000001</v>
      </c>
      <c r="K3293">
        <v>1.111586</v>
      </c>
      <c r="L3293">
        <v>214.70099999999999</v>
      </c>
      <c r="M3293">
        <v>0.99985239999999997</v>
      </c>
      <c r="N3293">
        <v>0</v>
      </c>
      <c r="O3293">
        <v>-7.2738239999999999E-3</v>
      </c>
      <c r="P3293">
        <v>0.99953590000000003</v>
      </c>
      <c r="Q3293">
        <v>-5.3728459999999997E-3</v>
      </c>
      <c r="R3293">
        <v>2.9983139999999998E-2</v>
      </c>
      <c r="S3293">
        <v>3.004013</v>
      </c>
      <c r="T3293">
        <v>-0.25015510000000002</v>
      </c>
      <c r="U3293">
        <v>-0.1442108</v>
      </c>
      <c r="V3293">
        <v>-3.7271279999999997E-2</v>
      </c>
      <c r="W3293">
        <v>1.0113850000000001E-2</v>
      </c>
      <c r="X3293">
        <v>0.99925399999999998</v>
      </c>
      <c r="Y3293">
        <v>4.0568269999999997E-2</v>
      </c>
      <c r="Z3293">
        <v>-1.080882E-3</v>
      </c>
      <c r="AA3293">
        <v>0.99917619999999896</v>
      </c>
      <c r="AB3293">
        <v>28</v>
      </c>
      <c r="AC3293">
        <v>0.49869999999998499</v>
      </c>
      <c r="AD3293">
        <v>-6.4927999999999805E-2</v>
      </c>
      <c r="AE3293">
        <v>-3.6000000000001302E-2</v>
      </c>
      <c r="AF3293">
        <v>3.1834337831318102E-2</v>
      </c>
      <c r="AG3293">
        <v>-6.4927999999999805E-2</v>
      </c>
      <c r="AH3293">
        <v>0.49067457715470397</v>
      </c>
      <c r="AI3293">
        <v>97.522179789269003</v>
      </c>
      <c r="AJ3293">
        <v>86.287925755996696</v>
      </c>
      <c r="AK3293">
        <v>0.49597440550406002</v>
      </c>
      <c r="AL3293">
        <v>89.420509199227197</v>
      </c>
      <c r="AM3293">
        <v>92.136091077752297</v>
      </c>
      <c r="AN3293">
        <v>0.99999999739532996</v>
      </c>
    </row>
    <row r="3294" spans="1:40" x14ac:dyDescent="0.3">
      <c r="A3294" t="str">
        <f>"20200111160519325"</f>
        <v>20200111160519325</v>
      </c>
      <c r="B3294" t="str">
        <f>"1578729919314897"</f>
        <v>1578729919314897</v>
      </c>
      <c r="C3294" t="s">
        <v>40</v>
      </c>
      <c r="D3294">
        <v>4.5742149999999997</v>
      </c>
      <c r="E3294">
        <v>0.53121589999999996</v>
      </c>
      <c r="F3294" t="s">
        <v>57</v>
      </c>
      <c r="G3294">
        <v>-211.07509999999999</v>
      </c>
      <c r="H3294" s="1">
        <v>-9.4010979999999998E-7</v>
      </c>
      <c r="I3294">
        <v>214.05410000000001</v>
      </c>
      <c r="J3294">
        <v>-224.27070000000001</v>
      </c>
      <c r="K3294">
        <v>1.111831</v>
      </c>
      <c r="L3294">
        <v>214.7004</v>
      </c>
      <c r="M3294">
        <v>0.99985380000000001</v>
      </c>
      <c r="N3294">
        <v>0</v>
      </c>
      <c r="O3294">
        <v>-6.0777269999999998E-3</v>
      </c>
      <c r="P3294">
        <v>0.99954560000000003</v>
      </c>
      <c r="Q3294">
        <v>-2.4175720000000002E-3</v>
      </c>
      <c r="R3294">
        <v>3.0043420000000001E-2</v>
      </c>
      <c r="S3294">
        <v>3.0043950000000001</v>
      </c>
      <c r="T3294">
        <v>-0.2481921</v>
      </c>
      <c r="U3294">
        <v>-0.144455</v>
      </c>
      <c r="V3294">
        <v>-3.6147230000000002E-2</v>
      </c>
      <c r="W3294">
        <v>1.348008E-2</v>
      </c>
      <c r="X3294">
        <v>0.99925549999999996</v>
      </c>
      <c r="Y3294">
        <v>4.183187E-2</v>
      </c>
      <c r="Z3294">
        <v>-1.2229490000000001E-3</v>
      </c>
      <c r="AA3294">
        <v>0.99912389999999995</v>
      </c>
      <c r="AB3294">
        <v>27</v>
      </c>
      <c r="AC3294">
        <v>13.195600000000001</v>
      </c>
      <c r="AD3294">
        <v>-1.1118319401098</v>
      </c>
      <c r="AE3294">
        <v>-0.64629999999999599</v>
      </c>
      <c r="AF3294">
        <v>0.562097570188689</v>
      </c>
      <c r="AG3294">
        <v>-1.1118319401098</v>
      </c>
      <c r="AH3294">
        <v>13.106459784850999</v>
      </c>
      <c r="AI3294">
        <v>94.844408029969301</v>
      </c>
      <c r="AJ3294">
        <v>87.5442571565968</v>
      </c>
      <c r="AK3294">
        <v>13.165538805281701</v>
      </c>
      <c r="AL3294">
        <v>89.227624872747299</v>
      </c>
      <c r="AM3294">
        <v>92.071723440825707</v>
      </c>
      <c r="AN3294">
        <v>0.99999994453686303</v>
      </c>
    </row>
    <row r="3295" spans="1:40" x14ac:dyDescent="0.3">
      <c r="A3295" t="str">
        <f>"20200111160519347"</f>
        <v>20200111160519347</v>
      </c>
      <c r="B3295" t="str">
        <f>"1578729919345154"</f>
        <v>1578729919345154</v>
      </c>
      <c r="C3295" t="s">
        <v>40</v>
      </c>
      <c r="D3295">
        <v>4.5846549999999997</v>
      </c>
      <c r="E3295">
        <v>0.53146759999999904</v>
      </c>
      <c r="F3295" t="s">
        <v>42</v>
      </c>
      <c r="G3295">
        <v>-223.3125</v>
      </c>
      <c r="H3295">
        <v>1.034972</v>
      </c>
      <c r="I3295">
        <v>214.65350000000001</v>
      </c>
      <c r="J3295">
        <v>-224.00139999999999</v>
      </c>
      <c r="K3295">
        <v>1.1120650000000001</v>
      </c>
      <c r="L3295">
        <v>214.7003</v>
      </c>
      <c r="M3295">
        <v>0.99985449999999998</v>
      </c>
      <c r="N3295">
        <v>0</v>
      </c>
      <c r="O3295">
        <v>-4.6095290000000002E-3</v>
      </c>
      <c r="P3295">
        <v>0.99955519999999998</v>
      </c>
      <c r="Q3295" s="1">
        <v>-6.7237759999999897E-5</v>
      </c>
      <c r="R3295">
        <v>2.982398E-2</v>
      </c>
      <c r="S3295">
        <v>3.005188</v>
      </c>
      <c r="T3295">
        <v>-0.24114910000000001</v>
      </c>
      <c r="U3295">
        <v>-0.14689639999999901</v>
      </c>
      <c r="V3295">
        <v>-3.4472830000000003E-2</v>
      </c>
      <c r="W3295">
        <v>1.6256400000000001E-2</v>
      </c>
      <c r="X3295">
        <v>0.99927339999999998</v>
      </c>
      <c r="Y3295">
        <v>4.4090860000000003E-2</v>
      </c>
      <c r="Z3295">
        <v>-1.396018E-3</v>
      </c>
      <c r="AA3295">
        <v>0.99902650000000004</v>
      </c>
      <c r="AB3295">
        <v>27</v>
      </c>
      <c r="AC3295">
        <v>0.68889999999998897</v>
      </c>
      <c r="AD3295">
        <v>-7.7092999999999801E-2</v>
      </c>
      <c r="AE3295">
        <v>-4.6799999999990398E-2</v>
      </c>
      <c r="AF3295">
        <v>4.3086465400374398E-2</v>
      </c>
      <c r="AG3295">
        <v>-7.7092999999999801E-2</v>
      </c>
      <c r="AH3295">
        <v>0.68062395755411997</v>
      </c>
      <c r="AI3295">
        <v>96.449442467693203</v>
      </c>
      <c r="AJ3295">
        <v>86.377760710433506</v>
      </c>
      <c r="AK3295">
        <v>0.68632991028100299</v>
      </c>
      <c r="AL3295">
        <v>89.068535848550397</v>
      </c>
      <c r="AM3295">
        <v>91.975800298127098</v>
      </c>
      <c r="AN3295">
        <v>0.99999998724836403</v>
      </c>
    </row>
    <row r="3296" spans="1:40" x14ac:dyDescent="0.3">
      <c r="A3296" t="str">
        <f>"20200111160519370"</f>
        <v>20200111160519370</v>
      </c>
      <c r="B3296" t="str">
        <f>"1578729919364676"</f>
        <v>1578729919364676</v>
      </c>
      <c r="C3296" t="s">
        <v>40</v>
      </c>
      <c r="D3296">
        <v>4.6207140000000004</v>
      </c>
      <c r="E3296">
        <v>0.53169880000000003</v>
      </c>
      <c r="F3296" t="s">
        <v>42</v>
      </c>
      <c r="G3296">
        <v>-223.06960000000001</v>
      </c>
      <c r="H3296">
        <v>1.039984</v>
      </c>
      <c r="I3296">
        <v>214.65369999999999</v>
      </c>
      <c r="J3296">
        <v>-223.7225</v>
      </c>
      <c r="K3296">
        <v>1.1122639999999999</v>
      </c>
      <c r="L3296">
        <v>214.70089999999999</v>
      </c>
      <c r="M3296">
        <v>0.99985369999999996</v>
      </c>
      <c r="N3296">
        <v>0</v>
      </c>
      <c r="O3296">
        <v>-2.8954979999999998E-3</v>
      </c>
      <c r="P3296">
        <v>0.99954350000000003</v>
      </c>
      <c r="Q3296">
        <v>1.7810669999999999E-3</v>
      </c>
      <c r="R3296">
        <v>3.0163479999999999E-2</v>
      </c>
      <c r="S3296">
        <v>3.0057830000000001</v>
      </c>
      <c r="T3296">
        <v>-0.23277059999999999</v>
      </c>
      <c r="U3296">
        <v>-0.1495667</v>
      </c>
      <c r="V3296">
        <v>-3.311157E-2</v>
      </c>
      <c r="W3296">
        <v>1.8539150000000001E-2</v>
      </c>
      <c r="X3296">
        <v>0.99927969999999999</v>
      </c>
      <c r="Y3296">
        <v>4.6674859999999999E-2</v>
      </c>
      <c r="Z3296">
        <v>-1.579675E-3</v>
      </c>
      <c r="AA3296">
        <v>0.99890889999999999</v>
      </c>
      <c r="AB3296">
        <v>27</v>
      </c>
      <c r="AC3296">
        <v>0.65289999999998805</v>
      </c>
      <c r="AD3296">
        <v>-7.22799999999999E-2</v>
      </c>
      <c r="AE3296">
        <v>-4.72000000000036E-2</v>
      </c>
      <c r="AF3296">
        <v>4.4763303312708003E-2</v>
      </c>
      <c r="AG3296">
        <v>-7.22799999999999E-2</v>
      </c>
      <c r="AH3296">
        <v>0.64516798555696997</v>
      </c>
      <c r="AI3296">
        <v>96.377149090275694</v>
      </c>
      <c r="AJ3296">
        <v>86.031041891632398</v>
      </c>
      <c r="AK3296">
        <v>0.65074563487671899</v>
      </c>
      <c r="AL3296">
        <v>88.937724089928494</v>
      </c>
      <c r="AM3296">
        <v>91.897826344396805</v>
      </c>
      <c r="AN3296">
        <v>0.99999999749133806</v>
      </c>
    </row>
    <row r="3297" spans="1:40" x14ac:dyDescent="0.3">
      <c r="A3297" t="str">
        <f>"20200111160519392"</f>
        <v>20200111160519392</v>
      </c>
      <c r="B3297" t="str">
        <f>"1578729919384193"</f>
        <v>1578729919384193</v>
      </c>
      <c r="C3297" t="s">
        <v>40</v>
      </c>
      <c r="D3297">
        <v>4.6092820000000003</v>
      </c>
      <c r="E3297">
        <v>0.53186290000000003</v>
      </c>
      <c r="F3297" t="s">
        <v>42</v>
      </c>
      <c r="G3297">
        <v>-222.828</v>
      </c>
      <c r="H3297">
        <v>1.0436179999999999</v>
      </c>
      <c r="I3297">
        <v>214.6559</v>
      </c>
      <c r="J3297">
        <v>-223.4658</v>
      </c>
      <c r="K3297">
        <v>1.112403</v>
      </c>
      <c r="L3297">
        <v>214.702</v>
      </c>
      <c r="M3297">
        <v>0.99985069999999998</v>
      </c>
      <c r="N3297">
        <v>0</v>
      </c>
      <c r="O3297">
        <v>-1.166301E-3</v>
      </c>
      <c r="P3297">
        <v>0.99952669999999999</v>
      </c>
      <c r="Q3297">
        <v>2.148371E-3</v>
      </c>
      <c r="R3297">
        <v>3.0689230000000001E-2</v>
      </c>
      <c r="S3297">
        <v>3.0063019999999998</v>
      </c>
      <c r="T3297">
        <v>-0.23100519999999999</v>
      </c>
      <c r="U3297">
        <v>-0.1503601</v>
      </c>
      <c r="V3297">
        <v>-3.1915579999999999E-2</v>
      </c>
      <c r="W3297">
        <v>1.928527E-2</v>
      </c>
      <c r="X3297">
        <v>0.99930450000000004</v>
      </c>
      <c r="Y3297">
        <v>4.8647870000000003E-2</v>
      </c>
      <c r="Z3297">
        <v>-1.77570299999999E-3</v>
      </c>
      <c r="AA3297">
        <v>0.99881439999999999</v>
      </c>
      <c r="AB3297">
        <v>27</v>
      </c>
      <c r="AC3297">
        <v>0.63779999999999804</v>
      </c>
      <c r="AD3297">
        <v>-6.8785000000000096E-2</v>
      </c>
      <c r="AE3297">
        <v>-4.6099999999995499E-2</v>
      </c>
      <c r="AF3297">
        <v>4.4837198513425297E-2</v>
      </c>
      <c r="AG3297">
        <v>-6.8785000000000096E-2</v>
      </c>
      <c r="AH3297">
        <v>0.63055742008745796</v>
      </c>
      <c r="AI3297">
        <v>96.209995444868696</v>
      </c>
      <c r="AJ3297">
        <v>85.932701051721196</v>
      </c>
      <c r="AK3297">
        <v>0.63588081479384395</v>
      </c>
      <c r="AL3297">
        <v>88.894966922699098</v>
      </c>
      <c r="AM3297">
        <v>91.8292789311391</v>
      </c>
      <c r="AN3297">
        <v>1.00000000480297</v>
      </c>
    </row>
    <row r="3298" spans="1:40" x14ac:dyDescent="0.3">
      <c r="A3298" t="str">
        <f>"20200111160519413"</f>
        <v>20200111160519413</v>
      </c>
      <c r="B3298" t="str">
        <f>"1578729919404689"</f>
        <v>1578729919404689</v>
      </c>
      <c r="C3298" t="s">
        <v>40</v>
      </c>
      <c r="D3298">
        <v>5.5165309999999996</v>
      </c>
      <c r="E3298">
        <v>0.50575119999999996</v>
      </c>
      <c r="F3298" t="s">
        <v>42</v>
      </c>
      <c r="G3298">
        <v>-222.58949999999999</v>
      </c>
      <c r="H3298">
        <v>1.0442260000000001</v>
      </c>
      <c r="I3298">
        <v>214.65819999999999</v>
      </c>
      <c r="J3298">
        <v>-223.2029</v>
      </c>
      <c r="K3298">
        <v>1.11252</v>
      </c>
      <c r="L3298">
        <v>214.7038</v>
      </c>
      <c r="M3298">
        <v>0.99984479999999998</v>
      </c>
      <c r="N3298">
        <v>0</v>
      </c>
      <c r="O3298">
        <v>7.3792330000000002E-4</v>
      </c>
      <c r="P3298">
        <v>0.99951140000000005</v>
      </c>
      <c r="Q3298">
        <v>1.0969420000000001E-3</v>
      </c>
      <c r="R3298">
        <v>3.1237359999999999E-2</v>
      </c>
      <c r="S3298">
        <v>3.0065309999999998</v>
      </c>
      <c r="T3298">
        <v>-0.23409279999999999</v>
      </c>
      <c r="U3298">
        <v>-0.14981079999999999</v>
      </c>
      <c r="V3298">
        <v>-3.0562189999999999E-2</v>
      </c>
      <c r="W3298">
        <v>1.8594449999999998E-2</v>
      </c>
      <c r="X3298">
        <v>0.99935989999999997</v>
      </c>
      <c r="Y3298">
        <v>5.034959E-2</v>
      </c>
      <c r="Z3298">
        <v>-2.013319E-3</v>
      </c>
      <c r="AA3298">
        <v>0.9987296</v>
      </c>
      <c r="AB3298">
        <v>27</v>
      </c>
      <c r="AC3298">
        <v>0.61340000000001205</v>
      </c>
      <c r="AD3298">
        <v>-6.8293999999999994E-2</v>
      </c>
      <c r="AE3298">
        <v>-4.5600000000007399E-2</v>
      </c>
      <c r="AF3298">
        <v>4.54918869232529E-2</v>
      </c>
      <c r="AG3298">
        <v>-6.8293999999999994E-2</v>
      </c>
      <c r="AH3298">
        <v>0.60589682927891597</v>
      </c>
      <c r="AI3298">
        <v>96.413082925041493</v>
      </c>
      <c r="AJ3298">
        <v>85.706180256057706</v>
      </c>
      <c r="AK3298">
        <v>0.61142828683508099</v>
      </c>
      <c r="AL3298">
        <v>88.934555095451003</v>
      </c>
      <c r="AM3298">
        <v>91.751660146151295</v>
      </c>
      <c r="AN3298">
        <v>1.0000000053782001</v>
      </c>
    </row>
    <row r="3299" spans="1:40" x14ac:dyDescent="0.3">
      <c r="A3299" t="str">
        <f>"20200111160519872"</f>
        <v>20200111160519872</v>
      </c>
      <c r="B3299" t="str">
        <f>"1578729919864385"</f>
        <v>1578729919864385</v>
      </c>
      <c r="C3299" t="s">
        <v>40</v>
      </c>
      <c r="D3299">
        <v>5.6905299999999999</v>
      </c>
      <c r="E3299">
        <v>0.42835289999999998</v>
      </c>
      <c r="F3299" t="s">
        <v>56</v>
      </c>
      <c r="G3299">
        <v>-208.54329999999999</v>
      </c>
      <c r="H3299" s="1">
        <v>5.9723590000000001E-6</v>
      </c>
      <c r="I3299">
        <v>214.99639999999999</v>
      </c>
      <c r="J3299">
        <v>-218.00460000000001</v>
      </c>
      <c r="K3299">
        <v>1.1120680000000001</v>
      </c>
      <c r="L3299">
        <v>214.8672</v>
      </c>
      <c r="M3299">
        <v>0.99887380000000003</v>
      </c>
      <c r="N3299">
        <v>0</v>
      </c>
      <c r="O3299">
        <v>4.4901259999999998E-2</v>
      </c>
      <c r="P3299">
        <v>0.99699280000000001</v>
      </c>
      <c r="Q3299">
        <v>-1.117112E-3</v>
      </c>
      <c r="R3299">
        <v>7.748729E-2</v>
      </c>
      <c r="S3299">
        <v>2.9998320000000001</v>
      </c>
      <c r="T3299">
        <v>-0.22765569999999999</v>
      </c>
      <c r="U3299">
        <v>5.986023E-2</v>
      </c>
      <c r="V3299">
        <v>-3.2685569999999997E-2</v>
      </c>
      <c r="W3299">
        <v>1.409991E-2</v>
      </c>
      <c r="X3299">
        <v>0.99936619999999998</v>
      </c>
      <c r="Y3299">
        <v>2.4767020000000001E-2</v>
      </c>
      <c r="Z3299">
        <v>-4.3398000000000004E-3</v>
      </c>
      <c r="AA3299">
        <v>0.99968389999999996</v>
      </c>
      <c r="AB3299">
        <v>25</v>
      </c>
      <c r="AC3299">
        <v>9.4613000000000191</v>
      </c>
      <c r="AD3299">
        <v>-1.112062027641</v>
      </c>
      <c r="AE3299">
        <v>0.12919999999999701</v>
      </c>
      <c r="AF3299">
        <v>0.291774393780244</v>
      </c>
      <c r="AG3299">
        <v>-1.112062027641</v>
      </c>
      <c r="AH3299">
        <v>9.3287036482740806</v>
      </c>
      <c r="AI3299">
        <v>96.794779402895202</v>
      </c>
      <c r="AJ3299">
        <v>88.208540665641394</v>
      </c>
      <c r="AK3299">
        <v>9.3992832709472598</v>
      </c>
      <c r="AL3299">
        <v>89.192107876898504</v>
      </c>
      <c r="AM3299">
        <v>91.873265155917395</v>
      </c>
      <c r="AN3299">
        <v>0.99999997782533601</v>
      </c>
    </row>
    <row r="3300" spans="1:40" x14ac:dyDescent="0.3">
      <c r="A3300" t="str">
        <f>"20200111160520030"</f>
        <v>20200111160520030</v>
      </c>
      <c r="B3300" t="str">
        <f>"1578729920024449"</f>
        <v>1578729920024449</v>
      </c>
      <c r="C3300" t="s">
        <v>40</v>
      </c>
      <c r="D3300">
        <v>5.1777290000000002</v>
      </c>
      <c r="E3300">
        <v>0.54348640000000004</v>
      </c>
      <c r="F3300" t="s">
        <v>69</v>
      </c>
      <c r="G3300">
        <v>-157.25</v>
      </c>
      <c r="H3300">
        <v>1.3472710000000001</v>
      </c>
      <c r="I3300">
        <v>231.4025</v>
      </c>
      <c r="J3300">
        <v>-216.2765</v>
      </c>
      <c r="K3300">
        <v>1.1118889999999999</v>
      </c>
      <c r="L3300">
        <v>214.97120000000001</v>
      </c>
      <c r="M3300">
        <v>0.99817789999999995</v>
      </c>
      <c r="N3300">
        <v>0</v>
      </c>
      <c r="O3300">
        <v>5.8596259999999997E-2</v>
      </c>
      <c r="P3300">
        <v>0.99580469999999999</v>
      </c>
      <c r="Q3300">
        <v>1.310781E-3</v>
      </c>
      <c r="R3300">
        <v>9.1497300000000004E-2</v>
      </c>
      <c r="S3300">
        <v>2.9467319999999999</v>
      </c>
      <c r="T3300">
        <v>1.141059E-2</v>
      </c>
      <c r="U3300">
        <v>0.80200199999999999</v>
      </c>
      <c r="V3300">
        <v>-3.3030320000000002E-2</v>
      </c>
      <c r="W3300">
        <v>1.5607499999999899E-2</v>
      </c>
      <c r="X3300">
        <v>0.99933249999999996</v>
      </c>
      <c r="Y3300">
        <v>-0.2056161</v>
      </c>
      <c r="Z3300">
        <v>-1.6864939999999999E-4</v>
      </c>
      <c r="AA3300">
        <v>0.97863270000000002</v>
      </c>
      <c r="AB3300">
        <v>25</v>
      </c>
      <c r="AC3300">
        <v>59.026499999999999</v>
      </c>
      <c r="AD3300">
        <v>0.23538200000000001</v>
      </c>
      <c r="AE3300">
        <v>16.431299999999901</v>
      </c>
      <c r="AF3300">
        <v>-12.943779447287501</v>
      </c>
      <c r="AG3300">
        <v>0.23538200000000001</v>
      </c>
      <c r="AH3300">
        <v>59.887086159214</v>
      </c>
      <c r="AI3300">
        <v>89.779886667410594</v>
      </c>
      <c r="AJ3300">
        <v>102.196099984062</v>
      </c>
      <c r="AK3300">
        <v>61.270383707849199</v>
      </c>
      <c r="AL3300">
        <v>89.105719830479302</v>
      </c>
      <c r="AM3300">
        <v>91.893072850047304</v>
      </c>
      <c r="AN3300">
        <v>1.0000000208258999</v>
      </c>
    </row>
    <row r="3301" spans="1:40" x14ac:dyDescent="0.3">
      <c r="A3301" t="str">
        <f>"20200111160520050"</f>
        <v>20200111160520050</v>
      </c>
      <c r="B3301" t="str">
        <f>"1578729920044945"</f>
        <v>1578729920044945</v>
      </c>
      <c r="C3301" t="s">
        <v>40</v>
      </c>
      <c r="D3301">
        <v>5.1043120000000002</v>
      </c>
      <c r="E3301">
        <v>0.54030699999999998</v>
      </c>
      <c r="F3301" t="s">
        <v>56</v>
      </c>
      <c r="G3301">
        <v>-197.74950000000001</v>
      </c>
      <c r="H3301" s="1">
        <v>2.5919480000000002E-6</v>
      </c>
      <c r="I3301">
        <v>214.59370000000001</v>
      </c>
      <c r="J3301">
        <v>-216.02699999999999</v>
      </c>
      <c r="K3301">
        <v>1.111869</v>
      </c>
      <c r="L3301">
        <v>214.988</v>
      </c>
      <c r="M3301">
        <v>0.99806989999999995</v>
      </c>
      <c r="N3301">
        <v>0</v>
      </c>
      <c r="O3301">
        <v>6.042484E-2</v>
      </c>
      <c r="P3301">
        <v>0.99556999999999995</v>
      </c>
      <c r="Q3301">
        <v>2.705926E-3</v>
      </c>
      <c r="R3301">
        <v>9.3985730000000003E-2</v>
      </c>
      <c r="S3301">
        <v>3.0185089999999999</v>
      </c>
      <c r="T3301">
        <v>-0.1811537</v>
      </c>
      <c r="U3301">
        <v>-6.149292E-2</v>
      </c>
      <c r="V3301">
        <v>-3.3700050000000002E-2</v>
      </c>
      <c r="W3301">
        <v>1.6926739999999999E-2</v>
      </c>
      <c r="X3301">
        <v>0.99928859999999997</v>
      </c>
      <c r="Y3301">
        <v>8.0495590000000006E-2</v>
      </c>
      <c r="Z3301">
        <v>-6.035014E-3</v>
      </c>
      <c r="AA3301">
        <v>0.99673670000000003</v>
      </c>
      <c r="AB3301">
        <v>25</v>
      </c>
      <c r="AC3301">
        <v>18.2775</v>
      </c>
      <c r="AD3301">
        <v>-1.111866408052</v>
      </c>
      <c r="AE3301">
        <v>-0.39429999999998699</v>
      </c>
      <c r="AF3301">
        <v>1.4925868822482</v>
      </c>
      <c r="AG3301">
        <v>-1.111866408052</v>
      </c>
      <c r="AH3301">
        <v>18.153121498558399</v>
      </c>
      <c r="AI3301">
        <v>93.493190613975003</v>
      </c>
      <c r="AJ3301">
        <v>85.299596769462994</v>
      </c>
      <c r="AK3301">
        <v>18.248284375574599</v>
      </c>
      <c r="AL3301">
        <v>89.030122877630603</v>
      </c>
      <c r="AM3301">
        <v>91.931513211868506</v>
      </c>
      <c r="AN3301">
        <v>0.99999995699349398</v>
      </c>
    </row>
    <row r="3302" spans="1:40" x14ac:dyDescent="0.3">
      <c r="A3302" t="str">
        <f>"20200111160520073"</f>
        <v>20200111160520073</v>
      </c>
      <c r="B3302" t="str">
        <f>"1578729920064465"</f>
        <v>1578729920064465</v>
      </c>
      <c r="C3302" t="s">
        <v>40</v>
      </c>
      <c r="D3302">
        <v>5.089296</v>
      </c>
      <c r="E3302">
        <v>0.53900029999999999</v>
      </c>
      <c r="F3302" t="s">
        <v>56</v>
      </c>
      <c r="G3302">
        <v>-197.31049999999999</v>
      </c>
      <c r="H3302" s="1">
        <v>2.6508079999999999E-6</v>
      </c>
      <c r="I3302">
        <v>214.81120000000001</v>
      </c>
      <c r="J3302">
        <v>-215.78980000000001</v>
      </c>
      <c r="K3302">
        <v>1.111845</v>
      </c>
      <c r="L3302">
        <v>215.0043</v>
      </c>
      <c r="M3302">
        <v>0.99796600000000002</v>
      </c>
      <c r="N3302">
        <v>0</v>
      </c>
      <c r="O3302">
        <v>6.2132180000000002E-2</v>
      </c>
      <c r="P3302">
        <v>0.99540790000000001</v>
      </c>
      <c r="Q3302">
        <v>3.5486440000000001E-3</v>
      </c>
      <c r="R3302">
        <v>9.5658119999999999E-2</v>
      </c>
      <c r="S3302">
        <v>3.0165250000000001</v>
      </c>
      <c r="T3302">
        <v>-0.1791981</v>
      </c>
      <c r="U3302">
        <v>-2.8488159999999998E-2</v>
      </c>
      <c r="V3302">
        <v>-3.3670520000000002E-2</v>
      </c>
      <c r="W3302">
        <v>1.770911E-2</v>
      </c>
      <c r="X3302">
        <v>0.9992761</v>
      </c>
      <c r="Y3302">
        <v>7.13258999999999E-2</v>
      </c>
      <c r="Z3302">
        <v>-5.8031799999999998E-3</v>
      </c>
      <c r="AA3302">
        <v>0.9974362</v>
      </c>
      <c r="AB3302">
        <v>25</v>
      </c>
      <c r="AC3302">
        <v>18.479299999999999</v>
      </c>
      <c r="AD3302">
        <v>-1.111842349192</v>
      </c>
      <c r="AE3302">
        <v>-0.19309999999998601</v>
      </c>
      <c r="AF3302">
        <v>1.3361663821474301</v>
      </c>
      <c r="AG3302">
        <v>-1.111842349192</v>
      </c>
      <c r="AH3302">
        <v>18.365114973544198</v>
      </c>
      <c r="AI3302">
        <v>93.455403840860001</v>
      </c>
      <c r="AJ3302">
        <v>85.838738799219698</v>
      </c>
      <c r="AK3302">
        <v>18.447194420879701</v>
      </c>
      <c r="AL3302">
        <v>88.985289716264106</v>
      </c>
      <c r="AM3302">
        <v>91.929846106755804</v>
      </c>
      <c r="AN3302">
        <v>1.00000002026263</v>
      </c>
    </row>
    <row r="3303" spans="1:40" x14ac:dyDescent="0.3">
      <c r="A3303" t="str">
        <f>"20200111160520095"</f>
        <v>20200111160520095</v>
      </c>
      <c r="B3303" t="str">
        <f>"1578729920084960"</f>
        <v>1578729920084960</v>
      </c>
      <c r="C3303" t="s">
        <v>40</v>
      </c>
      <c r="D3303">
        <v>5.5029750000000002</v>
      </c>
      <c r="E3303">
        <v>0.53769180000000005</v>
      </c>
      <c r="F3303" t="s">
        <v>42</v>
      </c>
      <c r="G3303">
        <v>-214.93129999999999</v>
      </c>
      <c r="H3303">
        <v>1.0491029999999999</v>
      </c>
      <c r="I3303">
        <v>215.00110000000001</v>
      </c>
      <c r="J3303">
        <v>-215.54419999999999</v>
      </c>
      <c r="K3303">
        <v>1.111818</v>
      </c>
      <c r="L3303">
        <v>215.02160000000001</v>
      </c>
      <c r="M3303">
        <v>0.99785729999999995</v>
      </c>
      <c r="N3303">
        <v>0</v>
      </c>
      <c r="O3303">
        <v>6.386791E-2</v>
      </c>
      <c r="P3303">
        <v>0.99532330000000002</v>
      </c>
      <c r="Q3303">
        <v>3.3696389999999998E-3</v>
      </c>
      <c r="R3303">
        <v>9.6542130000000004E-2</v>
      </c>
      <c r="S3303">
        <v>3.0156559999999999</v>
      </c>
      <c r="T3303">
        <v>-0.2205241</v>
      </c>
      <c r="U3303">
        <v>-1.083374E-2</v>
      </c>
      <c r="V3303">
        <v>-3.2817720000000002E-2</v>
      </c>
      <c r="W3303">
        <v>1.7477400000000001E-2</v>
      </c>
      <c r="X3303">
        <v>0.99930850000000004</v>
      </c>
      <c r="Y3303">
        <v>6.7109500000000002E-2</v>
      </c>
      <c r="Z3303">
        <v>-7.1128679999999996E-3</v>
      </c>
      <c r="AA3303">
        <v>0.99772019999999995</v>
      </c>
      <c r="AB3303">
        <v>25</v>
      </c>
      <c r="AC3303">
        <v>0.612899999999996</v>
      </c>
      <c r="AD3303">
        <v>-6.2714999999999799E-2</v>
      </c>
      <c r="AE3303">
        <v>-2.0499999999998401E-2</v>
      </c>
      <c r="AF3303">
        <v>5.89897715279534E-2</v>
      </c>
      <c r="AG3303">
        <v>-6.2714999999999799E-2</v>
      </c>
      <c r="AH3303">
        <v>0.60402171597917498</v>
      </c>
      <c r="AI3303">
        <v>95.899856268927707</v>
      </c>
      <c r="AJ3303">
        <v>84.422087093309798</v>
      </c>
      <c r="AK3303">
        <v>0.61012719800410997</v>
      </c>
      <c r="AL3303">
        <v>88.998567726059804</v>
      </c>
      <c r="AM3303">
        <v>91.8809419876942</v>
      </c>
      <c r="AN3303">
        <v>0.99999997021450304</v>
      </c>
    </row>
    <row r="3304" spans="1:40" x14ac:dyDescent="0.3">
      <c r="A3304" t="str">
        <f>"20200111160520119"</f>
        <v>20200111160520119</v>
      </c>
      <c r="B3304" t="str">
        <f>"1578729920115219"</f>
        <v>1578729920115219</v>
      </c>
      <c r="C3304" t="s">
        <v>40</v>
      </c>
      <c r="D3304">
        <v>5.1089900000000004</v>
      </c>
      <c r="E3304">
        <v>0.53811500000000001</v>
      </c>
      <c r="F3304" t="s">
        <v>42</v>
      </c>
      <c r="G3304">
        <v>-214.71729999999999</v>
      </c>
      <c r="H3304">
        <v>1.0437299999999901</v>
      </c>
      <c r="I3304">
        <v>215.02250000000001</v>
      </c>
      <c r="J3304">
        <v>-215.29150000000001</v>
      </c>
      <c r="K3304">
        <v>1.111782</v>
      </c>
      <c r="L3304">
        <v>215.03980000000001</v>
      </c>
      <c r="M3304">
        <v>0.99774439999999998</v>
      </c>
      <c r="N3304">
        <v>0</v>
      </c>
      <c r="O3304">
        <v>6.5619919999999998E-2</v>
      </c>
      <c r="P3304">
        <v>0.99533579999999999</v>
      </c>
      <c r="Q3304">
        <v>2.3850030000000001E-3</v>
      </c>
      <c r="R3304">
        <v>9.6445059999999999E-2</v>
      </c>
      <c r="S3304">
        <v>3.0145569999999999</v>
      </c>
      <c r="T3304">
        <v>-0.2484614</v>
      </c>
      <c r="U3304">
        <v>3.9215090000000001E-3</v>
      </c>
      <c r="V3304">
        <v>-3.0961740000000001E-2</v>
      </c>
      <c r="W3304">
        <v>1.6449970000000001E-2</v>
      </c>
      <c r="X3304">
        <v>0.99938519999999997</v>
      </c>
      <c r="Y3304">
        <v>6.3889489999999993E-2</v>
      </c>
      <c r="Z3304">
        <v>-8.0252869999999903E-3</v>
      </c>
      <c r="AA3304">
        <v>0.9979247</v>
      </c>
      <c r="AB3304">
        <v>25</v>
      </c>
      <c r="AC3304">
        <v>0.57420000000001803</v>
      </c>
      <c r="AD3304">
        <v>-6.8052000000000196E-2</v>
      </c>
      <c r="AE3304">
        <v>-1.73000000000058E-2</v>
      </c>
      <c r="AF3304">
        <v>5.4185037208832602E-2</v>
      </c>
      <c r="AG3304">
        <v>-6.8052000000000196E-2</v>
      </c>
      <c r="AH3304">
        <v>0.56391324302957901</v>
      </c>
      <c r="AI3304">
        <v>96.849826070208806</v>
      </c>
      <c r="AJ3304">
        <v>84.5114396348322</v>
      </c>
      <c r="AK3304">
        <v>0.57058324425578699</v>
      </c>
      <c r="AL3304">
        <v>89.057443637258203</v>
      </c>
      <c r="AM3304">
        <v>91.774500758271202</v>
      </c>
      <c r="AN3304">
        <v>1.00000000441793</v>
      </c>
    </row>
    <row r="3305" spans="1:40" x14ac:dyDescent="0.3">
      <c r="A3305" t="str">
        <f>"20200111160520140"</f>
        <v>20200111160520140</v>
      </c>
      <c r="B3305" t="str">
        <f>"1578729920134268"</f>
        <v>1578729920134268</v>
      </c>
      <c r="C3305" t="s">
        <v>40</v>
      </c>
      <c r="D3305">
        <v>5.1480519999999999</v>
      </c>
      <c r="E3305">
        <v>0.53782269999999999</v>
      </c>
      <c r="F3305" t="s">
        <v>42</v>
      </c>
      <c r="G3305">
        <v>-214.50139999999999</v>
      </c>
      <c r="H3305">
        <v>1.038343</v>
      </c>
      <c r="I3305">
        <v>215.0402</v>
      </c>
      <c r="J3305">
        <v>-215.05070000000001</v>
      </c>
      <c r="K3305">
        <v>1.111745</v>
      </c>
      <c r="L3305">
        <v>215.05760000000001</v>
      </c>
      <c r="M3305">
        <v>0.99763570000000001</v>
      </c>
      <c r="N3305">
        <v>0</v>
      </c>
      <c r="O3305">
        <v>6.7259540000000007E-2</v>
      </c>
      <c r="P3305">
        <v>0.99540289999999998</v>
      </c>
      <c r="Q3305">
        <v>1.5299210000000001E-3</v>
      </c>
      <c r="R3305">
        <v>9.5763379999999995E-2</v>
      </c>
      <c r="S3305">
        <v>3.0144959999999998</v>
      </c>
      <c r="T3305">
        <v>-0.28041650000000001</v>
      </c>
      <c r="U3305">
        <v>2.27356E-3</v>
      </c>
      <c r="V3305">
        <v>-2.863081E-2</v>
      </c>
      <c r="W3305">
        <v>1.556126E-2</v>
      </c>
      <c r="X3305">
        <v>0.99946889999999999</v>
      </c>
      <c r="Y3305">
        <v>6.5938990000000003E-2</v>
      </c>
      <c r="Z3305">
        <v>-9.3005259999999999E-3</v>
      </c>
      <c r="AA3305">
        <v>0.99778029999999995</v>
      </c>
      <c r="AB3305">
        <v>25</v>
      </c>
      <c r="AC3305">
        <v>0.549300000000016</v>
      </c>
      <c r="AD3305">
        <v>-7.3401999999999898E-2</v>
      </c>
      <c r="AE3305">
        <v>-1.7400000000009099E-2</v>
      </c>
      <c r="AF3305">
        <v>5.3358100680588799E-2</v>
      </c>
      <c r="AG3305">
        <v>-7.3401999999999898E-2</v>
      </c>
      <c r="AH3305">
        <v>0.53730073800798495</v>
      </c>
      <c r="AI3305">
        <v>97.741549529264404</v>
      </c>
      <c r="AJ3305">
        <v>84.3286826661992</v>
      </c>
      <c r="AK3305">
        <v>0.54491010595892397</v>
      </c>
      <c r="AL3305">
        <v>89.108369471831793</v>
      </c>
      <c r="AM3305">
        <v>91.640847544069899</v>
      </c>
      <c r="AN3305">
        <v>0.99999997908062599</v>
      </c>
    </row>
    <row r="3306" spans="1:40" x14ac:dyDescent="0.3">
      <c r="A3306" t="str">
        <f>"20200111160520162"</f>
        <v>20200111160520162</v>
      </c>
      <c r="B3306" t="str">
        <f>"1578729920154777"</f>
        <v>1578729920154777</v>
      </c>
      <c r="C3306" t="s">
        <v>40</v>
      </c>
      <c r="D3306">
        <v>5.2299930000000003</v>
      </c>
      <c r="E3306">
        <v>0.53800439999999905</v>
      </c>
      <c r="F3306" t="s">
        <v>42</v>
      </c>
      <c r="G3306">
        <v>-214.2834</v>
      </c>
      <c r="H3306">
        <v>1.037714</v>
      </c>
      <c r="I3306">
        <v>215.05799999999999</v>
      </c>
      <c r="J3306">
        <v>-214.8117</v>
      </c>
      <c r="K3306">
        <v>1.111718</v>
      </c>
      <c r="L3306">
        <v>215.07560000000001</v>
      </c>
      <c r="M3306">
        <v>0.99752719999999995</v>
      </c>
      <c r="N3306">
        <v>0</v>
      </c>
      <c r="O3306">
        <v>6.885674E-2</v>
      </c>
      <c r="P3306">
        <v>0.99547410000000003</v>
      </c>
      <c r="Q3306">
        <v>7.0501859999999995E-4</v>
      </c>
      <c r="R3306">
        <v>9.5029409999999995E-2</v>
      </c>
      <c r="S3306">
        <v>3.013992</v>
      </c>
      <c r="T3306">
        <v>-0.29126729999999901</v>
      </c>
      <c r="U3306">
        <v>3.158569E-3</v>
      </c>
      <c r="V3306">
        <v>-2.6290089999999999E-2</v>
      </c>
      <c r="W3306">
        <v>1.4708769999999999E-2</v>
      </c>
      <c r="X3306">
        <v>0.99954609999999999</v>
      </c>
      <c r="Y3306">
        <v>6.7184640000000004E-2</v>
      </c>
      <c r="Z3306">
        <v>-9.8741439999999996E-3</v>
      </c>
      <c r="AA3306">
        <v>0.99769169999999996</v>
      </c>
      <c r="AB3306">
        <v>25</v>
      </c>
      <c r="AC3306">
        <v>0.52830000000000099</v>
      </c>
      <c r="AD3306">
        <v>-7.4003999999999903E-2</v>
      </c>
      <c r="AE3306">
        <v>-1.7600000000015801E-2</v>
      </c>
      <c r="AF3306">
        <v>5.2901935928515498E-2</v>
      </c>
      <c r="AG3306">
        <v>-7.4003999999999903E-2</v>
      </c>
      <c r="AH3306">
        <v>0.51572538103477295</v>
      </c>
      <c r="AI3306">
        <v>98.123858177040802</v>
      </c>
      <c r="AJ3306">
        <v>84.143214074642302</v>
      </c>
      <c r="AK3306">
        <v>0.52368681049311006</v>
      </c>
      <c r="AL3306">
        <v>89.157219133783599</v>
      </c>
      <c r="AM3306">
        <v>91.506647857882299</v>
      </c>
      <c r="AN3306">
        <v>0.99999996138616398</v>
      </c>
    </row>
    <row r="3307" spans="1:40" x14ac:dyDescent="0.3">
      <c r="A3307" t="str">
        <f>"20200111160520185"</f>
        <v>20200111160520185</v>
      </c>
      <c r="B3307" t="str">
        <f>"1578729920174284"</f>
        <v>1578729920174284</v>
      </c>
      <c r="C3307" t="s">
        <v>40</v>
      </c>
      <c r="D3307">
        <v>5.255153</v>
      </c>
      <c r="E3307">
        <v>0.53816839999999999</v>
      </c>
      <c r="F3307" t="s">
        <v>42</v>
      </c>
      <c r="G3307">
        <v>-214.06610000000001</v>
      </c>
      <c r="H3307">
        <v>1.0361959999999999</v>
      </c>
      <c r="I3307">
        <v>215.07560000000001</v>
      </c>
      <c r="J3307">
        <v>-214.57060000000001</v>
      </c>
      <c r="K3307">
        <v>1.1116839999999999</v>
      </c>
      <c r="L3307">
        <v>215.09399999999999</v>
      </c>
      <c r="M3307">
        <v>0.99741749999999996</v>
      </c>
      <c r="N3307">
        <v>0</v>
      </c>
      <c r="O3307">
        <v>7.0436020000000002E-2</v>
      </c>
      <c r="P3307">
        <v>0.99554229999999999</v>
      </c>
      <c r="Q3307">
        <v>1.0001770000000001E-3</v>
      </c>
      <c r="R3307">
        <v>9.4312370000000006E-2</v>
      </c>
      <c r="S3307">
        <v>3.0138090000000002</v>
      </c>
      <c r="T3307">
        <v>-0.30538569999999998</v>
      </c>
      <c r="U3307">
        <v>3.3569339999999902E-4</v>
      </c>
      <c r="V3307">
        <v>-2.3987370000000001E-2</v>
      </c>
      <c r="W3307">
        <v>1.497911E-2</v>
      </c>
      <c r="X3307">
        <v>0.99960009999999999</v>
      </c>
      <c r="Y3307">
        <v>6.9615129999999997E-2</v>
      </c>
      <c r="Z3307">
        <v>-1.063323E-2</v>
      </c>
      <c r="AA3307">
        <v>0.99751719999999999</v>
      </c>
      <c r="AB3307">
        <v>25</v>
      </c>
      <c r="AC3307">
        <v>0.50450000000000705</v>
      </c>
      <c r="AD3307">
        <v>-7.5488000000000194E-2</v>
      </c>
      <c r="AE3307">
        <v>-1.8400000000013898E-2</v>
      </c>
      <c r="AF3307">
        <v>5.2714120069186597E-2</v>
      </c>
      <c r="AG3307">
        <v>-7.5488000000000194E-2</v>
      </c>
      <c r="AH3307">
        <v>0.49097281752072303</v>
      </c>
      <c r="AI3307">
        <v>98.691701924656002</v>
      </c>
      <c r="AJ3307">
        <v>83.871818326219497</v>
      </c>
      <c r="AK3307">
        <v>0.49953130446740401</v>
      </c>
      <c r="AL3307">
        <v>89.141728173237098</v>
      </c>
      <c r="AM3307">
        <v>91.374661067385802</v>
      </c>
      <c r="AN3307">
        <v>1.00000006378795</v>
      </c>
    </row>
    <row r="3308" spans="1:40" x14ac:dyDescent="0.3">
      <c r="A3308" t="str">
        <f>"20200111160520207"</f>
        <v>20200111160520207</v>
      </c>
      <c r="B3308" t="str">
        <f>"1578729920204542"</f>
        <v>1578729920204542</v>
      </c>
      <c r="C3308" t="s">
        <v>40</v>
      </c>
      <c r="D3308">
        <v>5.2303309999999996</v>
      </c>
      <c r="E3308">
        <v>0.53801980000000005</v>
      </c>
      <c r="F3308" t="s">
        <v>42</v>
      </c>
      <c r="G3308">
        <v>-213.64009999999999</v>
      </c>
      <c r="H3308">
        <v>1.014945</v>
      </c>
      <c r="I3308">
        <v>215.0932</v>
      </c>
      <c r="J3308">
        <v>-214.32400000000001</v>
      </c>
      <c r="K3308">
        <v>1.111642</v>
      </c>
      <c r="L3308">
        <v>215.11330000000001</v>
      </c>
      <c r="M3308">
        <v>0.99730510000000006</v>
      </c>
      <c r="N3308">
        <v>0</v>
      </c>
      <c r="O3308">
        <v>7.20166E-2</v>
      </c>
      <c r="P3308">
        <v>0.99554739999999997</v>
      </c>
      <c r="Q3308">
        <v>8.1494450000000002E-4</v>
      </c>
      <c r="R3308">
        <v>9.4260689999999994E-2</v>
      </c>
      <c r="S3308">
        <v>3.0140229999999999</v>
      </c>
      <c r="T3308">
        <v>-0.31340800000000002</v>
      </c>
      <c r="U3308">
        <v>-2.700806E-3</v>
      </c>
      <c r="V3308">
        <v>-2.2349649999999999E-2</v>
      </c>
      <c r="W3308">
        <v>1.477123E-2</v>
      </c>
      <c r="X3308">
        <v>0.99964109999999995</v>
      </c>
      <c r="Y3308">
        <v>7.2140570000000001E-2</v>
      </c>
      <c r="Z3308">
        <v>-1.120493E-2</v>
      </c>
      <c r="AA3308">
        <v>0.99733159999999998</v>
      </c>
      <c r="AB3308">
        <v>24</v>
      </c>
      <c r="AC3308">
        <v>0.68390000000002205</v>
      </c>
      <c r="AD3308">
        <v>-9.6697000000000005E-2</v>
      </c>
      <c r="AE3308">
        <v>-2.0100000000013499E-2</v>
      </c>
      <c r="AF3308">
        <v>6.7947594869105593E-2</v>
      </c>
      <c r="AG3308">
        <v>-9.6697000000000005E-2</v>
      </c>
      <c r="AH3308">
        <v>0.66734657948322695</v>
      </c>
      <c r="AI3308">
        <v>98.202820392954493</v>
      </c>
      <c r="AJ3308">
        <v>84.186318552427394</v>
      </c>
      <c r="AK3308">
        <v>0.67773050883478703</v>
      </c>
      <c r="AL3308">
        <v>89.153640093647397</v>
      </c>
      <c r="AM3308">
        <v>91.280786990949593</v>
      </c>
      <c r="AN3308">
        <v>1.0000000124500199</v>
      </c>
    </row>
    <row r="3309" spans="1:40" x14ac:dyDescent="0.3">
      <c r="A3309" t="str">
        <f>"20200111160520229"</f>
        <v>20200111160520229</v>
      </c>
      <c r="B3309" t="str">
        <f>"1578729920225036"</f>
        <v>1578729920225036</v>
      </c>
      <c r="C3309" t="s">
        <v>40</v>
      </c>
      <c r="D3309">
        <v>5.235665</v>
      </c>
      <c r="E3309">
        <v>0.53805700000000001</v>
      </c>
      <c r="F3309" t="s">
        <v>42</v>
      </c>
      <c r="G3309">
        <v>-213.42140000000001</v>
      </c>
      <c r="H3309">
        <v>1.018251</v>
      </c>
      <c r="I3309">
        <v>215.11279999999999</v>
      </c>
      <c r="J3309">
        <v>-214.0771</v>
      </c>
      <c r="K3309">
        <v>1.1116010000000001</v>
      </c>
      <c r="L3309">
        <v>215.13300000000001</v>
      </c>
      <c r="M3309">
        <v>0.99719179999999996</v>
      </c>
      <c r="N3309">
        <v>0</v>
      </c>
      <c r="O3309">
        <v>7.3571860000000003E-2</v>
      </c>
      <c r="P3309">
        <v>0.99547390000000002</v>
      </c>
      <c r="Q3309">
        <v>-6.7598560000000003E-4</v>
      </c>
      <c r="R3309">
        <v>9.5032279999999997E-2</v>
      </c>
      <c r="S3309">
        <v>3.0138400000000001</v>
      </c>
      <c r="T3309">
        <v>-0.3118669</v>
      </c>
      <c r="U3309">
        <v>-1.708984E-3</v>
      </c>
      <c r="V3309">
        <v>-2.1560739999999998E-2</v>
      </c>
      <c r="W3309">
        <v>1.325789E-2</v>
      </c>
      <c r="X3309">
        <v>0.9996796</v>
      </c>
      <c r="Y3309">
        <v>7.3360469999999997E-2</v>
      </c>
      <c r="Z3309">
        <v>-1.1373930000000001E-2</v>
      </c>
      <c r="AA3309">
        <v>0.99724060000000003</v>
      </c>
      <c r="AB3309">
        <v>24</v>
      </c>
      <c r="AC3309">
        <v>0.65569999999999595</v>
      </c>
      <c r="AD3309">
        <v>-9.3350000000000002E-2</v>
      </c>
      <c r="AE3309">
        <v>-2.0199999999988401E-2</v>
      </c>
      <c r="AF3309">
        <v>6.7033662065148006E-2</v>
      </c>
      <c r="AG3309">
        <v>-9.3350000000000002E-2</v>
      </c>
      <c r="AH3309">
        <v>0.63948729482409605</v>
      </c>
      <c r="AI3309">
        <v>98.260536440999999</v>
      </c>
      <c r="AJ3309">
        <v>84.015877260583693</v>
      </c>
      <c r="AK3309">
        <v>0.64973204830245601</v>
      </c>
      <c r="AL3309">
        <v>89.240356579819206</v>
      </c>
      <c r="AM3309">
        <v>91.235543781898997</v>
      </c>
      <c r="AN3309">
        <v>0.99999996990637896</v>
      </c>
    </row>
    <row r="3310" spans="1:40" x14ac:dyDescent="0.3">
      <c r="A3310" t="str">
        <f>"20200111160520252"</f>
        <v>20200111160520252</v>
      </c>
      <c r="B3310" t="str">
        <f>"1578729920244556"</f>
        <v>1578729920244556</v>
      </c>
      <c r="C3310" t="s">
        <v>40</v>
      </c>
      <c r="D3310">
        <v>5.2240099999999998</v>
      </c>
      <c r="E3310">
        <v>0.53812720000000003</v>
      </c>
      <c r="F3310" t="s">
        <v>42</v>
      </c>
      <c r="G3310">
        <v>-213.2047</v>
      </c>
      <c r="H3310">
        <v>1.017965</v>
      </c>
      <c r="I3310">
        <v>215.13310000000001</v>
      </c>
      <c r="J3310">
        <v>-213.83349999999999</v>
      </c>
      <c r="K3310">
        <v>1.1115539999999999</v>
      </c>
      <c r="L3310">
        <v>215.15270000000001</v>
      </c>
      <c r="M3310">
        <v>0.99707979999999996</v>
      </c>
      <c r="N3310">
        <v>0</v>
      </c>
      <c r="O3310">
        <v>7.5078619999999999E-2</v>
      </c>
      <c r="P3310">
        <v>0.99537739999999997</v>
      </c>
      <c r="Q3310">
        <v>-3.6806930000000001E-3</v>
      </c>
      <c r="R3310">
        <v>9.5970559999999996E-2</v>
      </c>
      <c r="S3310">
        <v>3.0133670000000001</v>
      </c>
      <c r="T3310">
        <v>-0.32343680000000002</v>
      </c>
      <c r="U3310">
        <v>4.577637E-4</v>
      </c>
      <c r="V3310">
        <v>-2.0985170000000001E-2</v>
      </c>
      <c r="W3310">
        <v>1.0234E-2</v>
      </c>
      <c r="X3310">
        <v>0.99972740000000004</v>
      </c>
      <c r="Y3310">
        <v>7.4078320000000003E-2</v>
      </c>
      <c r="Z3310">
        <v>-1.1994670000000001E-2</v>
      </c>
      <c r="AA3310">
        <v>0.99718030000000002</v>
      </c>
      <c r="AB3310">
        <v>24</v>
      </c>
      <c r="AC3310">
        <v>0.62879999999998304</v>
      </c>
      <c r="AD3310">
        <v>-9.3589000000000103E-2</v>
      </c>
      <c r="AE3310">
        <v>-1.9599999999996901E-2</v>
      </c>
      <c r="AF3310">
        <v>6.5313258510427005E-2</v>
      </c>
      <c r="AG3310">
        <v>-9.3589000000000103E-2</v>
      </c>
      <c r="AH3310">
        <v>0.61200883243732895</v>
      </c>
      <c r="AI3310">
        <v>98.646025571952805</v>
      </c>
      <c r="AJ3310">
        <v>83.908480463821803</v>
      </c>
      <c r="AK3310">
        <v>0.62255885957839496</v>
      </c>
      <c r="AL3310">
        <v>89.413624752535</v>
      </c>
      <c r="AM3310">
        <v>91.202512931175406</v>
      </c>
      <c r="AN3310">
        <v>0.99999999321334399</v>
      </c>
    </row>
    <row r="3311" spans="1:40" x14ac:dyDescent="0.3">
      <c r="A3311" t="str">
        <f>"20200111160520274"</f>
        <v>20200111160520274</v>
      </c>
      <c r="B3311" t="str">
        <f>"1578729920265052"</f>
        <v>1578729920265052</v>
      </c>
      <c r="C3311" t="s">
        <v>40</v>
      </c>
      <c r="D3311">
        <v>5.3461100000000004</v>
      </c>
      <c r="E3311">
        <v>0.53836830000000002</v>
      </c>
      <c r="F3311" t="s">
        <v>42</v>
      </c>
      <c r="G3311">
        <v>-212.98869999999999</v>
      </c>
      <c r="H3311">
        <v>1.0168299999999999</v>
      </c>
      <c r="I3311">
        <v>215.15360000000001</v>
      </c>
      <c r="J3311">
        <v>-213.5951</v>
      </c>
      <c r="K3311">
        <v>1.111502</v>
      </c>
      <c r="L3311">
        <v>215.17240000000001</v>
      </c>
      <c r="M3311">
        <v>0.99697040000000003</v>
      </c>
      <c r="N3311">
        <v>0</v>
      </c>
      <c r="O3311">
        <v>7.652225E-2</v>
      </c>
      <c r="P3311">
        <v>0.99528720000000004</v>
      </c>
      <c r="Q3311">
        <v>-8.6330920000000002E-3</v>
      </c>
      <c r="R3311">
        <v>9.6585760000000007E-2</v>
      </c>
      <c r="S3311">
        <v>3.0123289999999998</v>
      </c>
      <c r="T3311">
        <v>-0.33797519999999998</v>
      </c>
      <c r="U3311">
        <v>3.7231450000000002E-3</v>
      </c>
      <c r="V3311">
        <v>-2.0145980000000001E-2</v>
      </c>
      <c r="W3311">
        <v>5.2655130000000003E-3</v>
      </c>
      <c r="X3311">
        <v>0.99978319999999998</v>
      </c>
      <c r="Y3311">
        <v>7.4351340000000002E-2</v>
      </c>
      <c r="Z3311">
        <v>-1.2711129999999999E-2</v>
      </c>
      <c r="AA3311">
        <v>0.99715109999999996</v>
      </c>
      <c r="AB3311">
        <v>24</v>
      </c>
      <c r="AC3311">
        <v>0.60640000000000704</v>
      </c>
      <c r="AD3311">
        <v>-9.4672000000000006E-2</v>
      </c>
      <c r="AE3311">
        <v>-1.87999999999988E-2</v>
      </c>
      <c r="AF3311">
        <v>6.3603687764956895E-2</v>
      </c>
      <c r="AG3311">
        <v>-9.4672000000000006E-2</v>
      </c>
      <c r="AH3311">
        <v>0.58884421632087003</v>
      </c>
      <c r="AI3311">
        <v>99.081684657498897</v>
      </c>
      <c r="AJ3311">
        <v>83.835128833413194</v>
      </c>
      <c r="AK3311">
        <v>0.59978806905092896</v>
      </c>
      <c r="AL3311">
        <v>89.6983069390118</v>
      </c>
      <c r="AM3311">
        <v>91.154373707851903</v>
      </c>
      <c r="AN3311">
        <v>1.00000001656977</v>
      </c>
    </row>
    <row r="3312" spans="1:40" x14ac:dyDescent="0.3">
      <c r="A3312" t="str">
        <f>"20200111160520296"</f>
        <v>20200111160520296</v>
      </c>
      <c r="B3312" t="str">
        <f>"1578729920284572"</f>
        <v>1578729920284572</v>
      </c>
      <c r="C3312" t="s">
        <v>40</v>
      </c>
      <c r="D3312">
        <v>5.3929260000000001</v>
      </c>
      <c r="E3312">
        <v>0.56752340000000001</v>
      </c>
      <c r="F3312" t="s">
        <v>42</v>
      </c>
      <c r="G3312">
        <v>-212.7739</v>
      </c>
      <c r="H3312">
        <v>1.0139119999999999</v>
      </c>
      <c r="I3312">
        <v>215.17349999999999</v>
      </c>
      <c r="J3312">
        <v>-213.35990000000001</v>
      </c>
      <c r="K3312">
        <v>1.1114599999999999</v>
      </c>
      <c r="L3312">
        <v>215.19200000000001</v>
      </c>
      <c r="M3312">
        <v>0.9968631</v>
      </c>
      <c r="N3312">
        <v>0</v>
      </c>
      <c r="O3312">
        <v>7.7911069999999999E-2</v>
      </c>
      <c r="P3312">
        <v>0.99513640000000003</v>
      </c>
      <c r="Q3312">
        <v>-1.2829480000000001E-2</v>
      </c>
      <c r="R3312">
        <v>9.7668870000000005E-2</v>
      </c>
      <c r="S3312">
        <v>3.0107119999999998</v>
      </c>
      <c r="T3312">
        <v>-0.35779480000000002</v>
      </c>
      <c r="U3312">
        <v>4.0435790000000003E-3</v>
      </c>
      <c r="V3312">
        <v>-1.9834939999999999E-2</v>
      </c>
      <c r="W3312">
        <v>1.053635E-3</v>
      </c>
      <c r="X3312">
        <v>0.99980270000000004</v>
      </c>
      <c r="Y3312">
        <v>7.5500880000000006E-2</v>
      </c>
      <c r="Z3312">
        <v>-1.3690809999999999E-2</v>
      </c>
      <c r="AA3312">
        <v>0.99705169999999999</v>
      </c>
      <c r="AB3312">
        <v>24</v>
      </c>
      <c r="AC3312">
        <v>0.58600000000001196</v>
      </c>
      <c r="AD3312">
        <v>-9.7547999999999899E-2</v>
      </c>
      <c r="AE3312">
        <v>-1.8500000000017201E-2</v>
      </c>
      <c r="AF3312">
        <v>6.2377293538606403E-2</v>
      </c>
      <c r="AG3312">
        <v>-9.7547999999999899E-2</v>
      </c>
      <c r="AH3312">
        <v>0.56707862001186904</v>
      </c>
      <c r="AI3312">
        <v>99.703007698767394</v>
      </c>
      <c r="AJ3312">
        <v>83.722836744815098</v>
      </c>
      <c r="AK3312">
        <v>0.57877862808483804</v>
      </c>
      <c r="AL3312">
        <v>89.939631149395694</v>
      </c>
      <c r="AM3312">
        <v>91.136533526348103</v>
      </c>
      <c r="AN3312">
        <v>0.99999998695940295</v>
      </c>
    </row>
    <row r="3313" spans="1:40" x14ac:dyDescent="0.3">
      <c r="A3313" t="str">
        <f>"20200111160520319"</f>
        <v>20200111160520319</v>
      </c>
      <c r="B3313" t="str">
        <f>"1578729920314829"</f>
        <v>1578729920314829</v>
      </c>
      <c r="C3313" t="s">
        <v>40</v>
      </c>
      <c r="D3313">
        <v>5.3041239999999998</v>
      </c>
      <c r="E3313">
        <v>0.6148477</v>
      </c>
      <c r="F3313" t="s">
        <v>42</v>
      </c>
      <c r="G3313">
        <v>-212.55199999999999</v>
      </c>
      <c r="H3313">
        <v>1.0148170000000001</v>
      </c>
      <c r="I3313">
        <v>215.13200000000001</v>
      </c>
      <c r="J3313">
        <v>-213.1122</v>
      </c>
      <c r="K3313">
        <v>1.1114219999999999</v>
      </c>
      <c r="L3313">
        <v>215.2131</v>
      </c>
      <c r="M3313">
        <v>0.99675170000000002</v>
      </c>
      <c r="N3313">
        <v>0</v>
      </c>
      <c r="O3313">
        <v>7.9325560000000003E-2</v>
      </c>
      <c r="P3313">
        <v>0.99499179999999998</v>
      </c>
      <c r="Q3313">
        <v>-1.3187020000000001E-2</v>
      </c>
      <c r="R3313">
        <v>9.9084850000000002E-2</v>
      </c>
      <c r="S3313">
        <v>3.0320740000000002</v>
      </c>
      <c r="T3313">
        <v>-0.3629059</v>
      </c>
      <c r="U3313">
        <v>-0.22494510000000001</v>
      </c>
      <c r="V3313">
        <v>-1.983828E-2</v>
      </c>
      <c r="W3313">
        <v>6.8170239999999999E-4</v>
      </c>
      <c r="X3313">
        <v>0.99980290000000005</v>
      </c>
      <c r="Y3313">
        <v>0.15122969999999999</v>
      </c>
      <c r="Z3313">
        <v>-1.845399E-2</v>
      </c>
      <c r="AA3313">
        <v>0.98832640000000005</v>
      </c>
      <c r="AB3313">
        <v>24</v>
      </c>
      <c r="AC3313">
        <v>0.56019999999998005</v>
      </c>
      <c r="AD3313">
        <v>-9.6604999999999802E-2</v>
      </c>
      <c r="AE3313">
        <v>-8.1099999999992095E-2</v>
      </c>
      <c r="AF3313">
        <v>0.121740842855181</v>
      </c>
      <c r="AG3313">
        <v>-9.6604999999999802E-2</v>
      </c>
      <c r="AH3313">
        <v>0.536377022795821</v>
      </c>
      <c r="AI3313">
        <v>99.961783314940305</v>
      </c>
      <c r="AJ3313">
        <v>77.212294125399694</v>
      </c>
      <c r="AK3313">
        <v>0.55843859951421604</v>
      </c>
      <c r="AL3313">
        <v>89.960941323854698</v>
      </c>
      <c r="AM3313">
        <v>91.136724629369397</v>
      </c>
      <c r="AN3313">
        <v>0.99999993045996305</v>
      </c>
    </row>
    <row r="3314" spans="1:40" x14ac:dyDescent="0.3">
      <c r="A3314" t="str">
        <f>"20200111160520341"</f>
        <v>20200111160520341</v>
      </c>
      <c r="B3314" t="str">
        <f>"1578729920334348"</f>
        <v>1578729920334348</v>
      </c>
      <c r="C3314" t="s">
        <v>40</v>
      </c>
      <c r="D3314">
        <v>5.2930070000000002</v>
      </c>
      <c r="E3314">
        <v>0.61630369999999901</v>
      </c>
      <c r="F3314" t="s">
        <v>56</v>
      </c>
      <c r="G3314">
        <v>-201.6086</v>
      </c>
      <c r="H3314" s="1">
        <v>3.075015E-6</v>
      </c>
      <c r="I3314">
        <v>212.96119999999999</v>
      </c>
      <c r="J3314">
        <v>-212.87100000000001</v>
      </c>
      <c r="K3314">
        <v>1.111372</v>
      </c>
      <c r="L3314">
        <v>215.2338</v>
      </c>
      <c r="M3314">
        <v>0.99664649999999999</v>
      </c>
      <c r="N3314">
        <v>0</v>
      </c>
      <c r="O3314">
        <v>8.0640409999999996E-2</v>
      </c>
      <c r="P3314">
        <v>0.99491260000000004</v>
      </c>
      <c r="Q3314">
        <v>-1.443417E-2</v>
      </c>
      <c r="R3314">
        <v>9.9703600000000003E-2</v>
      </c>
      <c r="S3314">
        <v>3.0710449999999998</v>
      </c>
      <c r="T3314">
        <v>-0.29670829999999998</v>
      </c>
      <c r="U3314">
        <v>-0.60116579999999997</v>
      </c>
      <c r="V3314">
        <v>-1.913985E-2</v>
      </c>
      <c r="W3314">
        <v>-5.7568660000000005E-4</v>
      </c>
      <c r="X3314">
        <v>0.9998167</v>
      </c>
      <c r="Y3314">
        <v>0.26905299999999999</v>
      </c>
      <c r="Z3314">
        <v>-2.0555899999999998E-2</v>
      </c>
      <c r="AA3314">
        <v>0.96290600000000004</v>
      </c>
      <c r="AB3314">
        <v>24</v>
      </c>
      <c r="AC3314">
        <v>11.2623999999999</v>
      </c>
      <c r="AD3314">
        <v>-1.1113689249850001</v>
      </c>
      <c r="AE3314">
        <v>-2.2726000000000099</v>
      </c>
      <c r="AF3314">
        <v>3.14407139304998</v>
      </c>
      <c r="AG3314">
        <v>-1.1113689249850001</v>
      </c>
      <c r="AH3314">
        <v>10.940070417138701</v>
      </c>
      <c r="AI3314">
        <v>95.5763983502342</v>
      </c>
      <c r="AJ3314">
        <v>73.965856187797797</v>
      </c>
      <c r="AK3314">
        <v>11.4370217514863</v>
      </c>
      <c r="AL3314">
        <v>90.032984412693494</v>
      </c>
      <c r="AM3314">
        <v>91.096699719694101</v>
      </c>
      <c r="AN3314">
        <v>1.00000004943598</v>
      </c>
    </row>
    <row r="3315" spans="1:40" x14ac:dyDescent="0.3">
      <c r="A3315" t="str">
        <f>"20200111160520363"</f>
        <v>20200111160520363</v>
      </c>
      <c r="B3315" t="str">
        <f>"1578729920354844"</f>
        <v>1578729920354844</v>
      </c>
      <c r="C3315" t="s">
        <v>40</v>
      </c>
      <c r="D3315">
        <v>5.3499220000000003</v>
      </c>
      <c r="E3315">
        <v>0.6173883</v>
      </c>
      <c r="F3315" t="s">
        <v>56</v>
      </c>
      <c r="G3315">
        <v>-201.97319999999999</v>
      </c>
      <c r="H3315" s="1">
        <v>3.2272179999999999E-6</v>
      </c>
      <c r="I3315">
        <v>213.06979999999999</v>
      </c>
      <c r="J3315">
        <v>-212.63159999999999</v>
      </c>
      <c r="K3315">
        <v>1.1112919999999999</v>
      </c>
      <c r="L3315">
        <v>215.25470000000001</v>
      </c>
      <c r="M3315">
        <v>0.99654659999999995</v>
      </c>
      <c r="N3315">
        <v>0</v>
      </c>
      <c r="O3315">
        <v>8.1865540000000001E-2</v>
      </c>
      <c r="P3315">
        <v>0.99484649999999997</v>
      </c>
      <c r="Q3315">
        <v>-1.609725E-2</v>
      </c>
      <c r="R3315">
        <v>0.1001065</v>
      </c>
      <c r="S3315">
        <v>3.07193</v>
      </c>
      <c r="T3315">
        <v>-0.31327700000000003</v>
      </c>
      <c r="U3315">
        <v>-0.610000599999999</v>
      </c>
      <c r="V3315">
        <v>-1.8314549999999999E-2</v>
      </c>
      <c r="W3315">
        <v>-2.247256E-3</v>
      </c>
      <c r="X3315">
        <v>0.99982979999999999</v>
      </c>
      <c r="Y3315">
        <v>0.27264539999999998</v>
      </c>
      <c r="Z3315">
        <v>-2.1990920000000001E-2</v>
      </c>
      <c r="AA3315">
        <v>0.96186320000000003</v>
      </c>
      <c r="AB3315">
        <v>24</v>
      </c>
      <c r="AC3315">
        <v>10.6584</v>
      </c>
      <c r="AD3315">
        <v>-1.111288772782</v>
      </c>
      <c r="AE3315">
        <v>-2.1849000000000198</v>
      </c>
      <c r="AF3315">
        <v>3.0187115251705299</v>
      </c>
      <c r="AG3315">
        <v>-1.111288772782</v>
      </c>
      <c r="AH3315">
        <v>10.335901254439101</v>
      </c>
      <c r="AI3315">
        <v>95.892390552127097</v>
      </c>
      <c r="AJ3315">
        <v>73.718986089798804</v>
      </c>
      <c r="AK3315">
        <v>10.8248989256355</v>
      </c>
      <c r="AL3315">
        <v>90.128758386102405</v>
      </c>
      <c r="AM3315">
        <v>91.049407686660203</v>
      </c>
      <c r="AN3315">
        <v>1.0000000509346301</v>
      </c>
    </row>
    <row r="3316" spans="1:40" x14ac:dyDescent="0.3">
      <c r="A3316" t="str">
        <f>"20200111160520387"</f>
        <v>20200111160520387</v>
      </c>
      <c r="B3316" t="str">
        <f>"1578729920374364"</f>
        <v>1578729920374364</v>
      </c>
      <c r="C3316" t="s">
        <v>40</v>
      </c>
      <c r="D3316">
        <v>5.3958269999999997</v>
      </c>
      <c r="E3316">
        <v>0.61744180000000004</v>
      </c>
      <c r="F3316" t="s">
        <v>56</v>
      </c>
      <c r="G3316">
        <v>-201.88140000000001</v>
      </c>
      <c r="H3316" s="1">
        <v>3.1843609999999999E-6</v>
      </c>
      <c r="I3316">
        <v>213.09450000000001</v>
      </c>
      <c r="J3316">
        <v>-212.3973</v>
      </c>
      <c r="K3316">
        <v>1.1112029999999999</v>
      </c>
      <c r="L3316">
        <v>215.27529999999999</v>
      </c>
      <c r="M3316">
        <v>0.99645689999999998</v>
      </c>
      <c r="N3316">
        <v>0</v>
      </c>
      <c r="O3316">
        <v>8.2952620000000005E-2</v>
      </c>
      <c r="P3316">
        <v>0.99476290000000001</v>
      </c>
      <c r="Q3316">
        <v>-1.743668E-2</v>
      </c>
      <c r="R3316">
        <v>0.10071140000000001</v>
      </c>
      <c r="S3316">
        <v>3.07254</v>
      </c>
      <c r="T3316">
        <v>-0.3176197</v>
      </c>
      <c r="U3316">
        <v>-0.61741639999999998</v>
      </c>
      <c r="V3316">
        <v>-1.7832000000000001E-2</v>
      </c>
      <c r="W3316">
        <v>-3.5940049999999999E-3</v>
      </c>
      <c r="X3316">
        <v>0.99983449999999996</v>
      </c>
      <c r="Y3316">
        <v>0.27581909999999998</v>
      </c>
      <c r="Z3316">
        <v>-2.255805E-2</v>
      </c>
      <c r="AA3316">
        <v>0.96094480000000004</v>
      </c>
      <c r="AB3316">
        <v>24</v>
      </c>
      <c r="AC3316">
        <v>10.515899999999901</v>
      </c>
      <c r="AD3316">
        <v>-1.1111998156389999</v>
      </c>
      <c r="AE3316">
        <v>-2.1807999999999699</v>
      </c>
      <c r="AF3316">
        <v>3.01342779199847</v>
      </c>
      <c r="AG3316">
        <v>-1.1111998156389999</v>
      </c>
      <c r="AH3316">
        <v>10.1896448340588</v>
      </c>
      <c r="AI3316">
        <v>95.969990833123404</v>
      </c>
      <c r="AJ3316">
        <v>73.525242821626193</v>
      </c>
      <c r="AK3316">
        <v>10.683837041631</v>
      </c>
      <c r="AL3316">
        <v>90.205921769136296</v>
      </c>
      <c r="AM3316">
        <v>91.021759132940801</v>
      </c>
      <c r="AN3316">
        <v>0.99999996224309395</v>
      </c>
    </row>
    <row r="3317" spans="1:40" x14ac:dyDescent="0.3">
      <c r="A3317" t="str">
        <f>"20200111160520408"</f>
        <v>20200111160520408</v>
      </c>
      <c r="B3317" t="str">
        <f>"1578729920404620"</f>
        <v>1578729920404620</v>
      </c>
      <c r="C3317" t="s">
        <v>40</v>
      </c>
      <c r="D3317">
        <v>5.4240659999999998</v>
      </c>
      <c r="E3317">
        <v>0.61744929999999998</v>
      </c>
      <c r="F3317" t="s">
        <v>56</v>
      </c>
      <c r="G3317">
        <v>-201.8064</v>
      </c>
      <c r="H3317" s="1">
        <v>3.1460660000000002E-6</v>
      </c>
      <c r="I3317">
        <v>213.15180000000001</v>
      </c>
      <c r="J3317">
        <v>-212.1541</v>
      </c>
      <c r="K3317">
        <v>1.111097</v>
      </c>
      <c r="L3317">
        <v>215.29679999999999</v>
      </c>
      <c r="M3317">
        <v>0.99637370000000003</v>
      </c>
      <c r="N3317">
        <v>0</v>
      </c>
      <c r="O3317">
        <v>8.3948339999999996E-2</v>
      </c>
      <c r="P3317">
        <v>0.99472490000000002</v>
      </c>
      <c r="Q3317">
        <v>-1.8096580000000001E-2</v>
      </c>
      <c r="R3317">
        <v>0.1009707</v>
      </c>
      <c r="S3317">
        <v>3.0725250000000002</v>
      </c>
      <c r="T3317">
        <v>-0.32236749999999997</v>
      </c>
      <c r="U3317">
        <v>-0.61604309999999995</v>
      </c>
      <c r="V3317">
        <v>-1.7094399999999999E-2</v>
      </c>
      <c r="W3317">
        <v>-4.2597160000000002E-3</v>
      </c>
      <c r="X3317">
        <v>0.99984479999999998</v>
      </c>
      <c r="Y3317">
        <v>0.27630349999999998</v>
      </c>
      <c r="Z3317">
        <v>-2.302297E-2</v>
      </c>
      <c r="AA3317">
        <v>0.96079460000000005</v>
      </c>
      <c r="AB3317">
        <v>24</v>
      </c>
      <c r="AC3317">
        <v>10.3477</v>
      </c>
      <c r="AD3317">
        <v>-1.1110938539340001</v>
      </c>
      <c r="AE3317">
        <v>-2.14499999999998</v>
      </c>
      <c r="AF3317">
        <v>2.9733139073329098</v>
      </c>
      <c r="AG3317">
        <v>-1.1110938539340001</v>
      </c>
      <c r="AH3317">
        <v>10.020309973094401</v>
      </c>
      <c r="AI3317">
        <v>96.067925925425101</v>
      </c>
      <c r="AJ3317">
        <v>73.472864014622601</v>
      </c>
      <c r="AK3317">
        <v>10.5110293073839</v>
      </c>
      <c r="AL3317">
        <v>90.2440644883185</v>
      </c>
      <c r="AM3317">
        <v>90.979493574620406</v>
      </c>
      <c r="AN3317">
        <v>0.99999999388939997</v>
      </c>
    </row>
    <row r="3318" spans="1:40" x14ac:dyDescent="0.3">
      <c r="A3318" t="str">
        <f>"20200111160520430"</f>
        <v>20200111160520430</v>
      </c>
      <c r="B3318" t="str">
        <f>"1578729920425116"</f>
        <v>1578729920425116</v>
      </c>
      <c r="C3318" t="s">
        <v>40</v>
      </c>
      <c r="D3318">
        <v>5.3669979999999997</v>
      </c>
      <c r="E3318">
        <v>0.61801899999999999</v>
      </c>
      <c r="F3318" t="s">
        <v>56</v>
      </c>
      <c r="G3318">
        <v>-201.65989999999999</v>
      </c>
      <c r="H3318" s="1">
        <v>3.077303E-6</v>
      </c>
      <c r="I3318">
        <v>213.1952</v>
      </c>
      <c r="J3318">
        <v>-211.9093</v>
      </c>
      <c r="K3318">
        <v>1.1110150000000001</v>
      </c>
      <c r="L3318">
        <v>215.3185</v>
      </c>
      <c r="M3318">
        <v>0.99629939999999995</v>
      </c>
      <c r="N3318">
        <v>0</v>
      </c>
      <c r="O3318">
        <v>8.4828410000000007E-2</v>
      </c>
      <c r="P3318">
        <v>0.99471379999999998</v>
      </c>
      <c r="Q3318">
        <v>-1.8789190000000001E-2</v>
      </c>
      <c r="R3318">
        <v>0.1009544</v>
      </c>
      <c r="S3318">
        <v>3.0724490000000002</v>
      </c>
      <c r="T3318">
        <v>-0.32530029999999999</v>
      </c>
      <c r="U3318">
        <v>-0.61528019999999894</v>
      </c>
      <c r="V3318">
        <v>-1.6196120000000001E-2</v>
      </c>
      <c r="W3318">
        <v>-4.9572779999999999E-3</v>
      </c>
      <c r="X3318">
        <v>0.99985650000000004</v>
      </c>
      <c r="Y3318">
        <v>0.27688420000000002</v>
      </c>
      <c r="Z3318">
        <v>-2.335491E-2</v>
      </c>
      <c r="AA3318">
        <v>0.96061940000000001</v>
      </c>
      <c r="AB3318">
        <v>24</v>
      </c>
      <c r="AC3318">
        <v>10.2494</v>
      </c>
      <c r="AD3318">
        <v>-1.1110119226970001</v>
      </c>
      <c r="AE3318">
        <v>-2.1233</v>
      </c>
      <c r="AF3318">
        <v>2.9519110301290099</v>
      </c>
      <c r="AG3318">
        <v>-1.1110119226970001</v>
      </c>
      <c r="AH3318">
        <v>9.9205459541928196</v>
      </c>
      <c r="AI3318">
        <v>96.126663974583494</v>
      </c>
      <c r="AJ3318">
        <v>73.4293475574475</v>
      </c>
      <c r="AK3318">
        <v>10.4098683109549</v>
      </c>
      <c r="AL3318">
        <v>90.284032283463802</v>
      </c>
      <c r="AM3318">
        <v>90.928021341157901</v>
      </c>
      <c r="AN3318">
        <v>0.99999995475023495</v>
      </c>
    </row>
    <row r="3319" spans="1:40" x14ac:dyDescent="0.3">
      <c r="A3319" t="str">
        <f>"20200111160520452"</f>
        <v>20200111160520452</v>
      </c>
      <c r="B3319" t="str">
        <f>"1578729920444636"</f>
        <v>1578729920444636</v>
      </c>
      <c r="C3319" t="s">
        <v>40</v>
      </c>
      <c r="D3319">
        <v>5.4422370000000004</v>
      </c>
      <c r="E3319">
        <v>0.61818079999999997</v>
      </c>
      <c r="F3319" t="s">
        <v>56</v>
      </c>
      <c r="G3319">
        <v>-201.42590000000001</v>
      </c>
      <c r="H3319" s="1">
        <v>2.9728810000000001E-6</v>
      </c>
      <c r="I3319">
        <v>213.20310000000001</v>
      </c>
      <c r="J3319">
        <v>-211.6756</v>
      </c>
      <c r="K3319">
        <v>1.1109359999999999</v>
      </c>
      <c r="L3319">
        <v>215.33930000000001</v>
      </c>
      <c r="M3319">
        <v>0.99623870000000003</v>
      </c>
      <c r="N3319">
        <v>0</v>
      </c>
      <c r="O3319">
        <v>8.5538630000000004E-2</v>
      </c>
      <c r="P3319">
        <v>0.99480769999999996</v>
      </c>
      <c r="Q3319">
        <v>-1.7372720000000001E-2</v>
      </c>
      <c r="R3319">
        <v>0.10027999999999999</v>
      </c>
      <c r="S3319">
        <v>3.0727389999999999</v>
      </c>
      <c r="T3319">
        <v>-0.3256445</v>
      </c>
      <c r="U3319">
        <v>-0.62002559999999995</v>
      </c>
      <c r="V3319">
        <v>-1.480594E-2</v>
      </c>
      <c r="W3319">
        <v>-3.544069E-3</v>
      </c>
      <c r="X3319">
        <v>0.99988410000000005</v>
      </c>
      <c r="Y3319">
        <v>0.2789585</v>
      </c>
      <c r="Z3319">
        <v>-2.355693E-2</v>
      </c>
      <c r="AA3319">
        <v>0.96001420000000004</v>
      </c>
      <c r="AB3319">
        <v>24</v>
      </c>
      <c r="AC3319">
        <v>10.249699999999899</v>
      </c>
      <c r="AD3319">
        <v>-1.1109330271189899</v>
      </c>
      <c r="AE3319">
        <v>-2.1362000000000001</v>
      </c>
      <c r="AF3319">
        <v>2.9717404622822499</v>
      </c>
      <c r="AG3319">
        <v>-1.1109330271189899</v>
      </c>
      <c r="AH3319">
        <v>9.9177206613626403</v>
      </c>
      <c r="AI3319">
        <v>96.124490353657293</v>
      </c>
      <c r="AJ3319">
        <v>73.319709413826004</v>
      </c>
      <c r="AK3319">
        <v>10.412809259884099</v>
      </c>
      <c r="AL3319">
        <v>90.203060622136604</v>
      </c>
      <c r="AM3319">
        <v>90.848354203516607</v>
      </c>
      <c r="AN3319">
        <v>0.99999999485858504</v>
      </c>
    </row>
    <row r="3320" spans="1:40" x14ac:dyDescent="0.3">
      <c r="A3320" t="str">
        <f>"20200111160520497"</f>
        <v>20200111160520497</v>
      </c>
      <c r="B3320" t="str">
        <f>"1578729920494413"</f>
        <v>1578729920494413</v>
      </c>
      <c r="C3320" t="s">
        <v>40</v>
      </c>
      <c r="D3320">
        <v>5.542332</v>
      </c>
      <c r="E3320">
        <v>0.62330569999999996</v>
      </c>
      <c r="F3320" t="s">
        <v>56</v>
      </c>
      <c r="G3320">
        <v>-201.0171</v>
      </c>
      <c r="H3320" s="1">
        <v>2.7938630000000001E-6</v>
      </c>
      <c r="I3320">
        <v>213.17689999999999</v>
      </c>
      <c r="J3320">
        <v>-211.19739999999999</v>
      </c>
      <c r="K3320">
        <v>1.1107199999999999</v>
      </c>
      <c r="L3320">
        <v>215.3818</v>
      </c>
      <c r="M3320">
        <v>0.99615620000000005</v>
      </c>
      <c r="N3320">
        <v>0</v>
      </c>
      <c r="O3320">
        <v>8.6496009999999998E-2</v>
      </c>
      <c r="P3320">
        <v>0.99513640000000003</v>
      </c>
      <c r="Q3320">
        <v>-1.673434E-2</v>
      </c>
      <c r="R3320">
        <v>9.7074659999999993E-2</v>
      </c>
      <c r="S3320">
        <v>3.0729060000000001</v>
      </c>
      <c r="T3320">
        <v>-0.32028800000000002</v>
      </c>
      <c r="U3320">
        <v>-0.62342830000000005</v>
      </c>
      <c r="V3320">
        <v>-1.0625900000000001E-2</v>
      </c>
      <c r="W3320">
        <v>-2.9105490000000001E-3</v>
      </c>
      <c r="X3320">
        <v>0.99993929999999998</v>
      </c>
      <c r="Y3320">
        <v>0.28094059999999998</v>
      </c>
      <c r="Z3320">
        <v>-2.3368529999999998E-2</v>
      </c>
      <c r="AA3320">
        <v>0.95944059999999998</v>
      </c>
      <c r="AB3320">
        <v>24</v>
      </c>
      <c r="AC3320">
        <v>10.1802999999999</v>
      </c>
      <c r="AD3320">
        <v>-1.1107172061370001</v>
      </c>
      <c r="AE3320">
        <v>-2.2048999999999999</v>
      </c>
      <c r="AF3320">
        <v>3.0426778820598002</v>
      </c>
      <c r="AG3320">
        <v>-1.1107172061370001</v>
      </c>
      <c r="AH3320">
        <v>9.8395259935568902</v>
      </c>
      <c r="AI3320">
        <v>96.155255323856196</v>
      </c>
      <c r="AJ3320">
        <v>72.816815627019196</v>
      </c>
      <c r="AK3320">
        <v>10.3589503900668</v>
      </c>
      <c r="AL3320">
        <v>90.166762410488701</v>
      </c>
      <c r="AM3320">
        <v>90.608833264602197</v>
      </c>
      <c r="AN3320">
        <v>0.99999999236538994</v>
      </c>
    </row>
    <row r="3321" spans="1:40" x14ac:dyDescent="0.3">
      <c r="A3321" t="str">
        <f>"20200111160520520"</f>
        <v>20200111160520520</v>
      </c>
      <c r="B3321" t="str">
        <f>"1578729920514908"</f>
        <v>1578729920514908</v>
      </c>
      <c r="C3321" t="s">
        <v>40</v>
      </c>
      <c r="D3321">
        <v>5.682404</v>
      </c>
      <c r="E3321">
        <v>0.6129597</v>
      </c>
      <c r="F3321" t="s">
        <v>70</v>
      </c>
      <c r="G3321">
        <v>-168.41120000000001</v>
      </c>
      <c r="H3321">
        <v>1.5473190000000001</v>
      </c>
      <c r="I3321">
        <v>205.7484</v>
      </c>
      <c r="J3321">
        <v>-210.94900000000001</v>
      </c>
      <c r="K3321">
        <v>1.1105860000000001</v>
      </c>
      <c r="L3321">
        <v>215.40369999999999</v>
      </c>
      <c r="M3321">
        <v>0.99613799999999997</v>
      </c>
      <c r="N3321">
        <v>0</v>
      </c>
      <c r="O3321">
        <v>8.6706210000000006E-2</v>
      </c>
      <c r="P3321">
        <v>0.99539920000000004</v>
      </c>
      <c r="Q3321">
        <v>-1.6389509999999999E-2</v>
      </c>
      <c r="R3321">
        <v>9.4402739999999999E-2</v>
      </c>
      <c r="S3321">
        <v>3.0829010000000001</v>
      </c>
      <c r="T3321">
        <v>3.1460879999999997E-2</v>
      </c>
      <c r="U3321">
        <v>-0.69412229999999997</v>
      </c>
      <c r="V3321">
        <v>-7.7311599999999999E-3</v>
      </c>
      <c r="W3321">
        <v>-2.5679409999999998E-3</v>
      </c>
      <c r="X3321">
        <v>0.99996680000000004</v>
      </c>
      <c r="Y3321">
        <v>0.303403599999999</v>
      </c>
      <c r="Z3321">
        <v>2.4041840000000002E-3</v>
      </c>
      <c r="AA3321">
        <v>0.95285909999999996</v>
      </c>
      <c r="AB3321">
        <v>24</v>
      </c>
      <c r="AC3321">
        <v>42.537799999999997</v>
      </c>
      <c r="AD3321">
        <v>0.43673299999999998</v>
      </c>
      <c r="AE3321">
        <v>-9.6552999999999791</v>
      </c>
      <c r="AF3321">
        <v>13.3062404826095</v>
      </c>
      <c r="AG3321">
        <v>0.43673299999999998</v>
      </c>
      <c r="AH3321">
        <v>41.536150484557602</v>
      </c>
      <c r="AI3321">
        <v>89.426301480721506</v>
      </c>
      <c r="AJ3321">
        <v>72.236970954561698</v>
      </c>
      <c r="AK3321">
        <v>43.617640566290802</v>
      </c>
      <c r="AL3321">
        <v>90.147132345527496</v>
      </c>
      <c r="AM3321">
        <v>90.442968719612693</v>
      </c>
      <c r="AN3321">
        <v>0.999999983129082</v>
      </c>
    </row>
    <row r="3322" spans="1:40" x14ac:dyDescent="0.3">
      <c r="A3322" t="str">
        <f>"20200111160520542"</f>
        <v>20200111160520542</v>
      </c>
      <c r="B3322" t="str">
        <f>"1578729920534428"</f>
        <v>1578729920534428</v>
      </c>
      <c r="C3322" t="s">
        <v>40</v>
      </c>
      <c r="D3322">
        <v>6.1614950000000004</v>
      </c>
      <c r="E3322">
        <v>0.61044679999999996</v>
      </c>
      <c r="F3322" t="s">
        <v>56</v>
      </c>
      <c r="G3322">
        <v>-201.77600000000001</v>
      </c>
      <c r="H3322" s="1">
        <v>3.0916729999999999E-6</v>
      </c>
      <c r="I3322">
        <v>213.62020000000001</v>
      </c>
      <c r="J3322">
        <v>-210.71860000000001</v>
      </c>
      <c r="K3322">
        <v>1.1104560000000001</v>
      </c>
      <c r="L3322">
        <v>215.4239</v>
      </c>
      <c r="M3322">
        <v>0.99613739999999995</v>
      </c>
      <c r="N3322">
        <v>0</v>
      </c>
      <c r="O3322">
        <v>8.6713830000000006E-2</v>
      </c>
      <c r="P3322">
        <v>0.99564059999999999</v>
      </c>
      <c r="Q3322">
        <v>-1.5575189999999999E-2</v>
      </c>
      <c r="R3322">
        <v>9.196348E-2</v>
      </c>
      <c r="S3322">
        <v>3.06427</v>
      </c>
      <c r="T3322">
        <v>-0.37099559999999998</v>
      </c>
      <c r="U3322">
        <v>-0.5958099</v>
      </c>
      <c r="V3322">
        <v>-5.273135E-3</v>
      </c>
      <c r="W3322">
        <v>-1.756699E-3</v>
      </c>
      <c r="X3322">
        <v>0.9999846</v>
      </c>
      <c r="Y3322">
        <v>0.2727329</v>
      </c>
      <c r="Z3322">
        <v>-2.667624E-2</v>
      </c>
      <c r="AA3322">
        <v>0.96171989999999996</v>
      </c>
      <c r="AB3322">
        <v>24</v>
      </c>
      <c r="AC3322">
        <v>8.9426000000000201</v>
      </c>
      <c r="AD3322">
        <v>-1.1104529083269901</v>
      </c>
      <c r="AE3322">
        <v>-1.8036999999999901</v>
      </c>
      <c r="AF3322">
        <v>2.5348671497083402</v>
      </c>
      <c r="AG3322">
        <v>-1.1104529083269901</v>
      </c>
      <c r="AH3322">
        <v>8.6246979417089396</v>
      </c>
      <c r="AI3322">
        <v>97.041952866035004</v>
      </c>
      <c r="AJ3322">
        <v>73.621519327686897</v>
      </c>
      <c r="AK3322">
        <v>9.0578182645712602</v>
      </c>
      <c r="AL3322">
        <v>90.100651485704006</v>
      </c>
      <c r="AM3322">
        <v>90.302130232746293</v>
      </c>
      <c r="AN3322">
        <v>1.00000004609063</v>
      </c>
    </row>
    <row r="3323" spans="1:40" x14ac:dyDescent="0.3">
      <c r="A3323" t="str">
        <f>"20200111160520564"</f>
        <v>20200111160520564</v>
      </c>
      <c r="B3323" t="str">
        <f>"1578729920554924"</f>
        <v>1578729920554924</v>
      </c>
      <c r="C3323" t="s">
        <v>40</v>
      </c>
      <c r="D3323">
        <v>6.006113</v>
      </c>
      <c r="E3323">
        <v>0.6129348</v>
      </c>
      <c r="F3323" t="s">
        <v>56</v>
      </c>
      <c r="G3323">
        <v>-201.92509999999999</v>
      </c>
      <c r="H3323" s="1">
        <v>3.1462979999999998E-6</v>
      </c>
      <c r="I3323">
        <v>213.75149999999999</v>
      </c>
      <c r="J3323">
        <v>-210.48500000000001</v>
      </c>
      <c r="K3323">
        <v>1.1103190000000001</v>
      </c>
      <c r="L3323">
        <v>215.4442</v>
      </c>
      <c r="M3323">
        <v>0.99615419999999999</v>
      </c>
      <c r="N3323">
        <v>0</v>
      </c>
      <c r="O3323">
        <v>8.652166E-2</v>
      </c>
      <c r="P3323">
        <v>0.99589039999999995</v>
      </c>
      <c r="Q3323">
        <v>-1.447471E-2</v>
      </c>
      <c r="R3323">
        <v>8.9403730000000001E-2</v>
      </c>
      <c r="S3323">
        <v>3.0608520000000001</v>
      </c>
      <c r="T3323">
        <v>-0.38652579999999997</v>
      </c>
      <c r="U3323">
        <v>-0.58215329999999998</v>
      </c>
      <c r="V3323">
        <v>-2.8942220000000001E-3</v>
      </c>
      <c r="W3323">
        <v>-6.6055360000000002E-4</v>
      </c>
      <c r="X3323">
        <v>0.99999559999999998</v>
      </c>
      <c r="Y3323">
        <v>0.2684182</v>
      </c>
      <c r="Z3323">
        <v>-2.7532810000000001E-2</v>
      </c>
      <c r="AA3323">
        <v>0.96290889999999996</v>
      </c>
      <c r="AB3323">
        <v>24</v>
      </c>
      <c r="AC3323">
        <v>8.5599000000000203</v>
      </c>
      <c r="AD3323">
        <v>-1.1103158537019999</v>
      </c>
      <c r="AE3323">
        <v>-1.6927000000000001</v>
      </c>
      <c r="AF3323">
        <v>2.38836645170224</v>
      </c>
      <c r="AG3323">
        <v>-1.1103158537019999</v>
      </c>
      <c r="AH3323">
        <v>8.24777795823959</v>
      </c>
      <c r="AI3323">
        <v>97.367895949050407</v>
      </c>
      <c r="AJ3323">
        <v>73.850201708443706</v>
      </c>
      <c r="AK3323">
        <v>8.65811393151081</v>
      </c>
      <c r="AL3323">
        <v>90.037846935930901</v>
      </c>
      <c r="AM3323">
        <v>90.165826972193798</v>
      </c>
      <c r="AN3323">
        <v>1.0000000064357</v>
      </c>
    </row>
    <row r="3324" spans="1:40" x14ac:dyDescent="0.3">
      <c r="A3324" t="str">
        <f>"20200111160520587"</f>
        <v>20200111160520587</v>
      </c>
      <c r="B3324" t="str">
        <f>"1578729920585181"</f>
        <v>1578729920585181</v>
      </c>
      <c r="C3324" t="s">
        <v>40</v>
      </c>
      <c r="D3324">
        <v>5.6471710000000002</v>
      </c>
      <c r="E3324">
        <v>0.603294</v>
      </c>
      <c r="F3324" t="s">
        <v>70</v>
      </c>
      <c r="G3324">
        <v>-168.41079999999999</v>
      </c>
      <c r="H3324">
        <v>1.3527129999999901</v>
      </c>
      <c r="I3324">
        <v>206.7482</v>
      </c>
      <c r="J3324">
        <v>-210.2458</v>
      </c>
      <c r="K3324">
        <v>1.110179</v>
      </c>
      <c r="L3324">
        <v>215.46459999999999</v>
      </c>
      <c r="M3324">
        <v>0.99619150000000001</v>
      </c>
      <c r="N3324">
        <v>0</v>
      </c>
      <c r="O3324">
        <v>8.6091989999999993E-2</v>
      </c>
      <c r="P3324">
        <v>0.99617020000000001</v>
      </c>
      <c r="Q3324">
        <v>-1.2027899999999999E-2</v>
      </c>
      <c r="R3324">
        <v>8.6604680000000003E-2</v>
      </c>
      <c r="S3324">
        <v>3.0696110000000001</v>
      </c>
      <c r="T3324">
        <v>1.768672E-2</v>
      </c>
      <c r="U3324">
        <v>-0.63442989999999999</v>
      </c>
      <c r="V3324">
        <v>-5.1147059999999997E-4</v>
      </c>
      <c r="W3324">
        <v>1.78128799999999E-3</v>
      </c>
      <c r="X3324">
        <v>0.99999830000000001</v>
      </c>
      <c r="Y3324">
        <v>0.28596369999999999</v>
      </c>
      <c r="Z3324">
        <v>1.306759E-3</v>
      </c>
      <c r="AA3324">
        <v>0.95823959999999997</v>
      </c>
      <c r="AB3324">
        <v>24</v>
      </c>
      <c r="AC3324">
        <v>41.835000000000001</v>
      </c>
      <c r="AD3324">
        <v>0.242533999999999</v>
      </c>
      <c r="AE3324">
        <v>-8.7163999999999895</v>
      </c>
      <c r="AF3324">
        <v>12.285637565393801</v>
      </c>
      <c r="AG3324">
        <v>0.242533999999999</v>
      </c>
      <c r="AH3324">
        <v>40.927842891771398</v>
      </c>
      <c r="AI3324">
        <v>89.6748099764404</v>
      </c>
      <c r="AJ3324">
        <v>73.291400254350904</v>
      </c>
      <c r="AK3324">
        <v>42.7327045353193</v>
      </c>
      <c r="AL3324">
        <v>89.897939663295205</v>
      </c>
      <c r="AM3324">
        <v>90.029305153988304</v>
      </c>
      <c r="AN3324">
        <v>1.000000017296</v>
      </c>
    </row>
    <row r="3325" spans="1:40" x14ac:dyDescent="0.3">
      <c r="A3325" t="str">
        <f>"20200111160520609"</f>
        <v>20200111160520609</v>
      </c>
      <c r="B3325" t="str">
        <f>"1578729920604703"</f>
        <v>1578729920604703</v>
      </c>
      <c r="C3325" t="s">
        <v>40</v>
      </c>
      <c r="D3325">
        <v>5.6754860000000003</v>
      </c>
      <c r="E3325">
        <v>0.60409979999999996</v>
      </c>
      <c r="F3325" t="s">
        <v>56</v>
      </c>
      <c r="G3325">
        <v>-201.36429999999999</v>
      </c>
      <c r="H3325" s="1">
        <v>2.885379E-6</v>
      </c>
      <c r="I3325">
        <v>213.89150000000001</v>
      </c>
      <c r="J3325">
        <v>-210.0085</v>
      </c>
      <c r="K3325">
        <v>1.110052</v>
      </c>
      <c r="L3325">
        <v>215.4846</v>
      </c>
      <c r="M3325">
        <v>0.99624360000000001</v>
      </c>
      <c r="N3325">
        <v>0</v>
      </c>
      <c r="O3325">
        <v>8.5488359999999999E-2</v>
      </c>
      <c r="P3325">
        <v>0.9964944</v>
      </c>
      <c r="Q3325">
        <v>-9.5618309999999998E-3</v>
      </c>
      <c r="R3325">
        <v>8.311085E-2</v>
      </c>
      <c r="S3325">
        <v>3.0539399999999999</v>
      </c>
      <c r="T3325">
        <v>-0.38173940000000001</v>
      </c>
      <c r="U3325">
        <v>-0.54090879999999997</v>
      </c>
      <c r="V3325">
        <v>2.395065E-3</v>
      </c>
      <c r="W3325">
        <v>4.2398490000000004E-3</v>
      </c>
      <c r="X3325">
        <v>0.99998810000000005</v>
      </c>
      <c r="Y3325">
        <v>0.2553706</v>
      </c>
      <c r="Z3325">
        <v>-2.6351699999999999E-2</v>
      </c>
      <c r="AA3325">
        <v>0.96648409999999996</v>
      </c>
      <c r="AB3325">
        <v>24</v>
      </c>
      <c r="AC3325">
        <v>8.6442000000000103</v>
      </c>
      <c r="AD3325">
        <v>-1.1100491146210001</v>
      </c>
      <c r="AE3325">
        <v>-1.59309999999999</v>
      </c>
      <c r="AF3325">
        <v>2.2897961064229699</v>
      </c>
      <c r="AG3325">
        <v>-1.1100491146210001</v>
      </c>
      <c r="AH3325">
        <v>8.3432790099918392</v>
      </c>
      <c r="AI3325">
        <v>97.311266636964803</v>
      </c>
      <c r="AJ3325">
        <v>74.653157358840204</v>
      </c>
      <c r="AK3325">
        <v>8.7227105812603405</v>
      </c>
      <c r="AL3325">
        <v>89.757073808111798</v>
      </c>
      <c r="AM3325">
        <v>89.862771513220494</v>
      </c>
      <c r="AN3325">
        <v>0.99999995639875205</v>
      </c>
    </row>
    <row r="3326" spans="1:40" x14ac:dyDescent="0.3">
      <c r="A3326" t="str">
        <f>"20200111160520631"</f>
        <v>20200111160520631</v>
      </c>
      <c r="B3326" t="str">
        <f>"1578729920625196"</f>
        <v>1578729920625196</v>
      </c>
      <c r="C3326" t="s">
        <v>40</v>
      </c>
      <c r="D3326">
        <v>5.6066900000000004</v>
      </c>
      <c r="E3326">
        <v>0.60528319999999902</v>
      </c>
      <c r="F3326" t="s">
        <v>56</v>
      </c>
      <c r="G3326">
        <v>-201.0789</v>
      </c>
      <c r="H3326" s="1">
        <v>2.7619109999999999E-6</v>
      </c>
      <c r="I3326">
        <v>213.85589999999999</v>
      </c>
      <c r="J3326">
        <v>-209.76849999999999</v>
      </c>
      <c r="K3326">
        <v>1.109937</v>
      </c>
      <c r="L3326">
        <v>215.5043</v>
      </c>
      <c r="M3326">
        <v>0.99630989999999997</v>
      </c>
      <c r="N3326">
        <v>0</v>
      </c>
      <c r="O3326">
        <v>8.4713609999999995E-2</v>
      </c>
      <c r="P3326">
        <v>0.99681589999999998</v>
      </c>
      <c r="Q3326">
        <v>-8.3154240000000001E-3</v>
      </c>
      <c r="R3326">
        <v>7.9304429999999995E-2</v>
      </c>
      <c r="S3326">
        <v>3.053375</v>
      </c>
      <c r="T3326">
        <v>-0.37956659999999998</v>
      </c>
      <c r="U3326">
        <v>-0.55689999999999995</v>
      </c>
      <c r="V3326">
        <v>5.4401359999999999E-3</v>
      </c>
      <c r="W3326">
        <v>5.4777039999999999E-3</v>
      </c>
      <c r="X3326">
        <v>0.99997020000000003</v>
      </c>
      <c r="Y3326">
        <v>0.25955620000000001</v>
      </c>
      <c r="Z3326">
        <v>-2.6358019999999999E-2</v>
      </c>
      <c r="AA3326">
        <v>0.96536820000000001</v>
      </c>
      <c r="AB3326">
        <v>24</v>
      </c>
      <c r="AC3326">
        <v>8.6895999999999791</v>
      </c>
      <c r="AD3326">
        <v>-1.109934238089</v>
      </c>
      <c r="AE3326">
        <v>-1.6484000000000001</v>
      </c>
      <c r="AF3326">
        <v>2.3417909571215301</v>
      </c>
      <c r="AG3326">
        <v>-1.109934238089</v>
      </c>
      <c r="AH3326">
        <v>8.38662529283752</v>
      </c>
      <c r="AI3326">
        <v>97.264298761917104</v>
      </c>
      <c r="AJ3326">
        <v>74.398712802522894</v>
      </c>
      <c r="AK3326">
        <v>8.7778939787514094</v>
      </c>
      <c r="AL3326">
        <v>89.686149110025795</v>
      </c>
      <c r="AM3326">
        <v>89.688296953498195</v>
      </c>
      <c r="AN3326">
        <v>1.0000000006044201</v>
      </c>
    </row>
    <row r="3327" spans="1:40" x14ac:dyDescent="0.3">
      <c r="A3327" t="str">
        <f>"20200111160520653"</f>
        <v>20200111160520653</v>
      </c>
      <c r="B3327" t="str">
        <f>"1578729920645185"</f>
        <v>1578729920645185</v>
      </c>
      <c r="C3327" t="s">
        <v>40</v>
      </c>
      <c r="D3327">
        <v>5.6042399999999999</v>
      </c>
      <c r="E3327">
        <v>0.6057186</v>
      </c>
      <c r="F3327" t="s">
        <v>56</v>
      </c>
      <c r="G3327">
        <v>-200.79259999999999</v>
      </c>
      <c r="H3327" s="1">
        <v>2.639274E-6</v>
      </c>
      <c r="I3327">
        <v>213.8066</v>
      </c>
      <c r="J3327">
        <v>-209.5342</v>
      </c>
      <c r="K3327">
        <v>1.109828</v>
      </c>
      <c r="L3327">
        <v>215.52330000000001</v>
      </c>
      <c r="M3327">
        <v>0.99638729999999998</v>
      </c>
      <c r="N3327">
        <v>0</v>
      </c>
      <c r="O3327">
        <v>8.3798650000000002E-2</v>
      </c>
      <c r="P3327">
        <v>0.99710069999999995</v>
      </c>
      <c r="Q3327">
        <v>-9.3260280000000001E-3</v>
      </c>
      <c r="R3327">
        <v>7.5522590000000001E-2</v>
      </c>
      <c r="S3327">
        <v>3.0523829999999998</v>
      </c>
      <c r="T3327">
        <v>-0.37745060000000002</v>
      </c>
      <c r="U3327">
        <v>-0.57734680000000005</v>
      </c>
      <c r="V3327">
        <v>8.3138629999999995E-3</v>
      </c>
      <c r="W3327">
        <v>4.4572850000000001E-3</v>
      </c>
      <c r="X3327">
        <v>0.9999555</v>
      </c>
      <c r="Y3327">
        <v>0.26496930000000002</v>
      </c>
      <c r="Z3327">
        <v>-2.6424119999999999E-2</v>
      </c>
      <c r="AA3327">
        <v>0.96389469999999999</v>
      </c>
      <c r="AB3327">
        <v>24</v>
      </c>
      <c r="AC3327">
        <v>8.7416</v>
      </c>
      <c r="AD3327">
        <v>-1.109825360726</v>
      </c>
      <c r="AE3327">
        <v>-1.7166999999999999</v>
      </c>
      <c r="AF3327">
        <v>2.4059245621974101</v>
      </c>
      <c r="AG3327">
        <v>-1.109825360726</v>
      </c>
      <c r="AH3327">
        <v>8.4360486234364291</v>
      </c>
      <c r="AI3327">
        <v>97.210354753888694</v>
      </c>
      <c r="AJ3327">
        <v>74.082079605683504</v>
      </c>
      <c r="AK3327">
        <v>8.8423470700532398</v>
      </c>
      <c r="AL3327">
        <v>89.744615534454297</v>
      </c>
      <c r="AM3327">
        <v>89.523640516312099</v>
      </c>
      <c r="AN3327">
        <v>0.99999999484390201</v>
      </c>
    </row>
    <row r="3328" spans="1:40" x14ac:dyDescent="0.3">
      <c r="A3328" t="str">
        <f>"20200111160520676"</f>
        <v>20200111160520676</v>
      </c>
      <c r="B3328" t="str">
        <f>"1578729920664706"</f>
        <v>1578729920664706</v>
      </c>
      <c r="C3328" t="s">
        <v>40</v>
      </c>
      <c r="D3328">
        <v>5.5349879999999896</v>
      </c>
      <c r="E3328">
        <v>0.60604550000000001</v>
      </c>
      <c r="F3328" t="s">
        <v>56</v>
      </c>
      <c r="G3328">
        <v>-200.69980000000001</v>
      </c>
      <c r="H3328" s="1">
        <v>2.5978389999999999E-6</v>
      </c>
      <c r="I3328">
        <v>213.8098</v>
      </c>
      <c r="J3328">
        <v>-209.2998</v>
      </c>
      <c r="K3328">
        <v>1.1097170000000001</v>
      </c>
      <c r="L3328">
        <v>215.5419</v>
      </c>
      <c r="M3328">
        <v>0.9964771</v>
      </c>
      <c r="N3328">
        <v>0</v>
      </c>
      <c r="O3328">
        <v>8.2723450000000004E-2</v>
      </c>
      <c r="P3328">
        <v>0.9973921</v>
      </c>
      <c r="Q3328">
        <v>-1.046091E-2</v>
      </c>
      <c r="R3328">
        <v>7.1413760000000007E-2</v>
      </c>
      <c r="S3328">
        <v>3.0499109999999998</v>
      </c>
      <c r="T3328">
        <v>-0.38314599999999999</v>
      </c>
      <c r="U3328">
        <v>-0.59156799999999998</v>
      </c>
      <c r="V3328">
        <v>1.1352859999999999E-2</v>
      </c>
      <c r="W3328">
        <v>3.3114529999999998E-3</v>
      </c>
      <c r="X3328">
        <v>0.99993010000000004</v>
      </c>
      <c r="Y3328">
        <v>0.26830929999999997</v>
      </c>
      <c r="Z3328">
        <v>-2.6903549999999998E-2</v>
      </c>
      <c r="AA3328">
        <v>0.96295710000000001</v>
      </c>
      <c r="AB3328">
        <v>24</v>
      </c>
      <c r="AC3328">
        <v>8.5999999999999908</v>
      </c>
      <c r="AD3328">
        <v>-1.1097144021609999</v>
      </c>
      <c r="AE3328">
        <v>-1.7321</v>
      </c>
      <c r="AF3328">
        <v>2.3992601276438101</v>
      </c>
      <c r="AG3328">
        <v>-1.1097144021609999</v>
      </c>
      <c r="AH3328">
        <v>8.2944962469284302</v>
      </c>
      <c r="AI3328">
        <v>97.323537560795501</v>
      </c>
      <c r="AJ3328">
        <v>73.866995801500906</v>
      </c>
      <c r="AK3328">
        <v>8.7055489892811995</v>
      </c>
      <c r="AL3328">
        <v>89.8102673777896</v>
      </c>
      <c r="AM3328">
        <v>89.3495115150413</v>
      </c>
      <c r="AN3328">
        <v>1.00000002901858</v>
      </c>
    </row>
    <row r="3329" spans="1:40" x14ac:dyDescent="0.3">
      <c r="A3329" t="str">
        <f>"20200111160520698"</f>
        <v>20200111160520698</v>
      </c>
      <c r="B3329" t="str">
        <f>"1578729920694962"</f>
        <v>1578729920694962</v>
      </c>
      <c r="C3329" t="s">
        <v>40</v>
      </c>
      <c r="D3329">
        <v>5.4957200000000004</v>
      </c>
      <c r="E3329">
        <v>0.60630980000000001</v>
      </c>
      <c r="F3329" t="s">
        <v>56</v>
      </c>
      <c r="G3329">
        <v>-200.6277</v>
      </c>
      <c r="H3329" s="1">
        <v>2.5653249999999999E-6</v>
      </c>
      <c r="I3329">
        <v>213.816</v>
      </c>
      <c r="J3329">
        <v>-209.05860000000001</v>
      </c>
      <c r="K3329">
        <v>1.109605</v>
      </c>
      <c r="L3329">
        <v>215.56049999999999</v>
      </c>
      <c r="M3329">
        <v>0.99658190000000002</v>
      </c>
      <c r="N3329">
        <v>0</v>
      </c>
      <c r="O3329">
        <v>8.1451800000000005E-2</v>
      </c>
      <c r="P3329">
        <v>0.99769600000000003</v>
      </c>
      <c r="Q3329">
        <v>-1.1470640000000001E-2</v>
      </c>
      <c r="R3329">
        <v>6.6865300000000003E-2</v>
      </c>
      <c r="S3329">
        <v>3.0471650000000001</v>
      </c>
      <c r="T3329">
        <v>-0.3899263</v>
      </c>
      <c r="U3329">
        <v>-0.60643009999999997</v>
      </c>
      <c r="V3329">
        <v>1.463385E-2</v>
      </c>
      <c r="W3329">
        <v>2.2891180000000001E-3</v>
      </c>
      <c r="X3329">
        <v>0.99989030000000001</v>
      </c>
      <c r="Y3329">
        <v>0.27165050000000002</v>
      </c>
      <c r="Z3329">
        <v>-2.7437980000000001E-2</v>
      </c>
      <c r="AA3329">
        <v>0.96200479999999999</v>
      </c>
      <c r="AB3329">
        <v>24</v>
      </c>
      <c r="AC3329">
        <v>8.4308999999999994</v>
      </c>
      <c r="AD3329">
        <v>-1.109602434675</v>
      </c>
      <c r="AE3329">
        <v>-1.7445000000000099</v>
      </c>
      <c r="AF3329">
        <v>2.3858497964570602</v>
      </c>
      <c r="AG3329">
        <v>-1.109602434675</v>
      </c>
      <c r="AH3329">
        <v>8.1258022709011595</v>
      </c>
      <c r="AI3329">
        <v>97.464490855422198</v>
      </c>
      <c r="AJ3329">
        <v>73.637019445446001</v>
      </c>
      <c r="AK3329">
        <v>8.5412036247869292</v>
      </c>
      <c r="AL3329">
        <v>89.868843085356204</v>
      </c>
      <c r="AM3329">
        <v>89.161510031858398</v>
      </c>
      <c r="AN3329">
        <v>1.0000000008305601</v>
      </c>
    </row>
    <row r="3330" spans="1:40" x14ac:dyDescent="0.3">
      <c r="A3330" t="str">
        <f>"20200111160520722"</f>
        <v>20200111160520722</v>
      </c>
      <c r="B3330" t="str">
        <f>"1578729920714496"</f>
        <v>1578729920714496</v>
      </c>
      <c r="C3330" t="s">
        <v>40</v>
      </c>
      <c r="D3330">
        <v>5.5170960000000004</v>
      </c>
      <c r="E3330">
        <v>0.60626729999999995</v>
      </c>
      <c r="F3330" t="s">
        <v>56</v>
      </c>
      <c r="G3330">
        <v>-200.4819</v>
      </c>
      <c r="H3330" s="1">
        <v>2.501335E-6</v>
      </c>
      <c r="I3330">
        <v>213.8081</v>
      </c>
      <c r="J3330">
        <v>-208.81319999999999</v>
      </c>
      <c r="K3330">
        <v>1.109491</v>
      </c>
      <c r="L3330">
        <v>215.57900000000001</v>
      </c>
      <c r="M3330">
        <v>0.99670049999999999</v>
      </c>
      <c r="N3330">
        <v>0</v>
      </c>
      <c r="O3330">
        <v>7.9987730000000007E-2</v>
      </c>
      <c r="P3330">
        <v>0.99797849999999999</v>
      </c>
      <c r="Q3330">
        <v>-1.2402679999999999E-2</v>
      </c>
      <c r="R3330">
        <v>6.2330589999999998E-2</v>
      </c>
      <c r="S3330">
        <v>3.0440670000000001</v>
      </c>
      <c r="T3330">
        <v>-0.39382149999999999</v>
      </c>
      <c r="U3330">
        <v>-0.62197880000000005</v>
      </c>
      <c r="V3330">
        <v>1.770625E-2</v>
      </c>
      <c r="W3330">
        <v>1.3440289999999901E-3</v>
      </c>
      <c r="X3330">
        <v>0.99984229999999996</v>
      </c>
      <c r="Y3330">
        <v>0.27507160000000003</v>
      </c>
      <c r="Z3330">
        <v>-2.7755289999999998E-2</v>
      </c>
      <c r="AA3330">
        <v>0.96102299999999996</v>
      </c>
      <c r="AB3330">
        <v>24</v>
      </c>
      <c r="AC3330">
        <v>8.3312999999999899</v>
      </c>
      <c r="AD3330">
        <v>-1.109488498665</v>
      </c>
      <c r="AE3330">
        <v>-1.7709000000000099</v>
      </c>
      <c r="AF3330">
        <v>2.3911175453418099</v>
      </c>
      <c r="AG3330">
        <v>-1.109488498665</v>
      </c>
      <c r="AH3330">
        <v>8.0267394657390998</v>
      </c>
      <c r="AI3330">
        <v>97.546102590401603</v>
      </c>
      <c r="AJ3330">
        <v>73.411521461290803</v>
      </c>
      <c r="AK3330">
        <v>8.44848828460837</v>
      </c>
      <c r="AL3330">
        <v>89.922992785361103</v>
      </c>
      <c r="AM3330">
        <v>88.985452641750697</v>
      </c>
      <c r="AN3330">
        <v>0.99999997128615203</v>
      </c>
    </row>
    <row r="3331" spans="1:40" x14ac:dyDescent="0.3">
      <c r="A3331" t="str">
        <f>"20200111160520743"</f>
        <v>20200111160520743</v>
      </c>
      <c r="B3331" t="str">
        <f>"1578729920734513"</f>
        <v>1578729920734513</v>
      </c>
      <c r="C3331" t="s">
        <v>40</v>
      </c>
      <c r="D3331">
        <v>5.5329480000000002</v>
      </c>
      <c r="E3331">
        <v>0.60629980000000006</v>
      </c>
      <c r="F3331" t="s">
        <v>56</v>
      </c>
      <c r="G3331">
        <v>-200.34180000000001</v>
      </c>
      <c r="H3331" s="1">
        <v>2.4390689999999999E-6</v>
      </c>
      <c r="I3331">
        <v>213.8099</v>
      </c>
      <c r="J3331">
        <v>-208.58879999999999</v>
      </c>
      <c r="K3331">
        <v>1.1093789999999999</v>
      </c>
      <c r="L3331">
        <v>215.59540000000001</v>
      </c>
      <c r="M3331">
        <v>0.99682000000000004</v>
      </c>
      <c r="N3331">
        <v>0</v>
      </c>
      <c r="O3331">
        <v>7.8485079999999999E-2</v>
      </c>
      <c r="P3331">
        <v>0.99822659999999996</v>
      </c>
      <c r="Q3331">
        <v>-1.383268E-2</v>
      </c>
      <c r="R3331">
        <v>5.7902429999999998E-2</v>
      </c>
      <c r="S3331">
        <v>3.0407869999999999</v>
      </c>
      <c r="T3331">
        <v>-0.39824769999999998</v>
      </c>
      <c r="U3331">
        <v>-0.63499450000000002</v>
      </c>
      <c r="V3331">
        <v>2.062932E-2</v>
      </c>
      <c r="W3331">
        <v>-1.0003760000000001E-4</v>
      </c>
      <c r="X3331">
        <v>0.99978719999999999</v>
      </c>
      <c r="Y3331">
        <v>0.27769429999999901</v>
      </c>
      <c r="Z3331">
        <v>-2.805763E-2</v>
      </c>
      <c r="AA3331">
        <v>0.96025970000000005</v>
      </c>
      <c r="AB3331">
        <v>24</v>
      </c>
      <c r="AC3331">
        <v>8.2469999999999803</v>
      </c>
      <c r="AD3331">
        <v>-1.109376560931</v>
      </c>
      <c r="AE3331">
        <v>-1.7855000000000101</v>
      </c>
      <c r="AF3331">
        <v>2.38607560397879</v>
      </c>
      <c r="AG3331">
        <v>-1.109376560931</v>
      </c>
      <c r="AH3331">
        <v>7.9440927239370502</v>
      </c>
      <c r="AI3331">
        <v>97.617834333418202</v>
      </c>
      <c r="AJ3331">
        <v>73.281914224149901</v>
      </c>
      <c r="AK3331">
        <v>8.3685531813065204</v>
      </c>
      <c r="AL3331">
        <v>90.005731732212993</v>
      </c>
      <c r="AM3331">
        <v>88.817943186922093</v>
      </c>
      <c r="AN3331">
        <v>1.0000000120675101</v>
      </c>
    </row>
    <row r="3332" spans="1:40" x14ac:dyDescent="0.3">
      <c r="A3332" t="str">
        <f>"20200111160520765"</f>
        <v>20200111160520765</v>
      </c>
      <c r="B3332" t="str">
        <f>"1578729920755006"</f>
        <v>1578729920755006</v>
      </c>
      <c r="C3332" t="s">
        <v>40</v>
      </c>
      <c r="D3332">
        <v>5.4556779999999998</v>
      </c>
      <c r="E3332">
        <v>0.60620869999999905</v>
      </c>
      <c r="F3332" t="s">
        <v>56</v>
      </c>
      <c r="G3332">
        <v>-200.18809999999999</v>
      </c>
      <c r="H3332" s="1">
        <v>2.3716759999999999E-6</v>
      </c>
      <c r="I3332">
        <v>213.80090000000001</v>
      </c>
      <c r="J3332">
        <v>-208.3535</v>
      </c>
      <c r="K3332">
        <v>1.1092569999999999</v>
      </c>
      <c r="L3332">
        <v>215.61189999999999</v>
      </c>
      <c r="M3332">
        <v>0.99695719999999999</v>
      </c>
      <c r="N3332">
        <v>0</v>
      </c>
      <c r="O3332">
        <v>7.6721590000000006E-2</v>
      </c>
      <c r="P3332">
        <v>0.99846599999999996</v>
      </c>
      <c r="Q3332">
        <v>-1.56418999999999E-2</v>
      </c>
      <c r="R3332">
        <v>5.3114969999999997E-2</v>
      </c>
      <c r="S3332">
        <v>3.0374300000000001</v>
      </c>
      <c r="T3332">
        <v>-0.401117</v>
      </c>
      <c r="U3332">
        <v>-0.64880369999999998</v>
      </c>
      <c r="V3332">
        <v>2.3647169999999999E-2</v>
      </c>
      <c r="W3332">
        <v>-1.924863E-3</v>
      </c>
      <c r="X3332">
        <v>0.99971849999999995</v>
      </c>
      <c r="Y3332">
        <v>0.28033429999999998</v>
      </c>
      <c r="Z3332">
        <v>-2.8217780000000001E-2</v>
      </c>
      <c r="AA3332">
        <v>0.9594876</v>
      </c>
      <c r="AB3332">
        <v>24</v>
      </c>
      <c r="AC3332">
        <v>8.1654</v>
      </c>
      <c r="AD3332">
        <v>-1.1092546283239999</v>
      </c>
      <c r="AE3332">
        <v>-1.81099999999997</v>
      </c>
      <c r="AF3332">
        <v>2.3901418277842499</v>
      </c>
      <c r="AG3332">
        <v>-1.1092546283239999</v>
      </c>
      <c r="AH3332">
        <v>7.86404776905714</v>
      </c>
      <c r="AI3332">
        <v>97.686094392410098</v>
      </c>
      <c r="AJ3332">
        <v>73.094254340823497</v>
      </c>
      <c r="AK3332">
        <v>8.2937609744551093</v>
      </c>
      <c r="AL3332">
        <v>90.110286595634193</v>
      </c>
      <c r="AM3332">
        <v>88.644988128250802</v>
      </c>
      <c r="AN3332">
        <v>0.99999998649441302</v>
      </c>
    </row>
    <row r="3333" spans="1:40" x14ac:dyDescent="0.3">
      <c r="A3333" t="str">
        <f>"20200111160520788"</f>
        <v>20200111160520788</v>
      </c>
      <c r="B3333" t="str">
        <f>"1578729920785263"</f>
        <v>1578729920785263</v>
      </c>
      <c r="C3333" t="s">
        <v>40</v>
      </c>
      <c r="D3333">
        <v>5.4489409999999996</v>
      </c>
      <c r="E3333">
        <v>0.6060797</v>
      </c>
      <c r="F3333" t="s">
        <v>56</v>
      </c>
      <c r="G3333">
        <v>-200.03360000000001</v>
      </c>
      <c r="H3333" s="1">
        <v>2.3038709999999999E-6</v>
      </c>
      <c r="I3333">
        <v>213.79300000000001</v>
      </c>
      <c r="J3333">
        <v>-208.1146</v>
      </c>
      <c r="K3333">
        <v>1.1091310000000001</v>
      </c>
      <c r="L3333">
        <v>215.62809999999999</v>
      </c>
      <c r="M3333">
        <v>0.99710889999999996</v>
      </c>
      <c r="N3333">
        <v>0</v>
      </c>
      <c r="O3333">
        <v>7.4724910000000005E-2</v>
      </c>
      <c r="P3333">
        <v>0.99867410000000001</v>
      </c>
      <c r="Q3333">
        <v>-1.660497E-2</v>
      </c>
      <c r="R3333">
        <v>4.8730229999999999E-2</v>
      </c>
      <c r="S3333">
        <v>3.0335540000000001</v>
      </c>
      <c r="T3333">
        <v>-0.40445209999999998</v>
      </c>
      <c r="U3333">
        <v>-0.66320800000000002</v>
      </c>
      <c r="V3333">
        <v>2.6029500000000001E-2</v>
      </c>
      <c r="W3333">
        <v>-2.9024490000000001E-3</v>
      </c>
      <c r="X3333">
        <v>0.99965700000000002</v>
      </c>
      <c r="Y3333">
        <v>0.28295690000000001</v>
      </c>
      <c r="Z3333">
        <v>-2.8381739999999999E-2</v>
      </c>
      <c r="AA3333">
        <v>0.95871260000000003</v>
      </c>
      <c r="AB3333">
        <v>24</v>
      </c>
      <c r="AC3333">
        <v>8.08099999999998</v>
      </c>
      <c r="AD3333">
        <v>-1.1091286961289999</v>
      </c>
      <c r="AE3333">
        <v>-1.83509999999998</v>
      </c>
      <c r="AF3333">
        <v>2.3910443120735199</v>
      </c>
      <c r="AG3333">
        <v>-1.1091286961289999</v>
      </c>
      <c r="AH3333">
        <v>7.7818567695162004</v>
      </c>
      <c r="AI3333">
        <v>97.758289817604407</v>
      </c>
      <c r="AJ3333">
        <v>72.919961508083603</v>
      </c>
      <c r="AK3333">
        <v>8.2161155145324596</v>
      </c>
      <c r="AL3333">
        <v>90.166298305061105</v>
      </c>
      <c r="AM3333">
        <v>88.508444818631503</v>
      </c>
      <c r="AN3333">
        <v>1.0000000383647201</v>
      </c>
    </row>
    <row r="3334" spans="1:40" x14ac:dyDescent="0.3">
      <c r="A3334" t="str">
        <f>"20200111160520810"</f>
        <v>20200111160520810</v>
      </c>
      <c r="B3334" t="str">
        <f>"1578729920804785"</f>
        <v>1578729920804785</v>
      </c>
      <c r="C3334" t="s">
        <v>40</v>
      </c>
      <c r="D3334">
        <v>5.4376860000000002</v>
      </c>
      <c r="E3334">
        <v>0.60599009999999998</v>
      </c>
      <c r="F3334" t="s">
        <v>56</v>
      </c>
      <c r="G3334">
        <v>-199.8357</v>
      </c>
      <c r="H3334" s="1">
        <v>2.2928770000000001E-6</v>
      </c>
      <c r="I3334">
        <v>213.7817</v>
      </c>
      <c r="J3334">
        <v>-207.8801</v>
      </c>
      <c r="K3334">
        <v>1.1090230000000001</v>
      </c>
      <c r="L3334">
        <v>215.64320000000001</v>
      </c>
      <c r="M3334">
        <v>0.99726610000000004</v>
      </c>
      <c r="N3334">
        <v>0</v>
      </c>
      <c r="O3334">
        <v>7.2595380000000001E-2</v>
      </c>
      <c r="P3334">
        <v>0.99887840000000006</v>
      </c>
      <c r="Q3334">
        <v>-1.6389440000000002E-2</v>
      </c>
      <c r="R3334">
        <v>4.4424720000000001E-2</v>
      </c>
      <c r="S3334">
        <v>3.0302120000000001</v>
      </c>
      <c r="T3334">
        <v>-0.40595720000000002</v>
      </c>
      <c r="U3334">
        <v>-0.67579650000000002</v>
      </c>
      <c r="V3334">
        <v>2.8203929999999999E-2</v>
      </c>
      <c r="W3334">
        <v>-2.7007160000000001E-3</v>
      </c>
      <c r="X3334">
        <v>0.9995986</v>
      </c>
      <c r="Y3334">
        <v>0.28490399999999999</v>
      </c>
      <c r="Z3334">
        <v>-2.8351879999999999E-2</v>
      </c>
      <c r="AA3334">
        <v>0.95813669999999995</v>
      </c>
      <c r="AB3334">
        <v>24</v>
      </c>
      <c r="AC3334">
        <v>8.0443999999999907</v>
      </c>
      <c r="AD3334">
        <v>-1.1090207071229901</v>
      </c>
      <c r="AE3334">
        <v>-1.8614999999999999</v>
      </c>
      <c r="AF3334">
        <v>2.3973804013317399</v>
      </c>
      <c r="AG3334">
        <v>-1.1090207071229901</v>
      </c>
      <c r="AH3334">
        <v>7.7482427084853001</v>
      </c>
      <c r="AI3334">
        <v>97.786127069379106</v>
      </c>
      <c r="AJ3334">
        <v>72.807432447198295</v>
      </c>
      <c r="AK3334">
        <v>8.18612391716084</v>
      </c>
      <c r="AL3334">
        <v>90.154739807546704</v>
      </c>
      <c r="AM3334">
        <v>88.383813727333305</v>
      </c>
      <c r="AN3334">
        <v>1.0000000583281501</v>
      </c>
    </row>
    <row r="3335" spans="1:40" x14ac:dyDescent="0.3">
      <c r="A3335" t="str">
        <f>"20200111160520833"</f>
        <v>20200111160520833</v>
      </c>
      <c r="B3335" t="str">
        <f>"1578729920825277"</f>
        <v>1578729920825277</v>
      </c>
      <c r="C3335" t="s">
        <v>40</v>
      </c>
      <c r="D3335">
        <v>5.4473760000000002</v>
      </c>
      <c r="E3335">
        <v>0.60587590000000002</v>
      </c>
      <c r="F3335" t="s">
        <v>56</v>
      </c>
      <c r="G3335">
        <v>-199.57769999999999</v>
      </c>
      <c r="H3335" s="1">
        <v>2.3409750000000001E-6</v>
      </c>
      <c r="I3335">
        <v>213.755</v>
      </c>
      <c r="J3335">
        <v>-207.63839999999999</v>
      </c>
      <c r="K3335">
        <v>1.108914</v>
      </c>
      <c r="L3335">
        <v>215.65809999999999</v>
      </c>
      <c r="M3335">
        <v>0.99743689999999996</v>
      </c>
      <c r="N3335">
        <v>0</v>
      </c>
      <c r="O3335">
        <v>7.0209250000000001E-2</v>
      </c>
      <c r="P3335">
        <v>0.99914329999999996</v>
      </c>
      <c r="Q3335">
        <v>-1.451349E-2</v>
      </c>
      <c r="R3335">
        <v>3.8758960000000002E-2</v>
      </c>
      <c r="S3335">
        <v>3.0273279999999998</v>
      </c>
      <c r="T3335">
        <v>-0.40438619999999997</v>
      </c>
      <c r="U3335">
        <v>-0.68852230000000003</v>
      </c>
      <c r="V3335">
        <v>3.1489389999999999E-2</v>
      </c>
      <c r="W3335">
        <v>-8.4415079999999995E-4</v>
      </c>
      <c r="X3335">
        <v>0.99950369999999999</v>
      </c>
      <c r="Y3335">
        <v>0.28666619999999998</v>
      </c>
      <c r="Z3335">
        <v>-2.8058429999999999E-2</v>
      </c>
      <c r="AA3335">
        <v>0.95761949999999996</v>
      </c>
      <c r="AB3335">
        <v>24</v>
      </c>
      <c r="AC3335">
        <v>8.06069999999999</v>
      </c>
      <c r="AD3335">
        <v>-1.1089116590250001</v>
      </c>
      <c r="AE3335">
        <v>-1.90309999999999</v>
      </c>
      <c r="AF3335">
        <v>2.4209928909551599</v>
      </c>
      <c r="AG3335">
        <v>-1.1089116590250001</v>
      </c>
      <c r="AH3335">
        <v>7.7679265282163596</v>
      </c>
      <c r="AI3335">
        <v>97.760984524654702</v>
      </c>
      <c r="AJ3335">
        <v>72.689557378076003</v>
      </c>
      <c r="AK3335">
        <v>8.2116730447177702</v>
      </c>
      <c r="AL3335">
        <v>90.048366285293596</v>
      </c>
      <c r="AM3335">
        <v>88.195491853535302</v>
      </c>
      <c r="AN3335">
        <v>0.99999997029341703</v>
      </c>
    </row>
    <row r="3336" spans="1:40" x14ac:dyDescent="0.3">
      <c r="A3336" t="str">
        <f>"20200111160520865"</f>
        <v>20200111160520865</v>
      </c>
      <c r="B3336" t="str">
        <f>"1578729920855065"</f>
        <v>1578729920855065</v>
      </c>
      <c r="C3336" t="s">
        <v>40</v>
      </c>
      <c r="D3336">
        <v>5.5016959999999999</v>
      </c>
      <c r="E3336">
        <v>0.60559269999999998</v>
      </c>
      <c r="F3336" t="s">
        <v>56</v>
      </c>
      <c r="G3336">
        <v>-199.2253</v>
      </c>
      <c r="H3336" s="1">
        <v>2.408472E-6</v>
      </c>
      <c r="I3336">
        <v>213.6979</v>
      </c>
      <c r="J3336">
        <v>-207.29470000000001</v>
      </c>
      <c r="K3336">
        <v>1.1087579999999999</v>
      </c>
      <c r="L3336">
        <v>215.678</v>
      </c>
      <c r="M3336">
        <v>0.99769470000000005</v>
      </c>
      <c r="N3336">
        <v>0</v>
      </c>
      <c r="O3336">
        <v>6.6445899999999905E-2</v>
      </c>
      <c r="P3336">
        <v>0.99938990000000005</v>
      </c>
      <c r="Q3336">
        <v>-1.293792E-2</v>
      </c>
      <c r="R3336">
        <v>3.2444550000000003E-2</v>
      </c>
      <c r="S3336">
        <v>3.0241389999999999</v>
      </c>
      <c r="T3336">
        <v>-0.39860760000000001</v>
      </c>
      <c r="U3336">
        <v>-0.70462040000000004</v>
      </c>
      <c r="V3336">
        <v>3.4042250000000003E-2</v>
      </c>
      <c r="W3336">
        <v>7.1078929999999997E-4</v>
      </c>
      <c r="X3336">
        <v>0.99942019999999998</v>
      </c>
      <c r="Y3336">
        <v>0.28821649999999999</v>
      </c>
      <c r="Z3336">
        <v>-2.7285170000000001E-2</v>
      </c>
      <c r="AA3336">
        <v>0.95717640000000004</v>
      </c>
      <c r="AB3336">
        <v>24</v>
      </c>
      <c r="AC3336">
        <v>8.0693999999999999</v>
      </c>
      <c r="AD3336">
        <v>-1.1087555915280001</v>
      </c>
      <c r="AE3336">
        <v>-1.98009999999999</v>
      </c>
      <c r="AF3336">
        <v>2.4680044733257702</v>
      </c>
      <c r="AG3336">
        <v>-1.1087555915280001</v>
      </c>
      <c r="AH3336">
        <v>7.7814160903436802</v>
      </c>
      <c r="AI3336">
        <v>97.73458034379</v>
      </c>
      <c r="AJ3336">
        <v>72.402716906456703</v>
      </c>
      <c r="AK3336">
        <v>8.2383749255032193</v>
      </c>
      <c r="AL3336">
        <v>89.959274771923305</v>
      </c>
      <c r="AM3336">
        <v>88.049145447156903</v>
      </c>
      <c r="AN3336">
        <v>1.0000000580872599</v>
      </c>
    </row>
    <row r="3337" spans="1:40" x14ac:dyDescent="0.3">
      <c r="A3337" t="str">
        <f>"20200111160520889"</f>
        <v>20200111160520889</v>
      </c>
      <c r="B3337" t="str">
        <f>"1578729920885321"</f>
        <v>1578729920885321</v>
      </c>
      <c r="C3337" t="s">
        <v>40</v>
      </c>
      <c r="D3337">
        <v>5.5218150000000001</v>
      </c>
      <c r="E3337">
        <v>0.59771819999999998</v>
      </c>
      <c r="F3337" t="s">
        <v>56</v>
      </c>
      <c r="G3337">
        <v>-198.83539999999999</v>
      </c>
      <c r="H3337" s="1">
        <v>2.480968E-6</v>
      </c>
      <c r="I3337">
        <v>213.65969999999999</v>
      </c>
      <c r="J3337">
        <v>-207.05430000000001</v>
      </c>
      <c r="K3337">
        <v>1.108619</v>
      </c>
      <c r="L3337">
        <v>215.69069999999999</v>
      </c>
      <c r="M3337">
        <v>0.99788619999999995</v>
      </c>
      <c r="N3337">
        <v>0</v>
      </c>
      <c r="O3337">
        <v>6.3504350000000001E-2</v>
      </c>
      <c r="P3337">
        <v>0.99952830000000004</v>
      </c>
      <c r="Q3337">
        <v>-1.288272E-2</v>
      </c>
      <c r="R3337">
        <v>2.7882210000000001E-2</v>
      </c>
      <c r="S3337">
        <v>3.020111</v>
      </c>
      <c r="T3337">
        <v>-0.39584429999999998</v>
      </c>
      <c r="U3337">
        <v>-0.72055049999999998</v>
      </c>
      <c r="V3337">
        <v>3.5658410000000001E-2</v>
      </c>
      <c r="W3337">
        <v>7.5084339999999998E-4</v>
      </c>
      <c r="X3337">
        <v>0.99936380000000002</v>
      </c>
      <c r="Y3337">
        <v>0.2905026</v>
      </c>
      <c r="Z3337">
        <v>-2.6884450000000001E-2</v>
      </c>
      <c r="AA3337">
        <v>0.95649649999999997</v>
      </c>
      <c r="AB3337">
        <v>23</v>
      </c>
      <c r="AC3337">
        <v>8.2189000000000192</v>
      </c>
      <c r="AD3337">
        <v>-1.1086165190320001</v>
      </c>
      <c r="AE3337">
        <v>-2.0310000000000001</v>
      </c>
      <c r="AF3337">
        <v>2.5059158997845699</v>
      </c>
      <c r="AG3337">
        <v>-1.1086165190320001</v>
      </c>
      <c r="AH3337">
        <v>7.9372168132262697</v>
      </c>
      <c r="AI3337">
        <v>97.586726937626196</v>
      </c>
      <c r="AJ3337">
        <v>72.478196969058402</v>
      </c>
      <c r="AK3337">
        <v>8.3969075154621908</v>
      </c>
      <c r="AL3337">
        <v>89.956979840013901</v>
      </c>
      <c r="AM3337">
        <v>87.956489901883998</v>
      </c>
      <c r="AN3337">
        <v>1.00000004535998</v>
      </c>
    </row>
    <row r="3338" spans="1:40" x14ac:dyDescent="0.3">
      <c r="A3338" t="str">
        <f>"20200111160520912"</f>
        <v>20200111160520912</v>
      </c>
      <c r="B3338" t="str">
        <f>"1578729920904843"</f>
        <v>1578729920904843</v>
      </c>
      <c r="C3338" t="s">
        <v>40</v>
      </c>
      <c r="D3338">
        <v>5.4808399999999997</v>
      </c>
      <c r="E3338">
        <v>0.59853919999999905</v>
      </c>
      <c r="F3338" t="s">
        <v>70</v>
      </c>
      <c r="G3338">
        <v>-168.41099999999901</v>
      </c>
      <c r="H3338">
        <v>1.669689</v>
      </c>
      <c r="I3338">
        <v>206.69280000000001</v>
      </c>
      <c r="J3338">
        <v>-206.81540000000001</v>
      </c>
      <c r="K3338">
        <v>1.108487</v>
      </c>
      <c r="L3338">
        <v>215.70240000000001</v>
      </c>
      <c r="M3338">
        <v>0.99808019999999997</v>
      </c>
      <c r="N3338">
        <v>0</v>
      </c>
      <c r="O3338">
        <v>6.0376060000000002E-2</v>
      </c>
      <c r="P3338">
        <v>0.99964640000000005</v>
      </c>
      <c r="Q3338">
        <v>-1.3169180000000001E-2</v>
      </c>
      <c r="R3338">
        <v>2.3108900000000002E-2</v>
      </c>
      <c r="S3338">
        <v>3.0216059999999998</v>
      </c>
      <c r="T3338">
        <v>4.3874030000000001E-2</v>
      </c>
      <c r="U3338">
        <v>-0.70356750000000001</v>
      </c>
      <c r="V3338">
        <v>3.7296370000000002E-2</v>
      </c>
      <c r="W3338">
        <v>4.4948269999999999E-4</v>
      </c>
      <c r="X3338">
        <v>0.99930419999999998</v>
      </c>
      <c r="Y3338">
        <v>0.28513919999999998</v>
      </c>
      <c r="Z3338">
        <v>2.9089430000000002E-3</v>
      </c>
      <c r="AA3338">
        <v>0.95848169999999999</v>
      </c>
      <c r="AB3338">
        <v>23</v>
      </c>
      <c r="AC3338">
        <v>38.404400000000003</v>
      </c>
      <c r="AD3338">
        <v>0.56120199999999998</v>
      </c>
      <c r="AE3338">
        <v>-9.0096000000000007</v>
      </c>
      <c r="AF3338">
        <v>11.3097989850503</v>
      </c>
      <c r="AG3338">
        <v>0.56120199999999998</v>
      </c>
      <c r="AH3338">
        <v>37.782662349973997</v>
      </c>
      <c r="AI3338">
        <v>89.184759505128596</v>
      </c>
      <c r="AJ3338">
        <v>73.335542829085298</v>
      </c>
      <c r="AK3338">
        <v>39.443073853582902</v>
      </c>
      <c r="AL3338">
        <v>89.974246538815706</v>
      </c>
      <c r="AM3338">
        <v>87.862579576943304</v>
      </c>
      <c r="AN3338">
        <v>1.00000005269375</v>
      </c>
    </row>
    <row r="3339" spans="1:40" x14ac:dyDescent="0.3">
      <c r="A3339" t="str">
        <f>"20200111160520933"</f>
        <v>20200111160520933</v>
      </c>
      <c r="B3339" t="str">
        <f>"1578729920924361"</f>
        <v>1578729920924361</v>
      </c>
      <c r="C3339" t="s">
        <v>40</v>
      </c>
      <c r="D3339">
        <v>5.3797389999999998</v>
      </c>
      <c r="E3339">
        <v>0.60215319999999894</v>
      </c>
      <c r="F3339" t="s">
        <v>56</v>
      </c>
      <c r="G3339">
        <v>-182.22579999999999</v>
      </c>
      <c r="H3339" s="1">
        <v>3.0127080000000002E-6</v>
      </c>
      <c r="I3339">
        <v>209.90209999999999</v>
      </c>
      <c r="J3339">
        <v>-206.58799999999999</v>
      </c>
      <c r="K3339">
        <v>1.108349</v>
      </c>
      <c r="L3339">
        <v>215.71250000000001</v>
      </c>
      <c r="M3339">
        <v>0.99826859999999995</v>
      </c>
      <c r="N3339">
        <v>0</v>
      </c>
      <c r="O3339">
        <v>5.7176169999999998E-2</v>
      </c>
      <c r="P3339">
        <v>0.99973489999999998</v>
      </c>
      <c r="Q3339">
        <v>-1.4878219999999999E-2</v>
      </c>
      <c r="R3339">
        <v>1.7578030000000001E-2</v>
      </c>
      <c r="S3339">
        <v>3.015701</v>
      </c>
      <c r="T3339">
        <v>-0.13594629999999999</v>
      </c>
      <c r="U3339">
        <v>-0.71134949999999997</v>
      </c>
      <c r="V3339">
        <v>3.9610930000000003E-2</v>
      </c>
      <c r="W3339">
        <v>-1.2796039999999999E-3</v>
      </c>
      <c r="X3339">
        <v>0.99921439999999995</v>
      </c>
      <c r="Y3339">
        <v>0.28453030000000001</v>
      </c>
      <c r="Z3339">
        <v>-8.8681319999999904E-3</v>
      </c>
      <c r="AA3339">
        <v>0.95862599999999998</v>
      </c>
      <c r="AB3339">
        <v>23</v>
      </c>
      <c r="AC3339">
        <v>24.362200000000001</v>
      </c>
      <c r="AD3339">
        <v>-1.1083459872920001</v>
      </c>
      <c r="AE3339">
        <v>-5.8104000000000102</v>
      </c>
      <c r="AF3339">
        <v>7.17990231253318</v>
      </c>
      <c r="AG3339">
        <v>-1.1083459872920001</v>
      </c>
      <c r="AH3339">
        <v>23.943201048148101</v>
      </c>
      <c r="AI3339">
        <v>92.538828811234595</v>
      </c>
      <c r="AJ3339">
        <v>73.307469543429704</v>
      </c>
      <c r="AK3339">
        <v>25.021117170844001</v>
      </c>
      <c r="AL3339">
        <v>90.0733159257111</v>
      </c>
      <c r="AM3339">
        <v>87.7298652064582</v>
      </c>
      <c r="AN3339">
        <v>1.0000000401646001</v>
      </c>
    </row>
    <row r="3340" spans="1:40" x14ac:dyDescent="0.3">
      <c r="A3340" t="str">
        <f>"20200111160520955"</f>
        <v>20200111160520955</v>
      </c>
      <c r="B3340" t="str">
        <f>"1578729920944858"</f>
        <v>1578729920944858</v>
      </c>
      <c r="C3340" t="s">
        <v>40</v>
      </c>
      <c r="D3340">
        <v>5.4279529999999996</v>
      </c>
      <c r="E3340">
        <v>0.6033094</v>
      </c>
      <c r="F3340" t="s">
        <v>56</v>
      </c>
      <c r="G3340">
        <v>-189.97110000000001</v>
      </c>
      <c r="H3340" s="1">
        <v>4.2366729999999999E-6</v>
      </c>
      <c r="I3340">
        <v>211.56280000000001</v>
      </c>
      <c r="J3340">
        <v>-206.35400000000001</v>
      </c>
      <c r="K3340">
        <v>1.108188</v>
      </c>
      <c r="L3340">
        <v>215.72200000000001</v>
      </c>
      <c r="M3340">
        <v>0.99846520000000005</v>
      </c>
      <c r="N3340">
        <v>0</v>
      </c>
      <c r="O3340">
        <v>5.3628059999999998E-2</v>
      </c>
      <c r="P3340">
        <v>0.99980360000000001</v>
      </c>
      <c r="Q3340">
        <v>-1.6579980000000001E-2</v>
      </c>
      <c r="R3340">
        <v>1.0867949999999999E-2</v>
      </c>
      <c r="S3340">
        <v>3.0110169999999998</v>
      </c>
      <c r="T3340">
        <v>-0.2008347</v>
      </c>
      <c r="U3340">
        <v>-0.75193789999999905</v>
      </c>
      <c r="V3340">
        <v>4.2753720000000002E-2</v>
      </c>
      <c r="W3340">
        <v>-3.0082289999999999E-3</v>
      </c>
      <c r="X3340">
        <v>0.99908110000000006</v>
      </c>
      <c r="Y3340">
        <v>0.29324660000000002</v>
      </c>
      <c r="Z3340">
        <v>-1.314569E-2</v>
      </c>
      <c r="AA3340">
        <v>0.95594639999999997</v>
      </c>
      <c r="AB3340">
        <v>23</v>
      </c>
      <c r="AC3340">
        <v>16.382899999999999</v>
      </c>
      <c r="AD3340">
        <v>-1.108183763327</v>
      </c>
      <c r="AE3340">
        <v>-4.1591999999999896</v>
      </c>
      <c r="AF3340">
        <v>5.0103439564408996</v>
      </c>
      <c r="AG3340">
        <v>-1.108183763327</v>
      </c>
      <c r="AH3340">
        <v>16.067184391013601</v>
      </c>
      <c r="AI3340">
        <v>93.767184563526996</v>
      </c>
      <c r="AJ3340">
        <v>72.680584882653704</v>
      </c>
      <c r="AK3340">
        <v>16.866713730598999</v>
      </c>
      <c r="AL3340">
        <v>90.172359087675204</v>
      </c>
      <c r="AM3340">
        <v>87.549634280547295</v>
      </c>
      <c r="AN3340">
        <v>0.99999998719638195</v>
      </c>
    </row>
    <row r="3341" spans="1:40" x14ac:dyDescent="0.3">
      <c r="A3341" t="str">
        <f>"20200111160520978"</f>
        <v>20200111160520978</v>
      </c>
      <c r="B3341" t="str">
        <f>"1578729920975113"</f>
        <v>1578729920975113</v>
      </c>
      <c r="C3341" t="s">
        <v>40</v>
      </c>
      <c r="D3341">
        <v>5.5091510000000001</v>
      </c>
      <c r="E3341">
        <v>0.6038443</v>
      </c>
      <c r="F3341" t="s">
        <v>56</v>
      </c>
      <c r="G3341">
        <v>-192.643</v>
      </c>
      <c r="H3341" s="1">
        <v>3.709524E-6</v>
      </c>
      <c r="I3341">
        <v>212.1713</v>
      </c>
      <c r="J3341">
        <v>-206.11940000000001</v>
      </c>
      <c r="K3341">
        <v>1.108017</v>
      </c>
      <c r="L3341">
        <v>215.7303</v>
      </c>
      <c r="M3341">
        <v>0.99866359999999998</v>
      </c>
      <c r="N3341">
        <v>0</v>
      </c>
      <c r="O3341">
        <v>4.9795369999999999E-2</v>
      </c>
      <c r="P3341">
        <v>0.9998551</v>
      </c>
      <c r="Q3341">
        <v>-1.6808409999999999E-2</v>
      </c>
      <c r="R3341">
        <v>2.7611210000000001E-3</v>
      </c>
      <c r="S3341">
        <v>3.00502</v>
      </c>
      <c r="T3341">
        <v>-0.2428796</v>
      </c>
      <c r="U3341">
        <v>-0.77819819999999995</v>
      </c>
      <c r="V3341">
        <v>4.7015960000000002E-2</v>
      </c>
      <c r="W3341">
        <v>-3.272573E-3</v>
      </c>
      <c r="X3341">
        <v>0.99888880000000002</v>
      </c>
      <c r="Y3341">
        <v>0.29753000000000002</v>
      </c>
      <c r="Z3341">
        <v>-1.5769109999999999E-2</v>
      </c>
      <c r="AA3341">
        <v>0.95458220000000005</v>
      </c>
      <c r="AB3341">
        <v>23</v>
      </c>
      <c r="AC3341">
        <v>13.4764</v>
      </c>
      <c r="AD3341">
        <v>-1.1080132904760001</v>
      </c>
      <c r="AE3341">
        <v>-3.5589999999999899</v>
      </c>
      <c r="AF3341">
        <v>4.1991751368153203</v>
      </c>
      <c r="AG3341">
        <v>-1.1080132904760001</v>
      </c>
      <c r="AH3341">
        <v>13.1990324945605</v>
      </c>
      <c r="AI3341">
        <v>94.573678761069203</v>
      </c>
      <c r="AJ3341">
        <v>72.351913813967101</v>
      </c>
      <c r="AK3341">
        <v>13.8951510993578</v>
      </c>
      <c r="AL3341">
        <v>90.187504951519102</v>
      </c>
      <c r="AM3341">
        <v>87.305176106327494</v>
      </c>
      <c r="AN3341">
        <v>1.0000000224971</v>
      </c>
    </row>
    <row r="3342" spans="1:40" x14ac:dyDescent="0.3">
      <c r="A3342" t="str">
        <f>"20200111160521000"</f>
        <v>20200111160521000</v>
      </c>
      <c r="B3342" t="str">
        <f>"1578729920994635"</f>
        <v>1578729920994635</v>
      </c>
      <c r="C3342" t="s">
        <v>40</v>
      </c>
      <c r="D3342">
        <v>5.3703830000000004</v>
      </c>
      <c r="E3342">
        <v>0.60526780000000002</v>
      </c>
      <c r="F3342" t="s">
        <v>56</v>
      </c>
      <c r="G3342">
        <v>-194.02430000000001</v>
      </c>
      <c r="H3342" s="1">
        <v>3.4369399999999999E-6</v>
      </c>
      <c r="I3342">
        <v>212.48660000000001</v>
      </c>
      <c r="J3342">
        <v>-205.88239999999999</v>
      </c>
      <c r="K3342">
        <v>1.1078300000000001</v>
      </c>
      <c r="L3342">
        <v>215.73750000000001</v>
      </c>
      <c r="M3342">
        <v>0.99886240000000004</v>
      </c>
      <c r="N3342">
        <v>0</v>
      </c>
      <c r="O3342">
        <v>4.5631890000000001E-2</v>
      </c>
      <c r="P3342">
        <v>0.99984790000000001</v>
      </c>
      <c r="Q3342">
        <v>-1.6063839999999999E-2</v>
      </c>
      <c r="R3342">
        <v>-6.8148719999999996E-3</v>
      </c>
      <c r="S3342">
        <v>2.9980319999999998</v>
      </c>
      <c r="T3342">
        <v>-0.27464559999999999</v>
      </c>
      <c r="U3342">
        <v>-0.80401610000000001</v>
      </c>
      <c r="V3342">
        <v>5.2421210000000003E-2</v>
      </c>
      <c r="W3342">
        <v>-2.5754900000000002E-3</v>
      </c>
      <c r="X3342">
        <v>0.9986218</v>
      </c>
      <c r="Y3342">
        <v>0.30147679999999999</v>
      </c>
      <c r="Z3342">
        <v>-1.7647329999999999E-2</v>
      </c>
      <c r="AA3342">
        <v>0.9533102</v>
      </c>
      <c r="AB3342">
        <v>23</v>
      </c>
      <c r="AC3342">
        <v>11.858099999999901</v>
      </c>
      <c r="AD3342">
        <v>-1.1078265630599999</v>
      </c>
      <c r="AE3342">
        <v>-3.2509000000000001</v>
      </c>
      <c r="AF3342">
        <v>3.7581641270958901</v>
      </c>
      <c r="AG3342">
        <v>-1.1078265630599999</v>
      </c>
      <c r="AH3342">
        <v>11.603193430217001</v>
      </c>
      <c r="AI3342">
        <v>95.189963532118398</v>
      </c>
      <c r="AJ3342">
        <v>72.053353698744004</v>
      </c>
      <c r="AK3342">
        <v>12.2468434740974</v>
      </c>
      <c r="AL3342">
        <v>90.147564861767904</v>
      </c>
      <c r="AM3342">
        <v>86.995098804177999</v>
      </c>
      <c r="AN3342">
        <v>1.0000000579209201</v>
      </c>
    </row>
    <row r="3343" spans="1:40" x14ac:dyDescent="0.3">
      <c r="A3343" t="str">
        <f>"20200111160521021"</f>
        <v>20200111160521021</v>
      </c>
      <c r="B3343" t="str">
        <f>"1578729921015128"</f>
        <v>1578729921015128</v>
      </c>
      <c r="C3343" t="s">
        <v>40</v>
      </c>
      <c r="D3343">
        <v>5.4118629999999897</v>
      </c>
      <c r="E3343">
        <v>0.605854</v>
      </c>
      <c r="F3343" t="s">
        <v>56</v>
      </c>
      <c r="G3343">
        <v>-194.14449999999999</v>
      </c>
      <c r="H3343" s="1">
        <v>3.4207760000000001E-6</v>
      </c>
      <c r="I3343">
        <v>212.42769999999999</v>
      </c>
      <c r="J3343">
        <v>-205.65299999999999</v>
      </c>
      <c r="K3343">
        <v>1.1076319999999999</v>
      </c>
      <c r="L3343">
        <v>215.7432</v>
      </c>
      <c r="M3343">
        <v>0.99905100000000002</v>
      </c>
      <c r="N3343">
        <v>0</v>
      </c>
      <c r="O3343">
        <v>4.1291330000000001E-2</v>
      </c>
      <c r="P3343">
        <v>0.99973219999999996</v>
      </c>
      <c r="Q3343">
        <v>-1.525197E-2</v>
      </c>
      <c r="R3343">
        <v>-1.7416279999999999E-2</v>
      </c>
      <c r="S3343">
        <v>2.990173</v>
      </c>
      <c r="T3343">
        <v>-0.2822112</v>
      </c>
      <c r="U3343">
        <v>-0.84313959999999999</v>
      </c>
      <c r="V3343">
        <v>5.8674179999999999E-2</v>
      </c>
      <c r="W3343">
        <v>-1.822822E-3</v>
      </c>
      <c r="X3343">
        <v>0.99827549999999998</v>
      </c>
      <c r="Y3343">
        <v>0.309453599999999</v>
      </c>
      <c r="Z3343">
        <v>-1.8113319999999999E-2</v>
      </c>
      <c r="AA3343">
        <v>0.95074199999999998</v>
      </c>
      <c r="AB3343">
        <v>23</v>
      </c>
      <c r="AC3343">
        <v>11.5084999999999</v>
      </c>
      <c r="AD3343">
        <v>-1.1076285792239999</v>
      </c>
      <c r="AE3343">
        <v>-3.3155000000000099</v>
      </c>
      <c r="AF3343">
        <v>3.7557950520644101</v>
      </c>
      <c r="AG3343">
        <v>-1.1076285792239999</v>
      </c>
      <c r="AH3343">
        <v>11.265414265934499</v>
      </c>
      <c r="AI3343">
        <v>95.328789168750006</v>
      </c>
      <c r="AJ3343">
        <v>71.562044051497907</v>
      </c>
      <c r="AK3343">
        <v>11.9265416666252</v>
      </c>
      <c r="AL3343">
        <v>90.104440067539201</v>
      </c>
      <c r="AM3343">
        <v>86.636279544128698</v>
      </c>
      <c r="AN3343">
        <v>0.99999997798948204</v>
      </c>
    </row>
    <row r="3344" spans="1:40" x14ac:dyDescent="0.3">
      <c r="A3344" t="str">
        <f>"20200111160521044"</f>
        <v>20200111160521044</v>
      </c>
      <c r="B3344" t="str">
        <f>"1578729921015128"</f>
        <v>1578729921015128</v>
      </c>
      <c r="C3344" t="s">
        <v>40</v>
      </c>
      <c r="D3344">
        <v>5.4118629999999897</v>
      </c>
      <c r="E3344">
        <v>0.605854</v>
      </c>
      <c r="F3344" t="s">
        <v>56</v>
      </c>
      <c r="G3344">
        <v>-194.16820000000001</v>
      </c>
      <c r="H3344" s="1">
        <v>3.4227280000000002E-6</v>
      </c>
      <c r="I3344">
        <v>212.35720000000001</v>
      </c>
      <c r="J3344">
        <v>-205.42269999999999</v>
      </c>
      <c r="K3344">
        <v>1.1074170000000001</v>
      </c>
      <c r="L3344">
        <v>215.7475</v>
      </c>
      <c r="M3344">
        <v>0.9992335</v>
      </c>
      <c r="N3344">
        <v>0</v>
      </c>
      <c r="O3344">
        <v>3.660269E-2</v>
      </c>
      <c r="P3344">
        <v>0.99945930000000005</v>
      </c>
      <c r="Q3344">
        <v>-1.6451710000000001E-2</v>
      </c>
      <c r="R3344">
        <v>-2.8474260000000001E-2</v>
      </c>
      <c r="S3344">
        <v>2.9811100000000001</v>
      </c>
      <c r="T3344">
        <v>-0.28750879999999901</v>
      </c>
      <c r="U3344">
        <v>-0.87890630000000003</v>
      </c>
      <c r="V3344">
        <v>6.5019999999999994E-2</v>
      </c>
      <c r="W3344">
        <v>-3.0894659999999999E-3</v>
      </c>
      <c r="X3344">
        <v>0.99787919999999997</v>
      </c>
      <c r="Y3344">
        <v>0.31620300000000001</v>
      </c>
      <c r="Z3344">
        <v>-1.8351059999999999E-2</v>
      </c>
      <c r="AA3344">
        <v>0.94851399999999997</v>
      </c>
      <c r="AB3344">
        <v>23</v>
      </c>
      <c r="AC3344">
        <v>11.254499999999901</v>
      </c>
      <c r="AD3344">
        <v>-1.107413577272</v>
      </c>
      <c r="AE3344">
        <v>-3.3902999999999901</v>
      </c>
      <c r="AF3344">
        <v>3.7665781740400899</v>
      </c>
      <c r="AG3344">
        <v>-1.107413577272</v>
      </c>
      <c r="AH3344">
        <v>11.024987025440799</v>
      </c>
      <c r="AI3344">
        <v>95.429749573515494</v>
      </c>
      <c r="AJ3344">
        <v>71.137773150874906</v>
      </c>
      <c r="AK3344">
        <v>11.703154057066</v>
      </c>
      <c r="AL3344">
        <v>90.177013640537993</v>
      </c>
      <c r="AM3344">
        <v>86.271980776194297</v>
      </c>
      <c r="AN3344">
        <v>1.0000000214964</v>
      </c>
    </row>
    <row r="3345" spans="1:40" x14ac:dyDescent="0.3">
      <c r="A3345" t="str">
        <f>"20200111160521069"</f>
        <v>20200111160521069</v>
      </c>
      <c r="B3345" t="str">
        <f>"1578729921064436"</f>
        <v>1578729921064436</v>
      </c>
      <c r="C3345" t="s">
        <v>40</v>
      </c>
      <c r="D3345">
        <v>5.2067209999999999</v>
      </c>
      <c r="E3345">
        <v>0.60653539999999995</v>
      </c>
      <c r="F3345" t="s">
        <v>56</v>
      </c>
      <c r="G3345">
        <v>-194.08189999999999</v>
      </c>
      <c r="H3345" s="1">
        <v>3.445987E-6</v>
      </c>
      <c r="I3345">
        <v>212.2664</v>
      </c>
      <c r="J3345">
        <v>-205.18510000000001</v>
      </c>
      <c r="K3345">
        <v>1.107183</v>
      </c>
      <c r="L3345">
        <v>215.75030000000001</v>
      </c>
      <c r="M3345">
        <v>0.99941120000000006</v>
      </c>
      <c r="N3345">
        <v>0</v>
      </c>
      <c r="O3345">
        <v>3.1371870000000003E-2</v>
      </c>
      <c r="P3345">
        <v>0.99897809999999998</v>
      </c>
      <c r="Q3345">
        <v>-1.829132E-2</v>
      </c>
      <c r="R3345">
        <v>-4.1337329999999999E-2</v>
      </c>
      <c r="S3345">
        <v>2.9708860000000001</v>
      </c>
      <c r="T3345">
        <v>-0.29010150000000001</v>
      </c>
      <c r="U3345">
        <v>-0.91192629999999997</v>
      </c>
      <c r="V3345">
        <v>7.2621450000000004E-2</v>
      </c>
      <c r="W3345">
        <v>-5.0139210000000002E-3</v>
      </c>
      <c r="X3345">
        <v>0.99734699999999998</v>
      </c>
      <c r="Y3345">
        <v>0.32175150000000002</v>
      </c>
      <c r="Z3345">
        <v>-1.8312849999999999E-2</v>
      </c>
      <c r="AA3345">
        <v>0.94664700000000002</v>
      </c>
      <c r="AB3345">
        <v>23</v>
      </c>
      <c r="AC3345">
        <v>11.103199999999999</v>
      </c>
      <c r="AD3345">
        <v>-1.1071795540130001</v>
      </c>
      <c r="AE3345">
        <v>-3.4839000000000002</v>
      </c>
      <c r="AF3345">
        <v>3.7961825153314601</v>
      </c>
      <c r="AG3345">
        <v>-1.1071795540130001</v>
      </c>
      <c r="AH3345">
        <v>10.889848824906201</v>
      </c>
      <c r="AI3345">
        <v>95.483857946818304</v>
      </c>
      <c r="AJ3345">
        <v>70.781533292750098</v>
      </c>
      <c r="AK3345">
        <v>11.5855796438436</v>
      </c>
      <c r="AL3345">
        <v>90.287277708199596</v>
      </c>
      <c r="AM3345">
        <v>85.835379028480801</v>
      </c>
      <c r="AN3345">
        <v>1.0000000264064399</v>
      </c>
    </row>
    <row r="3346" spans="1:40" x14ac:dyDescent="0.3">
      <c r="A3346" t="str">
        <f>"20200111160521089"</f>
        <v>20200111160521089</v>
      </c>
      <c r="B3346" t="str">
        <f>"1578729921084948"</f>
        <v>1578729921084948</v>
      </c>
      <c r="C3346" t="s">
        <v>40</v>
      </c>
      <c r="D3346">
        <v>5.2585490000000004</v>
      </c>
      <c r="E3346">
        <v>0.60787019999999903</v>
      </c>
      <c r="F3346" t="s">
        <v>56</v>
      </c>
      <c r="G3346">
        <v>-194.1721</v>
      </c>
      <c r="H3346" s="1">
        <v>3.4365309999999998E-6</v>
      </c>
      <c r="I3346">
        <v>212.19139999999999</v>
      </c>
      <c r="J3346">
        <v>-204.94820000000001</v>
      </c>
      <c r="K3346">
        <v>1.106968</v>
      </c>
      <c r="L3346">
        <v>215.75139999999999</v>
      </c>
      <c r="M3346">
        <v>0.99956929999999999</v>
      </c>
      <c r="N3346">
        <v>0</v>
      </c>
      <c r="O3346">
        <v>2.5835779999999999E-2</v>
      </c>
      <c r="P3346">
        <v>0.99826280000000001</v>
      </c>
      <c r="Q3346">
        <v>-2.102095E-2</v>
      </c>
      <c r="R3346">
        <v>-5.5043439999999999E-2</v>
      </c>
      <c r="S3346">
        <v>2.9580839999999999</v>
      </c>
      <c r="T3346">
        <v>-0.29738740000000002</v>
      </c>
      <c r="U3346">
        <v>-0.95590209999999998</v>
      </c>
      <c r="V3346">
        <v>8.0753790000000006E-2</v>
      </c>
      <c r="W3346">
        <v>-7.8381010000000001E-3</v>
      </c>
      <c r="X3346">
        <v>0.99670329999999996</v>
      </c>
      <c r="Y3346">
        <v>0.330347</v>
      </c>
      <c r="Z3346">
        <v>-1.8685050000000002E-2</v>
      </c>
      <c r="AA3346">
        <v>0.94367460000000003</v>
      </c>
      <c r="AB3346">
        <v>23</v>
      </c>
      <c r="AC3346">
        <v>10.7761</v>
      </c>
      <c r="AD3346">
        <v>-1.106964563469</v>
      </c>
      <c r="AE3346">
        <v>-3.56</v>
      </c>
      <c r="AF3346">
        <v>3.80108423148602</v>
      </c>
      <c r="AG3346">
        <v>-1.106964563469</v>
      </c>
      <c r="AH3346">
        <v>10.579862215729401</v>
      </c>
      <c r="AI3346">
        <v>95.623626426941499</v>
      </c>
      <c r="AJ3346">
        <v>70.237885415052205</v>
      </c>
      <c r="AK3346">
        <v>11.296331102771701</v>
      </c>
      <c r="AL3346">
        <v>90.449094687531996</v>
      </c>
      <c r="AM3346">
        <v>85.367962670930396</v>
      </c>
      <c r="AN3346">
        <v>1.00000003932876</v>
      </c>
    </row>
    <row r="3347" spans="1:40" x14ac:dyDescent="0.3">
      <c r="A3347" t="str">
        <f>"20200111160521134"</f>
        <v>20200111160521134</v>
      </c>
      <c r="B3347" t="str">
        <f>"1578729921124948"</f>
        <v>1578729921124948</v>
      </c>
      <c r="C3347" t="s">
        <v>40</v>
      </c>
      <c r="D3347">
        <v>5.302708</v>
      </c>
      <c r="E3347">
        <v>0.60878909999999997</v>
      </c>
      <c r="F3347" t="s">
        <v>56</v>
      </c>
      <c r="G3347">
        <v>-194.2723</v>
      </c>
      <c r="H3347" s="1">
        <v>3.426894E-6</v>
      </c>
      <c r="I3347">
        <v>212.0984</v>
      </c>
      <c r="J3347">
        <v>-204.4888</v>
      </c>
      <c r="K3347">
        <v>1.1065780000000001</v>
      </c>
      <c r="L3347">
        <v>215.74879999999999</v>
      </c>
      <c r="M3347">
        <v>0.99980250000000004</v>
      </c>
      <c r="N3347">
        <v>0</v>
      </c>
      <c r="O3347">
        <v>1.413291E-2</v>
      </c>
      <c r="P3347">
        <v>0.99627299999999996</v>
      </c>
      <c r="Q3347">
        <v>-2.6773430000000001E-2</v>
      </c>
      <c r="R3347">
        <v>-8.1996050000000001E-2</v>
      </c>
      <c r="S3347">
        <v>2.9432830000000001</v>
      </c>
      <c r="T3347">
        <v>-0.30518240000000002</v>
      </c>
      <c r="U3347">
        <v>-1.0071110000000001</v>
      </c>
      <c r="V3347">
        <v>9.5941799999999994E-2</v>
      </c>
      <c r="W3347">
        <v>-1.3788E-2</v>
      </c>
      <c r="X3347">
        <v>0.9952915</v>
      </c>
      <c r="Y3347">
        <v>0.33540540000000002</v>
      </c>
      <c r="Z3347">
        <v>-1.8288200000000001E-2</v>
      </c>
      <c r="AA3347">
        <v>0.94189639999999997</v>
      </c>
      <c r="AB3347">
        <v>23</v>
      </c>
      <c r="AC3347">
        <v>10.2164999999999</v>
      </c>
      <c r="AD3347">
        <v>-1.1065745731059999</v>
      </c>
      <c r="AE3347">
        <v>-3.6503999999999901</v>
      </c>
      <c r="AF3347">
        <v>3.7553696016942202</v>
      </c>
      <c r="AG3347">
        <v>-1.1065745731059999</v>
      </c>
      <c r="AH3347">
        <v>10.0592331169244</v>
      </c>
      <c r="AI3347">
        <v>95.884033687318194</v>
      </c>
      <c r="AJ3347">
        <v>69.528107553056998</v>
      </c>
      <c r="AK3347">
        <v>10.7942336009465</v>
      </c>
      <c r="AL3347">
        <v>90.790019198269803</v>
      </c>
      <c r="AM3347">
        <v>84.493946687858397</v>
      </c>
      <c r="AN3347">
        <v>1.00000005395174</v>
      </c>
    </row>
    <row r="3348" spans="1:40" x14ac:dyDescent="0.3">
      <c r="A3348" t="str">
        <f>"20200111160521156"</f>
        <v>20200111160521156</v>
      </c>
      <c r="B3348" t="str">
        <f>"1578729921144975"</f>
        <v>1578729921144975</v>
      </c>
      <c r="C3348" t="s">
        <v>40</v>
      </c>
      <c r="D3348">
        <v>5.3075510000000001</v>
      </c>
      <c r="E3348">
        <v>0.60876660000000005</v>
      </c>
      <c r="F3348" t="s">
        <v>56</v>
      </c>
      <c r="G3348">
        <v>-194.50299999999999</v>
      </c>
      <c r="H3348" s="1">
        <v>3.3946079999999999E-6</v>
      </c>
      <c r="I3348">
        <v>211.99950000000001</v>
      </c>
      <c r="J3348">
        <v>-204.25710000000001</v>
      </c>
      <c r="K3348">
        <v>1.1063670000000001</v>
      </c>
      <c r="L3348">
        <v>215.7449</v>
      </c>
      <c r="M3348">
        <v>0.99987230000000005</v>
      </c>
      <c r="N3348">
        <v>0</v>
      </c>
      <c r="O3348">
        <v>7.6992579999999996E-3</v>
      </c>
      <c r="P3348">
        <v>0.9949498</v>
      </c>
      <c r="Q3348">
        <v>-3.0331469999999999E-2</v>
      </c>
      <c r="R3348">
        <v>-9.5682639999999999E-2</v>
      </c>
      <c r="S3348">
        <v>2.9125670000000001</v>
      </c>
      <c r="T3348">
        <v>-0.3227563</v>
      </c>
      <c r="U3348">
        <v>-1.0935520000000001</v>
      </c>
      <c r="V3348">
        <v>0.10317</v>
      </c>
      <c r="W3348">
        <v>-1.7452499999999999E-2</v>
      </c>
      <c r="X3348">
        <v>0.99451060000000002</v>
      </c>
      <c r="Y3348">
        <v>0.35674159999999999</v>
      </c>
      <c r="Z3348">
        <v>-1.988504E-2</v>
      </c>
      <c r="AA3348">
        <v>0.93399140000000003</v>
      </c>
      <c r="AB3348">
        <v>23</v>
      </c>
      <c r="AC3348">
        <v>9.7541000000000206</v>
      </c>
      <c r="AD3348">
        <v>-1.1063636053919901</v>
      </c>
      <c r="AE3348">
        <v>-3.7453999999999801</v>
      </c>
      <c r="AF3348">
        <v>3.7780356037858902</v>
      </c>
      <c r="AG3348">
        <v>-1.1063636053919901</v>
      </c>
      <c r="AH3348">
        <v>9.6171419672816398</v>
      </c>
      <c r="AI3348">
        <v>96.111652321305797</v>
      </c>
      <c r="AJ3348">
        <v>68.552920748212401</v>
      </c>
      <c r="AK3348">
        <v>10.391679992650801</v>
      </c>
      <c r="AL3348">
        <v>91.000005375482502</v>
      </c>
      <c r="AM3348">
        <v>84.077351985272202</v>
      </c>
      <c r="AN3348">
        <v>0.99999998608430496</v>
      </c>
    </row>
    <row r="3349" spans="1:40" x14ac:dyDescent="0.3">
      <c r="A3349" t="str">
        <f>"20200111160521179"</f>
        <v>20200111160521179</v>
      </c>
      <c r="B3349" t="str">
        <f>"1578729921175231"</f>
        <v>1578729921175231</v>
      </c>
      <c r="C3349" t="s">
        <v>40</v>
      </c>
      <c r="D3349">
        <v>5.7436429999999996</v>
      </c>
      <c r="E3349">
        <v>0.6083752</v>
      </c>
      <c r="F3349" t="s">
        <v>56</v>
      </c>
      <c r="G3349">
        <v>-194.70910000000001</v>
      </c>
      <c r="H3349" s="1">
        <v>3.3571940000000001E-6</v>
      </c>
      <c r="I3349">
        <v>212.0093</v>
      </c>
      <c r="J3349">
        <v>-204.02180000000001</v>
      </c>
      <c r="K3349">
        <v>1.106125</v>
      </c>
      <c r="L3349">
        <v>215.739</v>
      </c>
      <c r="M3349">
        <v>0.99990140000000005</v>
      </c>
      <c r="N3349">
        <v>0</v>
      </c>
      <c r="O3349">
        <v>7.9040320000000003E-4</v>
      </c>
      <c r="P3349">
        <v>0.99346330000000005</v>
      </c>
      <c r="Q3349">
        <v>-3.3106419999999998E-2</v>
      </c>
      <c r="R3349">
        <v>-0.10924589999999899</v>
      </c>
      <c r="S3349">
        <v>2.896042</v>
      </c>
      <c r="T3349">
        <v>-0.3355764</v>
      </c>
      <c r="U3349">
        <v>-1.133057</v>
      </c>
      <c r="V3349">
        <v>0.109821</v>
      </c>
      <c r="W3349">
        <v>-2.0335590000000001E-2</v>
      </c>
      <c r="X3349">
        <v>0.99374340000000005</v>
      </c>
      <c r="Y3349">
        <v>0.36297400000000002</v>
      </c>
      <c r="Z3349">
        <v>-2.0308449999999999E-2</v>
      </c>
      <c r="AA3349">
        <v>0.93157789999999996</v>
      </c>
      <c r="AB3349">
        <v>23</v>
      </c>
      <c r="AC3349">
        <v>9.3126999999999995</v>
      </c>
      <c r="AD3349">
        <v>-1.1061216428059999</v>
      </c>
      <c r="AE3349">
        <v>-3.7296999999999998</v>
      </c>
      <c r="AF3349">
        <v>3.6921723849283401</v>
      </c>
      <c r="AG3349">
        <v>-1.1061216428059999</v>
      </c>
      <c r="AH3349">
        <v>9.1979241358212604</v>
      </c>
      <c r="AI3349">
        <v>96.367974840775204</v>
      </c>
      <c r="AJ3349">
        <v>68.128799819740195</v>
      </c>
      <c r="AK3349">
        <v>9.9728356256901396</v>
      </c>
      <c r="AL3349">
        <v>91.165223723018798</v>
      </c>
      <c r="AM3349">
        <v>83.693693943931805</v>
      </c>
      <c r="AN3349">
        <v>1.0000000666526001</v>
      </c>
    </row>
    <row r="3350" spans="1:40" x14ac:dyDescent="0.3">
      <c r="A3350" t="str">
        <f>"20200111160521201"</f>
        <v>20200111160521201</v>
      </c>
      <c r="B3350" t="str">
        <f>"1578729921194754"</f>
        <v>1578729921194754</v>
      </c>
      <c r="C3350" t="s">
        <v>40</v>
      </c>
      <c r="D3350">
        <v>5.3669469999999997</v>
      </c>
      <c r="E3350">
        <v>0.60824180000000005</v>
      </c>
      <c r="F3350" t="s">
        <v>56</v>
      </c>
      <c r="G3350">
        <v>-194.92150000000001</v>
      </c>
      <c r="H3350" s="1">
        <v>3.316357E-6</v>
      </c>
      <c r="I3350">
        <v>212.0455</v>
      </c>
      <c r="J3350">
        <v>-203.78630000000001</v>
      </c>
      <c r="K3350">
        <v>1.105872</v>
      </c>
      <c r="L3350">
        <v>215.73099999999999</v>
      </c>
      <c r="M3350">
        <v>0.99987979999999999</v>
      </c>
      <c r="N3350">
        <v>0</v>
      </c>
      <c r="O3350">
        <v>-6.5121249999999997E-3</v>
      </c>
      <c r="P3350">
        <v>0.99184629999999996</v>
      </c>
      <c r="Q3350">
        <v>-3.5495980000000003E-2</v>
      </c>
      <c r="R3350">
        <v>-0.1223982</v>
      </c>
      <c r="S3350">
        <v>2.879562</v>
      </c>
      <c r="T3350">
        <v>-0.35000500000000001</v>
      </c>
      <c r="U3350">
        <v>-1.1687160000000001</v>
      </c>
      <c r="V3350">
        <v>0.11568630000000001</v>
      </c>
      <c r="W3350">
        <v>-2.283199E-2</v>
      </c>
      <c r="X3350">
        <v>0.99302330000000005</v>
      </c>
      <c r="Y3350">
        <v>0.36774669999999998</v>
      </c>
      <c r="Z3350">
        <v>-2.0668820000000001E-2</v>
      </c>
      <c r="AA3350">
        <v>0.92969630000000003</v>
      </c>
      <c r="AB3350">
        <v>23</v>
      </c>
      <c r="AC3350">
        <v>8.8648000000000007</v>
      </c>
      <c r="AD3350">
        <v>-1.1058686836430001</v>
      </c>
      <c r="AE3350">
        <v>-3.68549999999999</v>
      </c>
      <c r="AF3350">
        <v>3.58018300503061</v>
      </c>
      <c r="AG3350">
        <v>-1.1058686836430001</v>
      </c>
      <c r="AH3350">
        <v>8.7722187284171493</v>
      </c>
      <c r="AI3350">
        <v>96.657345593857499</v>
      </c>
      <c r="AJ3350">
        <v>67.798281938445299</v>
      </c>
      <c r="AK3350">
        <v>9.5389977101457006</v>
      </c>
      <c r="AL3350">
        <v>91.308290419528504</v>
      </c>
      <c r="AM3350">
        <v>83.3550482557809</v>
      </c>
      <c r="AN3350">
        <v>0.999999947058968</v>
      </c>
    </row>
    <row r="3351" spans="1:40" x14ac:dyDescent="0.3">
      <c r="A3351" t="str">
        <f>"20200111160521224"</f>
        <v>20200111160521224</v>
      </c>
      <c r="B3351" t="str">
        <f>"1578729921215247"</f>
        <v>1578729921215247</v>
      </c>
      <c r="C3351" t="s">
        <v>40</v>
      </c>
      <c r="D3351">
        <v>5.4450589999999996</v>
      </c>
      <c r="E3351">
        <v>0.60843380000000002</v>
      </c>
      <c r="F3351" t="s">
        <v>56</v>
      </c>
      <c r="G3351">
        <v>-195.00569999999999</v>
      </c>
      <c r="H3351" s="1">
        <v>3.3022439999999999E-6</v>
      </c>
      <c r="I3351">
        <v>212.0361</v>
      </c>
      <c r="J3351">
        <v>-203.55510000000001</v>
      </c>
      <c r="K3351">
        <v>1.1056189999999999</v>
      </c>
      <c r="L3351">
        <v>215.72110000000001</v>
      </c>
      <c r="M3351">
        <v>0.99980159999999996</v>
      </c>
      <c r="N3351">
        <v>0</v>
      </c>
      <c r="O3351">
        <v>-1.406902E-2</v>
      </c>
      <c r="P3351">
        <v>0.99005580000000004</v>
      </c>
      <c r="Q3351">
        <v>-3.6315140000000003E-2</v>
      </c>
      <c r="R3351">
        <v>-0.13590749999999999</v>
      </c>
      <c r="S3351">
        <v>2.863083</v>
      </c>
      <c r="T3351">
        <v>-0.36059069999999999</v>
      </c>
      <c r="U3351">
        <v>-1.204788</v>
      </c>
      <c r="V3351">
        <v>0.1216902</v>
      </c>
      <c r="W3351">
        <v>-2.3765459999999999E-2</v>
      </c>
      <c r="X3351">
        <v>0.99228360000000004</v>
      </c>
      <c r="Y3351">
        <v>0.37244959999999999</v>
      </c>
      <c r="Z3351">
        <v>-2.0727559999999999E-2</v>
      </c>
      <c r="AA3351">
        <v>0.92782089999999995</v>
      </c>
      <c r="AB3351">
        <v>23</v>
      </c>
      <c r="AC3351">
        <v>8.5494000000000199</v>
      </c>
      <c r="AD3351">
        <v>-1.1056156977560001</v>
      </c>
      <c r="AE3351">
        <v>-3.6850000000000001</v>
      </c>
      <c r="AF3351">
        <v>3.5147703961438799</v>
      </c>
      <c r="AG3351">
        <v>-1.1056156977560001</v>
      </c>
      <c r="AH3351">
        <v>8.4807928253940101</v>
      </c>
      <c r="AI3351">
        <v>96.867275689071207</v>
      </c>
      <c r="AJ3351">
        <v>67.488981048530306</v>
      </c>
      <c r="AK3351">
        <v>9.2466125665558394</v>
      </c>
      <c r="AL3351">
        <v>91.361788735323898</v>
      </c>
      <c r="AM3351">
        <v>83.008356720808706</v>
      </c>
      <c r="AN3351">
        <v>1.000000022347</v>
      </c>
    </row>
    <row r="3352" spans="1:40" x14ac:dyDescent="0.3">
      <c r="A3352" t="str">
        <f>"20200111160521246"</f>
        <v>20200111160521246</v>
      </c>
      <c r="B3352" t="str">
        <f>"1578729921235273"</f>
        <v>1578729921235273</v>
      </c>
      <c r="C3352" t="s">
        <v>40</v>
      </c>
      <c r="D3352">
        <v>5.2740539999999996</v>
      </c>
      <c r="E3352">
        <v>0.60907540000000004</v>
      </c>
      <c r="F3352" t="s">
        <v>56</v>
      </c>
      <c r="G3352">
        <v>-194.96539999999999</v>
      </c>
      <c r="H3352" s="1">
        <v>3.315527E-6</v>
      </c>
      <c r="I3352">
        <v>211.96600000000001</v>
      </c>
      <c r="J3352">
        <v>-203.3321</v>
      </c>
      <c r="K3352">
        <v>1.1053900000000001</v>
      </c>
      <c r="L3352">
        <v>215.70920000000001</v>
      </c>
      <c r="M3352">
        <v>0.99966299999999997</v>
      </c>
      <c r="N3352">
        <v>0</v>
      </c>
      <c r="O3352">
        <v>-2.1770589999999999E-2</v>
      </c>
      <c r="P3352">
        <v>0.988209</v>
      </c>
      <c r="Q3352">
        <v>-3.527893E-2</v>
      </c>
      <c r="R3352">
        <v>-0.1489917</v>
      </c>
      <c r="S3352">
        <v>2.845901</v>
      </c>
      <c r="T3352">
        <v>-0.36630679999999999</v>
      </c>
      <c r="U3352">
        <v>-1.24411</v>
      </c>
      <c r="V3352">
        <v>0.1271661</v>
      </c>
      <c r="W3352">
        <v>-2.283847E-2</v>
      </c>
      <c r="X3352">
        <v>0.99161849999999996</v>
      </c>
      <c r="Y3352">
        <v>0.3780482</v>
      </c>
      <c r="Z3352">
        <v>-2.051594E-2</v>
      </c>
      <c r="AA3352">
        <v>0.92555860000000001</v>
      </c>
      <c r="AB3352">
        <v>23</v>
      </c>
      <c r="AC3352">
        <v>8.3666999999999998</v>
      </c>
      <c r="AD3352">
        <v>-1.10538668447299</v>
      </c>
      <c r="AE3352">
        <v>-3.7432000000000198</v>
      </c>
      <c r="AF3352">
        <v>3.5091103041128</v>
      </c>
      <c r="AG3352">
        <v>-1.10538668447299</v>
      </c>
      <c r="AH3352">
        <v>8.3251365085031495</v>
      </c>
      <c r="AI3352">
        <v>96.975586035439903</v>
      </c>
      <c r="AJ3352">
        <v>67.144195497530106</v>
      </c>
      <c r="AK3352">
        <v>9.1018477648141793</v>
      </c>
      <c r="AL3352">
        <v>91.308661683009205</v>
      </c>
      <c r="AM3352">
        <v>82.692221141093697</v>
      </c>
      <c r="AN3352">
        <v>1.0000000311216899</v>
      </c>
    </row>
    <row r="3353" spans="1:40" x14ac:dyDescent="0.3">
      <c r="A3353" t="str">
        <f>"20200111160521268"</f>
        <v>20200111160521268</v>
      </c>
      <c r="B3353" t="str">
        <f>"1578729921264554"</f>
        <v>1578729921264554</v>
      </c>
      <c r="C3353" t="s">
        <v>40</v>
      </c>
      <c r="D3353">
        <v>5.3072359999999996</v>
      </c>
      <c r="E3353">
        <v>0.6094579</v>
      </c>
      <c r="F3353" t="s">
        <v>56</v>
      </c>
      <c r="G3353">
        <v>-194.71690000000001</v>
      </c>
      <c r="H3353" s="1">
        <v>3.3747539999999999E-6</v>
      </c>
      <c r="I3353">
        <v>211.7927</v>
      </c>
      <c r="J3353">
        <v>-203.0985</v>
      </c>
      <c r="K3353">
        <v>1.1051690000000001</v>
      </c>
      <c r="L3353">
        <v>215.69450000000001</v>
      </c>
      <c r="M3353">
        <v>0.99944200000000005</v>
      </c>
      <c r="N3353">
        <v>0</v>
      </c>
      <c r="O3353">
        <v>-3.0239410000000001E-2</v>
      </c>
      <c r="P3353">
        <v>0.98623039999999995</v>
      </c>
      <c r="Q3353">
        <v>-3.069262E-2</v>
      </c>
      <c r="R3353">
        <v>-0.16250319999999999</v>
      </c>
      <c r="S3353">
        <v>2.828964</v>
      </c>
      <c r="T3353">
        <v>-0.36297259999999998</v>
      </c>
      <c r="U3353">
        <v>-1.286041</v>
      </c>
      <c r="V3353">
        <v>0.13237499999999999</v>
      </c>
      <c r="W3353">
        <v>-1.8357600000000002E-2</v>
      </c>
      <c r="X3353">
        <v>0.99102970000000001</v>
      </c>
      <c r="Y3353">
        <v>0.38372709999999999</v>
      </c>
      <c r="Z3353">
        <v>-1.970009E-2</v>
      </c>
      <c r="AA3353">
        <v>0.92323639999999996</v>
      </c>
      <c r="AB3353">
        <v>23</v>
      </c>
      <c r="AC3353">
        <v>8.3815999999999899</v>
      </c>
      <c r="AD3353">
        <v>-1.105165625246</v>
      </c>
      <c r="AE3353">
        <v>-3.9018000000000002</v>
      </c>
      <c r="AF3353">
        <v>3.5951623889617599</v>
      </c>
      <c r="AG3353">
        <v>-1.105165625246</v>
      </c>
      <c r="AH3353">
        <v>8.3760769993650293</v>
      </c>
      <c r="AI3353">
        <v>96.913165650481801</v>
      </c>
      <c r="AJ3353">
        <v>66.770123119606694</v>
      </c>
      <c r="AK3353">
        <v>9.1817890174803392</v>
      </c>
      <c r="AL3353">
        <v>91.051872083629107</v>
      </c>
      <c r="AM3353">
        <v>82.391854239608605</v>
      </c>
      <c r="AN3353">
        <v>1.00000000419242</v>
      </c>
    </row>
    <row r="3354" spans="1:40" x14ac:dyDescent="0.3">
      <c r="A3354" t="str">
        <f>"20200111160521290"</f>
        <v>20200111160521290</v>
      </c>
      <c r="B3354" t="str">
        <f>"1578729921285049"</f>
        <v>1578729921285049</v>
      </c>
      <c r="C3354" t="s">
        <v>40</v>
      </c>
      <c r="D3354">
        <v>5.292573</v>
      </c>
      <c r="E3354">
        <v>0.60925589999999996</v>
      </c>
      <c r="F3354" t="s">
        <v>56</v>
      </c>
      <c r="G3354">
        <v>-194.09030000000001</v>
      </c>
      <c r="H3354" s="1">
        <v>3.5166509999999998E-6</v>
      </c>
      <c r="I3354">
        <v>211.4408</v>
      </c>
      <c r="J3354">
        <v>-202.86019999999999</v>
      </c>
      <c r="K3354">
        <v>1.1049739999999999</v>
      </c>
      <c r="L3354">
        <v>215.67699999999999</v>
      </c>
      <c r="M3354">
        <v>0.99912900000000004</v>
      </c>
      <c r="N3354">
        <v>0</v>
      </c>
      <c r="O3354">
        <v>-3.922904E-2</v>
      </c>
      <c r="P3354">
        <v>0.98382409999999998</v>
      </c>
      <c r="Q3354">
        <v>-2.846827E-2</v>
      </c>
      <c r="R3354">
        <v>-0.17686170000000001</v>
      </c>
      <c r="S3354">
        <v>2.8123320000000001</v>
      </c>
      <c r="T3354">
        <v>-0.34502969999999999</v>
      </c>
      <c r="U3354">
        <v>-1.3279719999999999</v>
      </c>
      <c r="V3354">
        <v>0.13791989999999901</v>
      </c>
      <c r="W3354">
        <v>-1.624018E-2</v>
      </c>
      <c r="X3354">
        <v>0.99031029999999998</v>
      </c>
      <c r="Y3354">
        <v>0.38904519999999998</v>
      </c>
      <c r="Z3354">
        <v>-1.804648E-2</v>
      </c>
      <c r="AA3354">
        <v>0.92104189999999997</v>
      </c>
      <c r="AB3354">
        <v>23</v>
      </c>
      <c r="AC3354">
        <v>8.7698999999999696</v>
      </c>
      <c r="AD3354">
        <v>-1.1049704833489999</v>
      </c>
      <c r="AE3354">
        <v>-4.2362000000000197</v>
      </c>
      <c r="AF3354">
        <v>3.8394489094884698</v>
      </c>
      <c r="AG3354">
        <v>-1.1049704833489999</v>
      </c>
      <c r="AH3354">
        <v>8.8158720464483693</v>
      </c>
      <c r="AI3354">
        <v>96.555311045428695</v>
      </c>
      <c r="AJ3354">
        <v>66.466128207932698</v>
      </c>
      <c r="AK3354">
        <v>9.6789424854678501</v>
      </c>
      <c r="AL3354">
        <v>90.930534617651105</v>
      </c>
      <c r="AM3354">
        <v>82.071450532891902</v>
      </c>
      <c r="AN3354">
        <v>1.0000000662742601</v>
      </c>
    </row>
    <row r="3355" spans="1:40" x14ac:dyDescent="0.3">
      <c r="A3355" t="str">
        <f>"20200111160521312"</f>
        <v>20200111160521312</v>
      </c>
      <c r="B3355" t="str">
        <f>"1578729921304570"</f>
        <v>1578729921304570</v>
      </c>
      <c r="C3355" t="s">
        <v>40</v>
      </c>
      <c r="D3355">
        <v>5.1915469999999999</v>
      </c>
      <c r="E3355">
        <v>0.60934809999999995</v>
      </c>
      <c r="F3355" t="s">
        <v>56</v>
      </c>
      <c r="G3355">
        <v>-193.68029999999999</v>
      </c>
      <c r="H3355" s="1">
        <v>3.611696E-6</v>
      </c>
      <c r="I3355">
        <v>211.1858</v>
      </c>
      <c r="J3355">
        <v>-202.64009999999999</v>
      </c>
      <c r="K3355">
        <v>1.1047959999999999</v>
      </c>
      <c r="L3355">
        <v>215.65860000000001</v>
      </c>
      <c r="M3355">
        <v>0.99875369999999997</v>
      </c>
      <c r="N3355">
        <v>0</v>
      </c>
      <c r="O3355">
        <v>-4.7827660000000001E-2</v>
      </c>
      <c r="P3355">
        <v>0.98099119999999995</v>
      </c>
      <c r="Q3355">
        <v>-3.0324440000000001E-2</v>
      </c>
      <c r="R3355">
        <v>-0.1916696</v>
      </c>
      <c r="S3355">
        <v>2.7938689999999999</v>
      </c>
      <c r="T3355">
        <v>-0.33629049999999999</v>
      </c>
      <c r="U3355">
        <v>-1.3668819999999999</v>
      </c>
      <c r="V3355">
        <v>0.1442871</v>
      </c>
      <c r="W3355">
        <v>-1.8215149999999999E-2</v>
      </c>
      <c r="X3355">
        <v>0.98936820000000003</v>
      </c>
      <c r="Y3355">
        <v>0.39399230000000002</v>
      </c>
      <c r="Z3355">
        <v>-1.6956579999999999E-2</v>
      </c>
      <c r="AA3355">
        <v>0.91895740000000004</v>
      </c>
      <c r="AB3355">
        <v>23</v>
      </c>
      <c r="AC3355">
        <v>8.9597999999999995</v>
      </c>
      <c r="AD3355">
        <v>-1.1047923883039901</v>
      </c>
      <c r="AE3355">
        <v>-4.4728000000000003</v>
      </c>
      <c r="AF3355">
        <v>3.9905411245751399</v>
      </c>
      <c r="AG3355">
        <v>-1.1047923883039901</v>
      </c>
      <c r="AH3355">
        <v>9.0533010269305301</v>
      </c>
      <c r="AI3355">
        <v>96.371564625388302</v>
      </c>
      <c r="AJ3355">
        <v>66.212930732053294</v>
      </c>
      <c r="AK3355">
        <v>9.9552621347908996</v>
      </c>
      <c r="AL3355">
        <v>91.043708942368994</v>
      </c>
      <c r="AM3355">
        <v>81.702614740726901</v>
      </c>
      <c r="AN3355">
        <v>0.999999997043586</v>
      </c>
    </row>
    <row r="3356" spans="1:40" x14ac:dyDescent="0.3">
      <c r="A3356" t="str">
        <f>"20200111160521357"</f>
        <v>20200111160521357</v>
      </c>
      <c r="B3356" t="str">
        <f>"1578729921354348"</f>
        <v>1578729921354348</v>
      </c>
      <c r="C3356" t="s">
        <v>40</v>
      </c>
      <c r="D3356">
        <v>5.3194229999999996</v>
      </c>
      <c r="E3356">
        <v>0.60871370000000002</v>
      </c>
      <c r="F3356" t="s">
        <v>56</v>
      </c>
      <c r="G3356">
        <v>-193.6866</v>
      </c>
      <c r="H3356" s="1">
        <v>3.6173399999999999E-6</v>
      </c>
      <c r="I3356">
        <v>211.10830000000001</v>
      </c>
      <c r="J3356">
        <v>-202.1807</v>
      </c>
      <c r="K3356">
        <v>1.104452</v>
      </c>
      <c r="L3356">
        <v>215.61320000000001</v>
      </c>
      <c r="M3356">
        <v>0.99767110000000003</v>
      </c>
      <c r="N3356">
        <v>0</v>
      </c>
      <c r="O3356">
        <v>-6.6681509999999999E-2</v>
      </c>
      <c r="P3356">
        <v>0.97450979999999998</v>
      </c>
      <c r="Q3356">
        <v>-3.6259710000000001E-2</v>
      </c>
      <c r="R3356">
        <v>-0.2213966</v>
      </c>
      <c r="S3356">
        <v>2.772278</v>
      </c>
      <c r="T3356">
        <v>-0.34207959999999998</v>
      </c>
      <c r="U3356">
        <v>-1.408936</v>
      </c>
      <c r="V3356">
        <v>0.15557389999999999</v>
      </c>
      <c r="W3356">
        <v>-2.4373550000000001E-2</v>
      </c>
      <c r="X3356">
        <v>0.9875235</v>
      </c>
      <c r="Y3356">
        <v>0.39067039999999997</v>
      </c>
      <c r="Z3356">
        <v>-1.495062E-2</v>
      </c>
      <c r="AA3356">
        <v>0.92040920000000004</v>
      </c>
      <c r="AB3356">
        <v>23</v>
      </c>
      <c r="AC3356">
        <v>8.4940999999999995</v>
      </c>
      <c r="AD3356">
        <v>-1.10444838266</v>
      </c>
      <c r="AE3356">
        <v>-4.5048999999999904</v>
      </c>
      <c r="AF3356">
        <v>3.8772529269826301</v>
      </c>
      <c r="AG3356">
        <v>-1.10444838266</v>
      </c>
      <c r="AH3356">
        <v>8.6613282338489004</v>
      </c>
      <c r="AI3356">
        <v>96.638540225089102</v>
      </c>
      <c r="AJ3356">
        <v>65.884272569059505</v>
      </c>
      <c r="AK3356">
        <v>9.5536120532615101</v>
      </c>
      <c r="AL3356">
        <v>91.396639873668306</v>
      </c>
      <c r="AM3356">
        <v>81.047236263925598</v>
      </c>
      <c r="AN3356">
        <v>0.99999998567653103</v>
      </c>
    </row>
    <row r="3357" spans="1:40" x14ac:dyDescent="0.3">
      <c r="A3357" t="str">
        <f>"20200111160521380"</f>
        <v>20200111160521380</v>
      </c>
      <c r="B3357" t="str">
        <f>"1578729921374845"</f>
        <v>1578729921374845</v>
      </c>
      <c r="C3357" t="s">
        <v>40</v>
      </c>
      <c r="D3357">
        <v>5.3130309999999996</v>
      </c>
      <c r="E3357">
        <v>0.60804729999999996</v>
      </c>
      <c r="F3357" t="s">
        <v>56</v>
      </c>
      <c r="G3357">
        <v>-193.78370000000001</v>
      </c>
      <c r="H3357" s="1">
        <v>3.606372E-6</v>
      </c>
      <c r="I3357">
        <v>211.0367</v>
      </c>
      <c r="J3357">
        <v>-201.94300000000001</v>
      </c>
      <c r="K3357">
        <v>1.1042730000000001</v>
      </c>
      <c r="L3357">
        <v>215.5857</v>
      </c>
      <c r="M3357">
        <v>0.99693410000000005</v>
      </c>
      <c r="N3357">
        <v>0</v>
      </c>
      <c r="O3357">
        <v>-7.6909889999999995E-2</v>
      </c>
      <c r="P3357">
        <v>0.97043679999999999</v>
      </c>
      <c r="Q3357">
        <v>-4.0903009999999997E-2</v>
      </c>
      <c r="R3357">
        <v>-0.2378643</v>
      </c>
      <c r="S3357">
        <v>2.727417</v>
      </c>
      <c r="T3357">
        <v>-0.35873630000000001</v>
      </c>
      <c r="U3357">
        <v>-1.4864809999999999</v>
      </c>
      <c r="V3357">
        <v>0.16209390000000001</v>
      </c>
      <c r="W3357">
        <v>-2.9152810000000001E-2</v>
      </c>
      <c r="X3357">
        <v>0.98634460000000002</v>
      </c>
      <c r="Y3357">
        <v>0.40742289999999998</v>
      </c>
      <c r="Z3357">
        <v>-1.5591880000000001E-2</v>
      </c>
      <c r="AA3357">
        <v>0.91310650000000004</v>
      </c>
      <c r="AB3357">
        <v>23</v>
      </c>
      <c r="AC3357">
        <v>8.1592999999999698</v>
      </c>
      <c r="AD3357">
        <v>-1.1042693936279999</v>
      </c>
      <c r="AE3357">
        <v>-4.5490000000000004</v>
      </c>
      <c r="AF3357">
        <v>3.8540734750764201</v>
      </c>
      <c r="AG3357">
        <v>-1.1042693936279999</v>
      </c>
      <c r="AH3357">
        <v>8.3680974367737004</v>
      </c>
      <c r="AI3357">
        <v>96.834878146275599</v>
      </c>
      <c r="AJ3357">
        <v>65.270740209698005</v>
      </c>
      <c r="AK3357">
        <v>9.2789195468184698</v>
      </c>
      <c r="AL3357">
        <v>91.6705696727836</v>
      </c>
      <c r="AM3357">
        <v>80.667543297102299</v>
      </c>
      <c r="AN3357">
        <v>0.99999999434863296</v>
      </c>
    </row>
    <row r="3358" spans="1:40" x14ac:dyDescent="0.3">
      <c r="A3358" t="str">
        <f>"20200111160521402"</f>
        <v>20200111160521402</v>
      </c>
      <c r="B3358" t="str">
        <f>"1578729921394362"</f>
        <v>1578729921394362</v>
      </c>
      <c r="C3358" t="s">
        <v>40</v>
      </c>
      <c r="D3358">
        <v>5.3549329999999999</v>
      </c>
      <c r="E3358">
        <v>0.60725099999999999</v>
      </c>
      <c r="F3358" t="s">
        <v>56</v>
      </c>
      <c r="G3358">
        <v>-193.84289999999999</v>
      </c>
      <c r="H3358" s="1">
        <v>3.598573E-6</v>
      </c>
      <c r="I3358">
        <v>211.00579999999999</v>
      </c>
      <c r="J3358">
        <v>-201.71899999999999</v>
      </c>
      <c r="K3358">
        <v>1.1040840000000001</v>
      </c>
      <c r="L3358">
        <v>215.55719999999999</v>
      </c>
      <c r="M3358">
        <v>0.99611550000000004</v>
      </c>
      <c r="N3358">
        <v>0</v>
      </c>
      <c r="O3358">
        <v>-8.686526E-2</v>
      </c>
      <c r="P3358">
        <v>0.96633259999999999</v>
      </c>
      <c r="Q3358">
        <v>-4.566634E-2</v>
      </c>
      <c r="R3358">
        <v>-0.2532124</v>
      </c>
      <c r="S3358">
        <v>2.7014619999999998</v>
      </c>
      <c r="T3358">
        <v>-0.36828709999999998</v>
      </c>
      <c r="U3358">
        <v>-1.5274509999999999</v>
      </c>
      <c r="V3358">
        <v>0.16779669999999999</v>
      </c>
      <c r="W3358">
        <v>-3.4046819999999998E-2</v>
      </c>
      <c r="X3358">
        <v>0.98523349999999998</v>
      </c>
      <c r="Y3358">
        <v>0.41244629999999999</v>
      </c>
      <c r="Z3358">
        <v>-1.5159769999999999E-2</v>
      </c>
      <c r="AA3358">
        <v>0.91085579999999999</v>
      </c>
      <c r="AB3358">
        <v>23</v>
      </c>
      <c r="AC3358">
        <v>7.8761000000000303</v>
      </c>
      <c r="AD3358">
        <v>-1.104080401427</v>
      </c>
      <c r="AE3358">
        <v>-4.5514000000000001</v>
      </c>
      <c r="AF3358">
        <v>3.7940698644706599</v>
      </c>
      <c r="AG3358">
        <v>-1.104080401427</v>
      </c>
      <c r="AH3358">
        <v>8.1220732123640396</v>
      </c>
      <c r="AI3358">
        <v>97.0212361410629</v>
      </c>
      <c r="AJ3358">
        <v>64.961277198632402</v>
      </c>
      <c r="AK3358">
        <v>9.0322772840685701</v>
      </c>
      <c r="AL3358">
        <v>91.951116198019704</v>
      </c>
      <c r="AM3358">
        <v>80.334603329871797</v>
      </c>
      <c r="AN3358">
        <v>0.99999998400262602</v>
      </c>
    </row>
    <row r="3359" spans="1:40" x14ac:dyDescent="0.3">
      <c r="A3359" t="str">
        <f>"20200111160521424"</f>
        <v>20200111160521424</v>
      </c>
      <c r="B3359" t="str">
        <f>"1578729921414858"</f>
        <v>1578729921414858</v>
      </c>
      <c r="C3359" t="s">
        <v>40</v>
      </c>
      <c r="D3359">
        <v>5.4128230000000004</v>
      </c>
      <c r="E3359">
        <v>0.60633029999999999</v>
      </c>
      <c r="F3359" t="s">
        <v>56</v>
      </c>
      <c r="G3359">
        <v>-193.83320000000001</v>
      </c>
      <c r="H3359" s="1">
        <v>3.6054849999999998E-6</v>
      </c>
      <c r="I3359">
        <v>210.94649999999999</v>
      </c>
      <c r="J3359">
        <v>-201.4966</v>
      </c>
      <c r="K3359">
        <v>1.10388</v>
      </c>
      <c r="L3359">
        <v>215.52619999999999</v>
      </c>
      <c r="M3359">
        <v>0.99517149999999999</v>
      </c>
      <c r="N3359">
        <v>0</v>
      </c>
      <c r="O3359">
        <v>-9.7076040000000002E-2</v>
      </c>
      <c r="P3359">
        <v>0.96179490000000001</v>
      </c>
      <c r="Q3359">
        <v>-5.1161999999999999E-2</v>
      </c>
      <c r="R3359">
        <v>-0.26894810000000002</v>
      </c>
      <c r="S3359">
        <v>2.6767270000000001</v>
      </c>
      <c r="T3359">
        <v>-0.37476660000000001</v>
      </c>
      <c r="U3359">
        <v>-1.565048</v>
      </c>
      <c r="V3359">
        <v>0.1736877</v>
      </c>
      <c r="W3359">
        <v>-3.9686590000000001E-2</v>
      </c>
      <c r="X3359">
        <v>0.98400080000000001</v>
      </c>
      <c r="Y3359">
        <v>0.41625430000000002</v>
      </c>
      <c r="Z3359">
        <v>-1.4445879999999999E-2</v>
      </c>
      <c r="AA3359">
        <v>0.90913350000000004</v>
      </c>
      <c r="AB3359">
        <v>23</v>
      </c>
      <c r="AC3359">
        <v>7.6633999999999904</v>
      </c>
      <c r="AD3359">
        <v>-1.1038763945150001</v>
      </c>
      <c r="AE3359">
        <v>-4.5796999999999999</v>
      </c>
      <c r="AF3359">
        <v>3.7566202978146799</v>
      </c>
      <c r="AG3359">
        <v>-1.1038763945150001</v>
      </c>
      <c r="AH3359">
        <v>7.9502730684938303</v>
      </c>
      <c r="AI3359">
        <v>97.155398173117902</v>
      </c>
      <c r="AJ3359">
        <v>64.708580593948398</v>
      </c>
      <c r="AK3359">
        <v>8.8621431392151901</v>
      </c>
      <c r="AL3359">
        <v>92.274471416018599</v>
      </c>
      <c r="AM3359">
        <v>79.989733227211701</v>
      </c>
      <c r="AN3359">
        <v>1.0000000084788701</v>
      </c>
    </row>
    <row r="3360" spans="1:40" x14ac:dyDescent="0.3">
      <c r="A3360" t="str">
        <f>"20200111160521671"</f>
        <v>20200111160521671</v>
      </c>
      <c r="B3360" t="str">
        <f>"1578729921664717"</f>
        <v>1578729921664717</v>
      </c>
      <c r="C3360" t="s">
        <v>40</v>
      </c>
      <c r="D3360">
        <v>5.7931619999999997</v>
      </c>
      <c r="E3360">
        <v>0.60667349999999998</v>
      </c>
      <c r="F3360" t="s">
        <v>56</v>
      </c>
      <c r="G3360">
        <v>-193.84549999999999</v>
      </c>
      <c r="H3360" s="1">
        <v>3.607372E-6</v>
      </c>
      <c r="I3360">
        <v>210.8999</v>
      </c>
      <c r="J3360">
        <v>-199.0479</v>
      </c>
      <c r="K3360">
        <v>1.102484</v>
      </c>
      <c r="L3360">
        <v>214.9879</v>
      </c>
      <c r="M3360">
        <v>0.97332779999999997</v>
      </c>
      <c r="N3360">
        <v>0</v>
      </c>
      <c r="O3360">
        <v>-0.22892380000000001</v>
      </c>
      <c r="P3360">
        <v>0.89679489999999995</v>
      </c>
      <c r="Q3360">
        <v>-3.4847469999999998E-2</v>
      </c>
      <c r="R3360">
        <v>-0.44107249999999998</v>
      </c>
      <c r="S3360">
        <v>2.6506349999999999</v>
      </c>
      <c r="T3360">
        <v>-0.38242549999999997</v>
      </c>
      <c r="U3360">
        <v>-1.602722</v>
      </c>
      <c r="V3360">
        <v>0.22359409999999999</v>
      </c>
      <c r="W3360">
        <v>-2.4590939999999999E-2</v>
      </c>
      <c r="X3360">
        <v>0.97437209999999996</v>
      </c>
      <c r="Y3360">
        <v>0.30716139999999997</v>
      </c>
      <c r="Z3360">
        <v>9.3157009999999991E-3</v>
      </c>
      <c r="AA3360">
        <v>0.95161180000000001</v>
      </c>
      <c r="AB3360">
        <v>22</v>
      </c>
      <c r="AC3360">
        <v>5.2024000000000097</v>
      </c>
      <c r="AD3360">
        <v>-1.102480392628</v>
      </c>
      <c r="AE3360">
        <v>-4.0879999999999903</v>
      </c>
      <c r="AF3360">
        <v>2.7130005790506599</v>
      </c>
      <c r="AG3360">
        <v>-1.102480392628</v>
      </c>
      <c r="AH3360">
        <v>5.8380674616112698</v>
      </c>
      <c r="AI3360">
        <v>99.717915201229204</v>
      </c>
      <c r="AJ3360">
        <v>65.075298180720495</v>
      </c>
      <c r="AK3360">
        <v>6.5313755706116501</v>
      </c>
      <c r="AL3360">
        <v>91.409099099952797</v>
      </c>
      <c r="AM3360">
        <v>77.075804262872197</v>
      </c>
      <c r="AN3360">
        <v>1.0000000125716499</v>
      </c>
    </row>
    <row r="3361" spans="1:40" x14ac:dyDescent="0.3">
      <c r="A3361" t="str">
        <f>"20200111160521693"</f>
        <v>20200111160521693</v>
      </c>
      <c r="B3361" t="str">
        <f>"1578729921685210"</f>
        <v>1578729921685210</v>
      </c>
      <c r="C3361" t="s">
        <v>40</v>
      </c>
      <c r="D3361">
        <v>5.4058359999999999</v>
      </c>
      <c r="E3361">
        <v>0.62641420000000003</v>
      </c>
      <c r="F3361" t="s">
        <v>56</v>
      </c>
      <c r="G3361">
        <v>-190.2296</v>
      </c>
      <c r="H3361" s="1">
        <v>5.2504830000000001E-6</v>
      </c>
      <c r="I3361">
        <v>207.0659</v>
      </c>
      <c r="J3361">
        <v>-198.83150000000001</v>
      </c>
      <c r="K3361">
        <v>1.1024659999999999</v>
      </c>
      <c r="L3361">
        <v>214.9211</v>
      </c>
      <c r="M3361">
        <v>0.97017109999999995</v>
      </c>
      <c r="N3361">
        <v>0</v>
      </c>
      <c r="O3361">
        <v>-0.2419509</v>
      </c>
      <c r="P3361">
        <v>0.8903527</v>
      </c>
      <c r="Q3361">
        <v>-2.9364540000000001E-2</v>
      </c>
      <c r="R3361">
        <v>-0.45432359999999999</v>
      </c>
      <c r="S3361">
        <v>2.3123320000000001</v>
      </c>
      <c r="T3361">
        <v>-0.28909210000000002</v>
      </c>
      <c r="U3361">
        <v>-2.0773009999999998</v>
      </c>
      <c r="V3361">
        <v>0.2250405</v>
      </c>
      <c r="W3361">
        <v>-1.9126279999999999E-2</v>
      </c>
      <c r="X3361">
        <v>0.97416170000000002</v>
      </c>
      <c r="Y3361">
        <v>0.46747919999999998</v>
      </c>
      <c r="Z3361">
        <v>1.134146E-4</v>
      </c>
      <c r="AA3361">
        <v>0.88400409999999996</v>
      </c>
      <c r="AB3361">
        <v>22</v>
      </c>
      <c r="AC3361">
        <v>8.6019000000000005</v>
      </c>
      <c r="AD3361">
        <v>-1.102460749517</v>
      </c>
      <c r="AE3361">
        <v>-7.8551999999999902</v>
      </c>
      <c r="AF3361">
        <v>5.4910985660094003</v>
      </c>
      <c r="AG3361">
        <v>-1.102460749517</v>
      </c>
      <c r="AH3361">
        <v>10.1560878863655</v>
      </c>
      <c r="AI3361">
        <v>95.454547182343205</v>
      </c>
      <c r="AJ3361">
        <v>61.601212123727798</v>
      </c>
      <c r="AK3361">
        <v>11.5980043249447</v>
      </c>
      <c r="AL3361">
        <v>91.095921913765196</v>
      </c>
      <c r="AM3361">
        <v>76.992319525667099</v>
      </c>
      <c r="AN3361">
        <v>1.00000002948688</v>
      </c>
    </row>
    <row r="3362" spans="1:40" x14ac:dyDescent="0.3">
      <c r="A3362" t="str">
        <f>"20200111160521738"</f>
        <v>20200111160521738</v>
      </c>
      <c r="B3362" t="str">
        <f>"1578729921734987"</f>
        <v>1578729921734987</v>
      </c>
      <c r="C3362" t="s">
        <v>40</v>
      </c>
      <c r="D3362">
        <v>5.261825</v>
      </c>
      <c r="E3362">
        <v>0.6253995</v>
      </c>
      <c r="F3362" t="s">
        <v>56</v>
      </c>
      <c r="G3362">
        <v>-190.55930000000001</v>
      </c>
      <c r="H3362" s="1">
        <v>5.3797509999999999E-6</v>
      </c>
      <c r="I3362">
        <v>206.49340000000001</v>
      </c>
      <c r="J3362">
        <v>-198.40090000000001</v>
      </c>
      <c r="K3362">
        <v>1.1024320000000001</v>
      </c>
      <c r="L3362">
        <v>214.7783</v>
      </c>
      <c r="M3362">
        <v>0.96322549999999996</v>
      </c>
      <c r="N3362">
        <v>0</v>
      </c>
      <c r="O3362">
        <v>-0.26826670000000002</v>
      </c>
      <c r="P3362">
        <v>0.87833939999999999</v>
      </c>
      <c r="Q3362">
        <v>-2.051124E-2</v>
      </c>
      <c r="R3362">
        <v>-0.47759740000000001</v>
      </c>
      <c r="S3362">
        <v>2.2105709999999998</v>
      </c>
      <c r="T3362">
        <v>-0.2946087</v>
      </c>
      <c r="U3362">
        <v>-2.2521209999999998</v>
      </c>
      <c r="V3362">
        <v>0.22427150000000001</v>
      </c>
      <c r="W3362">
        <v>-1.021588E-2</v>
      </c>
      <c r="X3362">
        <v>0.97447320000000004</v>
      </c>
      <c r="Y3362">
        <v>0.49858950000000002</v>
      </c>
      <c r="Z3362">
        <v>1.0260060000000001E-3</v>
      </c>
      <c r="AA3362">
        <v>0.86683759999999999</v>
      </c>
      <c r="AB3362">
        <v>22</v>
      </c>
      <c r="AC3362">
        <v>7.8415999999999997</v>
      </c>
      <c r="AD3362">
        <v>-1.1024266202490001</v>
      </c>
      <c r="AE3362">
        <v>-8.2848999999999897</v>
      </c>
      <c r="AF3362">
        <v>5.8228791172563898</v>
      </c>
      <c r="AG3362">
        <v>-1.1024266202490001</v>
      </c>
      <c r="AH3362">
        <v>9.6864483294984698</v>
      </c>
      <c r="AI3362">
        <v>95.571199036984396</v>
      </c>
      <c r="AJ3362">
        <v>58.988381190107603</v>
      </c>
      <c r="AK3362">
        <v>11.3555513695838</v>
      </c>
      <c r="AL3362">
        <v>90.585336964094395</v>
      </c>
      <c r="AM3362">
        <v>77.039269013192296</v>
      </c>
      <c r="AN3362">
        <v>1.00000004371733</v>
      </c>
    </row>
    <row r="3363" spans="1:40" x14ac:dyDescent="0.3">
      <c r="A3363" t="str">
        <f>"20200111160521760"</f>
        <v>20200111160521760</v>
      </c>
      <c r="B3363" t="str">
        <f>"1578729921754506"</f>
        <v>1578729921754506</v>
      </c>
      <c r="C3363" t="s">
        <v>40</v>
      </c>
      <c r="D3363">
        <v>8.2389749999999999</v>
      </c>
      <c r="E3363">
        <v>0.62491640000000004</v>
      </c>
      <c r="F3363" t="s">
        <v>41</v>
      </c>
      <c r="G3363">
        <v>-176.7226</v>
      </c>
      <c r="H3363">
        <v>7.9986070000000006E-2</v>
      </c>
      <c r="I3363">
        <v>191.55860000000001</v>
      </c>
      <c r="J3363">
        <v>-198.19</v>
      </c>
      <c r="K3363">
        <v>1.1024039999999999</v>
      </c>
      <c r="L3363">
        <v>214.70339999999999</v>
      </c>
      <c r="M3363">
        <v>0.95949960000000001</v>
      </c>
      <c r="N3363">
        <v>0</v>
      </c>
      <c r="O3363">
        <v>-0.28130050000000001</v>
      </c>
      <c r="P3363">
        <v>0.87210949999999998</v>
      </c>
      <c r="Q3363">
        <v>-2.013612E-2</v>
      </c>
      <c r="R3363">
        <v>-0.48889670000000002</v>
      </c>
      <c r="S3363">
        <v>2.156952</v>
      </c>
      <c r="T3363">
        <v>-0.10173169999999999</v>
      </c>
      <c r="U3363">
        <v>-2.3103180000000001</v>
      </c>
      <c r="V3363">
        <v>0.22364590000000001</v>
      </c>
      <c r="W3363">
        <v>-9.8067750000000002E-3</v>
      </c>
      <c r="X3363">
        <v>0.97462110000000002</v>
      </c>
      <c r="Y3363">
        <v>0.50932569999999999</v>
      </c>
      <c r="Z3363">
        <v>5.9990309999999997E-4</v>
      </c>
      <c r="AA3363">
        <v>0.86057359999999905</v>
      </c>
      <c r="AB3363">
        <v>22</v>
      </c>
      <c r="AC3363">
        <v>21.467400000000001</v>
      </c>
      <c r="AD3363">
        <v>-1.02241793</v>
      </c>
      <c r="AE3363">
        <v>-23.144799999999901</v>
      </c>
      <c r="AF3363">
        <v>16.1535554074621</v>
      </c>
      <c r="AG3363">
        <v>-1.02241793</v>
      </c>
      <c r="AH3363">
        <v>27.083321171243899</v>
      </c>
      <c r="AI3363">
        <v>91.856987148311504</v>
      </c>
      <c r="AJ3363">
        <v>59.186491437117901</v>
      </c>
      <c r="AK3363">
        <v>31.5513704360093</v>
      </c>
      <c r="AL3363">
        <v>90.561895838950207</v>
      </c>
      <c r="AM3363">
        <v>77.076102446160803</v>
      </c>
      <c r="AN3363">
        <v>0.99999997499395998</v>
      </c>
    </row>
    <row r="3364" spans="1:40" x14ac:dyDescent="0.3">
      <c r="A3364" t="str">
        <f>"20200111160521782"</f>
        <v>20200111160521782</v>
      </c>
      <c r="B3364" t="str">
        <f>"1578729921775002"</f>
        <v>1578729921775002</v>
      </c>
      <c r="C3364" t="s">
        <v>40</v>
      </c>
      <c r="D3364">
        <v>5.4008789999999998</v>
      </c>
      <c r="E3364">
        <v>0.62172499999999997</v>
      </c>
      <c r="F3364" t="s">
        <v>41</v>
      </c>
      <c r="G3364">
        <v>-178.09569999999999</v>
      </c>
      <c r="H3364">
        <v>7.9986329999999994E-2</v>
      </c>
      <c r="I3364">
        <v>192.66929999999999</v>
      </c>
      <c r="J3364">
        <v>-197.98</v>
      </c>
      <c r="K3364">
        <v>1.10236</v>
      </c>
      <c r="L3364">
        <v>214.62549999999999</v>
      </c>
      <c r="M3364">
        <v>0.95557619999999999</v>
      </c>
      <c r="N3364">
        <v>0</v>
      </c>
      <c r="O3364">
        <v>-0.29435129999999998</v>
      </c>
      <c r="P3364">
        <v>0.86575139999999995</v>
      </c>
      <c r="Q3364">
        <v>-2.3965730000000001E-2</v>
      </c>
      <c r="R3364">
        <v>-0.49990040000000002</v>
      </c>
      <c r="S3364">
        <v>2.1288299999999998</v>
      </c>
      <c r="T3364">
        <v>-0.10831730000000001</v>
      </c>
      <c r="U3364">
        <v>-2.3343349999999998</v>
      </c>
      <c r="V3364">
        <v>0.2226561</v>
      </c>
      <c r="W3364">
        <v>-1.359658E-2</v>
      </c>
      <c r="X3364">
        <v>0.97480230000000001</v>
      </c>
      <c r="Y3364">
        <v>0.50765260000000001</v>
      </c>
      <c r="Z3364">
        <v>1.1573969999999999E-3</v>
      </c>
      <c r="AA3364">
        <v>0.86156109999999897</v>
      </c>
      <c r="AB3364">
        <v>22</v>
      </c>
      <c r="AC3364">
        <v>19.8843</v>
      </c>
      <c r="AD3364">
        <v>-1.0223736699999999</v>
      </c>
      <c r="AE3364">
        <v>-21.9561999999999</v>
      </c>
      <c r="AF3364">
        <v>15.111602252098701</v>
      </c>
      <c r="AG3364">
        <v>-1.0223736699999999</v>
      </c>
      <c r="AH3364">
        <v>25.436446605185001</v>
      </c>
      <c r="AI3364">
        <v>91.979077779308199</v>
      </c>
      <c r="AJ3364">
        <v>59.285770605236301</v>
      </c>
      <c r="AK3364">
        <v>29.604367692034401</v>
      </c>
      <c r="AL3364">
        <v>90.779050603909198</v>
      </c>
      <c r="AM3364">
        <v>77.133704529090394</v>
      </c>
      <c r="AN3364">
        <v>1.00000006497009</v>
      </c>
    </row>
    <row r="3365" spans="1:40" x14ac:dyDescent="0.3">
      <c r="A3365" t="str">
        <f>"20200111160521805"</f>
        <v>20200111160521805</v>
      </c>
      <c r="B3365" t="str">
        <f>"1578729921794522"</f>
        <v>1578729921794522</v>
      </c>
      <c r="C3365" t="s">
        <v>40</v>
      </c>
      <c r="D3365">
        <v>5.3995889999999997</v>
      </c>
      <c r="E3365">
        <v>0.62006949999999905</v>
      </c>
      <c r="F3365" t="s">
        <v>56</v>
      </c>
      <c r="G3365">
        <v>-185.1806</v>
      </c>
      <c r="H3365" s="1">
        <v>6.4472620000000003E-6</v>
      </c>
      <c r="I3365">
        <v>200.4691</v>
      </c>
      <c r="J3365">
        <v>-197.77610000000001</v>
      </c>
      <c r="K3365">
        <v>1.102317</v>
      </c>
      <c r="L3365">
        <v>214.54660000000001</v>
      </c>
      <c r="M3365">
        <v>0.95155500000000004</v>
      </c>
      <c r="N3365">
        <v>0</v>
      </c>
      <c r="O3365">
        <v>-0.3071007</v>
      </c>
      <c r="P3365">
        <v>0.85931939999999996</v>
      </c>
      <c r="Q3365">
        <v>-3.0947470000000001E-2</v>
      </c>
      <c r="R3365">
        <v>-0.5105016</v>
      </c>
      <c r="S3365">
        <v>2.1116030000000001</v>
      </c>
      <c r="T3365">
        <v>-0.1818621</v>
      </c>
      <c r="U3365">
        <v>-2.335464</v>
      </c>
      <c r="V3365">
        <v>0.2215318</v>
      </c>
      <c r="W3365">
        <v>-2.0539729999999999E-2</v>
      </c>
      <c r="X3365">
        <v>0.97493680000000005</v>
      </c>
      <c r="Y3365">
        <v>0.49961460000000002</v>
      </c>
      <c r="Z3365">
        <v>3.0222109999999999E-3</v>
      </c>
      <c r="AA3365">
        <v>0.86624249999999903</v>
      </c>
      <c r="AB3365">
        <v>22</v>
      </c>
      <c r="AC3365">
        <v>12.595499999999999</v>
      </c>
      <c r="AD3365">
        <v>-1.1023105527379999</v>
      </c>
      <c r="AE3365">
        <v>-14.077500000000001</v>
      </c>
      <c r="AF3365">
        <v>9.4961977585034898</v>
      </c>
      <c r="AG3365">
        <v>-1.1023105527379999</v>
      </c>
      <c r="AH3365">
        <v>16.255061815565</v>
      </c>
      <c r="AI3365">
        <v>93.351052259791601</v>
      </c>
      <c r="AJ3365">
        <v>59.706552101729102</v>
      </c>
      <c r="AK3365">
        <v>18.857886812978901</v>
      </c>
      <c r="AL3365">
        <v>91.176922614739098</v>
      </c>
      <c r="AM3365">
        <v>77.198234435408494</v>
      </c>
      <c r="AN3365">
        <v>0.99999999145697605</v>
      </c>
    </row>
    <row r="3366" spans="1:40" x14ac:dyDescent="0.3">
      <c r="A3366" t="str">
        <f>"20200111160521826"</f>
        <v>20200111160521826</v>
      </c>
      <c r="B3366" t="str">
        <f>"1578729921815018"</f>
        <v>1578729921815018</v>
      </c>
      <c r="C3366" t="s">
        <v>40</v>
      </c>
      <c r="D3366">
        <v>5.4147499999999997</v>
      </c>
      <c r="E3366">
        <v>0.6172763</v>
      </c>
      <c r="F3366" t="s">
        <v>56</v>
      </c>
      <c r="G3366">
        <v>-187.61189999999999</v>
      </c>
      <c r="H3366" s="1">
        <v>6.186295E-6</v>
      </c>
      <c r="I3366">
        <v>203.11770000000001</v>
      </c>
      <c r="J3366">
        <v>-197.56790000000001</v>
      </c>
      <c r="K3366">
        <v>1.1022700000000001</v>
      </c>
      <c r="L3366">
        <v>214.46250000000001</v>
      </c>
      <c r="M3366">
        <v>0.94722709999999999</v>
      </c>
      <c r="N3366">
        <v>0</v>
      </c>
      <c r="O3366">
        <v>-0.32020120000000002</v>
      </c>
      <c r="P3366">
        <v>0.852711199999999</v>
      </c>
      <c r="Q3366">
        <v>-3.920862E-2</v>
      </c>
      <c r="R3366">
        <v>-0.52090950000000003</v>
      </c>
      <c r="S3366">
        <v>2.0881349999999999</v>
      </c>
      <c r="T3366">
        <v>-0.2264592</v>
      </c>
      <c r="U3366">
        <v>-2.3479459999999999</v>
      </c>
      <c r="V3366">
        <v>0.21987429999999999</v>
      </c>
      <c r="W3366">
        <v>-2.8752779999999999E-2</v>
      </c>
      <c r="X3366">
        <v>0.97510439999999998</v>
      </c>
      <c r="Y3366">
        <v>0.4946314</v>
      </c>
      <c r="Z3366">
        <v>5.0053240000000002E-3</v>
      </c>
      <c r="AA3366">
        <v>0.86908850000000004</v>
      </c>
      <c r="AB3366">
        <v>22</v>
      </c>
      <c r="AC3366">
        <v>9.9560000000000102</v>
      </c>
      <c r="AD3366">
        <v>-1.102263813705</v>
      </c>
      <c r="AE3366">
        <v>-11.3447999999999</v>
      </c>
      <c r="AF3366">
        <v>7.5189576270160403</v>
      </c>
      <c r="AG3366">
        <v>-1.102263813705</v>
      </c>
      <c r="AH3366">
        <v>12.995423396680099</v>
      </c>
      <c r="AI3366">
        <v>94.198919885618807</v>
      </c>
      <c r="AJ3366">
        <v>59.946967800516397</v>
      </c>
      <c r="AK3366">
        <v>15.054259814778201</v>
      </c>
      <c r="AL3366">
        <v>91.647640002589497</v>
      </c>
      <c r="AM3366">
        <v>77.293008526181893</v>
      </c>
      <c r="AN3366">
        <v>1.0000000105287801</v>
      </c>
    </row>
    <row r="3367" spans="1:40" x14ac:dyDescent="0.3">
      <c r="A3367" t="str">
        <f>"20200111160521851"</f>
        <v>20200111160521851</v>
      </c>
      <c r="B3367" t="str">
        <f>"1578729921845274"</f>
        <v>1578729921845274</v>
      </c>
      <c r="C3367" t="s">
        <v>40</v>
      </c>
      <c r="D3367">
        <v>5.3638680000000001</v>
      </c>
      <c r="E3367">
        <v>0.61392630000000004</v>
      </c>
      <c r="F3367" t="s">
        <v>56</v>
      </c>
      <c r="G3367">
        <v>-189.5163</v>
      </c>
      <c r="H3367" s="1">
        <v>5.8517609999999996E-6</v>
      </c>
      <c r="I3367">
        <v>205.31399999999999</v>
      </c>
      <c r="J3367">
        <v>-197.35310000000001</v>
      </c>
      <c r="K3367">
        <v>1.1022339999999999</v>
      </c>
      <c r="L3367">
        <v>214.37209999999999</v>
      </c>
      <c r="M3367">
        <v>0.9425249</v>
      </c>
      <c r="N3367">
        <v>0</v>
      </c>
      <c r="O3367">
        <v>-0.33378770000000002</v>
      </c>
      <c r="P3367">
        <v>0.84563659999999996</v>
      </c>
      <c r="Q3367">
        <v>-4.5887890000000001E-2</v>
      </c>
      <c r="R3367">
        <v>-0.53178300000000001</v>
      </c>
      <c r="S3367">
        <v>2.0690309999999998</v>
      </c>
      <c r="T3367">
        <v>-0.28324890000000003</v>
      </c>
      <c r="U3367">
        <v>-2.3508909999999998</v>
      </c>
      <c r="V3367">
        <v>0.21831619999999999</v>
      </c>
      <c r="W3367">
        <v>-3.5385069999999998E-2</v>
      </c>
      <c r="X3367">
        <v>0.9752364</v>
      </c>
      <c r="Y3367">
        <v>0.48644730000000003</v>
      </c>
      <c r="Z3367">
        <v>8.0422740000000003E-3</v>
      </c>
      <c r="AA3367">
        <v>0.87367289999999997</v>
      </c>
      <c r="AB3367">
        <v>22</v>
      </c>
      <c r="AC3367">
        <v>7.83680000000001</v>
      </c>
      <c r="AD3367">
        <v>-1.1022281482389999</v>
      </c>
      <c r="AE3367">
        <v>-9.0580999999999605</v>
      </c>
      <c r="AF3367">
        <v>5.8726148208077404</v>
      </c>
      <c r="AG3367">
        <v>-1.1022281482389999</v>
      </c>
      <c r="AH3367">
        <v>10.323648149668401</v>
      </c>
      <c r="AI3367">
        <v>95.302026172481902</v>
      </c>
      <c r="AJ3367">
        <v>60.366584846084002</v>
      </c>
      <c r="AK3367">
        <v>11.9281273820534</v>
      </c>
      <c r="AL3367">
        <v>92.027838392457497</v>
      </c>
      <c r="AM3367">
        <v>77.381813842641293</v>
      </c>
      <c r="AN3367">
        <v>1.0000000511231499</v>
      </c>
    </row>
    <row r="3368" spans="1:40" x14ac:dyDescent="0.3">
      <c r="A3368" t="str">
        <f>"20200111160521872"</f>
        <v>20200111160521872</v>
      </c>
      <c r="B3368" t="str">
        <f>"1578729921864794"</f>
        <v>1578729921864794</v>
      </c>
      <c r="C3368" t="s">
        <v>40</v>
      </c>
      <c r="D3368">
        <v>5.2611819999999998</v>
      </c>
      <c r="E3368">
        <v>0.61338879999999996</v>
      </c>
      <c r="F3368" t="s">
        <v>56</v>
      </c>
      <c r="G3368">
        <v>-190.37780000000001</v>
      </c>
      <c r="H3368" s="1">
        <v>5.4628429999999997E-6</v>
      </c>
      <c r="I3368">
        <v>206.3723</v>
      </c>
      <c r="J3368">
        <v>-197.15039999999999</v>
      </c>
      <c r="K3368">
        <v>1.1022110000000001</v>
      </c>
      <c r="L3368">
        <v>214.2833</v>
      </c>
      <c r="M3368">
        <v>0.93785960000000002</v>
      </c>
      <c r="N3368">
        <v>0</v>
      </c>
      <c r="O3368">
        <v>-0.3466785</v>
      </c>
      <c r="P3368">
        <v>0.83874230000000005</v>
      </c>
      <c r="Q3368">
        <v>-5.029409E-2</v>
      </c>
      <c r="R3368">
        <v>-0.5422013</v>
      </c>
      <c r="S3368">
        <v>2.0509029999999999</v>
      </c>
      <c r="T3368">
        <v>-0.32407920000000001</v>
      </c>
      <c r="U3368">
        <v>-2.352112</v>
      </c>
      <c r="V3368">
        <v>0.21700759999999999</v>
      </c>
      <c r="W3368">
        <v>-3.9750550000000003E-2</v>
      </c>
      <c r="X3368">
        <v>0.97536020000000001</v>
      </c>
      <c r="Y3368">
        <v>0.47839100000000001</v>
      </c>
      <c r="Z3368">
        <v>1.116438E-2</v>
      </c>
      <c r="AA3368">
        <v>0.87807599999999997</v>
      </c>
      <c r="AB3368">
        <v>22</v>
      </c>
      <c r="AC3368">
        <v>6.7725999999999802</v>
      </c>
      <c r="AD3368">
        <v>-1.1022055371570001</v>
      </c>
      <c r="AE3368">
        <v>-7.9109999999999996</v>
      </c>
      <c r="AF3368">
        <v>5.0158973672525704</v>
      </c>
      <c r="AG3368">
        <v>-1.1022055371570001</v>
      </c>
      <c r="AH3368">
        <v>8.9946270438473501</v>
      </c>
      <c r="AI3368">
        <v>96.108776256771307</v>
      </c>
      <c r="AJ3368">
        <v>60.853565335340903</v>
      </c>
      <c r="AK3368">
        <v>10.3574803452799</v>
      </c>
      <c r="AL3368">
        <v>92.2781390535268</v>
      </c>
      <c r="AM3368">
        <v>77.456588867671698</v>
      </c>
      <c r="AN3368">
        <v>0.99999996221355003</v>
      </c>
    </row>
    <row r="3369" spans="1:40" x14ac:dyDescent="0.3">
      <c r="A3369" t="str">
        <f>"20200111160521905"</f>
        <v>20200111160521905</v>
      </c>
      <c r="B3369" t="str">
        <f>"1578729921895050"</f>
        <v>1578729921895050</v>
      </c>
      <c r="C3369" t="s">
        <v>40</v>
      </c>
      <c r="D3369">
        <v>5.2403449999999996</v>
      </c>
      <c r="E3369">
        <v>0.61245109999999903</v>
      </c>
      <c r="F3369" t="s">
        <v>56</v>
      </c>
      <c r="G3369">
        <v>-190.41849999999999</v>
      </c>
      <c r="H3369" s="1">
        <v>5.4497380000000003E-6</v>
      </c>
      <c r="I3369">
        <v>206.38380000000001</v>
      </c>
      <c r="J3369">
        <v>-196.85140000000001</v>
      </c>
      <c r="K3369">
        <v>1.1022179999999999</v>
      </c>
      <c r="L3369">
        <v>214.14660000000001</v>
      </c>
      <c r="M3369">
        <v>0.93056629999999996</v>
      </c>
      <c r="N3369">
        <v>0</v>
      </c>
      <c r="O3369">
        <v>-0.36580420000000002</v>
      </c>
      <c r="P3369">
        <v>0.82686979999999999</v>
      </c>
      <c r="Q3369">
        <v>-4.2581430000000003E-2</v>
      </c>
      <c r="R3369">
        <v>-0.56077919999999903</v>
      </c>
      <c r="S3369">
        <v>2.0226440000000001</v>
      </c>
      <c r="T3369">
        <v>-0.33116630000000002</v>
      </c>
      <c r="U3369">
        <v>-2.3734739999999999</v>
      </c>
      <c r="V3369">
        <v>0.21879709999999999</v>
      </c>
      <c r="W3369">
        <v>-3.2056769999999998E-2</v>
      </c>
      <c r="X3369">
        <v>0.97524359999999999</v>
      </c>
      <c r="Y3369">
        <v>0.47044799999999998</v>
      </c>
      <c r="Z3369">
        <v>1.4109460000000001E-2</v>
      </c>
      <c r="AA3369">
        <v>0.88231489999999901</v>
      </c>
      <c r="AB3369">
        <v>22</v>
      </c>
      <c r="AC3369">
        <v>6.4329000000000098</v>
      </c>
      <c r="AD3369">
        <v>-1.1022125502619999</v>
      </c>
      <c r="AE3369">
        <v>-7.7627999999999897</v>
      </c>
      <c r="AF3369">
        <v>4.8136530362291596</v>
      </c>
      <c r="AG3369">
        <v>-1.1022125502619999</v>
      </c>
      <c r="AH3369">
        <v>8.7226798242489298</v>
      </c>
      <c r="AI3369">
        <v>96.313150913421495</v>
      </c>
      <c r="AJ3369">
        <v>61.107677673312701</v>
      </c>
      <c r="AK3369">
        <v>10.0235358719123</v>
      </c>
      <c r="AL3369">
        <v>91.837032455063806</v>
      </c>
      <c r="AM3369">
        <v>77.355002125862995</v>
      </c>
      <c r="AN3369">
        <v>0.99999994340609899</v>
      </c>
    </row>
    <row r="3370" spans="1:40" x14ac:dyDescent="0.3">
      <c r="A3370" t="str">
        <f>"20200111160521928"</f>
        <v>20200111160521928</v>
      </c>
      <c r="B3370" t="str">
        <f>"1578729921925306"</f>
        <v>1578729921925306</v>
      </c>
      <c r="C3370" t="s">
        <v>40</v>
      </c>
      <c r="D3370">
        <v>5.2363960000000001</v>
      </c>
      <c r="E3370">
        <v>0.61110249999999999</v>
      </c>
      <c r="F3370" t="s">
        <v>56</v>
      </c>
      <c r="G3370">
        <v>-189.67590000000001</v>
      </c>
      <c r="H3370" s="1">
        <v>5.8528969999999996E-6</v>
      </c>
      <c r="I3370">
        <v>205.39089999999999</v>
      </c>
      <c r="J3370">
        <v>-196.65379999999999</v>
      </c>
      <c r="K3370">
        <v>1.1022050000000001</v>
      </c>
      <c r="L3370">
        <v>214.05170000000001</v>
      </c>
      <c r="M3370">
        <v>0.92545189999999999</v>
      </c>
      <c r="N3370">
        <v>0</v>
      </c>
      <c r="O3370">
        <v>-0.378556</v>
      </c>
      <c r="P3370">
        <v>0.81742139999999996</v>
      </c>
      <c r="Q3370">
        <v>-3.8442619999999997E-2</v>
      </c>
      <c r="R3370">
        <v>-0.57475609999999999</v>
      </c>
      <c r="S3370">
        <v>1.976685</v>
      </c>
      <c r="T3370">
        <v>-0.30363580000000001</v>
      </c>
      <c r="U3370">
        <v>-2.4120029999999999</v>
      </c>
      <c r="V3370">
        <v>0.22197910000000001</v>
      </c>
      <c r="W3370">
        <v>-2.798165E-2</v>
      </c>
      <c r="X3370">
        <v>0.97464980000000001</v>
      </c>
      <c r="Y3370">
        <v>0.47541060000000002</v>
      </c>
      <c r="Z3370">
        <v>1.4035499999999999E-2</v>
      </c>
      <c r="AA3370">
        <v>0.87965210000000005</v>
      </c>
      <c r="AB3370">
        <v>22</v>
      </c>
      <c r="AC3370">
        <v>6.9778999999999698</v>
      </c>
      <c r="AD3370">
        <v>-1.1021991471029999</v>
      </c>
      <c r="AE3370">
        <v>-8.6608000000000196</v>
      </c>
      <c r="AF3370">
        <v>5.3219906864764601</v>
      </c>
      <c r="AG3370">
        <v>-1.1021991471029999</v>
      </c>
      <c r="AH3370">
        <v>9.6427487572333703</v>
      </c>
      <c r="AI3370">
        <v>95.714756153633303</v>
      </c>
      <c r="AJ3370">
        <v>61.1049760526505</v>
      </c>
      <c r="AK3370">
        <v>11.0689218726099</v>
      </c>
      <c r="AL3370">
        <v>91.603439796020794</v>
      </c>
      <c r="AM3370">
        <v>77.169588258553304</v>
      </c>
      <c r="AN3370">
        <v>0.99999996310678496</v>
      </c>
    </row>
    <row r="3371" spans="1:40" x14ac:dyDescent="0.3">
      <c r="A3371" t="str">
        <f>"20200111160521950"</f>
        <v>20200111160521950</v>
      </c>
      <c r="B3371" t="str">
        <f>"1578729921944826"</f>
        <v>1578729921944826</v>
      </c>
      <c r="C3371" t="s">
        <v>40</v>
      </c>
      <c r="D3371">
        <v>5.2899320000000003</v>
      </c>
      <c r="E3371">
        <v>0.61041999999999996</v>
      </c>
      <c r="F3371" t="s">
        <v>56</v>
      </c>
      <c r="G3371">
        <v>-189.45650000000001</v>
      </c>
      <c r="H3371" s="1">
        <v>5.9406609999999997E-6</v>
      </c>
      <c r="I3371">
        <v>205.0325</v>
      </c>
      <c r="J3371">
        <v>-196.44710000000001</v>
      </c>
      <c r="K3371">
        <v>1.102163</v>
      </c>
      <c r="L3371">
        <v>213.94880000000001</v>
      </c>
      <c r="M3371">
        <v>0.9198499</v>
      </c>
      <c r="N3371">
        <v>0</v>
      </c>
      <c r="O3371">
        <v>-0.39197140000000003</v>
      </c>
      <c r="P3371">
        <v>0.80668189999999995</v>
      </c>
      <c r="Q3371">
        <v>-4.0441459999999999E-2</v>
      </c>
      <c r="R3371">
        <v>-0.58960069999999998</v>
      </c>
      <c r="S3371">
        <v>1.943573</v>
      </c>
      <c r="T3371">
        <v>-0.29764079999999998</v>
      </c>
      <c r="U3371">
        <v>-2.435562</v>
      </c>
      <c r="V3371">
        <v>0.22561629999999999</v>
      </c>
      <c r="W3371">
        <v>-3.00605E-2</v>
      </c>
      <c r="X3371">
        <v>0.97375239999999996</v>
      </c>
      <c r="Y3371">
        <v>0.47413889999999997</v>
      </c>
      <c r="Z3371">
        <v>1.525106E-2</v>
      </c>
      <c r="AA3371">
        <v>0.88031800000000004</v>
      </c>
      <c r="AB3371">
        <v>22</v>
      </c>
      <c r="AC3371">
        <v>6.9905999999999997</v>
      </c>
      <c r="AD3371">
        <v>-1.102157059339</v>
      </c>
      <c r="AE3371">
        <v>-8.9162999999999997</v>
      </c>
      <c r="AF3371">
        <v>5.4109792001937604</v>
      </c>
      <c r="AG3371">
        <v>-1.102157059339</v>
      </c>
      <c r="AH3371">
        <v>9.8333490310048504</v>
      </c>
      <c r="AI3371">
        <v>95.608367373563595</v>
      </c>
      <c r="AJ3371">
        <v>61.177410039185297</v>
      </c>
      <c r="AK3371">
        <v>11.2777745700977</v>
      </c>
      <c r="AL3371">
        <v>91.722599206396396</v>
      </c>
      <c r="AM3371">
        <v>76.954879818294799</v>
      </c>
      <c r="AN3371">
        <v>1.00000004249584</v>
      </c>
    </row>
    <row r="3372" spans="1:40" x14ac:dyDescent="0.3">
      <c r="A3372" t="str">
        <f>"20200111160521973"</f>
        <v>20200111160521973</v>
      </c>
      <c r="B3372" t="str">
        <f>"1578729921964346"</f>
        <v>1578729921964346</v>
      </c>
      <c r="C3372" t="s">
        <v>40</v>
      </c>
      <c r="D3372">
        <v>5.2872760000000003</v>
      </c>
      <c r="E3372">
        <v>0.60944359999999997</v>
      </c>
      <c r="F3372" t="s">
        <v>56</v>
      </c>
      <c r="G3372">
        <v>-189.4906</v>
      </c>
      <c r="H3372" s="1">
        <v>5.9828940000000002E-6</v>
      </c>
      <c r="I3372">
        <v>204.93010000000001</v>
      </c>
      <c r="J3372">
        <v>-196.24709999999999</v>
      </c>
      <c r="K3372">
        <v>1.10212</v>
      </c>
      <c r="L3372">
        <v>213.84549999999999</v>
      </c>
      <c r="M3372">
        <v>0.91416850000000005</v>
      </c>
      <c r="N3372">
        <v>0</v>
      </c>
      <c r="O3372">
        <v>-0.40504430000000002</v>
      </c>
      <c r="P3372">
        <v>0.79591579999999995</v>
      </c>
      <c r="Q3372">
        <v>-4.3859839999999997E-2</v>
      </c>
      <c r="R3372">
        <v>-0.60381700000000005</v>
      </c>
      <c r="S3372">
        <v>1.901794</v>
      </c>
      <c r="T3372">
        <v>-0.30131029999999998</v>
      </c>
      <c r="U3372">
        <v>-2.4655300000000002</v>
      </c>
      <c r="V3372">
        <v>0.22900770000000001</v>
      </c>
      <c r="W3372">
        <v>-3.355752E-2</v>
      </c>
      <c r="X3372">
        <v>0.97284599999999999</v>
      </c>
      <c r="Y3372">
        <v>0.47613450000000002</v>
      </c>
      <c r="Z3372">
        <v>1.6742259999999998E-2</v>
      </c>
      <c r="AA3372">
        <v>0.87921309999999997</v>
      </c>
      <c r="AB3372">
        <v>22</v>
      </c>
      <c r="AC3372">
        <v>6.7564999999999804</v>
      </c>
      <c r="AD3372">
        <v>-1.102114017106</v>
      </c>
      <c r="AE3372">
        <v>-8.9153999999999698</v>
      </c>
      <c r="AF3372">
        <v>5.3620838137701297</v>
      </c>
      <c r="AG3372">
        <v>-1.102114017106</v>
      </c>
      <c r="AH3372">
        <v>9.6947570816588797</v>
      </c>
      <c r="AI3372">
        <v>95.681056857863496</v>
      </c>
      <c r="AJ3372">
        <v>61.053409313308102</v>
      </c>
      <c r="AK3372">
        <v>11.1335040757603</v>
      </c>
      <c r="AL3372">
        <v>91.923065337218404</v>
      </c>
      <c r="AM3372">
        <v>76.753745718492695</v>
      </c>
      <c r="AN3372">
        <v>0.99999998676192003</v>
      </c>
    </row>
    <row r="3373" spans="1:40" x14ac:dyDescent="0.3">
      <c r="A3373" t="str">
        <f>"20200111160521994"</f>
        <v>20200111160521994</v>
      </c>
      <c r="B3373" t="str">
        <f>"1578729921984842"</f>
        <v>1578729921984842</v>
      </c>
      <c r="C3373" t="s">
        <v>40</v>
      </c>
      <c r="D3373">
        <v>5.3563369999999999</v>
      </c>
      <c r="E3373">
        <v>0.6083807</v>
      </c>
      <c r="F3373" t="s">
        <v>56</v>
      </c>
      <c r="G3373">
        <v>-189.62899999999999</v>
      </c>
      <c r="H3373" s="1">
        <v>5.9882730000000002E-6</v>
      </c>
      <c r="I3373">
        <v>204.98439999999999</v>
      </c>
      <c r="J3373">
        <v>-196.06059999999999</v>
      </c>
      <c r="K3373">
        <v>1.102098</v>
      </c>
      <c r="L3373">
        <v>213.74590000000001</v>
      </c>
      <c r="M3373">
        <v>0.90863179999999999</v>
      </c>
      <c r="N3373">
        <v>0</v>
      </c>
      <c r="O3373">
        <v>-0.41731620000000003</v>
      </c>
      <c r="P3373">
        <v>0.78525529999999999</v>
      </c>
      <c r="Q3373">
        <v>-4.4345610000000001E-2</v>
      </c>
      <c r="R3373">
        <v>-0.61758230000000003</v>
      </c>
      <c r="S3373">
        <v>1.8614040000000001</v>
      </c>
      <c r="T3373">
        <v>-0.30997839999999999</v>
      </c>
      <c r="U3373">
        <v>-2.492264</v>
      </c>
      <c r="V3373">
        <v>0.2328422</v>
      </c>
      <c r="W3373">
        <v>-3.4133150000000001E-2</v>
      </c>
      <c r="X3373">
        <v>0.97191539999999998</v>
      </c>
      <c r="Y3373">
        <v>0.47796569999999999</v>
      </c>
      <c r="Z3373">
        <v>1.8496889999999998E-2</v>
      </c>
      <c r="AA3373">
        <v>0.87818369999999901</v>
      </c>
      <c r="AB3373">
        <v>22</v>
      </c>
      <c r="AC3373">
        <v>6.4315999999999702</v>
      </c>
      <c r="AD3373">
        <v>-1.1020920117270001</v>
      </c>
      <c r="AE3373">
        <v>-8.7615000000000105</v>
      </c>
      <c r="AF3373">
        <v>5.2238760362967103</v>
      </c>
      <c r="AG3373">
        <v>-1.1020920117270001</v>
      </c>
      <c r="AH3373">
        <v>9.4046916502344402</v>
      </c>
      <c r="AI3373">
        <v>95.849137132568401</v>
      </c>
      <c r="AJ3373">
        <v>60.949831099263299</v>
      </c>
      <c r="AK3373">
        <v>10.8144215139274</v>
      </c>
      <c r="AL3373">
        <v>91.956065283608197</v>
      </c>
      <c r="AM3373">
        <v>76.527540522454601</v>
      </c>
      <c r="AN3373">
        <v>1.0000000533934501</v>
      </c>
    </row>
    <row r="3374" spans="1:40" x14ac:dyDescent="0.3">
      <c r="A3374" t="str">
        <f>"20200111160522018"</f>
        <v>20200111160522018</v>
      </c>
      <c r="B3374" t="str">
        <f>"1578729922015098"</f>
        <v>1578729922015098</v>
      </c>
      <c r="C3374" t="s">
        <v>40</v>
      </c>
      <c r="D3374">
        <v>5.2672169999999996</v>
      </c>
      <c r="E3374">
        <v>0.64369670000000001</v>
      </c>
      <c r="F3374" t="s">
        <v>56</v>
      </c>
      <c r="G3374">
        <v>-189.5454</v>
      </c>
      <c r="H3374" s="1">
        <v>6.0504840000000003E-6</v>
      </c>
      <c r="I3374">
        <v>204.74770000000001</v>
      </c>
      <c r="J3374">
        <v>-195.86580000000001</v>
      </c>
      <c r="K3374">
        <v>1.1020909999999999</v>
      </c>
      <c r="L3374">
        <v>213.63820000000001</v>
      </c>
      <c r="M3374">
        <v>0.90258620000000001</v>
      </c>
      <c r="N3374">
        <v>0</v>
      </c>
      <c r="O3374">
        <v>-0.43023509999999998</v>
      </c>
      <c r="P3374">
        <v>0.77384759999999997</v>
      </c>
      <c r="Q3374">
        <v>-4.3291059999999999E-2</v>
      </c>
      <c r="R3374">
        <v>-0.63189079999999997</v>
      </c>
      <c r="S3374">
        <v>1.822937</v>
      </c>
      <c r="T3374">
        <v>-0.30836269999999999</v>
      </c>
      <c r="U3374">
        <v>-2.5176699999999999</v>
      </c>
      <c r="V3374">
        <v>0.2368055</v>
      </c>
      <c r="W3374">
        <v>-3.3172689999999998E-2</v>
      </c>
      <c r="X3374">
        <v>0.97099060000000004</v>
      </c>
      <c r="Y3374">
        <v>0.47848990000000002</v>
      </c>
      <c r="Z3374">
        <v>1.9816009999999998E-2</v>
      </c>
      <c r="AA3374">
        <v>0.87786939999999902</v>
      </c>
      <c r="AB3374">
        <v>22</v>
      </c>
      <c r="AC3374">
        <v>6.3204000000000002</v>
      </c>
      <c r="AD3374">
        <v>-1.1020849495159999</v>
      </c>
      <c r="AE3374">
        <v>-8.8904999999999994</v>
      </c>
      <c r="AF3374">
        <v>5.2521980225491998</v>
      </c>
      <c r="AG3374">
        <v>-1.1020849495159999</v>
      </c>
      <c r="AH3374">
        <v>9.4345309560042097</v>
      </c>
      <c r="AI3374">
        <v>95.827666504593495</v>
      </c>
      <c r="AJ3374">
        <v>60.895338318348401</v>
      </c>
      <c r="AK3374">
        <v>10.8540568297674</v>
      </c>
      <c r="AL3374">
        <v>91.901003877024905</v>
      </c>
      <c r="AM3374">
        <v>76.294235072855102</v>
      </c>
      <c r="AN3374">
        <v>1.0000000087402201</v>
      </c>
    </row>
    <row r="3375" spans="1:40" x14ac:dyDescent="0.3">
      <c r="A3375" t="str">
        <f>"20200111160522061"</f>
        <v>20200111160522061</v>
      </c>
      <c r="B3375" t="str">
        <f>"1578729922055113"</f>
        <v>1578729922055113</v>
      </c>
      <c r="C3375" t="s">
        <v>40</v>
      </c>
      <c r="D3375">
        <v>5.0505190000000004</v>
      </c>
      <c r="E3375">
        <v>0.67439189999999904</v>
      </c>
      <c r="F3375" t="s">
        <v>50</v>
      </c>
      <c r="G3375">
        <v>-141.56739999999999</v>
      </c>
      <c r="H3375">
        <v>2.4041429999999999</v>
      </c>
      <c r="I3375">
        <v>117.90089999999999</v>
      </c>
      <c r="J3375">
        <v>-195.4828</v>
      </c>
      <c r="K3375">
        <v>1.102098</v>
      </c>
      <c r="L3375">
        <v>213.41560000000001</v>
      </c>
      <c r="M3375">
        <v>0.88989370000000001</v>
      </c>
      <c r="N3375">
        <v>0</v>
      </c>
      <c r="O3375">
        <v>-0.45590819999999999</v>
      </c>
      <c r="P3375">
        <v>0.75222889999999998</v>
      </c>
      <c r="Q3375">
        <v>-3.7529809999999997E-2</v>
      </c>
      <c r="R3375">
        <v>-0.65783230000000004</v>
      </c>
      <c r="S3375">
        <v>1.5898589999999999</v>
      </c>
      <c r="T3375">
        <v>3.8124320000000003E-2</v>
      </c>
      <c r="U3375">
        <v>-2.8031920000000001</v>
      </c>
      <c r="V3375">
        <v>0.24197250000000001</v>
      </c>
      <c r="W3375">
        <v>-2.7532609999999999E-2</v>
      </c>
      <c r="X3375">
        <v>0.96989239999999999</v>
      </c>
      <c r="Y3375">
        <v>0.54920429999999998</v>
      </c>
      <c r="Z3375">
        <v>-2.2439700000000001E-3</v>
      </c>
      <c r="AA3375">
        <v>0.83568509999999996</v>
      </c>
      <c r="AB3375">
        <v>21</v>
      </c>
      <c r="AC3375">
        <v>53.915399999999998</v>
      </c>
      <c r="AD3375">
        <v>1.3020449999999999</v>
      </c>
      <c r="AE3375">
        <v>-95.514700000000005</v>
      </c>
      <c r="AF3375">
        <v>60.416100863525898</v>
      </c>
      <c r="AG3375">
        <v>1.3020449999999999</v>
      </c>
      <c r="AH3375">
        <v>91.522855636941699</v>
      </c>
      <c r="AI3375">
        <v>89.319766680652506</v>
      </c>
      <c r="AJ3375">
        <v>56.570385235952998</v>
      </c>
      <c r="AK3375">
        <v>109.67330426623499</v>
      </c>
      <c r="AL3375">
        <v>91.577701720530996</v>
      </c>
      <c r="AM3375">
        <v>75.9915929721938</v>
      </c>
      <c r="AN3375">
        <v>1.00000000147371</v>
      </c>
    </row>
    <row r="3376" spans="1:40" x14ac:dyDescent="0.3">
      <c r="A3376" t="str">
        <f>"20200111160522084"</f>
        <v>20200111160522084</v>
      </c>
      <c r="B3376" t="str">
        <f>"1578729922074634"</f>
        <v>1578729922074634</v>
      </c>
      <c r="C3376" t="s">
        <v>40</v>
      </c>
      <c r="D3376">
        <v>5.4680549999999997</v>
      </c>
      <c r="E3376">
        <v>0.67382010000000003</v>
      </c>
      <c r="F3376" t="s">
        <v>50</v>
      </c>
      <c r="G3376">
        <v>-153.64580000000001</v>
      </c>
      <c r="H3376">
        <v>3.620152</v>
      </c>
      <c r="I3376">
        <v>117.90130000000001</v>
      </c>
      <c r="J3376">
        <v>-195.2988</v>
      </c>
      <c r="K3376">
        <v>1.1021219999999901</v>
      </c>
      <c r="L3376">
        <v>213.3032</v>
      </c>
      <c r="M3376">
        <v>0.88339899999999905</v>
      </c>
      <c r="N3376">
        <v>0</v>
      </c>
      <c r="O3376">
        <v>-0.46836879999999997</v>
      </c>
      <c r="P3376">
        <v>0.74225129999999995</v>
      </c>
      <c r="Q3376">
        <v>-3.3701839999999997E-2</v>
      </c>
      <c r="R3376">
        <v>-0.66927389999999998</v>
      </c>
      <c r="S3376">
        <v>1.33226</v>
      </c>
      <c r="T3376">
        <v>8.0185290000000006E-2</v>
      </c>
      <c r="U3376">
        <v>-3.0415649999999999</v>
      </c>
      <c r="V3376">
        <v>0.2431845</v>
      </c>
      <c r="W3376">
        <v>-2.372821E-2</v>
      </c>
      <c r="X3376">
        <v>0.96968980000000005</v>
      </c>
      <c r="Y3376">
        <v>0.62128870000000003</v>
      </c>
      <c r="Z3376">
        <v>-3.879197E-3</v>
      </c>
      <c r="AA3376">
        <v>0.78357209999999999</v>
      </c>
      <c r="AB3376">
        <v>21</v>
      </c>
      <c r="AC3376">
        <v>41.652999999999899</v>
      </c>
      <c r="AD3376">
        <v>2.5180299999999902</v>
      </c>
      <c r="AE3376">
        <v>-95.401899999999998</v>
      </c>
      <c r="AF3376">
        <v>64.738770932519998</v>
      </c>
      <c r="AG3376">
        <v>2.5180299999999902</v>
      </c>
      <c r="AH3376">
        <v>81.441492136552398</v>
      </c>
      <c r="AI3376">
        <v>88.613536728424194</v>
      </c>
      <c r="AJ3376">
        <v>51.518411008314203</v>
      </c>
      <c r="AK3376">
        <v>104.068081458064</v>
      </c>
      <c r="AL3376">
        <v>91.359653870646298</v>
      </c>
      <c r="AM3376">
        <v>75.921385996232601</v>
      </c>
      <c r="AN3376">
        <v>1.0000000186070399</v>
      </c>
    </row>
    <row r="3377" spans="1:40" x14ac:dyDescent="0.3">
      <c r="A3377" t="str">
        <f>"20200111160522106"</f>
        <v>20200111160522106</v>
      </c>
      <c r="B3377" t="str">
        <f>"1578729922095130"</f>
        <v>1578729922095130</v>
      </c>
      <c r="C3377" t="s">
        <v>40</v>
      </c>
      <c r="D3377">
        <v>5.379505</v>
      </c>
      <c r="E3377">
        <v>0.67235610000000001</v>
      </c>
      <c r="F3377" t="s">
        <v>50</v>
      </c>
      <c r="G3377">
        <v>-155.36179999999999</v>
      </c>
      <c r="H3377">
        <v>2.293822</v>
      </c>
      <c r="I3377">
        <v>118.8835</v>
      </c>
      <c r="J3377">
        <v>-195.11410000000001</v>
      </c>
      <c r="K3377">
        <v>1.1021559999999999</v>
      </c>
      <c r="L3377">
        <v>213.18639999999999</v>
      </c>
      <c r="M3377">
        <v>0.87660869999999902</v>
      </c>
      <c r="N3377">
        <v>0</v>
      </c>
      <c r="O3377">
        <v>-0.48095739999999998</v>
      </c>
      <c r="P3377">
        <v>0.73291989999999996</v>
      </c>
      <c r="Q3377">
        <v>-3.074387E-2</v>
      </c>
      <c r="R3377">
        <v>-0.67962009999999995</v>
      </c>
      <c r="S3377">
        <v>1.2911220000000001</v>
      </c>
      <c r="T3377">
        <v>3.8526650000000003E-2</v>
      </c>
      <c r="U3377">
        <v>-3.0524900000000001</v>
      </c>
      <c r="V3377">
        <v>0.2429142</v>
      </c>
      <c r="W3377">
        <v>-2.075397E-2</v>
      </c>
      <c r="X3377">
        <v>0.96982570000000001</v>
      </c>
      <c r="Y3377">
        <v>0.6200601</v>
      </c>
      <c r="Z3377">
        <v>-2.0503639999999998E-3</v>
      </c>
      <c r="AA3377">
        <v>0.78455169999999996</v>
      </c>
      <c r="AB3377">
        <v>21</v>
      </c>
      <c r="AC3377">
        <v>39.752299999999998</v>
      </c>
      <c r="AD3377">
        <v>1.1916659999999999</v>
      </c>
      <c r="AE3377">
        <v>-94.302899999999994</v>
      </c>
      <c r="AF3377">
        <v>63.546500498700702</v>
      </c>
      <c r="AG3377">
        <v>1.1916659999999999</v>
      </c>
      <c r="AH3377">
        <v>80.201527540890794</v>
      </c>
      <c r="AI3377">
        <v>89.332770829461097</v>
      </c>
      <c r="AJ3377">
        <v>51.608972522895897</v>
      </c>
      <c r="AK3377">
        <v>102.332120145041</v>
      </c>
      <c r="AL3377">
        <v>91.189200314795798</v>
      </c>
      <c r="AM3377">
        <v>75.938305592696494</v>
      </c>
      <c r="AN3377">
        <v>0.99999996210644404</v>
      </c>
    </row>
    <row r="3378" spans="1:40" x14ac:dyDescent="0.3">
      <c r="A3378" t="str">
        <f>"20200111160522130"</f>
        <v>20200111160522130</v>
      </c>
      <c r="B3378" t="str">
        <f>"1578729922124411"</f>
        <v>1578729922124411</v>
      </c>
      <c r="C3378" t="s">
        <v>40</v>
      </c>
      <c r="D3378">
        <v>5.3491330000000001</v>
      </c>
      <c r="E3378">
        <v>0.66915210000000003</v>
      </c>
      <c r="F3378" t="s">
        <v>50</v>
      </c>
      <c r="G3378">
        <v>-156.31710000000001</v>
      </c>
      <c r="H3378">
        <v>1.746513</v>
      </c>
      <c r="I3378">
        <v>118.88330000000001</v>
      </c>
      <c r="J3378">
        <v>-194.92750000000001</v>
      </c>
      <c r="K3378">
        <v>1.1021840000000001</v>
      </c>
      <c r="L3378">
        <v>213.06450000000001</v>
      </c>
      <c r="M3378">
        <v>0.8694769</v>
      </c>
      <c r="N3378">
        <v>0</v>
      </c>
      <c r="O3378">
        <v>-0.49373299999999998</v>
      </c>
      <c r="P3378">
        <v>0.72370480000000004</v>
      </c>
      <c r="Q3378">
        <v>-2.683379E-2</v>
      </c>
      <c r="R3378">
        <v>-0.68958799999999998</v>
      </c>
      <c r="S3378">
        <v>1.2582089999999999</v>
      </c>
      <c r="T3378">
        <v>2.089715E-2</v>
      </c>
      <c r="U3378">
        <v>-3.0583040000000001</v>
      </c>
      <c r="V3378">
        <v>0.24200060000000001</v>
      </c>
      <c r="W3378">
        <v>-1.6806519999999998E-2</v>
      </c>
      <c r="X3378">
        <v>0.97013059999999995</v>
      </c>
      <c r="Y3378">
        <v>0.61630859999999998</v>
      </c>
      <c r="Z3378">
        <v>-1.225702E-3</v>
      </c>
      <c r="AA3378">
        <v>0.78750379999999998</v>
      </c>
      <c r="AB3378">
        <v>21</v>
      </c>
      <c r="AC3378">
        <v>38.610399999999998</v>
      </c>
      <c r="AD3378">
        <v>0.64432900000000004</v>
      </c>
      <c r="AE3378">
        <v>-94.181200000000004</v>
      </c>
      <c r="AF3378">
        <v>62.830097962694502</v>
      </c>
      <c r="AG3378">
        <v>0.64432900000000004</v>
      </c>
      <c r="AH3378">
        <v>80.077524573262394</v>
      </c>
      <c r="AI3378">
        <v>89.637302986788299</v>
      </c>
      <c r="AJ3378">
        <v>51.881705818303203</v>
      </c>
      <c r="AK3378">
        <v>101.786277619546</v>
      </c>
      <c r="AL3378">
        <v>90.962987939178703</v>
      </c>
      <c r="AM3378">
        <v>75.993334745979794</v>
      </c>
      <c r="AN3378">
        <v>1.00000006528561</v>
      </c>
    </row>
    <row r="3379" spans="1:40" x14ac:dyDescent="0.3">
      <c r="A3379" t="str">
        <f>"20200111160522151"</f>
        <v>20200111160522151</v>
      </c>
      <c r="B3379" t="str">
        <f>"1578729922144906"</f>
        <v>1578729922144906</v>
      </c>
      <c r="C3379" t="s">
        <v>40</v>
      </c>
      <c r="D3379">
        <v>5.414053</v>
      </c>
      <c r="E3379">
        <v>0.66702850000000002</v>
      </c>
      <c r="F3379" t="s">
        <v>50</v>
      </c>
      <c r="G3379">
        <v>-156.76840000000001</v>
      </c>
      <c r="H3379">
        <v>0.44334790000000002</v>
      </c>
      <c r="I3379">
        <v>118.88290000000001</v>
      </c>
      <c r="J3379">
        <v>-194.7424</v>
      </c>
      <c r="K3379">
        <v>1.102222</v>
      </c>
      <c r="L3379">
        <v>212.93969999999999</v>
      </c>
      <c r="M3379">
        <v>0.86213050000000002</v>
      </c>
      <c r="N3379">
        <v>0</v>
      </c>
      <c r="O3379">
        <v>-0.50645150000000005</v>
      </c>
      <c r="P3379">
        <v>0.71483280000000005</v>
      </c>
      <c r="Q3379">
        <v>-1.98739E-2</v>
      </c>
      <c r="R3379">
        <v>-0.69901309999999905</v>
      </c>
      <c r="S3379">
        <v>1.236526</v>
      </c>
      <c r="T3379">
        <v>-2.1348949999999998E-2</v>
      </c>
      <c r="U3379">
        <v>-3.0519099999999999</v>
      </c>
      <c r="V3379">
        <v>0.2404915</v>
      </c>
      <c r="W3379">
        <v>-9.7916530000000009E-3</v>
      </c>
      <c r="X3379">
        <v>0.97060190000000002</v>
      </c>
      <c r="Y3379">
        <v>0.60892769999999996</v>
      </c>
      <c r="Z3379">
        <v>1.3856179999999999E-3</v>
      </c>
      <c r="AA3379">
        <v>0.79322459999999995</v>
      </c>
      <c r="AB3379">
        <v>21</v>
      </c>
      <c r="AC3379">
        <v>37.973999999999897</v>
      </c>
      <c r="AD3379">
        <v>-0.65887410000000002</v>
      </c>
      <c r="AE3379">
        <v>-94.056799999999896</v>
      </c>
      <c r="AF3379">
        <v>61.861995172523898</v>
      </c>
      <c r="AG3379">
        <v>-0.65887410000000002</v>
      </c>
      <c r="AH3379">
        <v>80.379920877682807</v>
      </c>
      <c r="AI3379">
        <v>90.372183314111894</v>
      </c>
      <c r="AJ3379">
        <v>52.417399556008903</v>
      </c>
      <c r="AK3379">
        <v>101.431120678554</v>
      </c>
      <c r="AL3379">
        <v>90.561029332302994</v>
      </c>
      <c r="AM3379">
        <v>76.083769146174404</v>
      </c>
      <c r="AN3379">
        <v>1.0000000431621601</v>
      </c>
    </row>
    <row r="3380" spans="1:40" x14ac:dyDescent="0.3">
      <c r="A3380" t="str">
        <f>"20200111160522173"</f>
        <v>20200111160522173</v>
      </c>
      <c r="B3380" t="str">
        <f>"1578729922164425"</f>
        <v>1578729922164425</v>
      </c>
      <c r="C3380" t="s">
        <v>40</v>
      </c>
      <c r="D3380">
        <v>5.4426449999999997</v>
      </c>
      <c r="E3380">
        <v>0.66522890000000001</v>
      </c>
      <c r="F3380" t="s">
        <v>41</v>
      </c>
      <c r="G3380">
        <v>-160.17959999999999</v>
      </c>
      <c r="H3380">
        <v>7.9986489999999993E-2</v>
      </c>
      <c r="I3380">
        <v>125.7568</v>
      </c>
      <c r="J3380">
        <v>-194.56899999999999</v>
      </c>
      <c r="K3380">
        <v>1.102252</v>
      </c>
      <c r="L3380">
        <v>212.8192</v>
      </c>
      <c r="M3380">
        <v>0.85498390000000002</v>
      </c>
      <c r="N3380">
        <v>0</v>
      </c>
      <c r="O3380">
        <v>-0.51842520000000003</v>
      </c>
      <c r="P3380">
        <v>0.70605220000000002</v>
      </c>
      <c r="Q3380">
        <v>-1.310038E-2</v>
      </c>
      <c r="R3380">
        <v>-0.70803899999999997</v>
      </c>
      <c r="S3380">
        <v>1.210342</v>
      </c>
      <c r="T3380">
        <v>-3.5797240000000001E-2</v>
      </c>
      <c r="U3380">
        <v>-3.0530240000000002</v>
      </c>
      <c r="V3380">
        <v>0.239344</v>
      </c>
      <c r="W3380">
        <v>-2.9762130000000001E-3</v>
      </c>
      <c r="X3380">
        <v>0.97093030000000002</v>
      </c>
      <c r="Y3380">
        <v>0.60381119999999899</v>
      </c>
      <c r="Z3380">
        <v>2.5198450000000002E-3</v>
      </c>
      <c r="AA3380">
        <v>0.79712340000000004</v>
      </c>
      <c r="AB3380">
        <v>21</v>
      </c>
      <c r="AC3380">
        <v>34.389400000000002</v>
      </c>
      <c r="AD3380">
        <v>-1.02226551</v>
      </c>
      <c r="AE3380">
        <v>-87.062399999999997</v>
      </c>
      <c r="AF3380">
        <v>56.608600679395302</v>
      </c>
      <c r="AG3380">
        <v>-1.02226551</v>
      </c>
      <c r="AH3380">
        <v>74.537701705441606</v>
      </c>
      <c r="AI3380">
        <v>90.625758905436598</v>
      </c>
      <c r="AJ3380">
        <v>52.784686613514197</v>
      </c>
      <c r="AK3380">
        <v>93.602605055530205</v>
      </c>
      <c r="AL3380">
        <v>90.170524690835606</v>
      </c>
      <c r="AM3380">
        <v>76.152111881542496</v>
      </c>
      <c r="AN3380">
        <v>1.00000002781895</v>
      </c>
    </row>
    <row r="3381" spans="1:40" x14ac:dyDescent="0.3">
      <c r="A3381" t="str">
        <f>"20200111160522195"</f>
        <v>20200111160522195</v>
      </c>
      <c r="B3381" t="str">
        <f>"1578729922184921"</f>
        <v>1578729922184921</v>
      </c>
      <c r="C3381" t="s">
        <v>40</v>
      </c>
      <c r="D3381">
        <v>5.4358630000000003</v>
      </c>
      <c r="E3381">
        <v>0.66337279999999998</v>
      </c>
      <c r="F3381" t="s">
        <v>41</v>
      </c>
      <c r="G3381">
        <v>-168.0616</v>
      </c>
      <c r="H3381" s="1">
        <v>-2.1600430000000002E-6</v>
      </c>
      <c r="I3381">
        <v>144.36410000000001</v>
      </c>
      <c r="J3381">
        <v>-194.39449999999999</v>
      </c>
      <c r="K3381">
        <v>1.1022479999999999</v>
      </c>
      <c r="L3381">
        <v>212.69409999999999</v>
      </c>
      <c r="M3381">
        <v>0.84751080000000001</v>
      </c>
      <c r="N3381">
        <v>0</v>
      </c>
      <c r="O3381">
        <v>-0.53055379999999996</v>
      </c>
      <c r="P3381">
        <v>0.69732039999999995</v>
      </c>
      <c r="Q3381">
        <v>-9.6232179999999994E-3</v>
      </c>
      <c r="R3381">
        <v>-0.71669510000000003</v>
      </c>
      <c r="S3381">
        <v>1.1833800000000001</v>
      </c>
      <c r="T3381">
        <v>-4.920828E-2</v>
      </c>
      <c r="U3381">
        <v>-3.0560610000000001</v>
      </c>
      <c r="V3381">
        <v>0.2375292</v>
      </c>
      <c r="W3381">
        <v>5.5057179999999997E-4</v>
      </c>
      <c r="X3381">
        <v>0.97138020000000003</v>
      </c>
      <c r="Y3381">
        <v>0.59880630000000001</v>
      </c>
      <c r="Z3381">
        <v>3.7353149999999999E-3</v>
      </c>
      <c r="AA3381">
        <v>0.80088510000000002</v>
      </c>
      <c r="AB3381">
        <v>21</v>
      </c>
      <c r="AC3381">
        <v>26.332899999999899</v>
      </c>
      <c r="AD3381">
        <v>-1.1022501600429999</v>
      </c>
      <c r="AE3381">
        <v>-68.329999999999899</v>
      </c>
      <c r="AF3381">
        <v>43.9346706952525</v>
      </c>
      <c r="AG3381">
        <v>-1.1022501600429999</v>
      </c>
      <c r="AH3381">
        <v>58.563863841476397</v>
      </c>
      <c r="AI3381">
        <v>90.862558083033704</v>
      </c>
      <c r="AJ3381">
        <v>53.122731611205502</v>
      </c>
      <c r="AK3381">
        <v>73.220191153523999</v>
      </c>
      <c r="AL3381">
        <v>89.968454556637099</v>
      </c>
      <c r="AM3381">
        <v>76.259239797450405</v>
      </c>
      <c r="AN3381">
        <v>0.99999995846699197</v>
      </c>
    </row>
    <row r="3382" spans="1:40" x14ac:dyDescent="0.3">
      <c r="A3382" t="str">
        <f>"20200111160522218"</f>
        <v>20200111160522218</v>
      </c>
      <c r="B3382" t="str">
        <f>"1578729922215178"</f>
        <v>1578729922215178</v>
      </c>
      <c r="C3382" t="s">
        <v>40</v>
      </c>
      <c r="D3382">
        <v>5.4519279999999997</v>
      </c>
      <c r="E3382">
        <v>0.6429108</v>
      </c>
      <c r="F3382" t="s">
        <v>41</v>
      </c>
      <c r="G3382">
        <v>-175.655</v>
      </c>
      <c r="H3382">
        <v>7.9986440000000006E-2</v>
      </c>
      <c r="I3382">
        <v>163.17189999999999</v>
      </c>
      <c r="J3382">
        <v>-194.21879999999999</v>
      </c>
      <c r="K3382">
        <v>1.102217</v>
      </c>
      <c r="L3382">
        <v>212.5643</v>
      </c>
      <c r="M3382">
        <v>0.83968039999999999</v>
      </c>
      <c r="N3382">
        <v>0</v>
      </c>
      <c r="O3382">
        <v>-0.54286109999999999</v>
      </c>
      <c r="P3382">
        <v>0.68857930000000001</v>
      </c>
      <c r="Q3382">
        <v>-9.3390230000000001E-3</v>
      </c>
      <c r="R3382">
        <v>-0.72510090000000005</v>
      </c>
      <c r="S3382">
        <v>1.157516</v>
      </c>
      <c r="T3382">
        <v>-6.3143850000000001E-2</v>
      </c>
      <c r="U3382">
        <v>-3.058929</v>
      </c>
      <c r="V3382">
        <v>0.2351451</v>
      </c>
      <c r="W3382">
        <v>8.8864939999999996E-4</v>
      </c>
      <c r="X3382">
        <v>0.97195989999999999</v>
      </c>
      <c r="Y3382">
        <v>0.59326239999999997</v>
      </c>
      <c r="Z3382">
        <v>5.1524989999999996E-3</v>
      </c>
      <c r="AA3382">
        <v>0.80499259999999995</v>
      </c>
      <c r="AB3382">
        <v>21</v>
      </c>
      <c r="AC3382">
        <v>18.563799999999901</v>
      </c>
      <c r="AD3382">
        <v>-1.0222305599999999</v>
      </c>
      <c r="AE3382">
        <v>-49.392400000000002</v>
      </c>
      <c r="AF3382">
        <v>31.388231951128901</v>
      </c>
      <c r="AG3382">
        <v>-1.0222305599999999</v>
      </c>
      <c r="AH3382">
        <v>42.390022511363199</v>
      </c>
      <c r="AI3382">
        <v>91.110268503587804</v>
      </c>
      <c r="AJ3382">
        <v>53.481431182821296</v>
      </c>
      <c r="AK3382">
        <v>52.755853408409102</v>
      </c>
      <c r="AL3382">
        <v>89.949084134610899</v>
      </c>
      <c r="AM3382">
        <v>76.399818834107194</v>
      </c>
      <c r="AN3382">
        <v>1.0000000274798799</v>
      </c>
    </row>
    <row r="3383" spans="1:40" x14ac:dyDescent="0.3">
      <c r="A3383" t="str">
        <f>"20200111160522241"</f>
        <v>20200111160522241</v>
      </c>
      <c r="B3383" t="str">
        <f>"1578729922234701"</f>
        <v>1578729922234701</v>
      </c>
      <c r="C3383" t="s">
        <v>40</v>
      </c>
      <c r="D3383">
        <v>5.4496330000000004</v>
      </c>
      <c r="E3383">
        <v>0.64158199999999999</v>
      </c>
      <c r="F3383" t="s">
        <v>56</v>
      </c>
      <c r="G3383">
        <v>-189.9092</v>
      </c>
      <c r="H3383" s="1">
        <v>6.9523479999999898E-6</v>
      </c>
      <c r="I3383">
        <v>202.39160000000001</v>
      </c>
      <c r="J3383">
        <v>-194.03649999999999</v>
      </c>
      <c r="K3383">
        <v>1.1021449999999999</v>
      </c>
      <c r="L3383">
        <v>212.42509999999999</v>
      </c>
      <c r="M3383">
        <v>0.83119259999999995</v>
      </c>
      <c r="N3383">
        <v>0</v>
      </c>
      <c r="O3383">
        <v>-0.55576969999999903</v>
      </c>
      <c r="P3383">
        <v>0.67878380000000005</v>
      </c>
      <c r="Q3383">
        <v>-1.0433059999999999E-2</v>
      </c>
      <c r="R3383">
        <v>-0.73426459999999905</v>
      </c>
      <c r="S3383">
        <v>1.248688</v>
      </c>
      <c r="T3383">
        <v>-0.31935550000000001</v>
      </c>
      <c r="U3383">
        <v>-2.9474330000000002</v>
      </c>
      <c r="V3383">
        <v>0.23314080000000001</v>
      </c>
      <c r="W3383">
        <v>-1.724428E-4</v>
      </c>
      <c r="X3383">
        <v>0.97244299999999995</v>
      </c>
      <c r="Y3383">
        <v>0.54838430000000005</v>
      </c>
      <c r="Z3383">
        <v>3.058833E-2</v>
      </c>
      <c r="AA3383">
        <v>0.83566679999999904</v>
      </c>
      <c r="AB3383">
        <v>21</v>
      </c>
      <c r="AC3383">
        <v>4.1272999999999902</v>
      </c>
      <c r="AD3383">
        <v>-1.102138047652</v>
      </c>
      <c r="AE3383">
        <v>-10.033499999999901</v>
      </c>
      <c r="AF3383">
        <v>5.9849015634458897</v>
      </c>
      <c r="AG3383">
        <v>-1.102138047652</v>
      </c>
      <c r="AH3383">
        <v>8.9159609858674802</v>
      </c>
      <c r="AI3383">
        <v>95.860041522401403</v>
      </c>
      <c r="AJ3383">
        <v>56.128234942428897</v>
      </c>
      <c r="AK3383">
        <v>10.7948189100943</v>
      </c>
      <c r="AL3383">
        <v>90.009880244446293</v>
      </c>
      <c r="AM3383">
        <v>76.5179455439809</v>
      </c>
      <c r="AN3383">
        <v>1.00000002530507</v>
      </c>
    </row>
    <row r="3384" spans="1:40" x14ac:dyDescent="0.3">
      <c r="A3384" t="str">
        <f>"20200111160522263"</f>
        <v>20200111160522263</v>
      </c>
      <c r="B3384" t="str">
        <f>"1578729922255193"</f>
        <v>1578729922255193</v>
      </c>
      <c r="C3384" t="s">
        <v>40</v>
      </c>
      <c r="D3384">
        <v>5.5542879999999997</v>
      </c>
      <c r="E3384">
        <v>0.64088469999999997</v>
      </c>
      <c r="F3384" t="s">
        <v>56</v>
      </c>
      <c r="G3384">
        <v>-189.91200000000001</v>
      </c>
      <c r="H3384" s="1">
        <v>6.9507259999999997E-6</v>
      </c>
      <c r="I3384">
        <v>202.398</v>
      </c>
      <c r="J3384">
        <v>-193.87219999999999</v>
      </c>
      <c r="K3384">
        <v>1.102066</v>
      </c>
      <c r="L3384">
        <v>212.29560000000001</v>
      </c>
      <c r="M3384">
        <v>0.82319409999999904</v>
      </c>
      <c r="N3384">
        <v>0</v>
      </c>
      <c r="O3384">
        <v>-0.56754899999999997</v>
      </c>
      <c r="P3384">
        <v>0.66980249999999997</v>
      </c>
      <c r="Q3384">
        <v>-1.2264189999999999E-2</v>
      </c>
      <c r="R3384">
        <v>-0.74243819999999905</v>
      </c>
      <c r="S3384">
        <v>1.216202</v>
      </c>
      <c r="T3384">
        <v>-0.32499400000000001</v>
      </c>
      <c r="U3384">
        <v>-2.9567570000000001</v>
      </c>
      <c r="V3384">
        <v>0.23106119999999999</v>
      </c>
      <c r="W3384">
        <v>-1.9742969999999999E-3</v>
      </c>
      <c r="X3384">
        <v>0.97293719999999995</v>
      </c>
      <c r="Y3384">
        <v>0.54528219999999905</v>
      </c>
      <c r="Z3384">
        <v>3.2764889999999998E-2</v>
      </c>
      <c r="AA3384">
        <v>0.83761200000000002</v>
      </c>
      <c r="AB3384">
        <v>21</v>
      </c>
      <c r="AC3384">
        <v>3.96019999999998</v>
      </c>
      <c r="AD3384">
        <v>-1.1020590492739999</v>
      </c>
      <c r="AE3384">
        <v>-9.8976000000000095</v>
      </c>
      <c r="AF3384">
        <v>5.83835074258144</v>
      </c>
      <c r="AG3384">
        <v>-1.1020590492739999</v>
      </c>
      <c r="AH3384">
        <v>8.7845690753909</v>
      </c>
      <c r="AI3384">
        <v>95.964785325748295</v>
      </c>
      <c r="AJ3384">
        <v>56.391417084279901</v>
      </c>
      <c r="AK3384">
        <v>10.605165127512199</v>
      </c>
      <c r="AL3384">
        <v>90.113118960724606</v>
      </c>
      <c r="AM3384">
        <v>76.640416215106399</v>
      </c>
      <c r="AN3384">
        <v>0.99999998556896197</v>
      </c>
    </row>
    <row r="3385" spans="1:40" x14ac:dyDescent="0.3">
      <c r="A3385" t="str">
        <f>"20200111160522286"</f>
        <v>20200111160522286</v>
      </c>
      <c r="B3385" t="str">
        <f>"1578729922274714"</f>
        <v>1578729922274714</v>
      </c>
      <c r="C3385" t="s">
        <v>40</v>
      </c>
      <c r="D3385">
        <v>5.5976150000000002</v>
      </c>
      <c r="E3385">
        <v>0.63933680000000004</v>
      </c>
      <c r="F3385" t="s">
        <v>56</v>
      </c>
      <c r="G3385">
        <v>-189.9196</v>
      </c>
      <c r="H3385" s="1">
        <v>6.9567090000000003E-6</v>
      </c>
      <c r="I3385">
        <v>202.38579999999999</v>
      </c>
      <c r="J3385">
        <v>-193.70859999999999</v>
      </c>
      <c r="K3385">
        <v>1.101988</v>
      </c>
      <c r="L3385">
        <v>212.16229999999999</v>
      </c>
      <c r="M3385">
        <v>0.81485350000000001</v>
      </c>
      <c r="N3385">
        <v>0</v>
      </c>
      <c r="O3385">
        <v>-0.57945950000000002</v>
      </c>
      <c r="P3385">
        <v>0.66054679999999999</v>
      </c>
      <c r="Q3385">
        <v>-1.182422E-2</v>
      </c>
      <c r="R3385">
        <v>-0.75069180000000002</v>
      </c>
      <c r="S3385">
        <v>1.183594</v>
      </c>
      <c r="T3385">
        <v>-0.3300072</v>
      </c>
      <c r="U3385">
        <v>-2.967438</v>
      </c>
      <c r="V3385">
        <v>0.22898979999999999</v>
      </c>
      <c r="W3385">
        <v>-1.5076200000000001E-3</v>
      </c>
      <c r="X3385">
        <v>0.97342770000000001</v>
      </c>
      <c r="Y3385">
        <v>0.54210389999999997</v>
      </c>
      <c r="Z3385">
        <v>3.4942819999999999E-2</v>
      </c>
      <c r="AA3385">
        <v>0.83958459999999902</v>
      </c>
      <c r="AB3385">
        <v>21</v>
      </c>
      <c r="AC3385">
        <v>3.7889999999999802</v>
      </c>
      <c r="AD3385">
        <v>-1.101981043291</v>
      </c>
      <c r="AE3385">
        <v>-9.7765000000000004</v>
      </c>
      <c r="AF3385">
        <v>5.7084810686398102</v>
      </c>
      <c r="AG3385">
        <v>-1.101981043291</v>
      </c>
      <c r="AH3385">
        <v>8.6579818526212708</v>
      </c>
      <c r="AI3385">
        <v>96.065549202745899</v>
      </c>
      <c r="AJ3385">
        <v>56.6018731282103</v>
      </c>
      <c r="AK3385">
        <v>10.4288910288252</v>
      </c>
      <c r="AL3385">
        <v>90.086380292007604</v>
      </c>
      <c r="AM3385">
        <v>76.762380924295101</v>
      </c>
      <c r="AN3385">
        <v>1.0000000442746899</v>
      </c>
    </row>
    <row r="3386" spans="1:40" x14ac:dyDescent="0.3">
      <c r="A3386" t="str">
        <f>"20200111160522307"</f>
        <v>20200111160522307</v>
      </c>
      <c r="B3386" t="str">
        <f>"1578729922304970"</f>
        <v>1578729922304970</v>
      </c>
      <c r="C3386" t="s">
        <v>40</v>
      </c>
      <c r="D3386">
        <v>5.5273849999999998</v>
      </c>
      <c r="E3386">
        <v>0.63670360000000004</v>
      </c>
      <c r="F3386" t="s">
        <v>56</v>
      </c>
      <c r="G3386">
        <v>-189.81870000000001</v>
      </c>
      <c r="H3386" s="1">
        <v>7.0153999999999998E-6</v>
      </c>
      <c r="I3386">
        <v>202.15649999999999</v>
      </c>
      <c r="J3386">
        <v>-193.54169999999999</v>
      </c>
      <c r="K3386">
        <v>1.1019030000000001</v>
      </c>
      <c r="L3386">
        <v>212.02180000000001</v>
      </c>
      <c r="M3386">
        <v>0.80593099999999995</v>
      </c>
      <c r="N3386">
        <v>0</v>
      </c>
      <c r="O3386">
        <v>-0.59180549999999998</v>
      </c>
      <c r="P3386">
        <v>0.65028599999999903</v>
      </c>
      <c r="Q3386">
        <v>-9.4892489999999999E-3</v>
      </c>
      <c r="R3386">
        <v>-0.75963059999999905</v>
      </c>
      <c r="S3386">
        <v>1.156128</v>
      </c>
      <c r="T3386">
        <v>-0.3275304</v>
      </c>
      <c r="U3386">
        <v>-2.9739070000000001</v>
      </c>
      <c r="V3386">
        <v>0.2274629</v>
      </c>
      <c r="W3386">
        <v>8.4191929999999902E-4</v>
      </c>
      <c r="X3386">
        <v>0.97378640000000005</v>
      </c>
      <c r="Y3386">
        <v>0.53669369999999905</v>
      </c>
      <c r="Z3386">
        <v>3.65435E-2</v>
      </c>
      <c r="AA3386">
        <v>0.84298549999999906</v>
      </c>
      <c r="AB3386">
        <v>21</v>
      </c>
      <c r="AC3386">
        <v>3.7229999999999799</v>
      </c>
      <c r="AD3386">
        <v>-1.1018959846</v>
      </c>
      <c r="AE3386">
        <v>-9.8653000000000102</v>
      </c>
      <c r="AF3386">
        <v>5.6860596629276197</v>
      </c>
      <c r="AG3386">
        <v>-1.1018959846</v>
      </c>
      <c r="AH3386">
        <v>8.7443956478555105</v>
      </c>
      <c r="AI3386">
        <v>96.030446564322006</v>
      </c>
      <c r="AJ3386">
        <v>56.965988546128003</v>
      </c>
      <c r="AK3386">
        <v>10.488560649463899</v>
      </c>
      <c r="AL3386">
        <v>89.951761572505106</v>
      </c>
      <c r="AM3386">
        <v>76.852247537206395</v>
      </c>
      <c r="AN3386">
        <v>1.00000001626473</v>
      </c>
    </row>
    <row r="3387" spans="1:40" x14ac:dyDescent="0.3">
      <c r="A3387" t="str">
        <f>"20200111160522330"</f>
        <v>20200111160522330</v>
      </c>
      <c r="B3387" t="str">
        <f>"1578729922324489"</f>
        <v>1578729922324489</v>
      </c>
      <c r="C3387" t="s">
        <v>40</v>
      </c>
      <c r="D3387">
        <v>5.5213559999999999</v>
      </c>
      <c r="E3387">
        <v>0.63535050000000004</v>
      </c>
      <c r="F3387" t="s">
        <v>56</v>
      </c>
      <c r="G3387">
        <v>-189.7456</v>
      </c>
      <c r="H3387" s="1">
        <v>7.0382099999999997E-6</v>
      </c>
      <c r="I3387">
        <v>202.0461</v>
      </c>
      <c r="J3387">
        <v>-193.37520000000001</v>
      </c>
      <c r="K3387">
        <v>1.101834</v>
      </c>
      <c r="L3387">
        <v>211.87690000000001</v>
      </c>
      <c r="M3387">
        <v>0.79659990000000003</v>
      </c>
      <c r="N3387">
        <v>0</v>
      </c>
      <c r="O3387">
        <v>-0.60430609999999996</v>
      </c>
      <c r="P3387">
        <v>0.63946959999999997</v>
      </c>
      <c r="Q3387">
        <v>-6.2756720000000004E-3</v>
      </c>
      <c r="R3387">
        <v>-0.7687908</v>
      </c>
      <c r="S3387">
        <v>1.132385</v>
      </c>
      <c r="T3387">
        <v>-0.32869979999999999</v>
      </c>
      <c r="U3387">
        <v>-2.975784</v>
      </c>
      <c r="V3387">
        <v>0.2261493</v>
      </c>
      <c r="W3387">
        <v>4.0734329999999996E-3</v>
      </c>
      <c r="X3387">
        <v>0.97408410000000001</v>
      </c>
      <c r="Y3387">
        <v>0.52961119999999995</v>
      </c>
      <c r="Z3387">
        <v>3.8685369999999997E-2</v>
      </c>
      <c r="AA3387">
        <v>0.8473579</v>
      </c>
      <c r="AB3387">
        <v>21</v>
      </c>
      <c r="AC3387">
        <v>3.6296000000000102</v>
      </c>
      <c r="AD3387">
        <v>-1.1018269617899901</v>
      </c>
      <c r="AE3387">
        <v>-9.8308</v>
      </c>
      <c r="AF3387">
        <v>5.5768582167937701</v>
      </c>
      <c r="AG3387">
        <v>-1.1018269617899901</v>
      </c>
      <c r="AH3387">
        <v>8.7366417394461902</v>
      </c>
      <c r="AI3387">
        <v>96.067988556292306</v>
      </c>
      <c r="AJ3387">
        <v>57.4486993593083</v>
      </c>
      <c r="AK3387">
        <v>10.4232566459519</v>
      </c>
      <c r="AL3387">
        <v>89.7666088276669</v>
      </c>
      <c r="AM3387">
        <v>76.929418856104704</v>
      </c>
      <c r="AN3387">
        <v>0.999999966309852</v>
      </c>
    </row>
    <row r="3388" spans="1:40" x14ac:dyDescent="0.3">
      <c r="A3388" t="str">
        <f>"20200111160522352"</f>
        <v>20200111160522352</v>
      </c>
      <c r="B3388" t="str">
        <f>"1578729922344985"</f>
        <v>1578729922344985</v>
      </c>
      <c r="C3388" t="s">
        <v>40</v>
      </c>
      <c r="D3388">
        <v>5.536816</v>
      </c>
      <c r="E3388">
        <v>0.63408180000000003</v>
      </c>
      <c r="F3388" t="s">
        <v>56</v>
      </c>
      <c r="G3388">
        <v>-189.6283</v>
      </c>
      <c r="H3388" s="1">
        <v>7.1354420000000002E-6</v>
      </c>
      <c r="I3388">
        <v>201.69749999999999</v>
      </c>
      <c r="J3388">
        <v>-193.21629999999999</v>
      </c>
      <c r="K3388">
        <v>1.101785</v>
      </c>
      <c r="L3388">
        <v>211.73410000000001</v>
      </c>
      <c r="M3388">
        <v>0.78726850000000004</v>
      </c>
      <c r="N3388">
        <v>0</v>
      </c>
      <c r="O3388">
        <v>-0.61641290000000004</v>
      </c>
      <c r="P3388">
        <v>0.62844990000000001</v>
      </c>
      <c r="Q3388">
        <v>-3.3546660000000001E-3</v>
      </c>
      <c r="R3388">
        <v>-0.77784319999999996</v>
      </c>
      <c r="S3388">
        <v>1.0989230000000001</v>
      </c>
      <c r="T3388">
        <v>-0.3231542</v>
      </c>
      <c r="U3388">
        <v>-2.985519</v>
      </c>
      <c r="V3388">
        <v>0.22521759999999999</v>
      </c>
      <c r="W3388">
        <v>7.0097500000000004E-3</v>
      </c>
      <c r="X3388">
        <v>0.97428329999999996</v>
      </c>
      <c r="Y3388">
        <v>0.52593970000000001</v>
      </c>
      <c r="Z3388">
        <v>3.9748760000000001E-2</v>
      </c>
      <c r="AA3388">
        <v>0.84959259999999903</v>
      </c>
      <c r="AB3388">
        <v>21</v>
      </c>
      <c r="AC3388">
        <v>3.5879999999999899</v>
      </c>
      <c r="AD3388">
        <v>-1.1017778645579901</v>
      </c>
      <c r="AE3388">
        <v>-10.0366</v>
      </c>
      <c r="AF3388">
        <v>5.6303409264667703</v>
      </c>
      <c r="AG3388">
        <v>-1.1017778645579901</v>
      </c>
      <c r="AH3388">
        <v>8.9172238599056897</v>
      </c>
      <c r="AI3388">
        <v>95.964269036047995</v>
      </c>
      <c r="AJ3388">
        <v>57.731659040428397</v>
      </c>
      <c r="AK3388">
        <v>10.6033737451222</v>
      </c>
      <c r="AL3388">
        <v>89.598367630934902</v>
      </c>
      <c r="AM3388">
        <v>76.984000795573294</v>
      </c>
      <c r="AN3388">
        <v>1.00000002630185</v>
      </c>
    </row>
    <row r="3389" spans="1:40" x14ac:dyDescent="0.3">
      <c r="A3389" t="str">
        <f>"20200111160522375"</f>
        <v>20200111160522375</v>
      </c>
      <c r="B3389" t="str">
        <f>"1578729922364506"</f>
        <v>1578729922364506</v>
      </c>
      <c r="C3389" t="s">
        <v>40</v>
      </c>
      <c r="D3389">
        <v>5.482564</v>
      </c>
      <c r="E3389">
        <v>0.62434309999999904</v>
      </c>
      <c r="F3389" t="s">
        <v>56</v>
      </c>
      <c r="G3389">
        <v>-189.48650000000001</v>
      </c>
      <c r="H3389" s="1">
        <v>7.2688239999999903E-6</v>
      </c>
      <c r="I3389">
        <v>201.2313</v>
      </c>
      <c r="J3389">
        <v>-193.0608</v>
      </c>
      <c r="K3389">
        <v>1.101731</v>
      </c>
      <c r="L3389">
        <v>211.58959999999999</v>
      </c>
      <c r="M3389">
        <v>0.77770530000000004</v>
      </c>
      <c r="N3389">
        <v>0</v>
      </c>
      <c r="O3389">
        <v>-0.62843439999999995</v>
      </c>
      <c r="P3389">
        <v>0.61662600000000001</v>
      </c>
      <c r="Q3389">
        <v>-2.5616559999999998E-3</v>
      </c>
      <c r="R3389">
        <v>-0.78725219999999996</v>
      </c>
      <c r="S3389">
        <v>1.063904</v>
      </c>
      <c r="T3389">
        <v>-0.31427909999999998</v>
      </c>
      <c r="U3389">
        <v>-2.995895</v>
      </c>
      <c r="V3389">
        <v>0.22499140000000001</v>
      </c>
      <c r="W3389">
        <v>7.8041419999999896E-3</v>
      </c>
      <c r="X3389">
        <v>0.97432949999999996</v>
      </c>
      <c r="Y3389">
        <v>0.52265150000000005</v>
      </c>
      <c r="Z3389">
        <v>4.0300610000000001E-2</v>
      </c>
      <c r="AA3389">
        <v>0.85159339999999994</v>
      </c>
      <c r="AB3389">
        <v>21</v>
      </c>
      <c r="AC3389">
        <v>3.5742999999999898</v>
      </c>
      <c r="AD3389">
        <v>-1.101723731176</v>
      </c>
      <c r="AE3389">
        <v>-10.3582999999999</v>
      </c>
      <c r="AF3389">
        <v>5.7520546884843702</v>
      </c>
      <c r="AG3389">
        <v>-1.101723731176</v>
      </c>
      <c r="AH3389">
        <v>9.1974233840194302</v>
      </c>
      <c r="AI3389">
        <v>95.799089453050001</v>
      </c>
      <c r="AJ3389">
        <v>57.978201397551302</v>
      </c>
      <c r="AK3389">
        <v>10.9037849036038</v>
      </c>
      <c r="AL3389">
        <v>89.552851063767903</v>
      </c>
      <c r="AM3389">
        <v>76.997224697540204</v>
      </c>
      <c r="AN3389">
        <v>1.00000000463828</v>
      </c>
    </row>
    <row r="3390" spans="1:40" x14ac:dyDescent="0.3">
      <c r="A3390" t="str">
        <f>"20200111160522396"</f>
        <v>20200111160522396</v>
      </c>
      <c r="B3390" t="str">
        <f>"1578729922394762"</f>
        <v>1578729922394762</v>
      </c>
      <c r="C3390" t="s">
        <v>40</v>
      </c>
      <c r="D3390">
        <v>5.7317580000000001</v>
      </c>
      <c r="E3390">
        <v>0.65300590000000003</v>
      </c>
      <c r="F3390" t="s">
        <v>56</v>
      </c>
      <c r="G3390">
        <v>-189.45339999999999</v>
      </c>
      <c r="H3390" s="1">
        <v>7.1002390000000002E-6</v>
      </c>
      <c r="I3390">
        <v>201.6874</v>
      </c>
      <c r="J3390">
        <v>-192.90719999999999</v>
      </c>
      <c r="K3390">
        <v>1.1016539999999999</v>
      </c>
      <c r="L3390">
        <v>211.44229999999999</v>
      </c>
      <c r="M3390">
        <v>0.76780569999999904</v>
      </c>
      <c r="N3390">
        <v>0</v>
      </c>
      <c r="O3390">
        <v>-0.64049080000000003</v>
      </c>
      <c r="P3390">
        <v>0.60322480000000001</v>
      </c>
      <c r="Q3390">
        <v>-4.6868129999999997E-3</v>
      </c>
      <c r="R3390">
        <v>-0.79755779999999998</v>
      </c>
      <c r="S3390">
        <v>1.079758</v>
      </c>
      <c r="T3390">
        <v>-0.32976480000000002</v>
      </c>
      <c r="U3390">
        <v>-2.9639129999999998</v>
      </c>
      <c r="V3390">
        <v>0.2262149</v>
      </c>
      <c r="W3390">
        <v>5.6450700000000003E-3</v>
      </c>
      <c r="X3390">
        <v>0.97406110000000001</v>
      </c>
      <c r="Y3390">
        <v>0.50238629999999995</v>
      </c>
      <c r="Z3390">
        <v>4.5159810000000002E-2</v>
      </c>
      <c r="AA3390">
        <v>0.86346319999999999</v>
      </c>
      <c r="AB3390">
        <v>21</v>
      </c>
      <c r="AC3390">
        <v>3.4538000000000002</v>
      </c>
      <c r="AD3390">
        <v>-1.1016468997610001</v>
      </c>
      <c r="AE3390">
        <v>-9.7548999999999904</v>
      </c>
      <c r="AF3390">
        <v>5.21923964364208</v>
      </c>
      <c r="AG3390">
        <v>-1.1016468997610001</v>
      </c>
      <c r="AH3390">
        <v>8.8011216250033097</v>
      </c>
      <c r="AI3390">
        <v>96.144996236490002</v>
      </c>
      <c r="AJ3390">
        <v>59.331218596207698</v>
      </c>
      <c r="AK3390">
        <v>10.2914445151115</v>
      </c>
      <c r="AL3390">
        <v>89.676559608113493</v>
      </c>
      <c r="AM3390">
        <v>76.9254595444188</v>
      </c>
      <c r="AN3390">
        <v>1.00000003716526</v>
      </c>
    </row>
    <row r="3391" spans="1:40" x14ac:dyDescent="0.3">
      <c r="A3391" t="str">
        <f>"20200111160522420"</f>
        <v>20200111160522420</v>
      </c>
      <c r="B3391" t="str">
        <f>"1578729922415258"</f>
        <v>1578729922415258</v>
      </c>
      <c r="C3391" t="s">
        <v>40</v>
      </c>
      <c r="D3391">
        <v>5.6781569999999997</v>
      </c>
      <c r="E3391">
        <v>0.65600449999999999</v>
      </c>
      <c r="F3391" t="s">
        <v>41</v>
      </c>
      <c r="G3391">
        <v>-189.64009999999999</v>
      </c>
      <c r="H3391" s="1">
        <v>-4.2391289999999999E-6</v>
      </c>
      <c r="I3391">
        <v>199.3655</v>
      </c>
      <c r="J3391">
        <v>-192.7484</v>
      </c>
      <c r="K3391">
        <v>1.101567</v>
      </c>
      <c r="L3391">
        <v>211.28469999999999</v>
      </c>
      <c r="M3391">
        <v>0.75707500000000005</v>
      </c>
      <c r="N3391">
        <v>0</v>
      </c>
      <c r="O3391">
        <v>-0.65313869999999996</v>
      </c>
      <c r="P3391">
        <v>0.58864189999999905</v>
      </c>
      <c r="Q3391">
        <v>-7.30716E-3</v>
      </c>
      <c r="R3391">
        <v>-0.80836109999999906</v>
      </c>
      <c r="S3391">
        <v>0.84436039999999901</v>
      </c>
      <c r="T3391">
        <v>-0.28471800000000003</v>
      </c>
      <c r="U3391">
        <v>-3.1211850000000001</v>
      </c>
      <c r="V3391">
        <v>0.2276745</v>
      </c>
      <c r="W3391">
        <v>2.9852979999999999E-3</v>
      </c>
      <c r="X3391">
        <v>0.97373270000000001</v>
      </c>
      <c r="Y3391">
        <v>0.56024030000000002</v>
      </c>
      <c r="Z3391">
        <v>3.6986449999999997E-2</v>
      </c>
      <c r="AA3391">
        <v>0.82750389999999996</v>
      </c>
      <c r="AB3391">
        <v>21</v>
      </c>
      <c r="AC3391">
        <v>3.1083000000000101</v>
      </c>
      <c r="AD3391">
        <v>-1.101571239129</v>
      </c>
      <c r="AE3391">
        <v>-11.919199999999901</v>
      </c>
      <c r="AF3391">
        <v>6.93894759183258</v>
      </c>
      <c r="AG3391">
        <v>-1.101571239129</v>
      </c>
      <c r="AH3391">
        <v>10.0589140656549</v>
      </c>
      <c r="AI3391">
        <v>95.150962270838306</v>
      </c>
      <c r="AJ3391">
        <v>55.400896995502798</v>
      </c>
      <c r="AK3391">
        <v>12.2696456777409</v>
      </c>
      <c r="AL3391">
        <v>89.828954766616107</v>
      </c>
      <c r="AM3391">
        <v>76.839741643998806</v>
      </c>
      <c r="AN3391">
        <v>0.99999998050184402</v>
      </c>
    </row>
    <row r="3392" spans="1:40" x14ac:dyDescent="0.3">
      <c r="A3392" t="str">
        <f>"20200111160522443"</f>
        <v>20200111160522443</v>
      </c>
      <c r="B3392" t="str">
        <f>"1578729922434780"</f>
        <v>1578729922434780</v>
      </c>
      <c r="C3392" t="s">
        <v>40</v>
      </c>
      <c r="D3392">
        <v>5.6623340000000004</v>
      </c>
      <c r="E3392">
        <v>0.65558139999999998</v>
      </c>
      <c r="F3392" t="s">
        <v>56</v>
      </c>
      <c r="G3392">
        <v>-190.3244</v>
      </c>
      <c r="H3392" s="1">
        <v>7.2284269999999998E-6</v>
      </c>
      <c r="I3392">
        <v>201.36510000000001</v>
      </c>
      <c r="J3392">
        <v>-192.5986</v>
      </c>
      <c r="K3392">
        <v>1.101483</v>
      </c>
      <c r="L3392">
        <v>211.131</v>
      </c>
      <c r="M3392">
        <v>0.74646279999999998</v>
      </c>
      <c r="N3392">
        <v>0</v>
      </c>
      <c r="O3392">
        <v>-0.66524019999999995</v>
      </c>
      <c r="P3392">
        <v>0.57402430000000004</v>
      </c>
      <c r="Q3392">
        <v>-8.9309369999999999E-3</v>
      </c>
      <c r="R3392">
        <v>-0.81878949999999995</v>
      </c>
      <c r="S3392">
        <v>0.76921079999999997</v>
      </c>
      <c r="T3392">
        <v>-0.34957090000000002</v>
      </c>
      <c r="U3392">
        <v>-3.1479029999999999</v>
      </c>
      <c r="V3392">
        <v>0.2294465</v>
      </c>
      <c r="W3392">
        <v>1.314464E-3</v>
      </c>
      <c r="X3392">
        <v>0.97332039999999997</v>
      </c>
      <c r="Y3392">
        <v>0.56715799999999905</v>
      </c>
      <c r="Z3392">
        <v>4.6527209999999999E-2</v>
      </c>
      <c r="AA3392">
        <v>0.82229379999999996</v>
      </c>
      <c r="AB3392">
        <v>21</v>
      </c>
      <c r="AC3392">
        <v>2.2742</v>
      </c>
      <c r="AD3392">
        <v>-1.1014757715729999</v>
      </c>
      <c r="AE3392">
        <v>-9.7658999999999594</v>
      </c>
      <c r="AF3392">
        <v>5.7088235358644699</v>
      </c>
      <c r="AG3392">
        <v>-1.1014757715729999</v>
      </c>
      <c r="AH3392">
        <v>8.0975828695154899</v>
      </c>
      <c r="AI3392">
        <v>96.343766865623195</v>
      </c>
      <c r="AJ3392">
        <v>54.816032867245198</v>
      </c>
      <c r="AK3392">
        <v>9.9686891499170205</v>
      </c>
      <c r="AL3392">
        <v>89.924686739740395</v>
      </c>
      <c r="AM3392">
        <v>76.735501413477493</v>
      </c>
      <c r="AN3392">
        <v>1.0000000126169999</v>
      </c>
    </row>
    <row r="3393" spans="1:40" x14ac:dyDescent="0.3">
      <c r="A3393" t="str">
        <f>"20200111160522464"</f>
        <v>20200111160522464</v>
      </c>
      <c r="B3393" t="str">
        <f>"1578729922454807"</f>
        <v>1578729922454807</v>
      </c>
      <c r="C3393" t="s">
        <v>40</v>
      </c>
      <c r="D3393">
        <v>5.6217990000000002</v>
      </c>
      <c r="E3393">
        <v>0.65448119999999999</v>
      </c>
      <c r="F3393" t="s">
        <v>56</v>
      </c>
      <c r="G3393">
        <v>-190.54400000000001</v>
      </c>
      <c r="H3393" s="1">
        <v>6.9194040000000003E-6</v>
      </c>
      <c r="I3393">
        <v>202.07400000000001</v>
      </c>
      <c r="J3393">
        <v>-192.4598</v>
      </c>
      <c r="K3393">
        <v>1.1014120000000001</v>
      </c>
      <c r="L3393">
        <v>210.9836</v>
      </c>
      <c r="M3393">
        <v>0.7361685</v>
      </c>
      <c r="N3393">
        <v>0</v>
      </c>
      <c r="O3393">
        <v>-0.67661389999999999</v>
      </c>
      <c r="P3393">
        <v>0.55989029999999995</v>
      </c>
      <c r="Q3393">
        <v>-8.6110270000000003E-3</v>
      </c>
      <c r="R3393">
        <v>-0.8285226</v>
      </c>
      <c r="S3393">
        <v>0.71629330000000002</v>
      </c>
      <c r="T3393">
        <v>-0.38401190000000002</v>
      </c>
      <c r="U3393">
        <v>-3.157562</v>
      </c>
      <c r="V3393">
        <v>0.23122509999999999</v>
      </c>
      <c r="W3393">
        <v>1.587216E-3</v>
      </c>
      <c r="X3393">
        <v>0.97289899999999996</v>
      </c>
      <c r="Y3393">
        <v>0.56815969999999905</v>
      </c>
      <c r="Z3393">
        <v>5.2767729999999999E-2</v>
      </c>
      <c r="AA3393">
        <v>0.82122469999999903</v>
      </c>
      <c r="AB3393">
        <v>21</v>
      </c>
      <c r="AC3393">
        <v>1.91579999999999</v>
      </c>
      <c r="AD3393">
        <v>-1.1014050805960001</v>
      </c>
      <c r="AE3393">
        <v>-8.9095999999999798</v>
      </c>
      <c r="AF3393">
        <v>5.1875938920108</v>
      </c>
      <c r="AG3393">
        <v>-1.1014050805960001</v>
      </c>
      <c r="AH3393">
        <v>7.3325361078761002</v>
      </c>
      <c r="AI3393">
        <v>96.990875548496206</v>
      </c>
      <c r="AJ3393">
        <v>54.721506649564901</v>
      </c>
      <c r="AK3393">
        <v>9.0493264563334908</v>
      </c>
      <c r="AL3393">
        <v>89.909059185219405</v>
      </c>
      <c r="AM3393">
        <v>76.630773823255694</v>
      </c>
      <c r="AN3393">
        <v>1.0000000151628201</v>
      </c>
    </row>
    <row r="3394" spans="1:40" x14ac:dyDescent="0.3">
      <c r="A3394" t="str">
        <f>"20200111160522487"</f>
        <v>20200111160522487</v>
      </c>
      <c r="B3394" t="str">
        <f>"1578729922485064"</f>
        <v>1578729922485064</v>
      </c>
      <c r="C3394" t="s">
        <v>40</v>
      </c>
      <c r="D3394">
        <v>5.3953769999999999</v>
      </c>
      <c r="E3394">
        <v>0.65286339999999998</v>
      </c>
      <c r="F3394" t="s">
        <v>56</v>
      </c>
      <c r="G3394">
        <v>-190.6309</v>
      </c>
      <c r="H3394" s="1">
        <v>6.7977159999999997E-6</v>
      </c>
      <c r="I3394">
        <v>202.3528</v>
      </c>
      <c r="J3394">
        <v>-192.31309999999999</v>
      </c>
      <c r="K3394">
        <v>1.101356</v>
      </c>
      <c r="L3394">
        <v>210.82210000000001</v>
      </c>
      <c r="M3394">
        <v>0.72475480000000003</v>
      </c>
      <c r="N3394">
        <v>0</v>
      </c>
      <c r="O3394">
        <v>-0.68882480000000001</v>
      </c>
      <c r="P3394">
        <v>0.54428750000000004</v>
      </c>
      <c r="Q3394">
        <v>-6.5102850000000002E-3</v>
      </c>
      <c r="R3394">
        <v>-0.83887389999999995</v>
      </c>
      <c r="S3394">
        <v>0.67037959999999996</v>
      </c>
      <c r="T3394">
        <v>-0.403725</v>
      </c>
      <c r="U3394">
        <v>-3.1636510000000002</v>
      </c>
      <c r="V3394">
        <v>0.23322999999999999</v>
      </c>
      <c r="W3394">
        <v>3.6366549999999999E-3</v>
      </c>
      <c r="X3394">
        <v>0.97241480000000002</v>
      </c>
      <c r="Y3394">
        <v>0.56614430000000004</v>
      </c>
      <c r="Z3394">
        <v>5.7585579999999997E-2</v>
      </c>
      <c r="AA3394">
        <v>0.82229219999999903</v>
      </c>
      <c r="AB3394">
        <v>21</v>
      </c>
      <c r="AC3394">
        <v>1.6821999999999899</v>
      </c>
      <c r="AD3394">
        <v>-1.1013492022839999</v>
      </c>
      <c r="AE3394">
        <v>-8.4693000000000005</v>
      </c>
      <c r="AF3394">
        <v>4.9003278587598</v>
      </c>
      <c r="AG3394">
        <v>-1.1013492022839999</v>
      </c>
      <c r="AH3394">
        <v>6.9410105625378096</v>
      </c>
      <c r="AI3394">
        <v>97.385701922655997</v>
      </c>
      <c r="AJ3394">
        <v>54.778049323609999</v>
      </c>
      <c r="AK3394">
        <v>8.5676023961182093</v>
      </c>
      <c r="AL3394">
        <v>89.791634557819705</v>
      </c>
      <c r="AM3394">
        <v>76.512598867861101</v>
      </c>
      <c r="AN3394">
        <v>1.0000000007093099</v>
      </c>
    </row>
    <row r="3395" spans="1:40" x14ac:dyDescent="0.3">
      <c r="A3395" t="str">
        <f>"20200111160522509"</f>
        <v>20200111160522509</v>
      </c>
      <c r="B3395" t="str">
        <f>"1578729922504583"</f>
        <v>1578729922504583</v>
      </c>
      <c r="C3395" t="s">
        <v>40</v>
      </c>
      <c r="D3395">
        <v>5.2632029999999999</v>
      </c>
      <c r="E3395">
        <v>0.66665739999999996</v>
      </c>
      <c r="F3395" t="s">
        <v>56</v>
      </c>
      <c r="G3395">
        <v>-190.64529999999999</v>
      </c>
      <c r="H3395" s="1">
        <v>6.7976309999999997E-6</v>
      </c>
      <c r="I3395">
        <v>202.34219999999999</v>
      </c>
      <c r="J3395">
        <v>-192.17359999999999</v>
      </c>
      <c r="K3395">
        <v>1.101315</v>
      </c>
      <c r="L3395">
        <v>210.66300000000001</v>
      </c>
      <c r="M3395">
        <v>0.71339750000000002</v>
      </c>
      <c r="N3395">
        <v>0</v>
      </c>
      <c r="O3395">
        <v>-0.70057969999999903</v>
      </c>
      <c r="P3395">
        <v>0.52948459999999997</v>
      </c>
      <c r="Q3395">
        <v>-4.0310479999999997E-3</v>
      </c>
      <c r="R3395">
        <v>-0.84831019999999902</v>
      </c>
      <c r="S3395">
        <v>0.62321470000000001</v>
      </c>
      <c r="T3395">
        <v>-0.4115433</v>
      </c>
      <c r="U3395">
        <v>-3.1686709999999998</v>
      </c>
      <c r="V3395">
        <v>0.2344646</v>
      </c>
      <c r="W3395">
        <v>6.0913819999999898E-3</v>
      </c>
      <c r="X3395">
        <v>0.97210560000000001</v>
      </c>
      <c r="Y3395">
        <v>0.56471969999999905</v>
      </c>
      <c r="Z3395">
        <v>6.0784440000000002E-2</v>
      </c>
      <c r="AA3395">
        <v>0.82304129999999998</v>
      </c>
      <c r="AB3395">
        <v>21</v>
      </c>
      <c r="AC3395">
        <v>1.5283</v>
      </c>
      <c r="AD3395">
        <v>-1.101308202369</v>
      </c>
      <c r="AE3395">
        <v>-8.3207999999999895</v>
      </c>
      <c r="AF3395">
        <v>4.7848688997983801</v>
      </c>
      <c r="AG3395">
        <v>-1.101308202369</v>
      </c>
      <c r="AH3395">
        <v>6.8052172061922596</v>
      </c>
      <c r="AI3395">
        <v>97.541222394891307</v>
      </c>
      <c r="AJ3395">
        <v>54.888267409160498</v>
      </c>
      <c r="AK3395">
        <v>8.3915928981521901</v>
      </c>
      <c r="AL3395">
        <v>89.650987370550993</v>
      </c>
      <c r="AM3395">
        <v>76.439679081281596</v>
      </c>
      <c r="AN3395">
        <v>1.00000002556959</v>
      </c>
    </row>
    <row r="3396" spans="1:40" x14ac:dyDescent="0.3">
      <c r="A3396" t="str">
        <f>"20200111160522531"</f>
        <v>20200111160522531</v>
      </c>
      <c r="B3396" t="str">
        <f>"1578729922525079"</f>
        <v>1578729922525079</v>
      </c>
      <c r="C3396" t="s">
        <v>40</v>
      </c>
      <c r="D3396">
        <v>5.4596309999999999</v>
      </c>
      <c r="E3396">
        <v>0.66688979999999998</v>
      </c>
      <c r="F3396" t="s">
        <v>41</v>
      </c>
      <c r="G3396">
        <v>-190.35319999999999</v>
      </c>
      <c r="H3396" s="1">
        <v>-3.7530919999999999E-6</v>
      </c>
      <c r="I3396">
        <v>198.11859999999999</v>
      </c>
      <c r="J3396">
        <v>-192.03100000000001</v>
      </c>
      <c r="K3396">
        <v>1.101286</v>
      </c>
      <c r="L3396">
        <v>210.49459999999999</v>
      </c>
      <c r="M3396">
        <v>0.70125109999999902</v>
      </c>
      <c r="N3396">
        <v>0</v>
      </c>
      <c r="O3396">
        <v>-0.7127365</v>
      </c>
      <c r="P3396">
        <v>0.51436899999999997</v>
      </c>
      <c r="Q3396">
        <v>-1.907611E-3</v>
      </c>
      <c r="R3396">
        <v>-0.85756730000000003</v>
      </c>
      <c r="S3396">
        <v>0.47038269999999999</v>
      </c>
      <c r="T3396">
        <v>-0.28458169999999999</v>
      </c>
      <c r="U3396">
        <v>-3.2414860000000001</v>
      </c>
      <c r="V3396">
        <v>0.23503859999999999</v>
      </c>
      <c r="W3396">
        <v>8.2122989999999993E-3</v>
      </c>
      <c r="X3396">
        <v>0.97195140000000002</v>
      </c>
      <c r="Y3396">
        <v>0.59155839999999904</v>
      </c>
      <c r="Z3396">
        <v>4.1854370000000002E-2</v>
      </c>
      <c r="AA3396">
        <v>0.80517510000000003</v>
      </c>
      <c r="AB3396">
        <v>21</v>
      </c>
      <c r="AC3396">
        <v>1.67779999999999</v>
      </c>
      <c r="AD3396">
        <v>-1.1012897530920001</v>
      </c>
      <c r="AE3396">
        <v>-12.375999999999999</v>
      </c>
      <c r="AF3396">
        <v>7.4260612446729803</v>
      </c>
      <c r="AG3396">
        <v>-1.1012897530920001</v>
      </c>
      <c r="AH3396">
        <v>9.9215082579022607</v>
      </c>
      <c r="AI3396">
        <v>95.078246218837904</v>
      </c>
      <c r="AJ3396">
        <v>53.1858406001151</v>
      </c>
      <c r="AK3396">
        <v>12.441686012816801</v>
      </c>
      <c r="AL3396">
        <v>89.529464663853403</v>
      </c>
      <c r="AM3396">
        <v>76.405635412907799</v>
      </c>
      <c r="AN3396">
        <v>1.00000005465339</v>
      </c>
    </row>
    <row r="3397" spans="1:40" x14ac:dyDescent="0.3">
      <c r="A3397" t="str">
        <f>"20200111160522554"</f>
        <v>20200111160522554</v>
      </c>
      <c r="B3397" t="str">
        <f>"1578729922544603"</f>
        <v>1578729922544603</v>
      </c>
      <c r="C3397" t="s">
        <v>40</v>
      </c>
      <c r="D3397">
        <v>5.4574930000000004</v>
      </c>
      <c r="E3397">
        <v>0.6494259</v>
      </c>
      <c r="F3397" t="s">
        <v>41</v>
      </c>
      <c r="G3397">
        <v>-190.37020000000001</v>
      </c>
      <c r="H3397" s="1">
        <v>-3.4381979999999999E-6</v>
      </c>
      <c r="I3397">
        <v>197.3741</v>
      </c>
      <c r="J3397">
        <v>-191.90029999999999</v>
      </c>
      <c r="K3397">
        <v>1.101261</v>
      </c>
      <c r="L3397">
        <v>210.3349</v>
      </c>
      <c r="M3397">
        <v>0.68961949999999905</v>
      </c>
      <c r="N3397">
        <v>0</v>
      </c>
      <c r="O3397">
        <v>-0.72399650000000004</v>
      </c>
      <c r="P3397">
        <v>0.5012143</v>
      </c>
      <c r="Q3397" s="1">
        <v>3.0738299999999997E-5</v>
      </c>
      <c r="R3397">
        <v>-0.86532350000000002</v>
      </c>
      <c r="S3397">
        <v>0.411499</v>
      </c>
      <c r="T3397">
        <v>-0.27286820000000001</v>
      </c>
      <c r="U3397">
        <v>-3.2509000000000001</v>
      </c>
      <c r="V3397">
        <v>0.2341907</v>
      </c>
      <c r="W3397">
        <v>1.0187750000000001E-2</v>
      </c>
      <c r="X3397">
        <v>0.97213729999999998</v>
      </c>
      <c r="Y3397">
        <v>0.59317949999999997</v>
      </c>
      <c r="Z3397">
        <v>4.131021E-2</v>
      </c>
      <c r="AA3397">
        <v>0.80400969999999905</v>
      </c>
      <c r="AB3397">
        <v>21</v>
      </c>
      <c r="AC3397">
        <v>1.53009999999997</v>
      </c>
      <c r="AD3397">
        <v>-1.1012644381979999</v>
      </c>
      <c r="AE3397">
        <v>-12.960800000000001</v>
      </c>
      <c r="AF3397">
        <v>7.7758602861902597</v>
      </c>
      <c r="AG3397">
        <v>-1.1012644381979999</v>
      </c>
      <c r="AH3397">
        <v>10.3662739546529</v>
      </c>
      <c r="AI3397">
        <v>94.857536380593302</v>
      </c>
      <c r="AJ3397">
        <v>53.126017551559599</v>
      </c>
      <c r="AK3397">
        <v>13.0052459513884</v>
      </c>
      <c r="AL3397">
        <v>89.416274825717295</v>
      </c>
      <c r="AM3397">
        <v>76.455361596752596</v>
      </c>
      <c r="AN3397">
        <v>1.0000000021339199</v>
      </c>
    </row>
    <row r="3398" spans="1:40" x14ac:dyDescent="0.3">
      <c r="A3398" t="str">
        <f>"20200111160522575"</f>
        <v>20200111160522575</v>
      </c>
      <c r="B3398" t="str">
        <f>"1578729922565096"</f>
        <v>1578729922565096</v>
      </c>
      <c r="C3398" t="s">
        <v>40</v>
      </c>
      <c r="D3398">
        <v>5.4766110000000001</v>
      </c>
      <c r="E3398">
        <v>0.64751630000000004</v>
      </c>
      <c r="F3398" t="s">
        <v>56</v>
      </c>
      <c r="G3398">
        <v>-190.47810000000001</v>
      </c>
      <c r="H3398" s="1">
        <v>7.2983320000000001E-6</v>
      </c>
      <c r="I3398">
        <v>201.05170000000001</v>
      </c>
      <c r="J3398">
        <v>-191.77010000000001</v>
      </c>
      <c r="K3398">
        <v>1.1012500000000001</v>
      </c>
      <c r="L3398">
        <v>210.17009999999999</v>
      </c>
      <c r="M3398">
        <v>0.67749559999999998</v>
      </c>
      <c r="N3398">
        <v>0</v>
      </c>
      <c r="O3398">
        <v>-0.73535319999999904</v>
      </c>
      <c r="P3398">
        <v>0.48773650000000002</v>
      </c>
      <c r="Q3398">
        <v>1.911657E-3</v>
      </c>
      <c r="R3398">
        <v>-0.87298889999999996</v>
      </c>
      <c r="S3398">
        <v>0.48783870000000001</v>
      </c>
      <c r="T3398">
        <v>-0.37775320000000001</v>
      </c>
      <c r="U3398">
        <v>-3.1843569999999999</v>
      </c>
      <c r="V3398">
        <v>0.2331568</v>
      </c>
      <c r="W3398">
        <v>1.211215E-2</v>
      </c>
      <c r="X3398">
        <v>0.97236369999999905</v>
      </c>
      <c r="Y3398">
        <v>0.55830400000000002</v>
      </c>
      <c r="Z3398">
        <v>6.1656750000000003E-2</v>
      </c>
      <c r="AA3398">
        <v>0.82734219999999903</v>
      </c>
      <c r="AB3398">
        <v>20</v>
      </c>
      <c r="AC3398">
        <v>1.292</v>
      </c>
      <c r="AD3398">
        <v>-1.101242701668</v>
      </c>
      <c r="AE3398">
        <v>-9.1183999999999799</v>
      </c>
      <c r="AF3398">
        <v>5.1545637152336701</v>
      </c>
      <c r="AG3398">
        <v>-1.101242701668</v>
      </c>
      <c r="AH3398">
        <v>7.4746593029492097</v>
      </c>
      <c r="AI3398">
        <v>96.915449565292207</v>
      </c>
      <c r="AJ3398">
        <v>55.409652776985503</v>
      </c>
      <c r="AK3398">
        <v>9.1461901509615302</v>
      </c>
      <c r="AL3398">
        <v>89.306007941912597</v>
      </c>
      <c r="AM3398">
        <v>76.515994642660004</v>
      </c>
      <c r="AN3398">
        <v>0.99999998132077506</v>
      </c>
    </row>
    <row r="3399" spans="1:40" x14ac:dyDescent="0.3">
      <c r="A3399" t="str">
        <f>"20200111160522599"</f>
        <v>20200111160522599</v>
      </c>
      <c r="B3399" t="str">
        <f>"1578729922595352"</f>
        <v>1578729922595352</v>
      </c>
      <c r="C3399" t="s">
        <v>40</v>
      </c>
      <c r="D3399">
        <v>5.4281629999999996</v>
      </c>
      <c r="E3399">
        <v>0.63778049999999997</v>
      </c>
      <c r="F3399" t="s">
        <v>56</v>
      </c>
      <c r="G3399">
        <v>-190.45920000000001</v>
      </c>
      <c r="H3399" s="1">
        <v>7.3412600000000001E-6</v>
      </c>
      <c r="I3399">
        <v>200.94450000000001</v>
      </c>
      <c r="J3399">
        <v>-191.6386</v>
      </c>
      <c r="K3399">
        <v>1.1012249999999999</v>
      </c>
      <c r="L3399">
        <v>209.9975</v>
      </c>
      <c r="M3399">
        <v>0.6646784</v>
      </c>
      <c r="N3399">
        <v>0</v>
      </c>
      <c r="O3399">
        <v>-0.74695789999999995</v>
      </c>
      <c r="P3399">
        <v>0.47435310000000003</v>
      </c>
      <c r="Q3399">
        <v>2.462035E-3</v>
      </c>
      <c r="R3399">
        <v>-0.88033150000000004</v>
      </c>
      <c r="S3399">
        <v>0.45251459999999999</v>
      </c>
      <c r="T3399">
        <v>-0.38012770000000001</v>
      </c>
      <c r="U3399">
        <v>-3.1844939999999999</v>
      </c>
      <c r="V3399">
        <v>0.2311994</v>
      </c>
      <c r="W3399">
        <v>1.273151E-2</v>
      </c>
      <c r="X3399">
        <v>0.97282310000000005</v>
      </c>
      <c r="Y3399">
        <v>0.55297319999999905</v>
      </c>
      <c r="Z3399">
        <v>6.4228350000000003E-2</v>
      </c>
      <c r="AA3399">
        <v>0.83071980000000001</v>
      </c>
      <c r="AB3399">
        <v>20</v>
      </c>
      <c r="AC3399">
        <v>1.17939999999998</v>
      </c>
      <c r="AD3399">
        <v>-1.10121765874</v>
      </c>
      <c r="AE3399">
        <v>-9.0529999999999902</v>
      </c>
      <c r="AF3399">
        <v>5.0633602606601302</v>
      </c>
      <c r="AG3399">
        <v>-1.10121765874</v>
      </c>
      <c r="AH3399">
        <v>7.438866798596</v>
      </c>
      <c r="AI3399">
        <v>96.976987997120006</v>
      </c>
      <c r="AJ3399">
        <v>55.758335965572897</v>
      </c>
      <c r="AK3399">
        <v>9.0657066303960594</v>
      </c>
      <c r="AL3399">
        <v>89.270518515948098</v>
      </c>
      <c r="AM3399">
        <v>76.631200913587506</v>
      </c>
      <c r="AN3399">
        <v>1.0000000189004199</v>
      </c>
    </row>
    <row r="3400" spans="1:40" x14ac:dyDescent="0.3">
      <c r="A3400" t="str">
        <f>"20200111160522621"</f>
        <v>20200111160522621</v>
      </c>
      <c r="B3400" t="str">
        <f>"1578729922614874"</f>
        <v>1578729922614874</v>
      </c>
      <c r="C3400" t="s">
        <v>40</v>
      </c>
      <c r="D3400">
        <v>5.4178050000000004</v>
      </c>
      <c r="E3400">
        <v>0.63772030000000002</v>
      </c>
      <c r="F3400" t="s">
        <v>56</v>
      </c>
      <c r="G3400">
        <v>-190.28540000000001</v>
      </c>
      <c r="H3400" s="1">
        <v>7.3783489999999899E-6</v>
      </c>
      <c r="I3400">
        <v>200.97040000000001</v>
      </c>
      <c r="J3400">
        <v>-191.51009999999999</v>
      </c>
      <c r="K3400">
        <v>1.1011949999999999</v>
      </c>
      <c r="L3400">
        <v>209.82259999999999</v>
      </c>
      <c r="M3400">
        <v>0.65156429999999999</v>
      </c>
      <c r="N3400">
        <v>0</v>
      </c>
      <c r="O3400">
        <v>-0.75842359999999998</v>
      </c>
      <c r="P3400">
        <v>0.4607214</v>
      </c>
      <c r="Q3400">
        <v>2.6035250000000002E-3</v>
      </c>
      <c r="R3400">
        <v>-0.88754109999999997</v>
      </c>
      <c r="S3400">
        <v>0.47280879999999997</v>
      </c>
      <c r="T3400">
        <v>-0.38476909999999998</v>
      </c>
      <c r="U3400">
        <v>-3.1541139999999999</v>
      </c>
      <c r="V3400">
        <v>0.22925770000000001</v>
      </c>
      <c r="W3400">
        <v>1.2939869999999999E-2</v>
      </c>
      <c r="X3400">
        <v>0.97327969999999997</v>
      </c>
      <c r="Y3400">
        <v>0.53202280000000002</v>
      </c>
      <c r="Z3400">
        <v>6.8454249999999994E-2</v>
      </c>
      <c r="AA3400">
        <v>0.84395830000000005</v>
      </c>
      <c r="AB3400">
        <v>20</v>
      </c>
      <c r="AC3400">
        <v>1.2246999999999799</v>
      </c>
      <c r="AD3400">
        <v>-1.1011876216509999</v>
      </c>
      <c r="AE3400">
        <v>-8.8521999999999803</v>
      </c>
      <c r="AF3400">
        <v>4.76717474180826</v>
      </c>
      <c r="AG3400">
        <v>-1.1011876216509999</v>
      </c>
      <c r="AH3400">
        <v>7.4002899331791401</v>
      </c>
      <c r="AI3400">
        <v>97.130340698153702</v>
      </c>
      <c r="AJ3400">
        <v>57.210869222915498</v>
      </c>
      <c r="AK3400">
        <v>8.8714632554119603</v>
      </c>
      <c r="AL3400">
        <v>89.258579335735803</v>
      </c>
      <c r="AM3400">
        <v>76.745496042334693</v>
      </c>
      <c r="AN3400">
        <v>0.99999995383849705</v>
      </c>
    </row>
    <row r="3401" spans="1:40" x14ac:dyDescent="0.3">
      <c r="A3401" t="str">
        <f>"20200111160522644"</f>
        <v>20200111160522644</v>
      </c>
      <c r="B3401" t="str">
        <f>"1578729922635367"</f>
        <v>1578729922635367</v>
      </c>
      <c r="C3401" t="s">
        <v>40</v>
      </c>
      <c r="D3401">
        <v>5.3887710000000002</v>
      </c>
      <c r="E3401">
        <v>0.64191309999999902</v>
      </c>
      <c r="F3401" t="s">
        <v>56</v>
      </c>
      <c r="G3401">
        <v>-190.2944</v>
      </c>
      <c r="H3401" s="1">
        <v>7.445096E-6</v>
      </c>
      <c r="I3401">
        <v>200.7748</v>
      </c>
      <c r="J3401">
        <v>-191.38990000000001</v>
      </c>
      <c r="K3401">
        <v>1.1011629999999999</v>
      </c>
      <c r="L3401">
        <v>209.65270000000001</v>
      </c>
      <c r="M3401">
        <v>0.63870579999999999</v>
      </c>
      <c r="N3401">
        <v>0</v>
      </c>
      <c r="O3401">
        <v>-0.76928289999999999</v>
      </c>
      <c r="P3401">
        <v>0.44719540000000002</v>
      </c>
      <c r="Q3401">
        <v>2.4607240000000001E-3</v>
      </c>
      <c r="R3401">
        <v>-0.89443309999999998</v>
      </c>
      <c r="S3401">
        <v>0.42468260000000002</v>
      </c>
      <c r="T3401">
        <v>-0.38468659999999999</v>
      </c>
      <c r="U3401">
        <v>-3.1607669999999999</v>
      </c>
      <c r="V3401">
        <v>0.2276482</v>
      </c>
      <c r="W3401">
        <v>1.2853089999999999E-2</v>
      </c>
      <c r="X3401">
        <v>0.97365860000000004</v>
      </c>
      <c r="Y3401">
        <v>0.53065410000000002</v>
      </c>
      <c r="Z3401">
        <v>7.0252190000000006E-2</v>
      </c>
      <c r="AA3401">
        <v>0.84467199999999998</v>
      </c>
      <c r="AB3401">
        <v>20</v>
      </c>
      <c r="AC3401">
        <v>1.0955000000000099</v>
      </c>
      <c r="AD3401">
        <v>-1.101155554904</v>
      </c>
      <c r="AE3401">
        <v>-8.8779000000000092</v>
      </c>
      <c r="AF3401">
        <v>4.7561686789684297</v>
      </c>
      <c r="AG3401">
        <v>-1.101155554904</v>
      </c>
      <c r="AH3401">
        <v>7.4178858828194398</v>
      </c>
      <c r="AI3401">
        <v>97.1230460133837</v>
      </c>
      <c r="AJ3401">
        <v>57.332991184076597</v>
      </c>
      <c r="AK3401">
        <v>8.8802429600449706</v>
      </c>
      <c r="AL3401">
        <v>89.263551901756202</v>
      </c>
      <c r="AM3401">
        <v>76.840242366178998</v>
      </c>
      <c r="AN3401">
        <v>0.99999998711987403</v>
      </c>
    </row>
    <row r="3402" spans="1:40" x14ac:dyDescent="0.3">
      <c r="A3402" t="str">
        <f>"20200111160522665"</f>
        <v>20200111160522665</v>
      </c>
      <c r="B3402" t="str">
        <f>"1578729922654888"</f>
        <v>1578729922654888</v>
      </c>
      <c r="C3402" t="s">
        <v>40</v>
      </c>
      <c r="D3402">
        <v>5.2512949999999998</v>
      </c>
      <c r="E3402">
        <v>0.67562040000000001</v>
      </c>
      <c r="F3402" t="s">
        <v>56</v>
      </c>
      <c r="G3402">
        <v>-190.34569999999999</v>
      </c>
      <c r="H3402" s="1">
        <v>7.6911330000000002E-6</v>
      </c>
      <c r="I3402">
        <v>200.0402</v>
      </c>
      <c r="J3402">
        <v>-191.27719999999999</v>
      </c>
      <c r="K3402">
        <v>1.1011409999999999</v>
      </c>
      <c r="L3402">
        <v>209.48699999999999</v>
      </c>
      <c r="M3402">
        <v>0.62606379999999995</v>
      </c>
      <c r="N3402">
        <v>0</v>
      </c>
      <c r="O3402">
        <v>-0.7796052</v>
      </c>
      <c r="P3402">
        <v>0.43395689999999998</v>
      </c>
      <c r="Q3402">
        <v>2.550124E-3</v>
      </c>
      <c r="R3402">
        <v>-0.90093020000000001</v>
      </c>
      <c r="S3402">
        <v>0.34568789999999999</v>
      </c>
      <c r="T3402">
        <v>-0.3645408</v>
      </c>
      <c r="U3402">
        <v>-3.1822509999999999</v>
      </c>
      <c r="V3402">
        <v>0.22611729999999999</v>
      </c>
      <c r="W3402">
        <v>1.299614E-2</v>
      </c>
      <c r="X3402">
        <v>0.97401340000000003</v>
      </c>
      <c r="Y3402">
        <v>0.53822399999999904</v>
      </c>
      <c r="Z3402">
        <v>6.7602869999999995E-2</v>
      </c>
      <c r="AA3402">
        <v>0.84008619999999901</v>
      </c>
      <c r="AB3402">
        <v>20</v>
      </c>
      <c r="AC3402">
        <v>0.931499999999999</v>
      </c>
      <c r="AD3402">
        <v>-1.1011333088669999</v>
      </c>
      <c r="AE3402">
        <v>-9.4467999999999908</v>
      </c>
      <c r="AF3402">
        <v>5.1198796004259597</v>
      </c>
      <c r="AG3402">
        <v>-1.1011333088669999</v>
      </c>
      <c r="AH3402">
        <v>7.8434461652962399</v>
      </c>
      <c r="AI3402">
        <v>96.704905902645194</v>
      </c>
      <c r="AJ3402">
        <v>56.865147307191997</v>
      </c>
      <c r="AK3402">
        <v>9.4310820924565508</v>
      </c>
      <c r="AL3402">
        <v>89.255355078874501</v>
      </c>
      <c r="AM3402">
        <v>76.930288797644494</v>
      </c>
      <c r="AN3402">
        <v>1.00000001819687</v>
      </c>
    </row>
    <row r="3403" spans="1:40" x14ac:dyDescent="0.3">
      <c r="A3403" t="str">
        <f>"20200111160522711"</f>
        <v>20200111160522711</v>
      </c>
      <c r="B3403" t="str">
        <f>"1578729922704666"</f>
        <v>1578729922704666</v>
      </c>
      <c r="C3403" t="s">
        <v>40</v>
      </c>
      <c r="D3403">
        <v>5.2579370000000001</v>
      </c>
      <c r="E3403">
        <v>0.67227689999999996</v>
      </c>
      <c r="F3403" t="s">
        <v>41</v>
      </c>
      <c r="G3403">
        <v>-190.99369999999999</v>
      </c>
      <c r="H3403" s="1">
        <v>-3.5685179999999898E-7</v>
      </c>
      <c r="I3403">
        <v>189.80459999999999</v>
      </c>
      <c r="J3403">
        <v>-191.04490000000001</v>
      </c>
      <c r="K3403">
        <v>1.1010949999999999</v>
      </c>
      <c r="L3403">
        <v>209.125</v>
      </c>
      <c r="M3403">
        <v>0.59813570000000005</v>
      </c>
      <c r="N3403">
        <v>0</v>
      </c>
      <c r="O3403">
        <v>-0.80123159999999904</v>
      </c>
      <c r="P3403">
        <v>0.40348709999999999</v>
      </c>
      <c r="Q3403">
        <v>3.8350930000000002E-4</v>
      </c>
      <c r="R3403">
        <v>-0.91498520000000005</v>
      </c>
      <c r="S3403">
        <v>4.7637939999999997E-2</v>
      </c>
      <c r="T3403">
        <v>-0.18503919999999999</v>
      </c>
      <c r="U3403">
        <v>-3.30748</v>
      </c>
      <c r="V3403">
        <v>0.22434370000000001</v>
      </c>
      <c r="W3403">
        <v>1.090964E-2</v>
      </c>
      <c r="X3403">
        <v>0.97444900000000001</v>
      </c>
      <c r="Y3403">
        <v>0.58652249999999995</v>
      </c>
      <c r="Z3403">
        <v>3.393666E-2</v>
      </c>
      <c r="AA3403">
        <v>0.80922169999999904</v>
      </c>
      <c r="AB3403">
        <v>20</v>
      </c>
      <c r="AC3403">
        <v>5.12000000000227E-2</v>
      </c>
      <c r="AD3403">
        <v>-1.1010953568518</v>
      </c>
      <c r="AE3403">
        <v>-19.320399999999999</v>
      </c>
      <c r="AF3403">
        <v>11.4794194162388</v>
      </c>
      <c r="AG3403">
        <v>-1.1010953568518</v>
      </c>
      <c r="AH3403">
        <v>15.4625466284122</v>
      </c>
      <c r="AI3403">
        <v>93.272394380988104</v>
      </c>
      <c r="AJ3403">
        <v>53.409747933699997</v>
      </c>
      <c r="AK3403">
        <v>19.289370890586898</v>
      </c>
      <c r="AL3403">
        <v>89.374911262363099</v>
      </c>
      <c r="AM3403">
        <v>77.034926405708106</v>
      </c>
      <c r="AN3403">
        <v>0.99999998478780905</v>
      </c>
    </row>
    <row r="3404" spans="1:40" x14ac:dyDescent="0.3">
      <c r="A3404" t="str">
        <f>"20200111160522732"</f>
        <v>20200111160522732</v>
      </c>
      <c r="B3404" t="str">
        <f>"1578729922725159"</f>
        <v>1578729922725159</v>
      </c>
      <c r="C3404" t="s">
        <v>40</v>
      </c>
      <c r="D3404">
        <v>5.4346940000000004</v>
      </c>
      <c r="E3404">
        <v>0.66714659999999903</v>
      </c>
      <c r="F3404" t="s">
        <v>41</v>
      </c>
      <c r="G3404">
        <v>-191.25470000000001</v>
      </c>
      <c r="H3404" s="1">
        <v>-1.019064E-6</v>
      </c>
      <c r="I3404">
        <v>191.18639999999999</v>
      </c>
      <c r="J3404">
        <v>-190.9375</v>
      </c>
      <c r="K3404">
        <v>1.101086</v>
      </c>
      <c r="L3404">
        <v>208.94730000000001</v>
      </c>
      <c r="M3404">
        <v>0.58426080000000002</v>
      </c>
      <c r="N3404">
        <v>0</v>
      </c>
      <c r="O3404">
        <v>-0.81140449999999997</v>
      </c>
      <c r="P3404">
        <v>0.38829239999999998</v>
      </c>
      <c r="Q3404">
        <v>-9.5937959999999999E-4</v>
      </c>
      <c r="R3404">
        <v>-0.92153580000000002</v>
      </c>
      <c r="S3404">
        <v>-3.8543699999999903E-2</v>
      </c>
      <c r="T3404">
        <v>-0.20230200000000001</v>
      </c>
      <c r="U3404">
        <v>-3.2958370000000001</v>
      </c>
      <c r="V3404">
        <v>0.2236696</v>
      </c>
      <c r="W3404">
        <v>9.6036560000000003E-3</v>
      </c>
      <c r="X3404">
        <v>0.97461770000000003</v>
      </c>
      <c r="Y3404">
        <v>0.59365889999999999</v>
      </c>
      <c r="Z3404">
        <v>3.7948030000000001E-2</v>
      </c>
      <c r="AA3404">
        <v>0.80382159999999903</v>
      </c>
      <c r="AB3404">
        <v>20</v>
      </c>
      <c r="AC3404">
        <v>-0.31720000000001303</v>
      </c>
      <c r="AD3404">
        <v>-1.1010870190639901</v>
      </c>
      <c r="AE3404">
        <v>-17.760899999999999</v>
      </c>
      <c r="AF3404">
        <v>10.5950609562334</v>
      </c>
      <c r="AG3404">
        <v>-1.1010870190639901</v>
      </c>
      <c r="AH3404">
        <v>14.1733547930183</v>
      </c>
      <c r="AI3404">
        <v>93.560540515343803</v>
      </c>
      <c r="AJ3404">
        <v>53.220645387012503</v>
      </c>
      <c r="AK3404">
        <v>17.7299660286936</v>
      </c>
      <c r="AL3404">
        <v>89.449742579552805</v>
      </c>
      <c r="AM3404">
        <v>77.074735302128602</v>
      </c>
      <c r="AN3404">
        <v>0.99999999066300804</v>
      </c>
    </row>
    <row r="3405" spans="1:40" x14ac:dyDescent="0.3">
      <c r="A3405" t="str">
        <f>"20200111160522756"</f>
        <v>20200111160522756</v>
      </c>
      <c r="B3405" t="str">
        <f>"1578729922744683"</f>
        <v>1578729922744683</v>
      </c>
      <c r="C3405" t="s">
        <v>40</v>
      </c>
      <c r="D3405">
        <v>5.4304800000000002</v>
      </c>
      <c r="E3405">
        <v>0.66519300000000003</v>
      </c>
      <c r="F3405" t="s">
        <v>41</v>
      </c>
      <c r="G3405">
        <v>-191.19540000000001</v>
      </c>
      <c r="H3405" s="1">
        <v>-1.9353330000000002E-6</v>
      </c>
      <c r="I3405">
        <v>193.35900000000001</v>
      </c>
      <c r="J3405">
        <v>-190.8331</v>
      </c>
      <c r="K3405">
        <v>1.101081</v>
      </c>
      <c r="L3405">
        <v>208.76759999999999</v>
      </c>
      <c r="M3405">
        <v>0.57013879999999995</v>
      </c>
      <c r="N3405">
        <v>0</v>
      </c>
      <c r="O3405">
        <v>-0.82138849999999997</v>
      </c>
      <c r="P3405">
        <v>0.37287179999999998</v>
      </c>
      <c r="Q3405">
        <v>-2.1546E-3</v>
      </c>
      <c r="R3405">
        <v>-0.92788079999999995</v>
      </c>
      <c r="S3405">
        <v>-5.4229739999999999E-2</v>
      </c>
      <c r="T3405">
        <v>-0.23154710000000001</v>
      </c>
      <c r="U3405">
        <v>-3.2780459999999998</v>
      </c>
      <c r="V3405">
        <v>0.2230355</v>
      </c>
      <c r="W3405">
        <v>8.4454639999999997E-3</v>
      </c>
      <c r="X3405">
        <v>0.97477380000000002</v>
      </c>
      <c r="Y3405">
        <v>0.58355809999999997</v>
      </c>
      <c r="Z3405">
        <v>4.4951190000000002E-2</v>
      </c>
      <c r="AA3405">
        <v>0.81082619999999905</v>
      </c>
      <c r="AB3405">
        <v>20</v>
      </c>
      <c r="AC3405">
        <v>-0.36230000000000401</v>
      </c>
      <c r="AD3405">
        <v>-1.1010829353330001</v>
      </c>
      <c r="AE3405">
        <v>-15.4085999999999</v>
      </c>
      <c r="AF3405">
        <v>9.0376984354158498</v>
      </c>
      <c r="AG3405">
        <v>-1.1010829353330001</v>
      </c>
      <c r="AH3405">
        <v>12.388296569919801</v>
      </c>
      <c r="AI3405">
        <v>94.107008145671202</v>
      </c>
      <c r="AJ3405">
        <v>53.887932647647602</v>
      </c>
      <c r="AK3405">
        <v>15.3740778111822</v>
      </c>
      <c r="AL3405">
        <v>89.516104833626599</v>
      </c>
      <c r="AM3405">
        <v>77.112147917495605</v>
      </c>
      <c r="AN3405">
        <v>1.0000000606444299</v>
      </c>
    </row>
    <row r="3406" spans="1:40" x14ac:dyDescent="0.3">
      <c r="A3406" t="str">
        <f>"20200111160522778"</f>
        <v>20200111160522778</v>
      </c>
      <c r="B3406" t="str">
        <f>"1578729922774936"</f>
        <v>1578729922774936</v>
      </c>
      <c r="C3406" t="s">
        <v>40</v>
      </c>
      <c r="D3406">
        <v>5.4631470000000002</v>
      </c>
      <c r="E3406">
        <v>0.64303239999999995</v>
      </c>
      <c r="F3406" t="s">
        <v>41</v>
      </c>
      <c r="G3406">
        <v>-191.26009999999999</v>
      </c>
      <c r="H3406" s="1">
        <v>-2.202551E-6</v>
      </c>
      <c r="I3406">
        <v>193.9417</v>
      </c>
      <c r="J3406">
        <v>-190.7312</v>
      </c>
      <c r="K3406">
        <v>1.1010740000000001</v>
      </c>
      <c r="L3406">
        <v>208.5847</v>
      </c>
      <c r="M3406">
        <v>0.55566349999999998</v>
      </c>
      <c r="N3406">
        <v>0</v>
      </c>
      <c r="O3406">
        <v>-0.83124880000000001</v>
      </c>
      <c r="P3406">
        <v>0.35680539999999999</v>
      </c>
      <c r="Q3406">
        <v>-2.8138109999999998E-3</v>
      </c>
      <c r="R3406">
        <v>-0.93417450000000002</v>
      </c>
      <c r="S3406">
        <v>-9.4192499999999998E-2</v>
      </c>
      <c r="T3406">
        <v>-0.24289040000000001</v>
      </c>
      <c r="U3406">
        <v>-3.2704770000000001</v>
      </c>
      <c r="V3406">
        <v>0.2227652</v>
      </c>
      <c r="W3406">
        <v>7.8131980000000004E-3</v>
      </c>
      <c r="X3406">
        <v>0.97484079999999995</v>
      </c>
      <c r="Y3406">
        <v>0.57924709999999902</v>
      </c>
      <c r="Z3406">
        <v>4.8433089999999998E-2</v>
      </c>
      <c r="AA3406">
        <v>0.81371190000000004</v>
      </c>
      <c r="AB3406">
        <v>20</v>
      </c>
      <c r="AC3406">
        <v>-0.52889999999999304</v>
      </c>
      <c r="AD3406">
        <v>-1.1010762025509999</v>
      </c>
      <c r="AE3406">
        <v>-14.642999999999899</v>
      </c>
      <c r="AF3406">
        <v>8.5291949700544691</v>
      </c>
      <c r="AG3406">
        <v>-1.1010762025509999</v>
      </c>
      <c r="AH3406">
        <v>11.8129447856628</v>
      </c>
      <c r="AI3406">
        <v>94.321630732260701</v>
      </c>
      <c r="AJ3406">
        <v>54.169922326062398</v>
      </c>
      <c r="AK3406">
        <v>14.611817140593599</v>
      </c>
      <c r="AL3406">
        <v>89.552332167625707</v>
      </c>
      <c r="AM3406">
        <v>77.128101535234904</v>
      </c>
      <c r="AN3406">
        <v>0.999999982869333</v>
      </c>
    </row>
    <row r="3407" spans="1:40" x14ac:dyDescent="0.3">
      <c r="A3407" t="str">
        <f>"20200111160522801"</f>
        <v>20200111160522801</v>
      </c>
      <c r="B3407" t="str">
        <f>"1578729922794456"</f>
        <v>1578729922794456</v>
      </c>
      <c r="C3407" t="s">
        <v>40</v>
      </c>
      <c r="D3407">
        <v>5.4015180000000003</v>
      </c>
      <c r="E3407">
        <v>0.64029199999999997</v>
      </c>
      <c r="F3407" t="s">
        <v>41</v>
      </c>
      <c r="G3407">
        <v>-190.6671</v>
      </c>
      <c r="H3407" s="1">
        <v>-3.6291539999999999E-6</v>
      </c>
      <c r="I3407">
        <v>197.63499999999999</v>
      </c>
      <c r="J3407">
        <v>-190.6301</v>
      </c>
      <c r="K3407">
        <v>1.1010690000000001</v>
      </c>
      <c r="L3407">
        <v>208.3954</v>
      </c>
      <c r="M3407">
        <v>0.54059029999999997</v>
      </c>
      <c r="N3407">
        <v>0</v>
      </c>
      <c r="O3407">
        <v>-0.84112919999999902</v>
      </c>
      <c r="P3407">
        <v>0.34059850000000003</v>
      </c>
      <c r="Q3407">
        <v>-3.7225100000000001E-3</v>
      </c>
      <c r="R3407">
        <v>-0.94020179999999998</v>
      </c>
      <c r="S3407">
        <v>1.875305E-2</v>
      </c>
      <c r="T3407">
        <v>-0.32211040000000002</v>
      </c>
      <c r="U3407">
        <v>-3.2032319999999999</v>
      </c>
      <c r="V3407">
        <v>0.22202859999999999</v>
      </c>
      <c r="W3407">
        <v>6.9444249999999997E-3</v>
      </c>
      <c r="X3407">
        <v>0.97501539999999998</v>
      </c>
      <c r="Y3407">
        <v>0.53551369999999998</v>
      </c>
      <c r="Z3407">
        <v>6.8497970000000005E-2</v>
      </c>
      <c r="AA3407">
        <v>0.841744099999999</v>
      </c>
      <c r="AB3407">
        <v>20</v>
      </c>
      <c r="AC3407">
        <v>-3.7000000000006097E-2</v>
      </c>
      <c r="AD3407">
        <v>-1.1010726291540001</v>
      </c>
      <c r="AE3407">
        <v>-10.760400000000001</v>
      </c>
      <c r="AF3407">
        <v>5.7882548718493299</v>
      </c>
      <c r="AG3407">
        <v>-1.1010726291540001</v>
      </c>
      <c r="AH3407">
        <v>8.9384852375897896</v>
      </c>
      <c r="AI3407">
        <v>95.903243911636196</v>
      </c>
      <c r="AJ3407">
        <v>57.0742979503149</v>
      </c>
      <c r="AK3407">
        <v>10.7057355533737</v>
      </c>
      <c r="AL3407">
        <v>89.602110549218807</v>
      </c>
      <c r="AM3407">
        <v>77.171474669454099</v>
      </c>
      <c r="AN3407">
        <v>0.99999997724684997</v>
      </c>
    </row>
    <row r="3408" spans="1:40" x14ac:dyDescent="0.3">
      <c r="A3408" t="str">
        <f>"20200111160522824"</f>
        <v>20200111160522824</v>
      </c>
      <c r="B3408" t="str">
        <f>"1578729922814951"</f>
        <v>1578729922814951</v>
      </c>
      <c r="C3408" t="s">
        <v>40</v>
      </c>
      <c r="D3408">
        <v>5.4249510000000001</v>
      </c>
      <c r="E3408">
        <v>0.63920749999999904</v>
      </c>
      <c r="F3408" t="s">
        <v>41</v>
      </c>
      <c r="G3408">
        <v>-190.68260000000001</v>
      </c>
      <c r="H3408" s="1">
        <v>-3.6917449999999999E-6</v>
      </c>
      <c r="I3408">
        <v>197.7713</v>
      </c>
      <c r="J3408">
        <v>-190.53229999999999</v>
      </c>
      <c r="K3408">
        <v>1.101073</v>
      </c>
      <c r="L3408">
        <v>208.20410000000001</v>
      </c>
      <c r="M3408">
        <v>0.52526139999999999</v>
      </c>
      <c r="N3408">
        <v>0</v>
      </c>
      <c r="O3408">
        <v>-0.85078539999999903</v>
      </c>
      <c r="P3408">
        <v>0.32429819999999998</v>
      </c>
      <c r="Q3408">
        <v>-5.0107729999999996E-3</v>
      </c>
      <c r="R3408">
        <v>-0.94594160000000005</v>
      </c>
      <c r="S3408">
        <v>-1.580811E-2</v>
      </c>
      <c r="T3408">
        <v>-0.3311481</v>
      </c>
      <c r="U3408">
        <v>-3.1952210000000001</v>
      </c>
      <c r="V3408">
        <v>0.22118090000000001</v>
      </c>
      <c r="W3408">
        <v>5.6979980000000001E-3</v>
      </c>
      <c r="X3408">
        <v>0.97521619999999998</v>
      </c>
      <c r="Y3408">
        <v>0.52928940000000002</v>
      </c>
      <c r="Z3408">
        <v>7.2244749999999996E-2</v>
      </c>
      <c r="AA3408">
        <v>0.84535990000000005</v>
      </c>
      <c r="AB3408">
        <v>20</v>
      </c>
      <c r="AC3408">
        <v>-0.150300000000015</v>
      </c>
      <c r="AD3408">
        <v>-1.1010766917449999</v>
      </c>
      <c r="AE3408">
        <v>-10.4328</v>
      </c>
      <c r="AF3408">
        <v>5.5467913597906104</v>
      </c>
      <c r="AG3408">
        <v>-1.1010766917449999</v>
      </c>
      <c r="AH3408">
        <v>8.7013897037337493</v>
      </c>
      <c r="AI3408">
        <v>96.090652190451394</v>
      </c>
      <c r="AJ3408">
        <v>57.484102689932897</v>
      </c>
      <c r="AK3408">
        <v>10.3775453285637</v>
      </c>
      <c r="AL3408">
        <v>89.673527011717596</v>
      </c>
      <c r="AM3408">
        <v>77.221387265167905</v>
      </c>
      <c r="AN3408">
        <v>1.0000000472242201</v>
      </c>
    </row>
    <row r="3409" spans="1:40" x14ac:dyDescent="0.3">
      <c r="A3409" t="str">
        <f>"20200111160522844"</f>
        <v>20200111160522844</v>
      </c>
      <c r="B3409" t="str">
        <f>"1578729922834471"</f>
        <v>1578729922834471</v>
      </c>
      <c r="C3409" t="s">
        <v>40</v>
      </c>
      <c r="D3409">
        <v>5.4412180000000001</v>
      </c>
      <c r="E3409">
        <v>0.62661089999999997</v>
      </c>
      <c r="F3409" t="s">
        <v>41</v>
      </c>
      <c r="G3409">
        <v>-190.73519999999999</v>
      </c>
      <c r="H3409" s="1">
        <v>-3.726784E-6</v>
      </c>
      <c r="I3409">
        <v>197.82040000000001</v>
      </c>
      <c r="J3409">
        <v>-190.45070000000001</v>
      </c>
      <c r="K3409">
        <v>1.1010799999999901</v>
      </c>
      <c r="L3409">
        <v>208.03700000000001</v>
      </c>
      <c r="M3409">
        <v>0.51181790000000005</v>
      </c>
      <c r="N3409">
        <v>0</v>
      </c>
      <c r="O3409">
        <v>-0.85893989999999998</v>
      </c>
      <c r="P3409">
        <v>0.31087769999999998</v>
      </c>
      <c r="Q3409">
        <v>-6.8907319999999897E-3</v>
      </c>
      <c r="R3409">
        <v>-0.95042510000000002</v>
      </c>
      <c r="S3409">
        <v>-6.2332150000000003E-2</v>
      </c>
      <c r="T3409">
        <v>-0.3383717</v>
      </c>
      <c r="U3409">
        <v>-3.1910099999999999</v>
      </c>
      <c r="V3409">
        <v>0.2195985</v>
      </c>
      <c r="W3409">
        <v>3.876502E-3</v>
      </c>
      <c r="X3409">
        <v>0.97558270000000002</v>
      </c>
      <c r="Y3409">
        <v>0.52826989999999996</v>
      </c>
      <c r="Z3409">
        <v>7.5186699999999995E-2</v>
      </c>
      <c r="AA3409">
        <v>0.84574099999999997</v>
      </c>
      <c r="AB3409">
        <v>20</v>
      </c>
      <c r="AC3409">
        <v>-0.28449999999997999</v>
      </c>
      <c r="AD3409">
        <v>-1.1010837267839999</v>
      </c>
      <c r="AE3409">
        <v>-10.2166</v>
      </c>
      <c r="AF3409">
        <v>5.4113265539598796</v>
      </c>
      <c r="AG3409">
        <v>-1.1010837267839999</v>
      </c>
      <c r="AH3409">
        <v>8.5319516970361899</v>
      </c>
      <c r="AI3409">
        <v>96.219695822972497</v>
      </c>
      <c r="AJ3409">
        <v>57.615392272534599</v>
      </c>
      <c r="AK3409">
        <v>10.163121577917799</v>
      </c>
      <c r="AL3409">
        <v>89.777892254616006</v>
      </c>
      <c r="AM3409">
        <v>77.314451884044402</v>
      </c>
      <c r="AN3409">
        <v>1.00000006650464</v>
      </c>
    </row>
    <row r="3410" spans="1:40" x14ac:dyDescent="0.3">
      <c r="A3410" t="str">
        <f>"20200111160522860"</f>
        <v>20200111160522860</v>
      </c>
      <c r="B3410" t="str">
        <f>"1578729922854968"</f>
        <v>1578729922854968</v>
      </c>
      <c r="C3410" t="s">
        <v>40</v>
      </c>
      <c r="D3410">
        <v>5.490335</v>
      </c>
      <c r="E3410">
        <v>0.62412409999999996</v>
      </c>
      <c r="F3410" t="s">
        <v>41</v>
      </c>
      <c r="G3410">
        <v>-190.4907</v>
      </c>
      <c r="H3410" s="1">
        <v>-3.6427380000000001E-6</v>
      </c>
      <c r="I3410">
        <v>197.77610000000001</v>
      </c>
      <c r="J3410">
        <v>-190.3827</v>
      </c>
      <c r="K3410">
        <v>1.101094</v>
      </c>
      <c r="L3410">
        <v>207.89189999999999</v>
      </c>
      <c r="M3410">
        <v>0.50010129999999997</v>
      </c>
      <c r="N3410">
        <v>0</v>
      </c>
      <c r="O3410">
        <v>-0.86581379999999997</v>
      </c>
      <c r="P3410">
        <v>0.29909269999999999</v>
      </c>
      <c r="Q3410">
        <v>-7.6097559999999996E-3</v>
      </c>
      <c r="R3410">
        <v>-0.95419419999999999</v>
      </c>
      <c r="S3410">
        <v>-1.228333E-2</v>
      </c>
      <c r="T3410">
        <v>-0.33888940000000001</v>
      </c>
      <c r="U3410">
        <v>-3.1580810000000001</v>
      </c>
      <c r="V3410">
        <v>0.21839790000000001</v>
      </c>
      <c r="W3410">
        <v>3.204166E-3</v>
      </c>
      <c r="X3410">
        <v>0.97585449999999996</v>
      </c>
      <c r="Y3410">
        <v>0.50330969999999997</v>
      </c>
      <c r="Z3410">
        <v>7.8018680000000007E-2</v>
      </c>
      <c r="AA3410">
        <v>0.86057680000000003</v>
      </c>
      <c r="AB3410">
        <v>20</v>
      </c>
      <c r="AC3410">
        <v>-0.108000000000004</v>
      </c>
      <c r="AD3410">
        <v>-1.1010976427379999</v>
      </c>
      <c r="AE3410">
        <v>-10.115799999999901</v>
      </c>
      <c r="AF3410">
        <v>5.0927825838296101</v>
      </c>
      <c r="AG3410">
        <v>-1.1010976427379999</v>
      </c>
      <c r="AH3410">
        <v>8.6036170458496706</v>
      </c>
      <c r="AI3410">
        <v>96.284801044771697</v>
      </c>
      <c r="AJ3410">
        <v>59.377222494875198</v>
      </c>
      <c r="AK3410">
        <v>10.0583834057286</v>
      </c>
      <c r="AL3410">
        <v>89.8164144893627</v>
      </c>
      <c r="AM3410">
        <v>77.384982261643998</v>
      </c>
      <c r="AN3410">
        <v>0.99999995728720603</v>
      </c>
    </row>
    <row r="3411" spans="1:40" x14ac:dyDescent="0.3">
      <c r="A3411" t="str">
        <f>"20200111160522874"</f>
        <v>20200111160522874</v>
      </c>
      <c r="B3411" t="str">
        <f>"1578729922864729"</f>
        <v>1578729922864729</v>
      </c>
      <c r="C3411" t="s">
        <v>40</v>
      </c>
      <c r="D3411">
        <v>5.4620989999999896</v>
      </c>
      <c r="E3411">
        <v>0.62303019999999998</v>
      </c>
      <c r="F3411" t="s">
        <v>41</v>
      </c>
      <c r="G3411">
        <v>-190.48840000000001</v>
      </c>
      <c r="H3411" s="1">
        <v>-3.6005079999999999E-6</v>
      </c>
      <c r="I3411">
        <v>197.67910000000001</v>
      </c>
      <c r="J3411">
        <v>-190.33240000000001</v>
      </c>
      <c r="K3411">
        <v>1.101111</v>
      </c>
      <c r="L3411">
        <v>207.7809</v>
      </c>
      <c r="M3411">
        <v>0.49111680000000002</v>
      </c>
      <c r="N3411">
        <v>0</v>
      </c>
      <c r="O3411">
        <v>-0.87094150000000004</v>
      </c>
      <c r="P3411">
        <v>0.29005560000000002</v>
      </c>
      <c r="Q3411">
        <v>-7.7725850000000003E-3</v>
      </c>
      <c r="R3411">
        <v>-0.95697869999999996</v>
      </c>
      <c r="S3411">
        <v>-3.2608030000000003E-2</v>
      </c>
      <c r="T3411">
        <v>-0.33978449999999999</v>
      </c>
      <c r="U3411">
        <v>-3.1515499999999999</v>
      </c>
      <c r="V3411">
        <v>0.2175261</v>
      </c>
      <c r="W3411">
        <v>3.0763740000000002E-3</v>
      </c>
      <c r="X3411">
        <v>0.97604970000000002</v>
      </c>
      <c r="Y3411">
        <v>0.49992769999999997</v>
      </c>
      <c r="Z3411">
        <v>7.9297999999999993E-2</v>
      </c>
      <c r="AA3411">
        <v>0.86242919999999901</v>
      </c>
      <c r="AB3411">
        <v>20</v>
      </c>
      <c r="AC3411">
        <v>-0.156000000000005</v>
      </c>
      <c r="AD3411">
        <v>-1.1011146005079999</v>
      </c>
      <c r="AE3411">
        <v>-10.1017999999999</v>
      </c>
      <c r="AF3411">
        <v>5.0378639545234503</v>
      </c>
      <c r="AG3411">
        <v>-1.1011146005079999</v>
      </c>
      <c r="AH3411">
        <v>8.6202234084936595</v>
      </c>
      <c r="AI3411">
        <v>96.293344733184</v>
      </c>
      <c r="AJ3411">
        <v>59.6969672463145</v>
      </c>
      <c r="AK3411">
        <v>10.0449379390855</v>
      </c>
      <c r="AL3411">
        <v>89.823736483069396</v>
      </c>
      <c r="AM3411">
        <v>77.436169747029098</v>
      </c>
      <c r="AN3411">
        <v>1.00000004256414</v>
      </c>
    </row>
    <row r="3412" spans="1:40" x14ac:dyDescent="0.3">
      <c r="A3412" t="str">
        <f>"20200111160522890"</f>
        <v>20200111160522890</v>
      </c>
      <c r="B3412" t="str">
        <f>"1578729922885225"</f>
        <v>1578729922885225</v>
      </c>
      <c r="C3412" t="s">
        <v>40</v>
      </c>
      <c r="D3412">
        <v>5.5127600000000001</v>
      </c>
      <c r="E3412">
        <v>0.622004</v>
      </c>
      <c r="F3412" t="s">
        <v>41</v>
      </c>
      <c r="G3412">
        <v>-190.50829999999999</v>
      </c>
      <c r="H3412" s="1">
        <v>-3.5657739999999999E-6</v>
      </c>
      <c r="I3412">
        <v>197.58580000000001</v>
      </c>
      <c r="J3412">
        <v>-190.2758</v>
      </c>
      <c r="K3412">
        <v>1.101137</v>
      </c>
      <c r="L3412">
        <v>207.65280000000001</v>
      </c>
      <c r="M3412">
        <v>0.48070669999999999</v>
      </c>
      <c r="N3412">
        <v>0</v>
      </c>
      <c r="O3412">
        <v>-0.87672989999999995</v>
      </c>
      <c r="P3412">
        <v>0.28107799999999999</v>
      </c>
      <c r="Q3412">
        <v>-7.8268950000000004E-3</v>
      </c>
      <c r="R3412">
        <v>-0.95965330000000004</v>
      </c>
      <c r="S3412">
        <v>-5.4306029999999998E-2</v>
      </c>
      <c r="T3412">
        <v>-0.34005570000000002</v>
      </c>
      <c r="U3412">
        <v>-3.1485599999999998</v>
      </c>
      <c r="V3412">
        <v>0.2150407</v>
      </c>
      <c r="W3412">
        <v>3.1026019999999999E-3</v>
      </c>
      <c r="X3412">
        <v>0.97660020000000003</v>
      </c>
      <c r="Y3412">
        <v>0.49556240000000001</v>
      </c>
      <c r="Z3412">
        <v>8.0486100000000005E-2</v>
      </c>
      <c r="AA3412">
        <v>0.86483509999999997</v>
      </c>
      <c r="AB3412">
        <v>20</v>
      </c>
      <c r="AC3412">
        <v>-0.23249999999998699</v>
      </c>
      <c r="AD3412">
        <v>-1.1011405657739901</v>
      </c>
      <c r="AE3412">
        <v>-10.067</v>
      </c>
      <c r="AF3412">
        <v>4.9841840692091504</v>
      </c>
      <c r="AG3412">
        <v>-1.1011405657739901</v>
      </c>
      <c r="AH3412">
        <v>8.6124472224538398</v>
      </c>
      <c r="AI3412">
        <v>96.314639687683993</v>
      </c>
      <c r="AJ3412">
        <v>59.941231814463002</v>
      </c>
      <c r="AK3412">
        <v>10.0114358880684</v>
      </c>
      <c r="AL3412">
        <v>89.822233721750393</v>
      </c>
      <c r="AM3412">
        <v>77.582024684025498</v>
      </c>
      <c r="AN3412">
        <v>1.0000000397178399</v>
      </c>
    </row>
    <row r="3413" spans="1:40" x14ac:dyDescent="0.3">
      <c r="A3413" t="str">
        <f>"20200111160522913"</f>
        <v>20200111160522913</v>
      </c>
      <c r="B3413" t="str">
        <f>"1578729922904744"</f>
        <v>1578729922904744</v>
      </c>
      <c r="C3413" t="s">
        <v>40</v>
      </c>
      <c r="D3413">
        <v>5.4851929999999998</v>
      </c>
      <c r="E3413">
        <v>0.61026530000000001</v>
      </c>
      <c r="F3413" t="s">
        <v>41</v>
      </c>
      <c r="G3413">
        <v>-190.51900000000001</v>
      </c>
      <c r="H3413" s="1">
        <v>-3.5568220000000002E-6</v>
      </c>
      <c r="I3413">
        <v>197.5583</v>
      </c>
      <c r="J3413">
        <v>-190.19149999999999</v>
      </c>
      <c r="K3413">
        <v>1.101172</v>
      </c>
      <c r="L3413">
        <v>207.45359999999999</v>
      </c>
      <c r="M3413">
        <v>0.46448919999999999</v>
      </c>
      <c r="N3413">
        <v>0</v>
      </c>
      <c r="O3413">
        <v>-0.88542869999999996</v>
      </c>
      <c r="P3413">
        <v>0.26680090000000001</v>
      </c>
      <c r="Q3413">
        <v>-8.1108159999999999E-3</v>
      </c>
      <c r="R3413">
        <v>-0.9637175</v>
      </c>
      <c r="S3413">
        <v>-7.5790410000000002E-2</v>
      </c>
      <c r="T3413">
        <v>-0.34312399999999998</v>
      </c>
      <c r="U3413">
        <v>-3.1455229999999998</v>
      </c>
      <c r="V3413">
        <v>0.21155589999999999</v>
      </c>
      <c r="W3413">
        <v>2.9328459999999998E-3</v>
      </c>
      <c r="X3413">
        <v>0.97736149999999999</v>
      </c>
      <c r="Y3413">
        <v>0.48547099999999999</v>
      </c>
      <c r="Z3413">
        <v>8.2989160000000006E-2</v>
      </c>
      <c r="AA3413">
        <v>0.87030490000000005</v>
      </c>
      <c r="AB3413">
        <v>20</v>
      </c>
      <c r="AC3413">
        <v>-0.327500000000014</v>
      </c>
      <c r="AD3413">
        <v>-1.1011755568220001</v>
      </c>
      <c r="AE3413">
        <v>-9.89529999999999</v>
      </c>
      <c r="AF3413">
        <v>4.8271738703276004</v>
      </c>
      <c r="AG3413">
        <v>-1.1011755568220001</v>
      </c>
      <c r="AH3413">
        <v>8.5053926897533891</v>
      </c>
      <c r="AI3413">
        <v>96.424310677712597</v>
      </c>
      <c r="AJ3413">
        <v>60.423237262517901</v>
      </c>
      <c r="AK3413">
        <v>9.8415395131161407</v>
      </c>
      <c r="AL3413">
        <v>89.831960061511694</v>
      </c>
      <c r="AM3413">
        <v>77.786399118573101</v>
      </c>
      <c r="AN3413">
        <v>1.0000000010463499</v>
      </c>
    </row>
    <row r="3414" spans="1:40" x14ac:dyDescent="0.3">
      <c r="A3414" t="str">
        <f>"20200111160522935"</f>
        <v>20200111160522935</v>
      </c>
      <c r="B3414" t="str">
        <f>"1578729922925240"</f>
        <v>1578729922925240</v>
      </c>
      <c r="C3414" t="s">
        <v>40</v>
      </c>
      <c r="D3414">
        <v>5.4981369999999998</v>
      </c>
      <c r="E3414">
        <v>0.60813309999999998</v>
      </c>
      <c r="F3414" t="s">
        <v>41</v>
      </c>
      <c r="G3414">
        <v>-190.286</v>
      </c>
      <c r="H3414" s="1">
        <v>-3.6672400000000001E-6</v>
      </c>
      <c r="I3414">
        <v>197.96010000000001</v>
      </c>
      <c r="J3414">
        <v>-190.1174</v>
      </c>
      <c r="K3414">
        <v>1.101216</v>
      </c>
      <c r="L3414">
        <v>207.2697</v>
      </c>
      <c r="M3414">
        <v>0.44945649999999998</v>
      </c>
      <c r="N3414">
        <v>0</v>
      </c>
      <c r="O3414">
        <v>-0.89315339999999999</v>
      </c>
      <c r="P3414">
        <v>0.25378400000000001</v>
      </c>
      <c r="Q3414">
        <v>-7.8535480000000001E-3</v>
      </c>
      <c r="R3414">
        <v>-0.96722900000000001</v>
      </c>
      <c r="S3414">
        <v>-3.1051639999999998E-2</v>
      </c>
      <c r="T3414">
        <v>-0.36172470000000001</v>
      </c>
      <c r="U3414">
        <v>-3.1185149999999999</v>
      </c>
      <c r="V3414">
        <v>0.2082185</v>
      </c>
      <c r="W3414">
        <v>3.2981030000000001E-3</v>
      </c>
      <c r="X3414">
        <v>0.97807679999999997</v>
      </c>
      <c r="Y3414">
        <v>0.45816649999999998</v>
      </c>
      <c r="Z3414">
        <v>9.0393039999999994E-2</v>
      </c>
      <c r="AA3414">
        <v>0.88425819999999999</v>
      </c>
      <c r="AB3414">
        <v>20</v>
      </c>
      <c r="AC3414">
        <v>-0.168599999999969</v>
      </c>
      <c r="AD3414">
        <v>-1.1012196672400001</v>
      </c>
      <c r="AE3414">
        <v>-9.3095999999999801</v>
      </c>
      <c r="AF3414">
        <v>4.2756165893541498</v>
      </c>
      <c r="AG3414">
        <v>-1.1012196672400001</v>
      </c>
      <c r="AH3414">
        <v>8.1265470111597402</v>
      </c>
      <c r="AI3414">
        <v>96.838453731934706</v>
      </c>
      <c r="AJ3414">
        <v>62.2498157111797</v>
      </c>
      <c r="AK3414">
        <v>9.2484781612579798</v>
      </c>
      <c r="AL3414">
        <v>89.811032279645303</v>
      </c>
      <c r="AM3414">
        <v>77.981961760204697</v>
      </c>
      <c r="AN3414">
        <v>1.00000002396194</v>
      </c>
    </row>
    <row r="3415" spans="1:40" x14ac:dyDescent="0.3">
      <c r="A3415" t="str">
        <f>"20200111160522957"</f>
        <v>20200111160522957</v>
      </c>
      <c r="B3415" t="str">
        <f>"1578729922954520"</f>
        <v>1578729922954520</v>
      </c>
      <c r="C3415" t="s">
        <v>40</v>
      </c>
      <c r="D3415">
        <v>5.4610949999999896</v>
      </c>
      <c r="E3415">
        <v>0.60594079999999995</v>
      </c>
      <c r="F3415" t="s">
        <v>41</v>
      </c>
      <c r="G3415">
        <v>-190.2885</v>
      </c>
      <c r="H3415" s="1">
        <v>-3.618616E-6</v>
      </c>
      <c r="I3415">
        <v>197.84530000000001</v>
      </c>
      <c r="J3415">
        <v>-190.04490000000001</v>
      </c>
      <c r="K3415">
        <v>1.1012599999999999</v>
      </c>
      <c r="L3415">
        <v>207.08019999999999</v>
      </c>
      <c r="M3415">
        <v>0.43393749999999998</v>
      </c>
      <c r="N3415">
        <v>0</v>
      </c>
      <c r="O3415">
        <v>-0.90079549999999997</v>
      </c>
      <c r="P3415">
        <v>0.2408998</v>
      </c>
      <c r="Q3415">
        <v>-7.9284179999999996E-3</v>
      </c>
      <c r="R3415">
        <v>-0.97051799999999999</v>
      </c>
      <c r="S3415">
        <v>-5.6503299999999999E-2</v>
      </c>
      <c r="T3415">
        <v>-0.36380980000000002</v>
      </c>
      <c r="U3415">
        <v>-3.1135250000000001</v>
      </c>
      <c r="V3415">
        <v>0.2043005</v>
      </c>
      <c r="W3415">
        <v>3.346262E-3</v>
      </c>
      <c r="X3415">
        <v>0.97890250000000001</v>
      </c>
      <c r="Y3415">
        <v>0.450019</v>
      </c>
      <c r="Z3415">
        <v>9.2605309999999996E-2</v>
      </c>
      <c r="AA3415">
        <v>0.88820449999999995</v>
      </c>
      <c r="AB3415">
        <v>20</v>
      </c>
      <c r="AC3415">
        <v>-0.24359999999998599</v>
      </c>
      <c r="AD3415">
        <v>-1.1012636186159901</v>
      </c>
      <c r="AE3415">
        <v>-9.2348999999999801</v>
      </c>
      <c r="AF3415">
        <v>4.1681327029462496</v>
      </c>
      <c r="AG3415">
        <v>-1.1012636186159901</v>
      </c>
      <c r="AH3415">
        <v>8.0990472635556205</v>
      </c>
      <c r="AI3415">
        <v>96.8937586071022</v>
      </c>
      <c r="AJ3415">
        <v>62.767619344959797</v>
      </c>
      <c r="AK3415">
        <v>9.1750029081393194</v>
      </c>
      <c r="AL3415">
        <v>89.808272952087194</v>
      </c>
      <c r="AM3415">
        <v>78.211378972976803</v>
      </c>
      <c r="AN3415">
        <v>0.99999999813793605</v>
      </c>
    </row>
    <row r="3416" spans="1:40" x14ac:dyDescent="0.3">
      <c r="A3416" t="str">
        <f>"20200111160522979"</f>
        <v>20200111160522979</v>
      </c>
      <c r="B3416" t="str">
        <f>"1578729922975017"</f>
        <v>1578729922975017</v>
      </c>
      <c r="C3416" t="s">
        <v>40</v>
      </c>
      <c r="D3416">
        <v>5.4811430000000003</v>
      </c>
      <c r="E3416">
        <v>0.59400010000000003</v>
      </c>
      <c r="F3416" t="s">
        <v>41</v>
      </c>
      <c r="G3416">
        <v>-190.291</v>
      </c>
      <c r="H3416" s="1">
        <v>-3.532266E-6</v>
      </c>
      <c r="I3416">
        <v>197.64250000000001</v>
      </c>
      <c r="J3416">
        <v>-189.9742</v>
      </c>
      <c r="K3416">
        <v>1.1013029999999999</v>
      </c>
      <c r="L3416">
        <v>206.88570000000001</v>
      </c>
      <c r="M3416">
        <v>0.4179696</v>
      </c>
      <c r="N3416">
        <v>0</v>
      </c>
      <c r="O3416">
        <v>-0.90831459999999997</v>
      </c>
      <c r="P3416">
        <v>0.22823009999999999</v>
      </c>
      <c r="Q3416">
        <v>-7.1397029999999998E-3</v>
      </c>
      <c r="R3416">
        <v>-0.97358120000000004</v>
      </c>
      <c r="S3416">
        <v>-8.1039429999999996E-2</v>
      </c>
      <c r="T3416">
        <v>-0.36269820000000003</v>
      </c>
      <c r="U3416">
        <v>-3.1082920000000001</v>
      </c>
      <c r="V3416">
        <v>0.19979910000000001</v>
      </c>
      <c r="W3416">
        <v>4.271319E-3</v>
      </c>
      <c r="X3416">
        <v>0.97982760000000002</v>
      </c>
      <c r="Y3416">
        <v>0.4412816</v>
      </c>
      <c r="Z3416">
        <v>9.4021049999999995E-2</v>
      </c>
      <c r="AA3416">
        <v>0.89242960000000005</v>
      </c>
      <c r="AB3416">
        <v>20</v>
      </c>
      <c r="AC3416">
        <v>-0.31680000000000003</v>
      </c>
      <c r="AD3416">
        <v>-1.1013065322660001</v>
      </c>
      <c r="AE3416">
        <v>-9.2431999999999999</v>
      </c>
      <c r="AF3416">
        <v>4.0936370313921699</v>
      </c>
      <c r="AG3416">
        <v>-1.1013065322660001</v>
      </c>
      <c r="AH3416">
        <v>8.1488727920800592</v>
      </c>
      <c r="AI3416">
        <v>96.886052171575301</v>
      </c>
      <c r="AJ3416">
        <v>63.327048923255703</v>
      </c>
      <c r="AK3416">
        <v>9.1855793504982408</v>
      </c>
      <c r="AL3416">
        <v>89.755270710343794</v>
      </c>
      <c r="AM3416">
        <v>78.474682519779805</v>
      </c>
      <c r="AN3416">
        <v>1.00000002512428</v>
      </c>
    </row>
    <row r="3417" spans="1:40" x14ac:dyDescent="0.3">
      <c r="A3417" t="str">
        <f>"20200111160523002"</f>
        <v>20200111160523002</v>
      </c>
      <c r="B3417" t="str">
        <f>"1578729922994536"</f>
        <v>1578729922994536</v>
      </c>
      <c r="C3417" t="s">
        <v>40</v>
      </c>
      <c r="D3417">
        <v>6.5368680000000001</v>
      </c>
      <c r="E3417">
        <v>0.58101119999999995</v>
      </c>
      <c r="F3417" t="s">
        <v>41</v>
      </c>
      <c r="G3417">
        <v>-190.06010000000001</v>
      </c>
      <c r="H3417" s="1">
        <v>-3.4523099999999998E-6</v>
      </c>
      <c r="I3417">
        <v>197.5992</v>
      </c>
      <c r="J3417">
        <v>-189.90690000000001</v>
      </c>
      <c r="K3417">
        <v>1.1013580000000001</v>
      </c>
      <c r="L3417">
        <v>206.68950000000001</v>
      </c>
      <c r="M3417">
        <v>0.40183920000000001</v>
      </c>
      <c r="N3417">
        <v>0</v>
      </c>
      <c r="O3417">
        <v>-0.91556530000000003</v>
      </c>
      <c r="P3417">
        <v>0.21569540000000001</v>
      </c>
      <c r="Q3417">
        <v>-5.8325520000000004E-3</v>
      </c>
      <c r="R3417">
        <v>-0.97644330000000001</v>
      </c>
      <c r="S3417">
        <v>-2.8533940000000001E-2</v>
      </c>
      <c r="T3417">
        <v>-0.36591200000000002</v>
      </c>
      <c r="U3417">
        <v>-3.0854339999999998</v>
      </c>
      <c r="V3417">
        <v>0.19509660000000001</v>
      </c>
      <c r="W3417">
        <v>5.7180249999999998E-3</v>
      </c>
      <c r="X3417">
        <v>0.98076739999999996</v>
      </c>
      <c r="Y3417">
        <v>0.41016609999999998</v>
      </c>
      <c r="Z3417">
        <v>9.771357E-2</v>
      </c>
      <c r="AA3417">
        <v>0.90676120000000004</v>
      </c>
      <c r="AB3417">
        <v>20</v>
      </c>
      <c r="AC3417">
        <v>-0.153199999999998</v>
      </c>
      <c r="AD3417">
        <v>-1.1013614523099999</v>
      </c>
      <c r="AE3417">
        <v>-9.0903000000000098</v>
      </c>
      <c r="AF3417">
        <v>3.7387407459380202</v>
      </c>
      <c r="AG3417">
        <v>-1.1013614523099999</v>
      </c>
      <c r="AH3417">
        <v>8.1428019880142699</v>
      </c>
      <c r="AI3417">
        <v>97.007555638663405</v>
      </c>
      <c r="AJ3417">
        <v>65.337934356596193</v>
      </c>
      <c r="AK3417">
        <v>9.0275358559233005</v>
      </c>
      <c r="AL3417">
        <v>89.672379526832003</v>
      </c>
      <c r="AM3417">
        <v>78.749447336075505</v>
      </c>
      <c r="AN3417">
        <v>1.0000000360221</v>
      </c>
    </row>
    <row r="3418" spans="1:40" x14ac:dyDescent="0.3">
      <c r="A3418" t="str">
        <f>"20200111160523026"</f>
        <v>20200111160523026</v>
      </c>
      <c r="B3418" t="str">
        <f>"1578729923015032"</f>
        <v>1578729923015032</v>
      </c>
      <c r="C3418" t="s">
        <v>40</v>
      </c>
      <c r="D3418">
        <v>5.3733180000000003</v>
      </c>
      <c r="E3418">
        <v>0.58850380000000002</v>
      </c>
      <c r="F3418" t="s">
        <v>41</v>
      </c>
      <c r="G3418">
        <v>-189.64250000000001</v>
      </c>
      <c r="H3418" s="1">
        <v>-1.2631719999999999E-6</v>
      </c>
      <c r="I3418">
        <v>162.16929999999999</v>
      </c>
      <c r="J3418">
        <v>-189.83969999999999</v>
      </c>
      <c r="K3418">
        <v>1.101415</v>
      </c>
      <c r="L3418">
        <v>206.48099999999999</v>
      </c>
      <c r="M3418">
        <v>0.38466719999999999</v>
      </c>
      <c r="N3418">
        <v>0</v>
      </c>
      <c r="O3418">
        <v>-0.9229115</v>
      </c>
      <c r="P3418">
        <v>0.20249890000000001</v>
      </c>
      <c r="Q3418">
        <v>-4.396517E-3</v>
      </c>
      <c r="R3418">
        <v>-0.97927249999999999</v>
      </c>
      <c r="S3418">
        <v>1.8218990000000001E-2</v>
      </c>
      <c r="T3418">
        <v>-7.5894589999999998E-2</v>
      </c>
      <c r="U3418">
        <v>-3.0678860000000001</v>
      </c>
      <c r="V3418">
        <v>0.19004480000000001</v>
      </c>
      <c r="W3418">
        <v>7.2996619999999898E-3</v>
      </c>
      <c r="X3418">
        <v>0.98174830000000002</v>
      </c>
      <c r="Y3418">
        <v>0.37922699999999998</v>
      </c>
      <c r="Z3418">
        <v>2.0953260000000001E-2</v>
      </c>
      <c r="AA3418">
        <v>0.92506639999999996</v>
      </c>
      <c r="AB3418">
        <v>20</v>
      </c>
      <c r="AC3418">
        <v>0.19719999999998</v>
      </c>
      <c r="AD3418">
        <v>-1.1014162631719999</v>
      </c>
      <c r="AE3418">
        <v>-44.311700000000002</v>
      </c>
      <c r="AF3418">
        <v>16.8550852301261</v>
      </c>
      <c r="AG3418">
        <v>-1.1014162631719999</v>
      </c>
      <c r="AH3418">
        <v>40.951773559118401</v>
      </c>
      <c r="AI3418">
        <v>91.424721935151098</v>
      </c>
      <c r="AJ3418">
        <v>67.628729629742693</v>
      </c>
      <c r="AK3418">
        <v>44.298473715658702</v>
      </c>
      <c r="AL3418">
        <v>89.581756468566297</v>
      </c>
      <c r="AM3418">
        <v>79.044306009753001</v>
      </c>
      <c r="AN3418">
        <v>1.00000001781262</v>
      </c>
    </row>
    <row r="3419" spans="1:40" x14ac:dyDescent="0.3">
      <c r="A3419" t="str">
        <f>"20200111160523046"</f>
        <v>20200111160523046</v>
      </c>
      <c r="B3419" t="str">
        <f>"1578729923034552"</f>
        <v>1578729923034552</v>
      </c>
      <c r="C3419" t="s">
        <v>40</v>
      </c>
      <c r="D3419">
        <v>5.2191640000000001</v>
      </c>
      <c r="E3419">
        <v>0.58471149999999905</v>
      </c>
      <c r="F3419" t="s">
        <v>49</v>
      </c>
      <c r="G3419">
        <v>-197.82210000000001</v>
      </c>
      <c r="H3419">
        <v>1.054308</v>
      </c>
      <c r="I3419">
        <v>-81.815510000000003</v>
      </c>
      <c r="J3419">
        <v>-189.78790000000001</v>
      </c>
      <c r="K3419">
        <v>1.1014649999999999</v>
      </c>
      <c r="L3419">
        <v>206.31059999999999</v>
      </c>
      <c r="M3419">
        <v>0.37060140000000003</v>
      </c>
      <c r="N3419">
        <v>0</v>
      </c>
      <c r="O3419">
        <v>-0.92864919999999995</v>
      </c>
      <c r="P3419">
        <v>0.19424350000000001</v>
      </c>
      <c r="Q3419">
        <v>-2.334413E-3</v>
      </c>
      <c r="R3419">
        <v>-0.98095060000000001</v>
      </c>
      <c r="S3419">
        <v>-8.5311890000000001E-2</v>
      </c>
      <c r="T3419">
        <v>-5.0342080000000003E-4</v>
      </c>
      <c r="U3419">
        <v>-3.0811609999999998</v>
      </c>
      <c r="V3419">
        <v>0.18344369999999999</v>
      </c>
      <c r="W3419">
        <v>9.5416700000000004E-3</v>
      </c>
      <c r="X3419">
        <v>0.98298390000000002</v>
      </c>
      <c r="Y3419">
        <v>0.39621479999999998</v>
      </c>
      <c r="Z3419">
        <v>1.3918660000000001E-4</v>
      </c>
      <c r="AA3419">
        <v>0.91815780000000002</v>
      </c>
      <c r="AB3419">
        <v>20</v>
      </c>
      <c r="AC3419">
        <v>-8.0341999999999896</v>
      </c>
      <c r="AD3419">
        <v>-4.7156999999999803E-2</v>
      </c>
      <c r="AE3419">
        <v>-288.12610999999998</v>
      </c>
      <c r="AF3419">
        <v>114.256045194948</v>
      </c>
      <c r="AG3419">
        <v>-4.7156999999999803E-2</v>
      </c>
      <c r="AH3419">
        <v>264.625689082176</v>
      </c>
      <c r="AI3419">
        <v>90.009373837465901</v>
      </c>
      <c r="AJ3419">
        <v>66.647015342901199</v>
      </c>
      <c r="AK3419">
        <v>288.23809846997898</v>
      </c>
      <c r="AL3419">
        <v>89.453294278748302</v>
      </c>
      <c r="AM3419">
        <v>79.429102925736004</v>
      </c>
      <c r="AN3419">
        <v>0.99999999109764404</v>
      </c>
    </row>
    <row r="3420" spans="1:40" x14ac:dyDescent="0.3">
      <c r="A3420" t="str">
        <f>"20200111160523068"</f>
        <v>20200111160523068</v>
      </c>
      <c r="B3420" t="str">
        <f>"1578729923064993"</f>
        <v>1578729923064993</v>
      </c>
      <c r="C3420" t="s">
        <v>40</v>
      </c>
      <c r="D3420">
        <v>5.1625610000000002</v>
      </c>
      <c r="E3420">
        <v>0.58125079999999996</v>
      </c>
      <c r="F3420" t="s">
        <v>75</v>
      </c>
      <c r="G3420">
        <v>-191.25540000000001</v>
      </c>
      <c r="H3420" s="1">
        <v>-1.0678619999999999E-5</v>
      </c>
      <c r="I3420">
        <v>148.7097</v>
      </c>
      <c r="J3420">
        <v>-189.7313</v>
      </c>
      <c r="K3420">
        <v>1.101526</v>
      </c>
      <c r="L3420">
        <v>206.1123</v>
      </c>
      <c r="M3420">
        <v>0.35422350000000002</v>
      </c>
      <c r="N3420">
        <v>0</v>
      </c>
      <c r="O3420">
        <v>-0.93501909999999999</v>
      </c>
      <c r="P3420">
        <v>0.18227099999999999</v>
      </c>
      <c r="Q3420">
        <v>7.1497170000000003E-4</v>
      </c>
      <c r="R3420">
        <v>-0.98324809999999996</v>
      </c>
      <c r="S3420">
        <v>-7.830811E-2</v>
      </c>
      <c r="T3420">
        <v>-5.8775540000000001E-2</v>
      </c>
      <c r="U3420">
        <v>-3.0736240000000001</v>
      </c>
      <c r="V3420">
        <v>0.17821709999999999</v>
      </c>
      <c r="W3420">
        <v>1.2733889999999999E-2</v>
      </c>
      <c r="X3420">
        <v>0.98390880000000003</v>
      </c>
      <c r="Y3420">
        <v>0.37796659999999999</v>
      </c>
      <c r="Z3420">
        <v>1.6544440000000001E-2</v>
      </c>
      <c r="AA3420">
        <v>0.92567140000000003</v>
      </c>
      <c r="AB3420">
        <v>20</v>
      </c>
      <c r="AC3420">
        <v>-1.5241</v>
      </c>
      <c r="AD3420">
        <v>-1.10153667862</v>
      </c>
      <c r="AE3420">
        <v>-57.4026</v>
      </c>
      <c r="AF3420">
        <v>21.753291136733701</v>
      </c>
      <c r="AG3420">
        <v>-1.10153667862</v>
      </c>
      <c r="AH3420">
        <v>53.1201493318773</v>
      </c>
      <c r="AI3420">
        <v>91.099369002329794</v>
      </c>
      <c r="AJ3420">
        <v>67.730355373532504</v>
      </c>
      <c r="AK3420">
        <v>57.412275023506801</v>
      </c>
      <c r="AL3420">
        <v>89.270382132039799</v>
      </c>
      <c r="AM3420">
        <v>79.733230507711994</v>
      </c>
      <c r="AN3420">
        <v>1.0000000067021899</v>
      </c>
    </row>
    <row r="3421" spans="1:40" x14ac:dyDescent="0.3">
      <c r="A3421" t="str">
        <f>"20200111160523092"</f>
        <v>20200111160523092</v>
      </c>
      <c r="B3421" t="str">
        <f>"1578729923085487"</f>
        <v>1578729923085487</v>
      </c>
      <c r="C3421" t="s">
        <v>40</v>
      </c>
      <c r="D3421">
        <v>5.1866659999999998</v>
      </c>
      <c r="E3421">
        <v>0.57920240000000001</v>
      </c>
      <c r="F3421" t="s">
        <v>41</v>
      </c>
      <c r="G3421">
        <v>-190.67089999999999</v>
      </c>
      <c r="H3421" s="1">
        <v>-1.462554E-6</v>
      </c>
      <c r="I3421">
        <v>172.5822</v>
      </c>
      <c r="J3421">
        <v>-189.6765</v>
      </c>
      <c r="K3421">
        <v>1.101594</v>
      </c>
      <c r="L3421">
        <v>205.90629999999999</v>
      </c>
      <c r="M3421">
        <v>0.3371828</v>
      </c>
      <c r="N3421">
        <v>0</v>
      </c>
      <c r="O3421">
        <v>-0.94129859999999999</v>
      </c>
      <c r="P3421">
        <v>0.1703337</v>
      </c>
      <c r="Q3421">
        <v>5.1987259999999999E-3</v>
      </c>
      <c r="R3421">
        <v>-0.98537300000000005</v>
      </c>
      <c r="S3421">
        <v>-8.5952760000000003E-2</v>
      </c>
      <c r="T3421">
        <v>-0.100762</v>
      </c>
      <c r="U3421">
        <v>-3.0671539999999999</v>
      </c>
      <c r="V3421">
        <v>0.1723701</v>
      </c>
      <c r="W3421">
        <v>1.7373469999999998E-2</v>
      </c>
      <c r="X3421">
        <v>0.98487899999999995</v>
      </c>
      <c r="Y3421">
        <v>0.3634481</v>
      </c>
      <c r="Z3421">
        <v>2.8816689999999999E-2</v>
      </c>
      <c r="AA3421">
        <v>0.93116869999999996</v>
      </c>
      <c r="AB3421">
        <v>20</v>
      </c>
      <c r="AC3421">
        <v>-0.99439999999998396</v>
      </c>
      <c r="AD3421">
        <v>-1.1015954625540001</v>
      </c>
      <c r="AE3421">
        <v>-33.324099999999902</v>
      </c>
      <c r="AF3421">
        <v>12.160675075688999</v>
      </c>
      <c r="AG3421">
        <v>-1.1015954625540001</v>
      </c>
      <c r="AH3421">
        <v>31.002893376068201</v>
      </c>
      <c r="AI3421">
        <v>91.894561243627805</v>
      </c>
      <c r="AJ3421">
        <v>68.582741687519402</v>
      </c>
      <c r="AK3421">
        <v>33.320788234185798</v>
      </c>
      <c r="AL3421">
        <v>89.004523377416405</v>
      </c>
      <c r="AM3421">
        <v>80.072835824773193</v>
      </c>
      <c r="AN3421">
        <v>0.99999996673742397</v>
      </c>
    </row>
    <row r="3422" spans="1:40" x14ac:dyDescent="0.3">
      <c r="A3422" t="str">
        <f>"20200111160523115"</f>
        <v>20200111160523115</v>
      </c>
      <c r="B3422" t="str">
        <f>"1578729923105006"</f>
        <v>1578729923105006</v>
      </c>
      <c r="C3422" t="s">
        <v>40</v>
      </c>
      <c r="D3422">
        <v>5.080813</v>
      </c>
      <c r="E3422">
        <v>0.57741049999999905</v>
      </c>
      <c r="F3422" t="s">
        <v>41</v>
      </c>
      <c r="G3422">
        <v>-190.75710000000001</v>
      </c>
      <c r="H3422" s="1">
        <v>-2.3533840000000002E-6</v>
      </c>
      <c r="I3422">
        <v>174.6053</v>
      </c>
      <c r="J3422">
        <v>-189.62690000000001</v>
      </c>
      <c r="K3422">
        <v>1.101656</v>
      </c>
      <c r="L3422">
        <v>205.70599999999999</v>
      </c>
      <c r="M3422">
        <v>0.32058730000000002</v>
      </c>
      <c r="N3422">
        <v>0</v>
      </c>
      <c r="O3422">
        <v>-0.94707949999999996</v>
      </c>
      <c r="P3422">
        <v>0.15807579999999999</v>
      </c>
      <c r="Q3422">
        <v>9.4898629999999994E-3</v>
      </c>
      <c r="R3422">
        <v>-0.98738170000000003</v>
      </c>
      <c r="S3422">
        <v>-0.1057587</v>
      </c>
      <c r="T3422">
        <v>-0.1078118</v>
      </c>
      <c r="U3422">
        <v>-3.0633849999999998</v>
      </c>
      <c r="V3422">
        <v>0.1673801</v>
      </c>
      <c r="W3422">
        <v>2.179671E-2</v>
      </c>
      <c r="X3422">
        <v>0.98565150000000001</v>
      </c>
      <c r="Y3422">
        <v>0.35309580000000002</v>
      </c>
      <c r="Z3422">
        <v>3.1239699999999999E-2</v>
      </c>
      <c r="AA3422">
        <v>0.93506549999999999</v>
      </c>
      <c r="AB3422">
        <v>20</v>
      </c>
      <c r="AC3422">
        <v>-1.1302000000000001</v>
      </c>
      <c r="AD3422">
        <v>-1.1016583533840001</v>
      </c>
      <c r="AE3422">
        <v>-31.1006999999999</v>
      </c>
      <c r="AF3422">
        <v>11.0285178362561</v>
      </c>
      <c r="AG3422">
        <v>-1.1016583533840001</v>
      </c>
      <c r="AH3422">
        <v>29.059937016825799</v>
      </c>
      <c r="AI3422">
        <v>92.029901357084697</v>
      </c>
      <c r="AJ3422">
        <v>69.2177779301106</v>
      </c>
      <c r="AK3422">
        <v>31.101797314851101</v>
      </c>
      <c r="AL3422">
        <v>88.751041646592299</v>
      </c>
      <c r="AM3422">
        <v>80.362161474655693</v>
      </c>
      <c r="AN3422">
        <v>1.0000000369475399</v>
      </c>
    </row>
    <row r="3423" spans="1:40" x14ac:dyDescent="0.3">
      <c r="A3423" t="str">
        <f>"20200111160523135"</f>
        <v>20200111160523135</v>
      </c>
      <c r="B3423" t="str">
        <f>"1578729923124526"</f>
        <v>1578729923124526</v>
      </c>
      <c r="C3423" t="s">
        <v>40</v>
      </c>
      <c r="D3423">
        <v>5.1552369999999996</v>
      </c>
      <c r="E3423">
        <v>0.57555089999999998</v>
      </c>
      <c r="F3423" t="s">
        <v>41</v>
      </c>
      <c r="G3423">
        <v>-190.86920000000001</v>
      </c>
      <c r="H3423" s="1">
        <v>-3.0274060000000002E-6</v>
      </c>
      <c r="I3423">
        <v>176.107</v>
      </c>
      <c r="J3423">
        <v>-189.58529999999999</v>
      </c>
      <c r="K3423">
        <v>1.1017030000000001</v>
      </c>
      <c r="L3423">
        <v>205.52539999999999</v>
      </c>
      <c r="M3423">
        <v>0.305616</v>
      </c>
      <c r="N3423">
        <v>0</v>
      </c>
      <c r="O3423">
        <v>-0.95201650000000004</v>
      </c>
      <c r="P3423">
        <v>0.14625639999999901</v>
      </c>
      <c r="Q3423">
        <v>1.331687E-2</v>
      </c>
      <c r="R3423">
        <v>-0.98915739999999996</v>
      </c>
      <c r="S3423">
        <v>-0.1284332</v>
      </c>
      <c r="T3423">
        <v>-0.11389059999999999</v>
      </c>
      <c r="U3423">
        <v>-3.0599820000000002</v>
      </c>
      <c r="V3423">
        <v>0.16369489999999901</v>
      </c>
      <c r="W3423">
        <v>2.5721399999999998E-2</v>
      </c>
      <c r="X3423">
        <v>0.98617569999999999</v>
      </c>
      <c r="Y3423">
        <v>0.34528429999999999</v>
      </c>
      <c r="Z3423">
        <v>3.335987E-2</v>
      </c>
      <c r="AA3423">
        <v>0.93790499999999999</v>
      </c>
      <c r="AB3423">
        <v>19</v>
      </c>
      <c r="AC3423">
        <v>-1.28390000000001</v>
      </c>
      <c r="AD3423">
        <v>-1.101706027406</v>
      </c>
      <c r="AE3423">
        <v>-29.418399999999899</v>
      </c>
      <c r="AF3423">
        <v>10.2000951418726</v>
      </c>
      <c r="AG3423">
        <v>-1.101706027406</v>
      </c>
      <c r="AH3423">
        <v>27.579454165871599</v>
      </c>
      <c r="AI3423">
        <v>92.145658095359195</v>
      </c>
      <c r="AJ3423">
        <v>69.703389465221406</v>
      </c>
      <c r="AK3423">
        <v>29.425872785042198</v>
      </c>
      <c r="AL3423">
        <v>88.526109877658996</v>
      </c>
      <c r="AM3423">
        <v>80.575427096291094</v>
      </c>
      <c r="AN3423">
        <v>1.0000000609872199</v>
      </c>
    </row>
    <row r="3424" spans="1:40" x14ac:dyDescent="0.3">
      <c r="A3424" t="str">
        <f>"20200111160523157"</f>
        <v>20200111160523157</v>
      </c>
      <c r="B3424" t="str">
        <f>"1578729923155290"</f>
        <v>1578729923155290</v>
      </c>
      <c r="C3424" t="s">
        <v>40</v>
      </c>
      <c r="D3424">
        <v>5.1547169999999998</v>
      </c>
      <c r="E3424">
        <v>0.57268940000000002</v>
      </c>
      <c r="F3424" t="s">
        <v>41</v>
      </c>
      <c r="G3424">
        <v>-190.97749999999999</v>
      </c>
      <c r="H3424" s="1">
        <v>-3.4188190000000001E-6</v>
      </c>
      <c r="I3424">
        <v>176.9522</v>
      </c>
      <c r="J3424">
        <v>-189.54339999999999</v>
      </c>
      <c r="K3424">
        <v>1.101769</v>
      </c>
      <c r="L3424">
        <v>205.3288</v>
      </c>
      <c r="M3424">
        <v>0.28933350000000002</v>
      </c>
      <c r="N3424">
        <v>0</v>
      </c>
      <c r="O3424">
        <v>-0.95709089999999997</v>
      </c>
      <c r="P3424">
        <v>0.13315850000000001</v>
      </c>
      <c r="Q3424">
        <v>1.513602E-2</v>
      </c>
      <c r="R3424">
        <v>-0.99097950000000001</v>
      </c>
      <c r="S3424">
        <v>-0.148925799999999</v>
      </c>
      <c r="T3424">
        <v>-0.1178488</v>
      </c>
      <c r="U3424">
        <v>-3.0564580000000001</v>
      </c>
      <c r="V3424">
        <v>0.15994630000000001</v>
      </c>
      <c r="W3424">
        <v>2.763999E-2</v>
      </c>
      <c r="X3424">
        <v>0.98673869999999997</v>
      </c>
      <c r="Y3424">
        <v>0.3355764</v>
      </c>
      <c r="Z3424">
        <v>3.4912899999999997E-2</v>
      </c>
      <c r="AA3424">
        <v>0.94136580000000003</v>
      </c>
      <c r="AB3424">
        <v>19</v>
      </c>
      <c r="AC3424">
        <v>-1.4340999999999999</v>
      </c>
      <c r="AD3424">
        <v>-1.1017724188189999</v>
      </c>
      <c r="AE3424">
        <v>-28.3766</v>
      </c>
      <c r="AF3424">
        <v>9.5697362822872396</v>
      </c>
      <c r="AG3424">
        <v>-1.1017724188189999</v>
      </c>
      <c r="AH3424">
        <v>26.707412415545299</v>
      </c>
      <c r="AI3424">
        <v>92.223999155608098</v>
      </c>
      <c r="AJ3424">
        <v>70.286503673642699</v>
      </c>
      <c r="AK3424">
        <v>28.3915415733175</v>
      </c>
      <c r="AL3424">
        <v>88.416143553604201</v>
      </c>
      <c r="AM3424">
        <v>80.792672628740704</v>
      </c>
      <c r="AN3424">
        <v>1.00000002500428</v>
      </c>
    </row>
    <row r="3425" spans="1:40" x14ac:dyDescent="0.3">
      <c r="A3425" t="str">
        <f>"20200111160523180"</f>
        <v>20200111160523180</v>
      </c>
      <c r="B3425" t="str">
        <f>"1578729923174809"</f>
        <v>1578729923174809</v>
      </c>
      <c r="C3425" t="s">
        <v>40</v>
      </c>
      <c r="D3425">
        <v>5.3785299999999996</v>
      </c>
      <c r="E3425">
        <v>0.55106029999999995</v>
      </c>
      <c r="F3425" t="s">
        <v>41</v>
      </c>
      <c r="G3425">
        <v>-190.96010000000001</v>
      </c>
      <c r="H3425" s="1">
        <v>-4.3159700000000003E-6</v>
      </c>
      <c r="I3425">
        <v>179.16900000000001</v>
      </c>
      <c r="J3425">
        <v>-189.50290000000001</v>
      </c>
      <c r="K3425">
        <v>1.1018600000000001</v>
      </c>
      <c r="L3425">
        <v>205.12129999999999</v>
      </c>
      <c r="M3425">
        <v>0.27219719999999997</v>
      </c>
      <c r="N3425">
        <v>0</v>
      </c>
      <c r="O3425">
        <v>-0.96210499999999999</v>
      </c>
      <c r="P3425">
        <v>0.1201091</v>
      </c>
      <c r="Q3425">
        <v>1.482518E-2</v>
      </c>
      <c r="R3425">
        <v>-0.99264989999999997</v>
      </c>
      <c r="S3425">
        <v>-0.1652527</v>
      </c>
      <c r="T3425">
        <v>-0.12851889999999999</v>
      </c>
      <c r="U3425">
        <v>-3.0514679999999998</v>
      </c>
      <c r="V3425">
        <v>0.1552943</v>
      </c>
      <c r="W3425">
        <v>2.7451710000000001E-2</v>
      </c>
      <c r="X3425">
        <v>0.9874868</v>
      </c>
      <c r="Y3425">
        <v>0.32381989999999999</v>
      </c>
      <c r="Z3425">
        <v>3.852858E-2</v>
      </c>
      <c r="AA3425">
        <v>0.94533389999999995</v>
      </c>
      <c r="AB3425">
        <v>19</v>
      </c>
      <c r="AC3425">
        <v>-1.4572000000000001</v>
      </c>
      <c r="AD3425">
        <v>-1.1018643159699999</v>
      </c>
      <c r="AE3425">
        <v>-25.952299999999902</v>
      </c>
      <c r="AF3425">
        <v>8.4520468887198295</v>
      </c>
      <c r="AG3425">
        <v>-1.1018643159699999</v>
      </c>
      <c r="AH3425">
        <v>24.531337713481101</v>
      </c>
      <c r="AI3425">
        <v>92.431701196666594</v>
      </c>
      <c r="AJ3425">
        <v>70.989080359929005</v>
      </c>
      <c r="AK3425">
        <v>25.969938998634301</v>
      </c>
      <c r="AL3425">
        <v>88.426935334056097</v>
      </c>
      <c r="AM3425">
        <v>81.062739604162502</v>
      </c>
      <c r="AN3425">
        <v>1.0000000480843201</v>
      </c>
    </row>
    <row r="3426" spans="1:40" x14ac:dyDescent="0.3">
      <c r="A3426" t="str">
        <f>"20200111160523203"</f>
        <v>20200111160523203</v>
      </c>
      <c r="B3426" t="str">
        <f>"1578729923195305"</f>
        <v>1578729923195305</v>
      </c>
      <c r="C3426" t="s">
        <v>40</v>
      </c>
      <c r="D3426">
        <v>5.1511279999999999</v>
      </c>
      <c r="E3426">
        <v>0.54971340000000002</v>
      </c>
      <c r="F3426" t="s">
        <v>41</v>
      </c>
      <c r="G3426">
        <v>-189.6438</v>
      </c>
      <c r="H3426" s="1">
        <v>-1.9647880000000001E-7</v>
      </c>
      <c r="I3426">
        <v>189.9435</v>
      </c>
      <c r="J3426">
        <v>-189.46809999999999</v>
      </c>
      <c r="K3426">
        <v>1.1019600000000001</v>
      </c>
      <c r="L3426">
        <v>204.9263</v>
      </c>
      <c r="M3426">
        <v>0.25617770000000001</v>
      </c>
      <c r="N3426">
        <v>0</v>
      </c>
      <c r="O3426">
        <v>-0.96649459999999998</v>
      </c>
      <c r="P3426">
        <v>0.1084386</v>
      </c>
      <c r="Q3426">
        <v>1.250544E-2</v>
      </c>
      <c r="R3426">
        <v>-0.99402460000000004</v>
      </c>
      <c r="S3426">
        <v>-2.8137209999999999E-2</v>
      </c>
      <c r="T3426">
        <v>-0.21989230000000001</v>
      </c>
      <c r="U3426">
        <v>-3.0289459999999999</v>
      </c>
      <c r="V3426">
        <v>0.15043970000000001</v>
      </c>
      <c r="W3426">
        <v>2.5258539999999999E-2</v>
      </c>
      <c r="X3426">
        <v>0.98829639999999996</v>
      </c>
      <c r="Y3426">
        <v>0.26514490000000002</v>
      </c>
      <c r="Z3426">
        <v>6.7485450000000002E-2</v>
      </c>
      <c r="AA3426">
        <v>0.96184400000000003</v>
      </c>
      <c r="AB3426">
        <v>19</v>
      </c>
      <c r="AC3426">
        <v>-0.17570000000000599</v>
      </c>
      <c r="AD3426">
        <v>-1.1019601964787999</v>
      </c>
      <c r="AE3426">
        <v>-14.9827999999999</v>
      </c>
      <c r="AF3426">
        <v>3.9870315281631798</v>
      </c>
      <c r="AG3426">
        <v>-1.1019601964787999</v>
      </c>
      <c r="AH3426">
        <v>14.3600026305357</v>
      </c>
      <c r="AI3426">
        <v>94.228815133369395</v>
      </c>
      <c r="AJ3426">
        <v>74.482771868478906</v>
      </c>
      <c r="AK3426">
        <v>14.9439088671666</v>
      </c>
      <c r="AL3426">
        <v>88.552638239141103</v>
      </c>
      <c r="AM3426">
        <v>81.344808162612495</v>
      </c>
      <c r="AN3426">
        <v>0.999999935715988</v>
      </c>
    </row>
    <row r="3427" spans="1:40" x14ac:dyDescent="0.3">
      <c r="A3427" t="str">
        <f>"20200111160523225"</f>
        <v>20200111160523225</v>
      </c>
      <c r="B3427" t="str">
        <f>"1578729923214828"</f>
        <v>1578729923214828</v>
      </c>
      <c r="C3427" t="s">
        <v>40</v>
      </c>
      <c r="D3427">
        <v>5.1516489999999999</v>
      </c>
      <c r="E3427">
        <v>0.54836049999999903</v>
      </c>
      <c r="F3427" t="s">
        <v>41</v>
      </c>
      <c r="G3427">
        <v>-189.7158</v>
      </c>
      <c r="H3427" s="1">
        <v>-5.2129359999999996E-7</v>
      </c>
      <c r="I3427">
        <v>190.7304</v>
      </c>
      <c r="J3427">
        <v>-189.43719999999999</v>
      </c>
      <c r="K3427">
        <v>1.1020730000000001</v>
      </c>
      <c r="L3427">
        <v>204.7345</v>
      </c>
      <c r="M3427">
        <v>0.24053659999999999</v>
      </c>
      <c r="N3427">
        <v>0</v>
      </c>
      <c r="O3427">
        <v>-0.97050610000000004</v>
      </c>
      <c r="P3427">
        <v>9.7485370000000002E-2</v>
      </c>
      <c r="Q3427">
        <v>8.1304189999999998E-3</v>
      </c>
      <c r="R3427">
        <v>-0.99520390000000003</v>
      </c>
      <c r="S3427">
        <v>-5.2810669999999997E-2</v>
      </c>
      <c r="T3427">
        <v>-0.2349503</v>
      </c>
      <c r="U3427">
        <v>-3.0267179999999998</v>
      </c>
      <c r="V3427">
        <v>0.14526979999999901</v>
      </c>
      <c r="W3427">
        <v>2.1015829999999999E-2</v>
      </c>
      <c r="X3427">
        <v>0.98916879999999996</v>
      </c>
      <c r="Y3427">
        <v>0.25740459999999998</v>
      </c>
      <c r="Z3427">
        <v>7.2674649999999993E-2</v>
      </c>
      <c r="AA3427">
        <v>0.96356699999999995</v>
      </c>
      <c r="AB3427">
        <v>19</v>
      </c>
      <c r="AC3427">
        <v>-0.27860000000001101</v>
      </c>
      <c r="AD3427">
        <v>-1.1020735212935999</v>
      </c>
      <c r="AE3427">
        <v>-14.0040999999999</v>
      </c>
      <c r="AF3427">
        <v>3.6169633548457099</v>
      </c>
      <c r="AG3427">
        <v>-1.1020735212935999</v>
      </c>
      <c r="AH3427">
        <v>13.4425909333922</v>
      </c>
      <c r="AI3427">
        <v>94.5265518153127</v>
      </c>
      <c r="AJ3427">
        <v>74.940238490804703</v>
      </c>
      <c r="AK3427">
        <v>13.9642486714879</v>
      </c>
      <c r="AL3427">
        <v>88.795792920883301</v>
      </c>
      <c r="AM3427">
        <v>81.645238146879905</v>
      </c>
      <c r="AN3427">
        <v>0.999999947398033</v>
      </c>
    </row>
    <row r="3428" spans="1:40" x14ac:dyDescent="0.3">
      <c r="A3428" t="str">
        <f>"20200111160523247"</f>
        <v>20200111160523247</v>
      </c>
      <c r="B3428" t="str">
        <f>"1578729923235321"</f>
        <v>1578729923235321</v>
      </c>
      <c r="C3428" t="s">
        <v>40</v>
      </c>
      <c r="D3428">
        <v>5.1888019999999999</v>
      </c>
      <c r="E3428">
        <v>0.5466048</v>
      </c>
      <c r="F3428" t="s">
        <v>41</v>
      </c>
      <c r="G3428">
        <v>-189.76499999999999</v>
      </c>
      <c r="H3428" s="1">
        <v>-8.8971850000000001E-7</v>
      </c>
      <c r="I3428">
        <v>191.6096</v>
      </c>
      <c r="J3428">
        <v>-189.40870000000001</v>
      </c>
      <c r="K3428">
        <v>1.1022149999999999</v>
      </c>
      <c r="L3428">
        <v>204.53809999999999</v>
      </c>
      <c r="M3428">
        <v>0.2246813</v>
      </c>
      <c r="N3428">
        <v>0</v>
      </c>
      <c r="O3428">
        <v>-0.97429969999999999</v>
      </c>
      <c r="P3428">
        <v>8.7347590000000003E-2</v>
      </c>
      <c r="Q3428">
        <v>4.2429479999999999E-3</v>
      </c>
      <c r="R3428">
        <v>-0.99616910000000003</v>
      </c>
      <c r="S3428">
        <v>-7.5531009999999996E-2</v>
      </c>
      <c r="T3428">
        <v>-0.25391190000000002</v>
      </c>
      <c r="U3428">
        <v>-3.023911</v>
      </c>
      <c r="V3428">
        <v>0.13912550000000001</v>
      </c>
      <c r="W3428">
        <v>1.727764E-2</v>
      </c>
      <c r="X3428">
        <v>0.990124</v>
      </c>
      <c r="Y3428">
        <v>0.24887889999999999</v>
      </c>
      <c r="Z3428">
        <v>7.9135369999999997E-2</v>
      </c>
      <c r="AA3428">
        <v>0.9652963</v>
      </c>
      <c r="AB3428">
        <v>19</v>
      </c>
      <c r="AC3428">
        <v>-0.35629999999997602</v>
      </c>
      <c r="AD3428">
        <v>-1.1022158897184999</v>
      </c>
      <c r="AE3428">
        <v>-12.9284999999999</v>
      </c>
      <c r="AF3428">
        <v>3.2289043529776902</v>
      </c>
      <c r="AG3428">
        <v>-1.1022158897184999</v>
      </c>
      <c r="AH3428">
        <v>12.42753778278</v>
      </c>
      <c r="AI3428">
        <v>94.906318890973907</v>
      </c>
      <c r="AJ3428">
        <v>75.435524393382593</v>
      </c>
      <c r="AK3428">
        <v>12.8873736087168</v>
      </c>
      <c r="AL3428">
        <v>89.010014868046994</v>
      </c>
      <c r="AM3428">
        <v>82.001552214960796</v>
      </c>
      <c r="AN3428">
        <v>0.99999997848510902</v>
      </c>
    </row>
    <row r="3429" spans="1:40" x14ac:dyDescent="0.3">
      <c r="A3429" t="str">
        <f>"20200111160523269"</f>
        <v>20200111160523269</v>
      </c>
      <c r="B3429" t="str">
        <f>"1578729923264990"</f>
        <v>1578729923264990</v>
      </c>
      <c r="C3429" t="s">
        <v>40</v>
      </c>
      <c r="D3429">
        <v>5.2191830000000001</v>
      </c>
      <c r="E3429">
        <v>0.54524059999999996</v>
      </c>
      <c r="F3429" t="s">
        <v>41</v>
      </c>
      <c r="G3429">
        <v>-189.7876</v>
      </c>
      <c r="H3429" s="1">
        <v>-1.1166729999999999E-6</v>
      </c>
      <c r="I3429">
        <v>192.14789999999999</v>
      </c>
      <c r="J3429">
        <v>-189.3819</v>
      </c>
      <c r="K3429">
        <v>1.102365</v>
      </c>
      <c r="L3429">
        <v>204.3312</v>
      </c>
      <c r="M3429">
        <v>0.20814240000000001</v>
      </c>
      <c r="N3429">
        <v>0</v>
      </c>
      <c r="O3429">
        <v>-0.97796719999999904</v>
      </c>
      <c r="P3429">
        <v>7.6906290000000002E-2</v>
      </c>
      <c r="Q3429">
        <v>8.4069560000000002E-4</v>
      </c>
      <c r="R3429">
        <v>-0.99703799999999998</v>
      </c>
      <c r="S3429">
        <v>-9.2391970000000004E-2</v>
      </c>
      <c r="T3429">
        <v>-0.26872780000000002</v>
      </c>
      <c r="U3429">
        <v>-3.0207980000000001</v>
      </c>
      <c r="V3429">
        <v>0.1326447</v>
      </c>
      <c r="W3429">
        <v>1.402363E-2</v>
      </c>
      <c r="X3429">
        <v>0.99106439999999996</v>
      </c>
      <c r="Y3429">
        <v>0.2378498</v>
      </c>
      <c r="Z3429">
        <v>8.4406640000000005E-2</v>
      </c>
      <c r="AA3429">
        <v>0.96762749999999997</v>
      </c>
      <c r="AB3429">
        <v>19</v>
      </c>
      <c r="AC3429">
        <v>-0.40569999999999601</v>
      </c>
      <c r="AD3429">
        <v>-1.1023661166730001</v>
      </c>
      <c r="AE3429">
        <v>-12.183299999999999</v>
      </c>
      <c r="AF3429">
        <v>2.9092082142755</v>
      </c>
      <c r="AG3429">
        <v>-1.1023661166730001</v>
      </c>
      <c r="AH3429">
        <v>11.7359690090278</v>
      </c>
      <c r="AI3429">
        <v>95.209320280937206</v>
      </c>
      <c r="AJ3429">
        <v>76.0776928251003</v>
      </c>
      <c r="AK3429">
        <v>12.141320853599799</v>
      </c>
      <c r="AL3429">
        <v>89.1964788183369</v>
      </c>
      <c r="AM3429">
        <v>82.376799348278396</v>
      </c>
      <c r="AN3429">
        <v>0.99999996179191197</v>
      </c>
    </row>
    <row r="3430" spans="1:40" x14ac:dyDescent="0.3">
      <c r="A3430" t="str">
        <f>"20200111160523293"</f>
        <v>20200111160523293</v>
      </c>
      <c r="B3430" t="str">
        <f>"1578729923284509"</f>
        <v>1578729923284509</v>
      </c>
      <c r="C3430" t="s">
        <v>40</v>
      </c>
      <c r="D3430">
        <v>5.1607529999999997</v>
      </c>
      <c r="E3430">
        <v>0.54553309999999999</v>
      </c>
      <c r="F3430" t="s">
        <v>41</v>
      </c>
      <c r="G3430">
        <v>-189.82599999999999</v>
      </c>
      <c r="H3430" s="1">
        <v>-1.253158E-6</v>
      </c>
      <c r="I3430">
        <v>192.4819</v>
      </c>
      <c r="J3430">
        <v>-189.35890000000001</v>
      </c>
      <c r="K3430">
        <v>1.1025130000000001</v>
      </c>
      <c r="L3430">
        <v>204.12870000000001</v>
      </c>
      <c r="M3430">
        <v>0.19212570000000001</v>
      </c>
      <c r="N3430">
        <v>0</v>
      </c>
      <c r="O3430">
        <v>-0.98124049999999996</v>
      </c>
      <c r="P3430">
        <v>6.8316710000000003E-2</v>
      </c>
      <c r="Q3430">
        <v>-2.6200339999999998E-3</v>
      </c>
      <c r="R3430">
        <v>-0.99766030000000006</v>
      </c>
      <c r="S3430">
        <v>-0.11309809999999999</v>
      </c>
      <c r="T3430">
        <v>-0.28075909999999998</v>
      </c>
      <c r="U3430">
        <v>-3.017868</v>
      </c>
      <c r="V3430">
        <v>0.1248964</v>
      </c>
      <c r="W3430">
        <v>1.072941E-2</v>
      </c>
      <c r="X3430">
        <v>0.99211179999999999</v>
      </c>
      <c r="Y3430">
        <v>0.2286057</v>
      </c>
      <c r="Z3430">
        <v>8.8785509999999998E-2</v>
      </c>
      <c r="AA3430">
        <v>0.96946200000000005</v>
      </c>
      <c r="AB3430">
        <v>19</v>
      </c>
      <c r="AC3430">
        <v>-0.46709999999998703</v>
      </c>
      <c r="AD3430">
        <v>-1.1025142531579999</v>
      </c>
      <c r="AE3430">
        <v>-11.646800000000001</v>
      </c>
      <c r="AF3430">
        <v>2.6724215281568702</v>
      </c>
      <c r="AG3430">
        <v>-1.1025142531579999</v>
      </c>
      <c r="AH3430">
        <v>11.2394599660871</v>
      </c>
      <c r="AI3430">
        <v>95.451376253343597</v>
      </c>
      <c r="AJ3430">
        <v>76.625065577573693</v>
      </c>
      <c r="AK3430">
        <v>11.6052933970601</v>
      </c>
      <c r="AL3430">
        <v>89.385238311502903</v>
      </c>
      <c r="AM3430">
        <v>82.824811954443206</v>
      </c>
      <c r="AN3430">
        <v>1.00000002733557</v>
      </c>
    </row>
    <row r="3431" spans="1:40" x14ac:dyDescent="0.3">
      <c r="A3431" t="str">
        <f>"20200111160523314"</f>
        <v>20200111160523314</v>
      </c>
      <c r="B3431" t="str">
        <f>"1578729923305005"</f>
        <v>1578729923305005</v>
      </c>
      <c r="C3431" t="s">
        <v>40</v>
      </c>
      <c r="D3431">
        <v>5.1897250000000001</v>
      </c>
      <c r="E3431">
        <v>0.54538769999999903</v>
      </c>
      <c r="F3431" t="s">
        <v>41</v>
      </c>
      <c r="G3431">
        <v>-189.89670000000001</v>
      </c>
      <c r="H3431" s="1">
        <v>-1.3128440000000001E-6</v>
      </c>
      <c r="I3431">
        <v>192.65029999999999</v>
      </c>
      <c r="J3431">
        <v>-189.34</v>
      </c>
      <c r="K3431">
        <v>1.102652</v>
      </c>
      <c r="L3431">
        <v>203.9393</v>
      </c>
      <c r="M3431">
        <v>0.17733940000000001</v>
      </c>
      <c r="N3431">
        <v>0</v>
      </c>
      <c r="O3431">
        <v>-0.98402120000000004</v>
      </c>
      <c r="P3431">
        <v>6.1493939999999997E-2</v>
      </c>
      <c r="Q3431">
        <v>-5.9966169999999897E-3</v>
      </c>
      <c r="R3431">
        <v>-0.99808940000000002</v>
      </c>
      <c r="S3431">
        <v>-0.14132690000000001</v>
      </c>
      <c r="T3431">
        <v>-0.28968389999999999</v>
      </c>
      <c r="U3431">
        <v>-3.01593</v>
      </c>
      <c r="V3431">
        <v>0.1166739</v>
      </c>
      <c r="W3431">
        <v>7.5189990000000002E-3</v>
      </c>
      <c r="X3431">
        <v>0.99314179999999996</v>
      </c>
      <c r="Y3431">
        <v>0.22302169999999999</v>
      </c>
      <c r="Z3431">
        <v>9.2082750000000005E-2</v>
      </c>
      <c r="AA3431">
        <v>0.97045459999999995</v>
      </c>
      <c r="AB3431">
        <v>19</v>
      </c>
      <c r="AC3431">
        <v>-0.55670000000000597</v>
      </c>
      <c r="AD3431">
        <v>-1.1026533128439999</v>
      </c>
      <c r="AE3431">
        <v>-11.289</v>
      </c>
      <c r="AF3431">
        <v>2.5260704346104901</v>
      </c>
      <c r="AG3431">
        <v>-1.1026533128439999</v>
      </c>
      <c r="AH3431">
        <v>10.907474253796</v>
      </c>
      <c r="AI3431">
        <v>95.624633463690799</v>
      </c>
      <c r="AJ3431">
        <v>76.960700144142507</v>
      </c>
      <c r="AK3431">
        <v>11.2503275848378</v>
      </c>
      <c r="AL3431">
        <v>89.569189025094801</v>
      </c>
      <c r="AM3431">
        <v>83.299627154528295</v>
      </c>
      <c r="AN3431">
        <v>0.99999998459720496</v>
      </c>
    </row>
    <row r="3432" spans="1:40" x14ac:dyDescent="0.3">
      <c r="A3432" t="str">
        <f>"20200111160523336"</f>
        <v>20200111160523336</v>
      </c>
      <c r="B3432" t="str">
        <f>"1578729923324525"</f>
        <v>1578729923324525</v>
      </c>
      <c r="C3432" t="s">
        <v>40</v>
      </c>
      <c r="D3432">
        <v>5.1518990000000002</v>
      </c>
      <c r="E3432">
        <v>0.54476539999999996</v>
      </c>
      <c r="F3432" t="s">
        <v>41</v>
      </c>
      <c r="G3432">
        <v>-189.94120000000001</v>
      </c>
      <c r="H3432" s="1">
        <v>-1.3331870000000001E-6</v>
      </c>
      <c r="I3432">
        <v>192.71610000000001</v>
      </c>
      <c r="J3432">
        <v>-189.32339999999999</v>
      </c>
      <c r="K3432">
        <v>1.102811</v>
      </c>
      <c r="L3432">
        <v>203.74539999999999</v>
      </c>
      <c r="M3432">
        <v>0.16244229999999901</v>
      </c>
      <c r="N3432">
        <v>0</v>
      </c>
      <c r="O3432">
        <v>-0.98659090000000005</v>
      </c>
      <c r="P3432">
        <v>5.4656469999999999E-2</v>
      </c>
      <c r="Q3432">
        <v>-9.2878349999999995E-3</v>
      </c>
      <c r="R3432">
        <v>-0.99846210000000002</v>
      </c>
      <c r="S3432">
        <v>-0.161438</v>
      </c>
      <c r="T3432">
        <v>-0.29611229999999999</v>
      </c>
      <c r="U3432">
        <v>-3.0139309999999999</v>
      </c>
      <c r="V3432">
        <v>0.1083866</v>
      </c>
      <c r="W3432">
        <v>4.384804E-3</v>
      </c>
      <c r="X3432">
        <v>0.99409910000000001</v>
      </c>
      <c r="Y3432">
        <v>0.21475449999999999</v>
      </c>
      <c r="Z3432">
        <v>9.4620029999999994E-2</v>
      </c>
      <c r="AA3432">
        <v>0.97207390000000005</v>
      </c>
      <c r="AB3432">
        <v>19</v>
      </c>
      <c r="AC3432">
        <v>-0.617800000000016</v>
      </c>
      <c r="AD3432">
        <v>-1.1028123331869999</v>
      </c>
      <c r="AE3432">
        <v>-11.0292999999999</v>
      </c>
      <c r="AF3432">
        <v>2.3777439800839799</v>
      </c>
      <c r="AG3432">
        <v>-1.1028123331869999</v>
      </c>
      <c r="AH3432">
        <v>10.675999508099</v>
      </c>
      <c r="AI3432">
        <v>95.757550767956602</v>
      </c>
      <c r="AJ3432">
        <v>77.444091543225895</v>
      </c>
      <c r="AK3432">
        <v>10.993035384914601</v>
      </c>
      <c r="AL3432">
        <v>89.748768419465605</v>
      </c>
      <c r="AM3432">
        <v>83.777621165339596</v>
      </c>
      <c r="AN3432">
        <v>0.99999995109324302</v>
      </c>
    </row>
    <row r="3433" spans="1:40" x14ac:dyDescent="0.3">
      <c r="A3433" t="str">
        <f>"20200111160523359"</f>
        <v>20200111160523359</v>
      </c>
      <c r="B3433" t="str">
        <f>"1578729923355289"</f>
        <v>1578729923355289</v>
      </c>
      <c r="C3433" t="s">
        <v>40</v>
      </c>
      <c r="D3433">
        <v>5.1279779999999997</v>
      </c>
      <c r="E3433">
        <v>0.54362259999999996</v>
      </c>
      <c r="F3433" t="s">
        <v>42</v>
      </c>
      <c r="G3433">
        <v>-189.37129999999999</v>
      </c>
      <c r="H3433">
        <v>1.021703</v>
      </c>
      <c r="I3433">
        <v>202.934</v>
      </c>
      <c r="J3433">
        <v>-189.3091</v>
      </c>
      <c r="K3433">
        <v>1.1029990000000001</v>
      </c>
      <c r="L3433">
        <v>203.54570000000001</v>
      </c>
      <c r="M3433">
        <v>0.1473749</v>
      </c>
      <c r="N3433">
        <v>0</v>
      </c>
      <c r="O3433">
        <v>-0.98895529999999998</v>
      </c>
      <c r="P3433">
        <v>4.7216620000000001E-2</v>
      </c>
      <c r="Q3433">
        <v>-1.1543950000000001E-2</v>
      </c>
      <c r="R3433">
        <v>-0.99881830000000005</v>
      </c>
      <c r="S3433">
        <v>-0.17752079999999901</v>
      </c>
      <c r="T3433">
        <v>-0.30079090000000003</v>
      </c>
      <c r="U3433">
        <v>-3.01152</v>
      </c>
      <c r="V3433">
        <v>0.1005779</v>
      </c>
      <c r="W3433">
        <v>2.2628930000000002E-3</v>
      </c>
      <c r="X3433">
        <v>0.99492659999999999</v>
      </c>
      <c r="Y3433">
        <v>0.20505399999999999</v>
      </c>
      <c r="Z3433">
        <v>9.6617629999999996E-2</v>
      </c>
      <c r="AA3433">
        <v>0.97397020000000001</v>
      </c>
      <c r="AB3433">
        <v>19</v>
      </c>
      <c r="AC3433">
        <v>-6.2199999999989999E-2</v>
      </c>
      <c r="AD3433">
        <v>-8.1295999999999993E-2</v>
      </c>
      <c r="AE3433">
        <v>-0.61169999999998403</v>
      </c>
      <c r="AF3433">
        <v>0.149074914589855</v>
      </c>
      <c r="AG3433">
        <v>-8.1295999999999993E-2</v>
      </c>
      <c r="AH3433">
        <v>0.58561338271080798</v>
      </c>
      <c r="AI3433">
        <v>97.662080196260703</v>
      </c>
      <c r="AJ3433">
        <v>75.718013907672997</v>
      </c>
      <c r="AK3433">
        <v>0.60973387948019397</v>
      </c>
      <c r="AL3433">
        <v>89.870345669274101</v>
      </c>
      <c r="AM3433">
        <v>84.227535605385896</v>
      </c>
      <c r="AN3433">
        <v>0.99999998702034898</v>
      </c>
    </row>
    <row r="3434" spans="1:40" x14ac:dyDescent="0.3">
      <c r="A3434" t="str">
        <f>"20200111160523382"</f>
        <v>20200111160523382</v>
      </c>
      <c r="B3434" t="str">
        <f>"1578729923374811"</f>
        <v>1578729923374811</v>
      </c>
      <c r="C3434" t="s">
        <v>40</v>
      </c>
      <c r="D3434">
        <v>5.3821389999999996</v>
      </c>
      <c r="E3434">
        <v>0.53346229999999994</v>
      </c>
      <c r="F3434" t="s">
        <v>42</v>
      </c>
      <c r="G3434">
        <v>-189.35900000000001</v>
      </c>
      <c r="H3434">
        <v>1.0245150000000001</v>
      </c>
      <c r="I3434">
        <v>202.75960000000001</v>
      </c>
      <c r="J3434">
        <v>-189.29679999999999</v>
      </c>
      <c r="K3434">
        <v>1.1032379999999999</v>
      </c>
      <c r="L3434">
        <v>203.33590000000001</v>
      </c>
      <c r="M3434">
        <v>0.13188510000000001</v>
      </c>
      <c r="N3434">
        <v>0</v>
      </c>
      <c r="O3434">
        <v>-0.9911413</v>
      </c>
      <c r="P3434">
        <v>4.0405049999999998E-2</v>
      </c>
      <c r="Q3434">
        <v>-1.281299E-2</v>
      </c>
      <c r="R3434">
        <v>-0.99910149999999998</v>
      </c>
      <c r="S3434">
        <v>-0.19107060000000001</v>
      </c>
      <c r="T3434">
        <v>-0.30031529999999901</v>
      </c>
      <c r="U3434">
        <v>-3.009125</v>
      </c>
      <c r="V3434">
        <v>9.1766280000000006E-2</v>
      </c>
      <c r="W3434">
        <v>1.1361279999999999E-3</v>
      </c>
      <c r="X3434">
        <v>0.99577990000000005</v>
      </c>
      <c r="Y3434">
        <v>0.1941445</v>
      </c>
      <c r="Z3434">
        <v>9.6964549999999997E-2</v>
      </c>
      <c r="AA3434">
        <v>0.97616890000000001</v>
      </c>
      <c r="AB3434">
        <v>19</v>
      </c>
      <c r="AC3434">
        <v>-6.22000000000184E-2</v>
      </c>
      <c r="AD3434">
        <v>-7.8722999999999793E-2</v>
      </c>
      <c r="AE3434">
        <v>-0.57630000000000303</v>
      </c>
      <c r="AF3434">
        <v>0.13517791187293199</v>
      </c>
      <c r="AG3434">
        <v>-7.8722999999999793E-2</v>
      </c>
      <c r="AH3434">
        <v>0.55286302421080502</v>
      </c>
      <c r="AI3434">
        <v>97.875015163948703</v>
      </c>
      <c r="AJ3434">
        <v>76.260444282571498</v>
      </c>
      <c r="AK3434">
        <v>0.57456757838120698</v>
      </c>
      <c r="AL3434">
        <v>89.934904644987597</v>
      </c>
      <c r="AM3434">
        <v>84.734768415028995</v>
      </c>
      <c r="AN3434">
        <v>0.99999997508794003</v>
      </c>
    </row>
    <row r="3435" spans="1:40" x14ac:dyDescent="0.3">
      <c r="A3435" t="str">
        <f>"20200111160523404"</f>
        <v>20200111160523404</v>
      </c>
      <c r="B3435" t="str">
        <f>"1578729923395304"</f>
        <v>1578729923395304</v>
      </c>
      <c r="C3435" t="s">
        <v>40</v>
      </c>
      <c r="D3435">
        <v>5.1628319999999999</v>
      </c>
      <c r="E3435">
        <v>0.53368459999999995</v>
      </c>
      <c r="F3435" t="s">
        <v>42</v>
      </c>
      <c r="G3435">
        <v>-189.32980000000001</v>
      </c>
      <c r="H3435">
        <v>1.0334099999999999</v>
      </c>
      <c r="I3435">
        <v>202.58420000000001</v>
      </c>
      <c r="J3435">
        <v>-189.28829999999999</v>
      </c>
      <c r="K3435">
        <v>1.1034889999999999</v>
      </c>
      <c r="L3435">
        <v>203.14859999999999</v>
      </c>
      <c r="M3435">
        <v>0.11844200000000001</v>
      </c>
      <c r="N3435">
        <v>0</v>
      </c>
      <c r="O3435">
        <v>-0.99283889999999997</v>
      </c>
      <c r="P3435">
        <v>3.5368740000000003E-2</v>
      </c>
      <c r="Q3435">
        <v>-1.1921299999999999E-2</v>
      </c>
      <c r="R3435">
        <v>-0.99930350000000001</v>
      </c>
      <c r="S3435">
        <v>-0.1317596</v>
      </c>
      <c r="T3435">
        <v>-0.27877079999999999</v>
      </c>
      <c r="U3435">
        <v>-3.0044559999999998</v>
      </c>
      <c r="V3435">
        <v>8.3304379999999997E-2</v>
      </c>
      <c r="W3435">
        <v>2.1560809999999998E-3</v>
      </c>
      <c r="X3435">
        <v>0.99652180000000001</v>
      </c>
      <c r="Y3435">
        <v>0.16166129999999901</v>
      </c>
      <c r="Z3435">
        <v>9.0762389999999998E-2</v>
      </c>
      <c r="AA3435">
        <v>0.98266359999999997</v>
      </c>
      <c r="AB3435">
        <v>19</v>
      </c>
      <c r="AC3435">
        <v>-4.1500000000013401E-2</v>
      </c>
      <c r="AD3435">
        <v>-7.0079000000000002E-2</v>
      </c>
      <c r="AE3435">
        <v>-0.56439999999997703</v>
      </c>
      <c r="AF3435">
        <v>0.106432524357436</v>
      </c>
      <c r="AG3435">
        <v>-7.0079000000000002E-2</v>
      </c>
      <c r="AH3435">
        <v>0.54712063056729499</v>
      </c>
      <c r="AI3435">
        <v>97.1661969455117</v>
      </c>
      <c r="AJ3435">
        <v>78.991619989454605</v>
      </c>
      <c r="AK3435">
        <v>0.56176501570892601</v>
      </c>
      <c r="AL3435">
        <v>89.876465560617106</v>
      </c>
      <c r="AM3435">
        <v>85.221461631306397</v>
      </c>
      <c r="AN3435">
        <v>0.99999998314385097</v>
      </c>
    </row>
    <row r="3436" spans="1:40" x14ac:dyDescent="0.3">
      <c r="A3436" t="str">
        <f>"20200111160523426"</f>
        <v>20200111160523426</v>
      </c>
      <c r="B3436" t="str">
        <f>"1578729923414824"</f>
        <v>1578729923414824</v>
      </c>
      <c r="C3436" t="s">
        <v>40</v>
      </c>
      <c r="D3436">
        <v>5.2022890000000004</v>
      </c>
      <c r="E3436">
        <v>0.53352390000000005</v>
      </c>
      <c r="F3436" t="s">
        <v>42</v>
      </c>
      <c r="G3436">
        <v>-189.32509999999999</v>
      </c>
      <c r="H3436">
        <v>1.0368219999999999</v>
      </c>
      <c r="I3436">
        <v>202.40719999999999</v>
      </c>
      <c r="J3436">
        <v>-189.2818</v>
      </c>
      <c r="K3436">
        <v>1.103799</v>
      </c>
      <c r="L3436">
        <v>202.95529999999999</v>
      </c>
      <c r="M3436">
        <v>0.1050157</v>
      </c>
      <c r="N3436">
        <v>0</v>
      </c>
      <c r="O3436">
        <v>-0.99435010000000001</v>
      </c>
      <c r="P3436">
        <v>2.5121310000000001E-2</v>
      </c>
      <c r="Q3436">
        <v>-9.6311939999999992E-3</v>
      </c>
      <c r="R3436">
        <v>-0.99963789999999997</v>
      </c>
      <c r="S3436">
        <v>-0.14895630000000001</v>
      </c>
      <c r="T3436">
        <v>-0.2702233</v>
      </c>
      <c r="U3436">
        <v>-3.0041660000000001</v>
      </c>
      <c r="V3436">
        <v>8.0093559999999994E-2</v>
      </c>
      <c r="W3436">
        <v>4.4649140000000004E-3</v>
      </c>
      <c r="X3436">
        <v>0.99677740000000004</v>
      </c>
      <c r="Y3436">
        <v>0.15395110000000001</v>
      </c>
      <c r="Z3436">
        <v>8.8256689999999999E-2</v>
      </c>
      <c r="AA3436">
        <v>0.98412900000000003</v>
      </c>
      <c r="AB3436">
        <v>19</v>
      </c>
      <c r="AC3436">
        <v>-4.3299999999987897E-2</v>
      </c>
      <c r="AD3436">
        <v>-6.6976999999999995E-2</v>
      </c>
      <c r="AE3436">
        <v>-0.54810000000000503</v>
      </c>
      <c r="AF3436">
        <v>9.9155072114873802E-2</v>
      </c>
      <c r="AG3436">
        <v>-6.6976999999999995E-2</v>
      </c>
      <c r="AH3436">
        <v>0.53261690382480598</v>
      </c>
      <c r="AI3436">
        <v>97.047531420740398</v>
      </c>
      <c r="AJ3436">
        <v>79.454208258519003</v>
      </c>
      <c r="AK3436">
        <v>0.54589230906382002</v>
      </c>
      <c r="AL3436">
        <v>89.744178434577904</v>
      </c>
      <c r="AM3436">
        <v>85.406010751697593</v>
      </c>
      <c r="AN3436">
        <v>1.00000004948062</v>
      </c>
    </row>
    <row r="3437" spans="1:40" x14ac:dyDescent="0.3">
      <c r="A3437" t="str">
        <f>"20200111160523598"</f>
        <v>20200111160523598</v>
      </c>
      <c r="B3437" t="str">
        <f>"1578729923595309"</f>
        <v>1578729923595309</v>
      </c>
      <c r="C3437" t="s">
        <v>40</v>
      </c>
      <c r="D3437">
        <v>5.2146710000000001</v>
      </c>
      <c r="E3437">
        <v>0.51655299999999904</v>
      </c>
      <c r="F3437" t="s">
        <v>42</v>
      </c>
      <c r="G3437">
        <v>-189.3819</v>
      </c>
      <c r="H3437">
        <v>1.030661</v>
      </c>
      <c r="I3437">
        <v>200.6756</v>
      </c>
      <c r="J3437">
        <v>-189.2901</v>
      </c>
      <c r="K3437">
        <v>1.1066609999999999</v>
      </c>
      <c r="L3437">
        <v>201.45</v>
      </c>
      <c r="M3437">
        <v>1.8829039999999998E-2</v>
      </c>
      <c r="N3437">
        <v>0</v>
      </c>
      <c r="O3437">
        <v>-0.99971690000000002</v>
      </c>
      <c r="P3437">
        <v>-2.8291989999999999E-2</v>
      </c>
      <c r="Q3437">
        <v>-7.0895719999999997E-3</v>
      </c>
      <c r="R3437">
        <v>-0.99957470000000004</v>
      </c>
      <c r="S3437">
        <v>-0.3223877</v>
      </c>
      <c r="T3437">
        <v>-0.25712819999999997</v>
      </c>
      <c r="U3437">
        <v>-2.991104</v>
      </c>
      <c r="V3437">
        <v>4.7179239999999997E-2</v>
      </c>
      <c r="W3437">
        <v>6.9916309999999999E-3</v>
      </c>
      <c r="X3437">
        <v>0.99886200000000003</v>
      </c>
      <c r="Y3437">
        <v>0.12547659999999999</v>
      </c>
      <c r="Z3437">
        <v>8.5042599999999996E-2</v>
      </c>
      <c r="AA3437">
        <v>0.98844489999999996</v>
      </c>
      <c r="AB3437">
        <v>19</v>
      </c>
      <c r="AC3437">
        <v>-9.1800000000006293E-2</v>
      </c>
      <c r="AD3437">
        <v>-7.5999999999999998E-2</v>
      </c>
      <c r="AE3437">
        <v>-0.77439999999998499</v>
      </c>
      <c r="AF3437">
        <v>0.105365701118371</v>
      </c>
      <c r="AG3437">
        <v>-7.5999999999999998E-2</v>
      </c>
      <c r="AH3437">
        <v>0.76526543892447896</v>
      </c>
      <c r="AI3437">
        <v>95.618893010043095</v>
      </c>
      <c r="AJ3437">
        <v>82.1605112226068</v>
      </c>
      <c r="AK3437">
        <v>0.77621461142163595</v>
      </c>
      <c r="AL3437">
        <v>89.599405799785103</v>
      </c>
      <c r="AM3437">
        <v>87.295758772578907</v>
      </c>
      <c r="AN3437">
        <v>1.0000000293175</v>
      </c>
    </row>
    <row r="3438" spans="1:40" x14ac:dyDescent="0.3">
      <c r="A3438" t="str">
        <f>"20200111160523615"</f>
        <v>20200111160523615</v>
      </c>
      <c r="B3438" t="str">
        <f>"1578729923605070"</f>
        <v>1578729923605070</v>
      </c>
      <c r="C3438" t="s">
        <v>40</v>
      </c>
      <c r="D3438">
        <v>5.2270240000000001</v>
      </c>
      <c r="E3438">
        <v>0.51065249999999995</v>
      </c>
      <c r="F3438" t="s">
        <v>42</v>
      </c>
      <c r="G3438">
        <v>-189.34129999999999</v>
      </c>
      <c r="H3438">
        <v>1.037042</v>
      </c>
      <c r="I3438">
        <v>200.67339999999999</v>
      </c>
      <c r="J3438">
        <v>-189.29499999999999</v>
      </c>
      <c r="K3438">
        <v>1.1069610000000001</v>
      </c>
      <c r="L3438">
        <v>201.30090000000001</v>
      </c>
      <c r="M3438">
        <v>1.246626E-2</v>
      </c>
      <c r="N3438">
        <v>0</v>
      </c>
      <c r="O3438">
        <v>-0.99981779999999998</v>
      </c>
      <c r="P3438">
        <v>-2.973019E-2</v>
      </c>
      <c r="Q3438">
        <v>-8.3576769999999904E-3</v>
      </c>
      <c r="R3438">
        <v>-0.99952319999999995</v>
      </c>
      <c r="S3438">
        <v>-0.19725039999999999</v>
      </c>
      <c r="T3438">
        <v>-0.26838909999999899</v>
      </c>
      <c r="U3438">
        <v>-2.9937900000000002</v>
      </c>
      <c r="V3438">
        <v>4.2241639999999997E-2</v>
      </c>
      <c r="W3438">
        <v>5.7156419999999999E-3</v>
      </c>
      <c r="X3438">
        <v>0.99909110000000001</v>
      </c>
      <c r="Y3438">
        <v>7.7918169999999995E-2</v>
      </c>
      <c r="Z3438">
        <v>8.9048559999999999E-2</v>
      </c>
      <c r="AA3438">
        <v>0.99297489999999999</v>
      </c>
      <c r="AB3438">
        <v>19</v>
      </c>
      <c r="AC3438">
        <v>-4.6300000000002201E-2</v>
      </c>
      <c r="AD3438">
        <v>-6.9918999999999995E-2</v>
      </c>
      <c r="AE3438">
        <v>-0.62750000000002604</v>
      </c>
      <c r="AF3438">
        <v>5.3459664356845002E-2</v>
      </c>
      <c r="AG3438">
        <v>-6.9918999999999995E-2</v>
      </c>
      <c r="AH3438">
        <v>0.61922761089139999</v>
      </c>
      <c r="AI3438">
        <v>96.418492128087905</v>
      </c>
      <c r="AJ3438">
        <v>85.065728609208307</v>
      </c>
      <c r="AK3438">
        <v>0.62545138609201101</v>
      </c>
      <c r="AL3438">
        <v>89.672516061424304</v>
      </c>
      <c r="AM3438">
        <v>87.578972451729896</v>
      </c>
      <c r="AN3438">
        <v>1.00000002540628</v>
      </c>
    </row>
    <row r="3439" spans="1:40" x14ac:dyDescent="0.3">
      <c r="A3439" t="str">
        <f>"20200111160523629"</f>
        <v>20200111160523629</v>
      </c>
      <c r="B3439" t="str">
        <f>"1578729923624590"</f>
        <v>1578729923624590</v>
      </c>
      <c r="C3439" t="s">
        <v>40</v>
      </c>
      <c r="D3439">
        <v>5.2843140000000002</v>
      </c>
      <c r="E3439">
        <v>0.50912579999999996</v>
      </c>
      <c r="F3439" t="s">
        <v>42</v>
      </c>
      <c r="G3439">
        <v>-189.33459999999999</v>
      </c>
      <c r="H3439">
        <v>1.020931</v>
      </c>
      <c r="I3439">
        <v>200.50980000000001</v>
      </c>
      <c r="J3439">
        <v>-189.29910000000001</v>
      </c>
      <c r="K3439">
        <v>1.1071869999999999</v>
      </c>
      <c r="L3439">
        <v>201.1874</v>
      </c>
      <c r="M3439">
        <v>7.8908060000000002E-3</v>
      </c>
      <c r="N3439">
        <v>0</v>
      </c>
      <c r="O3439">
        <v>-0.99986540000000002</v>
      </c>
      <c r="P3439">
        <v>-3.1575119999999998E-2</v>
      </c>
      <c r="Q3439">
        <v>-8.4859029999999995E-3</v>
      </c>
      <c r="R3439">
        <v>-0.99946539999999995</v>
      </c>
      <c r="S3439">
        <v>-0.14952089999999901</v>
      </c>
      <c r="T3439">
        <v>-0.3254455</v>
      </c>
      <c r="U3439">
        <v>-2.9942630000000001</v>
      </c>
      <c r="V3439">
        <v>3.9508969999999997E-2</v>
      </c>
      <c r="W3439">
        <v>5.5678239999999999E-3</v>
      </c>
      <c r="X3439">
        <v>0.99920370000000003</v>
      </c>
      <c r="Y3439">
        <v>5.7462720000000002E-2</v>
      </c>
      <c r="Z3439">
        <v>0.1078925</v>
      </c>
      <c r="AA3439">
        <v>0.99250050000000001</v>
      </c>
      <c r="AB3439">
        <v>19</v>
      </c>
      <c r="AC3439">
        <v>-3.5499999999984697E-2</v>
      </c>
      <c r="AD3439">
        <v>-8.6256000000000096E-2</v>
      </c>
      <c r="AE3439">
        <v>-0.67759999999998399</v>
      </c>
      <c r="AF3439">
        <v>4.0196679524905798E-2</v>
      </c>
      <c r="AG3439">
        <v>-8.6256000000000096E-2</v>
      </c>
      <c r="AH3439">
        <v>0.66652765889195598</v>
      </c>
      <c r="AI3439">
        <v>97.360496454648597</v>
      </c>
      <c r="AJ3439">
        <v>86.548809334169405</v>
      </c>
      <c r="AK3439">
        <v>0.67328670761334597</v>
      </c>
      <c r="AL3439">
        <v>89.680985534395205</v>
      </c>
      <c r="AM3439">
        <v>87.735678305350007</v>
      </c>
      <c r="AN3439">
        <v>0.99999999673412299</v>
      </c>
    </row>
    <row r="3440" spans="1:40" x14ac:dyDescent="0.3">
      <c r="A3440" t="str">
        <f>"20200111160523641"</f>
        <v>20200111160523641</v>
      </c>
      <c r="B3440" t="str">
        <f>"1578729923635326"</f>
        <v>1578729923635326</v>
      </c>
      <c r="C3440" t="s">
        <v>40</v>
      </c>
      <c r="D3440">
        <v>5.2179989999999998</v>
      </c>
      <c r="E3440">
        <v>0.50912579999999996</v>
      </c>
      <c r="F3440" t="s">
        <v>42</v>
      </c>
      <c r="G3440">
        <v>-189.33940000000001</v>
      </c>
      <c r="H3440">
        <v>1.0143719999999901</v>
      </c>
      <c r="I3440">
        <v>200.3416</v>
      </c>
      <c r="J3440">
        <v>-189.30330000000001</v>
      </c>
      <c r="K3440">
        <v>1.1074059999999999</v>
      </c>
      <c r="L3440">
        <v>201.07570000000001</v>
      </c>
      <c r="M3440">
        <v>3.6221059999999999E-3</v>
      </c>
      <c r="N3440">
        <v>0</v>
      </c>
      <c r="O3440">
        <v>-0.99989090000000003</v>
      </c>
      <c r="P3440">
        <v>-3.2961419999999998E-2</v>
      </c>
      <c r="Q3440">
        <v>-8.4041710000000002E-3</v>
      </c>
      <c r="R3440">
        <v>-0.99942169999999997</v>
      </c>
      <c r="S3440">
        <v>-0.14248659999999999</v>
      </c>
      <c r="T3440">
        <v>-0.32843359999999999</v>
      </c>
      <c r="U3440">
        <v>-2.9942929999999999</v>
      </c>
      <c r="V3440">
        <v>3.6626230000000003E-2</v>
      </c>
      <c r="W3440">
        <v>5.6283820000000004E-3</v>
      </c>
      <c r="X3440">
        <v>0.99931320000000001</v>
      </c>
      <c r="Y3440">
        <v>5.0867620000000002E-2</v>
      </c>
      <c r="Z3440">
        <v>0.1089</v>
      </c>
      <c r="AA3440">
        <v>0.99275029999999997</v>
      </c>
      <c r="AB3440">
        <v>19</v>
      </c>
      <c r="AC3440">
        <v>-3.6100000000004601E-2</v>
      </c>
      <c r="AD3440">
        <v>-9.3034000000000006E-2</v>
      </c>
      <c r="AE3440">
        <v>-0.73410000000001197</v>
      </c>
      <c r="AF3440">
        <v>3.8147809441568502E-2</v>
      </c>
      <c r="AG3440">
        <v>-9.3034000000000006E-2</v>
      </c>
      <c r="AH3440">
        <v>0.72239008507946401</v>
      </c>
      <c r="AI3440">
        <v>97.328421656880906</v>
      </c>
      <c r="AJ3440">
        <v>86.977145473770307</v>
      </c>
      <c r="AK3440">
        <v>0.72935451979288202</v>
      </c>
      <c r="AL3440">
        <v>89.677515768266304</v>
      </c>
      <c r="AM3440">
        <v>87.900968899072794</v>
      </c>
      <c r="AN3440">
        <v>1.00000001555109</v>
      </c>
    </row>
    <row r="3441" spans="1:40" x14ac:dyDescent="0.3">
      <c r="A3441" t="str">
        <f>"20200111160523672"</f>
        <v>20200111160523672</v>
      </c>
      <c r="B3441" t="str">
        <f>"1578729923665113"</f>
        <v>1578729923665113</v>
      </c>
      <c r="C3441" t="s">
        <v>40</v>
      </c>
      <c r="D3441">
        <v>6.3983220000000003</v>
      </c>
      <c r="E3441">
        <v>0.505992</v>
      </c>
      <c r="F3441" t="s">
        <v>42</v>
      </c>
      <c r="G3441">
        <v>-189.33959999999999</v>
      </c>
      <c r="H3441">
        <v>1.0262579999999999</v>
      </c>
      <c r="I3441">
        <v>200.33580000000001</v>
      </c>
      <c r="J3441">
        <v>-189.3141</v>
      </c>
      <c r="K3441">
        <v>1.1079030000000001</v>
      </c>
      <c r="L3441">
        <v>200.8107</v>
      </c>
      <c r="M3441">
        <v>-5.4785210000000001E-3</v>
      </c>
      <c r="N3441">
        <v>0</v>
      </c>
      <c r="O3441">
        <v>-0.99988449999999995</v>
      </c>
      <c r="P3441">
        <v>-3.3262550000000002E-2</v>
      </c>
      <c r="Q3441">
        <v>-6.8547670000000003E-3</v>
      </c>
      <c r="R3441">
        <v>-0.99942319999999996</v>
      </c>
      <c r="S3441">
        <v>-0.14678959999999999</v>
      </c>
      <c r="T3441">
        <v>-0.32818659999999999</v>
      </c>
      <c r="U3441">
        <v>-2.9941249999999999</v>
      </c>
      <c r="V3441">
        <v>2.783333E-2</v>
      </c>
      <c r="W3441">
        <v>7.1346789999999997E-3</v>
      </c>
      <c r="X3441">
        <v>0.99958709999999995</v>
      </c>
      <c r="Y3441">
        <v>4.3202919999999999E-2</v>
      </c>
      <c r="Z3441">
        <v>0.1088398</v>
      </c>
      <c r="AA3441">
        <v>0.99312</v>
      </c>
      <c r="AB3441">
        <v>19</v>
      </c>
      <c r="AC3441">
        <v>-2.5499999999993798E-2</v>
      </c>
      <c r="AD3441">
        <v>-8.1645000000000106E-2</v>
      </c>
      <c r="AE3441">
        <v>-0.474899999999991</v>
      </c>
      <c r="AF3441">
        <v>2.2242094846724202E-2</v>
      </c>
      <c r="AG3441">
        <v>-8.1645000000000106E-2</v>
      </c>
      <c r="AH3441">
        <v>0.461433383635457</v>
      </c>
      <c r="AI3441">
        <v>100.022537243164</v>
      </c>
      <c r="AJ3441">
        <v>87.240354520597805</v>
      </c>
      <c r="AK3441">
        <v>0.469128323959914</v>
      </c>
      <c r="AL3441">
        <v>89.591209530454194</v>
      </c>
      <c r="AM3441">
        <v>88.405021053050703</v>
      </c>
      <c r="AN3441">
        <v>0.99999998419486502</v>
      </c>
    </row>
    <row r="3442" spans="1:40" x14ac:dyDescent="0.3">
      <c r="A3442" t="str">
        <f>"20200111160523686"</f>
        <v>20200111160523686</v>
      </c>
      <c r="B3442" t="str">
        <f>"1578729923674875"</f>
        <v>1578729923674875</v>
      </c>
      <c r="C3442" t="s">
        <v>40</v>
      </c>
      <c r="D3442">
        <v>5.4495420000000001</v>
      </c>
      <c r="E3442">
        <v>0.50546740000000001</v>
      </c>
      <c r="F3442" t="s">
        <v>42</v>
      </c>
      <c r="G3442">
        <v>-189.34970000000001</v>
      </c>
      <c r="H3442">
        <v>1.0389379999999999</v>
      </c>
      <c r="I3442">
        <v>199.98779999999999</v>
      </c>
      <c r="J3442">
        <v>-189.3192</v>
      </c>
      <c r="K3442">
        <v>1.108114</v>
      </c>
      <c r="L3442">
        <v>200.69460000000001</v>
      </c>
      <c r="M3442">
        <v>-9.1387529999999995E-3</v>
      </c>
      <c r="N3442">
        <v>0</v>
      </c>
      <c r="O3442">
        <v>-0.99985880000000005</v>
      </c>
      <c r="P3442">
        <v>-3.422563E-2</v>
      </c>
      <c r="Q3442">
        <v>-6.3065159999999999E-3</v>
      </c>
      <c r="R3442">
        <v>-0.99939449999999996</v>
      </c>
      <c r="S3442">
        <v>-0.12919620000000001</v>
      </c>
      <c r="T3442">
        <v>-0.25096109999999999</v>
      </c>
      <c r="U3442">
        <v>-2.9957120000000002</v>
      </c>
      <c r="V3442">
        <v>2.513669E-2</v>
      </c>
      <c r="W3442">
        <v>7.6539399999999997E-3</v>
      </c>
      <c r="X3442">
        <v>0.99965470000000001</v>
      </c>
      <c r="Y3442">
        <v>3.3803850000000003E-2</v>
      </c>
      <c r="Z3442">
        <v>8.3413459999999995E-2</v>
      </c>
      <c r="AA3442">
        <v>0.99594150000000004</v>
      </c>
      <c r="AB3442">
        <v>19</v>
      </c>
      <c r="AC3442">
        <v>-3.05000000000177E-2</v>
      </c>
      <c r="AD3442">
        <v>-6.9176000000000099E-2</v>
      </c>
      <c r="AE3442">
        <v>-0.70680000000001497</v>
      </c>
      <c r="AF3442">
        <v>2.3811151272396198E-2</v>
      </c>
      <c r="AG3442">
        <v>-6.9176000000000099E-2</v>
      </c>
      <c r="AH3442">
        <v>0.70035306193386404</v>
      </c>
      <c r="AI3442">
        <v>95.637744601632505</v>
      </c>
      <c r="AJ3442">
        <v>88.052763317050307</v>
      </c>
      <c r="AK3442">
        <v>0.70416383126446902</v>
      </c>
      <c r="AL3442">
        <v>89.561457249618599</v>
      </c>
      <c r="AM3442">
        <v>88.559579806646198</v>
      </c>
      <c r="AN3442">
        <v>0.99999997760688397</v>
      </c>
    </row>
    <row r="3443" spans="1:40" x14ac:dyDescent="0.3">
      <c r="A3443" t="str">
        <f>"20200111160523706"</f>
        <v>20200111160523706</v>
      </c>
      <c r="B3443" t="str">
        <f>"1578729923695374"</f>
        <v>1578729923695374</v>
      </c>
      <c r="C3443" t="s">
        <v>40</v>
      </c>
      <c r="D3443">
        <v>5.2574519999999998</v>
      </c>
      <c r="E3443">
        <v>0.50388849999999996</v>
      </c>
      <c r="F3443" t="s">
        <v>42</v>
      </c>
      <c r="G3443">
        <v>-189.358</v>
      </c>
      <c r="H3443">
        <v>1.046089</v>
      </c>
      <c r="I3443">
        <v>199.8115</v>
      </c>
      <c r="J3443">
        <v>-189.32650000000001</v>
      </c>
      <c r="K3443">
        <v>1.108379</v>
      </c>
      <c r="L3443">
        <v>200.5317</v>
      </c>
      <c r="M3443">
        <v>-1.391356E-2</v>
      </c>
      <c r="N3443">
        <v>0</v>
      </c>
      <c r="O3443">
        <v>-0.99980480000000005</v>
      </c>
      <c r="P3443">
        <v>-3.5230459999999998E-2</v>
      </c>
      <c r="Q3443">
        <v>-4.8537609999999998E-3</v>
      </c>
      <c r="R3443">
        <v>-0.99936780000000003</v>
      </c>
      <c r="S3443">
        <v>-0.13116459999999999</v>
      </c>
      <c r="T3443">
        <v>-0.21023210000000001</v>
      </c>
      <c r="U3443">
        <v>-2.9960170000000002</v>
      </c>
      <c r="V3443">
        <v>2.137033E-2</v>
      </c>
      <c r="W3443">
        <v>9.0667600000000001E-3</v>
      </c>
      <c r="X3443">
        <v>0.99973049999999997</v>
      </c>
      <c r="Y3443">
        <v>2.9724790000000001E-2</v>
      </c>
      <c r="Z3443">
        <v>6.9939479999999998E-2</v>
      </c>
      <c r="AA3443">
        <v>0.99710829999999995</v>
      </c>
      <c r="AB3443">
        <v>19</v>
      </c>
      <c r="AC3443">
        <v>-3.1499999999993998E-2</v>
      </c>
      <c r="AD3443">
        <v>-6.2289999999999901E-2</v>
      </c>
      <c r="AE3443">
        <v>-0.72020000000000495</v>
      </c>
      <c r="AF3443">
        <v>2.13162665009781E-2</v>
      </c>
      <c r="AG3443">
        <v>-6.2289999999999901E-2</v>
      </c>
      <c r="AH3443">
        <v>0.71522854329104901</v>
      </c>
      <c r="AI3443">
        <v>94.975192303333202</v>
      </c>
      <c r="AJ3443">
        <v>88.292894354363</v>
      </c>
      <c r="AK3443">
        <v>0.71825225127094205</v>
      </c>
      <c r="AL3443">
        <v>89.480505792522294</v>
      </c>
      <c r="AM3443">
        <v>88.775426706435297</v>
      </c>
      <c r="AN3443">
        <v>0.99999998488572805</v>
      </c>
    </row>
    <row r="3444" spans="1:40" x14ac:dyDescent="0.3">
      <c r="A3444" t="str">
        <f>"20200111160523718"</f>
        <v>20200111160523718</v>
      </c>
      <c r="B3444" t="str">
        <f>"1578729923714894"</f>
        <v>1578729923714894</v>
      </c>
      <c r="C3444" t="s">
        <v>40</v>
      </c>
      <c r="D3444">
        <v>5.3195489999999896</v>
      </c>
      <c r="E3444">
        <v>0.5031698</v>
      </c>
      <c r="F3444" t="s">
        <v>41</v>
      </c>
      <c r="G3444">
        <v>-190.0231</v>
      </c>
      <c r="H3444" s="1">
        <v>-1.6961099999999901E-6</v>
      </c>
      <c r="I3444">
        <v>183.52850000000001</v>
      </c>
      <c r="J3444">
        <v>-189.33199999999999</v>
      </c>
      <c r="K3444">
        <v>1.1085339999999999</v>
      </c>
      <c r="L3444">
        <v>200.4161</v>
      </c>
      <c r="M3444">
        <v>-1.7082980000000001E-2</v>
      </c>
      <c r="N3444">
        <v>0</v>
      </c>
      <c r="O3444">
        <v>-0.99975639999999999</v>
      </c>
      <c r="P3444">
        <v>-3.6713879999999997E-2</v>
      </c>
      <c r="Q3444">
        <v>-4.5553770000000002E-3</v>
      </c>
      <c r="R3444">
        <v>-0.99931559999999997</v>
      </c>
      <c r="S3444">
        <v>-0.12275700000000001</v>
      </c>
      <c r="T3444">
        <v>-0.19534070000000001</v>
      </c>
      <c r="U3444">
        <v>-2.9966430000000002</v>
      </c>
      <c r="V3444">
        <v>1.9683050000000001E-2</v>
      </c>
      <c r="W3444">
        <v>9.3328230000000005E-3</v>
      </c>
      <c r="X3444">
        <v>0.9997627</v>
      </c>
      <c r="Y3444">
        <v>2.3767630000000001E-2</v>
      </c>
      <c r="Z3444">
        <v>6.4997920000000001E-2</v>
      </c>
      <c r="AA3444">
        <v>0.99760230000000005</v>
      </c>
      <c r="AB3444">
        <v>19</v>
      </c>
      <c r="AC3444">
        <v>-0.69110000000000504</v>
      </c>
      <c r="AD3444">
        <v>-1.1085356961099999</v>
      </c>
      <c r="AE3444">
        <v>-16.8875999999999</v>
      </c>
      <c r="AF3444">
        <v>0.40075650065584201</v>
      </c>
      <c r="AG3444">
        <v>-1.1085356961099999</v>
      </c>
      <c r="AH3444">
        <v>16.824568709966201</v>
      </c>
      <c r="AI3444">
        <v>93.7685847254604</v>
      </c>
      <c r="AJ3444">
        <v>88.635488652365297</v>
      </c>
      <c r="AK3444">
        <v>16.865810666515301</v>
      </c>
      <c r="AL3444">
        <v>89.465260862941804</v>
      </c>
      <c r="AM3444">
        <v>88.872122336247202</v>
      </c>
      <c r="AN3444">
        <v>0.99999999017687002</v>
      </c>
    </row>
    <row r="3445" spans="1:40" x14ac:dyDescent="0.3">
      <c r="A3445" t="str">
        <f>"20200111160523739"</f>
        <v>20200111160523739</v>
      </c>
      <c r="B3445" t="str">
        <f>"1578729923734413"</f>
        <v>1578729923734413</v>
      </c>
      <c r="C3445" t="s">
        <v>40</v>
      </c>
      <c r="D3445">
        <v>5.2883469999999999</v>
      </c>
      <c r="E3445">
        <v>0.50284209999999996</v>
      </c>
      <c r="F3445" t="s">
        <v>41</v>
      </c>
      <c r="G3445">
        <v>-190.02260000000001</v>
      </c>
      <c r="H3445" s="1">
        <v>-1.6251419999999901E-6</v>
      </c>
      <c r="I3445">
        <v>183.36340000000001</v>
      </c>
      <c r="J3445">
        <v>-189.34030000000001</v>
      </c>
      <c r="K3445">
        <v>1.1087089999999999</v>
      </c>
      <c r="L3445">
        <v>200.24709999999999</v>
      </c>
      <c r="M3445">
        <v>-2.1503910000000001E-2</v>
      </c>
      <c r="N3445">
        <v>0</v>
      </c>
      <c r="O3445">
        <v>-0.99967189999999995</v>
      </c>
      <c r="P3445">
        <v>-3.8149679999999998E-2</v>
      </c>
      <c r="Q3445">
        <v>-4.0224650000000002E-3</v>
      </c>
      <c r="R3445">
        <v>-0.99926409999999999</v>
      </c>
      <c r="S3445">
        <v>-0.12135310000000001</v>
      </c>
      <c r="T3445">
        <v>-0.19480420000000001</v>
      </c>
      <c r="U3445">
        <v>-2.9967039999999998</v>
      </c>
      <c r="V3445">
        <v>1.6696760000000001E-2</v>
      </c>
      <c r="W3445">
        <v>9.8225120000000003E-3</v>
      </c>
      <c r="X3445">
        <v>0.99981240000000005</v>
      </c>
      <c r="Y3445">
        <v>1.887954E-2</v>
      </c>
      <c r="Z3445">
        <v>6.4814540000000004E-2</v>
      </c>
      <c r="AA3445">
        <v>0.99771869999999996</v>
      </c>
      <c r="AB3445">
        <v>19</v>
      </c>
      <c r="AC3445">
        <v>-0.68229999999999702</v>
      </c>
      <c r="AD3445">
        <v>-1.108710625142</v>
      </c>
      <c r="AE3445">
        <v>-16.883699999999902</v>
      </c>
      <c r="AF3445">
        <v>0.31767382195190802</v>
      </c>
      <c r="AG3445">
        <v>-1.108710625142</v>
      </c>
      <c r="AH3445">
        <v>16.8220465314946</v>
      </c>
      <c r="AI3445">
        <v>93.770137142131901</v>
      </c>
      <c r="AJ3445">
        <v>88.918133650774394</v>
      </c>
      <c r="AK3445">
        <v>16.861536270910399</v>
      </c>
      <c r="AL3445">
        <v>89.4372024957717</v>
      </c>
      <c r="AM3445">
        <v>89.043255552913294</v>
      </c>
      <c r="AN3445">
        <v>1.00000004936512</v>
      </c>
    </row>
    <row r="3446" spans="1:40" x14ac:dyDescent="0.3">
      <c r="A3446" t="str">
        <f>"20200111160523762"</f>
        <v>20200111160523762</v>
      </c>
      <c r="B3446" t="str">
        <f>"1578729923755419"</f>
        <v>1578729923755419</v>
      </c>
      <c r="C3446" t="s">
        <v>40</v>
      </c>
      <c r="D3446">
        <v>5.3198470000000002</v>
      </c>
      <c r="E3446">
        <v>0.50232860000000001</v>
      </c>
      <c r="F3446" t="s">
        <v>41</v>
      </c>
      <c r="G3446">
        <v>-190.0153</v>
      </c>
      <c r="H3446" s="1">
        <v>-1.8046320000000001E-6</v>
      </c>
      <c r="I3446">
        <v>183.78630000000001</v>
      </c>
      <c r="J3446">
        <v>-189.35050000000001</v>
      </c>
      <c r="K3446">
        <v>1.1088499999999999</v>
      </c>
      <c r="L3446">
        <v>200.05</v>
      </c>
      <c r="M3446">
        <v>-2.633539E-2</v>
      </c>
      <c r="N3446">
        <v>0</v>
      </c>
      <c r="O3446">
        <v>-0.99955720000000003</v>
      </c>
      <c r="P3446">
        <v>-4.0458139999999997E-2</v>
      </c>
      <c r="Q3446">
        <v>-5.075052E-3</v>
      </c>
      <c r="R3446">
        <v>-0.99916859999999996</v>
      </c>
      <c r="S3446">
        <v>-0.122879</v>
      </c>
      <c r="T3446">
        <v>-0.2018423</v>
      </c>
      <c r="U3446">
        <v>-2.9967190000000001</v>
      </c>
      <c r="V3446">
        <v>1.416629E-2</v>
      </c>
      <c r="W3446">
        <v>8.7201129999999998E-3</v>
      </c>
      <c r="X3446">
        <v>0.99986169999999996</v>
      </c>
      <c r="Y3446">
        <v>1.4547600000000001E-2</v>
      </c>
      <c r="Z3446">
        <v>6.7135630000000002E-2</v>
      </c>
      <c r="AA3446">
        <v>0.99763780000000002</v>
      </c>
      <c r="AB3446">
        <v>19</v>
      </c>
      <c r="AC3446">
        <v>-0.66479999999998496</v>
      </c>
      <c r="AD3446">
        <v>-1.1088518046319999</v>
      </c>
      <c r="AE3446">
        <v>-16.2637</v>
      </c>
      <c r="AF3446">
        <v>0.23512625477181801</v>
      </c>
      <c r="AG3446">
        <v>-1.1088518046319999</v>
      </c>
      <c r="AH3446">
        <v>16.200386426204801</v>
      </c>
      <c r="AI3446">
        <v>93.915149432036003</v>
      </c>
      <c r="AJ3446">
        <v>89.168489201605894</v>
      </c>
      <c r="AK3446">
        <v>16.239992519662099</v>
      </c>
      <c r="AL3446">
        <v>89.500368031844602</v>
      </c>
      <c r="AM3446">
        <v>89.1882734145765</v>
      </c>
      <c r="AN3446">
        <v>1.0000000716349899</v>
      </c>
    </row>
    <row r="3447" spans="1:40" x14ac:dyDescent="0.3">
      <c r="A3447" t="str">
        <f>"20200111160523774"</f>
        <v>20200111160523774</v>
      </c>
      <c r="B3447" t="str">
        <f>"1578729923765178"</f>
        <v>1578729923765178</v>
      </c>
      <c r="C3447" t="s">
        <v>40</v>
      </c>
      <c r="D3447">
        <v>6.2422430000000002</v>
      </c>
      <c r="E3447">
        <v>0.50232860000000001</v>
      </c>
      <c r="F3447" t="s">
        <v>41</v>
      </c>
      <c r="G3447">
        <v>-190.04339999999999</v>
      </c>
      <c r="H3447" s="1">
        <v>-1.743494E-6</v>
      </c>
      <c r="I3447">
        <v>183.62629999999999</v>
      </c>
      <c r="J3447">
        <v>-189.3563</v>
      </c>
      <c r="K3447">
        <v>1.1089039999999999</v>
      </c>
      <c r="L3447">
        <v>199.94489999999999</v>
      </c>
      <c r="M3447">
        <v>-2.874693E-2</v>
      </c>
      <c r="N3447">
        <v>0</v>
      </c>
      <c r="O3447">
        <v>-0.99949100000000002</v>
      </c>
      <c r="P3447">
        <v>-4.1404349999999999E-2</v>
      </c>
      <c r="Q3447">
        <v>-5.5958400000000004E-3</v>
      </c>
      <c r="R3447">
        <v>-0.99912690000000004</v>
      </c>
      <c r="S3447">
        <v>-0.12641910000000001</v>
      </c>
      <c r="T3447">
        <v>-0.20230010000000001</v>
      </c>
      <c r="U3447">
        <v>-2.996353</v>
      </c>
      <c r="V3447">
        <v>1.2697480000000001E-2</v>
      </c>
      <c r="W3447">
        <v>8.1765380000000006E-3</v>
      </c>
      <c r="X3447">
        <v>0.99988600000000005</v>
      </c>
      <c r="Y3447">
        <v>1.3316339999999999E-2</v>
      </c>
      <c r="Z3447">
        <v>6.7287620000000006E-2</v>
      </c>
      <c r="AA3447">
        <v>0.9976448</v>
      </c>
      <c r="AB3447">
        <v>19</v>
      </c>
      <c r="AC3447">
        <v>-0.68709999999998606</v>
      </c>
      <c r="AD3447">
        <v>-1.108905743494</v>
      </c>
      <c r="AE3447">
        <v>-16.3186</v>
      </c>
      <c r="AF3447">
        <v>0.21666273272783201</v>
      </c>
      <c r="AG3447">
        <v>-1.108905743494</v>
      </c>
      <c r="AH3447">
        <v>16.256673286902299</v>
      </c>
      <c r="AI3447">
        <v>93.901889029821902</v>
      </c>
      <c r="AJ3447">
        <v>89.236428941106894</v>
      </c>
      <c r="AK3447">
        <v>16.295890311510799</v>
      </c>
      <c r="AL3447">
        <v>89.531513683502496</v>
      </c>
      <c r="AM3447">
        <v>89.272444147263698</v>
      </c>
      <c r="AN3447">
        <v>1.0000000473840001</v>
      </c>
    </row>
    <row r="3448" spans="1:40" x14ac:dyDescent="0.3">
      <c r="A3448" t="str">
        <f>"20200111160523787"</f>
        <v>20200111160523787</v>
      </c>
      <c r="B3448" t="str">
        <f>"1578729923784698"</f>
        <v>1578729923784698</v>
      </c>
      <c r="C3448" t="s">
        <v>40</v>
      </c>
      <c r="D3448">
        <v>5.3682259999999999</v>
      </c>
      <c r="E3448">
        <v>0.5004132</v>
      </c>
      <c r="F3448" t="s">
        <v>41</v>
      </c>
      <c r="G3448">
        <v>-190.0617</v>
      </c>
      <c r="H3448" s="1">
        <v>-1.7572150000000001E-6</v>
      </c>
      <c r="I3448">
        <v>183.64689999999999</v>
      </c>
      <c r="J3448">
        <v>-189.3621</v>
      </c>
      <c r="K3448">
        <v>1.108957</v>
      </c>
      <c r="L3448">
        <v>199.8399</v>
      </c>
      <c r="M3448">
        <v>-3.110195E-2</v>
      </c>
      <c r="N3448">
        <v>0</v>
      </c>
      <c r="O3448">
        <v>-0.99942109999999995</v>
      </c>
      <c r="P3448">
        <v>-4.2129779999999999E-2</v>
      </c>
      <c r="Q3448">
        <v>-6.8567569999999998E-3</v>
      </c>
      <c r="R3448">
        <v>-0.999089</v>
      </c>
      <c r="S3448">
        <v>-0.12968440000000001</v>
      </c>
      <c r="T3448">
        <v>-0.20385629999999999</v>
      </c>
      <c r="U3448">
        <v>-2.99614</v>
      </c>
      <c r="V3448">
        <v>1.1061359999999999E-2</v>
      </c>
      <c r="W3448">
        <v>6.893883E-3</v>
      </c>
      <c r="X3448">
        <v>0.99991509999999995</v>
      </c>
      <c r="Y3448">
        <v>1.204707E-2</v>
      </c>
      <c r="Z3448">
        <v>6.7799509999999993E-2</v>
      </c>
      <c r="AA3448">
        <v>0.99762620000000002</v>
      </c>
      <c r="AB3448">
        <v>19</v>
      </c>
      <c r="AC3448">
        <v>-0.699600000000003</v>
      </c>
      <c r="AD3448">
        <v>-1.1089587572149999</v>
      </c>
      <c r="AE3448">
        <v>-16.193000000000001</v>
      </c>
      <c r="AF3448">
        <v>0.19466841838809601</v>
      </c>
      <c r="AG3448">
        <v>-1.1089587572149999</v>
      </c>
      <c r="AH3448">
        <v>16.131409677262699</v>
      </c>
      <c r="AI3448">
        <v>93.932343390933397</v>
      </c>
      <c r="AJ3448">
        <v>89.308607392818203</v>
      </c>
      <c r="AK3448">
        <v>16.1706543928812</v>
      </c>
      <c r="AL3448">
        <v>89.605006487968794</v>
      </c>
      <c r="AM3448">
        <v>89.366202797434994</v>
      </c>
      <c r="AN3448">
        <v>1.0000000432579299</v>
      </c>
    </row>
    <row r="3449" spans="1:40" x14ac:dyDescent="0.3">
      <c r="A3449" t="str">
        <f>"20200111160523800"</f>
        <v>20200111160523800</v>
      </c>
      <c r="B3449" t="str">
        <f>"1578729923794458"</f>
        <v>1578729923794458</v>
      </c>
      <c r="C3449" t="s">
        <v>40</v>
      </c>
      <c r="D3449">
        <v>5.3174910000000004</v>
      </c>
      <c r="E3449">
        <v>0.49994090000000002</v>
      </c>
      <c r="F3449" t="s">
        <v>41</v>
      </c>
      <c r="G3449">
        <v>-190.08869999999999</v>
      </c>
      <c r="H3449" s="1">
        <v>-8.4578349999999998E-7</v>
      </c>
      <c r="I3449">
        <v>181.50559999999999</v>
      </c>
      <c r="J3449">
        <v>-189.3683</v>
      </c>
      <c r="K3449">
        <v>1.1090059999999999</v>
      </c>
      <c r="L3449">
        <v>199.73079999999999</v>
      </c>
      <c r="M3449">
        <v>-3.3444880000000003E-2</v>
      </c>
      <c r="N3449">
        <v>0</v>
      </c>
      <c r="O3449">
        <v>-0.9993457</v>
      </c>
      <c r="P3449">
        <v>-4.3058840000000001E-2</v>
      </c>
      <c r="Q3449">
        <v>-8.1907830000000001E-3</v>
      </c>
      <c r="R3449">
        <v>-0.99903920000000002</v>
      </c>
      <c r="S3449">
        <v>-0.118759199999999</v>
      </c>
      <c r="T3449">
        <v>-0.1812434</v>
      </c>
      <c r="U3449">
        <v>-2.9964750000000002</v>
      </c>
      <c r="V3449">
        <v>9.6410439999999997E-3</v>
      </c>
      <c r="W3449">
        <v>5.5382610000000001E-3</v>
      </c>
      <c r="X3449">
        <v>0.9999382</v>
      </c>
      <c r="Y3449">
        <v>6.0857849999999998E-3</v>
      </c>
      <c r="Z3449">
        <v>6.0300439999999997E-2</v>
      </c>
      <c r="AA3449">
        <v>0.99816170000000004</v>
      </c>
      <c r="AB3449">
        <v>19</v>
      </c>
      <c r="AC3449">
        <v>-0.72039999999998305</v>
      </c>
      <c r="AD3449">
        <v>-1.1090068457834901</v>
      </c>
      <c r="AE3449">
        <v>-18.225200000000001</v>
      </c>
      <c r="AF3449">
        <v>0.10999284218982</v>
      </c>
      <c r="AG3449">
        <v>-1.1090068457834901</v>
      </c>
      <c r="AH3449">
        <v>18.171917183988601</v>
      </c>
      <c r="AI3449">
        <v>93.492286518935401</v>
      </c>
      <c r="AJ3449">
        <v>89.653198470638401</v>
      </c>
      <c r="AK3449">
        <v>18.206058572658399</v>
      </c>
      <c r="AL3449">
        <v>89.682679400790093</v>
      </c>
      <c r="AM3449">
        <v>89.447591845905706</v>
      </c>
      <c r="AN3449">
        <v>1.0000000129417701</v>
      </c>
    </row>
    <row r="3450" spans="1:40" x14ac:dyDescent="0.3">
      <c r="A3450" t="str">
        <f>"20200111160523816"</f>
        <v>20200111160523816</v>
      </c>
      <c r="B3450" t="str">
        <f>"1578729923805194"</f>
        <v>1578729923805194</v>
      </c>
      <c r="C3450" t="s">
        <v>40</v>
      </c>
      <c r="D3450">
        <v>5.5056059999999896</v>
      </c>
      <c r="E3450">
        <v>0.499052</v>
      </c>
      <c r="F3450" t="s">
        <v>41</v>
      </c>
      <c r="G3450">
        <v>-190.1181</v>
      </c>
      <c r="H3450" s="1">
        <v>-5.5870250000000001E-7</v>
      </c>
      <c r="I3450">
        <v>180.81819999999999</v>
      </c>
      <c r="J3450">
        <v>-189.3766</v>
      </c>
      <c r="K3450">
        <v>1.1090719999999901</v>
      </c>
      <c r="L3450">
        <v>199.5898</v>
      </c>
      <c r="M3450">
        <v>-3.635816E-2</v>
      </c>
      <c r="N3450">
        <v>0</v>
      </c>
      <c r="O3450">
        <v>-0.99924449999999998</v>
      </c>
      <c r="P3450">
        <v>-4.3103900000000001E-2</v>
      </c>
      <c r="Q3450">
        <v>-1.0702659999999999E-2</v>
      </c>
      <c r="R3450">
        <v>-0.99901340000000005</v>
      </c>
      <c r="S3450">
        <v>-0.1187897</v>
      </c>
      <c r="T3450">
        <v>-0.17569969999999999</v>
      </c>
      <c r="U3450">
        <v>-2.9963229999999998</v>
      </c>
      <c r="V3450">
        <v>6.7611869999999897E-3</v>
      </c>
      <c r="W3450">
        <v>3.0048480000000001E-3</v>
      </c>
      <c r="X3450">
        <v>0.99997259999999999</v>
      </c>
      <c r="Y3450">
        <v>3.1870140000000002E-3</v>
      </c>
      <c r="Z3450">
        <v>5.8456859999999999E-2</v>
      </c>
      <c r="AA3450">
        <v>0.99828490000000003</v>
      </c>
      <c r="AB3450">
        <v>19</v>
      </c>
      <c r="AC3450">
        <v>-0.74150000000000205</v>
      </c>
      <c r="AD3450">
        <v>-1.1090725587025001</v>
      </c>
      <c r="AE3450">
        <v>-18.771599999999999</v>
      </c>
      <c r="AF3450">
        <v>5.8241480481307603E-2</v>
      </c>
      <c r="AG3450">
        <v>-1.1090725587025001</v>
      </c>
      <c r="AH3450">
        <v>18.720900473762001</v>
      </c>
      <c r="AI3450">
        <v>93.390364993453602</v>
      </c>
      <c r="AJ3450">
        <v>89.821751081731307</v>
      </c>
      <c r="AK3450">
        <v>18.753814240282399</v>
      </c>
      <c r="AL3450">
        <v>89.827834627574902</v>
      </c>
      <c r="AM3450">
        <v>89.612607808982006</v>
      </c>
      <c r="AN3450">
        <v>0.99999997175595501</v>
      </c>
    </row>
    <row r="3451" spans="1:40" x14ac:dyDescent="0.3">
      <c r="A3451" t="str">
        <f>"20200111160523830"</f>
        <v>20200111160523830</v>
      </c>
      <c r="B3451" t="str">
        <f>"1578729923824714"</f>
        <v>1578729923824714</v>
      </c>
      <c r="C3451" t="s">
        <v>40</v>
      </c>
      <c r="D3451">
        <v>5.3116099999999999</v>
      </c>
      <c r="E3451">
        <v>0.49857990000000002</v>
      </c>
      <c r="F3451" t="s">
        <v>41</v>
      </c>
      <c r="G3451">
        <v>-190.0538</v>
      </c>
      <c r="H3451" s="1">
        <v>-8.5149679999999995E-7</v>
      </c>
      <c r="I3451">
        <v>181.54060000000001</v>
      </c>
      <c r="J3451">
        <v>-189.3835</v>
      </c>
      <c r="K3451">
        <v>1.109138</v>
      </c>
      <c r="L3451">
        <v>199.47649999999999</v>
      </c>
      <c r="M3451">
        <v>-3.8611699999999999E-2</v>
      </c>
      <c r="N3451">
        <v>0</v>
      </c>
      <c r="O3451">
        <v>-0.9991603</v>
      </c>
      <c r="P3451">
        <v>-4.5575400000000002E-2</v>
      </c>
      <c r="Q3451">
        <v>-1.097587E-2</v>
      </c>
      <c r="R3451">
        <v>-0.99890069999999997</v>
      </c>
      <c r="S3451">
        <v>-0.1124115</v>
      </c>
      <c r="T3451">
        <v>-0.18410399999999999</v>
      </c>
      <c r="U3451">
        <v>-2.99614</v>
      </c>
      <c r="V3451">
        <v>6.9784309999999898E-3</v>
      </c>
      <c r="W3451">
        <v>2.7063500000000002E-3</v>
      </c>
      <c r="X3451">
        <v>0.99997199999999997</v>
      </c>
      <c r="Y3451">
        <v>-1.1941600000000001E-3</v>
      </c>
      <c r="Z3451">
        <v>6.1241379999999998E-2</v>
      </c>
      <c r="AA3451">
        <v>0.99812230000000002</v>
      </c>
      <c r="AB3451">
        <v>19</v>
      </c>
      <c r="AC3451">
        <v>-0.67029999999999701</v>
      </c>
      <c r="AD3451">
        <v>-1.1091388514967999</v>
      </c>
      <c r="AE3451">
        <v>-17.935899999999901</v>
      </c>
      <c r="AF3451">
        <v>-2.2713844257255499E-2</v>
      </c>
      <c r="AG3451">
        <v>-1.1091388514967999</v>
      </c>
      <c r="AH3451">
        <v>17.8801269255021</v>
      </c>
      <c r="AI3451">
        <v>93.549616880396698</v>
      </c>
      <c r="AJ3451">
        <v>90.072785093630799</v>
      </c>
      <c r="AK3451">
        <v>17.9145093090122</v>
      </c>
      <c r="AL3451">
        <v>89.844937379656798</v>
      </c>
      <c r="AM3451">
        <v>89.600160651197797</v>
      </c>
      <c r="AN3451">
        <v>1.00000001180677</v>
      </c>
    </row>
    <row r="3452" spans="1:40" x14ac:dyDescent="0.3">
      <c r="A3452" t="str">
        <f>"20200111160523842"</f>
        <v>20200111160523842</v>
      </c>
      <c r="B3452" t="str">
        <f>"1578729923834474"</f>
        <v>1578729923834474</v>
      </c>
      <c r="C3452" t="s">
        <v>40</v>
      </c>
      <c r="D3452">
        <v>5.3433099999999998</v>
      </c>
      <c r="E3452">
        <v>0.49825849999999999</v>
      </c>
      <c r="F3452" t="s">
        <v>41</v>
      </c>
      <c r="G3452">
        <v>-190.02549999999999</v>
      </c>
      <c r="H3452" s="1">
        <v>-1.368596E-6</v>
      </c>
      <c r="I3452">
        <v>182.76349999999999</v>
      </c>
      <c r="J3452">
        <v>-189.3903</v>
      </c>
      <c r="K3452">
        <v>1.1092089999999999</v>
      </c>
      <c r="L3452">
        <v>199.3647</v>
      </c>
      <c r="M3452">
        <v>-4.0769359999999998E-2</v>
      </c>
      <c r="N3452">
        <v>0</v>
      </c>
      <c r="O3452">
        <v>-0.99907509999999999</v>
      </c>
      <c r="P3452">
        <v>-4.6236270000000003E-2</v>
      </c>
      <c r="Q3452">
        <v>-1.202277E-2</v>
      </c>
      <c r="R3452">
        <v>-0.99885829999999998</v>
      </c>
      <c r="S3452">
        <v>-0.1150818</v>
      </c>
      <c r="T3452">
        <v>-0.1988152</v>
      </c>
      <c r="U3452">
        <v>-2.9958339999999999</v>
      </c>
      <c r="V3452">
        <v>5.4768899999999999E-3</v>
      </c>
      <c r="W3452">
        <v>1.642052E-3</v>
      </c>
      <c r="X3452">
        <v>0.99998370000000003</v>
      </c>
      <c r="Y3452">
        <v>-2.4734710000000001E-3</v>
      </c>
      <c r="Z3452">
        <v>6.6111409999999995E-2</v>
      </c>
      <c r="AA3452">
        <v>0.99780919999999895</v>
      </c>
      <c r="AB3452">
        <v>19</v>
      </c>
      <c r="AC3452">
        <v>-0.63519999999999699</v>
      </c>
      <c r="AD3452">
        <v>-1.109210368596</v>
      </c>
      <c r="AE3452">
        <v>-16.601199999999999</v>
      </c>
      <c r="AF3452">
        <v>-4.2024405199340399E-2</v>
      </c>
      <c r="AG3452">
        <v>-1.109210368596</v>
      </c>
      <c r="AH3452">
        <v>16.5395651562369</v>
      </c>
      <c r="AI3452">
        <v>93.836730026860195</v>
      </c>
      <c r="AJ3452">
        <v>90.145579152185405</v>
      </c>
      <c r="AK3452">
        <v>16.5767707726758</v>
      </c>
      <c r="AL3452">
        <v>89.905917312750503</v>
      </c>
      <c r="AM3452">
        <v>89.686195340814706</v>
      </c>
      <c r="AN3452">
        <v>1.00000004646226</v>
      </c>
    </row>
    <row r="3453" spans="1:40" x14ac:dyDescent="0.3">
      <c r="A3453" t="str">
        <f>"20200111160523874"</f>
        <v>20200111160523874</v>
      </c>
      <c r="B3453" t="str">
        <f>"1578729923865237"</f>
        <v>1578729923865237</v>
      </c>
      <c r="C3453" t="s">
        <v>40</v>
      </c>
      <c r="D3453">
        <v>5.4626650000000003</v>
      </c>
      <c r="E3453">
        <v>0.49781589999999998</v>
      </c>
      <c r="F3453" t="s">
        <v>41</v>
      </c>
      <c r="G3453">
        <v>-190.001</v>
      </c>
      <c r="H3453" s="1">
        <v>-1.622395E-6</v>
      </c>
      <c r="I3453">
        <v>183.37029999999999</v>
      </c>
      <c r="J3453">
        <v>-189.40629999999999</v>
      </c>
      <c r="K3453">
        <v>1.109405</v>
      </c>
      <c r="L3453">
        <v>199.11019999999999</v>
      </c>
      <c r="M3453">
        <v>-4.5212879999999997E-2</v>
      </c>
      <c r="N3453">
        <v>0</v>
      </c>
      <c r="O3453">
        <v>-0.99888440000000001</v>
      </c>
      <c r="P3453">
        <v>-4.7234159999999997E-2</v>
      </c>
      <c r="Q3453">
        <v>-1.5969750000000001E-2</v>
      </c>
      <c r="R3453">
        <v>-0.99875659999999999</v>
      </c>
      <c r="S3453">
        <v>-0.11437990000000001</v>
      </c>
      <c r="T3453">
        <v>-0.20774880000000001</v>
      </c>
      <c r="U3453">
        <v>-2.9956510000000001</v>
      </c>
      <c r="V3453">
        <v>2.018138E-3</v>
      </c>
      <c r="W3453">
        <v>-2.340277E-3</v>
      </c>
      <c r="X3453">
        <v>0.99999519999999997</v>
      </c>
      <c r="Y3453">
        <v>-7.1601750000000004E-3</v>
      </c>
      <c r="Z3453">
        <v>6.9052080000000002E-2</v>
      </c>
      <c r="AA3453">
        <v>0.99758740000000001</v>
      </c>
      <c r="AB3453">
        <v>19</v>
      </c>
      <c r="AC3453">
        <v>-0.59469999999998802</v>
      </c>
      <c r="AD3453">
        <v>-1.1094066223950001</v>
      </c>
      <c r="AE3453">
        <v>-15.7399</v>
      </c>
      <c r="AF3453">
        <v>-0.117039961519684</v>
      </c>
      <c r="AG3453">
        <v>-1.1094066223950001</v>
      </c>
      <c r="AH3453">
        <v>15.6729401357639</v>
      </c>
      <c r="AI3453">
        <v>94.048806948243396</v>
      </c>
      <c r="AJ3453">
        <v>90.427856619273399</v>
      </c>
      <c r="AK3453">
        <v>15.7125915719096</v>
      </c>
      <c r="AL3453">
        <v>90.134088120755095</v>
      </c>
      <c r="AM3453">
        <v>89.884368812079899</v>
      </c>
      <c r="AN3453">
        <v>0.99999997490023096</v>
      </c>
    </row>
    <row r="3454" spans="1:40" x14ac:dyDescent="0.3">
      <c r="A3454" t="str">
        <f>"20200111160523886"</f>
        <v>20200111160523886</v>
      </c>
      <c r="B3454" t="str">
        <f>"1578729923874998"</f>
        <v>1578729923874998</v>
      </c>
      <c r="C3454" t="s">
        <v>40</v>
      </c>
      <c r="D3454">
        <v>5.7300559999999896</v>
      </c>
      <c r="E3454">
        <v>0.49769099999999999</v>
      </c>
      <c r="F3454" t="s">
        <v>41</v>
      </c>
      <c r="G3454">
        <v>-189.96289999999999</v>
      </c>
      <c r="H3454" s="1">
        <v>-2.0691030000000001E-6</v>
      </c>
      <c r="I3454">
        <v>184.43520000000001</v>
      </c>
      <c r="J3454">
        <v>-189.41309999999999</v>
      </c>
      <c r="K3454">
        <v>1.1095029999999999</v>
      </c>
      <c r="L3454">
        <v>199.00370000000001</v>
      </c>
      <c r="M3454">
        <v>-4.6909279999999998E-2</v>
      </c>
      <c r="N3454">
        <v>0</v>
      </c>
      <c r="O3454">
        <v>-0.99880639999999998</v>
      </c>
      <c r="P3454">
        <v>-4.822705E-2</v>
      </c>
      <c r="Q3454">
        <v>-1.778039E-2</v>
      </c>
      <c r="R3454">
        <v>-0.99867810000000001</v>
      </c>
      <c r="S3454">
        <v>-0.1135864</v>
      </c>
      <c r="T3454">
        <v>-0.22640070000000001</v>
      </c>
      <c r="U3454">
        <v>-2.9947659999999998</v>
      </c>
      <c r="V3454">
        <v>1.3111209999999999E-3</v>
      </c>
      <c r="W3454">
        <v>-4.1674609999999999E-3</v>
      </c>
      <c r="X3454">
        <v>0.9999905</v>
      </c>
      <c r="Y3454">
        <v>-9.1281160000000004E-3</v>
      </c>
      <c r="Z3454">
        <v>7.5230969999999994E-2</v>
      </c>
      <c r="AA3454">
        <v>0.99712440000000002</v>
      </c>
      <c r="AB3454">
        <v>19</v>
      </c>
      <c r="AC3454">
        <v>-0.54980000000000395</v>
      </c>
      <c r="AD3454">
        <v>-1.109505069103</v>
      </c>
      <c r="AE3454">
        <v>-14.5685</v>
      </c>
      <c r="AF3454">
        <v>-0.133493364996666</v>
      </c>
      <c r="AG3454">
        <v>-1.109505069103</v>
      </c>
      <c r="AH3454">
        <v>14.4943048759527</v>
      </c>
      <c r="AI3454">
        <v>94.377136338716994</v>
      </c>
      <c r="AJ3454">
        <v>90.527682439349306</v>
      </c>
      <c r="AK3454">
        <v>14.5373207921518</v>
      </c>
      <c r="AL3454">
        <v>90.238778607392405</v>
      </c>
      <c r="AM3454">
        <v>89.924877629652897</v>
      </c>
      <c r="AN3454">
        <v>1.0000000434298499</v>
      </c>
    </row>
    <row r="3455" spans="1:40" x14ac:dyDescent="0.3">
      <c r="A3455" t="str">
        <f>"20200111160523900"</f>
        <v>20200111160523900</v>
      </c>
      <c r="B3455" t="str">
        <f>"1578729923894517"</f>
        <v>1578729923894517</v>
      </c>
      <c r="C3455" t="s">
        <v>40</v>
      </c>
      <c r="D3455">
        <v>5.3138129999999997</v>
      </c>
      <c r="E3455">
        <v>0.49737700000000001</v>
      </c>
      <c r="F3455" t="s">
        <v>41</v>
      </c>
      <c r="G3455">
        <v>-189.9639</v>
      </c>
      <c r="H3455" s="1">
        <v>-2.19349E-6</v>
      </c>
      <c r="I3455">
        <v>184.72460000000001</v>
      </c>
      <c r="J3455">
        <v>-189.42070000000001</v>
      </c>
      <c r="K3455">
        <v>1.109613</v>
      </c>
      <c r="L3455">
        <v>198.8861</v>
      </c>
      <c r="M3455">
        <v>-4.8620959999999998E-2</v>
      </c>
      <c r="N3455">
        <v>0</v>
      </c>
      <c r="O3455">
        <v>-0.99872470000000002</v>
      </c>
      <c r="P3455">
        <v>-4.9374559999999998E-2</v>
      </c>
      <c r="Q3455">
        <v>-1.937968E-2</v>
      </c>
      <c r="R3455">
        <v>-0.99859240000000005</v>
      </c>
      <c r="S3455">
        <v>-0.11549379999999999</v>
      </c>
      <c r="T3455">
        <v>-0.23265710000000001</v>
      </c>
      <c r="U3455">
        <v>-2.9942630000000001</v>
      </c>
      <c r="V3455">
        <v>7.4523299999999998E-4</v>
      </c>
      <c r="W3455">
        <v>-5.7847690000000004E-3</v>
      </c>
      <c r="X3455">
        <v>0.99998299999999996</v>
      </c>
      <c r="Y3455">
        <v>-1.020735E-2</v>
      </c>
      <c r="Z3455">
        <v>7.7299709999999994E-2</v>
      </c>
      <c r="AA3455">
        <v>0.99695560000000005</v>
      </c>
      <c r="AB3455">
        <v>19</v>
      </c>
      <c r="AC3455">
        <v>-0.54319999999998403</v>
      </c>
      <c r="AD3455">
        <v>-1.10961519348999</v>
      </c>
      <c r="AE3455">
        <v>-14.161499999999901</v>
      </c>
      <c r="AF3455">
        <v>-0.145162077210789</v>
      </c>
      <c r="AG3455">
        <v>-1.10961519348999</v>
      </c>
      <c r="AH3455">
        <v>14.0848161173633</v>
      </c>
      <c r="AI3455">
        <v>94.504274089025301</v>
      </c>
      <c r="AJ3455">
        <v>90.590485515546803</v>
      </c>
      <c r="AK3455">
        <v>14.1292024886835</v>
      </c>
      <c r="AL3455">
        <v>90.331444694544302</v>
      </c>
      <c r="AM3455">
        <v>89.957300576360694</v>
      </c>
      <c r="AN3455">
        <v>1.0000000096068</v>
      </c>
    </row>
    <row r="3456" spans="1:40" x14ac:dyDescent="0.3">
      <c r="A3456" t="str">
        <f>"20200111160523917"</f>
        <v>20200111160523917</v>
      </c>
      <c r="B3456" t="str">
        <f>"1578729923915013"</f>
        <v>1578729923915013</v>
      </c>
      <c r="C3456" t="s">
        <v>40</v>
      </c>
      <c r="D3456">
        <v>5.4550179999999999</v>
      </c>
      <c r="E3456">
        <v>0.4963381</v>
      </c>
      <c r="F3456" t="s">
        <v>41</v>
      </c>
      <c r="G3456">
        <v>-189.9545</v>
      </c>
      <c r="H3456" s="1">
        <v>-2.3540549999999999E-6</v>
      </c>
      <c r="I3456">
        <v>185.10130000000001</v>
      </c>
      <c r="J3456">
        <v>-189.4297</v>
      </c>
      <c r="K3456">
        <v>1.109742</v>
      </c>
      <c r="L3456">
        <v>198.74700000000001</v>
      </c>
      <c r="M3456">
        <v>-5.0435349999999997E-2</v>
      </c>
      <c r="N3456">
        <v>0</v>
      </c>
      <c r="O3456">
        <v>-0.9986351</v>
      </c>
      <c r="P3456">
        <v>-4.9934359999999997E-2</v>
      </c>
      <c r="Q3456">
        <v>-2.2733010000000001E-2</v>
      </c>
      <c r="R3456">
        <v>-0.99849390000000005</v>
      </c>
      <c r="S3456">
        <v>-0.11593630000000001</v>
      </c>
      <c r="T3456">
        <v>-0.2409906</v>
      </c>
      <c r="U3456">
        <v>-2.9938199999999999</v>
      </c>
      <c r="V3456">
        <v>-5.1192679999999995E-4</v>
      </c>
      <c r="W3456">
        <v>-9.157498E-3</v>
      </c>
      <c r="X3456">
        <v>0.99995789999999996</v>
      </c>
      <c r="Y3456">
        <v>-1.187962E-2</v>
      </c>
      <c r="Z3456">
        <v>8.0050999999999997E-2</v>
      </c>
      <c r="AA3456">
        <v>0.99672000000000005</v>
      </c>
      <c r="AB3456">
        <v>19</v>
      </c>
      <c r="AC3456">
        <v>-0.52479999999999805</v>
      </c>
      <c r="AD3456">
        <v>-1.109744354055</v>
      </c>
      <c r="AE3456">
        <v>-13.6457</v>
      </c>
      <c r="AF3456">
        <v>-0.16308008160971799</v>
      </c>
      <c r="AG3456">
        <v>-1.109744354055</v>
      </c>
      <c r="AH3456">
        <v>13.5652154308875</v>
      </c>
      <c r="AI3456">
        <v>94.676507010409296</v>
      </c>
      <c r="AJ3456">
        <v>90.688772717415603</v>
      </c>
      <c r="AK3456">
        <v>13.611509737379</v>
      </c>
      <c r="AL3456">
        <v>90.524693339958105</v>
      </c>
      <c r="AM3456">
        <v>90.029332477394405</v>
      </c>
      <c r="AN3456">
        <v>0.99999996180553796</v>
      </c>
    </row>
    <row r="3457" spans="1:40" x14ac:dyDescent="0.3">
      <c r="A3457" t="str">
        <f>"20200111160523932"</f>
        <v>20200111160523932</v>
      </c>
      <c r="B3457" t="str">
        <f>"1578729923924773"</f>
        <v>1578729923924773</v>
      </c>
      <c r="C3457" t="s">
        <v>40</v>
      </c>
      <c r="D3457">
        <v>5.424086</v>
      </c>
      <c r="E3457">
        <v>0.4962762</v>
      </c>
      <c r="F3457" t="s">
        <v>41</v>
      </c>
      <c r="G3457">
        <v>-189.92920000000001</v>
      </c>
      <c r="H3457" s="1">
        <v>-2.3532779999999998E-6</v>
      </c>
      <c r="I3457">
        <v>185.0891</v>
      </c>
      <c r="J3457">
        <v>-189.43790000000001</v>
      </c>
      <c r="K3457">
        <v>1.109869</v>
      </c>
      <c r="L3457">
        <v>198.6215</v>
      </c>
      <c r="M3457">
        <v>-5.1881919999999998E-2</v>
      </c>
      <c r="N3457">
        <v>0</v>
      </c>
      <c r="O3457">
        <v>-0.99856140000000004</v>
      </c>
      <c r="P3457">
        <v>-5.0794110000000003E-2</v>
      </c>
      <c r="Q3457">
        <v>-2.4643080000000001E-2</v>
      </c>
      <c r="R3457">
        <v>-0.99840519999999999</v>
      </c>
      <c r="S3457">
        <v>-0.1094818</v>
      </c>
      <c r="T3457">
        <v>-0.2432318</v>
      </c>
      <c r="U3457">
        <v>-2.9935149999999999</v>
      </c>
      <c r="V3457">
        <v>-1.097914E-3</v>
      </c>
      <c r="W3457">
        <v>-1.1085319999999999E-2</v>
      </c>
      <c r="X3457">
        <v>0.99993799999999999</v>
      </c>
      <c r="Y3457">
        <v>-1.5472319999999999E-2</v>
      </c>
      <c r="Z3457">
        <v>8.0791059999999998E-2</v>
      </c>
      <c r="AA3457">
        <v>0.99661089999999997</v>
      </c>
      <c r="AB3457">
        <v>19</v>
      </c>
      <c r="AC3457">
        <v>-0.49129999999999502</v>
      </c>
      <c r="AD3457">
        <v>-1.109871353278</v>
      </c>
      <c r="AE3457">
        <v>-13.5323999999999</v>
      </c>
      <c r="AF3457">
        <v>-0.21010166509637801</v>
      </c>
      <c r="AG3457">
        <v>-1.109871353278</v>
      </c>
      <c r="AH3457">
        <v>13.4493144227425</v>
      </c>
      <c r="AI3457">
        <v>94.716930033365799</v>
      </c>
      <c r="AJ3457">
        <v>90.894986852322106</v>
      </c>
      <c r="AK3457">
        <v>13.4966668319364</v>
      </c>
      <c r="AL3457">
        <v>90.635155029718106</v>
      </c>
      <c r="AM3457">
        <v>90.062909713591495</v>
      </c>
      <c r="AN3457">
        <v>1.00000004678932</v>
      </c>
    </row>
    <row r="3458" spans="1:40" x14ac:dyDescent="0.3">
      <c r="A3458" t="str">
        <f>"20200111160523954"</f>
        <v>20200111160523954</v>
      </c>
      <c r="B3458" t="str">
        <f>"1578729923944802"</f>
        <v>1578729923944802</v>
      </c>
      <c r="C3458" t="s">
        <v>40</v>
      </c>
      <c r="D3458">
        <v>7.4515929999999901</v>
      </c>
      <c r="E3458">
        <v>0.4964885</v>
      </c>
      <c r="F3458" t="s">
        <v>41</v>
      </c>
      <c r="G3458">
        <v>-189.9367</v>
      </c>
      <c r="H3458" s="1">
        <v>-2.4150070000000002E-6</v>
      </c>
      <c r="I3458">
        <v>185.23599999999999</v>
      </c>
      <c r="J3458">
        <v>-189.44909999999999</v>
      </c>
      <c r="K3458">
        <v>1.110052</v>
      </c>
      <c r="L3458">
        <v>198.44739999999999</v>
      </c>
      <c r="M3458">
        <v>-5.3566759999999998E-2</v>
      </c>
      <c r="N3458">
        <v>0</v>
      </c>
      <c r="O3458">
        <v>-0.99847260000000004</v>
      </c>
      <c r="P3458">
        <v>-5.129587E-2</v>
      </c>
      <c r="Q3458">
        <v>-2.7629020000000001E-2</v>
      </c>
      <c r="R3458">
        <v>-0.99830140000000001</v>
      </c>
      <c r="S3458">
        <v>-0.11154169999999999</v>
      </c>
      <c r="T3458">
        <v>-0.24816830000000001</v>
      </c>
      <c r="U3458">
        <v>-2.9929960000000002</v>
      </c>
      <c r="V3458">
        <v>-2.2764949999999999E-3</v>
      </c>
      <c r="W3458">
        <v>-1.409418E-2</v>
      </c>
      <c r="X3458">
        <v>0.99989810000000001</v>
      </c>
      <c r="Y3458">
        <v>-1.6473129999999999E-2</v>
      </c>
      <c r="Z3458">
        <v>8.2421190000000005E-2</v>
      </c>
      <c r="AA3458">
        <v>0.9964615</v>
      </c>
      <c r="AB3458">
        <v>19</v>
      </c>
      <c r="AC3458">
        <v>-0.48760000000001402</v>
      </c>
      <c r="AD3458">
        <v>-1.110054415007</v>
      </c>
      <c r="AE3458">
        <v>-13.2113999999999</v>
      </c>
      <c r="AF3458">
        <v>-0.21931069231321901</v>
      </c>
      <c r="AG3458">
        <v>-1.110054415007</v>
      </c>
      <c r="AH3458">
        <v>13.126009453998501</v>
      </c>
      <c r="AI3458">
        <v>94.833277292420206</v>
      </c>
      <c r="AJ3458">
        <v>90.957214608138699</v>
      </c>
      <c r="AK3458">
        <v>13.1746894525259</v>
      </c>
      <c r="AL3458">
        <v>90.807563752105906</v>
      </c>
      <c r="AM3458">
        <v>90.130446622727305</v>
      </c>
      <c r="AN3458">
        <v>1.00000001936148</v>
      </c>
    </row>
    <row r="3459" spans="1:40" x14ac:dyDescent="0.3">
      <c r="A3459" t="str">
        <f>"20200111160523975"</f>
        <v>20200111160523975</v>
      </c>
      <c r="B3459" t="str">
        <f>"1578729923965299"</f>
        <v>1578729923965299</v>
      </c>
      <c r="C3459" t="s">
        <v>40</v>
      </c>
      <c r="D3459">
        <v>5.3554559999999896</v>
      </c>
      <c r="E3459">
        <v>0.49613940000000001</v>
      </c>
      <c r="F3459" t="s">
        <v>41</v>
      </c>
      <c r="G3459">
        <v>-189.9503</v>
      </c>
      <c r="H3459" s="1">
        <v>-2.4879349999999998E-6</v>
      </c>
      <c r="I3459">
        <v>185.4117</v>
      </c>
      <c r="J3459">
        <v>-189.4605</v>
      </c>
      <c r="K3459">
        <v>1.11025</v>
      </c>
      <c r="L3459">
        <v>198.26900000000001</v>
      </c>
      <c r="M3459">
        <v>-5.4902010000000001E-2</v>
      </c>
      <c r="N3459">
        <v>0</v>
      </c>
      <c r="O3459">
        <v>-0.99840039999999997</v>
      </c>
      <c r="P3459">
        <v>-5.1796660000000001E-2</v>
      </c>
      <c r="Q3459">
        <v>-3.001475E-2</v>
      </c>
      <c r="R3459">
        <v>-0.99820660000000005</v>
      </c>
      <c r="S3459">
        <v>-0.115036</v>
      </c>
      <c r="T3459">
        <v>-0.2547952</v>
      </c>
      <c r="U3459">
        <v>-2.9921419999999999</v>
      </c>
      <c r="V3459">
        <v>-3.1026539999999998E-3</v>
      </c>
      <c r="W3459">
        <v>-1.6502240000000001E-2</v>
      </c>
      <c r="X3459">
        <v>0.99985900000000005</v>
      </c>
      <c r="Y3459">
        <v>-1.6644760000000001E-2</v>
      </c>
      <c r="Z3459">
        <v>8.4619280000000005E-2</v>
      </c>
      <c r="AA3459">
        <v>0.9962744</v>
      </c>
      <c r="AB3459">
        <v>19</v>
      </c>
      <c r="AC3459">
        <v>-0.48980000000000201</v>
      </c>
      <c r="AD3459">
        <v>-1.110252487935</v>
      </c>
      <c r="AE3459">
        <v>-12.8573</v>
      </c>
      <c r="AF3459">
        <v>-0.215291849792215</v>
      </c>
      <c r="AG3459">
        <v>-1.110252487935</v>
      </c>
      <c r="AH3459">
        <v>12.769716494430501</v>
      </c>
      <c r="AI3459">
        <v>94.968336192652799</v>
      </c>
      <c r="AJ3459">
        <v>90.965890339953503</v>
      </c>
      <c r="AK3459">
        <v>12.8196985345086</v>
      </c>
      <c r="AL3459">
        <v>90.945551637936603</v>
      </c>
      <c r="AM3459">
        <v>90.177793477783396</v>
      </c>
      <c r="AN3459">
        <v>0.99999998513392996</v>
      </c>
    </row>
    <row r="3460" spans="1:40" x14ac:dyDescent="0.3">
      <c r="A3460" t="str">
        <f>"20200111160523990"</f>
        <v>20200111160523990</v>
      </c>
      <c r="B3460" t="str">
        <f>"1578729923984818"</f>
        <v>1578729923984818</v>
      </c>
      <c r="C3460" t="s">
        <v>40</v>
      </c>
      <c r="D3460">
        <v>6.0369380000000001</v>
      </c>
      <c r="E3460">
        <v>0.49557109999999899</v>
      </c>
      <c r="F3460" t="s">
        <v>41</v>
      </c>
      <c r="G3460">
        <v>-189.9511</v>
      </c>
      <c r="H3460" s="1">
        <v>-2.4826780000000002E-6</v>
      </c>
      <c r="I3460">
        <v>185.3997</v>
      </c>
      <c r="J3460">
        <v>-189.46870000000001</v>
      </c>
      <c r="K3460">
        <v>1.1104000000000001</v>
      </c>
      <c r="L3460">
        <v>198.13910000000001</v>
      </c>
      <c r="M3460">
        <v>-5.5637890000000002E-2</v>
      </c>
      <c r="N3460">
        <v>0</v>
      </c>
      <c r="O3460">
        <v>-0.99835980000000002</v>
      </c>
      <c r="P3460">
        <v>-5.2206399999999903E-2</v>
      </c>
      <c r="Q3460">
        <v>-3.0629529999999999E-2</v>
      </c>
      <c r="R3460">
        <v>-0.99816660000000001</v>
      </c>
      <c r="S3460">
        <v>-0.11405940000000001</v>
      </c>
      <c r="T3460">
        <v>-0.25810050000000001</v>
      </c>
      <c r="U3460">
        <v>-2.991714</v>
      </c>
      <c r="V3460">
        <v>-3.4220539999999999E-3</v>
      </c>
      <c r="W3460">
        <v>-1.713199E-2</v>
      </c>
      <c r="X3460">
        <v>0.99984740000000005</v>
      </c>
      <c r="Y3460">
        <v>-1.7704560000000001E-2</v>
      </c>
      <c r="Z3460">
        <v>8.571558E-2</v>
      </c>
      <c r="AA3460">
        <v>0.9961624</v>
      </c>
      <c r="AB3460">
        <v>19</v>
      </c>
      <c r="AC3460">
        <v>-0.48239999999998401</v>
      </c>
      <c r="AD3460">
        <v>-1.1104024826779999</v>
      </c>
      <c r="AE3460">
        <v>-12.7394</v>
      </c>
      <c r="AF3460">
        <v>-0.22549454923797699</v>
      </c>
      <c r="AG3460">
        <v>-1.1104024826779999</v>
      </c>
      <c r="AH3460">
        <v>12.650532322984899</v>
      </c>
      <c r="AI3460">
        <v>95.015497218222905</v>
      </c>
      <c r="AJ3460">
        <v>91.021183739318502</v>
      </c>
      <c r="AK3460">
        <v>12.701173548934801</v>
      </c>
      <c r="AL3460">
        <v>90.981638725924498</v>
      </c>
      <c r="AM3460">
        <v>90.196098410501705</v>
      </c>
      <c r="AN3460">
        <v>1.00000001941084</v>
      </c>
    </row>
    <row r="3461" spans="1:40" x14ac:dyDescent="0.3">
      <c r="A3461" t="str">
        <f>"20200111160524008"</f>
        <v>20200111160524008</v>
      </c>
      <c r="B3461" t="str">
        <f>"1578729924005314"</f>
        <v>1578729924005314</v>
      </c>
      <c r="C3461" t="s">
        <v>40</v>
      </c>
      <c r="D3461">
        <v>5.3959890000000001</v>
      </c>
      <c r="E3461">
        <v>0.49489949999999999</v>
      </c>
      <c r="F3461" t="s">
        <v>41</v>
      </c>
      <c r="G3461">
        <v>-189.94640000000001</v>
      </c>
      <c r="H3461" s="1">
        <v>-2.417381E-6</v>
      </c>
      <c r="I3461">
        <v>185.2456</v>
      </c>
      <c r="J3461">
        <v>-189.47749999999999</v>
      </c>
      <c r="K3461">
        <v>1.110573</v>
      </c>
      <c r="L3461">
        <v>197.9966</v>
      </c>
      <c r="M3461">
        <v>-5.6221840000000002E-2</v>
      </c>
      <c r="N3461">
        <v>0</v>
      </c>
      <c r="O3461">
        <v>-0.99832719999999997</v>
      </c>
      <c r="P3461">
        <v>-5.283674E-2</v>
      </c>
      <c r="Q3461">
        <v>-3.008748E-2</v>
      </c>
      <c r="R3461">
        <v>-0.99814970000000003</v>
      </c>
      <c r="S3461">
        <v>-0.1108551</v>
      </c>
      <c r="T3461">
        <v>-0.25765969999999999</v>
      </c>
      <c r="U3461">
        <v>-2.9918209999999998</v>
      </c>
      <c r="V3461">
        <v>-3.3701159999999998E-3</v>
      </c>
      <c r="W3461">
        <v>-1.6604669999999998E-2</v>
      </c>
      <c r="X3461">
        <v>0.99985650000000004</v>
      </c>
      <c r="Y3461">
        <v>-1.9355649999999999E-2</v>
      </c>
      <c r="Z3461">
        <v>8.5563429999999996E-2</v>
      </c>
      <c r="AA3461">
        <v>0.99614469999999999</v>
      </c>
      <c r="AB3461">
        <v>19</v>
      </c>
      <c r="AC3461">
        <v>-0.46890000000001902</v>
      </c>
      <c r="AD3461">
        <v>-1.1105754173810001</v>
      </c>
      <c r="AE3461">
        <v>-12.750999999999999</v>
      </c>
      <c r="AF3461">
        <v>-0.24692109586012001</v>
      </c>
      <c r="AG3461">
        <v>-1.1105754173810001</v>
      </c>
      <c r="AH3461">
        <v>12.661275336792601</v>
      </c>
      <c r="AI3461">
        <v>95.011883731054994</v>
      </c>
      <c r="AJ3461">
        <v>91.117244757511997</v>
      </c>
      <c r="AK3461">
        <v>12.7122870066461</v>
      </c>
      <c r="AL3461">
        <v>90.951421190411196</v>
      </c>
      <c r="AM3461">
        <v>90.193120404811495</v>
      </c>
      <c r="AN3461">
        <v>1.0000000466699499</v>
      </c>
    </row>
    <row r="3462" spans="1:40" x14ac:dyDescent="0.3">
      <c r="A3462" t="str">
        <f>"20200111160524030"</f>
        <v>20200111160524030</v>
      </c>
      <c r="B3462" t="str">
        <f>"1578729924024834"</f>
        <v>1578729924024834</v>
      </c>
      <c r="C3462" t="s">
        <v>40</v>
      </c>
      <c r="D3462">
        <v>5.3935329999999997</v>
      </c>
      <c r="E3462">
        <v>0.49450440000000001</v>
      </c>
      <c r="F3462" t="s">
        <v>41</v>
      </c>
      <c r="G3462">
        <v>-189.9443</v>
      </c>
      <c r="H3462" s="1">
        <v>-2.317122E-6</v>
      </c>
      <c r="I3462">
        <v>185.011</v>
      </c>
      <c r="J3462">
        <v>-189.48849999999999</v>
      </c>
      <c r="K3462">
        <v>1.110778</v>
      </c>
      <c r="L3462">
        <v>197.81379999999999</v>
      </c>
      <c r="M3462">
        <v>-5.6608980000000003E-2</v>
      </c>
      <c r="N3462">
        <v>0</v>
      </c>
      <c r="O3462">
        <v>-0.99830580000000002</v>
      </c>
      <c r="P3462">
        <v>-5.3789080000000003E-2</v>
      </c>
      <c r="Q3462">
        <v>-2.8503420000000002E-2</v>
      </c>
      <c r="R3462">
        <v>-0.99814570000000002</v>
      </c>
      <c r="S3462">
        <v>-0.10755919999999999</v>
      </c>
      <c r="T3462">
        <v>-0.25590020000000002</v>
      </c>
      <c r="U3462">
        <v>-2.9921570000000002</v>
      </c>
      <c r="V3462">
        <v>-2.7990160000000001E-3</v>
      </c>
      <c r="W3462">
        <v>-1.5036330000000001E-2</v>
      </c>
      <c r="X3462">
        <v>0.99988310000000002</v>
      </c>
      <c r="Y3462">
        <v>-2.0841439999999999E-2</v>
      </c>
      <c r="Z3462">
        <v>8.4971569999999996E-2</v>
      </c>
      <c r="AA3462">
        <v>0.99616539999999998</v>
      </c>
      <c r="AB3462">
        <v>18</v>
      </c>
      <c r="AC3462">
        <v>-0.45580000000000997</v>
      </c>
      <c r="AD3462">
        <v>-1.1107803171220001</v>
      </c>
      <c r="AE3462">
        <v>-12.8027999999999</v>
      </c>
      <c r="AF3462">
        <v>-0.26773725181249097</v>
      </c>
      <c r="AG3462">
        <v>-1.1107803171220001</v>
      </c>
      <c r="AH3462">
        <v>12.712499500893299</v>
      </c>
      <c r="AI3462">
        <v>94.992550262823002</v>
      </c>
      <c r="AJ3462">
        <v>91.206524887604104</v>
      </c>
      <c r="AK3462">
        <v>12.7637439534459</v>
      </c>
      <c r="AL3462">
        <v>90.861550655243605</v>
      </c>
      <c r="AM3462">
        <v>90.160390134289798</v>
      </c>
      <c r="AN3462">
        <v>1.00000006968802</v>
      </c>
    </row>
    <row r="3463" spans="1:40" x14ac:dyDescent="0.3">
      <c r="A3463" t="str">
        <f>"20200111160524066"</f>
        <v>20200111160524066</v>
      </c>
      <c r="B3463" t="str">
        <f>"1578729924054621"</f>
        <v>1578729924054621</v>
      </c>
      <c r="C3463" t="s">
        <v>40</v>
      </c>
      <c r="D3463">
        <v>6.1724410000000001</v>
      </c>
      <c r="E3463">
        <v>0.49401080000000003</v>
      </c>
      <c r="F3463" t="s">
        <v>41</v>
      </c>
      <c r="G3463">
        <v>-189.95419999999999</v>
      </c>
      <c r="H3463" s="1">
        <v>-2.2065380000000002E-6</v>
      </c>
      <c r="I3463">
        <v>184.75729999999999</v>
      </c>
      <c r="J3463">
        <v>-189.50559999999999</v>
      </c>
      <c r="K3463">
        <v>1.1110629999999999</v>
      </c>
      <c r="L3463">
        <v>197.51920000000001</v>
      </c>
      <c r="M3463">
        <v>-5.655139E-2</v>
      </c>
      <c r="N3463">
        <v>0</v>
      </c>
      <c r="O3463">
        <v>-0.99830920000000001</v>
      </c>
      <c r="P3463">
        <v>-5.5337820000000003E-2</v>
      </c>
      <c r="Q3463">
        <v>-2.562292E-2</v>
      </c>
      <c r="R3463">
        <v>-0.99813879999999999</v>
      </c>
      <c r="S3463">
        <v>-0.1067352</v>
      </c>
      <c r="T3463">
        <v>-0.25459290000000001</v>
      </c>
      <c r="U3463">
        <v>-2.9925540000000002</v>
      </c>
      <c r="V3463">
        <v>-1.188492E-3</v>
      </c>
      <c r="W3463">
        <v>-1.2174219999999999E-2</v>
      </c>
      <c r="X3463">
        <v>0.99992519999999996</v>
      </c>
      <c r="Y3463">
        <v>-2.1061099999999999E-2</v>
      </c>
      <c r="Z3463">
        <v>8.4530110000000006E-2</v>
      </c>
      <c r="AA3463">
        <v>0.99619829999999998</v>
      </c>
      <c r="AB3463">
        <v>18</v>
      </c>
      <c r="AC3463">
        <v>-0.448599999999998</v>
      </c>
      <c r="AD3463">
        <v>-1.111065206538</v>
      </c>
      <c r="AE3463">
        <v>-12.761900000000001</v>
      </c>
      <c r="AF3463">
        <v>-0.27182860164933897</v>
      </c>
      <c r="AG3463">
        <v>-1.111065206538</v>
      </c>
      <c r="AH3463">
        <v>12.670922082979001</v>
      </c>
      <c r="AI3463">
        <v>95.0100858403502</v>
      </c>
      <c r="AJ3463">
        <v>91.228974725331</v>
      </c>
      <c r="AK3463">
        <v>12.722445642044599</v>
      </c>
      <c r="AL3463">
        <v>90.697548646018205</v>
      </c>
      <c r="AM3463">
        <v>90.068100637445994</v>
      </c>
      <c r="AN3463">
        <v>1.00000001487044</v>
      </c>
    </row>
    <row r="3464" spans="1:40" x14ac:dyDescent="0.3">
      <c r="A3464" t="str">
        <f>"20200111160524079"</f>
        <v>20200111160524079</v>
      </c>
      <c r="B3464" t="str">
        <f>"1578729924075117"</f>
        <v>1578729924075117</v>
      </c>
      <c r="C3464" t="s">
        <v>40</v>
      </c>
      <c r="D3464">
        <v>5.4334660000000001</v>
      </c>
      <c r="E3464">
        <v>0.46457989999999999</v>
      </c>
      <c r="F3464" t="s">
        <v>41</v>
      </c>
      <c r="G3464">
        <v>-189.9948</v>
      </c>
      <c r="H3464" s="1">
        <v>-1.849868E-6</v>
      </c>
      <c r="I3464">
        <v>183.90440000000001</v>
      </c>
      <c r="J3464">
        <v>-189.51179999999999</v>
      </c>
      <c r="K3464">
        <v>1.111143</v>
      </c>
      <c r="L3464">
        <v>197.4084</v>
      </c>
      <c r="M3464">
        <v>-5.6324100000000002E-2</v>
      </c>
      <c r="N3464">
        <v>0</v>
      </c>
      <c r="O3464">
        <v>-0.99832209999999999</v>
      </c>
      <c r="P3464">
        <v>-5.5805010000000002E-2</v>
      </c>
      <c r="Q3464">
        <v>-2.4756219999999999E-2</v>
      </c>
      <c r="R3464">
        <v>-0.99813490000000005</v>
      </c>
      <c r="S3464">
        <v>-0.10755919999999999</v>
      </c>
      <c r="T3464">
        <v>-0.24428069999999999</v>
      </c>
      <c r="U3464">
        <v>-2.9933779999999999</v>
      </c>
      <c r="V3464">
        <v>-4.9332010000000003E-4</v>
      </c>
      <c r="W3464">
        <v>-1.131246E-2</v>
      </c>
      <c r="X3464">
        <v>0.99993589999999999</v>
      </c>
      <c r="Y3464">
        <v>-2.055914E-2</v>
      </c>
      <c r="Z3464">
        <v>8.1108760000000002E-2</v>
      </c>
      <c r="AA3464">
        <v>0.99649319999999997</v>
      </c>
      <c r="AB3464">
        <v>18</v>
      </c>
      <c r="AC3464">
        <v>-0.48300000000000398</v>
      </c>
      <c r="AD3464">
        <v>-1.1111448498680001</v>
      </c>
      <c r="AE3464">
        <v>-13.5039999999999</v>
      </c>
      <c r="AF3464">
        <v>-0.27656613297725802</v>
      </c>
      <c r="AG3464">
        <v>-1.1111448498680001</v>
      </c>
      <c r="AH3464">
        <v>13.419029461033499</v>
      </c>
      <c r="AI3464">
        <v>94.732501589480194</v>
      </c>
      <c r="AJ3464">
        <v>91.180698584655403</v>
      </c>
      <c r="AK3464">
        <v>13.4677943026831</v>
      </c>
      <c r="AL3464">
        <v>90.648170032756894</v>
      </c>
      <c r="AM3464">
        <v>90.0282669692985</v>
      </c>
      <c r="AN3464">
        <v>1.00000000961239</v>
      </c>
    </row>
    <row r="3465" spans="1:40" x14ac:dyDescent="0.3">
      <c r="A3465" t="str">
        <f>"20200111160524095"</f>
        <v>20200111160524095</v>
      </c>
      <c r="B3465" t="str">
        <f>"1578729924084877"</f>
        <v>1578729924084877</v>
      </c>
      <c r="C3465" t="s">
        <v>40</v>
      </c>
      <c r="D3465">
        <v>5.4561339999999996</v>
      </c>
      <c r="E3465">
        <v>0.466169</v>
      </c>
      <c r="F3465" t="s">
        <v>49</v>
      </c>
      <c r="G3465">
        <v>-179.29259999999999</v>
      </c>
      <c r="H3465">
        <v>1.564446</v>
      </c>
      <c r="I3465">
        <v>-81.81568</v>
      </c>
      <c r="J3465">
        <v>-189.51910000000001</v>
      </c>
      <c r="K3465">
        <v>1.1112219999999999</v>
      </c>
      <c r="L3465">
        <v>197.27379999999999</v>
      </c>
      <c r="M3465">
        <v>-5.5936439999999997E-2</v>
      </c>
      <c r="N3465">
        <v>0</v>
      </c>
      <c r="O3465">
        <v>-0.99834420000000001</v>
      </c>
      <c r="P3465">
        <v>-5.6743670000000003E-2</v>
      </c>
      <c r="Q3465">
        <v>-2.3665370000000002E-2</v>
      </c>
      <c r="R3465">
        <v>-0.99810860000000001</v>
      </c>
      <c r="S3465">
        <v>0.11022949999999999</v>
      </c>
      <c r="T3465">
        <v>4.8896069999999998E-3</v>
      </c>
      <c r="U3465">
        <v>-3.0118710000000002</v>
      </c>
      <c r="V3465">
        <v>8.3452229999999997E-4</v>
      </c>
      <c r="W3465">
        <v>-1.022586E-2</v>
      </c>
      <c r="X3465">
        <v>0.99994740000000004</v>
      </c>
      <c r="Y3465">
        <v>-9.2420589999999997E-2</v>
      </c>
      <c r="Z3465">
        <v>-1.6156129999999999E-3</v>
      </c>
      <c r="AA3465">
        <v>0.99571880000000001</v>
      </c>
      <c r="AB3465">
        <v>18</v>
      </c>
      <c r="AC3465">
        <v>10.2265</v>
      </c>
      <c r="AD3465">
        <v>0.45322400000000002</v>
      </c>
      <c r="AE3465">
        <v>-279.08947999999998</v>
      </c>
      <c r="AF3465">
        <v>-25.8230947459381</v>
      </c>
      <c r="AG3465">
        <v>0.45322400000000002</v>
      </c>
      <c r="AH3465">
        <v>278.07962187887301</v>
      </c>
      <c r="AI3465">
        <v>89.907017446694397</v>
      </c>
      <c r="AJ3465">
        <v>95.305398778341697</v>
      </c>
      <c r="AK3465">
        <v>279.27641099553801</v>
      </c>
      <c r="AL3465">
        <v>90.585908811686195</v>
      </c>
      <c r="AM3465">
        <v>89.952182890221394</v>
      </c>
      <c r="AN3465">
        <v>1.00000003370348</v>
      </c>
    </row>
    <row r="3466" spans="1:40" x14ac:dyDescent="0.3">
      <c r="A3466" t="str">
        <f>"20200111160524108"</f>
        <v>20200111160524108</v>
      </c>
      <c r="B3466" t="str">
        <f>"1578729924105373"</f>
        <v>1578729924105373</v>
      </c>
      <c r="C3466" t="s">
        <v>40</v>
      </c>
      <c r="D3466">
        <v>5.8467779999999996</v>
      </c>
      <c r="E3466">
        <v>0.46415869999999998</v>
      </c>
      <c r="F3466" t="s">
        <v>75</v>
      </c>
      <c r="G3466">
        <v>-187.85380000000001</v>
      </c>
      <c r="H3466" s="1">
        <v>-1.013439E-5</v>
      </c>
      <c r="I3466">
        <v>146.81799999999899</v>
      </c>
      <c r="J3466">
        <v>-189.52440000000001</v>
      </c>
      <c r="K3466">
        <v>1.1112649999999999</v>
      </c>
      <c r="L3466">
        <v>197.17349999999999</v>
      </c>
      <c r="M3466">
        <v>-5.5587640000000001E-2</v>
      </c>
      <c r="N3466">
        <v>0</v>
      </c>
      <c r="O3466">
        <v>-0.99836340000000001</v>
      </c>
      <c r="P3466">
        <v>-5.6943529999999999E-2</v>
      </c>
      <c r="Q3466">
        <v>-2.3753079999999999E-2</v>
      </c>
      <c r="R3466">
        <v>-0.99809490000000001</v>
      </c>
      <c r="S3466">
        <v>9.9334720000000001E-2</v>
      </c>
      <c r="T3466">
        <v>-6.6287040000000005E-2</v>
      </c>
      <c r="U3466">
        <v>-3.0097809999999998</v>
      </c>
      <c r="V3466">
        <v>1.38547E-3</v>
      </c>
      <c r="W3466">
        <v>-1.031703E-2</v>
      </c>
      <c r="X3466">
        <v>0.9999458</v>
      </c>
      <c r="Y3466">
        <v>-8.8489460000000006E-2</v>
      </c>
      <c r="Z3466">
        <v>2.1918300000000002E-2</v>
      </c>
      <c r="AA3466">
        <v>0.99583600000000005</v>
      </c>
      <c r="AB3466">
        <v>18</v>
      </c>
      <c r="AC3466">
        <v>1.6706000000000001</v>
      </c>
      <c r="AD3466">
        <v>-1.11127513439</v>
      </c>
      <c r="AE3466">
        <v>-50.355499999999999</v>
      </c>
      <c r="AF3466">
        <v>-4.4652403009824999</v>
      </c>
      <c r="AG3466">
        <v>-1.11127513439</v>
      </c>
      <c r="AH3466">
        <v>50.160351374215601</v>
      </c>
      <c r="AI3466">
        <v>91.26415169517</v>
      </c>
      <c r="AJ3466">
        <v>95.087022264079295</v>
      </c>
      <c r="AK3466">
        <v>50.370965380411398</v>
      </c>
      <c r="AL3466">
        <v>90.591132773997501</v>
      </c>
      <c r="AM3466">
        <v>89.920614164442796</v>
      </c>
      <c r="AN3466">
        <v>0.99999998178639005</v>
      </c>
    </row>
    <row r="3467" spans="1:40" x14ac:dyDescent="0.3">
      <c r="A3467" t="str">
        <f>"20200111160524124"</f>
        <v>20200111160524124</v>
      </c>
      <c r="B3467" t="str">
        <f>"1578729924115134"</f>
        <v>1578729924115134</v>
      </c>
      <c r="C3467" t="s">
        <v>40</v>
      </c>
      <c r="D3467">
        <v>5.5964410000000004</v>
      </c>
      <c r="E3467">
        <v>0.46356510000000001</v>
      </c>
      <c r="F3467" t="s">
        <v>75</v>
      </c>
      <c r="G3467">
        <v>-187.6301</v>
      </c>
      <c r="H3467" s="1">
        <v>-1.034468E-5</v>
      </c>
      <c r="I3467">
        <v>147.5316</v>
      </c>
      <c r="J3467">
        <v>-189.53149999999999</v>
      </c>
      <c r="K3467">
        <v>1.111308</v>
      </c>
      <c r="L3467">
        <v>197.03639999999999</v>
      </c>
      <c r="M3467">
        <v>-5.503243E-2</v>
      </c>
      <c r="N3467">
        <v>0</v>
      </c>
      <c r="O3467">
        <v>-0.99839420000000001</v>
      </c>
      <c r="P3467">
        <v>-5.6991319999999998E-2</v>
      </c>
      <c r="Q3467">
        <v>-2.341331E-2</v>
      </c>
      <c r="R3467">
        <v>-0.99810019999999999</v>
      </c>
      <c r="S3467">
        <v>0.114883399999999</v>
      </c>
      <c r="T3467">
        <v>-6.7396280000000003E-2</v>
      </c>
      <c r="U3467">
        <v>-3.0106660000000001</v>
      </c>
      <c r="V3467">
        <v>1.9894999999999999E-3</v>
      </c>
      <c r="W3467">
        <v>-9.9815010000000003E-3</v>
      </c>
      <c r="X3467">
        <v>0.99994819999999995</v>
      </c>
      <c r="Y3467">
        <v>-9.3061160000000004E-2</v>
      </c>
      <c r="Z3467">
        <v>2.227268E-2</v>
      </c>
      <c r="AA3467">
        <v>0.99541120000000005</v>
      </c>
      <c r="AB3467">
        <v>18</v>
      </c>
      <c r="AC3467">
        <v>1.90139999999999</v>
      </c>
      <c r="AD3467">
        <v>-1.1113183446799999</v>
      </c>
      <c r="AE3467">
        <v>-49.504799999999904</v>
      </c>
      <c r="AF3467">
        <v>-4.6208081218842203</v>
      </c>
      <c r="AG3467">
        <v>-1.1113183446799999</v>
      </c>
      <c r="AH3467">
        <v>49.300309162617097</v>
      </c>
      <c r="AI3467">
        <v>91.285698935378704</v>
      </c>
      <c r="AJ3467">
        <v>95.354562548533295</v>
      </c>
      <c r="AK3467">
        <v>49.528854011496399</v>
      </c>
      <c r="AL3467">
        <v>90.571907379859297</v>
      </c>
      <c r="AM3467">
        <v>89.886004292091201</v>
      </c>
      <c r="AN3467">
        <v>0.99999999557785102</v>
      </c>
    </row>
    <row r="3468" spans="1:40" x14ac:dyDescent="0.3">
      <c r="A3468" t="str">
        <f>"20200111160524141"</f>
        <v>20200111160524141</v>
      </c>
      <c r="B3468" t="str">
        <f>"1578729924134653"</f>
        <v>1578729924134653</v>
      </c>
      <c r="C3468" t="s">
        <v>40</v>
      </c>
      <c r="D3468">
        <v>5.4887709999999998</v>
      </c>
      <c r="E3468">
        <v>0.46489580000000003</v>
      </c>
      <c r="F3468" t="s">
        <v>75</v>
      </c>
      <c r="G3468">
        <v>-187.85130000000001</v>
      </c>
      <c r="H3468" s="1">
        <v>-1.2973679999999999E-5</v>
      </c>
      <c r="I3468">
        <v>154.97020000000001</v>
      </c>
      <c r="J3468">
        <v>-189.53890000000001</v>
      </c>
      <c r="K3468">
        <v>1.111324</v>
      </c>
      <c r="L3468">
        <v>196.8897</v>
      </c>
      <c r="M3468">
        <v>-5.4378250000000003E-2</v>
      </c>
      <c r="N3468">
        <v>0</v>
      </c>
      <c r="O3468">
        <v>-0.99843009999999999</v>
      </c>
      <c r="P3468">
        <v>-5.715365E-2</v>
      </c>
      <c r="Q3468">
        <v>-2.269972E-2</v>
      </c>
      <c r="R3468">
        <v>-0.99810730000000003</v>
      </c>
      <c r="S3468">
        <v>0.1202545</v>
      </c>
      <c r="T3468">
        <v>-7.9538940000000002E-2</v>
      </c>
      <c r="U3468">
        <v>-3.010742</v>
      </c>
      <c r="V3468">
        <v>2.8055419999999998E-3</v>
      </c>
      <c r="W3468">
        <v>-9.2714830000000005E-3</v>
      </c>
      <c r="X3468">
        <v>0.99995310000000004</v>
      </c>
      <c r="Y3468">
        <v>-9.4176919999999997E-2</v>
      </c>
      <c r="Z3468">
        <v>2.6281369999999998E-2</v>
      </c>
      <c r="AA3468">
        <v>0.99520850000000005</v>
      </c>
      <c r="AB3468">
        <v>18</v>
      </c>
      <c r="AC3468">
        <v>1.6876</v>
      </c>
      <c r="AD3468">
        <v>-1.1113369736799901</v>
      </c>
      <c r="AE3468">
        <v>-41.919499999999999</v>
      </c>
      <c r="AF3468">
        <v>-3.9620370233834499</v>
      </c>
      <c r="AG3468">
        <v>-1.1113369736799901</v>
      </c>
      <c r="AH3468">
        <v>41.736401311561103</v>
      </c>
      <c r="AI3468">
        <v>91.518460850913897</v>
      </c>
      <c r="AJ3468">
        <v>95.422838248667205</v>
      </c>
      <c r="AK3468">
        <v>41.938764904124298</v>
      </c>
      <c r="AL3468">
        <v>90.531224447682007</v>
      </c>
      <c r="AM3468">
        <v>89.839247166629704</v>
      </c>
      <c r="AN3468">
        <v>1.0000000168312699</v>
      </c>
    </row>
    <row r="3469" spans="1:40" x14ac:dyDescent="0.3">
      <c r="A3469" t="str">
        <f>"20200111160524155"</f>
        <v>20200111160524155</v>
      </c>
      <c r="B3469" t="str">
        <f>"1578729924144920"</f>
        <v>1578729924144920</v>
      </c>
      <c r="C3469" t="s">
        <v>40</v>
      </c>
      <c r="D3469">
        <v>5.7848569999999997</v>
      </c>
      <c r="E3469">
        <v>0.46539530000000001</v>
      </c>
      <c r="F3469" t="s">
        <v>41</v>
      </c>
      <c r="G3469">
        <v>-188.52610000000001</v>
      </c>
      <c r="H3469" s="1">
        <v>-3.8443969999999999E-7</v>
      </c>
      <c r="I3469">
        <v>169.62540000000001</v>
      </c>
      <c r="J3469">
        <v>-189.54400000000001</v>
      </c>
      <c r="K3469">
        <v>1.1113120000000001</v>
      </c>
      <c r="L3469">
        <v>196.7861</v>
      </c>
      <c r="M3469">
        <v>-5.3900879999999998E-2</v>
      </c>
      <c r="N3469">
        <v>0</v>
      </c>
      <c r="O3469">
        <v>-0.99845609999999996</v>
      </c>
      <c r="P3469">
        <v>-5.692237E-2</v>
      </c>
      <c r="Q3469">
        <v>-2.2413240000000001E-2</v>
      </c>
      <c r="R3469">
        <v>-0.99812699999999999</v>
      </c>
      <c r="S3469">
        <v>0.11178589999999999</v>
      </c>
      <c r="T3469">
        <v>-0.1226632</v>
      </c>
      <c r="U3469">
        <v>-3.0093230000000002</v>
      </c>
      <c r="V3469">
        <v>3.0508800000000002E-3</v>
      </c>
      <c r="W3469">
        <v>-8.9880719999999997E-3</v>
      </c>
      <c r="X3469">
        <v>0.99995489999999998</v>
      </c>
      <c r="Y3469">
        <v>-9.0904890000000002E-2</v>
      </c>
      <c r="Z3469">
        <v>4.0540130000000001E-2</v>
      </c>
      <c r="AA3469">
        <v>0.99503410000000003</v>
      </c>
      <c r="AB3469">
        <v>18</v>
      </c>
      <c r="AC3469">
        <v>1.01789999999999</v>
      </c>
      <c r="AD3469">
        <v>-1.1113123844396999</v>
      </c>
      <c r="AE3469">
        <v>-27.160699999999899</v>
      </c>
      <c r="AF3469">
        <v>-2.4763974841779199</v>
      </c>
      <c r="AG3469">
        <v>-1.1113123844396999</v>
      </c>
      <c r="AH3469">
        <v>27.021164857134</v>
      </c>
      <c r="AI3469">
        <v>92.345286188697798</v>
      </c>
      <c r="AJ3469">
        <v>95.236335062448802</v>
      </c>
      <c r="AK3469">
        <v>27.157152095753101</v>
      </c>
      <c r="AL3469">
        <v>90.514985552556595</v>
      </c>
      <c r="AM3469">
        <v>89.825190110665403</v>
      </c>
      <c r="AN3469">
        <v>0.99999994767052902</v>
      </c>
    </row>
    <row r="3470" spans="1:40" x14ac:dyDescent="0.3">
      <c r="A3470" t="str">
        <f>"20200111160524169"</f>
        <v>20200111160524169</v>
      </c>
      <c r="B3470" t="str">
        <f>"1578729924165417"</f>
        <v>1578729924165417</v>
      </c>
      <c r="C3470" t="s">
        <v>40</v>
      </c>
      <c r="D3470">
        <v>5.7706489999999997</v>
      </c>
      <c r="E3470">
        <v>0.46569870000000002</v>
      </c>
      <c r="F3470" t="s">
        <v>41</v>
      </c>
      <c r="G3470">
        <v>-188.54859999999999</v>
      </c>
      <c r="H3470" s="1">
        <v>-4.7589530000000003E-6</v>
      </c>
      <c r="I3470">
        <v>169.154</v>
      </c>
      <c r="J3470">
        <v>-189.54929999999999</v>
      </c>
      <c r="K3470">
        <v>1.1112879999999901</v>
      </c>
      <c r="L3470">
        <v>196.6756</v>
      </c>
      <c r="M3470">
        <v>-5.3392170000000003E-2</v>
      </c>
      <c r="N3470">
        <v>0</v>
      </c>
      <c r="O3470">
        <v>-0.99848369999999997</v>
      </c>
      <c r="P3470">
        <v>-5.6444889999999998E-2</v>
      </c>
      <c r="Q3470">
        <v>-2.2518219999999999E-2</v>
      </c>
      <c r="R3470">
        <v>-0.99815229999999999</v>
      </c>
      <c r="S3470">
        <v>0.10839840000000001</v>
      </c>
      <c r="T3470">
        <v>-0.121021699999999</v>
      </c>
      <c r="U3470">
        <v>-3.009109</v>
      </c>
      <c r="V3470">
        <v>3.0819350000000001E-3</v>
      </c>
      <c r="W3470">
        <v>-9.0968339999999998E-3</v>
      </c>
      <c r="X3470">
        <v>0.99995389999999995</v>
      </c>
      <c r="Y3470">
        <v>-8.9282130000000001E-2</v>
      </c>
      <c r="Z3470">
        <v>4.0006750000000001E-2</v>
      </c>
      <c r="AA3470">
        <v>0.99520260000000005</v>
      </c>
      <c r="AB3470">
        <v>18</v>
      </c>
      <c r="AC3470">
        <v>1.0006999999999899</v>
      </c>
      <c r="AD3470">
        <v>-1.11129275895299</v>
      </c>
      <c r="AE3470">
        <v>-27.5215999999999</v>
      </c>
      <c r="AF3470">
        <v>-2.4648287745148201</v>
      </c>
      <c r="AG3470">
        <v>-1.11129275895299</v>
      </c>
      <c r="AH3470">
        <v>27.384312345416198</v>
      </c>
      <c r="AI3470">
        <v>92.314519300926804</v>
      </c>
      <c r="AJ3470">
        <v>95.143264048041402</v>
      </c>
      <c r="AK3470">
        <v>27.517465637574499</v>
      </c>
      <c r="AL3470">
        <v>90.521217370193298</v>
      </c>
      <c r="AM3470">
        <v>89.823410550118297</v>
      </c>
      <c r="AN3470">
        <v>1.0000000264186799</v>
      </c>
    </row>
    <row r="3471" spans="1:40" x14ac:dyDescent="0.3">
      <c r="A3471" t="str">
        <f>"20200111160524185"</f>
        <v>20200111160524185</v>
      </c>
      <c r="B3471" t="str">
        <f>"1578729924175176"</f>
        <v>1578729924175176</v>
      </c>
      <c r="C3471" t="s">
        <v>40</v>
      </c>
      <c r="D3471">
        <v>6.2283609999999996</v>
      </c>
      <c r="E3471">
        <v>0.46346799999999999</v>
      </c>
      <c r="F3471" t="s">
        <v>41</v>
      </c>
      <c r="G3471">
        <v>-188.7046</v>
      </c>
      <c r="H3471" s="1">
        <v>-1.7887689999999999E-6</v>
      </c>
      <c r="I3471">
        <v>173.26679999999999</v>
      </c>
      <c r="J3471">
        <v>-189.5558</v>
      </c>
      <c r="K3471">
        <v>1.1112310000000001</v>
      </c>
      <c r="L3471">
        <v>196.54179999999999</v>
      </c>
      <c r="M3471">
        <v>-5.2780180000000003E-2</v>
      </c>
      <c r="N3471">
        <v>0</v>
      </c>
      <c r="O3471">
        <v>-0.99851639999999997</v>
      </c>
      <c r="P3471">
        <v>-5.5069899999999998E-2</v>
      </c>
      <c r="Q3471">
        <v>-2.3244830000000001E-2</v>
      </c>
      <c r="R3471">
        <v>-0.9982124</v>
      </c>
      <c r="S3471">
        <v>0.1085663</v>
      </c>
      <c r="T3471">
        <v>-0.142822</v>
      </c>
      <c r="U3471">
        <v>-3.0084840000000002</v>
      </c>
      <c r="V3471">
        <v>2.3187250000000002E-3</v>
      </c>
      <c r="W3471">
        <v>-9.8293990000000008E-3</v>
      </c>
      <c r="X3471">
        <v>0.99994899999999998</v>
      </c>
      <c r="Y3471">
        <v>-8.8723150000000001E-2</v>
      </c>
      <c r="Z3471">
        <v>4.7211669999999997E-2</v>
      </c>
      <c r="AA3471">
        <v>0.99493679999999995</v>
      </c>
      <c r="AB3471">
        <v>18</v>
      </c>
      <c r="AC3471">
        <v>0.85120000000000495</v>
      </c>
      <c r="AD3471">
        <v>-1.1112327887689999</v>
      </c>
      <c r="AE3471">
        <v>-23.274999999999999</v>
      </c>
      <c r="AF3471">
        <v>-2.0738611962503501</v>
      </c>
      <c r="AG3471">
        <v>-1.1112327887689999</v>
      </c>
      <c r="AH3471">
        <v>23.144934586729399</v>
      </c>
      <c r="AI3471">
        <v>92.737817822557204</v>
      </c>
      <c r="AJ3471">
        <v>95.120213908170697</v>
      </c>
      <c r="AK3471">
        <v>23.264215774363301</v>
      </c>
      <c r="AL3471">
        <v>90.563192148173798</v>
      </c>
      <c r="AM3471">
        <v>89.867140305922007</v>
      </c>
      <c r="AN3471">
        <v>0.99999999808566298</v>
      </c>
    </row>
    <row r="3472" spans="1:40" x14ac:dyDescent="0.3">
      <c r="A3472" t="str">
        <f>"20200111160524197"</f>
        <v>20200111160524197</v>
      </c>
      <c r="B3472" t="str">
        <f>"1578729924194696"</f>
        <v>1578729924194696</v>
      </c>
      <c r="C3472" t="s">
        <v>40</v>
      </c>
      <c r="D3472">
        <v>5.7087810000000001</v>
      </c>
      <c r="E3472">
        <v>0.46412249999999999</v>
      </c>
      <c r="F3472" t="s">
        <v>41</v>
      </c>
      <c r="G3472">
        <v>-188.44329999999999</v>
      </c>
      <c r="H3472" s="1">
        <v>-7.5059159999999903E-7</v>
      </c>
      <c r="I3472">
        <v>170.63659999999999</v>
      </c>
      <c r="J3472">
        <v>-189.56059999999999</v>
      </c>
      <c r="K3472">
        <v>1.1111799999999901</v>
      </c>
      <c r="L3472">
        <v>196.44</v>
      </c>
      <c r="M3472">
        <v>-5.2330380000000003E-2</v>
      </c>
      <c r="N3472">
        <v>0</v>
      </c>
      <c r="O3472">
        <v>-0.99853979999999998</v>
      </c>
      <c r="P3472">
        <v>-5.3668199999999999E-2</v>
      </c>
      <c r="Q3472">
        <v>-2.4344629999999999E-2</v>
      </c>
      <c r="R3472">
        <v>-0.99826190000000004</v>
      </c>
      <c r="S3472">
        <v>0.12924189999999999</v>
      </c>
      <c r="T3472">
        <v>-0.12909660000000001</v>
      </c>
      <c r="U3472">
        <v>-3.0095209999999999</v>
      </c>
      <c r="V3472">
        <v>1.367301E-3</v>
      </c>
      <c r="W3472">
        <v>-1.093415E-2</v>
      </c>
      <c r="X3472">
        <v>0.99993929999999998</v>
      </c>
      <c r="Y3472">
        <v>-9.5093700000000003E-2</v>
      </c>
      <c r="Z3472">
        <v>4.265178E-2</v>
      </c>
      <c r="AA3472">
        <v>0.99455420000000005</v>
      </c>
      <c r="AB3472">
        <v>18</v>
      </c>
      <c r="AC3472">
        <v>1.1173</v>
      </c>
      <c r="AD3472">
        <v>-1.11118075059159</v>
      </c>
      <c r="AE3472">
        <v>-25.8034</v>
      </c>
      <c r="AF3472">
        <v>-2.4616355240033898</v>
      </c>
      <c r="AG3472">
        <v>-1.11118075059159</v>
      </c>
      <c r="AH3472">
        <v>25.662064522160801</v>
      </c>
      <c r="AI3472">
        <v>92.4680732555817</v>
      </c>
      <c r="AJ3472">
        <v>95.4793368627044</v>
      </c>
      <c r="AK3472">
        <v>25.803796768170901</v>
      </c>
      <c r="AL3472">
        <v>90.626493122417898</v>
      </c>
      <c r="AM3472">
        <v>89.921654716642706</v>
      </c>
      <c r="AN3472">
        <v>1.0000000144163601</v>
      </c>
    </row>
    <row r="3473" spans="1:40" x14ac:dyDescent="0.3">
      <c r="A3473" t="str">
        <f>"20200111160524211"</f>
        <v>20200111160524211</v>
      </c>
      <c r="B3473" t="str">
        <f>"1578729924205432"</f>
        <v>1578729924205432</v>
      </c>
      <c r="C3473" t="s">
        <v>40</v>
      </c>
      <c r="D3473">
        <v>6.3762019999999904</v>
      </c>
      <c r="E3473">
        <v>0.46374310000000002</v>
      </c>
      <c r="F3473" t="s">
        <v>41</v>
      </c>
      <c r="G3473">
        <v>-188.3871</v>
      </c>
      <c r="H3473" s="1">
        <v>-4.6118929999999999E-6</v>
      </c>
      <c r="I3473">
        <v>168.7824</v>
      </c>
      <c r="J3473">
        <v>-189.56549999999999</v>
      </c>
      <c r="K3473">
        <v>1.1111249999999999</v>
      </c>
      <c r="L3473">
        <v>196.33609999999999</v>
      </c>
      <c r="M3473">
        <v>-5.1887160000000002E-2</v>
      </c>
      <c r="N3473">
        <v>0</v>
      </c>
      <c r="O3473">
        <v>-0.99856290000000003</v>
      </c>
      <c r="P3473">
        <v>-5.2076570000000003E-2</v>
      </c>
      <c r="Q3473">
        <v>-2.532305E-2</v>
      </c>
      <c r="R3473">
        <v>-0.99832209999999999</v>
      </c>
      <c r="S3473">
        <v>0.12767029999999999</v>
      </c>
      <c r="T3473">
        <v>-0.1208959</v>
      </c>
      <c r="U3473">
        <v>-3.009125</v>
      </c>
      <c r="V3473">
        <v>2.1854409999999999E-4</v>
      </c>
      <c r="W3473">
        <v>-1.191746E-2</v>
      </c>
      <c r="X3473">
        <v>0.99992899999999996</v>
      </c>
      <c r="Y3473">
        <v>-9.4143660000000004E-2</v>
      </c>
      <c r="Z3473">
        <v>3.9955780000000003E-2</v>
      </c>
      <c r="AA3473">
        <v>0.99475650000000004</v>
      </c>
      <c r="AB3473">
        <v>18</v>
      </c>
      <c r="AC3473">
        <v>1.1783999999999799</v>
      </c>
      <c r="AD3473">
        <v>-1.1111296118930001</v>
      </c>
      <c r="AE3473">
        <v>-27.5536999999999</v>
      </c>
      <c r="AF3473">
        <v>-2.60239992881466</v>
      </c>
      <c r="AG3473">
        <v>-1.1111296118930001</v>
      </c>
      <c r="AH3473">
        <v>27.410934058376199</v>
      </c>
      <c r="AI3473">
        <v>92.310890771401603</v>
      </c>
      <c r="AJ3473">
        <v>95.423417598042406</v>
      </c>
      <c r="AK3473">
        <v>27.556603570769902</v>
      </c>
      <c r="AL3473">
        <v>90.682836297712697</v>
      </c>
      <c r="AM3473">
        <v>89.987477456531295</v>
      </c>
      <c r="AN3473">
        <v>1.00000003932768</v>
      </c>
    </row>
    <row r="3474" spans="1:40" x14ac:dyDescent="0.3">
      <c r="A3474" t="str">
        <f>"20200111160524223"</f>
        <v>20200111160524223</v>
      </c>
      <c r="B3474" t="str">
        <f>"1578729924215192"</f>
        <v>1578729924215192</v>
      </c>
      <c r="C3474" t="s">
        <v>40</v>
      </c>
      <c r="D3474">
        <v>5.5710879999999996</v>
      </c>
      <c r="E3474">
        <v>0.46369169999999998</v>
      </c>
      <c r="F3474" t="s">
        <v>41</v>
      </c>
      <c r="G3474">
        <v>-188.30680000000001</v>
      </c>
      <c r="H3474" s="1">
        <v>-4.416599E-6</v>
      </c>
      <c r="I3474">
        <v>168.3391</v>
      </c>
      <c r="J3474">
        <v>-189.57060000000001</v>
      </c>
      <c r="K3474">
        <v>1.1110660000000001</v>
      </c>
      <c r="L3474">
        <v>196.22630000000001</v>
      </c>
      <c r="M3474">
        <v>-5.1434439999999998E-2</v>
      </c>
      <c r="N3474">
        <v>0</v>
      </c>
      <c r="O3474">
        <v>-0.9985868</v>
      </c>
      <c r="P3474">
        <v>-5.0494690000000002E-2</v>
      </c>
      <c r="Q3474">
        <v>-2.562182E-2</v>
      </c>
      <c r="R3474">
        <v>-0.99839619999999996</v>
      </c>
      <c r="S3474">
        <v>0.1352844</v>
      </c>
      <c r="T3474">
        <v>-0.1194214</v>
      </c>
      <c r="U3474">
        <v>-3.0090479999999999</v>
      </c>
      <c r="V3474">
        <v>-9.1290010000000005E-4</v>
      </c>
      <c r="W3474">
        <v>-1.222064E-2</v>
      </c>
      <c r="X3474">
        <v>0.99992490000000001</v>
      </c>
      <c r="Y3474">
        <v>-9.6206369999999999E-2</v>
      </c>
      <c r="Z3474">
        <v>3.9465559999999997E-2</v>
      </c>
      <c r="AA3474">
        <v>0.99457870000000004</v>
      </c>
      <c r="AB3474">
        <v>18</v>
      </c>
      <c r="AC3474">
        <v>1.2638</v>
      </c>
      <c r="AD3474">
        <v>-1.111070416599</v>
      </c>
      <c r="AE3474">
        <v>-27.8872</v>
      </c>
      <c r="AF3474">
        <v>-2.6923527844872899</v>
      </c>
      <c r="AG3474">
        <v>-1.111070416599</v>
      </c>
      <c r="AH3474">
        <v>27.741327474721501</v>
      </c>
      <c r="AI3474">
        <v>92.282818206783702</v>
      </c>
      <c r="AJ3474">
        <v>95.543312192256295</v>
      </c>
      <c r="AK3474">
        <v>27.893807396024599</v>
      </c>
      <c r="AL3474">
        <v>90.7002085302762</v>
      </c>
      <c r="AM3474">
        <v>90.052309236738395</v>
      </c>
      <c r="AN3474">
        <v>0.99999999153430597</v>
      </c>
    </row>
    <row r="3475" spans="1:40" x14ac:dyDescent="0.3">
      <c r="A3475" t="str">
        <f>"20200111160524243"</f>
        <v>20200111160524243</v>
      </c>
      <c r="B3475" t="str">
        <f>"1578729924234712"</f>
        <v>1578729924234712</v>
      </c>
      <c r="C3475" t="s">
        <v>40</v>
      </c>
      <c r="D3475">
        <v>5.6403509999999999</v>
      </c>
      <c r="E3475">
        <v>0.46445750000000002</v>
      </c>
      <c r="F3475" t="s">
        <v>41</v>
      </c>
      <c r="G3475">
        <v>-188.17500000000001</v>
      </c>
      <c r="H3475" s="1">
        <v>-3.434904E-6</v>
      </c>
      <c r="I3475">
        <v>166.21289999999999</v>
      </c>
      <c r="J3475">
        <v>-189.5779</v>
      </c>
      <c r="K3475">
        <v>1.1109910000000001</v>
      </c>
      <c r="L3475">
        <v>196.07159999999999</v>
      </c>
      <c r="M3475">
        <v>-5.084632E-2</v>
      </c>
      <c r="N3475">
        <v>0</v>
      </c>
      <c r="O3475">
        <v>-0.99861659999999997</v>
      </c>
      <c r="P3475">
        <v>-4.7007010000000002E-2</v>
      </c>
      <c r="Q3475">
        <v>-2.6414279999999998E-2</v>
      </c>
      <c r="R3475">
        <v>-0.99854509999999996</v>
      </c>
      <c r="S3475">
        <v>0.13992309999999999</v>
      </c>
      <c r="T3475">
        <v>-0.1113915</v>
      </c>
      <c r="U3475">
        <v>-3.0090330000000001</v>
      </c>
      <c r="V3475">
        <v>-3.8160970000000001E-3</v>
      </c>
      <c r="W3475">
        <v>-1.3020240000000001E-2</v>
      </c>
      <c r="X3475">
        <v>0.99990800000000002</v>
      </c>
      <c r="Y3475">
        <v>-9.7155119999999998E-2</v>
      </c>
      <c r="Z3475">
        <v>3.68145E-2</v>
      </c>
      <c r="AA3475">
        <v>0.99458809999999997</v>
      </c>
      <c r="AB3475">
        <v>18</v>
      </c>
      <c r="AC3475">
        <v>1.4028999999999801</v>
      </c>
      <c r="AD3475">
        <v>-1.110994434904</v>
      </c>
      <c r="AE3475">
        <v>-29.858699999999999</v>
      </c>
      <c r="AF3475">
        <v>-2.9153989516846801</v>
      </c>
      <c r="AG3475">
        <v>-1.110994434904</v>
      </c>
      <c r="AH3475">
        <v>29.707693139273001</v>
      </c>
      <c r="AI3475">
        <v>92.131492939792906</v>
      </c>
      <c r="AJ3475">
        <v>95.604840951755406</v>
      </c>
      <c r="AK3475">
        <v>29.871071144822999</v>
      </c>
      <c r="AL3475">
        <v>90.746025843355397</v>
      </c>
      <c r="AM3475">
        <v>90.218665307982405</v>
      </c>
      <c r="AN3475">
        <v>1.0000000488549801</v>
      </c>
    </row>
    <row r="3476" spans="1:40" x14ac:dyDescent="0.3">
      <c r="A3476" t="str">
        <f>"20200111160524257"</f>
        <v>20200111160524257</v>
      </c>
      <c r="B3476" t="str">
        <f>"1578729924254741"</f>
        <v>1578729924254741</v>
      </c>
      <c r="C3476" t="s">
        <v>40</v>
      </c>
      <c r="D3476">
        <v>5.5725300000000004</v>
      </c>
      <c r="E3476">
        <v>0.46481430000000001</v>
      </c>
      <c r="F3476" t="s">
        <v>41</v>
      </c>
      <c r="G3476">
        <v>-188.30350000000001</v>
      </c>
      <c r="H3476" s="1">
        <v>-5.003229E-6</v>
      </c>
      <c r="I3476">
        <v>169.5788</v>
      </c>
      <c r="J3476">
        <v>-189.5829</v>
      </c>
      <c r="K3476">
        <v>1.1109519999999999</v>
      </c>
      <c r="L3476">
        <v>195.9624</v>
      </c>
      <c r="M3476">
        <v>-5.0470830000000001E-2</v>
      </c>
      <c r="N3476">
        <v>0</v>
      </c>
      <c r="O3476">
        <v>-0.99863570000000002</v>
      </c>
      <c r="P3476">
        <v>-4.4947239999999999E-2</v>
      </c>
      <c r="Q3476">
        <v>-2.6693959999999999E-2</v>
      </c>
      <c r="R3476">
        <v>-0.99863279999999999</v>
      </c>
      <c r="S3476">
        <v>0.1446838</v>
      </c>
      <c r="T3476">
        <v>-0.126135199999999</v>
      </c>
      <c r="U3476">
        <v>-3.0078130000000001</v>
      </c>
      <c r="V3476">
        <v>-5.5034419999999999E-3</v>
      </c>
      <c r="W3476">
        <v>-1.330399E-2</v>
      </c>
      <c r="X3476">
        <v>0.99989629999999996</v>
      </c>
      <c r="Y3476">
        <v>-9.8361019999999993E-2</v>
      </c>
      <c r="Z3476">
        <v>4.1693260000000003E-2</v>
      </c>
      <c r="AA3476">
        <v>0.99427699999999997</v>
      </c>
      <c r="AB3476">
        <v>18</v>
      </c>
      <c r="AC3476">
        <v>1.2793999999999801</v>
      </c>
      <c r="AD3476">
        <v>-1.1109570032289999</v>
      </c>
      <c r="AE3476">
        <v>-26.383600000000001</v>
      </c>
      <c r="AF3476">
        <v>-2.6048830210359202</v>
      </c>
      <c r="AG3476">
        <v>-1.1109570032289999</v>
      </c>
      <c r="AH3476">
        <v>26.2389763736597</v>
      </c>
      <c r="AI3476">
        <v>92.412606936862005</v>
      </c>
      <c r="AJ3476">
        <v>95.669480719149803</v>
      </c>
      <c r="AK3476">
        <v>26.391353170191501</v>
      </c>
      <c r="AL3476">
        <v>90.762285005836503</v>
      </c>
      <c r="AM3476">
        <v>90.315353517454398</v>
      </c>
      <c r="AN3476">
        <v>0.999999947388727</v>
      </c>
    </row>
    <row r="3477" spans="1:40" x14ac:dyDescent="0.3">
      <c r="A3477" t="str">
        <f>"20200111160524276"</f>
        <v>20200111160524276</v>
      </c>
      <c r="B3477" t="str">
        <f>"1578729924264500"</f>
        <v>1578729924264500</v>
      </c>
      <c r="C3477" t="s">
        <v>40</v>
      </c>
      <c r="D3477">
        <v>5.5358000000000001</v>
      </c>
      <c r="E3477">
        <v>0.465088</v>
      </c>
      <c r="F3477" t="s">
        <v>41</v>
      </c>
      <c r="G3477">
        <v>-188.43459999999999</v>
      </c>
      <c r="H3477" s="1">
        <v>-1.6306739999999901E-6</v>
      </c>
      <c r="I3477">
        <v>172.78659999999999</v>
      </c>
      <c r="J3477">
        <v>-189.59010000000001</v>
      </c>
      <c r="K3477">
        <v>1.110895</v>
      </c>
      <c r="L3477">
        <v>195.80779999999999</v>
      </c>
      <c r="M3477">
        <v>-5.0015520000000001E-2</v>
      </c>
      <c r="N3477">
        <v>0</v>
      </c>
      <c r="O3477">
        <v>-0.99865859999999995</v>
      </c>
      <c r="P3477">
        <v>-4.1015700000000002E-2</v>
      </c>
      <c r="Q3477">
        <v>-2.6466279999999998E-2</v>
      </c>
      <c r="R3477">
        <v>-0.99880800000000003</v>
      </c>
      <c r="S3477">
        <v>0.1489868</v>
      </c>
      <c r="T3477">
        <v>-0.14414160000000001</v>
      </c>
      <c r="U3477">
        <v>-3.006958</v>
      </c>
      <c r="V3477">
        <v>-8.9854099999999992E-3</v>
      </c>
      <c r="W3477">
        <v>-1.308223E-2</v>
      </c>
      <c r="X3477">
        <v>0.99987409999999999</v>
      </c>
      <c r="Y3477">
        <v>-9.9327020000000002E-2</v>
      </c>
      <c r="Z3477">
        <v>4.7643539999999998E-2</v>
      </c>
      <c r="AA3477">
        <v>0.99391359999999995</v>
      </c>
      <c r="AB3477">
        <v>18</v>
      </c>
      <c r="AC3477">
        <v>1.15550000000001</v>
      </c>
      <c r="AD3477">
        <v>-1.110896630674</v>
      </c>
      <c r="AE3477">
        <v>-23.0212</v>
      </c>
      <c r="AF3477">
        <v>-2.3002313612297201</v>
      </c>
      <c r="AG3477">
        <v>-1.110896630674</v>
      </c>
      <c r="AH3477">
        <v>22.881436920627699</v>
      </c>
      <c r="AI3477">
        <v>92.765617116961295</v>
      </c>
      <c r="AJ3477">
        <v>95.740559758499103</v>
      </c>
      <c r="AK3477">
        <v>23.023581632576001</v>
      </c>
      <c r="AL3477">
        <v>90.749577910909395</v>
      </c>
      <c r="AM3477">
        <v>90.514877035122794</v>
      </c>
      <c r="AN3477">
        <v>1.0000000490927199</v>
      </c>
    </row>
    <row r="3478" spans="1:40" x14ac:dyDescent="0.3">
      <c r="A3478" t="str">
        <f>"20200111160524289"</f>
        <v>20200111160524289</v>
      </c>
      <c r="B3478" t="str">
        <f>"1578729924284998"</f>
        <v>1578729924284998</v>
      </c>
      <c r="C3478" t="s">
        <v>40</v>
      </c>
      <c r="D3478">
        <v>5.556997</v>
      </c>
      <c r="E3478">
        <v>0.4655166</v>
      </c>
      <c r="F3478" t="s">
        <v>41</v>
      </c>
      <c r="G3478">
        <v>-188.4238</v>
      </c>
      <c r="H3478" s="1">
        <v>-2.0557309999999999E-6</v>
      </c>
      <c r="I3478">
        <v>173.773</v>
      </c>
      <c r="J3478">
        <v>-189.59520000000001</v>
      </c>
      <c r="K3478">
        <v>1.1108370000000001</v>
      </c>
      <c r="L3478">
        <v>195.69640000000001</v>
      </c>
      <c r="M3478">
        <v>-4.9764530000000001E-2</v>
      </c>
      <c r="N3478">
        <v>0</v>
      </c>
      <c r="O3478">
        <v>-0.99867150000000005</v>
      </c>
      <c r="P3478">
        <v>-3.9479739999999999E-2</v>
      </c>
      <c r="Q3478">
        <v>-2.6147159999999999E-2</v>
      </c>
      <c r="R3478">
        <v>-0.99887859999999995</v>
      </c>
      <c r="S3478">
        <v>0.1591187</v>
      </c>
      <c r="T3478">
        <v>-0.15155450000000001</v>
      </c>
      <c r="U3478">
        <v>-3.0061040000000001</v>
      </c>
      <c r="V3478">
        <v>-1.0274169999999999E-2</v>
      </c>
      <c r="W3478">
        <v>-1.2772550000000001E-2</v>
      </c>
      <c r="X3478">
        <v>0.99986569999999997</v>
      </c>
      <c r="Y3478">
        <v>-0.10242519999999999</v>
      </c>
      <c r="Z3478">
        <v>5.0090620000000002E-2</v>
      </c>
      <c r="AA3478">
        <v>0.99347870000000005</v>
      </c>
      <c r="AB3478">
        <v>18</v>
      </c>
      <c r="AC3478">
        <v>1.1714</v>
      </c>
      <c r="AD3478">
        <v>-1.1108390557309999</v>
      </c>
      <c r="AE3478">
        <v>-21.923400000000001</v>
      </c>
      <c r="AF3478">
        <v>-2.2552799282457499</v>
      </c>
      <c r="AG3478">
        <v>-1.1108390557309999</v>
      </c>
      <c r="AH3478">
        <v>21.782168760849899</v>
      </c>
      <c r="AI3478">
        <v>92.9039231154904</v>
      </c>
      <c r="AJ3478">
        <v>95.911221565287903</v>
      </c>
      <c r="AK3478">
        <v>21.9267673606629</v>
      </c>
      <c r="AL3478">
        <v>90.731833065891294</v>
      </c>
      <c r="AM3478">
        <v>90.588724927571604</v>
      </c>
      <c r="AN3478">
        <v>1.00000005731958</v>
      </c>
    </row>
    <row r="3479" spans="1:40" x14ac:dyDescent="0.3">
      <c r="A3479" t="str">
        <f>"20200111160524309"</f>
        <v>20200111160524309</v>
      </c>
      <c r="B3479" t="str">
        <f>"1578729924304517"</f>
        <v>1578729924304517</v>
      </c>
      <c r="C3479" t="s">
        <v>40</v>
      </c>
      <c r="D3479">
        <v>5.5817360000000003</v>
      </c>
      <c r="E3479">
        <v>0.46660669999999999</v>
      </c>
      <c r="F3479" t="s">
        <v>41</v>
      </c>
      <c r="G3479">
        <v>-188.5009</v>
      </c>
      <c r="H3479" s="1">
        <v>-2.687367E-6</v>
      </c>
      <c r="I3479">
        <v>175.27719999999999</v>
      </c>
      <c r="J3479">
        <v>-189.60249999999999</v>
      </c>
      <c r="K3479">
        <v>1.1107340000000001</v>
      </c>
      <c r="L3479">
        <v>195.54239999999999</v>
      </c>
      <c r="M3479">
        <v>-4.9539659999999999E-2</v>
      </c>
      <c r="N3479">
        <v>0</v>
      </c>
      <c r="O3479">
        <v>-0.99868319999999999</v>
      </c>
      <c r="P3479">
        <v>-3.7982929999999998E-2</v>
      </c>
      <c r="Q3479">
        <v>-2.4462439999999998E-2</v>
      </c>
      <c r="R3479">
        <v>-0.99897899999999995</v>
      </c>
      <c r="S3479">
        <v>0.16107179999999999</v>
      </c>
      <c r="T3479">
        <v>-0.1635017</v>
      </c>
      <c r="U3479">
        <v>-3.0054470000000002</v>
      </c>
      <c r="V3479">
        <v>-1.155309E-2</v>
      </c>
      <c r="W3479">
        <v>-1.11331E-2</v>
      </c>
      <c r="X3479">
        <v>0.99987130000000002</v>
      </c>
      <c r="Y3479">
        <v>-0.1028453</v>
      </c>
      <c r="Z3479">
        <v>5.4038660000000002E-2</v>
      </c>
      <c r="AA3479">
        <v>0.99322840000000001</v>
      </c>
      <c r="AB3479">
        <v>18</v>
      </c>
      <c r="AC3479">
        <v>1.1015999999999899</v>
      </c>
      <c r="AD3479">
        <v>-1.1107366873669999</v>
      </c>
      <c r="AE3479">
        <v>-20.2652</v>
      </c>
      <c r="AF3479">
        <v>-2.09798341993843</v>
      </c>
      <c r="AG3479">
        <v>-1.1107366873669999</v>
      </c>
      <c r="AH3479">
        <v>20.125453765753601</v>
      </c>
      <c r="AI3479">
        <v>93.141994324349994</v>
      </c>
      <c r="AJ3479">
        <v>95.951318478139896</v>
      </c>
      <c r="AK3479">
        <v>20.2649737156624</v>
      </c>
      <c r="AL3479">
        <v>90.637892809128303</v>
      </c>
      <c r="AM3479">
        <v>90.661999040673393</v>
      </c>
      <c r="AN3479">
        <v>1.0000000181839199</v>
      </c>
    </row>
    <row r="3480" spans="1:40" x14ac:dyDescent="0.3">
      <c r="A3480" t="str">
        <f>"20200111160524331"</f>
        <v>20200111160524331</v>
      </c>
      <c r="B3480" t="str">
        <f>"1578729924325012"</f>
        <v>1578729924325012</v>
      </c>
      <c r="C3480" t="s">
        <v>40</v>
      </c>
      <c r="D3480">
        <v>5.6222960000000004</v>
      </c>
      <c r="E3480">
        <v>0.46796359999999898</v>
      </c>
      <c r="F3480" t="s">
        <v>41</v>
      </c>
      <c r="G3480">
        <v>-188.54079999999999</v>
      </c>
      <c r="H3480" s="1">
        <v>-2.6961669999999998E-6</v>
      </c>
      <c r="I3480">
        <v>175.3143</v>
      </c>
      <c r="J3480">
        <v>-189.6114</v>
      </c>
      <c r="K3480">
        <v>1.110549</v>
      </c>
      <c r="L3480">
        <v>195.3563</v>
      </c>
      <c r="M3480">
        <v>-4.9449760000000002E-2</v>
      </c>
      <c r="N3480">
        <v>0</v>
      </c>
      <c r="O3480">
        <v>-0.99868970000000001</v>
      </c>
      <c r="P3480">
        <v>-3.7672879999999999E-2</v>
      </c>
      <c r="Q3480">
        <v>-2.2343089999999999E-2</v>
      </c>
      <c r="R3480">
        <v>-0.99904020000000004</v>
      </c>
      <c r="S3480">
        <v>0.15771479999999999</v>
      </c>
      <c r="T3480">
        <v>-0.16500600000000001</v>
      </c>
      <c r="U3480">
        <v>-3.0050050000000001</v>
      </c>
      <c r="V3480">
        <v>-1.1780270000000001E-2</v>
      </c>
      <c r="W3480">
        <v>-9.1758259999999998E-3</v>
      </c>
      <c r="X3480">
        <v>0.99988849999999996</v>
      </c>
      <c r="Y3480">
        <v>-0.1016555</v>
      </c>
      <c r="Z3480">
        <v>5.4547690000000003E-2</v>
      </c>
      <c r="AA3480">
        <v>0.99332310000000001</v>
      </c>
      <c r="AB3480">
        <v>18</v>
      </c>
      <c r="AC3480">
        <v>1.07060000000001</v>
      </c>
      <c r="AD3480">
        <v>-1.1105516961669999</v>
      </c>
      <c r="AE3480">
        <v>-20.042000000000002</v>
      </c>
      <c r="AF3480">
        <v>-2.05415899091604</v>
      </c>
      <c r="AG3480">
        <v>-1.1105516961669999</v>
      </c>
      <c r="AH3480">
        <v>19.903592918997401</v>
      </c>
      <c r="AI3480">
        <v>93.176756322919204</v>
      </c>
      <c r="AJ3480">
        <v>95.892374410547205</v>
      </c>
      <c r="AK3480">
        <v>20.040107417750601</v>
      </c>
      <c r="AL3480">
        <v>90.525743485561506</v>
      </c>
      <c r="AM3480">
        <v>90.675003788624295</v>
      </c>
      <c r="AN3480">
        <v>0.999999991488152</v>
      </c>
    </row>
    <row r="3481" spans="1:40" x14ac:dyDescent="0.3">
      <c r="A3481" t="str">
        <f>"20200111160524345"</f>
        <v>20200111160524345</v>
      </c>
      <c r="B3481" t="str">
        <f>"1578729924334772"</f>
        <v>1578729924334772</v>
      </c>
      <c r="C3481" t="s">
        <v>40</v>
      </c>
      <c r="D3481">
        <v>5.5044259999999996</v>
      </c>
      <c r="E3481">
        <v>0.46878160000000002</v>
      </c>
      <c r="F3481" t="s">
        <v>41</v>
      </c>
      <c r="G3481">
        <v>-188.58240000000001</v>
      </c>
      <c r="H3481" s="1">
        <v>-2.3303700000000002E-6</v>
      </c>
      <c r="I3481">
        <v>174.47880000000001</v>
      </c>
      <c r="J3481">
        <v>-189.61670000000001</v>
      </c>
      <c r="K3481">
        <v>1.1104309999999999</v>
      </c>
      <c r="L3481">
        <v>195.2483</v>
      </c>
      <c r="M3481">
        <v>-4.9463090000000001E-2</v>
      </c>
      <c r="N3481">
        <v>0</v>
      </c>
      <c r="O3481">
        <v>-0.99869110000000005</v>
      </c>
      <c r="P3481">
        <v>-3.7457490000000003E-2</v>
      </c>
      <c r="Q3481">
        <v>-2.0104179999999999E-2</v>
      </c>
      <c r="R3481">
        <v>-0.99909599999999998</v>
      </c>
      <c r="S3481">
        <v>0.14810179999999901</v>
      </c>
      <c r="T3481">
        <v>-0.1598427</v>
      </c>
      <c r="U3481">
        <v>-3.0049290000000002</v>
      </c>
      <c r="V3481">
        <v>-1.201267E-2</v>
      </c>
      <c r="W3481">
        <v>-7.0766789999999998E-3</v>
      </c>
      <c r="X3481">
        <v>0.99990279999999998</v>
      </c>
      <c r="Y3481">
        <v>-9.8504519999999998E-2</v>
      </c>
      <c r="Z3481">
        <v>5.2859660000000003E-2</v>
      </c>
      <c r="AA3481">
        <v>0.9937317</v>
      </c>
      <c r="AB3481">
        <v>18</v>
      </c>
      <c r="AC3481">
        <v>1.0343</v>
      </c>
      <c r="AD3481">
        <v>-1.11043333037</v>
      </c>
      <c r="AE3481">
        <v>-20.769499999999901</v>
      </c>
      <c r="AF3481">
        <v>-2.0545860378099698</v>
      </c>
      <c r="AG3481">
        <v>-1.11043333037</v>
      </c>
      <c r="AH3481">
        <v>20.634072949118799</v>
      </c>
      <c r="AI3481">
        <v>93.065301467144806</v>
      </c>
      <c r="AJ3481">
        <v>95.686340156070102</v>
      </c>
      <c r="AK3481">
        <v>20.765821737593601</v>
      </c>
      <c r="AL3481">
        <v>90.405467225379198</v>
      </c>
      <c r="AM3481">
        <v>90.6883090847424</v>
      </c>
      <c r="AN3481">
        <v>0.99999999653701799</v>
      </c>
    </row>
    <row r="3482" spans="1:40" x14ac:dyDescent="0.3">
      <c r="A3482" t="str">
        <f>"20200111160524357"</f>
        <v>20200111160524357</v>
      </c>
      <c r="B3482" t="str">
        <f>"1578729924354800"</f>
        <v>1578729924354800</v>
      </c>
      <c r="C3482" t="s">
        <v>40</v>
      </c>
      <c r="D3482">
        <v>5.5670000000000002</v>
      </c>
      <c r="E3482">
        <v>0.47001850000000001</v>
      </c>
      <c r="F3482" t="s">
        <v>41</v>
      </c>
      <c r="G3482">
        <v>-188.6045</v>
      </c>
      <c r="H3482" s="1">
        <v>-2.076403E-6</v>
      </c>
      <c r="I3482">
        <v>173.89590000000001</v>
      </c>
      <c r="J3482">
        <v>-189.62190000000001</v>
      </c>
      <c r="K3482">
        <v>1.1103190000000001</v>
      </c>
      <c r="L3482">
        <v>195.143</v>
      </c>
      <c r="M3482">
        <v>-4.954803E-2</v>
      </c>
      <c r="N3482">
        <v>0</v>
      </c>
      <c r="O3482">
        <v>-0.99868920000000005</v>
      </c>
      <c r="P3482">
        <v>-3.7573229999999999E-2</v>
      </c>
      <c r="Q3482">
        <v>-1.7219149999999999E-2</v>
      </c>
      <c r="R3482">
        <v>-0.99914539999999996</v>
      </c>
      <c r="S3482">
        <v>0.14244079999999901</v>
      </c>
      <c r="T3482">
        <v>-0.15627099999999999</v>
      </c>
      <c r="U3482">
        <v>-3.0049130000000002</v>
      </c>
      <c r="V3482">
        <v>-1.198425E-2</v>
      </c>
      <c r="W3482">
        <v>-4.3715330000000004E-3</v>
      </c>
      <c r="X3482">
        <v>0.99991859999999999</v>
      </c>
      <c r="Y3482">
        <v>-9.6724290000000004E-2</v>
      </c>
      <c r="Z3482">
        <v>5.1688560000000001E-2</v>
      </c>
      <c r="AA3482">
        <v>0.99396819999999997</v>
      </c>
      <c r="AB3482">
        <v>18</v>
      </c>
      <c r="AC3482">
        <v>1.0174000000000001</v>
      </c>
      <c r="AD3482">
        <v>-1.110321076403</v>
      </c>
      <c r="AE3482">
        <v>-21.2470999999999</v>
      </c>
      <c r="AF3482">
        <v>-2.0633670535408699</v>
      </c>
      <c r="AG3482">
        <v>-1.110321076403</v>
      </c>
      <c r="AH3482">
        <v>21.113059751738799</v>
      </c>
      <c r="AI3482">
        <v>92.996124047909404</v>
      </c>
      <c r="AJ3482">
        <v>95.581757724160795</v>
      </c>
      <c r="AK3482">
        <v>21.2426831772928</v>
      </c>
      <c r="AL3482">
        <v>90.250471196287293</v>
      </c>
      <c r="AM3482">
        <v>90.686669965453206</v>
      </c>
      <c r="AN3482">
        <v>0.99999996958739501</v>
      </c>
    </row>
    <row r="3483" spans="1:40" x14ac:dyDescent="0.3">
      <c r="A3483" t="str">
        <f>"20200111160524375"</f>
        <v>20200111160524375</v>
      </c>
      <c r="B3483" t="str">
        <f>"1578729924364560"</f>
        <v>1578729924364560</v>
      </c>
      <c r="C3483" t="s">
        <v>40</v>
      </c>
      <c r="D3483">
        <v>5.7049010000000004</v>
      </c>
      <c r="E3483">
        <v>0.4704023</v>
      </c>
      <c r="F3483" t="s">
        <v>41</v>
      </c>
      <c r="G3483">
        <v>-188.64830000000001</v>
      </c>
      <c r="H3483" s="1">
        <v>-1.7112790000000001E-6</v>
      </c>
      <c r="I3483">
        <v>173.06290000000001</v>
      </c>
      <c r="J3483">
        <v>-189.6293</v>
      </c>
      <c r="K3483">
        <v>1.1101810000000001</v>
      </c>
      <c r="L3483">
        <v>194.99799999999999</v>
      </c>
      <c r="M3483">
        <v>-4.9743089999999997E-2</v>
      </c>
      <c r="N3483">
        <v>0</v>
      </c>
      <c r="O3483">
        <v>-0.99868349999999995</v>
      </c>
      <c r="P3483">
        <v>-3.7828430000000003E-2</v>
      </c>
      <c r="Q3483">
        <v>-1.0710920000000001E-2</v>
      </c>
      <c r="R3483">
        <v>-0.99922699999999998</v>
      </c>
      <c r="S3483">
        <v>0.13250729999999999</v>
      </c>
      <c r="T3483">
        <v>-0.15110680000000001</v>
      </c>
      <c r="U3483">
        <v>-3.0049440000000001</v>
      </c>
      <c r="V3483">
        <v>-1.1925699999999999E-2</v>
      </c>
      <c r="W3483">
        <v>1.848045E-3</v>
      </c>
      <c r="X3483">
        <v>0.99992720000000002</v>
      </c>
      <c r="Y3483">
        <v>-9.364248E-2</v>
      </c>
      <c r="Z3483">
        <v>4.9994740000000003E-2</v>
      </c>
      <c r="AA3483">
        <v>0.99434979999999995</v>
      </c>
      <c r="AB3483">
        <v>18</v>
      </c>
      <c r="AC3483">
        <v>0.98099999999999399</v>
      </c>
      <c r="AD3483">
        <v>-1.1101827112789999</v>
      </c>
      <c r="AE3483">
        <v>-21.935099999999899</v>
      </c>
      <c r="AF3483">
        <v>-2.0657096945939899</v>
      </c>
      <c r="AG3483">
        <v>-1.1101827112789999</v>
      </c>
      <c r="AH3483">
        <v>21.803399406108198</v>
      </c>
      <c r="AI3483">
        <v>92.901889440349393</v>
      </c>
      <c r="AJ3483">
        <v>95.412193375597099</v>
      </c>
      <c r="AK3483">
        <v>21.929156113654798</v>
      </c>
      <c r="AL3483">
        <v>89.894114763149304</v>
      </c>
      <c r="AM3483">
        <v>90.683309627590006</v>
      </c>
      <c r="AN3483">
        <v>1.00000002144532</v>
      </c>
    </row>
    <row r="3484" spans="1:40" x14ac:dyDescent="0.3">
      <c r="A3484" t="str">
        <f>"20200111160524389"</f>
        <v>20200111160524389</v>
      </c>
      <c r="B3484" t="str">
        <f>"1578729924385056"</f>
        <v>1578729924385056</v>
      </c>
      <c r="C3484" t="s">
        <v>40</v>
      </c>
      <c r="D3484">
        <v>5.5296789999999998</v>
      </c>
      <c r="E3484">
        <v>0.4717095</v>
      </c>
      <c r="F3484" t="s">
        <v>41</v>
      </c>
      <c r="G3484">
        <v>-188.54910000000001</v>
      </c>
      <c r="H3484" s="1">
        <v>-4.2994510000000002E-7</v>
      </c>
      <c r="I3484">
        <v>169.77709999999999</v>
      </c>
      <c r="J3484">
        <v>-189.63509999999999</v>
      </c>
      <c r="K3484">
        <v>1.1100760000000001</v>
      </c>
      <c r="L3484">
        <v>194.88650000000001</v>
      </c>
      <c r="M3484">
        <v>-4.9960879999999999E-2</v>
      </c>
      <c r="N3484">
        <v>0</v>
      </c>
      <c r="O3484">
        <v>-0.99867570000000006</v>
      </c>
      <c r="P3484">
        <v>-3.8690950000000002E-2</v>
      </c>
      <c r="Q3484">
        <v>-8.0798829999999995E-3</v>
      </c>
      <c r="R3484">
        <v>-0.99921870000000002</v>
      </c>
      <c r="S3484">
        <v>0.1287384</v>
      </c>
      <c r="T3484">
        <v>-0.13230980000000001</v>
      </c>
      <c r="U3484">
        <v>-3.005798</v>
      </c>
      <c r="V3484">
        <v>-1.128002E-2</v>
      </c>
      <c r="W3484">
        <v>4.2174370000000001E-3</v>
      </c>
      <c r="X3484">
        <v>0.99992749999999997</v>
      </c>
      <c r="Y3484">
        <v>-9.2615050000000004E-2</v>
      </c>
      <c r="Z3484">
        <v>4.3778659999999997E-2</v>
      </c>
      <c r="AA3484">
        <v>0.99473909999999999</v>
      </c>
      <c r="AB3484">
        <v>18</v>
      </c>
      <c r="AC3484">
        <v>1.0859999999999801</v>
      </c>
      <c r="AD3484">
        <v>-1.1100764299451</v>
      </c>
      <c r="AE3484">
        <v>-25.109400000000001</v>
      </c>
      <c r="AF3484">
        <v>-2.3346712960797</v>
      </c>
      <c r="AG3484">
        <v>-1.1100764299451</v>
      </c>
      <c r="AH3484">
        <v>24.975054116155299</v>
      </c>
      <c r="AI3484">
        <v>92.533940976866305</v>
      </c>
      <c r="AJ3484">
        <v>95.340496941350594</v>
      </c>
      <c r="AK3484">
        <v>25.108490353781601</v>
      </c>
      <c r="AL3484">
        <v>89.758357946926495</v>
      </c>
      <c r="AM3484">
        <v>90.646316983537005</v>
      </c>
      <c r="AN3484">
        <v>1.0000000154411399</v>
      </c>
    </row>
    <row r="3485" spans="1:40" x14ac:dyDescent="0.3">
      <c r="A3485" t="str">
        <f>"20200111160524402"</f>
        <v>20200111160524402</v>
      </c>
      <c r="B3485" t="str">
        <f>"1578729924394817"</f>
        <v>1578729924394817</v>
      </c>
      <c r="C3485" t="s">
        <v>40</v>
      </c>
      <c r="D3485">
        <v>5.5477819999999998</v>
      </c>
      <c r="E3485">
        <v>0.47228880000000001</v>
      </c>
      <c r="F3485" t="s">
        <v>41</v>
      </c>
      <c r="G3485">
        <v>-188.63650000000001</v>
      </c>
      <c r="H3485" s="1">
        <v>-4.6615080000000004E-6</v>
      </c>
      <c r="I3485">
        <v>168.98089999999999</v>
      </c>
      <c r="J3485">
        <v>-189.64109999999999</v>
      </c>
      <c r="K3485">
        <v>1.1099669999999999</v>
      </c>
      <c r="L3485">
        <v>194.7715</v>
      </c>
      <c r="M3485">
        <v>-5.024315E-2</v>
      </c>
      <c r="N3485">
        <v>0</v>
      </c>
      <c r="O3485">
        <v>-0.99866529999999998</v>
      </c>
      <c r="P3485">
        <v>-3.9576899999999998E-2</v>
      </c>
      <c r="Q3485">
        <v>-6.1007190000000001E-3</v>
      </c>
      <c r="R3485">
        <v>-0.99919840000000004</v>
      </c>
      <c r="S3485">
        <v>0.11586</v>
      </c>
      <c r="T3485">
        <v>-0.1288019</v>
      </c>
      <c r="U3485">
        <v>-3.005814</v>
      </c>
      <c r="V3485">
        <v>-1.067392E-2</v>
      </c>
      <c r="W3485">
        <v>5.8901609999999997E-3</v>
      </c>
      <c r="X3485">
        <v>0.99992570000000003</v>
      </c>
      <c r="Y3485">
        <v>-8.8642360000000003E-2</v>
      </c>
      <c r="Z3485">
        <v>4.2630460000000002E-2</v>
      </c>
      <c r="AA3485">
        <v>0.9951508</v>
      </c>
      <c r="AB3485">
        <v>18</v>
      </c>
      <c r="AC3485">
        <v>1.00459999999998</v>
      </c>
      <c r="AD3485">
        <v>-1.109971661508</v>
      </c>
      <c r="AE3485">
        <v>-25.790600000000001</v>
      </c>
      <c r="AF3485">
        <v>-2.2949803762563499</v>
      </c>
      <c r="AG3485">
        <v>-1.109971661508</v>
      </c>
      <c r="AH3485">
        <v>25.6600872829164</v>
      </c>
      <c r="AI3485">
        <v>92.467049191633606</v>
      </c>
      <c r="AJ3485">
        <v>95.110807035566907</v>
      </c>
      <c r="AK3485">
        <v>25.786412146392902</v>
      </c>
      <c r="AL3485">
        <v>89.662516688001602</v>
      </c>
      <c r="AM3485">
        <v>90.611592780405005</v>
      </c>
      <c r="AN3485">
        <v>1.0000000160426299</v>
      </c>
    </row>
    <row r="3486" spans="1:40" x14ac:dyDescent="0.3">
      <c r="A3486" t="str">
        <f>"20200111160524421"</f>
        <v>20200111160524421</v>
      </c>
      <c r="B3486" t="str">
        <f>"1578729924415313"</f>
        <v>1578729924415313</v>
      </c>
      <c r="C3486" t="s">
        <v>40</v>
      </c>
      <c r="D3486">
        <v>5.5686580000000001</v>
      </c>
      <c r="E3486">
        <v>0.47315010000000002</v>
      </c>
      <c r="F3486" t="s">
        <v>41</v>
      </c>
      <c r="G3486">
        <v>-188.67779999999999</v>
      </c>
      <c r="H3486" s="1">
        <v>-4.2515349999999998E-6</v>
      </c>
      <c r="I3486">
        <v>168.12909999999999</v>
      </c>
      <c r="J3486">
        <v>-189.64879999999999</v>
      </c>
      <c r="K3486">
        <v>1.1098300000000001</v>
      </c>
      <c r="L3486">
        <v>194.62700000000001</v>
      </c>
      <c r="M3486">
        <v>-5.0701169999999997E-2</v>
      </c>
      <c r="N3486">
        <v>0</v>
      </c>
      <c r="O3486">
        <v>-0.99864750000000002</v>
      </c>
      <c r="P3486">
        <v>-4.2429950000000001E-2</v>
      </c>
      <c r="Q3486">
        <v>-4.454024E-3</v>
      </c>
      <c r="R3486">
        <v>-0.99908969999999997</v>
      </c>
      <c r="S3486">
        <v>0.1086884</v>
      </c>
      <c r="T3486">
        <v>-0.1252327</v>
      </c>
      <c r="U3486">
        <v>-3.0059360000000002</v>
      </c>
      <c r="V3486">
        <v>-8.2759849999999996E-3</v>
      </c>
      <c r="W3486">
        <v>7.083659E-3</v>
      </c>
      <c r="X3486">
        <v>0.99994059999999996</v>
      </c>
      <c r="Y3486">
        <v>-8.6728050000000001E-2</v>
      </c>
      <c r="Z3486">
        <v>4.1453419999999998E-2</v>
      </c>
      <c r="AA3486">
        <v>0.99536919999999995</v>
      </c>
      <c r="AB3486">
        <v>18</v>
      </c>
      <c r="AC3486">
        <v>0.97100000000000297</v>
      </c>
      <c r="AD3486">
        <v>-1.1098342515349999</v>
      </c>
      <c r="AE3486">
        <v>-26.497900000000001</v>
      </c>
      <c r="AF3486">
        <v>-2.3092689692255499</v>
      </c>
      <c r="AG3486">
        <v>-1.1098342515349999</v>
      </c>
      <c r="AH3486">
        <v>26.3683866903176</v>
      </c>
      <c r="AI3486">
        <v>92.400953637738596</v>
      </c>
      <c r="AJ3486">
        <v>95.005033103908303</v>
      </c>
      <c r="AK3486">
        <v>26.492570126135799</v>
      </c>
      <c r="AL3486">
        <v>89.594132815824807</v>
      </c>
      <c r="AM3486">
        <v>90.474196352424102</v>
      </c>
      <c r="AN3486">
        <v>0.99999993684045196</v>
      </c>
    </row>
    <row r="3487" spans="1:40" x14ac:dyDescent="0.3">
      <c r="A3487" t="str">
        <f>"20200111160524434"</f>
        <v>20200111160524434</v>
      </c>
      <c r="B3487" t="str">
        <f>"1578729924425072"</f>
        <v>1578729924425072</v>
      </c>
      <c r="C3487" t="s">
        <v>40</v>
      </c>
      <c r="D3487">
        <v>5.598827</v>
      </c>
      <c r="E3487">
        <v>0.47353190000000001</v>
      </c>
      <c r="F3487" t="s">
        <v>41</v>
      </c>
      <c r="G3487">
        <v>-188.8135</v>
      </c>
      <c r="H3487" s="1">
        <v>-4.0683200000000002E-6</v>
      </c>
      <c r="I3487">
        <v>167.79239999999999</v>
      </c>
      <c r="J3487">
        <v>-189.6551</v>
      </c>
      <c r="K3487">
        <v>1.109721</v>
      </c>
      <c r="L3487">
        <v>194.51230000000001</v>
      </c>
      <c r="M3487">
        <v>-5.111831E-2</v>
      </c>
      <c r="N3487">
        <v>0</v>
      </c>
      <c r="O3487">
        <v>-0.99863089999999999</v>
      </c>
      <c r="P3487">
        <v>-4.3991879999999997E-2</v>
      </c>
      <c r="Q3487">
        <v>-3.694639E-3</v>
      </c>
      <c r="R3487">
        <v>-0.99902539999999995</v>
      </c>
      <c r="S3487">
        <v>9.3582150000000003E-2</v>
      </c>
      <c r="T3487">
        <v>-0.12432840000000001</v>
      </c>
      <c r="U3487">
        <v>-3.006119</v>
      </c>
      <c r="V3487">
        <v>-7.1292369999999897E-3</v>
      </c>
      <c r="W3487">
        <v>7.4388930000000002E-3</v>
      </c>
      <c r="X3487">
        <v>0.99994689999999997</v>
      </c>
      <c r="Y3487">
        <v>-8.2145040000000003E-2</v>
      </c>
      <c r="Z3487">
        <v>4.1162270000000001E-2</v>
      </c>
      <c r="AA3487">
        <v>0.99577000000000004</v>
      </c>
      <c r="AB3487">
        <v>18</v>
      </c>
      <c r="AC3487">
        <v>0.84159999999999902</v>
      </c>
      <c r="AD3487">
        <v>-1.10972506832</v>
      </c>
      <c r="AE3487">
        <v>-26.719899999999999</v>
      </c>
      <c r="AF3487">
        <v>-2.2026642816437798</v>
      </c>
      <c r="AG3487">
        <v>-1.10972506832</v>
      </c>
      <c r="AH3487">
        <v>26.5961085276716</v>
      </c>
      <c r="AI3487">
        <v>92.381142994706195</v>
      </c>
      <c r="AJ3487">
        <v>94.734377055872997</v>
      </c>
      <c r="AK3487">
        <v>26.7102266647173</v>
      </c>
      <c r="AL3487">
        <v>89.573778888560994</v>
      </c>
      <c r="AM3487">
        <v>90.408489961152</v>
      </c>
      <c r="AN3487">
        <v>0.99999998298443804</v>
      </c>
    </row>
    <row r="3488" spans="1:40" x14ac:dyDescent="0.3">
      <c r="A3488" t="str">
        <f>"20200111160524610"</f>
        <v>20200111160524610</v>
      </c>
      <c r="B3488" t="str">
        <f>"1578729924604695"</f>
        <v>1578729924604695</v>
      </c>
      <c r="C3488" t="s">
        <v>40</v>
      </c>
      <c r="D3488">
        <v>5.3610989999999896</v>
      </c>
      <c r="E3488">
        <v>0.4737729</v>
      </c>
      <c r="F3488" t="s">
        <v>41</v>
      </c>
      <c r="G3488">
        <v>-188.8955</v>
      </c>
      <c r="H3488" s="1">
        <v>-4.1487109999999999E-6</v>
      </c>
      <c r="I3488">
        <v>167.9933</v>
      </c>
      <c r="J3488">
        <v>-189.74529999999999</v>
      </c>
      <c r="K3488">
        <v>1.108576</v>
      </c>
      <c r="L3488">
        <v>192.98660000000001</v>
      </c>
      <c r="M3488">
        <v>-5.8193830000000002E-2</v>
      </c>
      <c r="N3488">
        <v>0</v>
      </c>
      <c r="O3488">
        <v>-0.99829330000000005</v>
      </c>
      <c r="P3488">
        <v>-7.3648399999999906E-2</v>
      </c>
      <c r="Q3488">
        <v>-2.0102620000000002E-2</v>
      </c>
      <c r="R3488">
        <v>-0.99708160000000001</v>
      </c>
      <c r="S3488">
        <v>8.6105349999999997E-2</v>
      </c>
      <c r="T3488">
        <v>-0.1258003</v>
      </c>
      <c r="U3488">
        <v>-3.0062410000000002</v>
      </c>
      <c r="V3488">
        <v>1.547567E-2</v>
      </c>
      <c r="W3488">
        <v>-1.525028E-2</v>
      </c>
      <c r="X3488">
        <v>0.99976399999999999</v>
      </c>
      <c r="Y3488">
        <v>-8.6727659999999998E-2</v>
      </c>
      <c r="Z3488">
        <v>4.1616189999999997E-2</v>
      </c>
      <c r="AA3488">
        <v>0.99536250000000004</v>
      </c>
      <c r="AB3488">
        <v>20</v>
      </c>
      <c r="AC3488">
        <v>0.84979999999998701</v>
      </c>
      <c r="AD3488">
        <v>-1.1085801487109901</v>
      </c>
      <c r="AE3488">
        <v>-24.993300000000001</v>
      </c>
      <c r="AF3488">
        <v>-2.2983166641441599</v>
      </c>
      <c r="AG3488">
        <v>-1.1085801487109901</v>
      </c>
      <c r="AH3488">
        <v>24.8526511996279</v>
      </c>
      <c r="AI3488">
        <v>92.543211488510195</v>
      </c>
      <c r="AJ3488">
        <v>95.283555701789794</v>
      </c>
      <c r="AK3488">
        <v>24.983304046606101</v>
      </c>
      <c r="AL3488">
        <v>90.873810499343406</v>
      </c>
      <c r="AM3488">
        <v>89.113170941837396</v>
      </c>
      <c r="AN3488">
        <v>1.0000000615490101</v>
      </c>
    </row>
    <row r="3489" spans="1:40" x14ac:dyDescent="0.3">
      <c r="A3489" t="str">
        <f>"20200111160524633"</f>
        <v>20200111160524633</v>
      </c>
      <c r="B3489" t="str">
        <f>"1578729924625191"</f>
        <v>1578729924625191</v>
      </c>
      <c r="C3489" t="s">
        <v>40</v>
      </c>
      <c r="D3489">
        <v>5.7792190000000003</v>
      </c>
      <c r="E3489">
        <v>0.58178850000000004</v>
      </c>
      <c r="F3489" t="s">
        <v>41</v>
      </c>
      <c r="G3489">
        <v>-189.7655</v>
      </c>
      <c r="H3489" s="1">
        <v>-1.904717E-6</v>
      </c>
      <c r="I3489">
        <v>173.97579999999999</v>
      </c>
      <c r="J3489">
        <v>-189.75919999999999</v>
      </c>
      <c r="K3489">
        <v>1.1084609999999999</v>
      </c>
      <c r="L3489">
        <v>192.77010000000001</v>
      </c>
      <c r="M3489">
        <v>-5.9375020000000001E-2</v>
      </c>
      <c r="N3489">
        <v>0</v>
      </c>
      <c r="O3489">
        <v>-0.99822690000000003</v>
      </c>
      <c r="P3489">
        <v>-7.5424619999999998E-2</v>
      </c>
      <c r="Q3489">
        <v>-1.969489E-2</v>
      </c>
      <c r="R3489">
        <v>-0.99695739999999999</v>
      </c>
      <c r="S3489">
        <v>-3.1890870000000002E-3</v>
      </c>
      <c r="T3489">
        <v>-0.17523129999999901</v>
      </c>
      <c r="U3489">
        <v>-3.00502</v>
      </c>
      <c r="V3489">
        <v>1.6071220000000001E-2</v>
      </c>
      <c r="W3489">
        <v>-1.554293E-2</v>
      </c>
      <c r="X3489">
        <v>0.99975000000000003</v>
      </c>
      <c r="Y3489">
        <v>-5.8317840000000003E-2</v>
      </c>
      <c r="Z3489">
        <v>5.8010440000000003E-2</v>
      </c>
      <c r="AA3489">
        <v>0.99661120000000003</v>
      </c>
      <c r="AB3489">
        <v>20</v>
      </c>
      <c r="AC3489">
        <v>-6.3000000000101803E-3</v>
      </c>
      <c r="AD3489">
        <v>-1.108462904717</v>
      </c>
      <c r="AE3489">
        <v>-18.7943</v>
      </c>
      <c r="AF3489">
        <v>-1.10578644864166</v>
      </c>
      <c r="AG3489">
        <v>-1.108462904717</v>
      </c>
      <c r="AH3489">
        <v>18.6964801824247</v>
      </c>
      <c r="AI3489">
        <v>93.387032612766106</v>
      </c>
      <c r="AJ3489">
        <v>93.384764187758904</v>
      </c>
      <c r="AK3489">
        <v>18.761924871743101</v>
      </c>
      <c r="AL3489">
        <v>90.890580182335299</v>
      </c>
      <c r="AM3489">
        <v>89.079035985857402</v>
      </c>
      <c r="AN3489">
        <v>0.99999996464263596</v>
      </c>
    </row>
    <row r="3490" spans="1:40" x14ac:dyDescent="0.3">
      <c r="A3490" t="str">
        <f>"20200111160524667"</f>
        <v>20200111160524667</v>
      </c>
      <c r="B3490" t="str">
        <f>"1578729924664738"</f>
        <v>1578729924664738</v>
      </c>
      <c r="C3490" t="s">
        <v>40</v>
      </c>
      <c r="D3490">
        <v>5.7313070000000002</v>
      </c>
      <c r="E3490">
        <v>0.57497189999999998</v>
      </c>
      <c r="F3490" t="s">
        <v>42</v>
      </c>
      <c r="G3490">
        <v>-189.97649999999999</v>
      </c>
      <c r="H3490">
        <v>0.94601659999999999</v>
      </c>
      <c r="I3490">
        <v>192.00890000000001</v>
      </c>
      <c r="J3490">
        <v>-189.77979999999999</v>
      </c>
      <c r="K3490">
        <v>1.1083000000000001</v>
      </c>
      <c r="L3490">
        <v>192.46039999999999</v>
      </c>
      <c r="M3490">
        <v>-6.1241650000000002E-2</v>
      </c>
      <c r="N3490">
        <v>0</v>
      </c>
      <c r="O3490">
        <v>-0.99811760000000005</v>
      </c>
      <c r="P3490">
        <v>-7.6904829999999993E-2</v>
      </c>
      <c r="Q3490">
        <v>-1.7954879999999999E-2</v>
      </c>
      <c r="R3490">
        <v>-0.99687680000000001</v>
      </c>
      <c r="S3490">
        <v>-0.83680730000000003</v>
      </c>
      <c r="T3490">
        <v>-0.62601629999999997</v>
      </c>
      <c r="U3490">
        <v>-2.933487</v>
      </c>
      <c r="V3490">
        <v>1.5682270000000002E-2</v>
      </c>
      <c r="W3490">
        <v>-1.4662369999999999E-2</v>
      </c>
      <c r="X3490">
        <v>0.99976949999999998</v>
      </c>
      <c r="Y3490">
        <v>0.2092601</v>
      </c>
      <c r="Z3490">
        <v>0.20197499999999999</v>
      </c>
      <c r="AA3490">
        <v>0.95677389999999995</v>
      </c>
      <c r="AB3490">
        <v>21</v>
      </c>
      <c r="AC3490">
        <v>-0.19669999999999199</v>
      </c>
      <c r="AD3490">
        <v>-0.16228339999999999</v>
      </c>
      <c r="AE3490">
        <v>-0.45149999999998103</v>
      </c>
      <c r="AF3490">
        <v>0.15215832381805999</v>
      </c>
      <c r="AG3490">
        <v>-0.16228339999999999</v>
      </c>
      <c r="AH3490">
        <v>0.41737883711906099</v>
      </c>
      <c r="AI3490">
        <v>110.067158698101</v>
      </c>
      <c r="AJ3490">
        <v>69.970325509834595</v>
      </c>
      <c r="AK3490">
        <v>0.47296210323612797</v>
      </c>
      <c r="AL3490">
        <v>90.840122034617906</v>
      </c>
      <c r="AM3490">
        <v>89.101338656864002</v>
      </c>
      <c r="AN3490">
        <v>0.99999998590830896</v>
      </c>
    </row>
    <row r="3491" spans="1:40" x14ac:dyDescent="0.3">
      <c r="A3491" t="str">
        <f>"20200111160524680"</f>
        <v>20200111160524680</v>
      </c>
      <c r="B3491" t="str">
        <f>"1578729924674498"</f>
        <v>1578729924674498</v>
      </c>
      <c r="C3491" t="s">
        <v>40</v>
      </c>
      <c r="D3491">
        <v>5.8734890000000002</v>
      </c>
      <c r="E3491">
        <v>0.57497189999999998</v>
      </c>
      <c r="F3491" t="s">
        <v>42</v>
      </c>
      <c r="G3491">
        <v>-190.0077</v>
      </c>
      <c r="H3491">
        <v>0.97642099999999998</v>
      </c>
      <c r="I3491">
        <v>191.62270000000001</v>
      </c>
      <c r="J3491">
        <v>-189.78809999999999</v>
      </c>
      <c r="K3491">
        <v>1.1082339999999999</v>
      </c>
      <c r="L3491">
        <v>192.3373</v>
      </c>
      <c r="M3491">
        <v>-6.2058330000000002E-2</v>
      </c>
      <c r="N3491">
        <v>0</v>
      </c>
      <c r="O3491">
        <v>-0.99806819999999896</v>
      </c>
      <c r="P3491">
        <v>-7.7234159999999996E-2</v>
      </c>
      <c r="Q3491">
        <v>-1.7099039999999999E-2</v>
      </c>
      <c r="R3491">
        <v>-0.99686680000000005</v>
      </c>
      <c r="S3491">
        <v>-0.79949950000000003</v>
      </c>
      <c r="T3491">
        <v>-0.4627135</v>
      </c>
      <c r="U3491">
        <v>-2.9393919999999998</v>
      </c>
      <c r="V3491">
        <v>1.519298E-2</v>
      </c>
      <c r="W3491">
        <v>-1.4103009999999999E-2</v>
      </c>
      <c r="X3491">
        <v>0.99978509999999998</v>
      </c>
      <c r="Y3491">
        <v>0.1990693</v>
      </c>
      <c r="Z3491">
        <v>0.150833299999999</v>
      </c>
      <c r="AA3491">
        <v>0.96830819999999995</v>
      </c>
      <c r="AB3491">
        <v>21</v>
      </c>
      <c r="AC3491">
        <v>-0.21960000000001301</v>
      </c>
      <c r="AD3491">
        <v>-0.13181300000000001</v>
      </c>
      <c r="AE3491">
        <v>-0.71459999999999002</v>
      </c>
      <c r="AF3491">
        <v>0.16955833160730399</v>
      </c>
      <c r="AG3491">
        <v>-0.13181300000000001</v>
      </c>
      <c r="AH3491">
        <v>0.70493528940997296</v>
      </c>
      <c r="AI3491">
        <v>100.303886187036</v>
      </c>
      <c r="AJ3491">
        <v>76.475538339333198</v>
      </c>
      <c r="AK3491">
        <v>0.73692500096141</v>
      </c>
      <c r="AL3491">
        <v>90.808069752809601</v>
      </c>
      <c r="AM3491">
        <v>89.129386270103595</v>
      </c>
      <c r="AN3491">
        <v>0.99999998385717503</v>
      </c>
    </row>
    <row r="3492" spans="1:40" x14ac:dyDescent="0.3">
      <c r="A3492" t="str">
        <f>"20200111160524693"</f>
        <v>20200111160524693</v>
      </c>
      <c r="B3492" t="str">
        <f>"1578729924685234"</f>
        <v>1578729924685234</v>
      </c>
      <c r="C3492" t="s">
        <v>40</v>
      </c>
      <c r="D3492">
        <v>5.960108</v>
      </c>
      <c r="E3492">
        <v>0.57039090000000003</v>
      </c>
      <c r="F3492" t="s">
        <v>42</v>
      </c>
      <c r="G3492">
        <v>-189.9853</v>
      </c>
      <c r="H3492">
        <v>0.99496899999999999</v>
      </c>
      <c r="I3492">
        <v>191.61349999999999</v>
      </c>
      <c r="J3492">
        <v>-189.79640000000001</v>
      </c>
      <c r="K3492">
        <v>1.108168</v>
      </c>
      <c r="L3492">
        <v>192.2174</v>
      </c>
      <c r="M3492">
        <v>-6.2912010000000004E-2</v>
      </c>
      <c r="N3492">
        <v>0</v>
      </c>
      <c r="O3492">
        <v>-0.99801530000000005</v>
      </c>
      <c r="P3492">
        <v>-7.7515100000000003E-2</v>
      </c>
      <c r="Q3492">
        <v>-1.6144909999999998E-2</v>
      </c>
      <c r="R3492">
        <v>-0.99686070000000004</v>
      </c>
      <c r="S3492">
        <v>-0.80067440000000001</v>
      </c>
      <c r="T3492">
        <v>-0.45999790000000002</v>
      </c>
      <c r="U3492">
        <v>-2.939514</v>
      </c>
      <c r="V3492">
        <v>1.4618290000000001E-2</v>
      </c>
      <c r="W3492">
        <v>-1.341172E-2</v>
      </c>
      <c r="X3492">
        <v>0.9998032</v>
      </c>
      <c r="Y3492">
        <v>0.19861690000000001</v>
      </c>
      <c r="Z3492">
        <v>0.1499501</v>
      </c>
      <c r="AA3492">
        <v>0.96853820000000002</v>
      </c>
      <c r="AB3492">
        <v>21</v>
      </c>
      <c r="AC3492">
        <v>-0.18889999999998899</v>
      </c>
      <c r="AD3492">
        <v>-0.11319899999999899</v>
      </c>
      <c r="AE3492">
        <v>-0.60390000000000998</v>
      </c>
      <c r="AF3492">
        <v>0.14586472976798401</v>
      </c>
      <c r="AG3492">
        <v>-0.11319899999999899</v>
      </c>
      <c r="AH3492">
        <v>0.59552810375421605</v>
      </c>
      <c r="AI3492">
        <v>100.46040534558099</v>
      </c>
      <c r="AJ3492">
        <v>76.237298597899198</v>
      </c>
      <c r="AK3492">
        <v>0.623493588862291</v>
      </c>
      <c r="AL3492">
        <v>90.768457987986906</v>
      </c>
      <c r="AM3492">
        <v>89.162328502464206</v>
      </c>
      <c r="AN3492">
        <v>1.0000000036830601</v>
      </c>
    </row>
    <row r="3493" spans="1:40" x14ac:dyDescent="0.3">
      <c r="A3493" t="str">
        <f>"20200111160524712"</f>
        <v>20200111160524712</v>
      </c>
      <c r="B3493" t="str">
        <f>"1578729924704756"</f>
        <v>1578729924704756</v>
      </c>
      <c r="C3493" t="s">
        <v>40</v>
      </c>
      <c r="D3493">
        <v>5.7599489999999998</v>
      </c>
      <c r="E3493">
        <v>0.56617249999999997</v>
      </c>
      <c r="F3493" t="s">
        <v>42</v>
      </c>
      <c r="G3493">
        <v>-190.0033</v>
      </c>
      <c r="H3493">
        <v>0.99453000000000003</v>
      </c>
      <c r="I3493">
        <v>191.4248</v>
      </c>
      <c r="J3493">
        <v>-189.8092</v>
      </c>
      <c r="K3493">
        <v>1.1080650000000001</v>
      </c>
      <c r="L3493">
        <v>192.03739999999999</v>
      </c>
      <c r="M3493">
        <v>-6.4280879999999999E-2</v>
      </c>
      <c r="N3493">
        <v>0</v>
      </c>
      <c r="O3493">
        <v>-0.99792890000000001</v>
      </c>
      <c r="P3493">
        <v>-7.7679520000000002E-2</v>
      </c>
      <c r="Q3493">
        <v>-1.474347E-2</v>
      </c>
      <c r="R3493">
        <v>-0.99686940000000002</v>
      </c>
      <c r="S3493">
        <v>-0.76731870000000002</v>
      </c>
      <c r="T3493">
        <v>-0.42187910000000001</v>
      </c>
      <c r="U3493">
        <v>-2.9429630000000002</v>
      </c>
      <c r="V3493">
        <v>1.341004E-2</v>
      </c>
      <c r="W3493">
        <v>-1.237104E-2</v>
      </c>
      <c r="X3493">
        <v>0.99983350000000004</v>
      </c>
      <c r="Y3493">
        <v>0.1871603</v>
      </c>
      <c r="Z3493">
        <v>0.13795539999999901</v>
      </c>
      <c r="AA3493">
        <v>0.97259410000000002</v>
      </c>
      <c r="AB3493">
        <v>21</v>
      </c>
      <c r="AC3493">
        <v>-0.194099999999991</v>
      </c>
      <c r="AD3493">
        <v>-0.113534999999999</v>
      </c>
      <c r="AE3493">
        <v>-0.61259999999998604</v>
      </c>
      <c r="AF3493">
        <v>0.149648754324091</v>
      </c>
      <c r="AG3493">
        <v>-0.113534999999999</v>
      </c>
      <c r="AH3493">
        <v>0.60492740659159905</v>
      </c>
      <c r="AI3493">
        <v>100.325552746711</v>
      </c>
      <c r="AJ3493">
        <v>76.104966278823298</v>
      </c>
      <c r="AK3493">
        <v>0.63342096045314999</v>
      </c>
      <c r="AL3493">
        <v>90.708826496693803</v>
      </c>
      <c r="AM3493">
        <v>89.231579429812697</v>
      </c>
      <c r="AN3493">
        <v>0.99999994976286499</v>
      </c>
    </row>
    <row r="3494" spans="1:40" x14ac:dyDescent="0.3">
      <c r="A3494" t="str">
        <f>"20200111160524734"</f>
        <v>20200111160524734</v>
      </c>
      <c r="B3494" t="str">
        <f>"1578729924725250"</f>
        <v>1578729924725250</v>
      </c>
      <c r="C3494" t="s">
        <v>40</v>
      </c>
      <c r="D3494">
        <v>5.7174430000000003</v>
      </c>
      <c r="E3494">
        <v>0.56504370000000004</v>
      </c>
      <c r="F3494" t="s">
        <v>42</v>
      </c>
      <c r="G3494">
        <v>-190.01169999999999</v>
      </c>
      <c r="H3494">
        <v>1.0061279999999999</v>
      </c>
      <c r="I3494">
        <v>191.22819999999999</v>
      </c>
      <c r="J3494">
        <v>-189.82419999999999</v>
      </c>
      <c r="K3494">
        <v>1.107925</v>
      </c>
      <c r="L3494">
        <v>191.83189999999999</v>
      </c>
      <c r="M3494">
        <v>-6.5997799999999995E-2</v>
      </c>
      <c r="N3494">
        <v>0</v>
      </c>
      <c r="O3494">
        <v>-0.99781759999999997</v>
      </c>
      <c r="P3494">
        <v>-7.7717999999999995E-2</v>
      </c>
      <c r="Q3494">
        <v>-1.3455480000000001E-2</v>
      </c>
      <c r="R3494">
        <v>-0.99688429999999995</v>
      </c>
      <c r="S3494">
        <v>-0.73739619999999995</v>
      </c>
      <c r="T3494">
        <v>-0.37120690000000001</v>
      </c>
      <c r="U3494">
        <v>-2.9464869999999999</v>
      </c>
      <c r="V3494">
        <v>1.1726189999999999E-2</v>
      </c>
      <c r="W3494">
        <v>-1.1443719999999999E-2</v>
      </c>
      <c r="X3494">
        <v>0.99986580000000003</v>
      </c>
      <c r="Y3494">
        <v>0.176416299999999</v>
      </c>
      <c r="Z3494">
        <v>0.1217632</v>
      </c>
      <c r="AA3494">
        <v>0.97675540000000005</v>
      </c>
      <c r="AB3494">
        <v>21</v>
      </c>
      <c r="AC3494">
        <v>-0.1875</v>
      </c>
      <c r="AD3494">
        <v>-0.101796999999999</v>
      </c>
      <c r="AE3494">
        <v>-0.60370000000000301</v>
      </c>
      <c r="AF3494">
        <v>0.143526341683408</v>
      </c>
      <c r="AG3494">
        <v>-0.101796999999999</v>
      </c>
      <c r="AH3494">
        <v>0.59921952567821601</v>
      </c>
      <c r="AI3494">
        <v>99.381077215719699</v>
      </c>
      <c r="AJ3494">
        <v>76.530157855830296</v>
      </c>
      <c r="AK3494">
        <v>0.62452100038353298</v>
      </c>
      <c r="AL3494">
        <v>90.655691143556993</v>
      </c>
      <c r="AM3494">
        <v>89.328079431645506</v>
      </c>
      <c r="AN3494">
        <v>1.00000004013449</v>
      </c>
    </row>
    <row r="3495" spans="1:40" x14ac:dyDescent="0.3">
      <c r="A3495" t="str">
        <f>"20200111160524748"</f>
        <v>20200111160524748</v>
      </c>
      <c r="B3495" t="str">
        <f>"1578729924744770"</f>
        <v>1578729924744770</v>
      </c>
      <c r="C3495" t="s">
        <v>40</v>
      </c>
      <c r="D3495">
        <v>5.9464079999999999</v>
      </c>
      <c r="E3495">
        <v>0.56366879999999997</v>
      </c>
      <c r="F3495" t="s">
        <v>42</v>
      </c>
      <c r="G3495">
        <v>-190.02269999999999</v>
      </c>
      <c r="H3495">
        <v>1.0148729999999999</v>
      </c>
      <c r="I3495">
        <v>191.03110000000001</v>
      </c>
      <c r="J3495">
        <v>-189.83500000000001</v>
      </c>
      <c r="K3495">
        <v>1.107826</v>
      </c>
      <c r="L3495">
        <v>191.68770000000001</v>
      </c>
      <c r="M3495">
        <v>-6.7294839999999995E-2</v>
      </c>
      <c r="N3495">
        <v>0</v>
      </c>
      <c r="O3495">
        <v>-0.99773160000000005</v>
      </c>
      <c r="P3495">
        <v>-7.8288720000000006E-2</v>
      </c>
      <c r="Q3495">
        <v>-1.2725409999999999E-2</v>
      </c>
      <c r="R3495">
        <v>-0.99684969999999995</v>
      </c>
      <c r="S3495">
        <v>-0.72998050000000003</v>
      </c>
      <c r="T3495">
        <v>-0.3424799</v>
      </c>
      <c r="U3495">
        <v>-2.9478610000000001</v>
      </c>
      <c r="V3495">
        <v>1.099733E-2</v>
      </c>
      <c r="W3495">
        <v>-1.0941050000000001E-2</v>
      </c>
      <c r="X3495">
        <v>0.99987969999999904</v>
      </c>
      <c r="Y3495">
        <v>0.1729782</v>
      </c>
      <c r="Z3495">
        <v>0.1124695</v>
      </c>
      <c r="AA3495">
        <v>0.97848310000000005</v>
      </c>
      <c r="AB3495">
        <v>21</v>
      </c>
      <c r="AC3495">
        <v>-0.187699999999978</v>
      </c>
      <c r="AD3495">
        <v>-9.2952999999999994E-2</v>
      </c>
      <c r="AE3495">
        <v>-0.65659999999999696</v>
      </c>
      <c r="AF3495">
        <v>0.14048583584037599</v>
      </c>
      <c r="AG3495">
        <v>-9.2952999999999994E-2</v>
      </c>
      <c r="AH3495">
        <v>0.65559644980698195</v>
      </c>
      <c r="AI3495">
        <v>97.892978972301705</v>
      </c>
      <c r="AJ3495">
        <v>77.905169198887194</v>
      </c>
      <c r="AK3495">
        <v>0.67689233655012504</v>
      </c>
      <c r="AL3495">
        <v>90.626888476445401</v>
      </c>
      <c r="AM3495">
        <v>89.369849003912705</v>
      </c>
      <c r="AN3495">
        <v>1.00000003115716</v>
      </c>
    </row>
    <row r="3496" spans="1:40" x14ac:dyDescent="0.3">
      <c r="A3496" t="str">
        <f>"20200111160524766"</f>
        <v>20200111160524766</v>
      </c>
      <c r="B3496" t="str">
        <f>"1578729924754531"</f>
        <v>1578729924754531</v>
      </c>
      <c r="C3496" t="s">
        <v>40</v>
      </c>
      <c r="D3496">
        <v>5.7269240000000003</v>
      </c>
      <c r="E3496">
        <v>0.56337440000000005</v>
      </c>
      <c r="F3496" t="s">
        <v>42</v>
      </c>
      <c r="G3496">
        <v>-190.04329999999999</v>
      </c>
      <c r="H3496">
        <v>1.0137799999999999</v>
      </c>
      <c r="I3496">
        <v>190.83709999999999</v>
      </c>
      <c r="J3496">
        <v>-189.8484</v>
      </c>
      <c r="K3496">
        <v>1.107701</v>
      </c>
      <c r="L3496">
        <v>191.51339999999999</v>
      </c>
      <c r="M3496">
        <v>-6.8968080000000001E-2</v>
      </c>
      <c r="N3496">
        <v>0</v>
      </c>
      <c r="O3496">
        <v>-0.9976178</v>
      </c>
      <c r="P3496">
        <v>-7.839728E-2</v>
      </c>
      <c r="Q3496">
        <v>-1.1194900000000001E-2</v>
      </c>
      <c r="R3496">
        <v>-0.99685939999999995</v>
      </c>
      <c r="S3496">
        <v>-0.72155760000000002</v>
      </c>
      <c r="T3496">
        <v>-0.3260033</v>
      </c>
      <c r="U3496">
        <v>-2.9486539999999999</v>
      </c>
      <c r="V3496">
        <v>9.4292630000000002E-3</v>
      </c>
      <c r="W3496">
        <v>-9.6549180000000002E-3</v>
      </c>
      <c r="X3496">
        <v>0.99990889999999999</v>
      </c>
      <c r="Y3496">
        <v>0.16876769999999999</v>
      </c>
      <c r="Z3496">
        <v>0.10715239999999999</v>
      </c>
      <c r="AA3496">
        <v>0.97981419999999997</v>
      </c>
      <c r="AB3496">
        <v>22</v>
      </c>
      <c r="AC3496">
        <v>-0.194899999999989</v>
      </c>
      <c r="AD3496">
        <v>-9.3921000000000102E-2</v>
      </c>
      <c r="AE3496">
        <v>-0.67629999999999701</v>
      </c>
      <c r="AF3496">
        <v>0.145207011286968</v>
      </c>
      <c r="AG3496">
        <v>-9.3921000000000102E-2</v>
      </c>
      <c r="AH3496">
        <v>0.67609216305355402</v>
      </c>
      <c r="AI3496">
        <v>97.734596572087199</v>
      </c>
      <c r="AJ3496">
        <v>77.878497698017497</v>
      </c>
      <c r="AK3496">
        <v>0.69785875598886504</v>
      </c>
      <c r="AL3496">
        <v>90.5531946652345</v>
      </c>
      <c r="AM3496">
        <v>89.459709819405006</v>
      </c>
      <c r="AN3496">
        <v>0.999999968370759</v>
      </c>
    </row>
    <row r="3497" spans="1:40" x14ac:dyDescent="0.3">
      <c r="A3497" t="str">
        <f>"20200111160524780"</f>
        <v>20200111160524780</v>
      </c>
      <c r="B3497" t="str">
        <f>"1578729924775026"</f>
        <v>1578729924775026</v>
      </c>
      <c r="C3497" t="s">
        <v>40</v>
      </c>
      <c r="D3497">
        <v>5.7259929999999999</v>
      </c>
      <c r="E3497">
        <v>0.56266549999999904</v>
      </c>
      <c r="F3497" t="s">
        <v>42</v>
      </c>
      <c r="G3497">
        <v>-190.0616</v>
      </c>
      <c r="H3497">
        <v>1.013282</v>
      </c>
      <c r="I3497">
        <v>190.64089999999999</v>
      </c>
      <c r="J3497">
        <v>-189.86</v>
      </c>
      <c r="K3497">
        <v>1.1075980000000001</v>
      </c>
      <c r="L3497">
        <v>191.36670000000001</v>
      </c>
      <c r="M3497">
        <v>-7.0464860000000004E-2</v>
      </c>
      <c r="N3497">
        <v>0</v>
      </c>
      <c r="O3497">
        <v>-0.99751369999999895</v>
      </c>
      <c r="P3497">
        <v>-7.9232140000000006E-2</v>
      </c>
      <c r="Q3497">
        <v>-1.1137309999999999E-2</v>
      </c>
      <c r="R3497">
        <v>-0.99679410000000002</v>
      </c>
      <c r="S3497">
        <v>-0.71983339999999996</v>
      </c>
      <c r="T3497">
        <v>-0.31912889999999999</v>
      </c>
      <c r="U3497">
        <v>-2.949249</v>
      </c>
      <c r="V3497">
        <v>8.7638869999999997E-3</v>
      </c>
      <c r="W3497">
        <v>-9.7824550000000007E-3</v>
      </c>
      <c r="X3497">
        <v>0.99991379999999996</v>
      </c>
      <c r="Y3497">
        <v>0.166759299999999</v>
      </c>
      <c r="Z3497">
        <v>0.10490679999999999</v>
      </c>
      <c r="AA3497">
        <v>0.98040090000000002</v>
      </c>
      <c r="AB3497">
        <v>22</v>
      </c>
      <c r="AC3497">
        <v>-0.20159999999998399</v>
      </c>
      <c r="AD3497">
        <v>-9.4315999999999803E-2</v>
      </c>
      <c r="AE3497">
        <v>-0.72580000000001998</v>
      </c>
      <c r="AF3497">
        <v>0.147640900901467</v>
      </c>
      <c r="AG3497">
        <v>-9.4315999999999803E-2</v>
      </c>
      <c r="AH3497">
        <v>0.72680749423441104</v>
      </c>
      <c r="AI3497">
        <v>97.247415966866598</v>
      </c>
      <c r="AJ3497">
        <v>78.517393240523205</v>
      </c>
      <c r="AK3497">
        <v>0.74762455627828395</v>
      </c>
      <c r="AL3497">
        <v>90.560502293988606</v>
      </c>
      <c r="AM3497">
        <v>89.497835833423494</v>
      </c>
      <c r="AN3497">
        <v>1.0000000547857999</v>
      </c>
    </row>
    <row r="3498" spans="1:40" x14ac:dyDescent="0.3">
      <c r="A3498" t="str">
        <f>"20200111160524800"</f>
        <v>20200111160524800</v>
      </c>
      <c r="B3498" t="str">
        <f>"1578729924794546"</f>
        <v>1578729924794546</v>
      </c>
      <c r="C3498" t="s">
        <v>40</v>
      </c>
      <c r="D3498">
        <v>5.7327309999999896</v>
      </c>
      <c r="E3498">
        <v>0.56229319999999905</v>
      </c>
      <c r="F3498" t="s">
        <v>42</v>
      </c>
      <c r="G3498">
        <v>-190.03890000000001</v>
      </c>
      <c r="H3498">
        <v>1.0298830000000001</v>
      </c>
      <c r="I3498">
        <v>190.63200000000001</v>
      </c>
      <c r="J3498">
        <v>-189.875</v>
      </c>
      <c r="K3498">
        <v>1.1074679999999999</v>
      </c>
      <c r="L3498">
        <v>191.1824</v>
      </c>
      <c r="M3498">
        <v>-7.2452160000000002E-2</v>
      </c>
      <c r="N3498">
        <v>0</v>
      </c>
      <c r="O3498">
        <v>-0.99737129999999996</v>
      </c>
      <c r="P3498">
        <v>-8.0173750000000002E-2</v>
      </c>
      <c r="Q3498">
        <v>-1.119214E-2</v>
      </c>
      <c r="R3498">
        <v>-0.99671829999999995</v>
      </c>
      <c r="S3498">
        <v>-0.71713260000000001</v>
      </c>
      <c r="T3498">
        <v>-0.31186199999999997</v>
      </c>
      <c r="U3498">
        <v>-2.949173</v>
      </c>
      <c r="V3498">
        <v>7.7128259999999999E-3</v>
      </c>
      <c r="W3498">
        <v>-1.004037E-2</v>
      </c>
      <c r="X3498">
        <v>0.99991980000000003</v>
      </c>
      <c r="Y3498">
        <v>0.1640105</v>
      </c>
      <c r="Z3498">
        <v>0.1025592</v>
      </c>
      <c r="AA3498">
        <v>0.98111269999999995</v>
      </c>
      <c r="AB3498">
        <v>22</v>
      </c>
      <c r="AC3498">
        <v>-0.16390000000001201</v>
      </c>
      <c r="AD3498">
        <v>-7.7585000000000195E-2</v>
      </c>
      <c r="AE3498">
        <v>-0.550399999999996</v>
      </c>
      <c r="AF3498">
        <v>0.121376251551648</v>
      </c>
      <c r="AG3498">
        <v>-7.7585000000000195E-2</v>
      </c>
      <c r="AH3498">
        <v>0.55077587258788496</v>
      </c>
      <c r="AI3498">
        <v>97.832684569521106</v>
      </c>
      <c r="AJ3498">
        <v>77.572186439726906</v>
      </c>
      <c r="AK3498">
        <v>0.56930280913646902</v>
      </c>
      <c r="AL3498">
        <v>90.575280519463703</v>
      </c>
      <c r="AM3498">
        <v>89.558060942443106</v>
      </c>
      <c r="AN3498">
        <v>0.99999995157333998</v>
      </c>
    </row>
    <row r="3499" spans="1:40" x14ac:dyDescent="0.3">
      <c r="A3499" t="str">
        <f>"20200111160524824"</f>
        <v>20200111160524824</v>
      </c>
      <c r="B3499" t="str">
        <f>"1578729924815042"</f>
        <v>1578729924815042</v>
      </c>
      <c r="C3499" t="s">
        <v>40</v>
      </c>
      <c r="D3499">
        <v>5.7832929999999996</v>
      </c>
      <c r="E3499">
        <v>0.56196279999999998</v>
      </c>
      <c r="F3499" t="s">
        <v>42</v>
      </c>
      <c r="G3499">
        <v>-190.05719999999999</v>
      </c>
      <c r="H3499">
        <v>1.02908</v>
      </c>
      <c r="I3499">
        <v>190.434</v>
      </c>
      <c r="J3499">
        <v>-189.8955</v>
      </c>
      <c r="K3499">
        <v>1.107299</v>
      </c>
      <c r="L3499">
        <v>190.93989999999999</v>
      </c>
      <c r="M3499">
        <v>-7.522421E-2</v>
      </c>
      <c r="N3499">
        <v>0</v>
      </c>
      <c r="O3499">
        <v>-0.99716649999999996</v>
      </c>
      <c r="P3499">
        <v>-8.2155119999999998E-2</v>
      </c>
      <c r="Q3499">
        <v>-1.1998379999999999E-2</v>
      </c>
      <c r="R3499">
        <v>-0.99654779999999998</v>
      </c>
      <c r="S3499">
        <v>-0.71723939999999997</v>
      </c>
      <c r="T3499">
        <v>-0.30874649999999998</v>
      </c>
      <c r="U3499">
        <v>-2.948715</v>
      </c>
      <c r="V3499">
        <v>6.9145250000000004E-3</v>
      </c>
      <c r="W3499">
        <v>-1.107489E-2</v>
      </c>
      <c r="X3499">
        <v>0.99991479999999999</v>
      </c>
      <c r="Y3499">
        <v>0.16136130000000001</v>
      </c>
      <c r="Z3499">
        <v>0.10155119999999999</v>
      </c>
      <c r="AA3499">
        <v>0.98165670000000005</v>
      </c>
      <c r="AB3499">
        <v>22</v>
      </c>
      <c r="AC3499">
        <v>-0.16169999999999601</v>
      </c>
      <c r="AD3499">
        <v>-7.8218999999999997E-2</v>
      </c>
      <c r="AE3499">
        <v>-0.50589999999996804</v>
      </c>
      <c r="AF3499">
        <v>0.120570792442919</v>
      </c>
      <c r="AG3499">
        <v>-7.8218999999999997E-2</v>
      </c>
      <c r="AH3499">
        <v>0.505662787203079</v>
      </c>
      <c r="AI3499">
        <v>98.556980153742998</v>
      </c>
      <c r="AJ3499">
        <v>76.588750261668295</v>
      </c>
      <c r="AK3499">
        <v>0.52569038636187704</v>
      </c>
      <c r="AL3499">
        <v>90.634557405210501</v>
      </c>
      <c r="AM3499">
        <v>89.603799458536201</v>
      </c>
      <c r="AN3499">
        <v>1.00000003555176</v>
      </c>
    </row>
    <row r="3500" spans="1:40" x14ac:dyDescent="0.3">
      <c r="A3500" t="str">
        <f>"20200111160524836"</f>
        <v>20200111160524836</v>
      </c>
      <c r="B3500" t="str">
        <f>"1578729924834562"</f>
        <v>1578729924834562</v>
      </c>
      <c r="C3500" t="s">
        <v>40</v>
      </c>
      <c r="D3500">
        <v>5.7719480000000001</v>
      </c>
      <c r="E3500">
        <v>0.56170010000000004</v>
      </c>
      <c r="F3500" t="s">
        <v>42</v>
      </c>
      <c r="G3500">
        <v>-190.1155</v>
      </c>
      <c r="H3500">
        <v>1.013536</v>
      </c>
      <c r="I3500">
        <v>190.0402</v>
      </c>
      <c r="J3500">
        <v>-189.90690000000001</v>
      </c>
      <c r="K3500">
        <v>1.1072090000000001</v>
      </c>
      <c r="L3500">
        <v>190.8099</v>
      </c>
      <c r="M3500">
        <v>-7.6800660000000007E-2</v>
      </c>
      <c r="N3500">
        <v>0</v>
      </c>
      <c r="O3500">
        <v>-0.99704619999999999</v>
      </c>
      <c r="P3500">
        <v>-8.3145720000000006E-2</v>
      </c>
      <c r="Q3500">
        <v>-1.249043E-2</v>
      </c>
      <c r="R3500">
        <v>-0.9964594</v>
      </c>
      <c r="S3500">
        <v>-0.72068789999999905</v>
      </c>
      <c r="T3500">
        <v>-0.30715490000000001</v>
      </c>
      <c r="U3500">
        <v>-2.9472960000000001</v>
      </c>
      <c r="V3500">
        <v>6.3237160000000001E-3</v>
      </c>
      <c r="W3500">
        <v>-1.166609E-2</v>
      </c>
      <c r="X3500">
        <v>0.99991200000000002</v>
      </c>
      <c r="Y3500">
        <v>0.16100590000000001</v>
      </c>
      <c r="Z3500">
        <v>0.101051</v>
      </c>
      <c r="AA3500">
        <v>0.98176669999999999</v>
      </c>
      <c r="AB3500">
        <v>22</v>
      </c>
      <c r="AC3500">
        <v>-0.20859999999998899</v>
      </c>
      <c r="AD3500">
        <v>-9.3673000000000103E-2</v>
      </c>
      <c r="AE3500">
        <v>-0.76970000000000005</v>
      </c>
      <c r="AF3500">
        <v>0.14684430568156001</v>
      </c>
      <c r="AG3500">
        <v>-9.3673000000000103E-2</v>
      </c>
      <c r="AH3500">
        <v>0.77278468984247795</v>
      </c>
      <c r="AI3500">
        <v>96.7910314754578</v>
      </c>
      <c r="AJ3500">
        <v>79.240944177703796</v>
      </c>
      <c r="AK3500">
        <v>0.79217047274878605</v>
      </c>
      <c r="AL3500">
        <v>90.668432851349394</v>
      </c>
      <c r="AM3500">
        <v>89.637650706038002</v>
      </c>
      <c r="AN3500">
        <v>1.0000000473919599</v>
      </c>
    </row>
    <row r="3501" spans="1:40" x14ac:dyDescent="0.3">
      <c r="A3501" t="str">
        <f>"20200111160524850"</f>
        <v>20200111160524850</v>
      </c>
      <c r="B3501" t="str">
        <f>"1578729924845299"</f>
        <v>1578729924845299</v>
      </c>
      <c r="C3501" t="s">
        <v>40</v>
      </c>
      <c r="D3501">
        <v>5.7458489999999998</v>
      </c>
      <c r="E3501">
        <v>0.56160959999999904</v>
      </c>
      <c r="F3501" t="s">
        <v>42</v>
      </c>
      <c r="G3501">
        <v>-190.09719999999999</v>
      </c>
      <c r="H3501">
        <v>1.0264500000000001</v>
      </c>
      <c r="I3501">
        <v>190.03309999999999</v>
      </c>
      <c r="J3501">
        <v>-189.91900000000001</v>
      </c>
      <c r="K3501">
        <v>1.1071219999999999</v>
      </c>
      <c r="L3501">
        <v>190.67410000000001</v>
      </c>
      <c r="M3501">
        <v>-7.8478569999999997E-2</v>
      </c>
      <c r="N3501">
        <v>0</v>
      </c>
      <c r="O3501">
        <v>-0.99691549999999995</v>
      </c>
      <c r="P3501">
        <v>-8.4493730000000003E-2</v>
      </c>
      <c r="Q3501">
        <v>-1.2787710000000001E-2</v>
      </c>
      <c r="R3501">
        <v>-0.9963419</v>
      </c>
      <c r="S3501">
        <v>-0.72189329999999996</v>
      </c>
      <c r="T3501">
        <v>-0.3063669</v>
      </c>
      <c r="U3501">
        <v>-2.946609</v>
      </c>
      <c r="V3501">
        <v>5.9902439999999996E-3</v>
      </c>
      <c r="W3501">
        <v>-1.2060359999999999E-2</v>
      </c>
      <c r="X3501">
        <v>0.9999093</v>
      </c>
      <c r="Y3501">
        <v>0.1597826</v>
      </c>
      <c r="Z3501">
        <v>0.10080260000000001</v>
      </c>
      <c r="AA3501">
        <v>0.98199199999999998</v>
      </c>
      <c r="AB3501">
        <v>22</v>
      </c>
      <c r="AC3501">
        <v>-0.17819999999997499</v>
      </c>
      <c r="AD3501">
        <v>-8.0671999999999799E-2</v>
      </c>
      <c r="AE3501">
        <v>-0.641000000000019</v>
      </c>
      <c r="AF3501">
        <v>0.125500415242317</v>
      </c>
      <c r="AG3501">
        <v>-8.0671999999999799E-2</v>
      </c>
      <c r="AH3501">
        <v>0.64354601405362599</v>
      </c>
      <c r="AI3501">
        <v>97.014287549048404</v>
      </c>
      <c r="AJ3501">
        <v>78.965024000712901</v>
      </c>
      <c r="AK3501">
        <v>0.66061319848630295</v>
      </c>
      <c r="AL3501">
        <v>90.691024499457797</v>
      </c>
      <c r="AM3501">
        <v>89.656757274293199</v>
      </c>
      <c r="AN3501">
        <v>0.99999997176649902</v>
      </c>
    </row>
    <row r="3502" spans="1:40" x14ac:dyDescent="0.3">
      <c r="A3502" t="str">
        <f>"20200111160524866"</f>
        <v>20200111160524866</v>
      </c>
      <c r="B3502" t="str">
        <f>"1578729924855058"</f>
        <v>1578729924855058</v>
      </c>
      <c r="C3502" t="s">
        <v>40</v>
      </c>
      <c r="D3502">
        <v>6.026834</v>
      </c>
      <c r="E3502">
        <v>0.56176759999999903</v>
      </c>
      <c r="F3502" t="s">
        <v>42</v>
      </c>
      <c r="G3502">
        <v>-190.12620000000001</v>
      </c>
      <c r="H3502">
        <v>1.0198860000000001</v>
      </c>
      <c r="I3502">
        <v>189.833</v>
      </c>
      <c r="J3502">
        <v>-189.934</v>
      </c>
      <c r="K3502">
        <v>1.1070260000000001</v>
      </c>
      <c r="L3502">
        <v>190.50919999999999</v>
      </c>
      <c r="M3502">
        <v>-8.0567780000000006E-2</v>
      </c>
      <c r="N3502">
        <v>0</v>
      </c>
      <c r="O3502">
        <v>-0.996749</v>
      </c>
      <c r="P3502">
        <v>-8.5533280000000003E-2</v>
      </c>
      <c r="Q3502">
        <v>-1.3515070000000001E-2</v>
      </c>
      <c r="R3502">
        <v>-0.99624400000000002</v>
      </c>
      <c r="S3502">
        <v>-0.72532649999999999</v>
      </c>
      <c r="T3502">
        <v>-0.30544850000000001</v>
      </c>
      <c r="U3502">
        <v>-2.9456020000000001</v>
      </c>
      <c r="V3502">
        <v>4.932657E-3</v>
      </c>
      <c r="W3502">
        <v>-1.2890479999999999E-2</v>
      </c>
      <c r="X3502">
        <v>0.99990480000000004</v>
      </c>
      <c r="Y3502">
        <v>0.15887809999999999</v>
      </c>
      <c r="Z3502">
        <v>0.1005052</v>
      </c>
      <c r="AA3502">
        <v>0.98216930000000002</v>
      </c>
      <c r="AB3502">
        <v>23</v>
      </c>
      <c r="AC3502">
        <v>-0.19219999999998499</v>
      </c>
      <c r="AD3502">
        <v>-8.7139999999999995E-2</v>
      </c>
      <c r="AE3502">
        <v>-0.67619999999999403</v>
      </c>
      <c r="AF3502">
        <v>0.13502059907432901</v>
      </c>
      <c r="AG3502">
        <v>-8.7139999999999995E-2</v>
      </c>
      <c r="AH3502">
        <v>0.67905297916086904</v>
      </c>
      <c r="AI3502">
        <v>97.173632151536495</v>
      </c>
      <c r="AJ3502">
        <v>78.754174892410404</v>
      </c>
      <c r="AK3502">
        <v>0.69780863442755003</v>
      </c>
      <c r="AL3502">
        <v>90.738590516799903</v>
      </c>
      <c r="AM3502">
        <v>89.717354956864995</v>
      </c>
      <c r="AN3502">
        <v>1.0000000523213699</v>
      </c>
    </row>
    <row r="3503" spans="1:40" x14ac:dyDescent="0.3">
      <c r="A3503" t="str">
        <f>"20200111160524879"</f>
        <v>20200111160524879</v>
      </c>
      <c r="B3503" t="str">
        <f>"1578729924874578"</f>
        <v>1578729924874578</v>
      </c>
      <c r="C3503" t="s">
        <v>40</v>
      </c>
      <c r="D3503">
        <v>5.7472580000000004</v>
      </c>
      <c r="E3503">
        <v>0.56169559999999996</v>
      </c>
      <c r="F3503" t="s">
        <v>42</v>
      </c>
      <c r="G3503">
        <v>-190.15209999999999</v>
      </c>
      <c r="H3503">
        <v>1.0156750000000001</v>
      </c>
      <c r="I3503">
        <v>189.62960000000001</v>
      </c>
      <c r="J3503">
        <v>-189.94630000000001</v>
      </c>
      <c r="K3503">
        <v>1.1069599999999999</v>
      </c>
      <c r="L3503">
        <v>190.3792</v>
      </c>
      <c r="M3503">
        <v>-8.2258769999999995E-2</v>
      </c>
      <c r="N3503">
        <v>0</v>
      </c>
      <c r="O3503">
        <v>-0.99661109999999997</v>
      </c>
      <c r="P3503">
        <v>-8.7110469999999995E-2</v>
      </c>
      <c r="Q3503">
        <v>-1.355701E-2</v>
      </c>
      <c r="R3503">
        <v>-0.99610659999999895</v>
      </c>
      <c r="S3503">
        <v>-0.72982789999999997</v>
      </c>
      <c r="T3503">
        <v>-0.30580059999999998</v>
      </c>
      <c r="U3503">
        <v>-2.9444889999999999</v>
      </c>
      <c r="V3503">
        <v>4.8170970000000002E-3</v>
      </c>
      <c r="W3503">
        <v>-1.3006230000000001E-2</v>
      </c>
      <c r="X3503">
        <v>0.99990380000000001</v>
      </c>
      <c r="Y3503">
        <v>0.158701799999999</v>
      </c>
      <c r="Z3503">
        <v>0.100619</v>
      </c>
      <c r="AA3503">
        <v>0.98218609999999995</v>
      </c>
      <c r="AB3503">
        <v>23</v>
      </c>
      <c r="AC3503">
        <v>-0.205799999999982</v>
      </c>
      <c r="AD3503">
        <v>-9.1284999999999797E-2</v>
      </c>
      <c r="AE3503">
        <v>-0.74959999999998606</v>
      </c>
      <c r="AF3503">
        <v>0.14149015925785299</v>
      </c>
      <c r="AG3503">
        <v>-9.1284999999999797E-2</v>
      </c>
      <c r="AH3503">
        <v>0.753596010581146</v>
      </c>
      <c r="AI3503">
        <v>96.789241259635702</v>
      </c>
      <c r="AJ3503">
        <v>79.366323669489503</v>
      </c>
      <c r="AK3503">
        <v>0.77217832367635897</v>
      </c>
      <c r="AL3503">
        <v>90.745223107013601</v>
      </c>
      <c r="AM3503">
        <v>89.723976254093301</v>
      </c>
      <c r="AN3503">
        <v>0.99999998784837996</v>
      </c>
    </row>
    <row r="3504" spans="1:40" x14ac:dyDescent="0.3">
      <c r="A3504" t="str">
        <f>"20200111160524892"</f>
        <v>20200111160524892</v>
      </c>
      <c r="B3504" t="str">
        <f>"1578729924885315"</f>
        <v>1578729924885315</v>
      </c>
      <c r="C3504" t="s">
        <v>40</v>
      </c>
      <c r="D3504">
        <v>5.7338899999999997</v>
      </c>
      <c r="E3504">
        <v>0.56161989999999995</v>
      </c>
      <c r="F3504" t="s">
        <v>42</v>
      </c>
      <c r="G3504">
        <v>-190.13509999999999</v>
      </c>
      <c r="H3504">
        <v>1.028681</v>
      </c>
      <c r="I3504">
        <v>189.6224</v>
      </c>
      <c r="J3504">
        <v>-189.95930000000001</v>
      </c>
      <c r="K3504">
        <v>1.106895</v>
      </c>
      <c r="L3504">
        <v>190.2431</v>
      </c>
      <c r="M3504">
        <v>-8.4054480000000001E-2</v>
      </c>
      <c r="N3504">
        <v>0</v>
      </c>
      <c r="O3504">
        <v>-0.99646129999999999</v>
      </c>
      <c r="P3504">
        <v>-8.8781529999999997E-2</v>
      </c>
      <c r="Q3504">
        <v>-1.324233E-2</v>
      </c>
      <c r="R3504">
        <v>-0.9959633</v>
      </c>
      <c r="S3504">
        <v>-0.734375</v>
      </c>
      <c r="T3504">
        <v>-0.3044481</v>
      </c>
      <c r="U3504">
        <v>-2.9433440000000002</v>
      </c>
      <c r="V3504">
        <v>4.6920540000000002E-3</v>
      </c>
      <c r="W3504">
        <v>-1.276159E-2</v>
      </c>
      <c r="X3504">
        <v>0.99990760000000001</v>
      </c>
      <c r="Y3504">
        <v>0.15845190000000001</v>
      </c>
      <c r="Z3504">
        <v>0.10017719999999999</v>
      </c>
      <c r="AA3504">
        <v>0.98227160000000002</v>
      </c>
      <c r="AB3504">
        <v>23</v>
      </c>
      <c r="AC3504">
        <v>-0.175799999999981</v>
      </c>
      <c r="AD3504">
        <v>-7.8213999999999895E-2</v>
      </c>
      <c r="AE3504">
        <v>-0.62069999999999903</v>
      </c>
      <c r="AF3504">
        <v>0.12122337617392</v>
      </c>
      <c r="AG3504">
        <v>-7.8213999999999895E-2</v>
      </c>
      <c r="AH3504">
        <v>0.62410634987284697</v>
      </c>
      <c r="AI3504">
        <v>97.013425719289401</v>
      </c>
      <c r="AJ3504">
        <v>79.0080156835662</v>
      </c>
      <c r="AK3504">
        <v>0.64056324643130502</v>
      </c>
      <c r="AL3504">
        <v>90.731205064900806</v>
      </c>
      <c r="AM3504">
        <v>89.7311422392672</v>
      </c>
      <c r="AN3504">
        <v>1.00000004104391</v>
      </c>
    </row>
    <row r="3505" spans="1:40" x14ac:dyDescent="0.3">
      <c r="A3505" t="str">
        <f>"20200111160524904"</f>
        <v>20200111160524904</v>
      </c>
      <c r="B3505" t="str">
        <f>"1578729924895075"</f>
        <v>1578729924895075</v>
      </c>
      <c r="C3505" t="s">
        <v>40</v>
      </c>
      <c r="D3505">
        <v>5.7003009999999996</v>
      </c>
      <c r="E3505">
        <v>0.56155219999999995</v>
      </c>
      <c r="F3505" t="s">
        <v>42</v>
      </c>
      <c r="G3505">
        <v>-190.16669999999999</v>
      </c>
      <c r="H3505">
        <v>1.022097</v>
      </c>
      <c r="I3505">
        <v>189.4188</v>
      </c>
      <c r="J3505">
        <v>-189.97229999999999</v>
      </c>
      <c r="K3505">
        <v>1.106835</v>
      </c>
      <c r="L3505">
        <v>190.1097</v>
      </c>
      <c r="M3505">
        <v>-8.5833999999999994E-2</v>
      </c>
      <c r="N3505">
        <v>0</v>
      </c>
      <c r="O3505">
        <v>-0.99630929999999995</v>
      </c>
      <c r="P3505">
        <v>-9.0495409999999998E-2</v>
      </c>
      <c r="Q3505">
        <v>-1.29157E-2</v>
      </c>
      <c r="R3505">
        <v>-0.99581310000000001</v>
      </c>
      <c r="S3505">
        <v>-0.73907469999999997</v>
      </c>
      <c r="T3505">
        <v>-0.30254150000000002</v>
      </c>
      <c r="U3505">
        <v>-2.9422450000000002</v>
      </c>
      <c r="V3505">
        <v>4.6265569999999999E-3</v>
      </c>
      <c r="W3505">
        <v>-1.249927E-2</v>
      </c>
      <c r="X3505">
        <v>0.9999112</v>
      </c>
      <c r="Y3505">
        <v>0.1582665</v>
      </c>
      <c r="Z3505">
        <v>9.9551870000000001E-2</v>
      </c>
      <c r="AA3505">
        <v>0.98236509999999999</v>
      </c>
      <c r="AB3505">
        <v>23</v>
      </c>
      <c r="AC3505">
        <v>-0.19440000000000099</v>
      </c>
      <c r="AD3505">
        <v>-8.4737999999999897E-2</v>
      </c>
      <c r="AE3505">
        <v>-0.69089999999999896</v>
      </c>
      <c r="AF3505">
        <v>0.132532448987424</v>
      </c>
      <c r="AG3505">
        <v>-8.4737999999999897E-2</v>
      </c>
      <c r="AH3505">
        <v>0.69534383498685204</v>
      </c>
      <c r="AI3505">
        <v>96.826384981659004</v>
      </c>
      <c r="AJ3505">
        <v>79.208863719219707</v>
      </c>
      <c r="AK3505">
        <v>0.71291544206366197</v>
      </c>
      <c r="AL3505">
        <v>90.716174051012999</v>
      </c>
      <c r="AM3505">
        <v>89.734896160678005</v>
      </c>
      <c r="AN3505">
        <v>1.00000002233282</v>
      </c>
    </row>
    <row r="3506" spans="1:40" x14ac:dyDescent="0.3">
      <c r="A3506" t="str">
        <f>"20200111160524924"</f>
        <v>20200111160524924</v>
      </c>
      <c r="B3506" t="str">
        <f>"1578729924914594"</f>
        <v>1578729924914594</v>
      </c>
      <c r="C3506" t="s">
        <v>40</v>
      </c>
      <c r="D3506">
        <v>5.7555649999999998</v>
      </c>
      <c r="E3506">
        <v>0.5613882</v>
      </c>
      <c r="F3506" t="s">
        <v>42</v>
      </c>
      <c r="G3506">
        <v>-190.19900000000001</v>
      </c>
      <c r="H3506">
        <v>1.0153299999999901</v>
      </c>
      <c r="I3506">
        <v>189.21350000000001</v>
      </c>
      <c r="J3506">
        <v>-189.9924</v>
      </c>
      <c r="K3506">
        <v>1.1067579999999999</v>
      </c>
      <c r="L3506">
        <v>189.9084</v>
      </c>
      <c r="M3506">
        <v>-8.8553439999999997E-2</v>
      </c>
      <c r="N3506">
        <v>0</v>
      </c>
      <c r="O3506">
        <v>-0.99607129999999999</v>
      </c>
      <c r="P3506">
        <v>-9.3983109999999995E-2</v>
      </c>
      <c r="Q3506">
        <v>-1.1656359999999999E-2</v>
      </c>
      <c r="R3506">
        <v>-0.9955058</v>
      </c>
      <c r="S3506">
        <v>-0.74377439999999995</v>
      </c>
      <c r="T3506">
        <v>-0.3002937</v>
      </c>
      <c r="U3506">
        <v>-2.9411320000000001</v>
      </c>
      <c r="V3506">
        <v>5.4023719999999999E-3</v>
      </c>
      <c r="W3506">
        <v>-1.1328309999999999E-2</v>
      </c>
      <c r="X3506">
        <v>0.99992130000000001</v>
      </c>
      <c r="Y3506">
        <v>0.1571533</v>
      </c>
      <c r="Z3506">
        <v>9.8810289999999995E-2</v>
      </c>
      <c r="AA3506">
        <v>0.98261860000000001</v>
      </c>
      <c r="AB3506">
        <v>23</v>
      </c>
      <c r="AC3506">
        <v>-0.206600000000008</v>
      </c>
      <c r="AD3506">
        <v>-9.1427999999999995E-2</v>
      </c>
      <c r="AE3506">
        <v>-0.69489999999998897</v>
      </c>
      <c r="AF3506">
        <v>0.14199417439140999</v>
      </c>
      <c r="AG3506">
        <v>-9.1427999999999995E-2</v>
      </c>
      <c r="AH3506">
        <v>0.699342277713489</v>
      </c>
      <c r="AI3506">
        <v>97.300964129636199</v>
      </c>
      <c r="AJ3506">
        <v>78.522708048869902</v>
      </c>
      <c r="AK3506">
        <v>0.71944495699295097</v>
      </c>
      <c r="AL3506">
        <v>90.649078195554793</v>
      </c>
      <c r="AM3506">
        <v>89.690445534830801</v>
      </c>
      <c r="AN3506">
        <v>1.00000006121218</v>
      </c>
    </row>
    <row r="3507" spans="1:40" x14ac:dyDescent="0.3">
      <c r="A3507" t="str">
        <f>"20200111160524945"</f>
        <v>20200111160524945</v>
      </c>
      <c r="B3507" t="str">
        <f>"1578729924935091"</f>
        <v>1578729924935091</v>
      </c>
      <c r="C3507" t="s">
        <v>40</v>
      </c>
      <c r="D3507">
        <v>5.989503</v>
      </c>
      <c r="E3507">
        <v>0.56097240000000004</v>
      </c>
      <c r="F3507" t="s">
        <v>42</v>
      </c>
      <c r="G3507">
        <v>-190.22479999999999</v>
      </c>
      <c r="H3507">
        <v>1.0157149999999999</v>
      </c>
      <c r="I3507">
        <v>189.0026</v>
      </c>
      <c r="J3507">
        <v>-190.01580000000001</v>
      </c>
      <c r="K3507">
        <v>1.106684</v>
      </c>
      <c r="L3507">
        <v>189.68170000000001</v>
      </c>
      <c r="M3507">
        <v>-9.1639490000000004E-2</v>
      </c>
      <c r="N3507">
        <v>0</v>
      </c>
      <c r="O3507">
        <v>-0.99579229999999996</v>
      </c>
      <c r="P3507">
        <v>-9.79183E-2</v>
      </c>
      <c r="Q3507">
        <v>-1.143694E-2</v>
      </c>
      <c r="R3507">
        <v>-0.99512900000000004</v>
      </c>
      <c r="S3507">
        <v>-0.75311280000000003</v>
      </c>
      <c r="T3507">
        <v>-0.29531249999999998</v>
      </c>
      <c r="U3507">
        <v>-2.9389799999999999</v>
      </c>
      <c r="V3507">
        <v>6.2566430000000001E-3</v>
      </c>
      <c r="W3507">
        <v>-1.119435E-2</v>
      </c>
      <c r="X3507">
        <v>0.99991770000000002</v>
      </c>
      <c r="Y3507">
        <v>0.1572366</v>
      </c>
      <c r="Z3507">
        <v>9.7176849999999995E-2</v>
      </c>
      <c r="AA3507">
        <v>0.98276819999999998</v>
      </c>
      <c r="AB3507">
        <v>23</v>
      </c>
      <c r="AC3507">
        <v>-0.20899999999997401</v>
      </c>
      <c r="AD3507">
        <v>-9.0968999999999994E-2</v>
      </c>
      <c r="AE3507">
        <v>-0.67910000000000503</v>
      </c>
      <c r="AF3507">
        <v>0.143535449433631</v>
      </c>
      <c r="AG3507">
        <v>-9.0968999999999994E-2</v>
      </c>
      <c r="AH3507">
        <v>0.68418044959465096</v>
      </c>
      <c r="AI3507">
        <v>97.414109393452705</v>
      </c>
      <c r="AJ3507">
        <v>78.151646378918798</v>
      </c>
      <c r="AK3507">
        <v>0.70496856086825199</v>
      </c>
      <c r="AL3507">
        <v>90.641402448959596</v>
      </c>
      <c r="AM3507">
        <v>89.641495935581602</v>
      </c>
      <c r="AN3507">
        <v>0.99999993291341804</v>
      </c>
    </row>
    <row r="3508" spans="1:40" x14ac:dyDescent="0.3">
      <c r="A3508" t="str">
        <f>"20200111160524970"</f>
        <v>20200111160524970</v>
      </c>
      <c r="B3508" t="str">
        <f>"1578729924965347"</f>
        <v>1578729924965347</v>
      </c>
      <c r="C3508" t="s">
        <v>40</v>
      </c>
      <c r="D3508">
        <v>5.8093389999999996</v>
      </c>
      <c r="E3508">
        <v>0.56036529999999996</v>
      </c>
      <c r="F3508" t="s">
        <v>42</v>
      </c>
      <c r="G3508">
        <v>-190.2474</v>
      </c>
      <c r="H3508">
        <v>1.0172749999999999</v>
      </c>
      <c r="I3508">
        <v>188.78909999999999</v>
      </c>
      <c r="J3508">
        <v>-190.04249999999999</v>
      </c>
      <c r="K3508">
        <v>1.1066279999999999</v>
      </c>
      <c r="L3508">
        <v>189.43170000000001</v>
      </c>
      <c r="M3508">
        <v>-9.5037360000000001E-2</v>
      </c>
      <c r="N3508">
        <v>0</v>
      </c>
      <c r="O3508">
        <v>-0.99547379999999996</v>
      </c>
      <c r="P3508">
        <v>-0.1016374</v>
      </c>
      <c r="Q3508">
        <v>-1.0950649999999999E-2</v>
      </c>
      <c r="R3508">
        <v>-0.99476140000000002</v>
      </c>
      <c r="S3508">
        <v>-0.7616425</v>
      </c>
      <c r="T3508">
        <v>-0.29410330000000001</v>
      </c>
      <c r="U3508">
        <v>-2.936356</v>
      </c>
      <c r="V3508">
        <v>6.5826670000000004E-3</v>
      </c>
      <c r="W3508">
        <v>-1.078497E-2</v>
      </c>
      <c r="X3508">
        <v>0.99992020000000004</v>
      </c>
      <c r="Y3508">
        <v>0.15676399999999999</v>
      </c>
      <c r="Z3508">
        <v>9.6788830000000006E-2</v>
      </c>
      <c r="AA3508">
        <v>0.98288200000000003</v>
      </c>
      <c r="AB3508">
        <v>24</v>
      </c>
      <c r="AC3508">
        <v>-0.20490000000000899</v>
      </c>
      <c r="AD3508">
        <v>-8.9353000000000196E-2</v>
      </c>
      <c r="AE3508">
        <v>-0.64260000000001505</v>
      </c>
      <c r="AF3508">
        <v>0.140436852583988</v>
      </c>
      <c r="AG3508">
        <v>-8.9353000000000196E-2</v>
      </c>
      <c r="AH3508">
        <v>0.64779555447584902</v>
      </c>
      <c r="AI3508">
        <v>97.677336693346504</v>
      </c>
      <c r="AJ3508">
        <v>77.768021912346001</v>
      </c>
      <c r="AK3508">
        <v>0.66883895563234796</v>
      </c>
      <c r="AL3508">
        <v>90.617945226497497</v>
      </c>
      <c r="AM3508">
        <v>89.622816312052393</v>
      </c>
      <c r="AN3508">
        <v>1.0000000267253799</v>
      </c>
    </row>
    <row r="3509" spans="1:40" x14ac:dyDescent="0.3">
      <c r="A3509" t="str">
        <f>"20200111160524991"</f>
        <v>20200111160524991</v>
      </c>
      <c r="B3509" t="str">
        <f>"1578729924984867"</f>
        <v>1578729924984867</v>
      </c>
      <c r="C3509" t="s">
        <v>40</v>
      </c>
      <c r="D3509">
        <v>5.7743960000000003</v>
      </c>
      <c r="E3509">
        <v>0.56008599999999997</v>
      </c>
      <c r="F3509" t="s">
        <v>42</v>
      </c>
      <c r="G3509">
        <v>-190.26750000000001</v>
      </c>
      <c r="H3509">
        <v>1.0210440000000001</v>
      </c>
      <c r="I3509">
        <v>188.57259999999999</v>
      </c>
      <c r="J3509">
        <v>-190.0686</v>
      </c>
      <c r="K3509">
        <v>1.1066069999999999</v>
      </c>
      <c r="L3509">
        <v>189.19390000000001</v>
      </c>
      <c r="M3509">
        <v>-9.8233009999999996E-2</v>
      </c>
      <c r="N3509">
        <v>0</v>
      </c>
      <c r="O3509">
        <v>-0.99516360000000004</v>
      </c>
      <c r="P3509">
        <v>-0.1038451</v>
      </c>
      <c r="Q3509">
        <v>-9.7094629999999998E-3</v>
      </c>
      <c r="R3509">
        <v>-0.99454670000000001</v>
      </c>
      <c r="S3509">
        <v>-0.76809689999999997</v>
      </c>
      <c r="T3509">
        <v>-0.292271</v>
      </c>
      <c r="U3509">
        <v>-2.9340820000000001</v>
      </c>
      <c r="V3509">
        <v>5.5963130000000003E-3</v>
      </c>
      <c r="W3509">
        <v>-9.5989779999999993E-3</v>
      </c>
      <c r="X3509">
        <v>0.9999382</v>
      </c>
      <c r="Y3509">
        <v>0.15581739999999999</v>
      </c>
      <c r="Z3509">
        <v>9.6199380000000001E-2</v>
      </c>
      <c r="AA3509">
        <v>0.98309029999999997</v>
      </c>
      <c r="AB3509">
        <v>24</v>
      </c>
      <c r="AC3509">
        <v>-0.19890000000000799</v>
      </c>
      <c r="AD3509">
        <v>-8.5562999999999806E-2</v>
      </c>
      <c r="AE3509">
        <v>-0.62130000000001895</v>
      </c>
      <c r="AF3509">
        <v>0.13459053209404001</v>
      </c>
      <c r="AG3509">
        <v>-8.5562999999999806E-2</v>
      </c>
      <c r="AH3509">
        <v>0.62704670875686397</v>
      </c>
      <c r="AI3509">
        <v>97.599255161836297</v>
      </c>
      <c r="AJ3509">
        <v>77.885729298356594</v>
      </c>
      <c r="AK3509">
        <v>0.64701098387985101</v>
      </c>
      <c r="AL3509">
        <v>90.549989410995806</v>
      </c>
      <c r="AM3509">
        <v>89.679338415128797</v>
      </c>
      <c r="AN3509">
        <v>0.99999993145853605</v>
      </c>
    </row>
    <row r="3510" spans="1:40" x14ac:dyDescent="0.3">
      <c r="A3510" t="str">
        <f>"20200111160525013"</f>
        <v>20200111160525013</v>
      </c>
      <c r="B3510" t="str">
        <f>"1578729925005361"</f>
        <v>1578729925005361</v>
      </c>
      <c r="C3510" t="s">
        <v>40</v>
      </c>
      <c r="D3510">
        <v>5.8973250000000004</v>
      </c>
      <c r="E3510">
        <v>0.55969150000000001</v>
      </c>
      <c r="F3510" t="s">
        <v>42</v>
      </c>
      <c r="G3510">
        <v>-190.28989999999999</v>
      </c>
      <c r="H3510">
        <v>1.0240579999999999</v>
      </c>
      <c r="I3510">
        <v>188.35480000000001</v>
      </c>
      <c r="J3510">
        <v>-190.0959</v>
      </c>
      <c r="K3510">
        <v>1.106616</v>
      </c>
      <c r="L3510">
        <v>188.95189999999999</v>
      </c>
      <c r="M3510">
        <v>-0.1014037</v>
      </c>
      <c r="N3510">
        <v>0</v>
      </c>
      <c r="O3510">
        <v>-0.99484539999999999</v>
      </c>
      <c r="P3510">
        <v>-0.1055161</v>
      </c>
      <c r="Q3510">
        <v>-7.3677369999999897E-3</v>
      </c>
      <c r="R3510">
        <v>-0.99439049999999995</v>
      </c>
      <c r="S3510">
        <v>-0.77285769999999998</v>
      </c>
      <c r="T3510">
        <v>-0.2885202</v>
      </c>
      <c r="U3510">
        <v>-2.9329529999999999</v>
      </c>
      <c r="V3510">
        <v>4.1002240000000004E-3</v>
      </c>
      <c r="W3510">
        <v>-7.3002659999999997E-3</v>
      </c>
      <c r="X3510">
        <v>0.99996499999999999</v>
      </c>
      <c r="Y3510">
        <v>0.1542857</v>
      </c>
      <c r="Z3510">
        <v>9.4958340000000002E-2</v>
      </c>
      <c r="AA3510">
        <v>0.98345249999999995</v>
      </c>
      <c r="AB3510">
        <v>24</v>
      </c>
      <c r="AC3510">
        <v>-0.19399999999998799</v>
      </c>
      <c r="AD3510">
        <v>-8.2558000000000104E-2</v>
      </c>
      <c r="AE3510">
        <v>-0.59709999999998298</v>
      </c>
      <c r="AF3510">
        <v>0.13020044918065601</v>
      </c>
      <c r="AG3510">
        <v>-8.2558000000000104E-2</v>
      </c>
      <c r="AH3510">
        <v>0.60326296185332395</v>
      </c>
      <c r="AI3510">
        <v>97.6193504651241</v>
      </c>
      <c r="AJ3510">
        <v>77.820836196025098</v>
      </c>
      <c r="AK3510">
        <v>0.62265093067857002</v>
      </c>
      <c r="AL3510">
        <v>90.418278124089795</v>
      </c>
      <c r="AM3510">
        <v>89.765067563695197</v>
      </c>
      <c r="AN3510">
        <v>1.00000005347275</v>
      </c>
    </row>
    <row r="3511" spans="1:40" x14ac:dyDescent="0.3">
      <c r="A3511" t="str">
        <f>"20200111160525034"</f>
        <v>20200111160525034</v>
      </c>
      <c r="B3511" t="str">
        <f>"1578729925024885"</f>
        <v>1578729925024885</v>
      </c>
      <c r="C3511" t="s">
        <v>40</v>
      </c>
      <c r="D3511">
        <v>5.8079299999999998</v>
      </c>
      <c r="E3511">
        <v>0.55922419999999995</v>
      </c>
      <c r="F3511" t="s">
        <v>42</v>
      </c>
      <c r="G3511">
        <v>-190.31209999999999</v>
      </c>
      <c r="H3511">
        <v>1.0283519999999999</v>
      </c>
      <c r="I3511">
        <v>188.13460000000001</v>
      </c>
      <c r="J3511">
        <v>-190.12280000000001</v>
      </c>
      <c r="K3511">
        <v>1.106652</v>
      </c>
      <c r="L3511">
        <v>188.71940000000001</v>
      </c>
      <c r="M3511">
        <v>-0.1043292</v>
      </c>
      <c r="N3511">
        <v>0</v>
      </c>
      <c r="O3511">
        <v>-0.99454290000000001</v>
      </c>
      <c r="P3511">
        <v>-0.1074782</v>
      </c>
      <c r="Q3511">
        <v>-6.3694590000000001E-3</v>
      </c>
      <c r="R3511">
        <v>-0.99418740000000005</v>
      </c>
      <c r="S3511">
        <v>-0.77494810000000003</v>
      </c>
      <c r="T3511">
        <v>-0.28079720000000002</v>
      </c>
      <c r="U3511">
        <v>-2.932617</v>
      </c>
      <c r="V3511">
        <v>3.1373989999999999E-3</v>
      </c>
      <c r="W3511">
        <v>-6.335579E-3</v>
      </c>
      <c r="X3511">
        <v>0.99997499999999995</v>
      </c>
      <c r="Y3511">
        <v>0.15212410000000001</v>
      </c>
      <c r="Z3511">
        <v>9.2414540000000003E-2</v>
      </c>
      <c r="AA3511">
        <v>0.9840314</v>
      </c>
      <c r="AB3511">
        <v>24</v>
      </c>
      <c r="AC3511">
        <v>-0.18929999999997399</v>
      </c>
      <c r="AD3511">
        <v>-7.8299999999999995E-2</v>
      </c>
      <c r="AE3511">
        <v>-0.58480000000000099</v>
      </c>
      <c r="AF3511">
        <v>0.12522327456186599</v>
      </c>
      <c r="AG3511">
        <v>-7.8299999999999995E-2</v>
      </c>
      <c r="AH3511">
        <v>0.59175586727088003</v>
      </c>
      <c r="AI3511">
        <v>97.375999774232099</v>
      </c>
      <c r="AJ3511">
        <v>78.051731330271807</v>
      </c>
      <c r="AK3511">
        <v>0.60990717731594801</v>
      </c>
      <c r="AL3511">
        <v>90.363004368974302</v>
      </c>
      <c r="AM3511">
        <v>89.820236374394696</v>
      </c>
      <c r="AN3511">
        <v>0.99999999172937504</v>
      </c>
    </row>
    <row r="3512" spans="1:40" x14ac:dyDescent="0.3">
      <c r="A3512" t="str">
        <f>"20200111160525048"</f>
        <v>20200111160525048</v>
      </c>
      <c r="B3512" t="str">
        <f>"1578729925045378"</f>
        <v>1578729925045378</v>
      </c>
      <c r="C3512" t="s">
        <v>40</v>
      </c>
      <c r="D3512">
        <v>5.8070589999999997</v>
      </c>
      <c r="E3512">
        <v>0.5587704</v>
      </c>
      <c r="F3512" t="s">
        <v>42</v>
      </c>
      <c r="G3512">
        <v>-190.3364</v>
      </c>
      <c r="H3512">
        <v>1.0302089999999999</v>
      </c>
      <c r="I3512">
        <v>187.91390000000001</v>
      </c>
      <c r="J3512">
        <v>-190.13990000000001</v>
      </c>
      <c r="K3512">
        <v>1.106687</v>
      </c>
      <c r="L3512">
        <v>188.57320000000001</v>
      </c>
      <c r="M3512">
        <v>-0.1060958</v>
      </c>
      <c r="N3512">
        <v>0</v>
      </c>
      <c r="O3512">
        <v>-0.99435629999999997</v>
      </c>
      <c r="P3512">
        <v>-0.108545699999999</v>
      </c>
      <c r="Q3512">
        <v>-6.4196430000000001E-3</v>
      </c>
      <c r="R3512">
        <v>-0.99407109999999999</v>
      </c>
      <c r="S3512">
        <v>-0.77690119999999996</v>
      </c>
      <c r="T3512">
        <v>-0.27816220000000003</v>
      </c>
      <c r="U3512">
        <v>-2.9317929999999999</v>
      </c>
      <c r="V3512">
        <v>2.4351220000000001E-3</v>
      </c>
      <c r="W3512">
        <v>-6.4021879999999996E-3</v>
      </c>
      <c r="X3512">
        <v>0.99997650000000005</v>
      </c>
      <c r="Y3512">
        <v>0.1510697</v>
      </c>
      <c r="Z3512">
        <v>9.1553549999999997E-2</v>
      </c>
      <c r="AA3512">
        <v>0.98427430000000005</v>
      </c>
      <c r="AB3512">
        <v>24</v>
      </c>
      <c r="AC3512">
        <v>-0.19649999999998599</v>
      </c>
      <c r="AD3512">
        <v>-7.6478000000000004E-2</v>
      </c>
      <c r="AE3512">
        <v>-0.659300000000001</v>
      </c>
      <c r="AF3512">
        <v>0.123910719683978</v>
      </c>
      <c r="AG3512">
        <v>-7.6478000000000004E-2</v>
      </c>
      <c r="AH3512">
        <v>0.66816945971928399</v>
      </c>
      <c r="AI3512">
        <v>96.421059117236993</v>
      </c>
      <c r="AJ3512">
        <v>79.493962306260897</v>
      </c>
      <c r="AK3512">
        <v>0.68385172211391099</v>
      </c>
      <c r="AL3512">
        <v>90.366820872924293</v>
      </c>
      <c r="AM3512">
        <v>89.860474783750405</v>
      </c>
      <c r="AN3512">
        <v>0.99999995919129503</v>
      </c>
    </row>
    <row r="3513" spans="1:40" x14ac:dyDescent="0.3">
      <c r="A3513" t="str">
        <f>"20200111160525060"</f>
        <v>20200111160525060</v>
      </c>
      <c r="B3513" t="str">
        <f>"1578729925055138"</f>
        <v>1578729925055138</v>
      </c>
      <c r="C3513" t="s">
        <v>40</v>
      </c>
      <c r="D3513">
        <v>5.915133</v>
      </c>
      <c r="E3513">
        <v>0.5587704</v>
      </c>
      <c r="F3513" t="s">
        <v>42</v>
      </c>
      <c r="G3513">
        <v>-190.37209999999999</v>
      </c>
      <c r="H3513">
        <v>1.0229919999999999</v>
      </c>
      <c r="I3513">
        <v>187.69669999999999</v>
      </c>
      <c r="J3513">
        <v>-190.1583</v>
      </c>
      <c r="K3513">
        <v>1.1067370000000001</v>
      </c>
      <c r="L3513">
        <v>188.41839999999999</v>
      </c>
      <c r="M3513">
        <v>-0.10789260000000001</v>
      </c>
      <c r="N3513">
        <v>0</v>
      </c>
      <c r="O3513">
        <v>-0.99416289999999996</v>
      </c>
      <c r="P3513">
        <v>-0.1099366</v>
      </c>
      <c r="Q3513">
        <v>-6.7404689999999998E-3</v>
      </c>
      <c r="R3513">
        <v>-0.99391609999999997</v>
      </c>
      <c r="S3513">
        <v>-0.77607729999999997</v>
      </c>
      <c r="T3513">
        <v>-0.27992050000000002</v>
      </c>
      <c r="U3513">
        <v>-2.9313349999999998</v>
      </c>
      <c r="V3513">
        <v>2.0268809999999999E-3</v>
      </c>
      <c r="W3513">
        <v>-6.7386690000000001E-3</v>
      </c>
      <c r="X3513">
        <v>0.99997530000000001</v>
      </c>
      <c r="Y3513">
        <v>0.14904890000000001</v>
      </c>
      <c r="Z3513">
        <v>9.2131770000000002E-2</v>
      </c>
      <c r="AA3513">
        <v>0.98452839999999997</v>
      </c>
      <c r="AB3513">
        <v>25</v>
      </c>
      <c r="AC3513">
        <v>-0.213799999999992</v>
      </c>
      <c r="AD3513">
        <v>-8.3745000000000097E-2</v>
      </c>
      <c r="AE3513">
        <v>-0.72169999999999801</v>
      </c>
      <c r="AF3513">
        <v>0.13303905779376099</v>
      </c>
      <c r="AG3513">
        <v>-8.3745000000000097E-2</v>
      </c>
      <c r="AH3513">
        <v>0.73149962226637699</v>
      </c>
      <c r="AI3513">
        <v>96.426498345466996</v>
      </c>
      <c r="AJ3513">
        <v>79.692186989304105</v>
      </c>
      <c r="AK3513">
        <v>0.74820071725407</v>
      </c>
      <c r="AL3513">
        <v>90.386100192506504</v>
      </c>
      <c r="AM3513">
        <v>89.883865563644207</v>
      </c>
      <c r="AN3513">
        <v>1.0000000592582801</v>
      </c>
    </row>
    <row r="3514" spans="1:40" x14ac:dyDescent="0.3">
      <c r="A3514" t="str">
        <f>"20200111160525073"</f>
        <v>20200111160525073</v>
      </c>
      <c r="B3514" t="str">
        <f>"1578729925064898"</f>
        <v>1578729925064898</v>
      </c>
      <c r="C3514" t="s">
        <v>40</v>
      </c>
      <c r="D3514">
        <v>6.2077970000000002</v>
      </c>
      <c r="E3514">
        <v>0.51779819999999999</v>
      </c>
      <c r="F3514" t="s">
        <v>42</v>
      </c>
      <c r="G3514">
        <v>-190.3527</v>
      </c>
      <c r="H3514">
        <v>1.0367029999999999</v>
      </c>
      <c r="I3514">
        <v>187.6884</v>
      </c>
      <c r="J3514">
        <v>-190.1747</v>
      </c>
      <c r="K3514">
        <v>1.1067880000000001</v>
      </c>
      <c r="L3514">
        <v>188.2826</v>
      </c>
      <c r="M3514">
        <v>-0.10937620000000001</v>
      </c>
      <c r="N3514">
        <v>0</v>
      </c>
      <c r="O3514">
        <v>-0.99400060000000001</v>
      </c>
      <c r="P3514">
        <v>-0.1106876</v>
      </c>
      <c r="Q3514">
        <v>-6.9310509999999997E-3</v>
      </c>
      <c r="R3514">
        <v>-0.99383140000000003</v>
      </c>
      <c r="S3514">
        <v>-0.78001399999999999</v>
      </c>
      <c r="T3514">
        <v>-0.28116560000000002</v>
      </c>
      <c r="U3514">
        <v>-2.930161</v>
      </c>
      <c r="V3514">
        <v>1.2903179999999999E-3</v>
      </c>
      <c r="W3514">
        <v>-6.9384370000000004E-3</v>
      </c>
      <c r="X3514">
        <v>0.99997510000000001</v>
      </c>
      <c r="Y3514">
        <v>0.1488968</v>
      </c>
      <c r="Z3514">
        <v>9.2536549999999995E-2</v>
      </c>
      <c r="AA3514">
        <v>0.98451350000000004</v>
      </c>
      <c r="AB3514">
        <v>25</v>
      </c>
      <c r="AC3514">
        <v>-0.17799999999999699</v>
      </c>
      <c r="AD3514">
        <v>-7.0084999999999703E-2</v>
      </c>
      <c r="AE3514">
        <v>-0.59419999999999995</v>
      </c>
      <c r="AF3514">
        <v>0.110529701037864</v>
      </c>
      <c r="AG3514">
        <v>-7.0084999999999703E-2</v>
      </c>
      <c r="AH3514">
        <v>0.60241346156388897</v>
      </c>
      <c r="AI3514">
        <v>96.527973445409401</v>
      </c>
      <c r="AJ3514">
        <v>79.603115413644204</v>
      </c>
      <c r="AK3514">
        <v>0.61646630135791403</v>
      </c>
      <c r="AL3514">
        <v>90.397546344853595</v>
      </c>
      <c r="AM3514">
        <v>89.926068424505004</v>
      </c>
      <c r="AN3514">
        <v>1.00000000372427</v>
      </c>
    </row>
    <row r="3515" spans="1:40" x14ac:dyDescent="0.3">
      <c r="A3515" t="str">
        <f>"20200111160525194"</f>
        <v>20200111160525194</v>
      </c>
      <c r="B3515" t="str">
        <f>"1578729925184946"</f>
        <v>1578729925184946</v>
      </c>
      <c r="C3515" t="s">
        <v>40</v>
      </c>
      <c r="D3515">
        <v>5.5357770000000004</v>
      </c>
      <c r="E3515">
        <v>0.4747131</v>
      </c>
      <c r="F3515" t="s">
        <v>41</v>
      </c>
      <c r="G3515">
        <v>-191.29920000000001</v>
      </c>
      <c r="H3515" s="1">
        <v>-1.318587E-6</v>
      </c>
      <c r="I3515">
        <v>171.857</v>
      </c>
      <c r="J3515">
        <v>-190.3451</v>
      </c>
      <c r="K3515">
        <v>1.10761</v>
      </c>
      <c r="L3515">
        <v>186.90899999999999</v>
      </c>
      <c r="M3515">
        <v>-0.1200522</v>
      </c>
      <c r="N3515">
        <v>0</v>
      </c>
      <c r="O3515">
        <v>-0.99276779999999998</v>
      </c>
      <c r="P3515">
        <v>-0.1214581</v>
      </c>
      <c r="Q3515">
        <v>-2.004001E-2</v>
      </c>
      <c r="R3515">
        <v>-0.99239440000000001</v>
      </c>
      <c r="S3515">
        <v>-0.19174189999999999</v>
      </c>
      <c r="T3515">
        <v>-0.2181497</v>
      </c>
      <c r="U3515">
        <v>-2.9950869999999998</v>
      </c>
      <c r="V3515">
        <v>1.3939829999999999E-3</v>
      </c>
      <c r="W3515">
        <v>-1.9962819999999999E-2</v>
      </c>
      <c r="X3515">
        <v>0.99979969999999996</v>
      </c>
      <c r="Y3515">
        <v>-5.654646E-2</v>
      </c>
      <c r="Z3515">
        <v>7.172626E-2</v>
      </c>
      <c r="AA3515">
        <v>0.99582020000000004</v>
      </c>
      <c r="AB3515">
        <v>26</v>
      </c>
      <c r="AC3515">
        <v>-0.95410000000001105</v>
      </c>
      <c r="AD3515">
        <v>-1.107611318587</v>
      </c>
      <c r="AE3515">
        <v>-15.052</v>
      </c>
      <c r="AF3515">
        <v>-0.85521344937038701</v>
      </c>
      <c r="AG3515">
        <v>-1.107611318587</v>
      </c>
      <c r="AH3515">
        <v>14.9769063036206</v>
      </c>
      <c r="AI3515">
        <v>94.2227336168107</v>
      </c>
      <c r="AJ3515">
        <v>93.268162776548195</v>
      </c>
      <c r="AK3515">
        <v>15.042137989809699</v>
      </c>
      <c r="AL3515">
        <v>91.143861374554803</v>
      </c>
      <c r="AM3515">
        <v>89.920114708117396</v>
      </c>
      <c r="AN3515">
        <v>0.99999994874552101</v>
      </c>
    </row>
    <row r="3516" spans="1:40" x14ac:dyDescent="0.3">
      <c r="A3516" t="str">
        <f>"20200111160525207"</f>
        <v>20200111160525207</v>
      </c>
      <c r="B3516" t="str">
        <f>"1578729925205443"</f>
        <v>1578729925205443</v>
      </c>
      <c r="C3516" t="s">
        <v>40</v>
      </c>
      <c r="D3516">
        <v>5.6315989999999996</v>
      </c>
      <c r="E3516">
        <v>0.46722459999999999</v>
      </c>
      <c r="F3516" t="s">
        <v>41</v>
      </c>
      <c r="G3516">
        <v>-191.08449999999999</v>
      </c>
      <c r="H3516" s="1">
        <v>-1.480643E-6</v>
      </c>
      <c r="I3516">
        <v>172.36789999999999</v>
      </c>
      <c r="J3516">
        <v>-190.36449999999999</v>
      </c>
      <c r="K3516">
        <v>1.107718</v>
      </c>
      <c r="L3516">
        <v>186.75489999999999</v>
      </c>
      <c r="M3516">
        <v>-0.1207433</v>
      </c>
      <c r="N3516">
        <v>0</v>
      </c>
      <c r="O3516">
        <v>-0.99268380000000001</v>
      </c>
      <c r="P3516">
        <v>-0.1227833</v>
      </c>
      <c r="Q3516">
        <v>-2.0586130000000001E-2</v>
      </c>
      <c r="R3516">
        <v>-0.99222030000000006</v>
      </c>
      <c r="S3516">
        <v>-0.15252689999999999</v>
      </c>
      <c r="T3516">
        <v>-0.22849140000000001</v>
      </c>
      <c r="U3516">
        <v>-2.9997099999999999</v>
      </c>
      <c r="V3516">
        <v>2.0387489999999999E-3</v>
      </c>
      <c r="W3516">
        <v>-2.046984E-2</v>
      </c>
      <c r="X3516">
        <v>0.99978840000000002</v>
      </c>
      <c r="Y3516">
        <v>-7.0321019999999998E-2</v>
      </c>
      <c r="Z3516">
        <v>7.4977459999999996E-2</v>
      </c>
      <c r="AA3516">
        <v>0.99470259999999999</v>
      </c>
      <c r="AB3516">
        <v>26</v>
      </c>
      <c r="AC3516">
        <v>-0.71999999999999797</v>
      </c>
      <c r="AD3516">
        <v>-1.107719480643</v>
      </c>
      <c r="AE3516">
        <v>-14.387</v>
      </c>
      <c r="AF3516">
        <v>-1.01639121906029</v>
      </c>
      <c r="AG3516">
        <v>-1.107719480643</v>
      </c>
      <c r="AH3516">
        <v>14.284209126869399</v>
      </c>
      <c r="AI3516">
        <v>94.423190251258205</v>
      </c>
      <c r="AJ3516">
        <v>94.070014844657805</v>
      </c>
      <c r="AK3516">
        <v>14.363102865958901</v>
      </c>
      <c r="AL3516">
        <v>91.172917351406099</v>
      </c>
      <c r="AM3516">
        <v>89.883163726168505</v>
      </c>
      <c r="AN3516">
        <v>1.00000000781083</v>
      </c>
    </row>
    <row r="3517" spans="1:40" x14ac:dyDescent="0.3">
      <c r="A3517" t="str">
        <f>"20200111160525224"</f>
        <v>20200111160525224</v>
      </c>
      <c r="B3517" t="str">
        <f>"1578729925215202"</f>
        <v>1578729925215202</v>
      </c>
      <c r="C3517" t="s">
        <v>40</v>
      </c>
      <c r="D3517">
        <v>5.4939349999999996</v>
      </c>
      <c r="E3517">
        <v>0.46481</v>
      </c>
      <c r="F3517" t="s">
        <v>41</v>
      </c>
      <c r="G3517">
        <v>-190.8201</v>
      </c>
      <c r="H3517" s="1">
        <v>-1.5042830000000001E-6</v>
      </c>
      <c r="I3517">
        <v>172.58690000000001</v>
      </c>
      <c r="J3517">
        <v>-190.39060000000001</v>
      </c>
      <c r="K3517">
        <v>1.107872</v>
      </c>
      <c r="L3517">
        <v>186.54810000000001</v>
      </c>
      <c r="M3517">
        <v>-0.12149840000000001</v>
      </c>
      <c r="N3517">
        <v>0</v>
      </c>
      <c r="O3517">
        <v>-0.99259160000000002</v>
      </c>
      <c r="P3517">
        <v>-0.12462520000000001</v>
      </c>
      <c r="Q3517">
        <v>-2.162934E-2</v>
      </c>
      <c r="R3517">
        <v>-0.99196830000000003</v>
      </c>
      <c r="S3517">
        <v>-9.6694950000000002E-2</v>
      </c>
      <c r="T3517">
        <v>-0.23507649999999999</v>
      </c>
      <c r="U3517">
        <v>-3.0066830000000002</v>
      </c>
      <c r="V3517">
        <v>3.143089E-3</v>
      </c>
      <c r="W3517">
        <v>-2.1443489999999999E-2</v>
      </c>
      <c r="X3517">
        <v>0.99976509999999996</v>
      </c>
      <c r="Y3517">
        <v>-8.9625570000000002E-2</v>
      </c>
      <c r="Z3517">
        <v>7.6905680000000004E-2</v>
      </c>
      <c r="AA3517">
        <v>0.99300189999999999</v>
      </c>
      <c r="AB3517">
        <v>26</v>
      </c>
      <c r="AC3517">
        <v>-0.42949999999999</v>
      </c>
      <c r="AD3517">
        <v>-1.1078735042829999</v>
      </c>
      <c r="AE3517">
        <v>-13.9611999999999</v>
      </c>
      <c r="AF3517">
        <v>-1.26200604502352</v>
      </c>
      <c r="AG3517">
        <v>-1.1078735042829999</v>
      </c>
      <c r="AH3517">
        <v>13.8229924720769</v>
      </c>
      <c r="AI3517">
        <v>94.563400419448598</v>
      </c>
      <c r="AJ3517">
        <v>95.2165056369155</v>
      </c>
      <c r="AK3517">
        <v>13.924624369880201</v>
      </c>
      <c r="AL3517">
        <v>91.228715678787196</v>
      </c>
      <c r="AM3517">
        <v>89.819872547025298</v>
      </c>
      <c r="AN3517">
        <v>0.99999997872492496</v>
      </c>
    </row>
    <row r="3518" spans="1:40" x14ac:dyDescent="0.3">
      <c r="A3518" t="str">
        <f>"20200111160525237"</f>
        <v>20200111160525237</v>
      </c>
      <c r="B3518" t="str">
        <f>"1578729925234722"</f>
        <v>1578729925234722</v>
      </c>
      <c r="C3518" t="s">
        <v>40</v>
      </c>
      <c r="D3518">
        <v>5.4908190000000001</v>
      </c>
      <c r="E3518">
        <v>0.46119389999999999</v>
      </c>
      <c r="F3518" t="s">
        <v>41</v>
      </c>
      <c r="G3518">
        <v>-190.77199999999999</v>
      </c>
      <c r="H3518" s="1">
        <v>-1.531407E-6</v>
      </c>
      <c r="I3518">
        <v>172.68</v>
      </c>
      <c r="J3518">
        <v>-190.40989999999999</v>
      </c>
      <c r="K3518">
        <v>1.107988</v>
      </c>
      <c r="L3518">
        <v>186.39500000000001</v>
      </c>
      <c r="M3518">
        <v>-0.121917</v>
      </c>
      <c r="N3518">
        <v>0</v>
      </c>
      <c r="O3518">
        <v>-0.99254039999999999</v>
      </c>
      <c r="P3518">
        <v>-0.12577070000000001</v>
      </c>
      <c r="Q3518">
        <v>-2.2936310000000001E-2</v>
      </c>
      <c r="R3518">
        <v>-0.99179430000000002</v>
      </c>
      <c r="S3518">
        <v>-8.2748409999999994E-2</v>
      </c>
      <c r="T3518">
        <v>-0.24035100000000001</v>
      </c>
      <c r="U3518">
        <v>-3.0086520000000001</v>
      </c>
      <c r="V3518">
        <v>3.8838060000000001E-3</v>
      </c>
      <c r="W3518">
        <v>-2.26804E-2</v>
      </c>
      <c r="X3518">
        <v>0.99973520000000005</v>
      </c>
      <c r="Y3518">
        <v>-9.4667680000000004E-2</v>
      </c>
      <c r="Z3518">
        <v>7.8549939999999999E-2</v>
      </c>
      <c r="AA3518">
        <v>0.99240510000000004</v>
      </c>
      <c r="AB3518">
        <v>26</v>
      </c>
      <c r="AC3518">
        <v>-0.36210000000002601</v>
      </c>
      <c r="AD3518">
        <v>-1.1079895314070001</v>
      </c>
      <c r="AE3518">
        <v>-13.715</v>
      </c>
      <c r="AF3518">
        <v>-1.3041868111175601</v>
      </c>
      <c r="AG3518">
        <v>-1.1079895314070001</v>
      </c>
      <c r="AH3518">
        <v>13.568344379374601</v>
      </c>
      <c r="AI3518">
        <v>94.647085243310897</v>
      </c>
      <c r="AJ3518">
        <v>95.490392820630802</v>
      </c>
      <c r="AK3518">
        <v>13.6758368386475</v>
      </c>
      <c r="AL3518">
        <v>91.299602662793504</v>
      </c>
      <c r="AM3518">
        <v>89.777416487076195</v>
      </c>
      <c r="AN3518">
        <v>0.999999977306122</v>
      </c>
    </row>
    <row r="3519" spans="1:40" x14ac:dyDescent="0.3">
      <c r="A3519" t="str">
        <f>"20200111160525260"</f>
        <v>20200111160525260</v>
      </c>
      <c r="B3519" t="str">
        <f>"1578729925255219"</f>
        <v>1578729925255219</v>
      </c>
      <c r="C3519" t="s">
        <v>40</v>
      </c>
      <c r="D3519">
        <v>5.3971679999999997</v>
      </c>
      <c r="E3519">
        <v>0.43917859999999997</v>
      </c>
      <c r="F3519" t="s">
        <v>41</v>
      </c>
      <c r="G3519">
        <v>-190.66579999999999</v>
      </c>
      <c r="H3519" s="1">
        <v>-1.6021610000000001E-6</v>
      </c>
      <c r="I3519">
        <v>172.91079999999999</v>
      </c>
      <c r="J3519">
        <v>-190.441</v>
      </c>
      <c r="K3519">
        <v>1.1081859999999999</v>
      </c>
      <c r="L3519">
        <v>186.1473</v>
      </c>
      <c r="M3519">
        <v>-0.122431</v>
      </c>
      <c r="N3519">
        <v>0</v>
      </c>
      <c r="O3519">
        <v>-0.9924771</v>
      </c>
      <c r="P3519">
        <v>-0.12718489999999999</v>
      </c>
      <c r="Q3519">
        <v>-2.5018820000000001E-2</v>
      </c>
      <c r="R3519">
        <v>-0.99156350000000004</v>
      </c>
      <c r="S3519">
        <v>-5.7159420000000002E-2</v>
      </c>
      <c r="T3519">
        <v>-0.2474848</v>
      </c>
      <c r="U3519">
        <v>-3.0118710000000002</v>
      </c>
      <c r="V3519">
        <v>4.8059590000000003E-3</v>
      </c>
      <c r="W3519">
        <v>-2.461708E-2</v>
      </c>
      <c r="X3519">
        <v>0.99968539999999995</v>
      </c>
      <c r="Y3519">
        <v>-0.10363840000000001</v>
      </c>
      <c r="Z3519">
        <v>8.0743490000000001E-2</v>
      </c>
      <c r="AA3519">
        <v>0.9913322</v>
      </c>
      <c r="AB3519">
        <v>26</v>
      </c>
      <c r="AC3519">
        <v>-0.22480000000001599</v>
      </c>
      <c r="AD3519">
        <v>-1.108187602161</v>
      </c>
      <c r="AE3519">
        <v>-13.236499999999999</v>
      </c>
      <c r="AF3519">
        <v>-1.3877246797904801</v>
      </c>
      <c r="AG3519">
        <v>-1.108187602161</v>
      </c>
      <c r="AH3519">
        <v>13.072838471016</v>
      </c>
      <c r="AI3519">
        <v>94.818448785612105</v>
      </c>
      <c r="AJ3519">
        <v>96.059442591420094</v>
      </c>
      <c r="AK3519">
        <v>13.1929134476717</v>
      </c>
      <c r="AL3519">
        <v>91.410597285106107</v>
      </c>
      <c r="AM3519">
        <v>89.724554298902405</v>
      </c>
      <c r="AN3519">
        <v>0.99999999842139697</v>
      </c>
    </row>
    <row r="3520" spans="1:40" x14ac:dyDescent="0.3">
      <c r="A3520" t="str">
        <f>"20200111160525274"</f>
        <v>20200111160525274</v>
      </c>
      <c r="B3520" t="str">
        <f>"1578729925264979"</f>
        <v>1578729925264979</v>
      </c>
      <c r="C3520" t="s">
        <v>40</v>
      </c>
      <c r="D3520">
        <v>5.3984329999999998</v>
      </c>
      <c r="E3520">
        <v>0.43871789999999999</v>
      </c>
      <c r="F3520" t="s">
        <v>41</v>
      </c>
      <c r="G3520">
        <v>-189.55009999999999</v>
      </c>
      <c r="H3520" s="1">
        <v>-3.8316320000000001E-7</v>
      </c>
      <c r="I3520">
        <v>160.273</v>
      </c>
      <c r="J3520">
        <v>-190.464</v>
      </c>
      <c r="K3520">
        <v>1.1083430000000001</v>
      </c>
      <c r="L3520">
        <v>185.9639</v>
      </c>
      <c r="M3520">
        <v>-0.1226516</v>
      </c>
      <c r="N3520">
        <v>0</v>
      </c>
      <c r="O3520">
        <v>-0.99244969999999999</v>
      </c>
      <c r="P3520">
        <v>-0.1279344</v>
      </c>
      <c r="Q3520">
        <v>-2.5708290000000002E-2</v>
      </c>
      <c r="R3520">
        <v>-0.99144969999999999</v>
      </c>
      <c r="S3520">
        <v>0.104522699999999</v>
      </c>
      <c r="T3520">
        <v>-0.13001550000000001</v>
      </c>
      <c r="U3520">
        <v>-3.0356450000000001</v>
      </c>
      <c r="V3520">
        <v>5.3489890000000002E-3</v>
      </c>
      <c r="W3520">
        <v>-2.5149020000000001E-2</v>
      </c>
      <c r="X3520">
        <v>0.99966940000000004</v>
      </c>
      <c r="Y3520">
        <v>-0.15669920000000001</v>
      </c>
      <c r="Z3520">
        <v>4.2028799999999998E-2</v>
      </c>
      <c r="AA3520">
        <v>0.98675170000000001</v>
      </c>
      <c r="AB3520">
        <v>27</v>
      </c>
      <c r="AC3520">
        <v>0.91390000000004001</v>
      </c>
      <c r="AD3520">
        <v>-1.1083433831631999</v>
      </c>
      <c r="AE3520">
        <v>-25.690899999999999</v>
      </c>
      <c r="AF3520">
        <v>-4.0505009201449598</v>
      </c>
      <c r="AG3520">
        <v>-1.1083433831631999</v>
      </c>
      <c r="AH3520">
        <v>25.337738288667701</v>
      </c>
      <c r="AI3520">
        <v>92.473316475906202</v>
      </c>
      <c r="AJ3520">
        <v>99.082477783122698</v>
      </c>
      <c r="AK3520">
        <v>25.683379145745501</v>
      </c>
      <c r="AL3520">
        <v>91.441084644214499</v>
      </c>
      <c r="AM3520">
        <v>89.6934270774303</v>
      </c>
      <c r="AN3520">
        <v>0.99999999709332099</v>
      </c>
    </row>
    <row r="3521" spans="1:40" x14ac:dyDescent="0.3">
      <c r="A3521" t="str">
        <f>"20200111160525288"</f>
        <v>20200111160525288</v>
      </c>
      <c r="B3521" t="str">
        <f>"1578729925285475"</f>
        <v>1578729925285475</v>
      </c>
      <c r="C3521" t="s">
        <v>40</v>
      </c>
      <c r="D3521">
        <v>5.3062449999999997</v>
      </c>
      <c r="E3521">
        <v>0.43607980000000002</v>
      </c>
      <c r="F3521" t="s">
        <v>41</v>
      </c>
      <c r="G3521">
        <v>-189.72110000000001</v>
      </c>
      <c r="H3521" s="1">
        <v>-2.6257110000000002E-6</v>
      </c>
      <c r="I3521">
        <v>165.0812</v>
      </c>
      <c r="J3521">
        <v>-190.4847</v>
      </c>
      <c r="K3521">
        <v>1.108495</v>
      </c>
      <c r="L3521">
        <v>185.798</v>
      </c>
      <c r="M3521">
        <v>-0.1227543</v>
      </c>
      <c r="N3521">
        <v>0</v>
      </c>
      <c r="O3521">
        <v>-0.99243689999999996</v>
      </c>
      <c r="P3521">
        <v>-0.12842390000000001</v>
      </c>
      <c r="Q3521">
        <v>-2.666466E-2</v>
      </c>
      <c r="R3521">
        <v>-0.99136120000000005</v>
      </c>
      <c r="S3521">
        <v>0.1079865</v>
      </c>
      <c r="T3521">
        <v>-0.16111610000000001</v>
      </c>
      <c r="U3521">
        <v>-3.0356290000000001</v>
      </c>
      <c r="V3521">
        <v>5.7492489999999997E-3</v>
      </c>
      <c r="W3521">
        <v>-2.5924610000000001E-2</v>
      </c>
      <c r="X3521">
        <v>0.99964739999999996</v>
      </c>
      <c r="Y3521">
        <v>-0.15790879999999999</v>
      </c>
      <c r="Z3521">
        <v>5.205005E-2</v>
      </c>
      <c r="AA3521">
        <v>0.98608090000000004</v>
      </c>
      <c r="AB3521">
        <v>27</v>
      </c>
      <c r="AC3521">
        <v>0.76359999999999595</v>
      </c>
      <c r="AD3521">
        <v>-1.108497625711</v>
      </c>
      <c r="AE3521">
        <v>-20.716799999999999</v>
      </c>
      <c r="AF3521">
        <v>-3.2914909137584698</v>
      </c>
      <c r="AG3521">
        <v>-1.108497625711</v>
      </c>
      <c r="AH3521">
        <v>20.4080361717158</v>
      </c>
      <c r="AI3521">
        <v>93.069474952212602</v>
      </c>
      <c r="AJ3521">
        <v>99.161997278253594</v>
      </c>
      <c r="AK3521">
        <v>20.701464194776701</v>
      </c>
      <c r="AL3521">
        <v>91.485537124282104</v>
      </c>
      <c r="AM3521">
        <v>89.670479739974397</v>
      </c>
      <c r="AN3521">
        <v>1.00000003179723</v>
      </c>
    </row>
    <row r="3522" spans="1:40" x14ac:dyDescent="0.3">
      <c r="A3522" t="str">
        <f>"20200111160525349"</f>
        <v>20200111160525349</v>
      </c>
      <c r="B3522" t="str">
        <f>"1578729925345010"</f>
        <v>1578729925345010</v>
      </c>
      <c r="C3522" t="s">
        <v>40</v>
      </c>
      <c r="D3522">
        <v>5.2558339999999903</v>
      </c>
      <c r="E3522">
        <v>0.4347222</v>
      </c>
      <c r="F3522" t="s">
        <v>41</v>
      </c>
      <c r="G3522">
        <v>-189.68360000000001</v>
      </c>
      <c r="H3522" s="1">
        <v>-3.4843729999999999E-6</v>
      </c>
      <c r="I3522">
        <v>166.8836</v>
      </c>
      <c r="J3522">
        <v>-190.57429999999999</v>
      </c>
      <c r="K3522">
        <v>1.1092470000000001</v>
      </c>
      <c r="L3522">
        <v>185.06890000000001</v>
      </c>
      <c r="M3522">
        <v>-0.12190429999999999</v>
      </c>
      <c r="N3522">
        <v>0</v>
      </c>
      <c r="O3522">
        <v>-0.99253990000000003</v>
      </c>
      <c r="P3522">
        <v>-0.12885070000000001</v>
      </c>
      <c r="Q3522">
        <v>-3.0881450000000001E-2</v>
      </c>
      <c r="R3522">
        <v>-0.99118329999999999</v>
      </c>
      <c r="S3522">
        <v>0.1286774</v>
      </c>
      <c r="T3522">
        <v>-0.17804719999999999</v>
      </c>
      <c r="U3522">
        <v>-3.0380250000000002</v>
      </c>
      <c r="V3522">
        <v>7.0869369999999998E-3</v>
      </c>
      <c r="W3522">
        <v>-2.887588E-2</v>
      </c>
      <c r="X3522">
        <v>0.9995579</v>
      </c>
      <c r="Y3522">
        <v>-0.1637256</v>
      </c>
      <c r="Z3522">
        <v>5.7430599999999998E-2</v>
      </c>
      <c r="AA3522">
        <v>0.98483279999999995</v>
      </c>
      <c r="AB3522">
        <v>27</v>
      </c>
      <c r="AC3522">
        <v>0.89069999999998095</v>
      </c>
      <c r="AD3522">
        <v>-1.10925048437299</v>
      </c>
      <c r="AE3522">
        <v>-18.185300000000002</v>
      </c>
      <c r="AF3522">
        <v>-3.0894603070997699</v>
      </c>
      <c r="AG3522">
        <v>-1.10925048437299</v>
      </c>
      <c r="AH3522">
        <v>17.874744138326601</v>
      </c>
      <c r="AI3522">
        <v>93.499290847681706</v>
      </c>
      <c r="AJ3522">
        <v>99.806087647008894</v>
      </c>
      <c r="AK3522">
        <v>18.173653447693699</v>
      </c>
      <c r="AL3522">
        <v>91.654696029938506</v>
      </c>
      <c r="AM3522">
        <v>89.593775632177696</v>
      </c>
      <c r="AN3522">
        <v>1.00000001828711</v>
      </c>
    </row>
    <row r="3523" spans="1:40" x14ac:dyDescent="0.3">
      <c r="A3523" t="str">
        <f>"20200111160525381"</f>
        <v>20200111160525381</v>
      </c>
      <c r="B3523" t="str">
        <f>"1578729925375266"</f>
        <v>1578729925375266</v>
      </c>
      <c r="C3523" t="s">
        <v>40</v>
      </c>
      <c r="D3523">
        <v>5.168329</v>
      </c>
      <c r="E3523">
        <v>0.4318381</v>
      </c>
      <c r="F3523" t="s">
        <v>41</v>
      </c>
      <c r="G3523">
        <v>-189.7544</v>
      </c>
      <c r="H3523" s="1">
        <v>-3.5437379999999998E-6</v>
      </c>
      <c r="I3523">
        <v>167.03579999999999</v>
      </c>
      <c r="J3523">
        <v>-190.62100000000001</v>
      </c>
      <c r="K3523">
        <v>1.1096410000000001</v>
      </c>
      <c r="L3523">
        <v>184.67910000000001</v>
      </c>
      <c r="M3523">
        <v>-0.120659</v>
      </c>
      <c r="N3523">
        <v>0</v>
      </c>
      <c r="O3523">
        <v>-0.99269010000000002</v>
      </c>
      <c r="P3523">
        <v>-0.12831039999999999</v>
      </c>
      <c r="Q3523">
        <v>-3.0146349999999999E-2</v>
      </c>
      <c r="R3523">
        <v>-0.99127589999999999</v>
      </c>
      <c r="S3523">
        <v>0.13816829999999999</v>
      </c>
      <c r="T3523">
        <v>-0.18692210000000001</v>
      </c>
      <c r="U3523">
        <v>-3.0388030000000001</v>
      </c>
      <c r="V3523">
        <v>7.8091130000000003E-3</v>
      </c>
      <c r="W3523">
        <v>-2.7326139999999999E-2</v>
      </c>
      <c r="X3523">
        <v>0.99959609999999999</v>
      </c>
      <c r="Y3523">
        <v>-0.1655394</v>
      </c>
      <c r="Z3523">
        <v>6.0267969999999997E-2</v>
      </c>
      <c r="AA3523">
        <v>0.98435989999999995</v>
      </c>
      <c r="AB3523">
        <v>27</v>
      </c>
      <c r="AC3523">
        <v>0.86659999999997595</v>
      </c>
      <c r="AD3523">
        <v>-1.10964454373799</v>
      </c>
      <c r="AE3523">
        <v>-17.6433</v>
      </c>
      <c r="AF3523">
        <v>-2.9773510394448501</v>
      </c>
      <c r="AG3523">
        <v>-1.10964454373799</v>
      </c>
      <c r="AH3523">
        <v>17.3414039024453</v>
      </c>
      <c r="AI3523">
        <v>93.608602474434605</v>
      </c>
      <c r="AJ3523">
        <v>99.742146388071703</v>
      </c>
      <c r="AK3523">
        <v>17.630094144197699</v>
      </c>
      <c r="AL3523">
        <v>91.565867360928806</v>
      </c>
      <c r="AM3523">
        <v>89.552399099453098</v>
      </c>
      <c r="AN3523">
        <v>1.00000003165417</v>
      </c>
    </row>
    <row r="3524" spans="1:40" x14ac:dyDescent="0.3">
      <c r="A3524" t="str">
        <f>"20200111160525394"</f>
        <v>20200111160525394</v>
      </c>
      <c r="B3524" t="str">
        <f>"1578729925385026"</f>
        <v>1578729925385026</v>
      </c>
      <c r="C3524" t="s">
        <v>40</v>
      </c>
      <c r="D3524">
        <v>5.0887729999999998</v>
      </c>
      <c r="E3524">
        <v>0.43078620000000001</v>
      </c>
      <c r="F3524" t="s">
        <v>41</v>
      </c>
      <c r="G3524">
        <v>-189.66990000000001</v>
      </c>
      <c r="H3524" s="1">
        <v>-3.5260350000000001E-6</v>
      </c>
      <c r="I3524">
        <v>166.9666</v>
      </c>
      <c r="J3524">
        <v>-190.6397</v>
      </c>
      <c r="K3524">
        <v>1.1097980000000001</v>
      </c>
      <c r="L3524">
        <v>184.52029999999999</v>
      </c>
      <c r="M3524">
        <v>-0.1199799</v>
      </c>
      <c r="N3524">
        <v>0</v>
      </c>
      <c r="O3524">
        <v>-0.99277139999999997</v>
      </c>
      <c r="P3524">
        <v>-0.1280007</v>
      </c>
      <c r="Q3524">
        <v>-2.992218E-2</v>
      </c>
      <c r="R3524">
        <v>-0.99132279999999995</v>
      </c>
      <c r="S3524">
        <v>0.16333010000000001</v>
      </c>
      <c r="T3524">
        <v>-0.19055810000000001</v>
      </c>
      <c r="U3524">
        <v>-3.0417480000000001</v>
      </c>
      <c r="V3524">
        <v>8.1855729999999998E-3</v>
      </c>
      <c r="W3524">
        <v>-2.6758199999999999E-2</v>
      </c>
      <c r="X3524">
        <v>0.99960839999999995</v>
      </c>
      <c r="Y3524">
        <v>-0.17293599999999901</v>
      </c>
      <c r="Z3524">
        <v>6.1331959999999998E-2</v>
      </c>
      <c r="AA3524">
        <v>0.98302160000000005</v>
      </c>
      <c r="AB3524">
        <v>27</v>
      </c>
      <c r="AC3524">
        <v>0.969799999999992</v>
      </c>
      <c r="AD3524">
        <v>-1.109801526035</v>
      </c>
      <c r="AE3524">
        <v>-17.5536999999999</v>
      </c>
      <c r="AF3524">
        <v>-3.0567148198813499</v>
      </c>
      <c r="AG3524">
        <v>-1.109801526035</v>
      </c>
      <c r="AH3524">
        <v>17.241830473366502</v>
      </c>
      <c r="AI3524">
        <v>93.626471196001205</v>
      </c>
      <c r="AJ3524">
        <v>100.053216603274</v>
      </c>
      <c r="AK3524">
        <v>17.5458223799736</v>
      </c>
      <c r="AL3524">
        <v>91.533314972443307</v>
      </c>
      <c r="AM3524">
        <v>89.530827969093295</v>
      </c>
      <c r="AN3524">
        <v>0.99999997911156902</v>
      </c>
    </row>
    <row r="3525" spans="1:40" x14ac:dyDescent="0.3">
      <c r="A3525" t="str">
        <f>"20200111160525406"</f>
        <v>20200111160525406</v>
      </c>
      <c r="B3525" t="str">
        <f>"1578729925394787"</f>
        <v>1578729925394787</v>
      </c>
      <c r="C3525" t="s">
        <v>40</v>
      </c>
      <c r="D3525">
        <v>5.1265539999999996</v>
      </c>
      <c r="E3525">
        <v>0.42993480000000001</v>
      </c>
      <c r="F3525" t="s">
        <v>41</v>
      </c>
      <c r="G3525">
        <v>-189.6319</v>
      </c>
      <c r="H3525" s="1">
        <v>-3.4388660000000001E-6</v>
      </c>
      <c r="I3525">
        <v>166.7679</v>
      </c>
      <c r="J3525">
        <v>-190.65719999999999</v>
      </c>
      <c r="K3525">
        <v>1.109944</v>
      </c>
      <c r="L3525">
        <v>184.37039999999999</v>
      </c>
      <c r="M3525">
        <v>-0.1192859</v>
      </c>
      <c r="N3525">
        <v>0</v>
      </c>
      <c r="O3525">
        <v>-0.99285380000000001</v>
      </c>
      <c r="P3525">
        <v>-0.1278234</v>
      </c>
      <c r="Q3525">
        <v>-2.9289989999999998E-2</v>
      </c>
      <c r="R3525">
        <v>-0.99136440000000003</v>
      </c>
      <c r="S3525">
        <v>0.172744799999999</v>
      </c>
      <c r="T3525">
        <v>-0.1902258</v>
      </c>
      <c r="U3525">
        <v>-3.0428470000000001</v>
      </c>
      <c r="V3525">
        <v>8.7075269999999996E-3</v>
      </c>
      <c r="W3525">
        <v>-2.5800279999999998E-2</v>
      </c>
      <c r="X3525">
        <v>0.9996292</v>
      </c>
      <c r="Y3525">
        <v>-0.175261</v>
      </c>
      <c r="Z3525">
        <v>6.1193230000000001E-2</v>
      </c>
      <c r="AA3525">
        <v>0.98261849999999995</v>
      </c>
      <c r="AB3525">
        <v>27</v>
      </c>
      <c r="AC3525">
        <v>1.0252999999999799</v>
      </c>
      <c r="AD3525">
        <v>-1.109947438866</v>
      </c>
      <c r="AE3525">
        <v>-17.6024999999999</v>
      </c>
      <c r="AF3525">
        <v>-3.10541642064655</v>
      </c>
      <c r="AG3525">
        <v>-1.109947438866</v>
      </c>
      <c r="AH3525">
        <v>17.286012764599501</v>
      </c>
      <c r="AI3525">
        <v>93.6162259351931</v>
      </c>
      <c r="AJ3525">
        <v>100.184497712998</v>
      </c>
      <c r="AK3525">
        <v>17.597779171263699</v>
      </c>
      <c r="AL3525">
        <v>91.478411194111999</v>
      </c>
      <c r="AM3525">
        <v>89.500923013090301</v>
      </c>
      <c r="AN3525">
        <v>1.0000000064835799</v>
      </c>
    </row>
    <row r="3526" spans="1:40" x14ac:dyDescent="0.3">
      <c r="A3526" t="str">
        <f>"20200111160525420"</f>
        <v>20200111160525420</v>
      </c>
      <c r="B3526" t="str">
        <f>"1578729925415282"</f>
        <v>1578729925415282</v>
      </c>
      <c r="C3526" t="s">
        <v>40</v>
      </c>
      <c r="D3526">
        <v>5.1288640000000001</v>
      </c>
      <c r="E3526">
        <v>0.42861519999999997</v>
      </c>
      <c r="F3526" t="s">
        <v>41</v>
      </c>
      <c r="G3526">
        <v>-189.60579999999999</v>
      </c>
      <c r="H3526" s="1">
        <v>-3.3714200000000002E-6</v>
      </c>
      <c r="I3526">
        <v>166.6155</v>
      </c>
      <c r="J3526">
        <v>-190.67660000000001</v>
      </c>
      <c r="K3526">
        <v>1.1101019999999999</v>
      </c>
      <c r="L3526">
        <v>184.2029</v>
      </c>
      <c r="M3526">
        <v>-0.11840829999999999</v>
      </c>
      <c r="N3526">
        <v>0</v>
      </c>
      <c r="O3526">
        <v>-0.99295750000000005</v>
      </c>
      <c r="P3526">
        <v>-0.12776509999999999</v>
      </c>
      <c r="Q3526">
        <v>-2.8644019999999999E-2</v>
      </c>
      <c r="R3526">
        <v>-0.99139060000000001</v>
      </c>
      <c r="S3526">
        <v>0.1802521</v>
      </c>
      <c r="T3526">
        <v>-0.19028010000000001</v>
      </c>
      <c r="U3526">
        <v>-3.0437620000000001</v>
      </c>
      <c r="V3526">
        <v>9.5344320000000007E-3</v>
      </c>
      <c r="W3526">
        <v>-2.4791750000000001E-2</v>
      </c>
      <c r="X3526">
        <v>0.99964710000000001</v>
      </c>
      <c r="Y3526">
        <v>-0.17678940000000001</v>
      </c>
      <c r="Z3526">
        <v>6.1189229999999997E-2</v>
      </c>
      <c r="AA3526">
        <v>0.98234480000000002</v>
      </c>
      <c r="AB3526">
        <v>27</v>
      </c>
      <c r="AC3526">
        <v>1.07080000000001</v>
      </c>
      <c r="AD3526">
        <v>-1.11010537142</v>
      </c>
      <c r="AE3526">
        <v>-17.587399999999999</v>
      </c>
      <c r="AF3526">
        <v>-3.13333914174454</v>
      </c>
      <c r="AG3526">
        <v>-1.11010537142</v>
      </c>
      <c r="AH3526">
        <v>17.268334219724</v>
      </c>
      <c r="AI3526">
        <v>93.619295107965499</v>
      </c>
      <c r="AJ3526">
        <v>100.284424601488</v>
      </c>
      <c r="AK3526">
        <v>17.585377870177702</v>
      </c>
      <c r="AL3526">
        <v>91.420608290929593</v>
      </c>
      <c r="AM3526">
        <v>89.453541005100007</v>
      </c>
      <c r="AN3526">
        <v>0.999999930400015</v>
      </c>
    </row>
    <row r="3527" spans="1:40" x14ac:dyDescent="0.3">
      <c r="A3527" t="str">
        <f>"20200111160525436"</f>
        <v>20200111160525436</v>
      </c>
      <c r="B3527" t="str">
        <f>"1578729925425042"</f>
        <v>1578729925425042</v>
      </c>
      <c r="C3527" t="s">
        <v>40</v>
      </c>
      <c r="D3527">
        <v>5.3427300000000004</v>
      </c>
      <c r="E3527">
        <v>0.42816850000000001</v>
      </c>
      <c r="F3527" t="s">
        <v>41</v>
      </c>
      <c r="G3527">
        <v>-189.559</v>
      </c>
      <c r="H3527" s="1">
        <v>-3.2793129999999998E-6</v>
      </c>
      <c r="I3527">
        <v>166.40309999999999</v>
      </c>
      <c r="J3527">
        <v>-190.6985</v>
      </c>
      <c r="K3527">
        <v>1.110277</v>
      </c>
      <c r="L3527">
        <v>184.01</v>
      </c>
      <c r="M3527">
        <v>-0.1172969</v>
      </c>
      <c r="N3527">
        <v>0</v>
      </c>
      <c r="O3527">
        <v>-0.99308810000000003</v>
      </c>
      <c r="P3527">
        <v>-0.12836549999999999</v>
      </c>
      <c r="Q3527">
        <v>-2.7780119999999998E-2</v>
      </c>
      <c r="R3527">
        <v>-0.9913381</v>
      </c>
      <c r="S3527">
        <v>0.19119259999999999</v>
      </c>
      <c r="T3527">
        <v>-0.18991849999999999</v>
      </c>
      <c r="U3527">
        <v>-3.0452119999999998</v>
      </c>
      <c r="V3527">
        <v>1.125932E-2</v>
      </c>
      <c r="W3527">
        <v>-2.3523599999999999E-2</v>
      </c>
      <c r="X3527">
        <v>0.99965990000000005</v>
      </c>
      <c r="Y3527">
        <v>-0.17917669999999999</v>
      </c>
      <c r="Z3527">
        <v>6.1036689999999998E-2</v>
      </c>
      <c r="AA3527">
        <v>0.98192170000000001</v>
      </c>
      <c r="AB3527">
        <v>27</v>
      </c>
      <c r="AC3527">
        <v>1.13949999999996</v>
      </c>
      <c r="AD3527">
        <v>-1.110280279313</v>
      </c>
      <c r="AE3527">
        <v>-17.6068999999999</v>
      </c>
      <c r="AF3527">
        <v>-3.1842771736264099</v>
      </c>
      <c r="AG3527">
        <v>-1.110280279313</v>
      </c>
      <c r="AH3527">
        <v>17.283254600194599</v>
      </c>
      <c r="AI3527">
        <v>93.614966609294996</v>
      </c>
      <c r="AJ3527">
        <v>100.439141809162</v>
      </c>
      <c r="AK3527">
        <v>17.609180361171202</v>
      </c>
      <c r="AL3527">
        <v>91.347927301078499</v>
      </c>
      <c r="AM3527">
        <v>89.354696293252204</v>
      </c>
      <c r="AN3527">
        <v>1.0000000238559099</v>
      </c>
    </row>
    <row r="3528" spans="1:40" x14ac:dyDescent="0.3">
      <c r="A3528" t="str">
        <f>"20200111160525485"</f>
        <v>20200111160525485</v>
      </c>
      <c r="B3528" t="str">
        <f>"1578729925474818"</f>
        <v>1578729925474818</v>
      </c>
      <c r="C3528" t="s">
        <v>40</v>
      </c>
      <c r="D3528">
        <v>5.1100729999999999</v>
      </c>
      <c r="E3528">
        <v>0.42705609999999999</v>
      </c>
      <c r="F3528" t="s">
        <v>41</v>
      </c>
      <c r="G3528">
        <v>-189.5522</v>
      </c>
      <c r="H3528" s="1">
        <v>-3.0586269999999999E-6</v>
      </c>
      <c r="I3528">
        <v>165.93360000000001</v>
      </c>
      <c r="J3528">
        <v>-190.76419999999999</v>
      </c>
      <c r="K3528">
        <v>1.110724</v>
      </c>
      <c r="L3528">
        <v>183.41569999999999</v>
      </c>
      <c r="M3528">
        <v>-0.1133256</v>
      </c>
      <c r="N3528">
        <v>0</v>
      </c>
      <c r="O3528">
        <v>-0.99354359999999997</v>
      </c>
      <c r="P3528">
        <v>-0.12900130000000001</v>
      </c>
      <c r="Q3528">
        <v>-2.8136709999999999E-2</v>
      </c>
      <c r="R3528">
        <v>-0.9912453</v>
      </c>
      <c r="S3528">
        <v>0.1931763</v>
      </c>
      <c r="T3528">
        <v>-0.18708939999999999</v>
      </c>
      <c r="U3528">
        <v>-3.0459900000000002</v>
      </c>
      <c r="V3528">
        <v>1.5912849999999999E-2</v>
      </c>
      <c r="W3528">
        <v>-2.271536E-2</v>
      </c>
      <c r="X3528">
        <v>0.99961529999999998</v>
      </c>
      <c r="Y3528">
        <v>-0.17586779999999999</v>
      </c>
      <c r="Z3528">
        <v>6.0175060000000002E-2</v>
      </c>
      <c r="AA3528">
        <v>0.98257289999999997</v>
      </c>
      <c r="AB3528">
        <v>27</v>
      </c>
      <c r="AC3528">
        <v>1.21199999999998</v>
      </c>
      <c r="AD3528">
        <v>-1.1107270586269999</v>
      </c>
      <c r="AE3528">
        <v>-17.4820999999999</v>
      </c>
      <c r="AF3528">
        <v>-3.1726438043655798</v>
      </c>
      <c r="AG3528">
        <v>-1.1107270586269999</v>
      </c>
      <c r="AH3528">
        <v>17.163171508540302</v>
      </c>
      <c r="AI3528">
        <v>93.641255869296501</v>
      </c>
      <c r="AJ3528">
        <v>100.47300980921101</v>
      </c>
      <c r="AK3528">
        <v>17.489249256034899</v>
      </c>
      <c r="AL3528">
        <v>91.301606239630701</v>
      </c>
      <c r="AM3528">
        <v>89.087987007609499</v>
      </c>
      <c r="AN3528">
        <v>0.99999997718457001</v>
      </c>
    </row>
    <row r="3529" spans="1:40" x14ac:dyDescent="0.3">
      <c r="A3529" t="str">
        <f>"20200111160525551"</f>
        <v>20200111160525551</v>
      </c>
      <c r="B3529" t="str">
        <f>"1578729925545091"</f>
        <v>1578729925545091</v>
      </c>
      <c r="C3529" t="s">
        <v>40</v>
      </c>
      <c r="D3529">
        <v>4.9390369999999999</v>
      </c>
      <c r="E3529">
        <v>0.42667109999999903</v>
      </c>
      <c r="F3529" t="s">
        <v>41</v>
      </c>
      <c r="G3529">
        <v>-189.58920000000001</v>
      </c>
      <c r="H3529" s="1">
        <v>-2.8721189999999999E-6</v>
      </c>
      <c r="I3529">
        <v>165.553</v>
      </c>
      <c r="J3529">
        <v>-190.84809999999999</v>
      </c>
      <c r="K3529">
        <v>1.111146</v>
      </c>
      <c r="L3529">
        <v>182.6052</v>
      </c>
      <c r="M3529">
        <v>-0.106772699999999</v>
      </c>
      <c r="N3529">
        <v>0</v>
      </c>
      <c r="O3529">
        <v>-0.9942609</v>
      </c>
      <c r="P3529">
        <v>-0.12754960000000001</v>
      </c>
      <c r="Q3529">
        <v>-2.916386E-2</v>
      </c>
      <c r="R3529">
        <v>-0.99140360000000005</v>
      </c>
      <c r="S3529">
        <v>0.20043949999999999</v>
      </c>
      <c r="T3529">
        <v>-0.18947939999999999</v>
      </c>
      <c r="U3529">
        <v>-3.0472109999999999</v>
      </c>
      <c r="V3529">
        <v>2.1056720000000001E-2</v>
      </c>
      <c r="W3529">
        <v>-2.2372969999999999E-2</v>
      </c>
      <c r="X3529">
        <v>0.99952790000000002</v>
      </c>
      <c r="Y3529">
        <v>-0.17168129999999901</v>
      </c>
      <c r="Z3529">
        <v>6.1002309999999997E-2</v>
      </c>
      <c r="AA3529">
        <v>0.98326210000000003</v>
      </c>
      <c r="AB3529">
        <v>28</v>
      </c>
      <c r="AC3529">
        <v>1.2588999999999799</v>
      </c>
      <c r="AD3529">
        <v>-1.1111488721189999</v>
      </c>
      <c r="AE3529">
        <v>-17.052199999999999</v>
      </c>
      <c r="AF3529">
        <v>-3.0595329214303799</v>
      </c>
      <c r="AG3529">
        <v>-1.1111488721189999</v>
      </c>
      <c r="AH3529">
        <v>16.749563068432501</v>
      </c>
      <c r="AI3529">
        <v>93.733781892078099</v>
      </c>
      <c r="AJ3529">
        <v>100.351719833975</v>
      </c>
      <c r="AK3529">
        <v>17.062920514868601</v>
      </c>
      <c r="AL3529">
        <v>91.281983747638606</v>
      </c>
      <c r="AM3529">
        <v>88.793147488623902</v>
      </c>
      <c r="AN3529">
        <v>0.99999997906109395</v>
      </c>
    </row>
    <row r="3530" spans="1:40" x14ac:dyDescent="0.3">
      <c r="A3530" t="str">
        <f>"20200111160525715"</f>
        <v>20200111160525715</v>
      </c>
      <c r="B3530" t="str">
        <f>"1578729925705154"</f>
        <v>1578729925705154</v>
      </c>
      <c r="C3530" t="s">
        <v>40</v>
      </c>
      <c r="D3530">
        <v>4.8626069999999997</v>
      </c>
      <c r="E3530">
        <v>0.42554130000000001</v>
      </c>
      <c r="F3530" t="s">
        <v>41</v>
      </c>
      <c r="G3530">
        <v>-189.65350000000001</v>
      </c>
      <c r="H3530" s="1">
        <v>-2.643172E-6</v>
      </c>
      <c r="I3530">
        <v>165.09280000000001</v>
      </c>
      <c r="J3530">
        <v>-191.02789999999999</v>
      </c>
      <c r="K3530">
        <v>1.111804</v>
      </c>
      <c r="L3530">
        <v>180.58600000000001</v>
      </c>
      <c r="M3530">
        <v>-8.763029E-2</v>
      </c>
      <c r="N3530">
        <v>0</v>
      </c>
      <c r="O3530">
        <v>-0.99610509999999997</v>
      </c>
      <c r="P3530">
        <v>-0.1255839</v>
      </c>
      <c r="Q3530">
        <v>-3.9221279999999997E-2</v>
      </c>
      <c r="R3530">
        <v>-0.99130759999999996</v>
      </c>
      <c r="S3530">
        <v>0.20785519999999999</v>
      </c>
      <c r="T3530">
        <v>-0.19333220000000001</v>
      </c>
      <c r="U3530">
        <v>-3.0470429999999999</v>
      </c>
      <c r="V3530">
        <v>3.8374810000000002E-2</v>
      </c>
      <c r="W3530">
        <v>-2.9260350000000001E-2</v>
      </c>
      <c r="X3530">
        <v>0.99883489999999997</v>
      </c>
      <c r="Y3530">
        <v>-0.15509210000000001</v>
      </c>
      <c r="Z3530">
        <v>6.2500639999999996E-2</v>
      </c>
      <c r="AA3530">
        <v>0.98592100000000005</v>
      </c>
      <c r="AB3530">
        <v>28</v>
      </c>
      <c r="AC3530">
        <v>1.3743999999999801</v>
      </c>
      <c r="AD3530">
        <v>-1.111806643172</v>
      </c>
      <c r="AE3530">
        <v>-15.4931999999999</v>
      </c>
      <c r="AF3530">
        <v>-2.7129889407867598</v>
      </c>
      <c r="AG3530">
        <v>-1.111806643172</v>
      </c>
      <c r="AH3530">
        <v>15.235304519962501</v>
      </c>
      <c r="AI3530">
        <v>94.109380910817293</v>
      </c>
      <c r="AJ3530">
        <v>100.09696679797599</v>
      </c>
      <c r="AK3530">
        <v>15.514861482482599</v>
      </c>
      <c r="AL3530">
        <v>91.676733921749602</v>
      </c>
      <c r="AM3530">
        <v>87.799802754680201</v>
      </c>
      <c r="AN3530">
        <v>0.99999997579133304</v>
      </c>
    </row>
    <row r="3531" spans="1:40" x14ac:dyDescent="0.3">
      <c r="A3531" t="str">
        <f>"20200111160525730"</f>
        <v>20200111160525730</v>
      </c>
      <c r="B3531" t="str">
        <f>"1578729925724674"</f>
        <v>1578729925724674</v>
      </c>
      <c r="C3531" t="s">
        <v>40</v>
      </c>
      <c r="D3531">
        <v>4.88307</v>
      </c>
      <c r="E3531">
        <v>0.42521229999999899</v>
      </c>
      <c r="F3531" t="s">
        <v>41</v>
      </c>
      <c r="G3531">
        <v>-189.8963</v>
      </c>
      <c r="H3531" s="1">
        <v>-2.6336329999999999E-6</v>
      </c>
      <c r="I3531">
        <v>165.16370000000001</v>
      </c>
      <c r="J3531">
        <v>-191.04159999999999</v>
      </c>
      <c r="K3531">
        <v>1.1118440000000001</v>
      </c>
      <c r="L3531">
        <v>180.4093</v>
      </c>
      <c r="M3531">
        <v>-8.586887E-2</v>
      </c>
      <c r="N3531">
        <v>0</v>
      </c>
      <c r="O3531">
        <v>-0.99625549999999996</v>
      </c>
      <c r="P3531">
        <v>-0.1249325</v>
      </c>
      <c r="Q3531">
        <v>-3.9759129999999997E-2</v>
      </c>
      <c r="R3531">
        <v>-0.99136849999999999</v>
      </c>
      <c r="S3531">
        <v>0.22349550000000001</v>
      </c>
      <c r="T3531">
        <v>-0.219582</v>
      </c>
      <c r="U3531">
        <v>-3.0459139999999998</v>
      </c>
      <c r="V3531">
        <v>3.9487220000000003E-2</v>
      </c>
      <c r="W3531">
        <v>-2.9501929999999999E-2</v>
      </c>
      <c r="X3531">
        <v>0.99878449999999996</v>
      </c>
      <c r="Y3531">
        <v>-0.158364899999999</v>
      </c>
      <c r="Z3531">
        <v>7.0956729999999996E-2</v>
      </c>
      <c r="AA3531">
        <v>0.98482780000000003</v>
      </c>
      <c r="AB3531">
        <v>28</v>
      </c>
      <c r="AC3531">
        <v>1.14529999999999</v>
      </c>
      <c r="AD3531">
        <v>-1.111846633633</v>
      </c>
      <c r="AE3531">
        <v>-15.2455999999999</v>
      </c>
      <c r="AF3531">
        <v>-2.4373675065662601</v>
      </c>
      <c r="AG3531">
        <v>-1.111846633633</v>
      </c>
      <c r="AH3531">
        <v>15.0115402900257</v>
      </c>
      <c r="AI3531">
        <v>94.181381999719704</v>
      </c>
      <c r="AJ3531">
        <v>99.222419939348796</v>
      </c>
      <c r="AK3531">
        <v>15.248714869714499</v>
      </c>
      <c r="AL3531">
        <v>91.6905813046058</v>
      </c>
      <c r="AM3531">
        <v>87.735974687927595</v>
      </c>
      <c r="AN3531">
        <v>1.00000004092865</v>
      </c>
    </row>
    <row r="3532" spans="1:40" x14ac:dyDescent="0.3">
      <c r="A3532" t="str">
        <f>"20200111160525754"</f>
        <v>20200111160525754</v>
      </c>
      <c r="B3532" t="str">
        <f>"1578729925745170"</f>
        <v>1578729925745170</v>
      </c>
      <c r="C3532" t="s">
        <v>40</v>
      </c>
      <c r="D3532">
        <v>5.2021550000000003</v>
      </c>
      <c r="E3532">
        <v>0.42551850000000002</v>
      </c>
      <c r="F3532" t="s">
        <v>41</v>
      </c>
      <c r="G3532">
        <v>-189.8871</v>
      </c>
      <c r="H3532" s="1">
        <v>-2.556415E-6</v>
      </c>
      <c r="I3532">
        <v>164.99690000000001</v>
      </c>
      <c r="J3532">
        <v>-191.06460000000001</v>
      </c>
      <c r="K3532">
        <v>1.1119049999999999</v>
      </c>
      <c r="L3532">
        <v>180.10230000000001</v>
      </c>
      <c r="M3532">
        <v>-8.2808300000000001E-2</v>
      </c>
      <c r="N3532">
        <v>0</v>
      </c>
      <c r="O3532">
        <v>-0.99650939999999999</v>
      </c>
      <c r="P3532">
        <v>-0.12388970000000001</v>
      </c>
      <c r="Q3532">
        <v>-4.0594749999999999E-2</v>
      </c>
      <c r="R3532">
        <v>-0.99146520000000005</v>
      </c>
      <c r="S3532">
        <v>0.22817989999999999</v>
      </c>
      <c r="T3532">
        <v>-0.2197421</v>
      </c>
      <c r="U3532">
        <v>-3.0460509999999998</v>
      </c>
      <c r="V3532">
        <v>4.1507799999999997E-2</v>
      </c>
      <c r="W3532">
        <v>-2.9830829999999999E-2</v>
      </c>
      <c r="X3532">
        <v>0.99869280000000005</v>
      </c>
      <c r="Y3532">
        <v>-0.15683510000000001</v>
      </c>
      <c r="Z3532">
        <v>7.1037710000000004E-2</v>
      </c>
      <c r="AA3532">
        <v>0.98506669999999996</v>
      </c>
      <c r="AB3532">
        <v>28</v>
      </c>
      <c r="AC3532">
        <v>1.1775</v>
      </c>
      <c r="AD3532">
        <v>-1.1119075564149901</v>
      </c>
      <c r="AE3532">
        <v>-15.105399999999999</v>
      </c>
      <c r="AF3532">
        <v>-2.4113908221619602</v>
      </c>
      <c r="AG3532">
        <v>-1.1119075564149901</v>
      </c>
      <c r="AH3532">
        <v>14.8758853864576</v>
      </c>
      <c r="AI3532">
        <v>94.219782288518303</v>
      </c>
      <c r="AJ3532">
        <v>99.207592918983096</v>
      </c>
      <c r="AK3532">
        <v>15.111026111493601</v>
      </c>
      <c r="AL3532">
        <v>91.709434181392297</v>
      </c>
      <c r="AM3532">
        <v>87.620035124023502</v>
      </c>
      <c r="AN3532">
        <v>1.0000000423255799</v>
      </c>
    </row>
    <row r="3533" spans="1:40" x14ac:dyDescent="0.3">
      <c r="A3533" t="str">
        <f>"20200111160525772"</f>
        <v>20200111160525772</v>
      </c>
      <c r="B3533" t="str">
        <f>"1578729925764692"</f>
        <v>1578729925764692</v>
      </c>
      <c r="C3533" t="s">
        <v>40</v>
      </c>
      <c r="D3533">
        <v>6.6776770000000001</v>
      </c>
      <c r="E3533">
        <v>0.42744539999999998</v>
      </c>
      <c r="F3533" t="s">
        <v>41</v>
      </c>
      <c r="G3533">
        <v>-189.91079999999999</v>
      </c>
      <c r="H3533" s="1">
        <v>-2.4374140000000001E-6</v>
      </c>
      <c r="I3533">
        <v>164.75409999999999</v>
      </c>
      <c r="J3533">
        <v>-191.0806</v>
      </c>
      <c r="K3533">
        <v>1.1119330000000001</v>
      </c>
      <c r="L3533">
        <v>179.8818</v>
      </c>
      <c r="M3533">
        <v>-8.0610340000000003E-2</v>
      </c>
      <c r="N3533">
        <v>0</v>
      </c>
      <c r="O3533">
        <v>-0.99668590000000001</v>
      </c>
      <c r="P3533">
        <v>-0.1229355</v>
      </c>
      <c r="Q3533">
        <v>-4.1833200000000001E-2</v>
      </c>
      <c r="R3533">
        <v>-0.99153259999999999</v>
      </c>
      <c r="S3533">
        <v>0.2289429</v>
      </c>
      <c r="T3533">
        <v>-0.22062499999999999</v>
      </c>
      <c r="U3533">
        <v>-3.04541</v>
      </c>
      <c r="V3533">
        <v>4.2756870000000002E-2</v>
      </c>
      <c r="W3533">
        <v>-3.0725140000000001E-2</v>
      </c>
      <c r="X3533">
        <v>0.99861290000000003</v>
      </c>
      <c r="Y3533">
        <v>-0.1549161</v>
      </c>
      <c r="Z3533">
        <v>7.1366330000000006E-2</v>
      </c>
      <c r="AA3533">
        <v>0.98534659999999996</v>
      </c>
      <c r="AB3533">
        <v>28</v>
      </c>
      <c r="AC3533">
        <v>1.1698</v>
      </c>
      <c r="AD3533">
        <v>-1.111935437414</v>
      </c>
      <c r="AE3533">
        <v>-15.127700000000001</v>
      </c>
      <c r="AF3533">
        <v>-2.3727711315285198</v>
      </c>
      <c r="AG3533">
        <v>-1.111935437414</v>
      </c>
      <c r="AH3533">
        <v>14.9041160305907</v>
      </c>
      <c r="AI3533">
        <v>94.213828717324503</v>
      </c>
      <c r="AJ3533">
        <v>99.045713302315306</v>
      </c>
      <c r="AK3533">
        <v>15.1327168054154</v>
      </c>
      <c r="AL3533">
        <v>91.760698028439506</v>
      </c>
      <c r="AM3533">
        <v>87.548306425352706</v>
      </c>
      <c r="AN3533">
        <v>0.99999995410331199</v>
      </c>
    </row>
    <row r="3534" spans="1:40" x14ac:dyDescent="0.3">
      <c r="A3534" t="str">
        <f>"20200111160525786"</f>
        <v>20200111160525786</v>
      </c>
      <c r="B3534" t="str">
        <f>"1578729925775427"</f>
        <v>1578729925775427</v>
      </c>
      <c r="C3534" t="s">
        <v>40</v>
      </c>
      <c r="D3534">
        <v>5.3332189999999997</v>
      </c>
      <c r="E3534">
        <v>0.42744539999999998</v>
      </c>
      <c r="F3534" t="s">
        <v>41</v>
      </c>
      <c r="G3534">
        <v>-189.94929999999999</v>
      </c>
      <c r="H3534" s="1">
        <v>-2.0298309999999998E-6</v>
      </c>
      <c r="I3534">
        <v>163.90629999999999</v>
      </c>
      <c r="J3534">
        <v>-191.0917</v>
      </c>
      <c r="K3534">
        <v>1.111955</v>
      </c>
      <c r="L3534">
        <v>179.72489999999999</v>
      </c>
      <c r="M3534">
        <v>-7.9047480000000003E-2</v>
      </c>
      <c r="N3534">
        <v>0</v>
      </c>
      <c r="O3534">
        <v>-0.99680860000000004</v>
      </c>
      <c r="P3534">
        <v>-0.1220019</v>
      </c>
      <c r="Q3534">
        <v>-4.2716869999999997E-2</v>
      </c>
      <c r="R3534">
        <v>-0.9916104</v>
      </c>
      <c r="S3534">
        <v>0.21551509999999999</v>
      </c>
      <c r="T3534">
        <v>-0.2118285</v>
      </c>
      <c r="U3534">
        <v>-3.0434109999999999</v>
      </c>
      <c r="V3534">
        <v>4.3388049999999997E-2</v>
      </c>
      <c r="W3534">
        <v>-3.1376729999999999E-2</v>
      </c>
      <c r="X3534">
        <v>0.99856540000000005</v>
      </c>
      <c r="Y3534">
        <v>-0.1491025</v>
      </c>
      <c r="Z3534">
        <v>6.8634500000000001E-2</v>
      </c>
      <c r="AA3534">
        <v>0.98643689999999995</v>
      </c>
      <c r="AB3534">
        <v>28</v>
      </c>
      <c r="AC3534">
        <v>1.1424000000000001</v>
      </c>
      <c r="AD3534">
        <v>-1.111957029831</v>
      </c>
      <c r="AE3534">
        <v>-15.8186</v>
      </c>
      <c r="AF3534">
        <v>-2.3776352702489199</v>
      </c>
      <c r="AG3534">
        <v>-1.111957029831</v>
      </c>
      <c r="AH3534">
        <v>15.602091283694399</v>
      </c>
      <c r="AI3534">
        <v>94.030189961721405</v>
      </c>
      <c r="AJ3534">
        <v>98.664758985824903</v>
      </c>
      <c r="AK3534">
        <v>15.821341609966399</v>
      </c>
      <c r="AL3534">
        <v>91.798049423727903</v>
      </c>
      <c r="AM3534">
        <v>87.512041297796202</v>
      </c>
      <c r="AN3534">
        <v>0.99999994007272597</v>
      </c>
    </row>
    <row r="3535" spans="1:40" x14ac:dyDescent="0.3">
      <c r="A3535" t="str">
        <f>"20200111160526140"</f>
        <v>20200111160526140</v>
      </c>
      <c r="B3535" t="str">
        <f>"1578729926134594"</f>
        <v>1578729926134594</v>
      </c>
      <c r="C3535" t="s">
        <v>40</v>
      </c>
      <c r="D3535">
        <v>5.8409440000000004</v>
      </c>
      <c r="E3535">
        <v>0.4931237</v>
      </c>
      <c r="F3535" t="s">
        <v>41</v>
      </c>
      <c r="G3535">
        <v>-189.95779999999999</v>
      </c>
      <c r="H3535" s="1">
        <v>-2.0369579999999998E-6</v>
      </c>
      <c r="I3535">
        <v>163.92449999999999</v>
      </c>
      <c r="J3535">
        <v>-191.29810000000001</v>
      </c>
      <c r="K3535">
        <v>1.1120369999999999</v>
      </c>
      <c r="L3535">
        <v>175.4297</v>
      </c>
      <c r="M3535">
        <v>-3.6523390000000003E-2</v>
      </c>
      <c r="N3535">
        <v>0</v>
      </c>
      <c r="O3535">
        <v>-0.99923810000000002</v>
      </c>
      <c r="P3535">
        <v>-8.6215040000000007E-2</v>
      </c>
      <c r="Q3535">
        <v>-5.4098779999999999E-2</v>
      </c>
      <c r="R3535">
        <v>-0.99480679999999999</v>
      </c>
      <c r="S3535">
        <v>0.21838379999999999</v>
      </c>
      <c r="T3535">
        <v>-0.21415329999999999</v>
      </c>
      <c r="U3535">
        <v>-3.043015</v>
      </c>
      <c r="V3535">
        <v>5.0006200000000001E-2</v>
      </c>
      <c r="W3535">
        <v>-4.0125689999999999E-2</v>
      </c>
      <c r="X3535">
        <v>0.99794260000000001</v>
      </c>
      <c r="Y3535">
        <v>-0.1077917</v>
      </c>
      <c r="Z3535">
        <v>6.9837510000000005E-2</v>
      </c>
      <c r="AA3535">
        <v>0.99171750000000003</v>
      </c>
      <c r="AB3535">
        <v>27</v>
      </c>
      <c r="AC3535">
        <v>1.34030000000001</v>
      </c>
      <c r="AD3535">
        <v>-1.112039036958</v>
      </c>
      <c r="AE3535">
        <v>-11.5052</v>
      </c>
      <c r="AF3535">
        <v>-1.7435833569868699</v>
      </c>
      <c r="AG3535">
        <v>-1.112039036958</v>
      </c>
      <c r="AH3535">
        <v>11.344005721970101</v>
      </c>
      <c r="AI3535">
        <v>95.534169713927398</v>
      </c>
      <c r="AJ3535">
        <v>98.7380294535578</v>
      </c>
      <c r="AK3535">
        <v>11.5309661157499</v>
      </c>
      <c r="AL3535">
        <v>92.2996499262008</v>
      </c>
      <c r="AM3535">
        <v>87.131348289871696</v>
      </c>
      <c r="AN3535">
        <v>1.00000006196558</v>
      </c>
    </row>
    <row r="3536" spans="1:40" x14ac:dyDescent="0.3">
      <c r="A3536" t="str">
        <f>"20200111160526153"</f>
        <v>20200111160526153</v>
      </c>
      <c r="B3536" t="str">
        <f>"1578729926145331"</f>
        <v>1578729926145331</v>
      </c>
      <c r="C3536" t="s">
        <v>40</v>
      </c>
      <c r="D3536">
        <v>5.829644</v>
      </c>
      <c r="E3536">
        <v>0.47772009999999998</v>
      </c>
      <c r="F3536" t="s">
        <v>41</v>
      </c>
      <c r="G3536">
        <v>-195.9753</v>
      </c>
      <c r="H3536" s="1">
        <v>-1.8649360000000001E-6</v>
      </c>
      <c r="I3536">
        <v>110.2303</v>
      </c>
      <c r="J3536">
        <v>-191.3021</v>
      </c>
      <c r="K3536">
        <v>1.112028</v>
      </c>
      <c r="L3536">
        <v>175.27599999999899</v>
      </c>
      <c r="M3536">
        <v>-3.504119E-2</v>
      </c>
      <c r="N3536">
        <v>0</v>
      </c>
      <c r="O3536">
        <v>-0.99929080000000003</v>
      </c>
      <c r="P3536">
        <v>-8.5125839999999994E-2</v>
      </c>
      <c r="Q3536">
        <v>-5.3648010000000003E-2</v>
      </c>
      <c r="R3536">
        <v>-0.99492499999999995</v>
      </c>
      <c r="S3536">
        <v>-0.21479799999999999</v>
      </c>
      <c r="T3536">
        <v>-5.1070089999999999E-2</v>
      </c>
      <c r="U3536">
        <v>-2.9942630000000001</v>
      </c>
      <c r="V3536">
        <v>5.0389290000000003E-2</v>
      </c>
      <c r="W3536">
        <v>-3.9652279999999998E-2</v>
      </c>
      <c r="X3536">
        <v>0.9979422</v>
      </c>
      <c r="Y3536">
        <v>3.6543640000000002E-2</v>
      </c>
      <c r="Z3536">
        <v>1.7010250000000001E-2</v>
      </c>
      <c r="AA3536">
        <v>0.9991873</v>
      </c>
      <c r="AB3536">
        <v>27</v>
      </c>
      <c r="AC3536">
        <v>-4.6731999999999996</v>
      </c>
      <c r="AD3536">
        <v>-1.1120298649359901</v>
      </c>
      <c r="AE3536">
        <v>-65.045699999999897</v>
      </c>
      <c r="AF3536">
        <v>2.39013919151845</v>
      </c>
      <c r="AG3536">
        <v>-1.1120298649359901</v>
      </c>
      <c r="AH3536">
        <v>65.150571592650095</v>
      </c>
      <c r="AI3536">
        <v>90.977207248093706</v>
      </c>
      <c r="AJ3536">
        <v>87.898967012783004</v>
      </c>
      <c r="AK3536">
        <v>65.203882971985394</v>
      </c>
      <c r="AL3536">
        <v>92.272504047607597</v>
      </c>
      <c r="AM3536">
        <v>87.1094079522573</v>
      </c>
      <c r="AN3536">
        <v>1.0000000091983701</v>
      </c>
    </row>
    <row r="3537" spans="1:40" x14ac:dyDescent="0.3">
      <c r="A3537" t="str">
        <f>"20200111160526166"</f>
        <v>20200111160526166</v>
      </c>
      <c r="B3537" t="str">
        <f>"1578729926155091"</f>
        <v>1578729926155091</v>
      </c>
      <c r="C3537" t="s">
        <v>40</v>
      </c>
      <c r="D3537">
        <v>5.1751559999999897</v>
      </c>
      <c r="E3537">
        <v>0.47772009999999998</v>
      </c>
      <c r="F3537" t="s">
        <v>49</v>
      </c>
      <c r="G3537">
        <v>-199.40170000000001</v>
      </c>
      <c r="H3537">
        <v>1.9610799999999999</v>
      </c>
      <c r="I3537">
        <v>-81.815809999999999</v>
      </c>
      <c r="J3537">
        <v>-191.30600000000001</v>
      </c>
      <c r="K3537">
        <v>1.1120219999999901</v>
      </c>
      <c r="L3537">
        <v>175.1189</v>
      </c>
      <c r="M3537">
        <v>-3.3533449999999999E-2</v>
      </c>
      <c r="N3537">
        <v>0</v>
      </c>
      <c r="O3537">
        <v>-0.99934219999999896</v>
      </c>
      <c r="P3537">
        <v>-8.4004430000000005E-2</v>
      </c>
      <c r="Q3537">
        <v>-5.3256690000000002E-2</v>
      </c>
      <c r="R3537">
        <v>-0.99504139999999996</v>
      </c>
      <c r="S3537">
        <v>-9.4757079999999994E-2</v>
      </c>
      <c r="T3537">
        <v>9.9331139999999998E-3</v>
      </c>
      <c r="U3537">
        <v>-3.0077210000000001</v>
      </c>
      <c r="V3537">
        <v>5.0765999999999999E-2</v>
      </c>
      <c r="W3537">
        <v>-3.9239499999999997E-2</v>
      </c>
      <c r="X3537">
        <v>0.99793940000000003</v>
      </c>
      <c r="Y3537">
        <v>-2.048921E-3</v>
      </c>
      <c r="Z3537">
        <v>-3.2989130000000001E-3</v>
      </c>
      <c r="AA3537">
        <v>0.9999924</v>
      </c>
      <c r="AB3537">
        <v>27</v>
      </c>
      <c r="AC3537">
        <v>-8.0957000000000203</v>
      </c>
      <c r="AD3537">
        <v>0.84905799999999998</v>
      </c>
      <c r="AE3537">
        <v>-256.93471</v>
      </c>
      <c r="AF3537">
        <v>-0.52557697895373101</v>
      </c>
      <c r="AG3537">
        <v>0.84905799999999998</v>
      </c>
      <c r="AH3537">
        <v>257.05887954850198</v>
      </c>
      <c r="AI3537">
        <v>89.810754791038093</v>
      </c>
      <c r="AJ3537">
        <v>90.117145538000202</v>
      </c>
      <c r="AK3537">
        <v>257.06081903973597</v>
      </c>
      <c r="AL3537">
        <v>92.248835127525794</v>
      </c>
      <c r="AM3537">
        <v>87.087826809297098</v>
      </c>
      <c r="AN3537">
        <v>0.99999998559430503</v>
      </c>
    </row>
    <row r="3538" spans="1:40" x14ac:dyDescent="0.3">
      <c r="A3538" t="str">
        <f>"20200111160526180"</f>
        <v>20200111160526180</v>
      </c>
      <c r="B3538" t="str">
        <f>"1578729926174610"</f>
        <v>1578729926174610</v>
      </c>
      <c r="C3538" t="s">
        <v>40</v>
      </c>
      <c r="D3538">
        <v>5.140123</v>
      </c>
      <c r="E3538">
        <v>0.42883009999999999</v>
      </c>
      <c r="F3538" t="s">
        <v>49</v>
      </c>
      <c r="G3538">
        <v>-199.107</v>
      </c>
      <c r="H3538">
        <v>2.065947</v>
      </c>
      <c r="I3538">
        <v>-81.815849999999998</v>
      </c>
      <c r="J3538">
        <v>-191.3099</v>
      </c>
      <c r="K3538">
        <v>1.112012</v>
      </c>
      <c r="L3538">
        <v>174.95099999999999</v>
      </c>
      <c r="M3538">
        <v>-3.1934980000000002E-2</v>
      </c>
      <c r="N3538">
        <v>0</v>
      </c>
      <c r="O3538">
        <v>-0.99939440000000002</v>
      </c>
      <c r="P3538">
        <v>-8.2546250000000002E-2</v>
      </c>
      <c r="Q3538">
        <v>-5.2596009999999999E-2</v>
      </c>
      <c r="R3538">
        <v>-0.99519869999999999</v>
      </c>
      <c r="S3538">
        <v>-9.1323849999999998E-2</v>
      </c>
      <c r="T3538">
        <v>1.116729E-2</v>
      </c>
      <c r="U3538">
        <v>-3.0078429999999998</v>
      </c>
      <c r="V3538">
        <v>5.0894059999999998E-2</v>
      </c>
      <c r="W3538">
        <v>-3.855944E-2</v>
      </c>
      <c r="X3538">
        <v>0.99795940000000005</v>
      </c>
      <c r="Y3538">
        <v>-1.5910869999999999E-3</v>
      </c>
      <c r="Z3538">
        <v>-3.7090000000000001E-3</v>
      </c>
      <c r="AA3538">
        <v>0.99999179999999999</v>
      </c>
      <c r="AB3538">
        <v>27</v>
      </c>
      <c r="AC3538">
        <v>-7.7971000000000004</v>
      </c>
      <c r="AD3538">
        <v>0.95393499999999998</v>
      </c>
      <c r="AE3538">
        <v>-256.76684999999998</v>
      </c>
      <c r="AF3538">
        <v>-0.40749944043432101</v>
      </c>
      <c r="AG3538">
        <v>0.95393499999999998</v>
      </c>
      <c r="AH3538">
        <v>256.88134230654998</v>
      </c>
      <c r="AI3538">
        <v>89.787232000075207</v>
      </c>
      <c r="AJ3538">
        <v>90.090890129646994</v>
      </c>
      <c r="AK3538">
        <v>256.883436743191</v>
      </c>
      <c r="AL3538">
        <v>92.209841013275394</v>
      </c>
      <c r="AM3538">
        <v>87.080551795266103</v>
      </c>
      <c r="AN3538">
        <v>0.99999999990237798</v>
      </c>
    </row>
    <row r="3539" spans="1:40" x14ac:dyDescent="0.3">
      <c r="A3539" t="str">
        <f>"20200111160526196"</f>
        <v>20200111160526196</v>
      </c>
      <c r="B3539" t="str">
        <f>"1578729926185347"</f>
        <v>1578729926185347</v>
      </c>
      <c r="C3539" t="s">
        <v>40</v>
      </c>
      <c r="D3539">
        <v>5.1552600000000002</v>
      </c>
      <c r="E3539">
        <v>0.42852210000000002</v>
      </c>
      <c r="F3539" t="s">
        <v>41</v>
      </c>
      <c r="G3539">
        <v>-189.76669999999999</v>
      </c>
      <c r="H3539" s="1">
        <v>-5.5700419999999895E-7</v>
      </c>
      <c r="I3539">
        <v>160.72200000000001</v>
      </c>
      <c r="J3539">
        <v>-191.31389999999999</v>
      </c>
      <c r="K3539">
        <v>1.1120099999999999</v>
      </c>
      <c r="L3539">
        <v>174.76490000000001</v>
      </c>
      <c r="M3539">
        <v>-3.0176020000000001E-2</v>
      </c>
      <c r="N3539">
        <v>0</v>
      </c>
      <c r="O3539">
        <v>-0.99944849999999996</v>
      </c>
      <c r="P3539">
        <v>-8.068612E-2</v>
      </c>
      <c r="Q3539">
        <v>-5.1950169999999997E-2</v>
      </c>
      <c r="R3539">
        <v>-0.99538490000000002</v>
      </c>
      <c r="S3539">
        <v>0.32853700000000002</v>
      </c>
      <c r="T3539">
        <v>-0.236737</v>
      </c>
      <c r="U3539">
        <v>-3.0292210000000002</v>
      </c>
      <c r="V3539">
        <v>5.077972E-2</v>
      </c>
      <c r="W3539">
        <v>-3.7895690000000003E-2</v>
      </c>
      <c r="X3539">
        <v>0.99799070000000001</v>
      </c>
      <c r="Y3539">
        <v>-0.13745460000000001</v>
      </c>
      <c r="Z3539">
        <v>7.7265199999999895E-2</v>
      </c>
      <c r="AA3539">
        <v>0.98748990000000003</v>
      </c>
      <c r="AB3539">
        <v>27</v>
      </c>
      <c r="AC3539">
        <v>1.5471999999999999</v>
      </c>
      <c r="AD3539">
        <v>-1.11201055700419</v>
      </c>
      <c r="AE3539">
        <v>-14.042899999999999</v>
      </c>
      <c r="AF3539">
        <v>-1.95816335150007</v>
      </c>
      <c r="AG3539">
        <v>-1.11201055700419</v>
      </c>
      <c r="AH3539">
        <v>13.9036730400598</v>
      </c>
      <c r="AI3539">
        <v>94.528260707514406</v>
      </c>
      <c r="AJ3539">
        <v>98.016687151607798</v>
      </c>
      <c r="AK3539">
        <v>14.084853396288301</v>
      </c>
      <c r="AL3539">
        <v>92.171783011389806</v>
      </c>
      <c r="AM3539">
        <v>87.087190599592503</v>
      </c>
      <c r="AN3539">
        <v>1.00000005028517</v>
      </c>
    </row>
    <row r="3540" spans="1:40" x14ac:dyDescent="0.3">
      <c r="A3540" t="str">
        <f>"20200111160526210"</f>
        <v>20200111160526210</v>
      </c>
      <c r="B3540" t="str">
        <f>"1578729926204867"</f>
        <v>1578729926204867</v>
      </c>
      <c r="C3540" t="s">
        <v>40</v>
      </c>
      <c r="D3540">
        <v>5.1065009999999997</v>
      </c>
      <c r="E3540">
        <v>0.42858309999999999</v>
      </c>
      <c r="F3540" t="s">
        <v>41</v>
      </c>
      <c r="G3540">
        <v>-189.69489999999999</v>
      </c>
      <c r="H3540" s="1">
        <v>-3.1771110000000002E-7</v>
      </c>
      <c r="I3540">
        <v>160.18889999999999</v>
      </c>
      <c r="J3540">
        <v>-191.31720000000001</v>
      </c>
      <c r="K3540">
        <v>1.112004</v>
      </c>
      <c r="L3540">
        <v>174.60239999999999</v>
      </c>
      <c r="M3540">
        <v>-2.8649879999999999E-2</v>
      </c>
      <c r="N3540">
        <v>0</v>
      </c>
      <c r="O3540">
        <v>-0.99949339999999998</v>
      </c>
      <c r="P3540">
        <v>-7.9377399999999904E-2</v>
      </c>
      <c r="Q3540">
        <v>-5.1387349999999998E-2</v>
      </c>
      <c r="R3540">
        <v>-0.99551940000000005</v>
      </c>
      <c r="S3540">
        <v>0.33645629999999999</v>
      </c>
      <c r="T3540">
        <v>-0.23109150000000001</v>
      </c>
      <c r="U3540">
        <v>-3.0291139999999999</v>
      </c>
      <c r="V3540">
        <v>5.0986589999999998E-2</v>
      </c>
      <c r="W3540">
        <v>-3.7317719999999999E-2</v>
      </c>
      <c r="X3540">
        <v>0.9980019</v>
      </c>
      <c r="Y3540">
        <v>-0.13851240000000001</v>
      </c>
      <c r="Z3540">
        <v>7.5424870000000005E-2</v>
      </c>
      <c r="AA3540">
        <v>0.98748440000000004</v>
      </c>
      <c r="AB3540">
        <v>27</v>
      </c>
      <c r="AC3540">
        <v>1.6223000000000201</v>
      </c>
      <c r="AD3540">
        <v>-1.1120043177111001</v>
      </c>
      <c r="AE3540">
        <v>-14.413500000000001</v>
      </c>
      <c r="AF3540">
        <v>-2.0227296706014299</v>
      </c>
      <c r="AG3540">
        <v>-1.1120043177111001</v>
      </c>
      <c r="AH3540">
        <v>14.2771822018059</v>
      </c>
      <c r="AI3540">
        <v>94.409734943240693</v>
      </c>
      <c r="AJ3540">
        <v>98.063753113823196</v>
      </c>
      <c r="AK3540">
        <v>14.462569638432299</v>
      </c>
      <c r="AL3540">
        <v>92.138644397210697</v>
      </c>
      <c r="AM3540">
        <v>87.075377516382304</v>
      </c>
      <c r="AN3540">
        <v>1.00000001849471</v>
      </c>
    </row>
    <row r="3541" spans="1:40" x14ac:dyDescent="0.3">
      <c r="A3541" t="str">
        <f>"20200111160526222"</f>
        <v>20200111160526222</v>
      </c>
      <c r="B3541" t="str">
        <f>"1578729926214626"</f>
        <v>1578729926214626</v>
      </c>
      <c r="C3541" t="s">
        <v>40</v>
      </c>
      <c r="D3541">
        <v>5.2213719999999997</v>
      </c>
      <c r="E3541">
        <v>0.42938860000000001</v>
      </c>
      <c r="F3541" t="s">
        <v>75</v>
      </c>
      <c r="G3541">
        <v>-189.6233</v>
      </c>
      <c r="H3541" s="1">
        <v>-1.491526E-5</v>
      </c>
      <c r="I3541">
        <v>159.47130000000001</v>
      </c>
      <c r="J3541">
        <v>-191.3203</v>
      </c>
      <c r="K3541">
        <v>1.1119950000000001</v>
      </c>
      <c r="L3541">
        <v>174.44110000000001</v>
      </c>
      <c r="M3541">
        <v>-2.7144419999999999E-2</v>
      </c>
      <c r="N3541">
        <v>0</v>
      </c>
      <c r="O3541">
        <v>-0.99953510000000001</v>
      </c>
      <c r="P3541">
        <v>-7.8212959999999998E-2</v>
      </c>
      <c r="Q3541">
        <v>-5.1256639999999999E-2</v>
      </c>
      <c r="R3541">
        <v>-0.99561820000000001</v>
      </c>
      <c r="S3541">
        <v>0.33909610000000001</v>
      </c>
      <c r="T3541">
        <v>-0.22261149999999999</v>
      </c>
      <c r="U3541">
        <v>-3.0290530000000002</v>
      </c>
      <c r="V3541">
        <v>5.1320049999999999E-2</v>
      </c>
      <c r="W3541">
        <v>-3.7173119999999997E-2</v>
      </c>
      <c r="X3541">
        <v>0.99799020000000005</v>
      </c>
      <c r="Y3541">
        <v>-0.13789580000000001</v>
      </c>
      <c r="Z3541">
        <v>7.2677919999999993E-2</v>
      </c>
      <c r="AA3541">
        <v>0.9877766</v>
      </c>
      <c r="AB3541">
        <v>27</v>
      </c>
      <c r="AC3541">
        <v>1.6970000000000001</v>
      </c>
      <c r="AD3541">
        <v>-1.11200991526</v>
      </c>
      <c r="AE3541">
        <v>-14.9697999999999</v>
      </c>
      <c r="AF3541">
        <v>-2.0913664455710901</v>
      </c>
      <c r="AG3541">
        <v>-1.11200991526</v>
      </c>
      <c r="AH3541">
        <v>14.8373798250389</v>
      </c>
      <c r="AI3541">
        <v>94.244306822491097</v>
      </c>
      <c r="AJ3541">
        <v>98.023131037487403</v>
      </c>
      <c r="AK3541">
        <v>15.025252734439</v>
      </c>
      <c r="AL3541">
        <v>92.130353685032702</v>
      </c>
      <c r="AM3541">
        <v>87.056249126597393</v>
      </c>
      <c r="AN3541">
        <v>1.0000000138392799</v>
      </c>
    </row>
    <row r="3542" spans="1:40" x14ac:dyDescent="0.3">
      <c r="A3542" t="str">
        <f>"20200111160526241"</f>
        <v>20200111160526241</v>
      </c>
      <c r="B3542" t="str">
        <f>"1578729926235122"</f>
        <v>1578729926235122</v>
      </c>
      <c r="C3542" t="s">
        <v>40</v>
      </c>
      <c r="D3542">
        <v>5.1059890000000001</v>
      </c>
      <c r="E3542">
        <v>0.4295678</v>
      </c>
      <c r="F3542" t="s">
        <v>75</v>
      </c>
      <c r="G3542">
        <v>-189.6431</v>
      </c>
      <c r="H3542" s="1">
        <v>-1.4859790000000001E-5</v>
      </c>
      <c r="I3542">
        <v>159.34190000000001</v>
      </c>
      <c r="J3542">
        <v>-191.32400000000001</v>
      </c>
      <c r="K3542">
        <v>1.1119760000000001</v>
      </c>
      <c r="L3542">
        <v>174.2158</v>
      </c>
      <c r="M3542">
        <v>-2.5061719999999999E-2</v>
      </c>
      <c r="N3542">
        <v>0</v>
      </c>
      <c r="O3542">
        <v>-0.99958939999999996</v>
      </c>
      <c r="P3542">
        <v>-7.6648759999999996E-2</v>
      </c>
      <c r="Q3542">
        <v>-5.162332E-2</v>
      </c>
      <c r="R3542">
        <v>-0.99572130000000003</v>
      </c>
      <c r="S3542">
        <v>0.33636470000000002</v>
      </c>
      <c r="T3542">
        <v>-0.22301399999999999</v>
      </c>
      <c r="U3542">
        <v>-3.028152</v>
      </c>
      <c r="V3542">
        <v>5.1831429999999998E-2</v>
      </c>
      <c r="W3542">
        <v>-3.7523279999999999E-2</v>
      </c>
      <c r="X3542">
        <v>0.99795069999999997</v>
      </c>
      <c r="Y3542">
        <v>-0.13498270000000001</v>
      </c>
      <c r="Z3542">
        <v>7.2854310000000005E-2</v>
      </c>
      <c r="AA3542">
        <v>0.98816590000000004</v>
      </c>
      <c r="AB3542">
        <v>27</v>
      </c>
      <c r="AC3542">
        <v>1.6809000000000001</v>
      </c>
      <c r="AD3542">
        <v>-1.1119908597899999</v>
      </c>
      <c r="AE3542">
        <v>-14.8738999999999</v>
      </c>
      <c r="AF3542">
        <v>-2.0419046428836398</v>
      </c>
      <c r="AG3542">
        <v>-1.1119908597899999</v>
      </c>
      <c r="AH3542">
        <v>14.745718928562001</v>
      </c>
      <c r="AI3542">
        <v>94.271964796384694</v>
      </c>
      <c r="AJ3542">
        <v>97.883862600480299</v>
      </c>
      <c r="AK3542">
        <v>14.9278975399431</v>
      </c>
      <c r="AL3542">
        <v>92.150430311671599</v>
      </c>
      <c r="AM3542">
        <v>87.026850943573606</v>
      </c>
      <c r="AN3542">
        <v>1.0000000466541401</v>
      </c>
    </row>
    <row r="3543" spans="1:40" x14ac:dyDescent="0.3">
      <c r="A3543" t="str">
        <f>"20200111160526255"</f>
        <v>20200111160526255</v>
      </c>
      <c r="B3543" t="str">
        <f>"1578729926244882"</f>
        <v>1578729926244882</v>
      </c>
      <c r="C3543" t="s">
        <v>40</v>
      </c>
      <c r="D3543">
        <v>5.3015850000000002</v>
      </c>
      <c r="E3543">
        <v>0.42954300000000001</v>
      </c>
      <c r="F3543" t="s">
        <v>75</v>
      </c>
      <c r="G3543">
        <v>-189.5685</v>
      </c>
      <c r="H3543" s="1">
        <v>-1.451066E-5</v>
      </c>
      <c r="I3543">
        <v>158.52809999999999</v>
      </c>
      <c r="J3543">
        <v>-191.32640000000001</v>
      </c>
      <c r="K3543">
        <v>1.111964</v>
      </c>
      <c r="L3543">
        <v>174.05709999999999</v>
      </c>
      <c r="M3543">
        <v>-2.3609189999999999E-2</v>
      </c>
      <c r="N3543">
        <v>0</v>
      </c>
      <c r="O3543">
        <v>-0.99962470000000003</v>
      </c>
      <c r="P3543">
        <v>-7.5327669999999999E-2</v>
      </c>
      <c r="Q3543">
        <v>-5.1583070000000002E-2</v>
      </c>
      <c r="R3543">
        <v>-0.99582420000000005</v>
      </c>
      <c r="S3543">
        <v>0.33883669999999999</v>
      </c>
      <c r="T3543">
        <v>-0.21462129999999999</v>
      </c>
      <c r="U3543">
        <v>-3.0278320000000001</v>
      </c>
      <c r="V3543">
        <v>5.1955870000000001E-2</v>
      </c>
      <c r="W3543">
        <v>-3.747383E-2</v>
      </c>
      <c r="X3543">
        <v>0.997946</v>
      </c>
      <c r="Y3543">
        <v>-0.13437289999999999</v>
      </c>
      <c r="Z3543">
        <v>7.0137320000000003E-2</v>
      </c>
      <c r="AA3543">
        <v>0.98844560000000004</v>
      </c>
      <c r="AB3543">
        <v>27</v>
      </c>
      <c r="AC3543">
        <v>1.7579</v>
      </c>
      <c r="AD3543">
        <v>-1.11197851066</v>
      </c>
      <c r="AE3543">
        <v>-15.5289999999999</v>
      </c>
      <c r="AF3543">
        <v>-2.11337320432779</v>
      </c>
      <c r="AG3543">
        <v>-1.11197851066</v>
      </c>
      <c r="AH3543">
        <v>15.4051734323173</v>
      </c>
      <c r="AI3543">
        <v>94.090392783220196</v>
      </c>
      <c r="AJ3543">
        <v>97.811415364368699</v>
      </c>
      <c r="AK3543">
        <v>15.589169669636499</v>
      </c>
      <c r="AL3543">
        <v>92.147595228370307</v>
      </c>
      <c r="AM3543">
        <v>87.019711671548194</v>
      </c>
      <c r="AN3543">
        <v>0.99999995963916199</v>
      </c>
    </row>
    <row r="3544" spans="1:40" x14ac:dyDescent="0.3">
      <c r="A3544" t="str">
        <f>"20200111160526269"</f>
        <v>20200111160526269</v>
      </c>
      <c r="B3544" t="str">
        <f>"1578729926265378"</f>
        <v>1578729926265378</v>
      </c>
      <c r="C3544" t="s">
        <v>40</v>
      </c>
      <c r="D3544">
        <v>5.1412120000000003</v>
      </c>
      <c r="E3544">
        <v>0.42980020000000002</v>
      </c>
      <c r="F3544" t="s">
        <v>75</v>
      </c>
      <c r="G3544">
        <v>-189.56829999999999</v>
      </c>
      <c r="H3544" s="1">
        <v>-1.4524E-5</v>
      </c>
      <c r="I3544">
        <v>158.5592</v>
      </c>
      <c r="J3544">
        <v>-191.32859999999999</v>
      </c>
      <c r="K3544">
        <v>1.1119540000000001</v>
      </c>
      <c r="L3544">
        <v>173.90049999999999</v>
      </c>
      <c r="M3544">
        <v>-2.2182480000000001E-2</v>
      </c>
      <c r="N3544">
        <v>0</v>
      </c>
      <c r="O3544">
        <v>-0.99965700000000002</v>
      </c>
      <c r="P3544">
        <v>-7.4147299999999999E-2</v>
      </c>
      <c r="Q3544">
        <v>-5.1303010000000003E-2</v>
      </c>
      <c r="R3544">
        <v>-0.9959268</v>
      </c>
      <c r="S3544">
        <v>0.3434296</v>
      </c>
      <c r="T3544">
        <v>-0.21721019999999999</v>
      </c>
      <c r="U3544">
        <v>-3.0273129999999999</v>
      </c>
      <c r="V3544">
        <v>5.2194270000000001E-2</v>
      </c>
      <c r="W3544">
        <v>-3.718494E-2</v>
      </c>
      <c r="X3544">
        <v>0.99794439999999995</v>
      </c>
      <c r="Y3544">
        <v>-0.1344515</v>
      </c>
      <c r="Z3544">
        <v>7.0988250000000003E-2</v>
      </c>
      <c r="AA3544">
        <v>0.98837419999999998</v>
      </c>
      <c r="AB3544">
        <v>27</v>
      </c>
      <c r="AC3544">
        <v>1.7603</v>
      </c>
      <c r="AD3544">
        <v>-1.1119685239999999</v>
      </c>
      <c r="AE3544">
        <v>-15.341299999999899</v>
      </c>
      <c r="AF3544">
        <v>-2.0893736538356702</v>
      </c>
      <c r="AG3544">
        <v>-1.1119685239999999</v>
      </c>
      <c r="AH3544">
        <v>15.2195536771146</v>
      </c>
      <c r="AI3544">
        <v>94.140016803198094</v>
      </c>
      <c r="AJ3544">
        <v>97.816828099436606</v>
      </c>
      <c r="AK3544">
        <v>15.4024923435879</v>
      </c>
      <c r="AL3544">
        <v>92.131031432971696</v>
      </c>
      <c r="AM3544">
        <v>87.006056621846</v>
      </c>
      <c r="AN3544">
        <v>0.99999999353749802</v>
      </c>
    </row>
    <row r="3545" spans="1:40" x14ac:dyDescent="0.3">
      <c r="A3545" t="str">
        <f>"20200111160526284"</f>
        <v>20200111160526284</v>
      </c>
      <c r="B3545" t="str">
        <f>"1578729926275141"</f>
        <v>1578729926275141</v>
      </c>
      <c r="C3545" t="s">
        <v>40</v>
      </c>
      <c r="D3545">
        <v>5.1908110000000001</v>
      </c>
      <c r="E3545">
        <v>0.42985010000000001</v>
      </c>
      <c r="F3545" t="s">
        <v>75</v>
      </c>
      <c r="G3545">
        <v>-189.571</v>
      </c>
      <c r="H3545" s="1">
        <v>-1.449348E-5</v>
      </c>
      <c r="I3545">
        <v>158.4881</v>
      </c>
      <c r="J3545">
        <v>-191.33099999999999</v>
      </c>
      <c r="K3545">
        <v>1.1119490000000001</v>
      </c>
      <c r="L3545">
        <v>173.70689999999999</v>
      </c>
      <c r="M3545">
        <v>-2.0433420000000001E-2</v>
      </c>
      <c r="N3545">
        <v>0</v>
      </c>
      <c r="O3545">
        <v>-0.99969410000000003</v>
      </c>
      <c r="P3545">
        <v>-7.3050399999999904E-2</v>
      </c>
      <c r="Q3545">
        <v>-5.0218600000000002E-2</v>
      </c>
      <c r="R3545">
        <v>-0.99606309999999998</v>
      </c>
      <c r="S3545">
        <v>0.34515380000000001</v>
      </c>
      <c r="T3545">
        <v>-0.2183698</v>
      </c>
      <c r="U3545">
        <v>-3.0267029999999999</v>
      </c>
      <c r="V3545">
        <v>5.2833329999999998E-2</v>
      </c>
      <c r="W3545">
        <v>-3.6089349999999999E-2</v>
      </c>
      <c r="X3545">
        <v>0.99795100000000003</v>
      </c>
      <c r="Y3545">
        <v>-0.13329269999999999</v>
      </c>
      <c r="Z3545">
        <v>7.1386899999999906E-2</v>
      </c>
      <c r="AA3545">
        <v>0.9885024</v>
      </c>
      <c r="AB3545">
        <v>27</v>
      </c>
      <c r="AC3545">
        <v>1.75999999999999</v>
      </c>
      <c r="AD3545">
        <v>-1.11196349348</v>
      </c>
      <c r="AE3545">
        <v>-15.2187999999999</v>
      </c>
      <c r="AF3545">
        <v>-2.0597837403189199</v>
      </c>
      <c r="AG3545">
        <v>-1.11196349348</v>
      </c>
      <c r="AH3545">
        <v>15.1001074058704</v>
      </c>
      <c r="AI3545">
        <v>94.173119501266996</v>
      </c>
      <c r="AJ3545">
        <v>97.767692328124298</v>
      </c>
      <c r="AK3545">
        <v>15.280458616695199</v>
      </c>
      <c r="AL3545">
        <v>92.068216560872798</v>
      </c>
      <c r="AM3545">
        <v>86.969487084780297</v>
      </c>
      <c r="AN3545">
        <v>1.00000000017165</v>
      </c>
    </row>
    <row r="3546" spans="1:40" x14ac:dyDescent="0.3">
      <c r="A3546" t="str">
        <f>"20200111160526297"</f>
        <v>20200111160526297</v>
      </c>
      <c r="B3546" t="str">
        <f>"1578729926284899"</f>
        <v>1578729926284899</v>
      </c>
      <c r="C3546" t="s">
        <v>40</v>
      </c>
      <c r="D3546">
        <v>5.6176250000000003</v>
      </c>
      <c r="E3546">
        <v>0.42985010000000001</v>
      </c>
      <c r="F3546" t="s">
        <v>75</v>
      </c>
      <c r="G3546">
        <v>-189.54400000000001</v>
      </c>
      <c r="H3546" s="1">
        <v>-1.43613299999999E-5</v>
      </c>
      <c r="I3546">
        <v>158.18</v>
      </c>
      <c r="J3546">
        <v>-191.33260000000001</v>
      </c>
      <c r="K3546">
        <v>1.1119380000000001</v>
      </c>
      <c r="L3546">
        <v>173.55439999999999</v>
      </c>
      <c r="M3546">
        <v>-1.9066130000000001E-2</v>
      </c>
      <c r="N3546">
        <v>0</v>
      </c>
      <c r="O3546">
        <v>-0.99972110000000003</v>
      </c>
      <c r="P3546">
        <v>-7.2264640000000005E-2</v>
      </c>
      <c r="Q3546">
        <v>-5.0019479999999998E-2</v>
      </c>
      <c r="R3546">
        <v>-0.99613059999999998</v>
      </c>
      <c r="S3546">
        <v>0.34831240000000002</v>
      </c>
      <c r="T3546">
        <v>-0.21674260000000001</v>
      </c>
      <c r="U3546">
        <v>-3.0264890000000002</v>
      </c>
      <c r="V3546">
        <v>5.3408329999999997E-2</v>
      </c>
      <c r="W3546">
        <v>-3.5882869999999997E-2</v>
      </c>
      <c r="X3546">
        <v>0.99792780000000003</v>
      </c>
      <c r="Y3546">
        <v>-0.13296769999999999</v>
      </c>
      <c r="Z3546">
        <v>7.0862839999999996E-2</v>
      </c>
      <c r="AA3546">
        <v>0.98858389999999996</v>
      </c>
      <c r="AB3546">
        <v>27</v>
      </c>
      <c r="AC3546">
        <v>1.7886</v>
      </c>
      <c r="AD3546">
        <v>-1.11195236133</v>
      </c>
      <c r="AE3546">
        <v>-15.3743999999999</v>
      </c>
      <c r="AF3546">
        <v>-2.0707463756549802</v>
      </c>
      <c r="AG3546">
        <v>-1.11195236133</v>
      </c>
      <c r="AH3546">
        <v>15.258748693931199</v>
      </c>
      <c r="AI3546">
        <v>94.130227083671898</v>
      </c>
      <c r="AJ3546">
        <v>97.728328006412696</v>
      </c>
      <c r="AK3546">
        <v>15.4387123916052</v>
      </c>
      <c r="AL3546">
        <v>92.056378539087106</v>
      </c>
      <c r="AM3546">
        <v>86.936496560520595</v>
      </c>
      <c r="AN3546">
        <v>0.99999996204283204</v>
      </c>
    </row>
    <row r="3547" spans="1:40" x14ac:dyDescent="0.3">
      <c r="A3547" t="str">
        <f>"20200111160526310"</f>
        <v>20200111160526310</v>
      </c>
      <c r="B3547" t="str">
        <f>"1578729926305394"</f>
        <v>1578729926305394</v>
      </c>
      <c r="C3547" t="s">
        <v>40</v>
      </c>
      <c r="D3547">
        <v>5.2287999999999997</v>
      </c>
      <c r="E3547">
        <v>0.42075659999999998</v>
      </c>
      <c r="F3547" t="s">
        <v>75</v>
      </c>
      <c r="G3547">
        <v>-189.52719999999999</v>
      </c>
      <c r="H3547" s="1">
        <v>-1.427561E-5</v>
      </c>
      <c r="I3547">
        <v>157.9802</v>
      </c>
      <c r="J3547">
        <v>-191.334</v>
      </c>
      <c r="K3547">
        <v>1.111931</v>
      </c>
      <c r="L3547">
        <v>173.40799999999999</v>
      </c>
      <c r="M3547">
        <v>-1.7759319999999999E-2</v>
      </c>
      <c r="N3547">
        <v>0</v>
      </c>
      <c r="O3547">
        <v>-0.99974499999999999</v>
      </c>
      <c r="P3547">
        <v>-7.1425269999999999E-2</v>
      </c>
      <c r="Q3547">
        <v>-4.978693E-2</v>
      </c>
      <c r="R3547">
        <v>-0.99620260000000005</v>
      </c>
      <c r="S3547">
        <v>0.35081479999999998</v>
      </c>
      <c r="T3547">
        <v>-0.2160668</v>
      </c>
      <c r="U3547">
        <v>-3.0262600000000002</v>
      </c>
      <c r="V3547">
        <v>5.3869319999999998E-2</v>
      </c>
      <c r="W3547">
        <v>-3.564399E-2</v>
      </c>
      <c r="X3547">
        <v>0.99791160000000001</v>
      </c>
      <c r="Y3547">
        <v>-0.1324892</v>
      </c>
      <c r="Z3547">
        <v>7.0649829999999997E-2</v>
      </c>
      <c r="AA3547">
        <v>0.98866339999999997</v>
      </c>
      <c r="AB3547">
        <v>27</v>
      </c>
      <c r="AC3547">
        <v>1.8068</v>
      </c>
      <c r="AD3547">
        <v>-1.1119452756099999</v>
      </c>
      <c r="AE3547">
        <v>-15.4277999999999</v>
      </c>
      <c r="AF3547">
        <v>-2.0699217874262401</v>
      </c>
      <c r="AG3547">
        <v>-1.1119452756099999</v>
      </c>
      <c r="AH3547">
        <v>15.3147966683334</v>
      </c>
      <c r="AI3547">
        <v>94.115437729606001</v>
      </c>
      <c r="AJ3547">
        <v>97.697354814664294</v>
      </c>
      <c r="AK3547">
        <v>15.493998692862</v>
      </c>
      <c r="AL3547">
        <v>92.042682925691693</v>
      </c>
      <c r="AM3547">
        <v>86.910055116450295</v>
      </c>
      <c r="AN3547">
        <v>0.999999979537471</v>
      </c>
    </row>
    <row r="3548" spans="1:40" x14ac:dyDescent="0.3">
      <c r="A3548" t="str">
        <f>"20200111160526322"</f>
        <v>20200111160526322</v>
      </c>
      <c r="B3548" t="str">
        <f>"1578729926315155"</f>
        <v>1578729926315155</v>
      </c>
      <c r="C3548" t="s">
        <v>40</v>
      </c>
      <c r="D3548">
        <v>5.1578290000000004</v>
      </c>
      <c r="E3548">
        <v>0.4208249</v>
      </c>
      <c r="F3548" t="s">
        <v>52</v>
      </c>
      <c r="G3548">
        <v>-166.4941</v>
      </c>
      <c r="H3548">
        <v>5.783226</v>
      </c>
      <c r="I3548">
        <v>-17.389949999999999</v>
      </c>
      <c r="J3548">
        <v>-191.33539999999999</v>
      </c>
      <c r="K3548">
        <v>1.1119190000000001</v>
      </c>
      <c r="L3548">
        <v>173.2448</v>
      </c>
      <c r="M3548">
        <v>-1.630742E-2</v>
      </c>
      <c r="N3548">
        <v>0</v>
      </c>
      <c r="O3548">
        <v>-0.99976989999999999</v>
      </c>
      <c r="P3548">
        <v>-7.0576819999999998E-2</v>
      </c>
      <c r="Q3548">
        <v>-5.0001589999999999E-2</v>
      </c>
      <c r="R3548">
        <v>-0.99625269999999999</v>
      </c>
      <c r="S3548">
        <v>0.39624019999999999</v>
      </c>
      <c r="T3548">
        <v>7.4515339999999999E-2</v>
      </c>
      <c r="U3548">
        <v>-3.0435639999999999</v>
      </c>
      <c r="V3548">
        <v>5.4468170000000003E-2</v>
      </c>
      <c r="W3548">
        <v>-3.5852059999999998E-2</v>
      </c>
      <c r="X3548">
        <v>0.99787159999999997</v>
      </c>
      <c r="Y3548">
        <v>-0.1452175</v>
      </c>
      <c r="Z3548">
        <v>-2.4238760000000002E-2</v>
      </c>
      <c r="AA3548">
        <v>0.98910279999999995</v>
      </c>
      <c r="AB3548">
        <v>27</v>
      </c>
      <c r="AC3548">
        <v>24.841299999999901</v>
      </c>
      <c r="AD3548">
        <v>4.6713069999999997</v>
      </c>
      <c r="AE3548">
        <v>-190.63475</v>
      </c>
      <c r="AF3548">
        <v>-27.930568222268299</v>
      </c>
      <c r="AG3548">
        <v>4.6713069999999997</v>
      </c>
      <c r="AH3548">
        <v>190.09202469917</v>
      </c>
      <c r="AI3548">
        <v>88.607248934201493</v>
      </c>
      <c r="AJ3548">
        <v>98.358763580303602</v>
      </c>
      <c r="AK3548">
        <v>192.189790583519</v>
      </c>
      <c r="AL3548">
        <v>92.054612162882094</v>
      </c>
      <c r="AM3548">
        <v>86.875647760732093</v>
      </c>
      <c r="AN3548">
        <v>0.99999994091797395</v>
      </c>
    </row>
    <row r="3549" spans="1:40" x14ac:dyDescent="0.3">
      <c r="A3549" t="str">
        <f>"20200111160526353"</f>
        <v>20200111160526353</v>
      </c>
      <c r="B3549" t="str">
        <f>"1578729926345410"</f>
        <v>1578729926345410</v>
      </c>
      <c r="C3549" t="s">
        <v>40</v>
      </c>
      <c r="D3549">
        <v>5.2761809999999896</v>
      </c>
      <c r="E3549">
        <v>0.42123169999999999</v>
      </c>
      <c r="F3549" t="s">
        <v>52</v>
      </c>
      <c r="G3549">
        <v>-166.4607</v>
      </c>
      <c r="H3549">
        <v>6.4928869999999996</v>
      </c>
      <c r="I3549">
        <v>-17.389949999999999</v>
      </c>
      <c r="J3549">
        <v>-191.3374</v>
      </c>
      <c r="K3549">
        <v>1.111891</v>
      </c>
      <c r="L3549">
        <v>172.89599999999999</v>
      </c>
      <c r="M3549">
        <v>-1.322575E-2</v>
      </c>
      <c r="N3549">
        <v>0</v>
      </c>
      <c r="O3549">
        <v>-0.99981509999999996</v>
      </c>
      <c r="P3549">
        <v>-6.7900899999999903E-2</v>
      </c>
      <c r="Q3549">
        <v>-5.2147260000000001E-2</v>
      </c>
      <c r="R3549">
        <v>-0.99632860000000001</v>
      </c>
      <c r="S3549">
        <v>0.3971558</v>
      </c>
      <c r="T3549">
        <v>8.5913660000000003E-2</v>
      </c>
      <c r="U3549">
        <v>-3.0437159999999999</v>
      </c>
      <c r="V3549">
        <v>5.4871999999999997E-2</v>
      </c>
      <c r="W3549">
        <v>-3.7989460000000003E-2</v>
      </c>
      <c r="X3549">
        <v>0.99777039999999995</v>
      </c>
      <c r="Y3549">
        <v>-0.14244100000000001</v>
      </c>
      <c r="Z3549">
        <v>-2.7949399999999999E-2</v>
      </c>
      <c r="AA3549">
        <v>0.98940859999999997</v>
      </c>
      <c r="AB3549">
        <v>27</v>
      </c>
      <c r="AC3549">
        <v>24.8767</v>
      </c>
      <c r="AD3549">
        <v>5.3809959999999997</v>
      </c>
      <c r="AE3549">
        <v>-190.28595000000001</v>
      </c>
      <c r="AF3549">
        <v>-27.369924204985399</v>
      </c>
      <c r="AG3549">
        <v>5.3809959999999997</v>
      </c>
      <c r="AH3549">
        <v>189.791038272094</v>
      </c>
      <c r="AI3549">
        <v>88.3925924711302</v>
      </c>
      <c r="AJ3549">
        <v>98.206097566473801</v>
      </c>
      <c r="AK3549">
        <v>191.829888383792</v>
      </c>
      <c r="AL3549">
        <v>92.1771597191523</v>
      </c>
      <c r="AM3549">
        <v>86.852211450904306</v>
      </c>
      <c r="AN3549">
        <v>0.99999995328562397</v>
      </c>
    </row>
    <row r="3550" spans="1:40" x14ac:dyDescent="0.3">
      <c r="A3550" t="str">
        <f>"20200111160526365"</f>
        <v>20200111160526365</v>
      </c>
      <c r="B3550" t="str">
        <f>"1578729926355170"</f>
        <v>1578729926355170</v>
      </c>
      <c r="C3550" t="s">
        <v>40</v>
      </c>
      <c r="D3550">
        <v>5.2567940000000002</v>
      </c>
      <c r="E3550">
        <v>0.42138019999999998</v>
      </c>
      <c r="F3550" t="s">
        <v>52</v>
      </c>
      <c r="G3550">
        <v>-166.0898</v>
      </c>
      <c r="H3550">
        <v>4.9922769999999996</v>
      </c>
      <c r="I3550">
        <v>-17.389949999999999</v>
      </c>
      <c r="J3550">
        <v>-191.33799999999999</v>
      </c>
      <c r="K3550">
        <v>1.1118840000000001</v>
      </c>
      <c r="L3550">
        <v>172.74610000000001</v>
      </c>
      <c r="M3550">
        <v>-1.190712E-2</v>
      </c>
      <c r="N3550">
        <v>0</v>
      </c>
      <c r="O3550">
        <v>-0.99983169999999999</v>
      </c>
      <c r="P3550">
        <v>-6.6955899999999999E-2</v>
      </c>
      <c r="Q3550">
        <v>-5.2806640000000002E-2</v>
      </c>
      <c r="R3550">
        <v>-0.99635759999999995</v>
      </c>
      <c r="S3550">
        <v>0.40359499999999998</v>
      </c>
      <c r="T3550">
        <v>6.2029720000000003E-2</v>
      </c>
      <c r="U3550">
        <v>-3.0418090000000002</v>
      </c>
      <c r="V3550">
        <v>5.524374E-2</v>
      </c>
      <c r="W3550">
        <v>-3.8644999999999999E-2</v>
      </c>
      <c r="X3550">
        <v>0.99772479999999997</v>
      </c>
      <c r="Y3550">
        <v>-0.1432985</v>
      </c>
      <c r="Z3550">
        <v>-2.019232E-2</v>
      </c>
      <c r="AA3550">
        <v>0.98947350000000001</v>
      </c>
      <c r="AB3550">
        <v>27</v>
      </c>
      <c r="AC3550">
        <v>25.248200000000001</v>
      </c>
      <c r="AD3550">
        <v>3.8803930000000002</v>
      </c>
      <c r="AE3550">
        <v>-190.13605000000001</v>
      </c>
      <c r="AF3550">
        <v>-27.499347837085899</v>
      </c>
      <c r="AG3550">
        <v>3.8803930000000002</v>
      </c>
      <c r="AH3550">
        <v>189.74424513069701</v>
      </c>
      <c r="AI3550">
        <v>88.840537613699297</v>
      </c>
      <c r="AJ3550">
        <v>98.246374604548507</v>
      </c>
      <c r="AK3550">
        <v>191.76587324526099</v>
      </c>
      <c r="AL3550">
        <v>92.2147468041575</v>
      </c>
      <c r="AM3550">
        <v>86.830784981510007</v>
      </c>
      <c r="AN3550">
        <v>1.00000004168461</v>
      </c>
    </row>
    <row r="3551" spans="1:40" x14ac:dyDescent="0.3">
      <c r="A3551" t="str">
        <f>"20200111160526379"</f>
        <v>20200111160526379</v>
      </c>
      <c r="B3551" t="str">
        <f>"1578729926374691"</f>
        <v>1578729926374691</v>
      </c>
      <c r="C3551" t="s">
        <v>40</v>
      </c>
      <c r="D3551">
        <v>5.2623490000000004</v>
      </c>
      <c r="E3551">
        <v>0.4237554</v>
      </c>
      <c r="F3551" t="s">
        <v>52</v>
      </c>
      <c r="G3551">
        <v>-165.90639999999999</v>
      </c>
      <c r="H3551">
        <v>4.0634269999999999</v>
      </c>
      <c r="I3551">
        <v>-17.389949999999999</v>
      </c>
      <c r="J3551">
        <v>-191.3383</v>
      </c>
      <c r="K3551">
        <v>1.111882</v>
      </c>
      <c r="L3551">
        <v>172.58160000000001</v>
      </c>
      <c r="M3551">
        <v>-1.0466609999999999E-2</v>
      </c>
      <c r="N3551">
        <v>0</v>
      </c>
      <c r="O3551">
        <v>-0.99984779999999995</v>
      </c>
      <c r="P3551">
        <v>-6.5823140000000002E-2</v>
      </c>
      <c r="Q3551">
        <v>-5.2821409999999999E-2</v>
      </c>
      <c r="R3551">
        <v>-0.9964326</v>
      </c>
      <c r="S3551">
        <v>0.406723</v>
      </c>
      <c r="T3551">
        <v>4.7203299999999997E-2</v>
      </c>
      <c r="U3551">
        <v>-3.0408019999999998</v>
      </c>
      <c r="V3551">
        <v>5.554605E-2</v>
      </c>
      <c r="W3551">
        <v>-3.8656040000000003E-2</v>
      </c>
      <c r="X3551">
        <v>0.99770749999999997</v>
      </c>
      <c r="Y3551">
        <v>-0.1429269</v>
      </c>
      <c r="Z3551">
        <v>-1.537205E-2</v>
      </c>
      <c r="AA3551">
        <v>0.98961390000000005</v>
      </c>
      <c r="AB3551">
        <v>27</v>
      </c>
      <c r="AC3551">
        <v>25.431899999999999</v>
      </c>
      <c r="AD3551">
        <v>2.9515449999999999</v>
      </c>
      <c r="AE3551">
        <v>-189.97155000000001</v>
      </c>
      <c r="AF3551">
        <v>-27.412557854086099</v>
      </c>
      <c r="AG3551">
        <v>2.9515449999999999</v>
      </c>
      <c r="AH3551">
        <v>189.649956442996</v>
      </c>
      <c r="AI3551">
        <v>89.117540237390799</v>
      </c>
      <c r="AJ3551">
        <v>98.224735905001097</v>
      </c>
      <c r="AK3551">
        <v>191.64359087853899</v>
      </c>
      <c r="AL3551">
        <v>92.215380016160196</v>
      </c>
      <c r="AM3551">
        <v>86.813422607471296</v>
      </c>
      <c r="AN3551">
        <v>0.99999995432766597</v>
      </c>
    </row>
    <row r="3552" spans="1:40" x14ac:dyDescent="0.3">
      <c r="A3552" t="str">
        <f>"20200111160526397"</f>
        <v>20200111160526397</v>
      </c>
      <c r="B3552" t="str">
        <f>"1578729926385426"</f>
        <v>1578729926385426</v>
      </c>
      <c r="C3552" t="s">
        <v>40</v>
      </c>
      <c r="D3552">
        <v>5.331156</v>
      </c>
      <c r="E3552">
        <v>0.42358820000000003</v>
      </c>
      <c r="F3552" t="s">
        <v>44</v>
      </c>
      <c r="G3552">
        <v>-171.63040000000001</v>
      </c>
      <c r="H3552">
        <v>-0.05</v>
      </c>
      <c r="I3552">
        <v>22.415369999999999</v>
      </c>
      <c r="J3552">
        <v>-191.33850000000001</v>
      </c>
      <c r="K3552">
        <v>1.1118779999999999</v>
      </c>
      <c r="L3552">
        <v>172.38030000000001</v>
      </c>
      <c r="M3552">
        <v>-8.7102269999999992E-3</v>
      </c>
      <c r="N3552">
        <v>0</v>
      </c>
      <c r="O3552">
        <v>-0.99986430000000004</v>
      </c>
      <c r="P3552">
        <v>-6.4823259999999994E-2</v>
      </c>
      <c r="Q3552">
        <v>-5.2282790000000003E-2</v>
      </c>
      <c r="R3552">
        <v>-0.99652620000000003</v>
      </c>
      <c r="S3552">
        <v>0.3984222</v>
      </c>
      <c r="T3552">
        <v>-2.3488999999999999E-2</v>
      </c>
      <c r="U3552">
        <v>-3.035812</v>
      </c>
      <c r="V3552">
        <v>5.6293709999999997E-2</v>
      </c>
      <c r="W3552">
        <v>-3.811204E-2</v>
      </c>
      <c r="X3552">
        <v>0.99768659999999998</v>
      </c>
      <c r="Y3552">
        <v>-0.13875309999999999</v>
      </c>
      <c r="Z3552">
        <v>7.6663419999999996E-3</v>
      </c>
      <c r="AA3552">
        <v>0.99029730000000005</v>
      </c>
      <c r="AB3552">
        <v>27</v>
      </c>
      <c r="AC3552">
        <v>19.708100000000002</v>
      </c>
      <c r="AD3552">
        <v>-1.161878</v>
      </c>
      <c r="AE3552">
        <v>-149.96493000000001</v>
      </c>
      <c r="AF3552">
        <v>-21.012468638559099</v>
      </c>
      <c r="AG3552">
        <v>-1.161878</v>
      </c>
      <c r="AH3552">
        <v>149.77872317257899</v>
      </c>
      <c r="AI3552">
        <v>90.440141445362201</v>
      </c>
      <c r="AJ3552">
        <v>97.985910450774398</v>
      </c>
      <c r="AK3552">
        <v>151.24992467429999</v>
      </c>
      <c r="AL3552">
        <v>92.184187957105294</v>
      </c>
      <c r="AM3552">
        <v>86.770553366593802</v>
      </c>
      <c r="AN3552">
        <v>1.00000003059904</v>
      </c>
    </row>
    <row r="3553" spans="1:40" x14ac:dyDescent="0.3">
      <c r="A3553" t="str">
        <f>"20200111160526411"</f>
        <v>20200111160526411</v>
      </c>
      <c r="B3553" t="str">
        <f>"1578729926404946"</f>
        <v>1578729926404946</v>
      </c>
      <c r="C3553" t="s">
        <v>40</v>
      </c>
      <c r="D3553">
        <v>5.4312019999999999</v>
      </c>
      <c r="E3553">
        <v>0.42376469999999999</v>
      </c>
      <c r="F3553" t="s">
        <v>44</v>
      </c>
      <c r="G3553">
        <v>-169.70429999999999</v>
      </c>
      <c r="H3553">
        <v>-0.05</v>
      </c>
      <c r="I3553">
        <v>9.2163240000000002</v>
      </c>
      <c r="J3553">
        <v>-191.33840000000001</v>
      </c>
      <c r="K3553">
        <v>1.111877</v>
      </c>
      <c r="L3553">
        <v>172.2022</v>
      </c>
      <c r="M3553">
        <v>-7.1623769999999897E-3</v>
      </c>
      <c r="N3553">
        <v>0</v>
      </c>
      <c r="O3553">
        <v>-0.99987680000000001</v>
      </c>
      <c r="P3553">
        <v>-6.3834219999999997E-2</v>
      </c>
      <c r="Q3553">
        <v>-5.167273E-2</v>
      </c>
      <c r="R3553">
        <v>-0.99662209999999996</v>
      </c>
      <c r="S3553">
        <v>0.40248109999999998</v>
      </c>
      <c r="T3553">
        <v>-2.1615510000000001E-2</v>
      </c>
      <c r="U3553">
        <v>-3.0354920000000001</v>
      </c>
      <c r="V3553">
        <v>5.684409E-2</v>
      </c>
      <c r="W3553">
        <v>-3.7498240000000002E-2</v>
      </c>
      <c r="X3553">
        <v>0.99767859999999997</v>
      </c>
      <c r="Y3553">
        <v>-0.13853560000000001</v>
      </c>
      <c r="Z3553">
        <v>7.0552649999999998E-3</v>
      </c>
      <c r="AA3553">
        <v>0.99033230000000005</v>
      </c>
      <c r="AB3553">
        <v>27</v>
      </c>
      <c r="AC3553">
        <v>21.6341</v>
      </c>
      <c r="AD3553">
        <v>-1.161877</v>
      </c>
      <c r="AE3553">
        <v>-162.98587599999999</v>
      </c>
      <c r="AF3553">
        <v>-22.799886556545498</v>
      </c>
      <c r="AG3553">
        <v>-1.161877</v>
      </c>
      <c r="AH3553">
        <v>162.81859696364799</v>
      </c>
      <c r="AI3553">
        <v>90.404906455310197</v>
      </c>
      <c r="AJ3553">
        <v>97.971433727200704</v>
      </c>
      <c r="AK3553">
        <v>164.411314398873</v>
      </c>
      <c r="AL3553">
        <v>92.148994761037898</v>
      </c>
      <c r="AM3553">
        <v>86.739020992884406</v>
      </c>
      <c r="AN3553">
        <v>0.99999997873449198</v>
      </c>
    </row>
    <row r="3554" spans="1:40" x14ac:dyDescent="0.3">
      <c r="A3554" t="str">
        <f>"20200111160526425"</f>
        <v>20200111160526425</v>
      </c>
      <c r="B3554" t="str">
        <f>"1578729926414706"</f>
        <v>1578729926414706</v>
      </c>
      <c r="C3554" t="s">
        <v>40</v>
      </c>
      <c r="D3554">
        <v>5.415813</v>
      </c>
      <c r="E3554">
        <v>0.42503600000000002</v>
      </c>
      <c r="F3554" t="s">
        <v>44</v>
      </c>
      <c r="G3554">
        <v>-169.83330000000001</v>
      </c>
      <c r="H3554">
        <v>-0.05</v>
      </c>
      <c r="I3554">
        <v>10.879300000000001</v>
      </c>
      <c r="J3554">
        <v>-191.3381</v>
      </c>
      <c r="K3554">
        <v>1.1118749999999999</v>
      </c>
      <c r="L3554">
        <v>172.04730000000001</v>
      </c>
      <c r="M3554">
        <v>-5.821054E-3</v>
      </c>
      <c r="N3554">
        <v>0</v>
      </c>
      <c r="O3554">
        <v>-0.99988529999999998</v>
      </c>
      <c r="P3554">
        <v>-6.2775079999999997E-2</v>
      </c>
      <c r="Q3554">
        <v>-5.092903E-2</v>
      </c>
      <c r="R3554">
        <v>-0.99672749999999999</v>
      </c>
      <c r="S3554">
        <v>0.40457149999999997</v>
      </c>
      <c r="T3554">
        <v>-2.1858220000000001E-2</v>
      </c>
      <c r="U3554">
        <v>-3.0349430000000002</v>
      </c>
      <c r="V3554">
        <v>5.7118040000000002E-2</v>
      </c>
      <c r="W3554">
        <v>-3.6752260000000002E-2</v>
      </c>
      <c r="X3554">
        <v>0.99769070000000004</v>
      </c>
      <c r="Y3554">
        <v>-0.13790060000000001</v>
      </c>
      <c r="Z3554">
        <v>7.13585E-3</v>
      </c>
      <c r="AA3554">
        <v>0.99042030000000003</v>
      </c>
      <c r="AB3554">
        <v>27</v>
      </c>
      <c r="AC3554">
        <v>21.5047999999999</v>
      </c>
      <c r="AD3554">
        <v>-1.161875</v>
      </c>
      <c r="AE3554">
        <v>-161.16800000000001</v>
      </c>
      <c r="AF3554">
        <v>-22.4415490270876</v>
      </c>
      <c r="AG3554">
        <v>-1.161875</v>
      </c>
      <c r="AH3554">
        <v>161.03185344537599</v>
      </c>
      <c r="AI3554">
        <v>90.409435945165995</v>
      </c>
      <c r="AJ3554">
        <v>97.933695171307306</v>
      </c>
      <c r="AK3554">
        <v>162.592222754669</v>
      </c>
      <c r="AL3554">
        <v>92.106223794935104</v>
      </c>
      <c r="AM3554">
        <v>86.723379097788794</v>
      </c>
      <c r="AN3554">
        <v>0.99999996598751895</v>
      </c>
    </row>
    <row r="3555" spans="1:40" x14ac:dyDescent="0.3">
      <c r="A3555" t="str">
        <f>"20200111160526442"</f>
        <v>20200111160526442</v>
      </c>
      <c r="B3555" t="str">
        <f>"1578729926435223"</f>
        <v>1578729926435223</v>
      </c>
      <c r="C3555" t="s">
        <v>40</v>
      </c>
      <c r="D3555">
        <v>5.6243109999999996</v>
      </c>
      <c r="E3555">
        <v>0.42713859999999898</v>
      </c>
      <c r="F3555" t="s">
        <v>41</v>
      </c>
      <c r="G3555">
        <v>-179.62110000000001</v>
      </c>
      <c r="H3555">
        <v>7.9986349999999998E-2</v>
      </c>
      <c r="I3555">
        <v>82.999510000000001</v>
      </c>
      <c r="J3555">
        <v>-191.3373</v>
      </c>
      <c r="K3555">
        <v>1.1118680000000001</v>
      </c>
      <c r="L3555">
        <v>171.8408</v>
      </c>
      <c r="M3555">
        <v>-4.0442029999999997E-3</v>
      </c>
      <c r="N3555">
        <v>0</v>
      </c>
      <c r="O3555">
        <v>-0.99989410000000001</v>
      </c>
      <c r="P3555">
        <v>-6.1818949999999998E-2</v>
      </c>
      <c r="Q3555">
        <v>-5.0134789999999999E-2</v>
      </c>
      <c r="R3555">
        <v>-0.99682760000000004</v>
      </c>
      <c r="S3555">
        <v>0.39910889999999999</v>
      </c>
      <c r="T3555">
        <v>-3.5148499999999999E-2</v>
      </c>
      <c r="U3555">
        <v>-3.0331730000000001</v>
      </c>
      <c r="V3555">
        <v>5.7928790000000001E-2</v>
      </c>
      <c r="W3555">
        <v>-3.5954769999999997E-2</v>
      </c>
      <c r="X3555">
        <v>0.99767300000000003</v>
      </c>
      <c r="Y3555">
        <v>-0.1344572</v>
      </c>
      <c r="Z3555">
        <v>1.148501E-2</v>
      </c>
      <c r="AA3555">
        <v>0.99085279999999998</v>
      </c>
      <c r="AB3555">
        <v>26</v>
      </c>
      <c r="AC3555">
        <v>11.716199999999899</v>
      </c>
      <c r="AD3555">
        <v>-1.0318816500000001</v>
      </c>
      <c r="AE3555">
        <v>-88.841290000000001</v>
      </c>
      <c r="AF3555">
        <v>-12.0738305100333</v>
      </c>
      <c r="AG3555">
        <v>-1.0318816500000001</v>
      </c>
      <c r="AH3555">
        <v>88.781403639122203</v>
      </c>
      <c r="AI3555">
        <v>90.659829820041296</v>
      </c>
      <c r="AJ3555">
        <v>97.744431501585396</v>
      </c>
      <c r="AK3555">
        <v>89.604574632422398</v>
      </c>
      <c r="AL3555">
        <v>92.060500785361199</v>
      </c>
      <c r="AM3555">
        <v>86.676914469097696</v>
      </c>
      <c r="AN3555">
        <v>0.99999995256280705</v>
      </c>
    </row>
    <row r="3556" spans="1:40" x14ac:dyDescent="0.3">
      <c r="A3556" t="str">
        <f>"20200111160526454"</f>
        <v>20200111160526454</v>
      </c>
      <c r="B3556" t="str">
        <f>"1578729926444962"</f>
        <v>1578729926444962</v>
      </c>
      <c r="C3556" t="s">
        <v>40</v>
      </c>
      <c r="D3556">
        <v>5.3221160000000003</v>
      </c>
      <c r="E3556">
        <v>0.42768489999999998</v>
      </c>
      <c r="F3556" t="s">
        <v>41</v>
      </c>
      <c r="G3556">
        <v>-183.68700000000001</v>
      </c>
      <c r="H3556" s="1">
        <v>-2.4918949999999999E-6</v>
      </c>
      <c r="I3556">
        <v>112.0346</v>
      </c>
      <c r="J3556">
        <v>-191.3366</v>
      </c>
      <c r="K3556">
        <v>1.1118589999999999</v>
      </c>
      <c r="L3556">
        <v>171.7029</v>
      </c>
      <c r="M3556">
        <v>-2.8684399999999999E-3</v>
      </c>
      <c r="N3556">
        <v>0</v>
      </c>
      <c r="O3556">
        <v>-0.99989830000000002</v>
      </c>
      <c r="P3556">
        <v>-6.1037670000000002E-2</v>
      </c>
      <c r="Q3556">
        <v>-5.051282E-2</v>
      </c>
      <c r="R3556">
        <v>-0.99685670000000004</v>
      </c>
      <c r="S3556">
        <v>0.38769530000000002</v>
      </c>
      <c r="T3556">
        <v>-5.6345939999999997E-2</v>
      </c>
      <c r="U3556">
        <v>-3.0307770000000001</v>
      </c>
      <c r="V3556">
        <v>5.8320259999999999E-2</v>
      </c>
      <c r="W3556">
        <v>-3.6332400000000001E-2</v>
      </c>
      <c r="X3556">
        <v>0.99763659999999998</v>
      </c>
      <c r="Y3556">
        <v>-0.12970899999999999</v>
      </c>
      <c r="Z3556">
        <v>1.8434329999999999E-2</v>
      </c>
      <c r="AA3556">
        <v>0.99138079999999995</v>
      </c>
      <c r="AB3556">
        <v>26</v>
      </c>
      <c r="AC3556">
        <v>7.6495999999999897</v>
      </c>
      <c r="AD3556">
        <v>-1.1118614918949901</v>
      </c>
      <c r="AE3556">
        <v>-59.668300000000002</v>
      </c>
      <c r="AF3556">
        <v>-7.8180694134629096</v>
      </c>
      <c r="AG3556">
        <v>-1.1118614918949901</v>
      </c>
      <c r="AH3556">
        <v>59.625741002583297</v>
      </c>
      <c r="AI3556">
        <v>91.059225778200698</v>
      </c>
      <c r="AJ3556">
        <v>97.469953318449598</v>
      </c>
      <c r="AK3556">
        <v>60.146383394498699</v>
      </c>
      <c r="AL3556">
        <v>92.082151354299199</v>
      </c>
      <c r="AM3556">
        <v>86.654386838884903</v>
      </c>
      <c r="AN3556">
        <v>1.00000004083789</v>
      </c>
    </row>
    <row r="3557" spans="1:40" x14ac:dyDescent="0.3">
      <c r="A3557" t="str">
        <f>"20200111160526467"</f>
        <v>20200111160526467</v>
      </c>
      <c r="B3557" t="str">
        <f>"1578729926465460"</f>
        <v>1578729926465460</v>
      </c>
      <c r="C3557" t="s">
        <v>40</v>
      </c>
      <c r="D3557">
        <v>5.4464139999999999</v>
      </c>
      <c r="E3557">
        <v>0.4284135</v>
      </c>
      <c r="F3557" t="s">
        <v>75</v>
      </c>
      <c r="G3557">
        <v>-184.845</v>
      </c>
      <c r="H3557" s="1">
        <v>-1.717136E-6</v>
      </c>
      <c r="I3557">
        <v>120.8276</v>
      </c>
      <c r="J3557">
        <v>-191.3357</v>
      </c>
      <c r="K3557">
        <v>1.1118440000000001</v>
      </c>
      <c r="L3557">
        <v>171.55350000000001</v>
      </c>
      <c r="M3557">
        <v>-1.6012610000000001E-3</v>
      </c>
      <c r="N3557">
        <v>0</v>
      </c>
      <c r="O3557">
        <v>-0.99990100000000004</v>
      </c>
      <c r="P3557">
        <v>-6.0479489999999997E-2</v>
      </c>
      <c r="Q3557">
        <v>-5.0896080000000003E-2</v>
      </c>
      <c r="R3557">
        <v>-0.99687110000000001</v>
      </c>
      <c r="S3557">
        <v>0.38659670000000002</v>
      </c>
      <c r="T3557">
        <v>-6.6214800000000004E-2</v>
      </c>
      <c r="U3557">
        <v>-3.029785</v>
      </c>
      <c r="V3557">
        <v>5.9025800000000003E-2</v>
      </c>
      <c r="W3557">
        <v>-3.6714759999999999E-2</v>
      </c>
      <c r="X3557">
        <v>0.9975811</v>
      </c>
      <c r="Y3557">
        <v>-0.1281311</v>
      </c>
      <c r="Z3557">
        <v>2.16715E-2</v>
      </c>
      <c r="AA3557">
        <v>0.99152039999999997</v>
      </c>
      <c r="AB3557">
        <v>26</v>
      </c>
      <c r="AC3557">
        <v>6.4907000000000004</v>
      </c>
      <c r="AD3557">
        <v>-1.1118457171359999</v>
      </c>
      <c r="AE3557">
        <v>-50.725900000000003</v>
      </c>
      <c r="AF3557">
        <v>-6.5688200044201803</v>
      </c>
      <c r="AG3557">
        <v>-1.1118457171359999</v>
      </c>
      <c r="AH3557">
        <v>50.6914792757877</v>
      </c>
      <c r="AI3557">
        <v>91.246084906421999</v>
      </c>
      <c r="AJ3557">
        <v>97.383489024526099</v>
      </c>
      <c r="AK3557">
        <v>51.127406234981201</v>
      </c>
      <c r="AL3557">
        <v>92.104073607055497</v>
      </c>
      <c r="AM3557">
        <v>86.613818341235799</v>
      </c>
      <c r="AN3557">
        <v>1.0000000348723499</v>
      </c>
    </row>
    <row r="3558" spans="1:40" x14ac:dyDescent="0.3">
      <c r="A3558" t="str">
        <f>"20200111160526481"</f>
        <v>20200111160526481</v>
      </c>
      <c r="B3558" t="str">
        <f>"1578729926475218"</f>
        <v>1578729926475218</v>
      </c>
      <c r="C3558" t="s">
        <v>40</v>
      </c>
      <c r="D3558">
        <v>5.4293670000000001</v>
      </c>
      <c r="E3558">
        <v>0.42872569999999999</v>
      </c>
      <c r="F3558" t="s">
        <v>75</v>
      </c>
      <c r="G3558">
        <v>-185.58459999999999</v>
      </c>
      <c r="H3558" s="1">
        <v>-3.733219E-6</v>
      </c>
      <c r="I3558">
        <v>126.0921</v>
      </c>
      <c r="J3558">
        <v>-191.33449999999999</v>
      </c>
      <c r="K3558">
        <v>1.1118239999999999</v>
      </c>
      <c r="L3558">
        <v>171.39089999999999</v>
      </c>
      <c r="M3558">
        <v>-2.3841199999999999E-4</v>
      </c>
      <c r="N3558">
        <v>0</v>
      </c>
      <c r="O3558">
        <v>-0.99990239999999997</v>
      </c>
      <c r="P3558">
        <v>-5.9672070000000001E-2</v>
      </c>
      <c r="Q3558">
        <v>-5.1606159999999998E-2</v>
      </c>
      <c r="R3558">
        <v>-0.99688370000000004</v>
      </c>
      <c r="S3558">
        <v>0.38316349999999999</v>
      </c>
      <c r="T3558">
        <v>-7.4076890000000006E-2</v>
      </c>
      <c r="U3558">
        <v>-3.02887</v>
      </c>
      <c r="V3558">
        <v>5.957821E-2</v>
      </c>
      <c r="W3558">
        <v>-3.7425640000000003E-2</v>
      </c>
      <c r="X3558">
        <v>0.99752180000000001</v>
      </c>
      <c r="Y3558">
        <v>-0.12570309999999901</v>
      </c>
      <c r="Z3558">
        <v>2.4256059999999999E-2</v>
      </c>
      <c r="AA3558">
        <v>0.99177130000000002</v>
      </c>
      <c r="AB3558">
        <v>26</v>
      </c>
      <c r="AC3558">
        <v>5.7498999999999896</v>
      </c>
      <c r="AD3558">
        <v>-1.1118277332190001</v>
      </c>
      <c r="AE3558">
        <v>-45.2987999999999</v>
      </c>
      <c r="AF3558">
        <v>-5.7572873403210298</v>
      </c>
      <c r="AG3558">
        <v>-1.1118277332190001</v>
      </c>
      <c r="AH3558">
        <v>45.270588123291198</v>
      </c>
      <c r="AI3558">
        <v>91.395642426866502</v>
      </c>
      <c r="AJ3558">
        <v>97.247684807974395</v>
      </c>
      <c r="AK3558">
        <v>45.648753186215899</v>
      </c>
      <c r="AL3558">
        <v>92.144832137931004</v>
      </c>
      <c r="AM3558">
        <v>86.581999861529795</v>
      </c>
      <c r="AN3558">
        <v>0.99999999155572605</v>
      </c>
    </row>
    <row r="3559" spans="1:40" x14ac:dyDescent="0.3">
      <c r="A3559" t="str">
        <f>"20200111160526497"</f>
        <v>20200111160526497</v>
      </c>
      <c r="B3559" t="str">
        <f>"1578729926494738"</f>
        <v>1578729926494738</v>
      </c>
      <c r="C3559" t="s">
        <v>40</v>
      </c>
      <c r="D3559">
        <v>5.4124169999999996</v>
      </c>
      <c r="E3559">
        <v>0.42934529999999899</v>
      </c>
      <c r="F3559" t="s">
        <v>75</v>
      </c>
      <c r="G3559">
        <v>-186.00960000000001</v>
      </c>
      <c r="H3559" s="1">
        <v>-4.9673230000000003E-6</v>
      </c>
      <c r="I3559">
        <v>129.3476</v>
      </c>
      <c r="J3559">
        <v>-191.33269999999999</v>
      </c>
      <c r="K3559">
        <v>1.111793</v>
      </c>
      <c r="L3559">
        <v>171.19730000000001</v>
      </c>
      <c r="M3559">
        <v>1.35989799999999E-3</v>
      </c>
      <c r="N3559">
        <v>0</v>
      </c>
      <c r="O3559">
        <v>-0.99990120000000005</v>
      </c>
      <c r="P3559">
        <v>-5.8905449999999998E-2</v>
      </c>
      <c r="Q3559">
        <v>-5.3260179999999997E-2</v>
      </c>
      <c r="R3559">
        <v>-0.99684170000000005</v>
      </c>
      <c r="S3559">
        <v>0.38352969999999997</v>
      </c>
      <c r="T3559">
        <v>-8.0080269999999995E-2</v>
      </c>
      <c r="U3559">
        <v>-3.0281980000000002</v>
      </c>
      <c r="V3559">
        <v>6.040881E-2</v>
      </c>
      <c r="W3559">
        <v>-3.908184E-2</v>
      </c>
      <c r="X3559">
        <v>0.99740830000000003</v>
      </c>
      <c r="Y3559">
        <v>-0.1242564</v>
      </c>
      <c r="Z3559">
        <v>2.622845E-2</v>
      </c>
      <c r="AA3559">
        <v>0.99190339999999999</v>
      </c>
      <c r="AB3559">
        <v>26</v>
      </c>
      <c r="AC3559">
        <v>5.3230999999999797</v>
      </c>
      <c r="AD3559">
        <v>-1.1117979673230001</v>
      </c>
      <c r="AE3559">
        <v>-41.849699999999999</v>
      </c>
      <c r="AF3559">
        <v>-5.2625231526775096</v>
      </c>
      <c r="AG3559">
        <v>-1.1117979673230001</v>
      </c>
      <c r="AH3559">
        <v>41.827849783296898</v>
      </c>
      <c r="AI3559">
        <v>91.510678274592905</v>
      </c>
      <c r="AJ3559">
        <v>97.170924974234296</v>
      </c>
      <c r="AK3559">
        <v>42.172257019830703</v>
      </c>
      <c r="AL3559">
        <v>92.239794984825593</v>
      </c>
      <c r="AM3559">
        <v>86.534070304720601</v>
      </c>
      <c r="AN3559">
        <v>0.99999996572614502</v>
      </c>
    </row>
    <row r="3560" spans="1:40" x14ac:dyDescent="0.3">
      <c r="A3560" t="str">
        <f>"20200111160526513"</f>
        <v>20200111160526513</v>
      </c>
      <c r="B3560" t="str">
        <f>"1578729926505476"</f>
        <v>1578729926505476</v>
      </c>
      <c r="C3560" t="s">
        <v>40</v>
      </c>
      <c r="D3560">
        <v>5.5222419999999897</v>
      </c>
      <c r="E3560">
        <v>0.42942639999999999</v>
      </c>
      <c r="F3560" t="s">
        <v>75</v>
      </c>
      <c r="G3560">
        <v>-186.60849999999999</v>
      </c>
      <c r="H3560" s="1">
        <v>-6.3484159999999997E-6</v>
      </c>
      <c r="I3560">
        <v>133.68799999999999</v>
      </c>
      <c r="J3560">
        <v>-191.33090000000001</v>
      </c>
      <c r="K3560">
        <v>1.111766</v>
      </c>
      <c r="L3560">
        <v>171.01570000000001</v>
      </c>
      <c r="M3560">
        <v>2.8348980000000002E-3</v>
      </c>
      <c r="N3560">
        <v>0</v>
      </c>
      <c r="O3560">
        <v>-0.99989810000000001</v>
      </c>
      <c r="P3560">
        <v>-5.7530230000000002E-2</v>
      </c>
      <c r="Q3560">
        <v>-5.3993310000000003E-2</v>
      </c>
      <c r="R3560">
        <v>-0.9968825</v>
      </c>
      <c r="S3560">
        <v>0.38127139999999998</v>
      </c>
      <c r="T3560">
        <v>-8.9728829999999996E-2</v>
      </c>
      <c r="U3560">
        <v>-3.0272220000000001</v>
      </c>
      <c r="V3560">
        <v>6.0504160000000001E-2</v>
      </c>
      <c r="W3560">
        <v>-3.981933E-2</v>
      </c>
      <c r="X3560">
        <v>0.99737339999999997</v>
      </c>
      <c r="Y3560">
        <v>-0.1220929</v>
      </c>
      <c r="Z3560">
        <v>2.9400610000000001E-2</v>
      </c>
      <c r="AA3560">
        <v>0.9920831</v>
      </c>
      <c r="AB3560">
        <v>26</v>
      </c>
      <c r="AC3560">
        <v>4.7224000000000199</v>
      </c>
      <c r="AD3560">
        <v>-1.111772348416</v>
      </c>
      <c r="AE3560">
        <v>-37.3277</v>
      </c>
      <c r="AF3560">
        <v>-4.6125231587748399</v>
      </c>
      <c r="AG3560">
        <v>-1.111772348416</v>
      </c>
      <c r="AH3560">
        <v>37.308364176261698</v>
      </c>
      <c r="AI3560">
        <v>91.693993517843495</v>
      </c>
      <c r="AJ3560">
        <v>97.047852042643498</v>
      </c>
      <c r="AK3560">
        <v>37.608847963657396</v>
      </c>
      <c r="AL3560">
        <v>92.282082857754602</v>
      </c>
      <c r="AM3560">
        <v>86.528491833248694</v>
      </c>
      <c r="AN3560">
        <v>1.00000001572325</v>
      </c>
    </row>
    <row r="3561" spans="1:40" x14ac:dyDescent="0.3">
      <c r="A3561" t="str">
        <f>"20200111160526532"</f>
        <v>20200111160526532</v>
      </c>
      <c r="B3561" t="str">
        <f>"1578729926524994"</f>
        <v>1578729926524994</v>
      </c>
      <c r="C3561" t="s">
        <v>40</v>
      </c>
      <c r="D3561">
        <v>5.3480460000000001</v>
      </c>
      <c r="E3561">
        <v>0.42989529999999898</v>
      </c>
      <c r="F3561" t="s">
        <v>75</v>
      </c>
      <c r="G3561">
        <v>-186.7551</v>
      </c>
      <c r="H3561" s="1">
        <v>-6.7806419999999998E-6</v>
      </c>
      <c r="I3561">
        <v>135.0658</v>
      </c>
      <c r="J3561">
        <v>-191.328</v>
      </c>
      <c r="K3561">
        <v>1.1117300000000001</v>
      </c>
      <c r="L3561">
        <v>170.77619999999999</v>
      </c>
      <c r="M3561">
        <v>4.7422310000000004E-3</v>
      </c>
      <c r="N3561">
        <v>0</v>
      </c>
      <c r="O3561">
        <v>-0.99989099999999997</v>
      </c>
      <c r="P3561">
        <v>-5.6239400000000002E-2</v>
      </c>
      <c r="Q3561">
        <v>-5.487098E-2</v>
      </c>
      <c r="R3561">
        <v>-0.99690849999999998</v>
      </c>
      <c r="S3561">
        <v>0.38522339999999999</v>
      </c>
      <c r="T3561">
        <v>-9.3598009999999995E-2</v>
      </c>
      <c r="U3561">
        <v>-3.0265499999999999</v>
      </c>
      <c r="V3561">
        <v>6.1114059999999998E-2</v>
      </c>
      <c r="W3561">
        <v>-4.070232E-2</v>
      </c>
      <c r="X3561">
        <v>0.99730059999999998</v>
      </c>
      <c r="Y3561">
        <v>-0.1214971</v>
      </c>
      <c r="Z3561">
        <v>3.067224E-2</v>
      </c>
      <c r="AA3561">
        <v>0.99211780000000005</v>
      </c>
      <c r="AB3561">
        <v>26</v>
      </c>
      <c r="AC3561">
        <v>4.5728999999999997</v>
      </c>
      <c r="AD3561">
        <v>-1.111736780642</v>
      </c>
      <c r="AE3561">
        <v>-35.7103999999999</v>
      </c>
      <c r="AF3561">
        <v>-4.3992900357769598</v>
      </c>
      <c r="AG3561">
        <v>-1.111736780642</v>
      </c>
      <c r="AH3561">
        <v>35.6976461916746</v>
      </c>
      <c r="AI3561">
        <v>91.770409159586507</v>
      </c>
      <c r="AJ3561">
        <v>97.025566816390494</v>
      </c>
      <c r="AK3561">
        <v>35.9848809239978</v>
      </c>
      <c r="AL3561">
        <v>92.332715438768901</v>
      </c>
      <c r="AM3561">
        <v>86.493329549561594</v>
      </c>
      <c r="AN3561">
        <v>1.0000000469717101</v>
      </c>
    </row>
    <row r="3562" spans="1:40" x14ac:dyDescent="0.3">
      <c r="A3562" t="str">
        <f>"20200111160526554"</f>
        <v>20200111160526554</v>
      </c>
      <c r="B3562" t="str">
        <f>"1578729926545490"</f>
        <v>1578729926545490</v>
      </c>
      <c r="C3562" t="s">
        <v>40</v>
      </c>
      <c r="D3562">
        <v>5.3886269999999996</v>
      </c>
      <c r="E3562">
        <v>0.43034879999999998</v>
      </c>
      <c r="F3562" t="s">
        <v>75</v>
      </c>
      <c r="G3562">
        <v>-186.86609999999999</v>
      </c>
      <c r="H3562" s="1">
        <v>-6.9853130000000004E-6</v>
      </c>
      <c r="I3562">
        <v>135.72579999999999</v>
      </c>
      <c r="J3562">
        <v>-191.32470000000001</v>
      </c>
      <c r="K3562">
        <v>1.111696</v>
      </c>
      <c r="L3562">
        <v>170.5307</v>
      </c>
      <c r="M3562">
        <v>6.6515819999999996E-3</v>
      </c>
      <c r="N3562">
        <v>0</v>
      </c>
      <c r="O3562">
        <v>-0.99988010000000005</v>
      </c>
      <c r="P3562">
        <v>-5.4021649999999997E-2</v>
      </c>
      <c r="Q3562">
        <v>-5.5107629999999998E-2</v>
      </c>
      <c r="R3562">
        <v>-0.99701810000000002</v>
      </c>
      <c r="S3562">
        <v>0.38517760000000001</v>
      </c>
      <c r="T3562">
        <v>-9.5971699999999993E-2</v>
      </c>
      <c r="U3562">
        <v>-3.025757</v>
      </c>
      <c r="V3562">
        <v>6.0796999999999997E-2</v>
      </c>
      <c r="W3562">
        <v>-4.0947169999999998E-2</v>
      </c>
      <c r="X3562">
        <v>0.99730989999999997</v>
      </c>
      <c r="Y3562">
        <v>-0.11961629999999999</v>
      </c>
      <c r="Z3562">
        <v>3.1460639999999998E-2</v>
      </c>
      <c r="AA3562">
        <v>0.99232160000000003</v>
      </c>
      <c r="AB3562">
        <v>26</v>
      </c>
      <c r="AC3562">
        <v>4.4586000000000103</v>
      </c>
      <c r="AD3562">
        <v>-1.1117029853129901</v>
      </c>
      <c r="AE3562">
        <v>-34.804900000000004</v>
      </c>
      <c r="AF3562">
        <v>-4.22273247434841</v>
      </c>
      <c r="AG3562">
        <v>-1.1117029853129901</v>
      </c>
      <c r="AH3562">
        <v>34.798860009534799</v>
      </c>
      <c r="AI3562">
        <v>91.816463423553202</v>
      </c>
      <c r="AJ3562">
        <v>96.918835308924201</v>
      </c>
      <c r="AK3562">
        <v>35.071755174793701</v>
      </c>
      <c r="AL3562">
        <v>92.346756145816002</v>
      </c>
      <c r="AM3562">
        <v>86.511509576048496</v>
      </c>
      <c r="AN3562">
        <v>0.99999999128900896</v>
      </c>
    </row>
    <row r="3563" spans="1:40" x14ac:dyDescent="0.3">
      <c r="A3563" t="str">
        <f>"20200111160526576"</f>
        <v>20200111160526576</v>
      </c>
      <c r="B3563" t="str">
        <f>"1578729926565517"</f>
        <v>1578729926565517</v>
      </c>
      <c r="C3563" t="s">
        <v>40</v>
      </c>
      <c r="D3563">
        <v>5.5108300000000003</v>
      </c>
      <c r="E3563">
        <v>0.43073030000000001</v>
      </c>
      <c r="F3563" t="s">
        <v>75</v>
      </c>
      <c r="G3563">
        <v>-186.73759999999999</v>
      </c>
      <c r="H3563" s="1">
        <v>-6.6858819999999997E-6</v>
      </c>
      <c r="I3563">
        <v>134.7664</v>
      </c>
      <c r="J3563">
        <v>-191.32079999999999</v>
      </c>
      <c r="K3563">
        <v>1.1116710000000001</v>
      </c>
      <c r="L3563">
        <v>170.27719999999999</v>
      </c>
      <c r="M3563">
        <v>8.5744489999999996E-3</v>
      </c>
      <c r="N3563">
        <v>0</v>
      </c>
      <c r="O3563">
        <v>-0.99986569999999997</v>
      </c>
      <c r="P3563">
        <v>-5.1855940000000003E-2</v>
      </c>
      <c r="Q3563">
        <v>-5.4517780000000002E-2</v>
      </c>
      <c r="R3563">
        <v>-0.99716579999999999</v>
      </c>
      <c r="S3563">
        <v>0.38795469999999999</v>
      </c>
      <c r="T3563">
        <v>-9.4022750000000002E-2</v>
      </c>
      <c r="U3563">
        <v>-3.0247799999999998</v>
      </c>
      <c r="V3563">
        <v>6.0543220000000002E-2</v>
      </c>
      <c r="W3563">
        <v>-4.0364909999999997E-2</v>
      </c>
      <c r="X3563">
        <v>0.99734909999999999</v>
      </c>
      <c r="Y3563">
        <v>-0.118645899999999</v>
      </c>
      <c r="Z3563">
        <v>3.0831560000000001E-2</v>
      </c>
      <c r="AA3563">
        <v>0.99245779999999995</v>
      </c>
      <c r="AB3563">
        <v>26</v>
      </c>
      <c r="AC3563">
        <v>4.5831999999999997</v>
      </c>
      <c r="AD3563">
        <v>-1.1116776858820001</v>
      </c>
      <c r="AE3563">
        <v>-35.510799999999897</v>
      </c>
      <c r="AF3563">
        <v>-4.2743958626590803</v>
      </c>
      <c r="AG3563">
        <v>-1.1116776858820001</v>
      </c>
      <c r="AH3563">
        <v>35.514561712573602</v>
      </c>
      <c r="AI3563">
        <v>91.780050642868005</v>
      </c>
      <c r="AJ3563">
        <v>96.862888696766902</v>
      </c>
      <c r="AK3563">
        <v>35.788131844288799</v>
      </c>
      <c r="AL3563">
        <v>92.313367438442498</v>
      </c>
      <c r="AM3563">
        <v>86.526171769862898</v>
      </c>
      <c r="AN3563">
        <v>1.00000001735904</v>
      </c>
    </row>
    <row r="3564" spans="1:40" x14ac:dyDescent="0.3">
      <c r="A3564" t="str">
        <f>"20200111160526592"</f>
        <v>20200111160526592</v>
      </c>
      <c r="B3564" t="str">
        <f>"1578729926585038"</f>
        <v>1578729926585038</v>
      </c>
      <c r="C3564" t="s">
        <v>40</v>
      </c>
      <c r="D3564">
        <v>5.6233129999999996</v>
      </c>
      <c r="E3564">
        <v>0.43121419999999999</v>
      </c>
      <c r="F3564" t="s">
        <v>75</v>
      </c>
      <c r="G3564">
        <v>-186.6482</v>
      </c>
      <c r="H3564" s="1">
        <v>-6.5043149999999999E-6</v>
      </c>
      <c r="I3564">
        <v>134.18260000000001</v>
      </c>
      <c r="J3564">
        <v>-191.3177</v>
      </c>
      <c r="K3564">
        <v>1.1116520000000001</v>
      </c>
      <c r="L3564">
        <v>170.0889</v>
      </c>
      <c r="M3564">
        <v>9.9685490000000002E-3</v>
      </c>
      <c r="N3564">
        <v>0</v>
      </c>
      <c r="O3564">
        <v>-0.99985250000000003</v>
      </c>
      <c r="P3564">
        <v>-5.0448529999999998E-2</v>
      </c>
      <c r="Q3564">
        <v>-5.4057889999999997E-2</v>
      </c>
      <c r="R3564">
        <v>-0.9972626</v>
      </c>
      <c r="S3564">
        <v>0.39144899999999999</v>
      </c>
      <c r="T3564">
        <v>-9.3130589999999999E-2</v>
      </c>
      <c r="U3564">
        <v>-3.023819</v>
      </c>
      <c r="V3564">
        <v>6.0522100000000002E-2</v>
      </c>
      <c r="W3564">
        <v>-3.9910250000000001E-2</v>
      </c>
      <c r="X3564">
        <v>0.99736860000000005</v>
      </c>
      <c r="Y3564">
        <v>-0.1184306</v>
      </c>
      <c r="Z3564">
        <v>3.0546460000000001E-2</v>
      </c>
      <c r="AA3564">
        <v>0.99249240000000005</v>
      </c>
      <c r="AB3564">
        <v>26</v>
      </c>
      <c r="AC3564">
        <v>4.6694999999999904</v>
      </c>
      <c r="AD3564">
        <v>-1.111658504315</v>
      </c>
      <c r="AE3564">
        <v>-35.906299999999902</v>
      </c>
      <c r="AF3564">
        <v>-4.3072393011394103</v>
      </c>
      <c r="AG3564">
        <v>-1.111658504315</v>
      </c>
      <c r="AH3564">
        <v>35.917213427155097</v>
      </c>
      <c r="AI3564">
        <v>91.760168153746406</v>
      </c>
      <c r="AJ3564">
        <v>96.838328792880006</v>
      </c>
      <c r="AK3564">
        <v>36.191633223706603</v>
      </c>
      <c r="AL3564">
        <v>92.287296511057207</v>
      </c>
      <c r="AM3564">
        <v>86.527448348614598</v>
      </c>
      <c r="AN3564">
        <v>0.99999993845471402</v>
      </c>
    </row>
    <row r="3565" spans="1:40" x14ac:dyDescent="0.3">
      <c r="A3565" t="str">
        <f>"20200111160526607"</f>
        <v>20200111160526607</v>
      </c>
      <c r="B3565" t="str">
        <f>"1578729926594798"</f>
        <v>1578729926594798</v>
      </c>
      <c r="C3565" t="s">
        <v>40</v>
      </c>
      <c r="D3565">
        <v>5.5275530000000002</v>
      </c>
      <c r="E3565">
        <v>0.43133680000000002</v>
      </c>
      <c r="F3565" t="s">
        <v>75</v>
      </c>
      <c r="G3565">
        <v>-186.71360000000001</v>
      </c>
      <c r="H3565" s="1">
        <v>-6.6372429999999999E-6</v>
      </c>
      <c r="I3565">
        <v>134.61000000000001</v>
      </c>
      <c r="J3565">
        <v>-191.31460000000001</v>
      </c>
      <c r="K3565">
        <v>1.1116330000000001</v>
      </c>
      <c r="L3565">
        <v>169.91669999999999</v>
      </c>
      <c r="M3565">
        <v>1.122014E-2</v>
      </c>
      <c r="N3565">
        <v>0</v>
      </c>
      <c r="O3565">
        <v>-0.9998397</v>
      </c>
      <c r="P3565">
        <v>-4.9714080000000001E-2</v>
      </c>
      <c r="Q3565">
        <v>-5.3404350000000003E-2</v>
      </c>
      <c r="R3565">
        <v>-0.99733499999999997</v>
      </c>
      <c r="S3565">
        <v>0.39228819999999998</v>
      </c>
      <c r="T3565">
        <v>-9.4717979999999993E-2</v>
      </c>
      <c r="U3565">
        <v>-3.0229490000000001</v>
      </c>
      <c r="V3565">
        <v>6.1031429999999998E-2</v>
      </c>
      <c r="W3565">
        <v>-3.9260179999999999E-2</v>
      </c>
      <c r="X3565">
        <v>0.99736340000000001</v>
      </c>
      <c r="Y3565">
        <v>-0.11749279999999999</v>
      </c>
      <c r="Z3565">
        <v>3.1076039999999999E-2</v>
      </c>
      <c r="AA3565">
        <v>0.99258740000000001</v>
      </c>
      <c r="AB3565">
        <v>26</v>
      </c>
      <c r="AC3565">
        <v>4.6009999999999902</v>
      </c>
      <c r="AD3565">
        <v>-1.111639637243</v>
      </c>
      <c r="AE3565">
        <v>-35.3066999999999</v>
      </c>
      <c r="AF3565">
        <v>-4.2004311982622298</v>
      </c>
      <c r="AG3565">
        <v>-1.111639637243</v>
      </c>
      <c r="AH3565">
        <v>35.321675601002902</v>
      </c>
      <c r="AI3565">
        <v>91.790006822900693</v>
      </c>
      <c r="AJ3565">
        <v>96.781728682734496</v>
      </c>
      <c r="AK3565">
        <v>35.587921155876899</v>
      </c>
      <c r="AL3565">
        <v>92.250020943154198</v>
      </c>
      <c r="AM3565">
        <v>86.498278933070793</v>
      </c>
      <c r="AN3565">
        <v>0.99999997442051802</v>
      </c>
    </row>
    <row r="3566" spans="1:40" x14ac:dyDescent="0.3">
      <c r="A3566" t="str">
        <f>"20200111160526622"</f>
        <v>20200111160526622</v>
      </c>
      <c r="B3566" t="str">
        <f>"1578729926615294"</f>
        <v>1578729926615294</v>
      </c>
      <c r="C3566" t="s">
        <v>40</v>
      </c>
      <c r="D3566">
        <v>5.4975899999999998</v>
      </c>
      <c r="E3566">
        <v>0.43170330000000001</v>
      </c>
      <c r="F3566" t="s">
        <v>75</v>
      </c>
      <c r="G3566">
        <v>-186.60820000000001</v>
      </c>
      <c r="H3566" s="1">
        <v>-6.3715120000000002E-6</v>
      </c>
      <c r="I3566">
        <v>133.76009999999999</v>
      </c>
      <c r="J3566">
        <v>-191.31120000000001</v>
      </c>
      <c r="K3566">
        <v>1.11161</v>
      </c>
      <c r="L3566">
        <v>169.73699999999999</v>
      </c>
      <c r="M3566">
        <v>1.2498240000000001E-2</v>
      </c>
      <c r="N3566">
        <v>0</v>
      </c>
      <c r="O3566">
        <v>-0.99982420000000005</v>
      </c>
      <c r="P3566">
        <v>-4.9147589999999998E-2</v>
      </c>
      <c r="Q3566">
        <v>-5.3172530000000003E-2</v>
      </c>
      <c r="R3566">
        <v>-0.99737540000000002</v>
      </c>
      <c r="S3566">
        <v>0.39344790000000002</v>
      </c>
      <c r="T3566">
        <v>-9.2932219999999996E-2</v>
      </c>
      <c r="U3566">
        <v>-3.022659</v>
      </c>
      <c r="V3566">
        <v>6.1736079999999999E-2</v>
      </c>
      <c r="W3566">
        <v>-3.9032280000000003E-2</v>
      </c>
      <c r="X3566">
        <v>0.99732900000000002</v>
      </c>
      <c r="Y3566">
        <v>-0.1166122</v>
      </c>
      <c r="Z3566">
        <v>3.0493739999999998E-2</v>
      </c>
      <c r="AA3566">
        <v>0.99270930000000002</v>
      </c>
      <c r="AB3566">
        <v>26</v>
      </c>
      <c r="AC3566">
        <v>4.7030000000000003</v>
      </c>
      <c r="AD3566">
        <v>-1.111616371512</v>
      </c>
      <c r="AE3566">
        <v>-35.976900000000001</v>
      </c>
      <c r="AF3566">
        <v>-4.24895245695848</v>
      </c>
      <c r="AG3566">
        <v>-1.111616371512</v>
      </c>
      <c r="AH3566">
        <v>35.999083863450402</v>
      </c>
      <c r="AI3566">
        <v>91.756490657011796</v>
      </c>
      <c r="AJ3566">
        <v>96.731446753084199</v>
      </c>
      <c r="AK3566">
        <v>36.266007871650899</v>
      </c>
      <c r="AL3566">
        <v>92.236953164579205</v>
      </c>
      <c r="AM3566">
        <v>86.457829628716794</v>
      </c>
      <c r="AN3566">
        <v>0.99999999834838205</v>
      </c>
    </row>
    <row r="3567" spans="1:40" x14ac:dyDescent="0.3">
      <c r="A3567" t="str">
        <f>"20200111160526643"</f>
        <v>20200111160526643</v>
      </c>
      <c r="B3567" t="str">
        <f>"1578729926634816"</f>
        <v>1578729926634816</v>
      </c>
      <c r="C3567" t="s">
        <v>40</v>
      </c>
      <c r="D3567">
        <v>5.523231</v>
      </c>
      <c r="E3567">
        <v>0.43215609999999999</v>
      </c>
      <c r="F3567" t="s">
        <v>75</v>
      </c>
      <c r="G3567">
        <v>-186.66630000000001</v>
      </c>
      <c r="H3567" s="1">
        <v>-6.4342159999999998E-6</v>
      </c>
      <c r="I3567">
        <v>133.9667</v>
      </c>
      <c r="J3567">
        <v>-191.30619999999999</v>
      </c>
      <c r="K3567">
        <v>1.111564</v>
      </c>
      <c r="L3567">
        <v>169.49160000000001</v>
      </c>
      <c r="M3567">
        <v>1.420458E-2</v>
      </c>
      <c r="N3567">
        <v>0</v>
      </c>
      <c r="O3567">
        <v>-0.99980159999999996</v>
      </c>
      <c r="P3567">
        <v>-4.8654530000000001E-2</v>
      </c>
      <c r="Q3567">
        <v>-5.4975759999999999E-2</v>
      </c>
      <c r="R3567">
        <v>-0.99730209999999997</v>
      </c>
      <c r="S3567">
        <v>0.39244079999999998</v>
      </c>
      <c r="T3567">
        <v>-9.3919989999999995E-2</v>
      </c>
      <c r="U3567">
        <v>-3.0222169999999999</v>
      </c>
      <c r="V3567">
        <v>6.2944840000000002E-2</v>
      </c>
      <c r="W3567">
        <v>-4.0842120000000003E-2</v>
      </c>
      <c r="X3567">
        <v>0.99718090000000004</v>
      </c>
      <c r="Y3567">
        <v>-0.114609</v>
      </c>
      <c r="Z3567">
        <v>3.0825229999999999E-2</v>
      </c>
      <c r="AA3567">
        <v>0.99293229999999999</v>
      </c>
      <c r="AB3567">
        <v>26</v>
      </c>
      <c r="AC3567">
        <v>4.6398999999999804</v>
      </c>
      <c r="AD3567">
        <v>-1.111570434216</v>
      </c>
      <c r="AE3567">
        <v>-35.524900000000002</v>
      </c>
      <c r="AF3567">
        <v>-4.1307898522895004</v>
      </c>
      <c r="AG3567">
        <v>-1.111570434216</v>
      </c>
      <c r="AH3567">
        <v>35.553004841342101</v>
      </c>
      <c r="AI3567">
        <v>91.7788199814499</v>
      </c>
      <c r="AJ3567">
        <v>96.627298401336006</v>
      </c>
      <c r="AK3567">
        <v>35.8094284634996</v>
      </c>
      <c r="AL3567">
        <v>92.340732306185998</v>
      </c>
      <c r="AM3567">
        <v>86.388122645490597</v>
      </c>
      <c r="AN3567">
        <v>0.99999993948676302</v>
      </c>
    </row>
    <row r="3568" spans="1:40" x14ac:dyDescent="0.3">
      <c r="A3568" t="str">
        <f>"20200111160526656"</f>
        <v>20200111160526656</v>
      </c>
      <c r="B3568" t="str">
        <f>"1578729926645550"</f>
        <v>1578729926645550</v>
      </c>
      <c r="C3568" t="s">
        <v>40</v>
      </c>
      <c r="D3568">
        <v>5.5389869999999997</v>
      </c>
      <c r="E3568">
        <v>0.43243900000000002</v>
      </c>
      <c r="F3568" t="s">
        <v>75</v>
      </c>
      <c r="G3568">
        <v>-187.05099999999999</v>
      </c>
      <c r="H3568" s="1">
        <v>-7.2474140000000002E-6</v>
      </c>
      <c r="I3568">
        <v>136.5787</v>
      </c>
      <c r="J3568">
        <v>-191.30279999999999</v>
      </c>
      <c r="K3568">
        <v>1.111531</v>
      </c>
      <c r="L3568">
        <v>169.34030000000001</v>
      </c>
      <c r="M3568">
        <v>1.522869E-2</v>
      </c>
      <c r="N3568">
        <v>0</v>
      </c>
      <c r="O3568">
        <v>-0.99978639999999996</v>
      </c>
      <c r="P3568">
        <v>-4.8324600000000002E-2</v>
      </c>
      <c r="Q3568">
        <v>-5.6643579999999999E-2</v>
      </c>
      <c r="R3568">
        <v>-0.99722460000000002</v>
      </c>
      <c r="S3568">
        <v>0.3906403</v>
      </c>
      <c r="T3568">
        <v>-0.1020472</v>
      </c>
      <c r="U3568">
        <v>-3.0215450000000001</v>
      </c>
      <c r="V3568">
        <v>6.3637170000000007E-2</v>
      </c>
      <c r="W3568">
        <v>-4.2514879999999998E-2</v>
      </c>
      <c r="X3568">
        <v>0.99706709999999998</v>
      </c>
      <c r="Y3568">
        <v>-0.1130265</v>
      </c>
      <c r="Z3568">
        <v>3.3500679999999998E-2</v>
      </c>
      <c r="AA3568">
        <v>0.99302699999999999</v>
      </c>
      <c r="AB3568">
        <v>26</v>
      </c>
      <c r="AC3568">
        <v>4.2518000000000002</v>
      </c>
      <c r="AD3568">
        <v>-1.1115382474140001</v>
      </c>
      <c r="AE3568">
        <v>-32.761600000000001</v>
      </c>
      <c r="AF3568">
        <v>-3.7480988620947202</v>
      </c>
      <c r="AG3568">
        <v>-1.1115382474140001</v>
      </c>
      <c r="AH3568">
        <v>32.785441095683503</v>
      </c>
      <c r="AI3568">
        <v>91.929222037809097</v>
      </c>
      <c r="AJ3568">
        <v>96.521856829592906</v>
      </c>
      <c r="AK3568">
        <v>33.017706010473098</v>
      </c>
      <c r="AL3568">
        <v>92.436657608274004</v>
      </c>
      <c r="AM3568">
        <v>86.348086888991901</v>
      </c>
      <c r="AN3568">
        <v>1.00000000316471</v>
      </c>
    </row>
    <row r="3569" spans="1:40" x14ac:dyDescent="0.3">
      <c r="A3569" t="str">
        <f>"20200111160526669"</f>
        <v>20200111160526669</v>
      </c>
      <c r="B3569" t="str">
        <f>"1578729926664602"</f>
        <v>1578729926664602</v>
      </c>
      <c r="C3569" t="s">
        <v>40</v>
      </c>
      <c r="D3569">
        <v>5.5330519999999996</v>
      </c>
      <c r="E3569">
        <v>0.43295859999999903</v>
      </c>
      <c r="F3569" t="s">
        <v>75</v>
      </c>
      <c r="G3569">
        <v>-187.32740000000001</v>
      </c>
      <c r="H3569" s="1">
        <v>-7.8964369999999905E-6</v>
      </c>
      <c r="I3569">
        <v>138.5153</v>
      </c>
      <c r="J3569">
        <v>-191.2996</v>
      </c>
      <c r="K3569">
        <v>1.1114999999999999</v>
      </c>
      <c r="L3569">
        <v>169.1952</v>
      </c>
      <c r="M3569">
        <v>1.6200949999999999E-2</v>
      </c>
      <c r="N3569">
        <v>0</v>
      </c>
      <c r="O3569">
        <v>-0.99977119999999997</v>
      </c>
      <c r="P3569">
        <v>-4.79645E-2</v>
      </c>
      <c r="Q3569">
        <v>-5.8042549999999998E-2</v>
      </c>
      <c r="R3569">
        <v>-0.99716139999999998</v>
      </c>
      <c r="S3569">
        <v>0.38961790000000002</v>
      </c>
      <c r="T3569">
        <v>-0.1089377</v>
      </c>
      <c r="U3569">
        <v>-3.021042</v>
      </c>
      <c r="V3569">
        <v>6.4246830000000005E-2</v>
      </c>
      <c r="W3569">
        <v>-4.3918649999999997E-2</v>
      </c>
      <c r="X3569">
        <v>0.99696709999999999</v>
      </c>
      <c r="Y3569">
        <v>-0.1117407</v>
      </c>
      <c r="Z3569">
        <v>3.5768399999999999E-2</v>
      </c>
      <c r="AA3569">
        <v>0.99309349999999996</v>
      </c>
      <c r="AB3569">
        <v>26</v>
      </c>
      <c r="AC3569">
        <v>3.97219999999998</v>
      </c>
      <c r="AD3569">
        <v>-1.111507896437</v>
      </c>
      <c r="AE3569">
        <v>-30.6799</v>
      </c>
      <c r="AF3569">
        <v>-3.4701069459374998</v>
      </c>
      <c r="AG3569">
        <v>-1.111507896437</v>
      </c>
      <c r="AH3569">
        <v>30.7006005052652</v>
      </c>
      <c r="AI3569">
        <v>92.060366004145294</v>
      </c>
      <c r="AJ3569">
        <v>96.448805498844905</v>
      </c>
      <c r="AK3569">
        <v>30.916079366633401</v>
      </c>
      <c r="AL3569">
        <v>92.517163057719202</v>
      </c>
      <c r="AM3569">
        <v>86.312827904805204</v>
      </c>
      <c r="AN3569">
        <v>0.99999995073263903</v>
      </c>
    </row>
    <row r="3570" spans="1:40" x14ac:dyDescent="0.3">
      <c r="A3570" t="str">
        <f>"20200111160526687"</f>
        <v>20200111160526687</v>
      </c>
      <c r="B3570" t="str">
        <f>"1578729926685098"</f>
        <v>1578729926685098</v>
      </c>
      <c r="C3570" t="s">
        <v>40</v>
      </c>
      <c r="D3570">
        <v>5.5544419999999999</v>
      </c>
      <c r="E3570">
        <v>0.4334248</v>
      </c>
      <c r="F3570" t="s">
        <v>75</v>
      </c>
      <c r="G3570">
        <v>-187.62469999999999</v>
      </c>
      <c r="H3570" s="1">
        <v>-8.4903250000000007E-6</v>
      </c>
      <c r="I3570">
        <v>140.50749999999999</v>
      </c>
      <c r="J3570">
        <v>-191.2946</v>
      </c>
      <c r="K3570">
        <v>1.1114539999999999</v>
      </c>
      <c r="L3570">
        <v>168.98349999999999</v>
      </c>
      <c r="M3570">
        <v>1.7593709999999999E-2</v>
      </c>
      <c r="N3570">
        <v>0</v>
      </c>
      <c r="O3570">
        <v>-0.99974790000000002</v>
      </c>
      <c r="P3570">
        <v>-4.8294179999999999E-2</v>
      </c>
      <c r="Q3570">
        <v>-6.0859570000000002E-2</v>
      </c>
      <c r="R3570">
        <v>-0.99697749999999996</v>
      </c>
      <c r="S3570">
        <v>0.38690190000000002</v>
      </c>
      <c r="T3570">
        <v>-0.11702319999999999</v>
      </c>
      <c r="U3570">
        <v>-3.02034</v>
      </c>
      <c r="V3570">
        <v>6.5965839999999998E-2</v>
      </c>
      <c r="W3570">
        <v>-4.6741640000000001E-2</v>
      </c>
      <c r="X3570">
        <v>0.99672649999999996</v>
      </c>
      <c r="Y3570">
        <v>-0.1094942</v>
      </c>
      <c r="Z3570">
        <v>3.843386E-2</v>
      </c>
      <c r="AA3570">
        <v>0.99324409999999996</v>
      </c>
      <c r="AB3570">
        <v>26</v>
      </c>
      <c r="AC3570">
        <v>3.6699000000000099</v>
      </c>
      <c r="AD3570">
        <v>-1.1114624903249899</v>
      </c>
      <c r="AE3570">
        <v>-28.475999999999999</v>
      </c>
      <c r="AF3570">
        <v>-3.1635438199689201</v>
      </c>
      <c r="AG3570">
        <v>-1.1114624903249899</v>
      </c>
      <c r="AH3570">
        <v>28.493465522386799</v>
      </c>
      <c r="AI3570">
        <v>92.220211313026198</v>
      </c>
      <c r="AJ3570">
        <v>96.335430910410295</v>
      </c>
      <c r="AK3570">
        <v>28.690084277389499</v>
      </c>
      <c r="AL3570">
        <v>92.679074851068904</v>
      </c>
      <c r="AM3570">
        <v>86.213544674311393</v>
      </c>
      <c r="AN3570">
        <v>0.99999999437952203</v>
      </c>
    </row>
    <row r="3571" spans="1:40" x14ac:dyDescent="0.3">
      <c r="A3571" t="str">
        <f>"20200111160526699"</f>
        <v>20200111160526699</v>
      </c>
      <c r="B3571" t="str">
        <f>"1578729926694858"</f>
        <v>1578729926694858</v>
      </c>
      <c r="C3571" t="s">
        <v>40</v>
      </c>
      <c r="D3571">
        <v>5.504715</v>
      </c>
      <c r="E3571">
        <v>0.43368390000000001</v>
      </c>
      <c r="F3571" t="s">
        <v>75</v>
      </c>
      <c r="G3571">
        <v>-187.97280000000001</v>
      </c>
      <c r="H3571" s="1">
        <v>-9.0515550000000001E-6</v>
      </c>
      <c r="I3571">
        <v>142.7516</v>
      </c>
      <c r="J3571">
        <v>-191.29079999999999</v>
      </c>
      <c r="K3571">
        <v>1.1114280000000001</v>
      </c>
      <c r="L3571">
        <v>168.83</v>
      </c>
      <c r="M3571">
        <v>1.8585379999999999E-2</v>
      </c>
      <c r="N3571">
        <v>0</v>
      </c>
      <c r="O3571">
        <v>-0.9997298</v>
      </c>
      <c r="P3571">
        <v>-4.8078839999999998E-2</v>
      </c>
      <c r="Q3571">
        <v>-6.165371E-2</v>
      </c>
      <c r="R3571">
        <v>-0.99693940000000003</v>
      </c>
      <c r="S3571">
        <v>0.38240049999999998</v>
      </c>
      <c r="T3571">
        <v>-0.12795049999999999</v>
      </c>
      <c r="U3571">
        <v>-3.0197910000000001</v>
      </c>
      <c r="V3571">
        <v>6.6737610000000003E-2</v>
      </c>
      <c r="W3571">
        <v>-4.7539959999999999E-2</v>
      </c>
      <c r="X3571">
        <v>0.99663729999999995</v>
      </c>
      <c r="Y3571">
        <v>-0.1070556</v>
      </c>
      <c r="Z3571">
        <v>4.2032569999999998E-2</v>
      </c>
      <c r="AA3571">
        <v>0.99336420000000003</v>
      </c>
      <c r="AB3571">
        <v>26</v>
      </c>
      <c r="AC3571">
        <v>3.3179999999999801</v>
      </c>
      <c r="AD3571">
        <v>-1.1114370515550001</v>
      </c>
      <c r="AE3571">
        <v>-26.078399999999998</v>
      </c>
      <c r="AF3571">
        <v>-2.82764829887497</v>
      </c>
      <c r="AG3571">
        <v>-1.1114370515550001</v>
      </c>
      <c r="AH3571">
        <v>26.088934423155202</v>
      </c>
      <c r="AI3571">
        <v>92.425245182218703</v>
      </c>
      <c r="AJ3571">
        <v>96.185854228817902</v>
      </c>
      <c r="AK3571">
        <v>26.265250551963</v>
      </c>
      <c r="AL3571">
        <v>92.724866297416298</v>
      </c>
      <c r="AM3571">
        <v>86.169034196362702</v>
      </c>
      <c r="AN3571">
        <v>0.99999993206829896</v>
      </c>
    </row>
    <row r="3572" spans="1:40" x14ac:dyDescent="0.3">
      <c r="A3572" t="str">
        <f>"20200111160526714"</f>
        <v>20200111160526714</v>
      </c>
      <c r="B3572" t="str">
        <f>"1578729926704618"</f>
        <v>1578729926704618</v>
      </c>
      <c r="C3572" t="s">
        <v>40</v>
      </c>
      <c r="D3572">
        <v>5.6644889999999997</v>
      </c>
      <c r="E3572">
        <v>0.43368390000000001</v>
      </c>
      <c r="F3572" t="s">
        <v>75</v>
      </c>
      <c r="G3572">
        <v>-188.10730000000001</v>
      </c>
      <c r="H3572" s="1">
        <v>-9.2700889999999995E-6</v>
      </c>
      <c r="I3572">
        <v>143.625</v>
      </c>
      <c r="J3572">
        <v>-191.28659999999999</v>
      </c>
      <c r="K3572">
        <v>1.1114109999999999</v>
      </c>
      <c r="L3572">
        <v>168.66839999999999</v>
      </c>
      <c r="M3572">
        <v>1.961599E-2</v>
      </c>
      <c r="N3572">
        <v>0</v>
      </c>
      <c r="O3572">
        <v>-0.99971010000000005</v>
      </c>
      <c r="P3572">
        <v>-4.7919320000000001E-2</v>
      </c>
      <c r="Q3572">
        <v>-6.2133290000000001E-2</v>
      </c>
      <c r="R3572">
        <v>-0.99691730000000001</v>
      </c>
      <c r="S3572">
        <v>0.3813629</v>
      </c>
      <c r="T3572">
        <v>-0.13314100000000001</v>
      </c>
      <c r="U3572">
        <v>-3.0193479999999999</v>
      </c>
      <c r="V3572">
        <v>6.7603419999999997E-2</v>
      </c>
      <c r="W3572">
        <v>-4.8023139999999999E-2</v>
      </c>
      <c r="X3572">
        <v>0.99655590000000005</v>
      </c>
      <c r="Y3572">
        <v>-0.10570350000000001</v>
      </c>
      <c r="Z3572">
        <v>4.3743629999999999E-2</v>
      </c>
      <c r="AA3572">
        <v>0.99343510000000002</v>
      </c>
      <c r="AB3572">
        <v>26</v>
      </c>
      <c r="AC3572">
        <v>3.17929999999998</v>
      </c>
      <c r="AD3572">
        <v>-1.1114202700889999</v>
      </c>
      <c r="AE3572">
        <v>-25.043399999999899</v>
      </c>
      <c r="AF3572">
        <v>-2.68219022001256</v>
      </c>
      <c r="AG3572">
        <v>-1.1114202700889999</v>
      </c>
      <c r="AH3572">
        <v>25.052391943599599</v>
      </c>
      <c r="AI3572">
        <v>92.525779268589304</v>
      </c>
      <c r="AJ3572">
        <v>96.110993503835701</v>
      </c>
      <c r="AK3572">
        <v>25.2200662467177</v>
      </c>
      <c r="AL3572">
        <v>92.752581797681103</v>
      </c>
      <c r="AM3572">
        <v>86.1191686390369</v>
      </c>
      <c r="AN3572">
        <v>1.00000005309798</v>
      </c>
    </row>
    <row r="3573" spans="1:40" x14ac:dyDescent="0.3">
      <c r="A3573" t="str">
        <f>"20200111160526729"</f>
        <v>20200111160526729</v>
      </c>
      <c r="B3573" t="str">
        <f>"1578729926725114"</f>
        <v>1578729926725114</v>
      </c>
      <c r="C3573" t="s">
        <v>40</v>
      </c>
      <c r="D3573">
        <v>5.8756389999999996</v>
      </c>
      <c r="E3573">
        <v>0.46490949999999998</v>
      </c>
      <c r="F3573" t="s">
        <v>75</v>
      </c>
      <c r="G3573">
        <v>-188.1277</v>
      </c>
      <c r="H3573" s="1">
        <v>-9.2845110000000007E-6</v>
      </c>
      <c r="I3573">
        <v>143.6865</v>
      </c>
      <c r="J3573">
        <v>-191.28229999999999</v>
      </c>
      <c r="K3573">
        <v>1.111399</v>
      </c>
      <c r="L3573">
        <v>168.50559999999999</v>
      </c>
      <c r="M3573">
        <v>2.0644409999999998E-2</v>
      </c>
      <c r="N3573">
        <v>0</v>
      </c>
      <c r="O3573">
        <v>-0.99968919999999994</v>
      </c>
      <c r="P3573">
        <v>-4.8055680000000003E-2</v>
      </c>
      <c r="Q3573">
        <v>-6.2099219999999997E-2</v>
      </c>
      <c r="R3573">
        <v>-0.99691249999999998</v>
      </c>
      <c r="S3573">
        <v>0.38177489999999997</v>
      </c>
      <c r="T3573">
        <v>-0.1343231</v>
      </c>
      <c r="U3573">
        <v>-3.0192410000000001</v>
      </c>
      <c r="V3573">
        <v>6.8761929999999999E-2</v>
      </c>
      <c r="W3573">
        <v>-4.7991520000000003E-2</v>
      </c>
      <c r="X3573">
        <v>0.99647810000000003</v>
      </c>
      <c r="Y3573">
        <v>-0.1048161</v>
      </c>
      <c r="Z3573">
        <v>4.413313E-2</v>
      </c>
      <c r="AA3573">
        <v>0.9935119</v>
      </c>
      <c r="AB3573">
        <v>26</v>
      </c>
      <c r="AC3573">
        <v>3.1545999999999799</v>
      </c>
      <c r="AD3573">
        <v>-1.111408284511</v>
      </c>
      <c r="AE3573">
        <v>-24.819099999999899</v>
      </c>
      <c r="AF3573">
        <v>-2.6362993720589798</v>
      </c>
      <c r="AG3573">
        <v>-1.111408284511</v>
      </c>
      <c r="AH3573">
        <v>24.829941370158501</v>
      </c>
      <c r="AI3573">
        <v>92.548589024175996</v>
      </c>
      <c r="AJ3573">
        <v>96.060628354025994</v>
      </c>
      <c r="AK3573">
        <v>24.994225157013901</v>
      </c>
      <c r="AL3573">
        <v>92.750768170004704</v>
      </c>
      <c r="AM3573">
        <v>86.052564653131697</v>
      </c>
      <c r="AN3573">
        <v>0.99999999639442205</v>
      </c>
    </row>
    <row r="3574" spans="1:40" x14ac:dyDescent="0.3">
      <c r="A3574" t="str">
        <f>"20200111160526744"</f>
        <v>20200111160526744</v>
      </c>
      <c r="B3574" t="str">
        <f>"1578729926734875"</f>
        <v>1578729926734875</v>
      </c>
      <c r="C3574" t="s">
        <v>40</v>
      </c>
      <c r="D3574">
        <v>5.9910610000000002</v>
      </c>
      <c r="E3574">
        <v>0.46490949999999998</v>
      </c>
      <c r="F3574" t="s">
        <v>42</v>
      </c>
      <c r="G3574">
        <v>-191.23589999999999</v>
      </c>
      <c r="H3574">
        <v>1.004869</v>
      </c>
      <c r="I3574">
        <v>167.61359999999999</v>
      </c>
      <c r="J3574">
        <v>-191.2773</v>
      </c>
      <c r="K3574">
        <v>1.111386</v>
      </c>
      <c r="L3574">
        <v>168.32069999999999</v>
      </c>
      <c r="M3574">
        <v>2.1799809999999999E-2</v>
      </c>
      <c r="N3574">
        <v>0</v>
      </c>
      <c r="O3574">
        <v>-0.99966480000000002</v>
      </c>
      <c r="P3574">
        <v>-4.8560720000000002E-2</v>
      </c>
      <c r="Q3574">
        <v>-6.0714820000000003E-2</v>
      </c>
      <c r="R3574">
        <v>-0.9969732</v>
      </c>
      <c r="S3574">
        <v>0.1564026</v>
      </c>
      <c r="T3574">
        <v>-0.35782639999999999</v>
      </c>
      <c r="U3574">
        <v>-2.9945369999999998</v>
      </c>
      <c r="V3574">
        <v>7.0413219999999999E-2</v>
      </c>
      <c r="W3574">
        <v>-4.6607950000000002E-2</v>
      </c>
      <c r="X3574">
        <v>0.99642850000000005</v>
      </c>
      <c r="Y3574">
        <v>-3.000599E-2</v>
      </c>
      <c r="Z3574">
        <v>0.1185007</v>
      </c>
      <c r="AA3574">
        <v>0.99250050000000001</v>
      </c>
      <c r="AB3574">
        <v>26</v>
      </c>
      <c r="AC3574">
        <v>4.1400000000009998E-2</v>
      </c>
      <c r="AD3574">
        <v>-0.106516999999999</v>
      </c>
      <c r="AE3574">
        <v>-0.70709999999999695</v>
      </c>
      <c r="AF3574">
        <v>-2.5399607032188101E-2</v>
      </c>
      <c r="AG3574">
        <v>-0.106516999999999</v>
      </c>
      <c r="AH3574">
        <v>0.69218109256594196</v>
      </c>
      <c r="AI3574">
        <v>98.742601038953595</v>
      </c>
      <c r="AJ3574">
        <v>92.101527522197998</v>
      </c>
      <c r="AK3574">
        <v>0.70078932371446001</v>
      </c>
      <c r="AL3574">
        <v>92.671406501435101</v>
      </c>
      <c r="AM3574">
        <v>85.957878583704201</v>
      </c>
      <c r="AN3574">
        <v>1.0000000390831001</v>
      </c>
    </row>
    <row r="3575" spans="1:40" x14ac:dyDescent="0.3">
      <c r="A3575" t="str">
        <f>"20200111160526758"</f>
        <v>20200111160526758</v>
      </c>
      <c r="B3575" t="str">
        <f>"1578729926754903"</f>
        <v>1578729926754903</v>
      </c>
      <c r="C3575" t="s">
        <v>40</v>
      </c>
      <c r="D3575">
        <v>5.6384919999999896</v>
      </c>
      <c r="E3575">
        <v>0.46707779999999999</v>
      </c>
      <c r="F3575" t="s">
        <v>42</v>
      </c>
      <c r="G3575">
        <v>-191.22880000000001</v>
      </c>
      <c r="H3575">
        <v>1.0009319999999999</v>
      </c>
      <c r="I3575">
        <v>167.3843</v>
      </c>
      <c r="J3575">
        <v>-191.27250000000001</v>
      </c>
      <c r="K3575">
        <v>1.1113820000000001</v>
      </c>
      <c r="L3575">
        <v>168.155</v>
      </c>
      <c r="M3575">
        <v>2.2823469999999998E-2</v>
      </c>
      <c r="N3575">
        <v>0</v>
      </c>
      <c r="O3575">
        <v>-0.99964180000000002</v>
      </c>
      <c r="P3575">
        <v>-4.8198190000000002E-2</v>
      </c>
      <c r="Q3575">
        <v>-5.9899180000000003E-2</v>
      </c>
      <c r="R3575">
        <v>-0.99704040000000005</v>
      </c>
      <c r="S3575">
        <v>0.1552124</v>
      </c>
      <c r="T3575">
        <v>-0.3533673</v>
      </c>
      <c r="U3575">
        <v>-2.9951319999999999</v>
      </c>
      <c r="V3575">
        <v>7.1068389999999995E-2</v>
      </c>
      <c r="W3575">
        <v>-4.5794429999999997E-2</v>
      </c>
      <c r="X3575">
        <v>0.99641970000000002</v>
      </c>
      <c r="Y3575">
        <v>-2.8587890000000001E-2</v>
      </c>
      <c r="Z3575">
        <v>0.1170211</v>
      </c>
      <c r="AA3575">
        <v>0.99271790000000004</v>
      </c>
      <c r="AB3575">
        <v>26</v>
      </c>
      <c r="AC3575">
        <v>4.3700000000001099E-2</v>
      </c>
      <c r="AD3575">
        <v>-0.11044999999999899</v>
      </c>
      <c r="AE3575">
        <v>-0.77070000000000505</v>
      </c>
      <c r="AF3575">
        <v>-2.5573303232529598E-2</v>
      </c>
      <c r="AG3575">
        <v>-0.11044999999999899</v>
      </c>
      <c r="AH3575">
        <v>0.75601923106517699</v>
      </c>
      <c r="AI3575">
        <v>98.307093057336601</v>
      </c>
      <c r="AJ3575">
        <v>91.9373632513785</v>
      </c>
      <c r="AK3575">
        <v>0.76447254632105999</v>
      </c>
      <c r="AL3575">
        <v>92.624745430645802</v>
      </c>
      <c r="AM3575">
        <v>85.920358579401494</v>
      </c>
      <c r="AN3575">
        <v>1.0000000322121501</v>
      </c>
    </row>
    <row r="3576" spans="1:40" x14ac:dyDescent="0.3">
      <c r="A3576" t="str">
        <f>"20200111160526772"</f>
        <v>20200111160526772</v>
      </c>
      <c r="B3576" t="str">
        <f>"1578729926764664"</f>
        <v>1578729926764664</v>
      </c>
      <c r="C3576" t="s">
        <v>40</v>
      </c>
      <c r="D3576">
        <v>5.6561570000000003</v>
      </c>
      <c r="E3576">
        <v>0.46752749999999998</v>
      </c>
      <c r="F3576" t="s">
        <v>42</v>
      </c>
      <c r="G3576">
        <v>-191.23699999999999</v>
      </c>
      <c r="H3576">
        <v>1.0264329999999999</v>
      </c>
      <c r="I3576">
        <v>167.37110000000001</v>
      </c>
      <c r="J3576">
        <v>-191.26769999999999</v>
      </c>
      <c r="K3576">
        <v>1.11138</v>
      </c>
      <c r="L3576">
        <v>167.99469999999999</v>
      </c>
      <c r="M3576">
        <v>2.380966E-2</v>
      </c>
      <c r="N3576">
        <v>0</v>
      </c>
      <c r="O3576">
        <v>-0.99961909999999998</v>
      </c>
      <c r="P3576">
        <v>-4.8333290000000001E-2</v>
      </c>
      <c r="Q3576">
        <v>-5.8911869999999998E-2</v>
      </c>
      <c r="R3576">
        <v>-0.9970926</v>
      </c>
      <c r="S3576">
        <v>0.13589479999999901</v>
      </c>
      <c r="T3576">
        <v>-0.32474160000000002</v>
      </c>
      <c r="U3576">
        <v>-2.995987</v>
      </c>
      <c r="V3576">
        <v>7.2183300000000006E-2</v>
      </c>
      <c r="W3576">
        <v>-4.4807939999999997E-2</v>
      </c>
      <c r="X3576">
        <v>0.99638439999999995</v>
      </c>
      <c r="Y3576">
        <v>-2.1248610000000001E-2</v>
      </c>
      <c r="Z3576">
        <v>0.1076486</v>
      </c>
      <c r="AA3576">
        <v>0.99396189999999995</v>
      </c>
      <c r="AB3576">
        <v>26</v>
      </c>
      <c r="AC3576">
        <v>3.0699999999995901E-2</v>
      </c>
      <c r="AD3576">
        <v>-8.4947000000000106E-2</v>
      </c>
      <c r="AE3576">
        <v>-0.62359999999998195</v>
      </c>
      <c r="AF3576">
        <v>-1.5554219191835E-2</v>
      </c>
      <c r="AG3576">
        <v>-8.4947000000000106E-2</v>
      </c>
      <c r="AH3576">
        <v>0.612810404762686</v>
      </c>
      <c r="AI3576">
        <v>97.889467203229401</v>
      </c>
      <c r="AJ3576">
        <v>91.453956723906003</v>
      </c>
      <c r="AK3576">
        <v>0.61886550940335605</v>
      </c>
      <c r="AL3576">
        <v>92.568165645225903</v>
      </c>
      <c r="AM3576">
        <v>85.856432697767701</v>
      </c>
      <c r="AN3576">
        <v>1.00000002642464</v>
      </c>
    </row>
    <row r="3577" spans="1:40" x14ac:dyDescent="0.3">
      <c r="A3577" t="str">
        <f>"20200111160526788"</f>
        <v>20200111160526788</v>
      </c>
      <c r="B3577" t="str">
        <f>"1578729926785160"</f>
        <v>1578729926785160</v>
      </c>
      <c r="C3577" t="s">
        <v>40</v>
      </c>
      <c r="D3577">
        <v>5.7745340000000001</v>
      </c>
      <c r="E3577">
        <v>0.46781679999999998</v>
      </c>
      <c r="F3577" t="s">
        <v>42</v>
      </c>
      <c r="G3577">
        <v>-191.23009999999999</v>
      </c>
      <c r="H3577">
        <v>1.0172239999999999</v>
      </c>
      <c r="I3577">
        <v>167.14570000000001</v>
      </c>
      <c r="J3577">
        <v>-191.26230000000001</v>
      </c>
      <c r="K3577">
        <v>1.111386</v>
      </c>
      <c r="L3577">
        <v>167.81700000000001</v>
      </c>
      <c r="M3577">
        <v>2.4898790000000001E-2</v>
      </c>
      <c r="N3577">
        <v>0</v>
      </c>
      <c r="O3577">
        <v>-0.99959249999999999</v>
      </c>
      <c r="P3577">
        <v>-4.9076750000000002E-2</v>
      </c>
      <c r="Q3577">
        <v>-5.8617030000000001E-2</v>
      </c>
      <c r="R3577">
        <v>-0.99707380000000001</v>
      </c>
      <c r="S3577">
        <v>0.13314819999999999</v>
      </c>
      <c r="T3577">
        <v>-0.33231379999999999</v>
      </c>
      <c r="U3577">
        <v>-2.99559</v>
      </c>
      <c r="V3577">
        <v>7.4009130000000006E-2</v>
      </c>
      <c r="W3577">
        <v>-4.4513400000000002E-2</v>
      </c>
      <c r="X3577">
        <v>0.99626360000000003</v>
      </c>
      <c r="Y3577">
        <v>-1.9243570000000002E-2</v>
      </c>
      <c r="Z3577">
        <v>0.110143</v>
      </c>
      <c r="AA3577">
        <v>0.99372939999999998</v>
      </c>
      <c r="AB3577">
        <v>26</v>
      </c>
      <c r="AC3577">
        <v>3.2200000000017298E-2</v>
      </c>
      <c r="AD3577">
        <v>-9.4161999999999996E-2</v>
      </c>
      <c r="AE3577">
        <v>-0.67130000000000201</v>
      </c>
      <c r="AF3577">
        <v>-1.51759254526168E-2</v>
      </c>
      <c r="AG3577">
        <v>-9.4161999999999996E-2</v>
      </c>
      <c r="AH3577">
        <v>0.65895831799545002</v>
      </c>
      <c r="AI3577">
        <v>98.130113952545699</v>
      </c>
      <c r="AJ3577">
        <v>91.319298620999405</v>
      </c>
      <c r="AK3577">
        <v>0.66582494381987201</v>
      </c>
      <c r="AL3577">
        <v>92.551273016541899</v>
      </c>
      <c r="AM3577">
        <v>85.751489599260196</v>
      </c>
      <c r="AN3577">
        <v>0.99999997739393798</v>
      </c>
    </row>
    <row r="3578" spans="1:40" x14ac:dyDescent="0.3">
      <c r="A3578" t="str">
        <f>"20200111160526800"</f>
        <v>20200111160526800</v>
      </c>
      <c r="B3578" t="str">
        <f>"1578729926794919"</f>
        <v>1578729926794919</v>
      </c>
      <c r="C3578" t="s">
        <v>40</v>
      </c>
      <c r="D3578">
        <v>5.7556399999999996</v>
      </c>
      <c r="E3578">
        <v>0.46755360000000001</v>
      </c>
      <c r="F3578" t="s">
        <v>42</v>
      </c>
      <c r="G3578">
        <v>-191.22329999999999</v>
      </c>
      <c r="H3578">
        <v>1.007755</v>
      </c>
      <c r="I3578">
        <v>166.9196</v>
      </c>
      <c r="J3578">
        <v>-191.25729999999999</v>
      </c>
      <c r="K3578">
        <v>1.111381</v>
      </c>
      <c r="L3578">
        <v>167.65899999999999</v>
      </c>
      <c r="M3578">
        <v>2.5863110000000002E-2</v>
      </c>
      <c r="N3578">
        <v>0</v>
      </c>
      <c r="O3578">
        <v>-0.99956820000000002</v>
      </c>
      <c r="P3578">
        <v>-4.9278160000000001E-2</v>
      </c>
      <c r="Q3578">
        <v>-5.897227E-2</v>
      </c>
      <c r="R3578">
        <v>-0.99704269999999995</v>
      </c>
      <c r="S3578">
        <v>0.13055419999999901</v>
      </c>
      <c r="T3578">
        <v>-0.34598959999999901</v>
      </c>
      <c r="U3578">
        <v>-2.994904</v>
      </c>
      <c r="V3578">
        <v>7.5170349999999997E-2</v>
      </c>
      <c r="W3578">
        <v>-4.4869899999999997E-2</v>
      </c>
      <c r="X3578">
        <v>0.99616070000000001</v>
      </c>
      <c r="Y3578">
        <v>-1.7407880000000001E-2</v>
      </c>
      <c r="Z3578">
        <v>0.1146432</v>
      </c>
      <c r="AA3578">
        <v>0.99325419999999998</v>
      </c>
      <c r="AB3578">
        <v>26</v>
      </c>
      <c r="AC3578">
        <v>3.3999999999991801E-2</v>
      </c>
      <c r="AD3578">
        <v>-0.103626</v>
      </c>
      <c r="AE3578">
        <v>-0.73940000000001704</v>
      </c>
      <c r="AF3578">
        <v>-1.4577851618697299E-2</v>
      </c>
      <c r="AG3578">
        <v>-0.103626</v>
      </c>
      <c r="AH3578">
        <v>0.72580608050408202</v>
      </c>
      <c r="AI3578">
        <v>98.123798913175605</v>
      </c>
      <c r="AJ3578">
        <v>91.150633903403204</v>
      </c>
      <c r="AK3578">
        <v>0.73331120824007301</v>
      </c>
      <c r="AL3578">
        <v>92.571719295582497</v>
      </c>
      <c r="AM3578">
        <v>85.684635301028095</v>
      </c>
      <c r="AN3578">
        <v>1.00000001483481</v>
      </c>
    </row>
    <row r="3579" spans="1:40" x14ac:dyDescent="0.3">
      <c r="A3579" t="str">
        <f>"20200111160526815"</f>
        <v>20200111160526815</v>
      </c>
      <c r="B3579" t="str">
        <f>"1578729926804680"</f>
        <v>1578729926804680</v>
      </c>
      <c r="C3579" t="s">
        <v>40</v>
      </c>
      <c r="D3579">
        <v>6.9575279999999999</v>
      </c>
      <c r="E3579">
        <v>0.46765869999999998</v>
      </c>
      <c r="F3579" t="s">
        <v>42</v>
      </c>
      <c r="G3579">
        <v>-191.2243</v>
      </c>
      <c r="H3579">
        <v>1.0232209999999999</v>
      </c>
      <c r="I3579">
        <v>166.91210000000001</v>
      </c>
      <c r="J3579">
        <v>-191.25229999999999</v>
      </c>
      <c r="K3579">
        <v>1.1113770000000001</v>
      </c>
      <c r="L3579">
        <v>167.505</v>
      </c>
      <c r="M3579">
        <v>2.6798869999999999E-2</v>
      </c>
      <c r="N3579">
        <v>0</v>
      </c>
      <c r="O3579">
        <v>-0.99954359999999998</v>
      </c>
      <c r="P3579">
        <v>-4.9349249999999997E-2</v>
      </c>
      <c r="Q3579">
        <v>-5.914643E-2</v>
      </c>
      <c r="R3579">
        <v>-0.9970291</v>
      </c>
      <c r="S3579">
        <v>0.13293460000000001</v>
      </c>
      <c r="T3579">
        <v>-0.353614599999999</v>
      </c>
      <c r="U3579">
        <v>-2.9945680000000001</v>
      </c>
      <c r="V3579">
        <v>7.6172699999999996E-2</v>
      </c>
      <c r="W3579">
        <v>-4.5045420000000003E-2</v>
      </c>
      <c r="X3579">
        <v>0.99607659999999998</v>
      </c>
      <c r="Y3579">
        <v>-1.725177E-2</v>
      </c>
      <c r="Z3579">
        <v>0.1171422</v>
      </c>
      <c r="AA3579">
        <v>0.99296530000000005</v>
      </c>
      <c r="AB3579">
        <v>26</v>
      </c>
      <c r="AC3579">
        <v>2.79999999999915E-2</v>
      </c>
      <c r="AD3579">
        <v>-8.8156000000000095E-2</v>
      </c>
      <c r="AE3579">
        <v>-0.59289999999998599</v>
      </c>
      <c r="AF3579">
        <v>-1.1838215275091201E-2</v>
      </c>
      <c r="AG3579">
        <v>-8.8156000000000095E-2</v>
      </c>
      <c r="AH3579">
        <v>0.58062971439428401</v>
      </c>
      <c r="AI3579">
        <v>98.631417836240402</v>
      </c>
      <c r="AJ3579">
        <v>91.168017745559794</v>
      </c>
      <c r="AK3579">
        <v>0.58740317407593901</v>
      </c>
      <c r="AL3579">
        <v>92.581786115128907</v>
      </c>
      <c r="AM3579">
        <v>85.626946544701994</v>
      </c>
      <c r="AN3579">
        <v>0.99999998157791303</v>
      </c>
    </row>
    <row r="3580" spans="1:40" x14ac:dyDescent="0.3">
      <c r="A3580" t="str">
        <f>"20200111160526832"</f>
        <v>20200111160526832</v>
      </c>
      <c r="B3580" t="str">
        <f>"1578729926825175"</f>
        <v>1578729926825175</v>
      </c>
      <c r="C3580" t="s">
        <v>40</v>
      </c>
      <c r="D3580">
        <v>5.709435</v>
      </c>
      <c r="E3580">
        <v>0.46792669999999997</v>
      </c>
      <c r="F3580" t="s">
        <v>42</v>
      </c>
      <c r="G3580">
        <v>-191.2165</v>
      </c>
      <c r="H3580">
        <v>1.0155940000000001</v>
      </c>
      <c r="I3580">
        <v>166.68559999999999</v>
      </c>
      <c r="J3580">
        <v>-191.24520000000001</v>
      </c>
      <c r="K3580">
        <v>1.111372</v>
      </c>
      <c r="L3580">
        <v>167.29400000000001</v>
      </c>
      <c r="M3580">
        <v>2.8069199999999999E-2</v>
      </c>
      <c r="N3580">
        <v>0</v>
      </c>
      <c r="O3580">
        <v>-0.99950870000000003</v>
      </c>
      <c r="P3580">
        <v>-5.0024699999999998E-2</v>
      </c>
      <c r="Q3580">
        <v>-5.9685790000000002E-2</v>
      </c>
      <c r="R3580">
        <v>-0.9969635</v>
      </c>
      <c r="S3580">
        <v>0.131546</v>
      </c>
      <c r="T3580">
        <v>-0.35021940000000001</v>
      </c>
      <c r="U3580">
        <v>-2.994659</v>
      </c>
      <c r="V3580">
        <v>7.8111180000000002E-2</v>
      </c>
      <c r="W3580">
        <v>-4.5586710000000003E-2</v>
      </c>
      <c r="X3580">
        <v>0.99590179999999995</v>
      </c>
      <c r="Y3580">
        <v>-1.5525880000000001E-2</v>
      </c>
      <c r="Z3580">
        <v>0.1160259</v>
      </c>
      <c r="AA3580">
        <v>0.99312480000000003</v>
      </c>
      <c r="AB3580">
        <v>26</v>
      </c>
      <c r="AC3580">
        <v>2.87000000000148E-2</v>
      </c>
      <c r="AD3580">
        <v>-9.5777999999999905E-2</v>
      </c>
      <c r="AE3580">
        <v>-0.60840000000001704</v>
      </c>
      <c r="AF3580">
        <v>-1.1329570559215499E-2</v>
      </c>
      <c r="AG3580">
        <v>-9.5777999999999905E-2</v>
      </c>
      <c r="AH3580">
        <v>0.59427081042933005</v>
      </c>
      <c r="AI3580">
        <v>99.153933634026302</v>
      </c>
      <c r="AJ3580">
        <v>91.092192207940698</v>
      </c>
      <c r="AK3580">
        <v>0.60204616150374202</v>
      </c>
      <c r="AL3580">
        <v>92.612831724471903</v>
      </c>
      <c r="AM3580">
        <v>85.515323378996698</v>
      </c>
      <c r="AN3580">
        <v>0.99999994990642704</v>
      </c>
    </row>
    <row r="3581" spans="1:40" x14ac:dyDescent="0.3">
      <c r="A3581" t="str">
        <f>"20200111160526846"</f>
        <v>20200111160526846</v>
      </c>
      <c r="B3581" t="str">
        <f>"1578729926834936"</f>
        <v>1578729926834936</v>
      </c>
      <c r="C3581" t="s">
        <v>40</v>
      </c>
      <c r="D3581">
        <v>5.7057690000000001</v>
      </c>
      <c r="E3581">
        <v>0.46797060000000001</v>
      </c>
      <c r="F3581" t="s">
        <v>42</v>
      </c>
      <c r="G3581">
        <v>-191.20930000000001</v>
      </c>
      <c r="H3581">
        <v>1.010003</v>
      </c>
      <c r="I3581">
        <v>166.45830000000001</v>
      </c>
      <c r="J3581">
        <v>-191.23990000000001</v>
      </c>
      <c r="K3581">
        <v>1.1113569999999999</v>
      </c>
      <c r="L3581">
        <v>167.13980000000001</v>
      </c>
      <c r="M3581">
        <v>2.8986069999999999E-2</v>
      </c>
      <c r="N3581">
        <v>0</v>
      </c>
      <c r="O3581">
        <v>-0.9994826</v>
      </c>
      <c r="P3581">
        <v>-4.973371E-2</v>
      </c>
      <c r="Q3581">
        <v>-5.9773769999999997E-2</v>
      </c>
      <c r="R3581">
        <v>-0.99697259999999999</v>
      </c>
      <c r="S3581">
        <v>0.12870789999999999</v>
      </c>
      <c r="T3581">
        <v>-0.36312480000000003</v>
      </c>
      <c r="U3581">
        <v>-2.993881</v>
      </c>
      <c r="V3581">
        <v>7.8732369999999996E-2</v>
      </c>
      <c r="W3581">
        <v>-4.5677929999999999E-2</v>
      </c>
      <c r="X3581">
        <v>0.99584879999999998</v>
      </c>
      <c r="Y3581">
        <v>-1.365856E-2</v>
      </c>
      <c r="Z3581">
        <v>0.1202708</v>
      </c>
      <c r="AA3581">
        <v>0.99264719999999995</v>
      </c>
      <c r="AB3581">
        <v>26</v>
      </c>
      <c r="AC3581">
        <v>3.0599999999992598E-2</v>
      </c>
      <c r="AD3581">
        <v>-0.101353999999999</v>
      </c>
      <c r="AE3581">
        <v>-0.681499999999999</v>
      </c>
      <c r="AF3581">
        <v>-1.0597291810071199E-2</v>
      </c>
      <c r="AG3581">
        <v>-0.101353999999999</v>
      </c>
      <c r="AH3581">
        <v>0.66736933033392098</v>
      </c>
      <c r="AI3581">
        <v>98.634502090295697</v>
      </c>
      <c r="AJ3581">
        <v>90.909734747791006</v>
      </c>
      <c r="AK3581">
        <v>0.67510499848546102</v>
      </c>
      <c r="AL3581">
        <v>92.618063444331597</v>
      </c>
      <c r="AM3581">
        <v>85.479566016298406</v>
      </c>
      <c r="AN3581">
        <v>1.0000000459181699</v>
      </c>
    </row>
    <row r="3582" spans="1:40" x14ac:dyDescent="0.3">
      <c r="A3582" t="str">
        <f>"20200111160526859"</f>
        <v>20200111160526859</v>
      </c>
      <c r="B3582" t="str">
        <f>"1578729926854963"</f>
        <v>1578729926854963</v>
      </c>
      <c r="C3582" t="s">
        <v>40</v>
      </c>
      <c r="D3582">
        <v>5.6103180000000004</v>
      </c>
      <c r="E3582">
        <v>0.46834730000000002</v>
      </c>
      <c r="F3582" t="s">
        <v>42</v>
      </c>
      <c r="G3582">
        <v>-191.20089999999999</v>
      </c>
      <c r="H3582">
        <v>1.000453</v>
      </c>
      <c r="I3582">
        <v>166.23320000000001</v>
      </c>
      <c r="J3582">
        <v>-191.2345</v>
      </c>
      <c r="K3582">
        <v>1.11134</v>
      </c>
      <c r="L3582">
        <v>166.98679999999999</v>
      </c>
      <c r="M3582">
        <v>2.9881310000000001E-2</v>
      </c>
      <c r="N3582">
        <v>0</v>
      </c>
      <c r="O3582">
        <v>-0.99945600000000001</v>
      </c>
      <c r="P3582">
        <v>-4.9481600000000001E-2</v>
      </c>
      <c r="Q3582">
        <v>-6.0300909999999999E-2</v>
      </c>
      <c r="R3582">
        <v>-0.99695299999999998</v>
      </c>
      <c r="S3582">
        <v>0.1296997</v>
      </c>
      <c r="T3582">
        <v>-0.36635659999999998</v>
      </c>
      <c r="U3582">
        <v>-2.9936219999999998</v>
      </c>
      <c r="V3582">
        <v>7.9370650000000001E-2</v>
      </c>
      <c r="W3582">
        <v>-4.6209689999999998E-2</v>
      </c>
      <c r="X3582">
        <v>0.99577360000000004</v>
      </c>
      <c r="Y3582">
        <v>-1.308928E-2</v>
      </c>
      <c r="Z3582">
        <v>0.1213307</v>
      </c>
      <c r="AA3582">
        <v>0.99252580000000001</v>
      </c>
      <c r="AB3582">
        <v>26</v>
      </c>
      <c r="AC3582">
        <v>3.3600000000006902E-2</v>
      </c>
      <c r="AD3582">
        <v>-0.110886999999999</v>
      </c>
      <c r="AE3582">
        <v>-0.75359999999997695</v>
      </c>
      <c r="AF3582">
        <v>-1.0830223377571901E-2</v>
      </c>
      <c r="AG3582">
        <v>-0.110886999999999</v>
      </c>
      <c r="AH3582">
        <v>0.73831394983853105</v>
      </c>
      <c r="AI3582">
        <v>98.540478470701203</v>
      </c>
      <c r="AJ3582">
        <v>90.840403447986901</v>
      </c>
      <c r="AK3582">
        <v>0.74667309381922997</v>
      </c>
      <c r="AL3582">
        <v>92.648563245870406</v>
      </c>
      <c r="AM3582">
        <v>85.442730092845096</v>
      </c>
      <c r="AN3582">
        <v>1.0000000489941301</v>
      </c>
    </row>
    <row r="3583" spans="1:40" x14ac:dyDescent="0.3">
      <c r="A3583" t="str">
        <f>"20200111160526877"</f>
        <v>20200111160526877</v>
      </c>
      <c r="B3583" t="str">
        <f>"1578729926875460"</f>
        <v>1578729926875460</v>
      </c>
      <c r="C3583" t="s">
        <v>40</v>
      </c>
      <c r="D3583">
        <v>5.6348260000000003</v>
      </c>
      <c r="E3583">
        <v>0.46876879999999999</v>
      </c>
      <c r="F3583" t="s">
        <v>42</v>
      </c>
      <c r="G3583">
        <v>-191.20230000000001</v>
      </c>
      <c r="H3583">
        <v>1.0175890000000001</v>
      </c>
      <c r="I3583">
        <v>166.22479999999999</v>
      </c>
      <c r="J3583">
        <v>-191.22739999999999</v>
      </c>
      <c r="K3583">
        <v>1.1113040000000001</v>
      </c>
      <c r="L3583">
        <v>166.78970000000001</v>
      </c>
      <c r="M3583">
        <v>3.1007750000000001E-2</v>
      </c>
      <c r="N3583">
        <v>0</v>
      </c>
      <c r="O3583">
        <v>-0.99942180000000003</v>
      </c>
      <c r="P3583">
        <v>-4.9738730000000002E-2</v>
      </c>
      <c r="Q3583">
        <v>-6.184713E-2</v>
      </c>
      <c r="R3583">
        <v>-0.99684569999999995</v>
      </c>
      <c r="S3583">
        <v>0.12738039999999901</v>
      </c>
      <c r="T3583">
        <v>-0.36850860000000002</v>
      </c>
      <c r="U3583">
        <v>-2.9931950000000001</v>
      </c>
      <c r="V3583">
        <v>8.0746520000000002E-2</v>
      </c>
      <c r="W3583">
        <v>-4.7763189999999997E-2</v>
      </c>
      <c r="X3583">
        <v>0.99558959999999996</v>
      </c>
      <c r="Y3583">
        <v>-1.1197E-2</v>
      </c>
      <c r="Z3583">
        <v>0.12204710000000001</v>
      </c>
      <c r="AA3583">
        <v>0.99246109999999998</v>
      </c>
      <c r="AB3583">
        <v>26</v>
      </c>
      <c r="AC3583">
        <v>2.5099999999980499E-2</v>
      </c>
      <c r="AD3583">
        <v>-9.3715000000000201E-2</v>
      </c>
      <c r="AE3583">
        <v>-0.56490000000002205</v>
      </c>
      <c r="AF3583">
        <v>-7.36757710884415E-3</v>
      </c>
      <c r="AG3583">
        <v>-9.3715000000000201E-2</v>
      </c>
      <c r="AH3583">
        <v>0.550291570058973</v>
      </c>
      <c r="AI3583">
        <v>99.663935626094002</v>
      </c>
      <c r="AJ3583">
        <v>90.767058549794498</v>
      </c>
      <c r="AK3583">
        <v>0.55826301551815605</v>
      </c>
      <c r="AL3583">
        <v>92.737670829957594</v>
      </c>
      <c r="AM3583">
        <v>85.363219354667805</v>
      </c>
      <c r="AN3583">
        <v>0.99999998721962302</v>
      </c>
    </row>
    <row r="3584" spans="1:40" x14ac:dyDescent="0.3">
      <c r="A3584" t="str">
        <f>"20200111160526892"</f>
        <v>20200111160526892</v>
      </c>
      <c r="B3584" t="str">
        <f>"1578729926885219"</f>
        <v>1578729926885219</v>
      </c>
      <c r="C3584" t="s">
        <v>40</v>
      </c>
      <c r="D3584">
        <v>5.6523700000000003</v>
      </c>
      <c r="E3584">
        <v>0.46893170000000001</v>
      </c>
      <c r="F3584" t="s">
        <v>42</v>
      </c>
      <c r="G3584">
        <v>-191.19499999999999</v>
      </c>
      <c r="H3584">
        <v>1.014672</v>
      </c>
      <c r="I3584">
        <v>165.99680000000001</v>
      </c>
      <c r="J3584">
        <v>-191.2209</v>
      </c>
      <c r="K3584">
        <v>1.111267</v>
      </c>
      <c r="L3584">
        <v>166.61660000000001</v>
      </c>
      <c r="M3584">
        <v>3.1966790000000002E-2</v>
      </c>
      <c r="N3584">
        <v>0</v>
      </c>
      <c r="O3584">
        <v>-0.99939180000000005</v>
      </c>
      <c r="P3584">
        <v>-4.9897780000000003E-2</v>
      </c>
      <c r="Q3584">
        <v>-6.2731919999999997E-2</v>
      </c>
      <c r="R3584">
        <v>-0.99678259999999996</v>
      </c>
      <c r="S3584">
        <v>0.1225281</v>
      </c>
      <c r="T3584">
        <v>-0.36483399999999999</v>
      </c>
      <c r="U3584">
        <v>-2.9929809999999999</v>
      </c>
      <c r="V3584">
        <v>8.1856659999999998E-2</v>
      </c>
      <c r="W3584">
        <v>-4.8655730000000001E-2</v>
      </c>
      <c r="X3584">
        <v>0.99545570000000005</v>
      </c>
      <c r="Y3584">
        <v>-8.640188E-3</v>
      </c>
      <c r="Z3584">
        <v>0.12085650000000001</v>
      </c>
      <c r="AA3584">
        <v>0.99263239999999997</v>
      </c>
      <c r="AB3584">
        <v>26</v>
      </c>
      <c r="AC3584">
        <v>2.5900000000007101E-2</v>
      </c>
      <c r="AD3584">
        <v>-9.6595E-2</v>
      </c>
      <c r="AE3584">
        <v>-0.61979999999999702</v>
      </c>
      <c r="AF3584">
        <v>-5.9280855199563302E-3</v>
      </c>
      <c r="AG3584">
        <v>-9.6595E-2</v>
      </c>
      <c r="AH3584">
        <v>0.60562688697835398</v>
      </c>
      <c r="AI3584">
        <v>99.061685456656804</v>
      </c>
      <c r="AJ3584">
        <v>90.560813004165396</v>
      </c>
      <c r="AK3584">
        <v>0.61331041280417198</v>
      </c>
      <c r="AL3584">
        <v>92.788869181470602</v>
      </c>
      <c r="AM3584">
        <v>85.299125074122799</v>
      </c>
      <c r="AN3584">
        <v>0.99999997175533895</v>
      </c>
    </row>
    <row r="3585" spans="1:40" x14ac:dyDescent="0.3">
      <c r="A3585" t="str">
        <f>"20200111160526904"</f>
        <v>20200111160526904</v>
      </c>
      <c r="B3585" t="str">
        <f>"1578729926894979"</f>
        <v>1578729926894979</v>
      </c>
      <c r="C3585" t="s">
        <v>40</v>
      </c>
      <c r="D3585">
        <v>5.6829580000000002</v>
      </c>
      <c r="E3585">
        <v>0.46915030000000002</v>
      </c>
      <c r="F3585" t="s">
        <v>42</v>
      </c>
      <c r="G3585">
        <v>-191.18680000000001</v>
      </c>
      <c r="H3585">
        <v>1.007366</v>
      </c>
      <c r="I3585">
        <v>165.77109999999999</v>
      </c>
      <c r="J3585">
        <v>-191.21549999999999</v>
      </c>
      <c r="K3585">
        <v>1.1112340000000001</v>
      </c>
      <c r="L3585">
        <v>166.47149999999999</v>
      </c>
      <c r="M3585">
        <v>3.2751500000000003E-2</v>
      </c>
      <c r="N3585">
        <v>0</v>
      </c>
      <c r="O3585">
        <v>-0.99936630000000004</v>
      </c>
      <c r="P3585">
        <v>-4.9907090000000001E-2</v>
      </c>
      <c r="Q3585">
        <v>-6.3933599999999993E-2</v>
      </c>
      <c r="R3585">
        <v>-0.99670590000000003</v>
      </c>
      <c r="S3585">
        <v>0.1207733</v>
      </c>
      <c r="T3585">
        <v>-0.36783490000000002</v>
      </c>
      <c r="U3585">
        <v>-2.992569</v>
      </c>
      <c r="V3585">
        <v>8.2643770000000005E-2</v>
      </c>
      <c r="W3585">
        <v>-4.9865340000000001E-2</v>
      </c>
      <c r="X3585">
        <v>0.99533079999999996</v>
      </c>
      <c r="Y3585">
        <v>-7.2745969999999998E-3</v>
      </c>
      <c r="Z3585">
        <v>0.1218499</v>
      </c>
      <c r="AA3585">
        <v>0.99252189999999996</v>
      </c>
      <c r="AB3585">
        <v>26</v>
      </c>
      <c r="AC3585">
        <v>2.86999999999864E-2</v>
      </c>
      <c r="AD3585">
        <v>-0.103868</v>
      </c>
      <c r="AE3585">
        <v>-0.70040000000000102</v>
      </c>
      <c r="AF3585">
        <v>-5.6198342198524797E-3</v>
      </c>
      <c r="AG3585">
        <v>-0.103868</v>
      </c>
      <c r="AH3585">
        <v>0.68590487850230797</v>
      </c>
      <c r="AI3585">
        <v>98.610710412285201</v>
      </c>
      <c r="AJ3585">
        <v>90.469431822946106</v>
      </c>
      <c r="AK3585">
        <v>0.69374753787954002</v>
      </c>
      <c r="AL3585">
        <v>92.858258973378895</v>
      </c>
      <c r="AM3585">
        <v>85.253535494424497</v>
      </c>
      <c r="AN3585">
        <v>0.99999997314088296</v>
      </c>
    </row>
    <row r="3586" spans="1:40" x14ac:dyDescent="0.3">
      <c r="A3586" t="str">
        <f>"20200111160526924"</f>
        <v>20200111160526924</v>
      </c>
      <c r="B3586" t="str">
        <f>"1578729926915475"</f>
        <v>1578729926915475</v>
      </c>
      <c r="C3586" t="s">
        <v>40</v>
      </c>
      <c r="D3586">
        <v>5.7093410000000002</v>
      </c>
      <c r="E3586">
        <v>0.46923870000000001</v>
      </c>
      <c r="F3586" t="s">
        <v>42</v>
      </c>
      <c r="G3586">
        <v>-191.179</v>
      </c>
      <c r="H3586">
        <v>0.99881549999999997</v>
      </c>
      <c r="I3586">
        <v>165.5463</v>
      </c>
      <c r="J3586">
        <v>-191.20699999999999</v>
      </c>
      <c r="K3586">
        <v>1.111164</v>
      </c>
      <c r="L3586">
        <v>166.2525</v>
      </c>
      <c r="M3586">
        <v>3.3874950000000001E-2</v>
      </c>
      <c r="N3586">
        <v>0</v>
      </c>
      <c r="O3586">
        <v>-0.99932889999999996</v>
      </c>
      <c r="P3586">
        <v>-5.0011609999999998E-2</v>
      </c>
      <c r="Q3586">
        <v>-6.6243339999999998E-2</v>
      </c>
      <c r="R3586">
        <v>-0.99654969999999998</v>
      </c>
      <c r="S3586">
        <v>0.11836240000000001</v>
      </c>
      <c r="T3586">
        <v>-0.36371229999999999</v>
      </c>
      <c r="U3586">
        <v>-2.9925079999999999</v>
      </c>
      <c r="V3586">
        <v>8.3859619999999996E-2</v>
      </c>
      <c r="W3586">
        <v>-5.2189729999999997E-2</v>
      </c>
      <c r="X3586">
        <v>0.99510989999999999</v>
      </c>
      <c r="Y3586">
        <v>-5.3594009999999997E-3</v>
      </c>
      <c r="Z3586">
        <v>0.1205025</v>
      </c>
      <c r="AA3586">
        <v>0.99269859999999999</v>
      </c>
      <c r="AB3586">
        <v>26</v>
      </c>
      <c r="AC3586">
        <v>2.79999999999915E-2</v>
      </c>
      <c r="AD3586">
        <v>-0.112348499999999</v>
      </c>
      <c r="AE3586">
        <v>-0.70619999999999505</v>
      </c>
      <c r="AF3586">
        <v>-3.95906995890879E-3</v>
      </c>
      <c r="AG3586">
        <v>-0.112348499999999</v>
      </c>
      <c r="AH3586">
        <v>0.68932431648333403</v>
      </c>
      <c r="AI3586">
        <v>99.256724786390194</v>
      </c>
      <c r="AJ3586">
        <v>90.329069350744902</v>
      </c>
      <c r="AK3586">
        <v>0.69843100803329605</v>
      </c>
      <c r="AL3586">
        <v>92.991610512341097</v>
      </c>
      <c r="AM3586">
        <v>85.182967836308606</v>
      </c>
      <c r="AN3586">
        <v>0.99999995843101197</v>
      </c>
    </row>
    <row r="3587" spans="1:40" x14ac:dyDescent="0.3">
      <c r="A3587" t="str">
        <f>"20200111160526944"</f>
        <v>20200111160526944</v>
      </c>
      <c r="B3587" t="str">
        <f>"1578729926934995"</f>
        <v>1578729926934995</v>
      </c>
      <c r="C3587" t="s">
        <v>40</v>
      </c>
      <c r="D3587">
        <v>5.7474489999999996</v>
      </c>
      <c r="E3587">
        <v>0.46916960000000002</v>
      </c>
      <c r="F3587" t="s">
        <v>42</v>
      </c>
      <c r="G3587">
        <v>-191.1705</v>
      </c>
      <c r="H3587">
        <v>0.99521599999999999</v>
      </c>
      <c r="I3587">
        <v>165.3194</v>
      </c>
      <c r="J3587">
        <v>-191.19759999999999</v>
      </c>
      <c r="K3587">
        <v>1.111084</v>
      </c>
      <c r="L3587">
        <v>166.0136</v>
      </c>
      <c r="M3587">
        <v>3.5013509999999998E-2</v>
      </c>
      <c r="N3587">
        <v>0</v>
      </c>
      <c r="O3587">
        <v>-0.9992896</v>
      </c>
      <c r="P3587">
        <v>-4.9991800000000003E-2</v>
      </c>
      <c r="Q3587">
        <v>-6.8059250000000002E-2</v>
      </c>
      <c r="R3587">
        <v>-0.99642779999999997</v>
      </c>
      <c r="S3587">
        <v>0.11756900000000001</v>
      </c>
      <c r="T3587">
        <v>-0.37184679999999998</v>
      </c>
      <c r="U3587">
        <v>-2.9916079999999998</v>
      </c>
      <c r="V3587">
        <v>8.4963659999999996E-2</v>
      </c>
      <c r="W3587">
        <v>-5.4023559999999998E-2</v>
      </c>
      <c r="X3587">
        <v>0.99491839999999998</v>
      </c>
      <c r="Y3587">
        <v>-3.9560130000000004E-3</v>
      </c>
      <c r="Z3587">
        <v>0.1231873</v>
      </c>
      <c r="AA3587">
        <v>0.99237560000000002</v>
      </c>
      <c r="AB3587">
        <v>26</v>
      </c>
      <c r="AC3587">
        <v>2.7099999999990101E-2</v>
      </c>
      <c r="AD3587">
        <v>-0.115867999999999</v>
      </c>
      <c r="AE3587">
        <v>-0.69419999999999404</v>
      </c>
      <c r="AF3587">
        <v>-2.69954821366713E-3</v>
      </c>
      <c r="AG3587">
        <v>-0.115867999999999</v>
      </c>
      <c r="AH3587">
        <v>0.675921703751582</v>
      </c>
      <c r="AI3587">
        <v>99.727149015512296</v>
      </c>
      <c r="AJ3587">
        <v>90.228831085001303</v>
      </c>
      <c r="AK3587">
        <v>0.68578628638009298</v>
      </c>
      <c r="AL3587">
        <v>93.096829616189396</v>
      </c>
      <c r="AM3587">
        <v>85.118919509589801</v>
      </c>
      <c r="AN3587">
        <v>0.99999999560711395</v>
      </c>
    </row>
    <row r="3588" spans="1:40" x14ac:dyDescent="0.3">
      <c r="A3588" t="str">
        <f>"20200111160526978"</f>
        <v>20200111160526978</v>
      </c>
      <c r="B3588" t="str">
        <f>"1578729926975012"</f>
        <v>1578729926975012</v>
      </c>
      <c r="C3588" t="s">
        <v>40</v>
      </c>
      <c r="D3588">
        <v>5.8433799999999998</v>
      </c>
      <c r="E3588">
        <v>0.46159149999999999</v>
      </c>
      <c r="F3588" t="s">
        <v>42</v>
      </c>
      <c r="G3588">
        <v>-191.161</v>
      </c>
      <c r="H3588">
        <v>0.99439359999999999</v>
      </c>
      <c r="I3588">
        <v>165.09129999999999</v>
      </c>
      <c r="J3588">
        <v>-191.18199999999999</v>
      </c>
      <c r="K3588">
        <v>1.1109439999999999</v>
      </c>
      <c r="L3588">
        <v>165.62639999999999</v>
      </c>
      <c r="M3588">
        <v>3.6638940000000002E-2</v>
      </c>
      <c r="N3588">
        <v>0</v>
      </c>
      <c r="O3588">
        <v>-0.9992316</v>
      </c>
      <c r="P3588">
        <v>-5.1608809999999998E-2</v>
      </c>
      <c r="Q3588">
        <v>-6.8941589999999997E-2</v>
      </c>
      <c r="R3588">
        <v>-0.99628519999999998</v>
      </c>
      <c r="S3588">
        <v>0.1188507</v>
      </c>
      <c r="T3588">
        <v>-0.37845780000000001</v>
      </c>
      <c r="U3588">
        <v>-2.9908600000000001</v>
      </c>
      <c r="V3588">
        <v>8.8176589999999999E-2</v>
      </c>
      <c r="W3588">
        <v>-5.493667E-2</v>
      </c>
      <c r="X3588">
        <v>0.99458880000000005</v>
      </c>
      <c r="Y3588">
        <v>-2.7529220000000001E-3</v>
      </c>
      <c r="Z3588">
        <v>0.12536240000000001</v>
      </c>
      <c r="AA3588">
        <v>0.99210719999999997</v>
      </c>
      <c r="AB3588">
        <v>26</v>
      </c>
      <c r="AC3588">
        <v>2.1000000000043401E-2</v>
      </c>
      <c r="AD3588">
        <v>-0.1165504</v>
      </c>
      <c r="AE3588">
        <v>-0.53509999999999902</v>
      </c>
      <c r="AF3588">
        <v>-1.3161561004936999E-3</v>
      </c>
      <c r="AG3588">
        <v>-0.1165504</v>
      </c>
      <c r="AH3588">
        <v>0.51129106934900304</v>
      </c>
      <c r="AI3588">
        <v>102.841288977419</v>
      </c>
      <c r="AJ3588">
        <v>90.147489419811393</v>
      </c>
      <c r="AK3588">
        <v>0.52440851023137303</v>
      </c>
      <c r="AL3588">
        <v>93.1492247210209</v>
      </c>
      <c r="AM3588">
        <v>84.933612761801896</v>
      </c>
      <c r="AN3588">
        <v>1.0000000149100701</v>
      </c>
    </row>
    <row r="3589" spans="1:40" x14ac:dyDescent="0.3">
      <c r="A3589" t="str">
        <f>"20200111160526993"</f>
        <v>20200111160526993</v>
      </c>
      <c r="B3589" t="str">
        <f>"1578729926984771"</f>
        <v>1578729926984771</v>
      </c>
      <c r="C3589" t="s">
        <v>40</v>
      </c>
      <c r="D3589">
        <v>5.7058169999999997</v>
      </c>
      <c r="E3589">
        <v>0.46159149999999999</v>
      </c>
      <c r="F3589" t="s">
        <v>75</v>
      </c>
      <c r="G3589">
        <v>-190.06639999999999</v>
      </c>
      <c r="H3589" s="1">
        <v>-8.8430309999999997E-6</v>
      </c>
      <c r="I3589">
        <v>142.54900000000001</v>
      </c>
      <c r="J3589">
        <v>-191.17500000000001</v>
      </c>
      <c r="K3589">
        <v>1.110862</v>
      </c>
      <c r="L3589">
        <v>165.45509999999999</v>
      </c>
      <c r="M3589">
        <v>3.7211800000000003E-2</v>
      </c>
      <c r="N3589">
        <v>0</v>
      </c>
      <c r="O3589">
        <v>-0.99921040000000005</v>
      </c>
      <c r="P3589">
        <v>-5.2474659999999999E-2</v>
      </c>
      <c r="Q3589">
        <v>-6.8655859999999999E-2</v>
      </c>
      <c r="R3589">
        <v>-0.99625929999999996</v>
      </c>
      <c r="S3589">
        <v>0.14544679999999999</v>
      </c>
      <c r="T3589">
        <v>-0.14484</v>
      </c>
      <c r="U3589">
        <v>-3.0087130000000002</v>
      </c>
      <c r="V3589">
        <v>8.9599209999999999E-2</v>
      </c>
      <c r="W3589">
        <v>-5.4670839999999998E-2</v>
      </c>
      <c r="X3589">
        <v>0.99447629999999998</v>
      </c>
      <c r="Y3589">
        <v>-1.1024320000000001E-2</v>
      </c>
      <c r="Z3589">
        <v>4.800517E-2</v>
      </c>
      <c r="AA3589">
        <v>0.99878630000000002</v>
      </c>
      <c r="AB3589">
        <v>26</v>
      </c>
      <c r="AC3589">
        <v>1.10860000000002</v>
      </c>
      <c r="AD3589">
        <v>-1.1108708430309999</v>
      </c>
      <c r="AE3589">
        <v>-22.906099999999899</v>
      </c>
      <c r="AF3589">
        <v>-0.25477437984824403</v>
      </c>
      <c r="AG3589">
        <v>-1.1108708430309999</v>
      </c>
      <c r="AH3589">
        <v>22.877807866455498</v>
      </c>
      <c r="AI3589">
        <v>92.779738450335699</v>
      </c>
      <c r="AJ3589">
        <v>90.638037235713995</v>
      </c>
      <c r="AK3589">
        <v>22.906179008926301</v>
      </c>
      <c r="AL3589">
        <v>93.133970858819396</v>
      </c>
      <c r="AM3589">
        <v>84.8517293815014</v>
      </c>
      <c r="AN3589">
        <v>1.0000000152202999</v>
      </c>
    </row>
    <row r="3590" spans="1:40" x14ac:dyDescent="0.3">
      <c r="A3590" t="str">
        <f>"20200111160527008"</f>
        <v>20200111160527008</v>
      </c>
      <c r="B3590" t="str">
        <f>"1578729927005267"</f>
        <v>1578729927005267</v>
      </c>
      <c r="C3590" t="s">
        <v>40</v>
      </c>
      <c r="D3590">
        <v>5.7269990000000002</v>
      </c>
      <c r="E3590">
        <v>0.46612680000000001</v>
      </c>
      <c r="F3590" t="s">
        <v>75</v>
      </c>
      <c r="G3590">
        <v>-190.06800000000001</v>
      </c>
      <c r="H3590" s="1">
        <v>-8.7371889999999999E-6</v>
      </c>
      <c r="I3590">
        <v>142.1465</v>
      </c>
      <c r="J3590">
        <v>-191.1686</v>
      </c>
      <c r="K3590">
        <v>1.11077</v>
      </c>
      <c r="L3590">
        <v>165.29830000000001</v>
      </c>
      <c r="M3590">
        <v>3.7647510000000002E-2</v>
      </c>
      <c r="N3590">
        <v>0</v>
      </c>
      <c r="O3590">
        <v>-0.99919429999999998</v>
      </c>
      <c r="P3590">
        <v>-5.3566620000000002E-2</v>
      </c>
      <c r="Q3590">
        <v>-6.8741839999999999E-2</v>
      </c>
      <c r="R3590">
        <v>-0.99619570000000002</v>
      </c>
      <c r="S3590">
        <v>0.14289859999999999</v>
      </c>
      <c r="T3590">
        <v>-0.14340339999999999</v>
      </c>
      <c r="U3590">
        <v>-3.0089260000000002</v>
      </c>
      <c r="V3590">
        <v>9.1108850000000005E-2</v>
      </c>
      <c r="W3590">
        <v>-5.478011E-2</v>
      </c>
      <c r="X3590">
        <v>0.99433309999999997</v>
      </c>
      <c r="Y3590">
        <v>-9.7420360000000008E-3</v>
      </c>
      <c r="Z3590">
        <v>4.7526869999999999E-2</v>
      </c>
      <c r="AA3590">
        <v>0.99882249999999995</v>
      </c>
      <c r="AB3590">
        <v>26</v>
      </c>
      <c r="AC3590">
        <v>1.10060000000001</v>
      </c>
      <c r="AD3590">
        <v>-1.1107787371889899</v>
      </c>
      <c r="AE3590">
        <v>-23.151800000000001</v>
      </c>
      <c r="AF3590">
        <v>-0.227604945941208</v>
      </c>
      <c r="AG3590">
        <v>-1.1107787371889899</v>
      </c>
      <c r="AH3590">
        <v>23.123714581591798</v>
      </c>
      <c r="AI3590">
        <v>92.750032811024198</v>
      </c>
      <c r="AJ3590">
        <v>90.563939743875295</v>
      </c>
      <c r="AK3590">
        <v>23.1514969162974</v>
      </c>
      <c r="AL3590">
        <v>93.140241017637294</v>
      </c>
      <c r="AM3590">
        <v>84.764715390573798</v>
      </c>
      <c r="AN3590">
        <v>0.99999999837777198</v>
      </c>
    </row>
    <row r="3591" spans="1:40" x14ac:dyDescent="0.3">
      <c r="A3591" t="str">
        <f>"20200111160527022"</f>
        <v>20200111160527022</v>
      </c>
      <c r="B3591" t="str">
        <f>"1578729927015030"</f>
        <v>1578729927015030</v>
      </c>
      <c r="C3591" t="s">
        <v>40</v>
      </c>
      <c r="D3591">
        <v>5.8550319999999996</v>
      </c>
      <c r="E3591">
        <v>0.4672984</v>
      </c>
      <c r="F3591" t="s">
        <v>42</v>
      </c>
      <c r="G3591">
        <v>-191.12819999999999</v>
      </c>
      <c r="H3591">
        <v>0.99338979999999999</v>
      </c>
      <c r="I3591">
        <v>164.40780000000001</v>
      </c>
      <c r="J3591">
        <v>-191.1611</v>
      </c>
      <c r="K3591">
        <v>1.1106339999999999</v>
      </c>
      <c r="L3591">
        <v>165.11369999999999</v>
      </c>
      <c r="M3591">
        <v>3.8026780000000003E-2</v>
      </c>
      <c r="N3591">
        <v>0</v>
      </c>
      <c r="O3591">
        <v>-0.99917999999999996</v>
      </c>
      <c r="P3591">
        <v>-5.6613320000000002E-2</v>
      </c>
      <c r="Q3591">
        <v>-6.8502720000000003E-2</v>
      </c>
      <c r="R3591">
        <v>-0.99604389999999998</v>
      </c>
      <c r="S3591">
        <v>0.13595579999999999</v>
      </c>
      <c r="T3591">
        <v>-0.39438640000000003</v>
      </c>
      <c r="U3591">
        <v>-2.9915310000000002</v>
      </c>
      <c r="V3591">
        <v>9.4506140000000002E-2</v>
      </c>
      <c r="W3591">
        <v>-5.4575449999999998E-2</v>
      </c>
      <c r="X3591">
        <v>0.9940272</v>
      </c>
      <c r="Y3591">
        <v>-6.9874489999999997E-3</v>
      </c>
      <c r="Z3591">
        <v>0.13049469999999999</v>
      </c>
      <c r="AA3591">
        <v>0.99142439999999998</v>
      </c>
      <c r="AB3591">
        <v>26</v>
      </c>
      <c r="AC3591">
        <v>3.29000000000121E-2</v>
      </c>
      <c r="AD3591">
        <v>-0.11724420000000001</v>
      </c>
      <c r="AE3591">
        <v>-0.70589999999998498</v>
      </c>
      <c r="AF3591">
        <v>-5.8689481271031498E-3</v>
      </c>
      <c r="AG3591">
        <v>-0.11724420000000001</v>
      </c>
      <c r="AH3591">
        <v>0.68771015525392198</v>
      </c>
      <c r="AI3591">
        <v>99.674700106866595</v>
      </c>
      <c r="AJ3591">
        <v>90.488952783738199</v>
      </c>
      <c r="AK3591">
        <v>0.69765744074376002</v>
      </c>
      <c r="AL3591">
        <v>93.128497345735994</v>
      </c>
      <c r="AM3591">
        <v>84.568985680738393</v>
      </c>
      <c r="AN3591">
        <v>0.99999998229011999</v>
      </c>
    </row>
    <row r="3592" spans="1:40" x14ac:dyDescent="0.3">
      <c r="A3592" t="str">
        <f>"20200111160527036"</f>
        <v>20200111160527036</v>
      </c>
      <c r="B3592" t="str">
        <f>"1578729927024788"</f>
        <v>1578729927024788</v>
      </c>
      <c r="C3592" t="s">
        <v>40</v>
      </c>
      <c r="D3592">
        <v>5.7608379999999997</v>
      </c>
      <c r="E3592">
        <v>0.46743669999999998</v>
      </c>
      <c r="F3592" t="s">
        <v>42</v>
      </c>
      <c r="G3592">
        <v>-191.1328</v>
      </c>
      <c r="H3592">
        <v>1.0154350000000001</v>
      </c>
      <c r="I3592">
        <v>164.39699999999999</v>
      </c>
      <c r="J3592">
        <v>-191.15530000000001</v>
      </c>
      <c r="K3592">
        <v>1.110501</v>
      </c>
      <c r="L3592">
        <v>164.96850000000001</v>
      </c>
      <c r="M3592">
        <v>3.8166100000000001E-2</v>
      </c>
      <c r="N3592">
        <v>0</v>
      </c>
      <c r="O3592">
        <v>-0.99917449999999997</v>
      </c>
      <c r="P3592">
        <v>-5.7991529999999999E-2</v>
      </c>
      <c r="Q3592">
        <v>-6.8423919999999999E-2</v>
      </c>
      <c r="R3592">
        <v>-0.99596969999999996</v>
      </c>
      <c r="S3592">
        <v>0.11840820000000001</v>
      </c>
      <c r="T3592">
        <v>-0.39741359999999998</v>
      </c>
      <c r="U3592">
        <v>-2.9913180000000001</v>
      </c>
      <c r="V3592">
        <v>9.6001279999999994E-2</v>
      </c>
      <c r="W3592">
        <v>-5.4530269999999999E-2</v>
      </c>
      <c r="X3592">
        <v>0.99388639999999995</v>
      </c>
      <c r="Y3592">
        <v>-1.0404850000000001E-3</v>
      </c>
      <c r="Z3592">
        <v>0.13150479999999901</v>
      </c>
      <c r="AA3592">
        <v>0.99131499999999995</v>
      </c>
      <c r="AB3592">
        <v>26</v>
      </c>
      <c r="AC3592">
        <v>2.2500000000007899E-2</v>
      </c>
      <c r="AD3592">
        <v>-9.5065999999999803E-2</v>
      </c>
      <c r="AE3592">
        <v>-0.57149999999998602</v>
      </c>
      <c r="AF3592">
        <v>-6.5156370788845995E-4</v>
      </c>
      <c r="AG3592">
        <v>-9.5065999999999803E-2</v>
      </c>
      <c r="AH3592">
        <v>0.55656569842511905</v>
      </c>
      <c r="AI3592">
        <v>99.693040050968605</v>
      </c>
      <c r="AJ3592">
        <v>90.067075340066793</v>
      </c>
      <c r="AK3592">
        <v>0.56462673117264395</v>
      </c>
      <c r="AL3592">
        <v>93.1259048499209</v>
      </c>
      <c r="AM3592">
        <v>84.482813240284301</v>
      </c>
      <c r="AN3592">
        <v>0.99999998610643503</v>
      </c>
    </row>
    <row r="3593" spans="1:40" x14ac:dyDescent="0.3">
      <c r="A3593" t="str">
        <f>"20200111160527067"</f>
        <v>20200111160527067</v>
      </c>
      <c r="B3593" t="str">
        <f>"1578729927064803"</f>
        <v>1578729927064803</v>
      </c>
      <c r="C3593" t="s">
        <v>40</v>
      </c>
      <c r="D3593">
        <v>5.7407009999999996</v>
      </c>
      <c r="E3593">
        <v>0.52749760000000001</v>
      </c>
      <c r="F3593" t="s">
        <v>42</v>
      </c>
      <c r="G3593">
        <v>-191.12520000000001</v>
      </c>
      <c r="H3593">
        <v>1.004197</v>
      </c>
      <c r="I3593">
        <v>164.1748</v>
      </c>
      <c r="J3593">
        <v>-191.14179999999999</v>
      </c>
      <c r="K3593">
        <v>1.110109</v>
      </c>
      <c r="L3593">
        <v>164.61840000000001</v>
      </c>
      <c r="M3593">
        <v>3.8005270000000001E-2</v>
      </c>
      <c r="N3593">
        <v>0</v>
      </c>
      <c r="O3593">
        <v>-0.99918090000000004</v>
      </c>
      <c r="P3593">
        <v>-6.1915110000000002E-2</v>
      </c>
      <c r="Q3593">
        <v>-6.7370529999999998E-2</v>
      </c>
      <c r="R3593">
        <v>-0.99580550000000001</v>
      </c>
      <c r="S3593">
        <v>0.113647499999999</v>
      </c>
      <c r="T3593">
        <v>-0.4006615</v>
      </c>
      <c r="U3593">
        <v>-2.9912260000000002</v>
      </c>
      <c r="V3593">
        <v>9.970271E-2</v>
      </c>
      <c r="W3593">
        <v>-5.3579740000000001E-2</v>
      </c>
      <c r="X3593">
        <v>0.9935737</v>
      </c>
      <c r="Y3593">
        <v>3.781042E-4</v>
      </c>
      <c r="Z3593">
        <v>0.13256989999999999</v>
      </c>
      <c r="AA3593">
        <v>0.99117359999999999</v>
      </c>
      <c r="AB3593">
        <v>25</v>
      </c>
      <c r="AC3593">
        <v>1.6599999999982601E-2</v>
      </c>
      <c r="AD3593">
        <v>-0.10591199999999901</v>
      </c>
      <c r="AE3593">
        <v>-0.44360000000000299</v>
      </c>
      <c r="AF3593">
        <v>2.5807062090307098E-4</v>
      </c>
      <c r="AG3593">
        <v>-0.10591199999999901</v>
      </c>
      <c r="AH3593">
        <v>0.42000198301431502</v>
      </c>
      <c r="AI3593">
        <v>104.153212046146</v>
      </c>
      <c r="AJ3593">
        <v>89.964794557808801</v>
      </c>
      <c r="AK3593">
        <v>0.43315018651779702</v>
      </c>
      <c r="AL3593">
        <v>93.071363527074794</v>
      </c>
      <c r="AM3593">
        <v>84.269690214014801</v>
      </c>
      <c r="AN3593">
        <v>1.00000005812574</v>
      </c>
    </row>
    <row r="3594" spans="1:40" x14ac:dyDescent="0.3">
      <c r="A3594" t="str">
        <f>"20200111160527082"</f>
        <v>20200111160527082</v>
      </c>
      <c r="B3594" t="str">
        <f>"1578729927075539"</f>
        <v>1578729927075539</v>
      </c>
      <c r="C3594" t="s">
        <v>40</v>
      </c>
      <c r="D3594">
        <v>5.7018389999999997</v>
      </c>
      <c r="E3594">
        <v>0.53881540000000006</v>
      </c>
      <c r="F3594" t="s">
        <v>42</v>
      </c>
      <c r="G3594">
        <v>-191.2619</v>
      </c>
      <c r="H3594">
        <v>1.0134719999999999</v>
      </c>
      <c r="I3594">
        <v>163.70859999999999</v>
      </c>
      <c r="J3594">
        <v>-191.1353</v>
      </c>
      <c r="K3594">
        <v>1.109869</v>
      </c>
      <c r="L3594">
        <v>164.4419</v>
      </c>
      <c r="M3594">
        <v>3.7580910000000002E-2</v>
      </c>
      <c r="N3594">
        <v>0</v>
      </c>
      <c r="O3594">
        <v>-0.99919690000000005</v>
      </c>
      <c r="P3594">
        <v>-6.3157450000000004E-2</v>
      </c>
      <c r="Q3594">
        <v>-6.6875580000000004E-2</v>
      </c>
      <c r="R3594">
        <v>-0.99576050000000005</v>
      </c>
      <c r="S3594">
        <v>-0.39161679999999999</v>
      </c>
      <c r="T3594">
        <v>-0.31516539999999998</v>
      </c>
      <c r="U3594">
        <v>-2.9669650000000001</v>
      </c>
      <c r="V3594">
        <v>0.1004893</v>
      </c>
      <c r="W3594">
        <v>-5.3145669999999999E-2</v>
      </c>
      <c r="X3594">
        <v>0.99351769999999995</v>
      </c>
      <c r="Y3594">
        <v>0.1673103</v>
      </c>
      <c r="Z3594">
        <v>0.1043261</v>
      </c>
      <c r="AA3594">
        <v>0.98036900000000005</v>
      </c>
      <c r="AB3594">
        <v>25</v>
      </c>
      <c r="AC3594">
        <v>-0.12659999999999599</v>
      </c>
      <c r="AD3594">
        <v>-9.6396999999999997E-2</v>
      </c>
      <c r="AE3594">
        <v>-0.73330000000001405</v>
      </c>
      <c r="AF3594">
        <v>0.15152855076718999</v>
      </c>
      <c r="AG3594">
        <v>-9.6396999999999997E-2</v>
      </c>
      <c r="AH3594">
        <v>0.71600861012410699</v>
      </c>
      <c r="AI3594">
        <v>97.503454272557406</v>
      </c>
      <c r="AJ3594">
        <v>78.050829693737498</v>
      </c>
      <c r="AK3594">
        <v>0.73818806078021904</v>
      </c>
      <c r="AL3594">
        <v>93.046457868225801</v>
      </c>
      <c r="AM3594">
        <v>84.224462853593707</v>
      </c>
      <c r="AN3594">
        <v>0.99999999093376402</v>
      </c>
    </row>
    <row r="3595" spans="1:40" x14ac:dyDescent="0.3">
      <c r="A3595" t="str">
        <f>"20200111160527096"</f>
        <v>20200111160527096</v>
      </c>
      <c r="B3595" t="str">
        <f>"1578729927085299"</f>
        <v>1578729927085299</v>
      </c>
      <c r="C3595" t="s">
        <v>40</v>
      </c>
      <c r="D3595">
        <v>5.7879250000000004</v>
      </c>
      <c r="E3595">
        <v>0.54547330000000005</v>
      </c>
      <c r="F3595" t="s">
        <v>42</v>
      </c>
      <c r="G3595">
        <v>-191.25810000000001</v>
      </c>
      <c r="H3595">
        <v>1.032559</v>
      </c>
      <c r="I3595">
        <v>163.6962</v>
      </c>
      <c r="J3595">
        <v>-191.13030000000001</v>
      </c>
      <c r="K3595">
        <v>1.1096509999999999</v>
      </c>
      <c r="L3595">
        <v>164.29320000000001</v>
      </c>
      <c r="M3595">
        <v>3.6967100000000003E-2</v>
      </c>
      <c r="N3595">
        <v>0</v>
      </c>
      <c r="O3595">
        <v>-0.99921959999999999</v>
      </c>
      <c r="P3595">
        <v>-6.4593700000000004E-2</v>
      </c>
      <c r="Q3595">
        <v>-6.6351149999999998E-2</v>
      </c>
      <c r="R3595">
        <v>-0.99570360000000002</v>
      </c>
      <c r="S3595">
        <v>-0.48721310000000001</v>
      </c>
      <c r="T3595">
        <v>-0.30698180000000003</v>
      </c>
      <c r="U3595">
        <v>-2.9612579999999999</v>
      </c>
      <c r="V3595">
        <v>0.1012846</v>
      </c>
      <c r="W3595">
        <v>-5.2675260000000002E-2</v>
      </c>
      <c r="X3595">
        <v>0.99346199999999996</v>
      </c>
      <c r="Y3595">
        <v>0.1978779</v>
      </c>
      <c r="Z3595">
        <v>0.1013136</v>
      </c>
      <c r="AA3595">
        <v>0.97497690000000004</v>
      </c>
      <c r="AB3595">
        <v>25</v>
      </c>
      <c r="AC3595">
        <v>-0.12780000000000699</v>
      </c>
      <c r="AD3595">
        <v>-7.7091999999999897E-2</v>
      </c>
      <c r="AE3595">
        <v>-0.59700000000000797</v>
      </c>
      <c r="AF3595">
        <v>0.14743337605090301</v>
      </c>
      <c r="AG3595">
        <v>-7.7091999999999897E-2</v>
      </c>
      <c r="AH3595">
        <v>0.58257810110689701</v>
      </c>
      <c r="AI3595">
        <v>97.310250791602996</v>
      </c>
      <c r="AJ3595">
        <v>75.798294335873393</v>
      </c>
      <c r="AK3595">
        <v>0.60586881478343602</v>
      </c>
      <c r="AL3595">
        <v>93.019467528312404</v>
      </c>
      <c r="AM3595">
        <v>84.178742198648706</v>
      </c>
      <c r="AN3595">
        <v>0.99999999932861305</v>
      </c>
    </row>
    <row r="3596" spans="1:40" x14ac:dyDescent="0.3">
      <c r="A3596" t="str">
        <f>"20200111160527112"</f>
        <v>20200111160527112</v>
      </c>
      <c r="B3596" t="str">
        <f>"1578729927104819"</f>
        <v>1578729927104819</v>
      </c>
      <c r="C3596" t="s">
        <v>40</v>
      </c>
      <c r="D3596">
        <v>5.7069739999999998</v>
      </c>
      <c r="E3596">
        <v>0.55307819999999996</v>
      </c>
      <c r="F3596" t="s">
        <v>75</v>
      </c>
      <c r="G3596">
        <v>-193.12899999999999</v>
      </c>
      <c r="H3596" s="1">
        <v>-1.282181E-5</v>
      </c>
      <c r="I3596">
        <v>153.45590000000001</v>
      </c>
      <c r="J3596">
        <v>-191.1241</v>
      </c>
      <c r="K3596">
        <v>1.109356</v>
      </c>
      <c r="L3596">
        <v>164.10140000000001</v>
      </c>
      <c r="M3596">
        <v>3.5923579999999997E-2</v>
      </c>
      <c r="N3596">
        <v>0</v>
      </c>
      <c r="O3596">
        <v>-0.99925759999999997</v>
      </c>
      <c r="P3596">
        <v>-6.7029320000000003E-2</v>
      </c>
      <c r="Q3596">
        <v>-6.5484749999999994E-2</v>
      </c>
      <c r="R3596">
        <v>-0.99559980000000003</v>
      </c>
      <c r="S3596">
        <v>-0.545440699999999</v>
      </c>
      <c r="T3596">
        <v>-0.30281570000000002</v>
      </c>
      <c r="U3596">
        <v>-2.9573969999999998</v>
      </c>
      <c r="V3596">
        <v>0.10264139999999999</v>
      </c>
      <c r="W3596">
        <v>-5.1883550000000001E-2</v>
      </c>
      <c r="X3596">
        <v>0.99336440000000004</v>
      </c>
      <c r="Y3596">
        <v>0.21568080000000001</v>
      </c>
      <c r="Z3596">
        <v>9.9729590000000007E-2</v>
      </c>
      <c r="AA3596">
        <v>0.97135769999999999</v>
      </c>
      <c r="AB3596">
        <v>25</v>
      </c>
      <c r="AC3596">
        <v>-2.0049000000000201</v>
      </c>
      <c r="AD3596">
        <v>-1.10936882181</v>
      </c>
      <c r="AE3596">
        <v>-10.645499999999901</v>
      </c>
      <c r="AF3596">
        <v>2.36130242759931</v>
      </c>
      <c r="AG3596">
        <v>-1.10936882181</v>
      </c>
      <c r="AH3596">
        <v>10.4569275646036</v>
      </c>
      <c r="AI3596">
        <v>95.908154312185403</v>
      </c>
      <c r="AJ3596">
        <v>77.275327760489205</v>
      </c>
      <c r="AK3596">
        <v>10.777466419746199</v>
      </c>
      <c r="AL3596">
        <v>92.974043779835299</v>
      </c>
      <c r="AM3596">
        <v>84.100731902146293</v>
      </c>
      <c r="AN3596">
        <v>0.99999999547096097</v>
      </c>
    </row>
    <row r="3597" spans="1:40" x14ac:dyDescent="0.3">
      <c r="A3597" t="str">
        <f>"20200111160527134"</f>
        <v>20200111160527134</v>
      </c>
      <c r="B3597" t="str">
        <f>"1578729927125315"</f>
        <v>1578729927125315</v>
      </c>
      <c r="C3597" t="s">
        <v>40</v>
      </c>
      <c r="D3597">
        <v>5.631532</v>
      </c>
      <c r="E3597">
        <v>0.55760169999999998</v>
      </c>
      <c r="F3597" t="s">
        <v>75</v>
      </c>
      <c r="G3597">
        <v>-193.38239999999999</v>
      </c>
      <c r="H3597" s="1">
        <v>-1.2789240000000001E-5</v>
      </c>
      <c r="I3597">
        <v>153.2372</v>
      </c>
      <c r="J3597">
        <v>-191.11699999999999</v>
      </c>
      <c r="K3597">
        <v>1.1089549999999999</v>
      </c>
      <c r="L3597">
        <v>163.85390000000001</v>
      </c>
      <c r="M3597">
        <v>3.4054040000000001E-2</v>
      </c>
      <c r="N3597">
        <v>0</v>
      </c>
      <c r="O3597">
        <v>-0.99932279999999996</v>
      </c>
      <c r="P3597">
        <v>-6.9936739999999997E-2</v>
      </c>
      <c r="Q3597">
        <v>-6.3909579999999994E-2</v>
      </c>
      <c r="R3597">
        <v>-0.995502</v>
      </c>
      <c r="S3597">
        <v>-0.61364750000000001</v>
      </c>
      <c r="T3597">
        <v>-0.30144690000000002</v>
      </c>
      <c r="U3597">
        <v>-2.9521329999999999</v>
      </c>
      <c r="V3597">
        <v>0.1036398</v>
      </c>
      <c r="W3597">
        <v>-5.0405930000000002E-2</v>
      </c>
      <c r="X3597">
        <v>0.99333680000000002</v>
      </c>
      <c r="Y3597">
        <v>0.235739</v>
      </c>
      <c r="Z3597">
        <v>9.9015119999999998E-2</v>
      </c>
      <c r="AA3597">
        <v>0.96675909999999998</v>
      </c>
      <c r="AB3597">
        <v>25</v>
      </c>
      <c r="AC3597">
        <v>-2.2653999999999699</v>
      </c>
      <c r="AD3597">
        <v>-1.1089677892399901</v>
      </c>
      <c r="AE3597">
        <v>-10.6167</v>
      </c>
      <c r="AF3597">
        <v>2.5985448040020702</v>
      </c>
      <c r="AG3597">
        <v>-1.1089677892399901</v>
      </c>
      <c r="AH3597">
        <v>10.424599502884799</v>
      </c>
      <c r="AI3597">
        <v>95.893276606021203</v>
      </c>
      <c r="AJ3597">
        <v>76.003103576470295</v>
      </c>
      <c r="AK3597">
        <v>10.800672175912201</v>
      </c>
      <c r="AL3597">
        <v>92.889271474982195</v>
      </c>
      <c r="AM3597">
        <v>84.043595567670195</v>
      </c>
      <c r="AN3597">
        <v>0.99999998207872198</v>
      </c>
    </row>
    <row r="3598" spans="1:40" x14ac:dyDescent="0.3">
      <c r="A3598" t="str">
        <f>"20200111160527147"</f>
        <v>20200111160527147</v>
      </c>
      <c r="B3598" t="str">
        <f>"1578729927144835"</f>
        <v>1578729927144835</v>
      </c>
      <c r="C3598" t="s">
        <v>40</v>
      </c>
      <c r="D3598">
        <v>5.6241879999999904</v>
      </c>
      <c r="E3598">
        <v>0.55967959999999894</v>
      </c>
      <c r="F3598" t="s">
        <v>75</v>
      </c>
      <c r="G3598">
        <v>-193.578</v>
      </c>
      <c r="H3598" s="1">
        <v>-1.2706399999999999E-5</v>
      </c>
      <c r="I3598">
        <v>152.839</v>
      </c>
      <c r="J3598">
        <v>-191.11320000000001</v>
      </c>
      <c r="K3598">
        <v>1.108708</v>
      </c>
      <c r="L3598">
        <v>163.70150000000001</v>
      </c>
      <c r="M3598">
        <v>3.2638670000000002E-2</v>
      </c>
      <c r="N3598">
        <v>0</v>
      </c>
      <c r="O3598">
        <v>-0.99937019999999999</v>
      </c>
      <c r="P3598">
        <v>-7.1702379999999996E-2</v>
      </c>
      <c r="Q3598">
        <v>-6.3144329999999999E-2</v>
      </c>
      <c r="R3598">
        <v>-0.99542549999999996</v>
      </c>
      <c r="S3598">
        <v>-0.65869140000000004</v>
      </c>
      <c r="T3598">
        <v>-0.29682160000000002</v>
      </c>
      <c r="U3598">
        <v>-2.9481959999999998</v>
      </c>
      <c r="V3598">
        <v>0.1039682</v>
      </c>
      <c r="W3598">
        <v>-4.9698520000000003E-2</v>
      </c>
      <c r="X3598">
        <v>0.99333819999999995</v>
      </c>
      <c r="Y3598">
        <v>0.248748</v>
      </c>
      <c r="Z3598">
        <v>9.7329490000000005E-2</v>
      </c>
      <c r="AA3598">
        <v>0.96366560000000001</v>
      </c>
      <c r="AB3598">
        <v>25</v>
      </c>
      <c r="AC3598">
        <v>-2.4647999999999901</v>
      </c>
      <c r="AD3598">
        <v>-1.1087207064</v>
      </c>
      <c r="AE3598">
        <v>-10.862500000000001</v>
      </c>
      <c r="AF3598">
        <v>2.7904114267320899</v>
      </c>
      <c r="AG3598">
        <v>-1.1087207064</v>
      </c>
      <c r="AH3598">
        <v>10.6705336081466</v>
      </c>
      <c r="AI3598">
        <v>95.740347003776506</v>
      </c>
      <c r="AJ3598">
        <v>75.344975331158196</v>
      </c>
      <c r="AK3598">
        <v>11.0849422649747</v>
      </c>
      <c r="AL3598">
        <v>92.848688793426504</v>
      </c>
      <c r="AM3598">
        <v>84.024866398593204</v>
      </c>
      <c r="AN3598">
        <v>1.00000005454033</v>
      </c>
    </row>
    <row r="3599" spans="1:40" x14ac:dyDescent="0.3">
      <c r="A3599" t="str">
        <f>"20200111160527160"</f>
        <v>20200111160527160</v>
      </c>
      <c r="B3599" t="str">
        <f>"1578729927155571"</f>
        <v>1578729927155571</v>
      </c>
      <c r="C3599" t="s">
        <v>40</v>
      </c>
      <c r="D3599">
        <v>5.9418110000000004</v>
      </c>
      <c r="E3599">
        <v>0.56019940000000001</v>
      </c>
      <c r="F3599" t="s">
        <v>75</v>
      </c>
      <c r="G3599">
        <v>-193.66210000000001</v>
      </c>
      <c r="H3599" s="1">
        <v>-1.265169E-5</v>
      </c>
      <c r="I3599">
        <v>152.66309999999999</v>
      </c>
      <c r="J3599">
        <v>-191.1097</v>
      </c>
      <c r="K3599">
        <v>1.108468</v>
      </c>
      <c r="L3599">
        <v>163.54949999999999</v>
      </c>
      <c r="M3599">
        <v>3.1014280000000002E-2</v>
      </c>
      <c r="N3599">
        <v>0</v>
      </c>
      <c r="O3599">
        <v>-0.99942149999999996</v>
      </c>
      <c r="P3599">
        <v>-7.3866539999999994E-2</v>
      </c>
      <c r="Q3599">
        <v>-6.2372820000000002E-2</v>
      </c>
      <c r="R3599">
        <v>-0.99531579999999997</v>
      </c>
      <c r="S3599">
        <v>-0.68028259999999996</v>
      </c>
      <c r="T3599">
        <v>-0.29590229999999901</v>
      </c>
      <c r="U3599">
        <v>-2.945999</v>
      </c>
      <c r="V3599">
        <v>0.1044882</v>
      </c>
      <c r="W3599">
        <v>-4.898313E-2</v>
      </c>
      <c r="X3599">
        <v>0.99331910000000001</v>
      </c>
      <c r="Y3599">
        <v>0.25404719999999997</v>
      </c>
      <c r="Z3599">
        <v>9.6963590000000002E-2</v>
      </c>
      <c r="AA3599">
        <v>0.96231909999999998</v>
      </c>
      <c r="AB3599">
        <v>25</v>
      </c>
      <c r="AC3599">
        <v>-2.5524</v>
      </c>
      <c r="AD3599">
        <v>-1.1084806516900001</v>
      </c>
      <c r="AE3599">
        <v>-10.8864</v>
      </c>
      <c r="AF3599">
        <v>2.8607246003350699</v>
      </c>
      <c r="AG3599">
        <v>-1.1084806516900001</v>
      </c>
      <c r="AH3599">
        <v>10.696868897840901</v>
      </c>
      <c r="AI3599">
        <v>95.7167477681988</v>
      </c>
      <c r="AJ3599">
        <v>75.027453747245303</v>
      </c>
      <c r="AK3599">
        <v>11.1281390542952</v>
      </c>
      <c r="AL3599">
        <v>92.807650183675506</v>
      </c>
      <c r="AM3599">
        <v>83.995084788187697</v>
      </c>
      <c r="AN3599">
        <v>0.999999982694323</v>
      </c>
    </row>
    <row r="3600" spans="1:40" x14ac:dyDescent="0.3">
      <c r="A3600" t="str">
        <f>"20200111160527178"</f>
        <v>20200111160527178</v>
      </c>
      <c r="B3600" t="str">
        <f>"1578729927175091"</f>
        <v>1578729927175091</v>
      </c>
      <c r="C3600" t="s">
        <v>40</v>
      </c>
      <c r="D3600">
        <v>5.6144400000000001</v>
      </c>
      <c r="E3600">
        <v>0.56187379999999998</v>
      </c>
      <c r="F3600" t="s">
        <v>75</v>
      </c>
      <c r="G3600">
        <v>-193.71109999999999</v>
      </c>
      <c r="H3600" s="1">
        <v>-1.2574880000000001E-5</v>
      </c>
      <c r="I3600">
        <v>152.46379999999999</v>
      </c>
      <c r="J3600">
        <v>-191.1061</v>
      </c>
      <c r="K3600">
        <v>1.1081749999999999</v>
      </c>
      <c r="L3600">
        <v>163.3526</v>
      </c>
      <c r="M3600">
        <v>2.8585869999999999E-2</v>
      </c>
      <c r="N3600">
        <v>0</v>
      </c>
      <c r="O3600">
        <v>-0.99949399999999999</v>
      </c>
      <c r="P3600">
        <v>-7.8833879999999995E-2</v>
      </c>
      <c r="Q3600">
        <v>-6.1084329999999999E-2</v>
      </c>
      <c r="R3600">
        <v>-0.99501490000000004</v>
      </c>
      <c r="S3600">
        <v>-0.69093319999999903</v>
      </c>
      <c r="T3600">
        <v>-0.2944138</v>
      </c>
      <c r="U3600">
        <v>-2.9443820000000001</v>
      </c>
      <c r="V3600">
        <v>0.107004</v>
      </c>
      <c r="W3600">
        <v>-4.7774560000000001E-2</v>
      </c>
      <c r="X3600">
        <v>0.9931101</v>
      </c>
      <c r="Y3600">
        <v>0.25512639999999998</v>
      </c>
      <c r="Z3600">
        <v>9.6489800000000001E-2</v>
      </c>
      <c r="AA3600">
        <v>0.96208119999999997</v>
      </c>
      <c r="AB3600">
        <v>25</v>
      </c>
      <c r="AC3600">
        <v>-2.60499999999998</v>
      </c>
      <c r="AD3600">
        <v>-1.1081875748800001</v>
      </c>
      <c r="AE3600">
        <v>-10.8888</v>
      </c>
      <c r="AF3600">
        <v>2.8869477741024898</v>
      </c>
      <c r="AG3600">
        <v>-1.1081875748800001</v>
      </c>
      <c r="AH3600">
        <v>10.704998480777199</v>
      </c>
      <c r="AI3600">
        <v>95.707743099694198</v>
      </c>
      <c r="AJ3600">
        <v>74.907396457774297</v>
      </c>
      <c r="AK3600">
        <v>11.142689963602001</v>
      </c>
      <c r="AL3600">
        <v>92.738323081117201</v>
      </c>
      <c r="AM3600">
        <v>83.850312800738095</v>
      </c>
      <c r="AN3600">
        <v>0.99999996766060095</v>
      </c>
    </row>
    <row r="3601" spans="1:40" x14ac:dyDescent="0.3">
      <c r="A3601" t="str">
        <f>"20200111160527192"</f>
        <v>20200111160527192</v>
      </c>
      <c r="B3601" t="str">
        <f>"1578729927184852"</f>
        <v>1578729927184852</v>
      </c>
      <c r="C3601" t="s">
        <v>40</v>
      </c>
      <c r="D3601">
        <v>5.8934850000000001</v>
      </c>
      <c r="E3601">
        <v>0.56215319999999902</v>
      </c>
      <c r="F3601" t="s">
        <v>75</v>
      </c>
      <c r="G3601">
        <v>-193.7679</v>
      </c>
      <c r="H3601" s="1">
        <v>-1.2578390000000001E-5</v>
      </c>
      <c r="I3601">
        <v>152.4485</v>
      </c>
      <c r="J3601">
        <v>-191.10380000000001</v>
      </c>
      <c r="K3601">
        <v>1.1079540000000001</v>
      </c>
      <c r="L3601">
        <v>163.19479999999999</v>
      </c>
      <c r="M3601">
        <v>2.641222E-2</v>
      </c>
      <c r="N3601">
        <v>0</v>
      </c>
      <c r="O3601">
        <v>-0.99955349999999998</v>
      </c>
      <c r="P3601">
        <v>-8.2947339999999994E-2</v>
      </c>
      <c r="Q3601">
        <v>-6.0132890000000001E-2</v>
      </c>
      <c r="R3601">
        <v>-0.99473789999999995</v>
      </c>
      <c r="S3601">
        <v>-0.71765140000000005</v>
      </c>
      <c r="T3601">
        <v>-0.29877900000000002</v>
      </c>
      <c r="U3601">
        <v>-2.9398650000000002</v>
      </c>
      <c r="V3601">
        <v>0.108929399999999</v>
      </c>
      <c r="W3601">
        <v>-4.6885839999999998E-2</v>
      </c>
      <c r="X3601">
        <v>0.99294320000000003</v>
      </c>
      <c r="Y3601">
        <v>0.26158419999999999</v>
      </c>
      <c r="Z3601">
        <v>9.7872890000000004E-2</v>
      </c>
      <c r="AA3601">
        <v>0.96020550000000005</v>
      </c>
      <c r="AB3601">
        <v>25</v>
      </c>
      <c r="AC3601">
        <v>-2.6640999999999901</v>
      </c>
      <c r="AD3601">
        <v>-1.1079665783899999</v>
      </c>
      <c r="AE3601">
        <v>-10.7462999999999</v>
      </c>
      <c r="AF3601">
        <v>2.9178111322587199</v>
      </c>
      <c r="AG3601">
        <v>-1.1079665783899999</v>
      </c>
      <c r="AH3601">
        <v>10.5663610481155</v>
      </c>
      <c r="AI3601">
        <v>95.771570352408602</v>
      </c>
      <c r="AJ3601">
        <v>74.562960015136198</v>
      </c>
      <c r="AK3601">
        <v>11.017676594522699</v>
      </c>
      <c r="AL3601">
        <v>92.687345828363206</v>
      </c>
      <c r="AM3601">
        <v>83.739483976283296</v>
      </c>
      <c r="AN3601">
        <v>1.00000004730155</v>
      </c>
    </row>
    <row r="3602" spans="1:40" x14ac:dyDescent="0.3">
      <c r="A3602" t="str">
        <f>"20200111160527206"</f>
        <v>20200111160527206</v>
      </c>
      <c r="B3602" t="str">
        <f>"1578729927195587"</f>
        <v>1578729927195587</v>
      </c>
      <c r="C3602" t="s">
        <v>40</v>
      </c>
      <c r="D3602">
        <v>5.6151609999999996</v>
      </c>
      <c r="E3602">
        <v>0.56268359999999995</v>
      </c>
      <c r="F3602" t="s">
        <v>75</v>
      </c>
      <c r="G3602">
        <v>-193.81899999999999</v>
      </c>
      <c r="H3602" s="1">
        <v>-1.252275E-5</v>
      </c>
      <c r="I3602">
        <v>152.29769999999999</v>
      </c>
      <c r="J3602">
        <v>-191.1019</v>
      </c>
      <c r="K3602">
        <v>1.1077429999999999</v>
      </c>
      <c r="L3602">
        <v>163.04079999999999</v>
      </c>
      <c r="M3602">
        <v>2.4143080000000001E-2</v>
      </c>
      <c r="N3602">
        <v>0</v>
      </c>
      <c r="O3602">
        <v>-0.99961089999999997</v>
      </c>
      <c r="P3602">
        <v>-8.7544689999999994E-2</v>
      </c>
      <c r="Q3602">
        <v>-5.8794270000000003E-2</v>
      </c>
      <c r="R3602">
        <v>-0.99442410000000003</v>
      </c>
      <c r="S3602">
        <v>-0.73175049999999997</v>
      </c>
      <c r="T3602">
        <v>-0.29859790000000003</v>
      </c>
      <c r="U3602">
        <v>-2.9367830000000001</v>
      </c>
      <c r="V3602">
        <v>0.1112493</v>
      </c>
      <c r="W3602">
        <v>-4.5611190000000003E-2</v>
      </c>
      <c r="X3602">
        <v>0.99274530000000005</v>
      </c>
      <c r="Y3602">
        <v>0.26397150000000003</v>
      </c>
      <c r="Z3602">
        <v>9.7834190000000001E-2</v>
      </c>
      <c r="AA3602">
        <v>0.95955590000000002</v>
      </c>
      <c r="AB3602">
        <v>25</v>
      </c>
      <c r="AC3602">
        <v>-2.7171000000000101</v>
      </c>
      <c r="AD3602">
        <v>-1.10775552275</v>
      </c>
      <c r="AE3602">
        <v>-10.743099999999901</v>
      </c>
      <c r="AF3602">
        <v>2.9462623575373001</v>
      </c>
      <c r="AG3602">
        <v>-1.10775552275</v>
      </c>
      <c r="AH3602">
        <v>10.568747689679499</v>
      </c>
      <c r="AI3602">
        <v>95.765303300805897</v>
      </c>
      <c r="AJ3602">
        <v>74.423061532078506</v>
      </c>
      <c r="AK3602">
        <v>11.027511591729599</v>
      </c>
      <c r="AL3602">
        <v>92.614235631000597</v>
      </c>
      <c r="AM3602">
        <v>83.6059806370274</v>
      </c>
      <c r="AN3602">
        <v>1.00000000903789</v>
      </c>
    </row>
    <row r="3603" spans="1:40" x14ac:dyDescent="0.3">
      <c r="A3603" t="str">
        <f>"20200111160527219"</f>
        <v>20200111160527219</v>
      </c>
      <c r="B3603" t="str">
        <f>"1578729927215107"</f>
        <v>1578729927215107</v>
      </c>
      <c r="C3603" t="s">
        <v>40</v>
      </c>
      <c r="D3603">
        <v>5.5883750000000001</v>
      </c>
      <c r="E3603">
        <v>0.56354079999999995</v>
      </c>
      <c r="F3603" t="s">
        <v>75</v>
      </c>
      <c r="G3603">
        <v>-193.8869</v>
      </c>
      <c r="H3603" s="1">
        <v>-1.246359E-5</v>
      </c>
      <c r="I3603">
        <v>152.1317</v>
      </c>
      <c r="J3603">
        <v>-191.10069999999999</v>
      </c>
      <c r="K3603">
        <v>1.1075469999999901</v>
      </c>
      <c r="L3603">
        <v>162.88200000000001</v>
      </c>
      <c r="M3603">
        <v>2.1591010000000001E-2</v>
      </c>
      <c r="N3603">
        <v>0</v>
      </c>
      <c r="O3603">
        <v>-0.99966909999999998</v>
      </c>
      <c r="P3603">
        <v>-9.2994660000000007E-2</v>
      </c>
      <c r="Q3603">
        <v>-5.7908899999999999E-2</v>
      </c>
      <c r="R3603">
        <v>-0.99398120000000001</v>
      </c>
      <c r="S3603">
        <v>-0.74884030000000001</v>
      </c>
      <c r="T3603">
        <v>-0.29785919999999999</v>
      </c>
      <c r="U3603">
        <v>-2.9333040000000001</v>
      </c>
      <c r="V3603">
        <v>0.1141392</v>
      </c>
      <c r="W3603">
        <v>-4.4793020000000003E-2</v>
      </c>
      <c r="X3603">
        <v>0.99245450000000002</v>
      </c>
      <c r="Y3603">
        <v>0.26703710000000003</v>
      </c>
      <c r="Z3603">
        <v>9.7604679999999999E-2</v>
      </c>
      <c r="AA3603">
        <v>0.95873070000000005</v>
      </c>
      <c r="AB3603">
        <v>25</v>
      </c>
      <c r="AC3603">
        <v>-2.7862</v>
      </c>
      <c r="AD3603">
        <v>-1.1075594635899999</v>
      </c>
      <c r="AE3603">
        <v>-10.750299999999999</v>
      </c>
      <c r="AF3603">
        <v>2.9879639041314601</v>
      </c>
      <c r="AG3603">
        <v>-1.1075594635899999</v>
      </c>
      <c r="AH3603">
        <v>10.5823758979967</v>
      </c>
      <c r="AI3603">
        <v>95.751591921381603</v>
      </c>
      <c r="AJ3603">
        <v>74.232822749333494</v>
      </c>
      <c r="AK3603">
        <v>11.051755331361701</v>
      </c>
      <c r="AL3603">
        <v>92.567309864530301</v>
      </c>
      <c r="AM3603">
        <v>83.439408600730602</v>
      </c>
      <c r="AN3603">
        <v>1.0000000530938</v>
      </c>
    </row>
    <row r="3604" spans="1:40" x14ac:dyDescent="0.3">
      <c r="A3604" t="str">
        <f>"20200111160527234"</f>
        <v>20200111160527234</v>
      </c>
      <c r="B3604" t="str">
        <f>"1578729927224867"</f>
        <v>1578729927224867</v>
      </c>
      <c r="C3604" t="s">
        <v>40</v>
      </c>
      <c r="D3604">
        <v>5.7719149999999999</v>
      </c>
      <c r="E3604">
        <v>0.56359269999999995</v>
      </c>
      <c r="F3604" t="s">
        <v>75</v>
      </c>
      <c r="G3604">
        <v>-193.95359999999999</v>
      </c>
      <c r="H3604" s="1">
        <v>-1.243809E-5</v>
      </c>
      <c r="I3604">
        <v>152.04470000000001</v>
      </c>
      <c r="J3604">
        <v>-191.1001</v>
      </c>
      <c r="K3604">
        <v>1.107372</v>
      </c>
      <c r="L3604">
        <v>162.72</v>
      </c>
      <c r="M3604">
        <v>1.8826949999999999E-2</v>
      </c>
      <c r="N3604">
        <v>0</v>
      </c>
      <c r="O3604">
        <v>-0.99972470000000002</v>
      </c>
      <c r="P3604">
        <v>-0.10222879999999999</v>
      </c>
      <c r="Q3604">
        <v>-5.6351150000000003E-2</v>
      </c>
      <c r="R3604">
        <v>-0.99316369999999998</v>
      </c>
      <c r="S3604">
        <v>-0.77096560000000003</v>
      </c>
      <c r="T3604">
        <v>-0.29929939999999999</v>
      </c>
      <c r="U3604">
        <v>-2.9286189999999999</v>
      </c>
      <c r="V3604">
        <v>0.120605</v>
      </c>
      <c r="W3604">
        <v>-4.3330760000000003E-2</v>
      </c>
      <c r="X3604">
        <v>0.99175440000000004</v>
      </c>
      <c r="Y3604">
        <v>0.2715127</v>
      </c>
      <c r="Z3604">
        <v>9.8077529999999996E-2</v>
      </c>
      <c r="AA3604">
        <v>0.95742450000000001</v>
      </c>
      <c r="AB3604">
        <v>25</v>
      </c>
      <c r="AC3604">
        <v>-2.8534999999999902</v>
      </c>
      <c r="AD3604">
        <v>-1.10738443809</v>
      </c>
      <c r="AE3604">
        <v>-10.675299999999901</v>
      </c>
      <c r="AF3604">
        <v>3.0236307400326399</v>
      </c>
      <c r="AG3604">
        <v>-1.10738443809</v>
      </c>
      <c r="AH3604">
        <v>10.5140861530808</v>
      </c>
      <c r="AI3604">
        <v>95.779874700432003</v>
      </c>
      <c r="AJ3604">
        <v>73.955874181163594</v>
      </c>
      <c r="AK3604">
        <v>10.996119805649601</v>
      </c>
      <c r="AL3604">
        <v>92.4834473305486</v>
      </c>
      <c r="AM3604">
        <v>83.066435503759294</v>
      </c>
      <c r="AN3604">
        <v>0.99999995535326702</v>
      </c>
    </row>
    <row r="3605" spans="1:40" x14ac:dyDescent="0.3">
      <c r="A3605" t="str">
        <f>"20200111160527248"</f>
        <v>20200111160527248</v>
      </c>
      <c r="B3605" t="str">
        <f>"1578729927245365"</f>
        <v>1578729927245365</v>
      </c>
      <c r="C3605" t="s">
        <v>40</v>
      </c>
      <c r="D3605">
        <v>5.5845349999999998</v>
      </c>
      <c r="E3605">
        <v>0.56401349999999995</v>
      </c>
      <c r="F3605" t="s">
        <v>75</v>
      </c>
      <c r="G3605">
        <v>-194.0599</v>
      </c>
      <c r="H3605" s="1">
        <v>-1.238668E-5</v>
      </c>
      <c r="I3605">
        <v>151.8809</v>
      </c>
      <c r="J3605">
        <v>-191.09989999999999</v>
      </c>
      <c r="K3605">
        <v>1.1072139999999999</v>
      </c>
      <c r="L3605">
        <v>162.5616</v>
      </c>
      <c r="M3605">
        <v>1.6013070000000001E-2</v>
      </c>
      <c r="N3605">
        <v>0</v>
      </c>
      <c r="O3605">
        <v>-0.99977369999999999</v>
      </c>
      <c r="P3605">
        <v>-0.1088474</v>
      </c>
      <c r="Q3605">
        <v>-5.5250540000000001E-2</v>
      </c>
      <c r="R3605">
        <v>-0.99252189999999996</v>
      </c>
      <c r="S3605">
        <v>-0.79779049999999996</v>
      </c>
      <c r="T3605">
        <v>-0.29848669999999999</v>
      </c>
      <c r="U3605">
        <v>-2.9215849999999999</v>
      </c>
      <c r="V3605">
        <v>0.124414</v>
      </c>
      <c r="W3605">
        <v>-4.2301810000000002E-2</v>
      </c>
      <c r="X3605">
        <v>0.99132819999999999</v>
      </c>
      <c r="Y3605">
        <v>0.277572599999999</v>
      </c>
      <c r="Z3605">
        <v>9.7846900000000001E-2</v>
      </c>
      <c r="AA3605">
        <v>0.95570889999999997</v>
      </c>
      <c r="AB3605">
        <v>25</v>
      </c>
      <c r="AC3605">
        <v>-2.96</v>
      </c>
      <c r="AD3605">
        <v>-1.1072263866799901</v>
      </c>
      <c r="AE3605">
        <v>-10.6807</v>
      </c>
      <c r="AF3605">
        <v>3.0997322037158299</v>
      </c>
      <c r="AG3605">
        <v>-1.1072263866799901</v>
      </c>
      <c r="AH3605">
        <v>10.526867305852701</v>
      </c>
      <c r="AI3605">
        <v>95.761513024467703</v>
      </c>
      <c r="AJ3605">
        <v>73.592453488786902</v>
      </c>
      <c r="AK3605">
        <v>11.029470761607</v>
      </c>
      <c r="AL3605">
        <v>92.424438749037193</v>
      </c>
      <c r="AM3605">
        <v>82.846646744124598</v>
      </c>
      <c r="AN3605">
        <v>0.99999994332025599</v>
      </c>
    </row>
    <row r="3606" spans="1:40" x14ac:dyDescent="0.3">
      <c r="A3606" t="str">
        <f>"20200111160527262"</f>
        <v>20200111160527262</v>
      </c>
      <c r="B3606" t="str">
        <f>"1578729927255124"</f>
        <v>1578729927255124</v>
      </c>
      <c r="C3606" t="s">
        <v>40</v>
      </c>
      <c r="D3606">
        <v>5.587326</v>
      </c>
      <c r="E3606">
        <v>0.56422640000000002</v>
      </c>
      <c r="F3606" t="s">
        <v>75</v>
      </c>
      <c r="G3606">
        <v>-194.12739999999999</v>
      </c>
      <c r="H3606" s="1">
        <v>-1.236063E-5</v>
      </c>
      <c r="I3606">
        <v>151.79230000000001</v>
      </c>
      <c r="J3606">
        <v>-191.10040000000001</v>
      </c>
      <c r="K3606">
        <v>1.107073</v>
      </c>
      <c r="L3606">
        <v>162.3997</v>
      </c>
      <c r="M3606">
        <v>1.301422E-2</v>
      </c>
      <c r="N3606">
        <v>0</v>
      </c>
      <c r="O3606">
        <v>-0.99981730000000002</v>
      </c>
      <c r="P3606">
        <v>-0.11619640000000001</v>
      </c>
      <c r="Q3606">
        <v>-5.4749010000000001E-2</v>
      </c>
      <c r="R3606">
        <v>-0.99171690000000001</v>
      </c>
      <c r="S3606">
        <v>-0.81974789999999997</v>
      </c>
      <c r="T3606">
        <v>-0.29980269999999998</v>
      </c>
      <c r="U3606">
        <v>-2.9160159999999999</v>
      </c>
      <c r="V3606">
        <v>0.12876870000000001</v>
      </c>
      <c r="W3606">
        <v>-4.1876429999999999E-2</v>
      </c>
      <c r="X3606">
        <v>0.99079010000000001</v>
      </c>
      <c r="Y3606">
        <v>0.28182360000000001</v>
      </c>
      <c r="Z3606">
        <v>9.8301459999999993E-2</v>
      </c>
      <c r="AA3606">
        <v>0.95441719999999997</v>
      </c>
      <c r="AB3606">
        <v>25</v>
      </c>
      <c r="AC3606">
        <v>-3.0269999999999802</v>
      </c>
      <c r="AD3606">
        <v>-1.10708536063</v>
      </c>
      <c r="AE3606">
        <v>-10.607399999999901</v>
      </c>
      <c r="AF3606">
        <v>3.1332440600670401</v>
      </c>
      <c r="AG3606">
        <v>-1.10708536063</v>
      </c>
      <c r="AH3606">
        <v>10.4617261730011</v>
      </c>
      <c r="AI3606">
        <v>95.788502826777105</v>
      </c>
      <c r="AJ3606">
        <v>73.327257604211894</v>
      </c>
      <c r="AK3606">
        <v>10.9768197058402</v>
      </c>
      <c r="AL3606">
        <v>92.400044473166901</v>
      </c>
      <c r="AM3606">
        <v>82.595022107991895</v>
      </c>
      <c r="AN3606">
        <v>1.0000000178736199</v>
      </c>
    </row>
    <row r="3607" spans="1:40" x14ac:dyDescent="0.3">
      <c r="A3607" t="str">
        <f>"20200111160527279"</f>
        <v>20200111160527279</v>
      </c>
      <c r="B3607" t="str">
        <f>"1578729927275619"</f>
        <v>1578729927275619</v>
      </c>
      <c r="C3607" t="s">
        <v>40</v>
      </c>
      <c r="D3607">
        <v>5.5812390000000001</v>
      </c>
      <c r="E3607">
        <v>0.56435179999999996</v>
      </c>
      <c r="F3607" t="s">
        <v>75</v>
      </c>
      <c r="G3607">
        <v>-194.20179999999999</v>
      </c>
      <c r="H3607" s="1">
        <v>-1.2329229999999999E-5</v>
      </c>
      <c r="I3607">
        <v>151.6883</v>
      </c>
      <c r="J3607">
        <v>-191.1018</v>
      </c>
      <c r="K3607">
        <v>1.106932</v>
      </c>
      <c r="L3607">
        <v>162.2133</v>
      </c>
      <c r="M3607">
        <v>9.4012139999999998E-3</v>
      </c>
      <c r="N3607">
        <v>0</v>
      </c>
      <c r="O3607">
        <v>-0.99985749999999995</v>
      </c>
      <c r="P3607">
        <v>-0.1280076</v>
      </c>
      <c r="Q3607">
        <v>-5.3699799999999999E-2</v>
      </c>
      <c r="R3607">
        <v>-0.99031849999999999</v>
      </c>
      <c r="S3607">
        <v>-0.84249879999999999</v>
      </c>
      <c r="T3607">
        <v>-0.30074079999999997</v>
      </c>
      <c r="U3607">
        <v>-2.9097599999999999</v>
      </c>
      <c r="V3607">
        <v>0.13698199999999999</v>
      </c>
      <c r="W3607">
        <v>-4.0941699999999998E-2</v>
      </c>
      <c r="X3607">
        <v>0.98972709999999997</v>
      </c>
      <c r="Y3607">
        <v>0.28578019999999998</v>
      </c>
      <c r="Z3607">
        <v>9.8652249999999997E-2</v>
      </c>
      <c r="AA3607">
        <v>0.95320369999999999</v>
      </c>
      <c r="AB3607">
        <v>25</v>
      </c>
      <c r="AC3607">
        <v>-3.0999999999999899</v>
      </c>
      <c r="AD3607">
        <v>-1.1069443292299901</v>
      </c>
      <c r="AE3607">
        <v>-10.525</v>
      </c>
      <c r="AF3607">
        <v>3.1665898556162899</v>
      </c>
      <c r="AG3607">
        <v>-1.1069443292299901</v>
      </c>
      <c r="AH3607">
        <v>10.389638884410401</v>
      </c>
      <c r="AI3607">
        <v>95.819186282572502</v>
      </c>
      <c r="AJ3607">
        <v>73.0496468782204</v>
      </c>
      <c r="AK3607">
        <v>10.917747625319</v>
      </c>
      <c r="AL3607">
        <v>92.346442426711107</v>
      </c>
      <c r="AM3607">
        <v>82.1201061720582</v>
      </c>
      <c r="AN3607">
        <v>1.0000000117986501</v>
      </c>
    </row>
    <row r="3608" spans="1:40" x14ac:dyDescent="0.3">
      <c r="A3608" t="str">
        <f>"20200111160527292"</f>
        <v>20200111160527292</v>
      </c>
      <c r="B3608" t="str">
        <f>"1578729927285380"</f>
        <v>1578729927285380</v>
      </c>
      <c r="C3608" t="s">
        <v>40</v>
      </c>
      <c r="D3608">
        <v>5.777609</v>
      </c>
      <c r="E3608">
        <v>0.56454609999999905</v>
      </c>
      <c r="F3608" t="s">
        <v>75</v>
      </c>
      <c r="G3608">
        <v>-194.3415</v>
      </c>
      <c r="H3608" s="1">
        <v>-1.227856E-5</v>
      </c>
      <c r="I3608">
        <v>151.51240000000001</v>
      </c>
      <c r="J3608">
        <v>-191.1036</v>
      </c>
      <c r="K3608">
        <v>1.1068370000000001</v>
      </c>
      <c r="L3608">
        <v>162.06360000000001</v>
      </c>
      <c r="M3608">
        <v>6.4146119999999897E-3</v>
      </c>
      <c r="N3608">
        <v>0</v>
      </c>
      <c r="O3608">
        <v>-0.99988089999999996</v>
      </c>
      <c r="P3608">
        <v>-0.13466149999999999</v>
      </c>
      <c r="Q3608">
        <v>-5.3481550000000003E-2</v>
      </c>
      <c r="R3608">
        <v>-0.98944739999999998</v>
      </c>
      <c r="S3608">
        <v>-0.87783809999999995</v>
      </c>
      <c r="T3608">
        <v>-0.2999465</v>
      </c>
      <c r="U3608">
        <v>-2.899597</v>
      </c>
      <c r="V3608">
        <v>0.14066779999999901</v>
      </c>
      <c r="W3608">
        <v>-4.078507E-2</v>
      </c>
      <c r="X3608">
        <v>0.9892164</v>
      </c>
      <c r="Y3608">
        <v>0.29448350000000001</v>
      </c>
      <c r="Z3608">
        <v>9.8427329999999993E-2</v>
      </c>
      <c r="AA3608">
        <v>0.95057429999999998</v>
      </c>
      <c r="AB3608">
        <v>25</v>
      </c>
      <c r="AC3608">
        <v>-3.23789999999999</v>
      </c>
      <c r="AD3608">
        <v>-1.1068492785599999</v>
      </c>
      <c r="AE3608">
        <v>-10.5511999999999</v>
      </c>
      <c r="AF3608">
        <v>3.27260782962952</v>
      </c>
      <c r="AG3608">
        <v>-1.1068492785599999</v>
      </c>
      <c r="AH3608">
        <v>10.425358518427601</v>
      </c>
      <c r="AI3608">
        <v>95.784071396513298</v>
      </c>
      <c r="AJ3608">
        <v>72.572487708810897</v>
      </c>
      <c r="AK3608">
        <v>10.982858351529099</v>
      </c>
      <c r="AL3608">
        <v>92.337460786990604</v>
      </c>
      <c r="AM3608">
        <v>81.906729805786597</v>
      </c>
      <c r="AN3608">
        <v>0.99999996896035104</v>
      </c>
    </row>
    <row r="3609" spans="1:40" x14ac:dyDescent="0.3">
      <c r="A3609" t="str">
        <f>"20200111160527305"</f>
        <v>20200111160527305</v>
      </c>
      <c r="B3609" t="str">
        <f>"1578729927295139"</f>
        <v>1578729927295139</v>
      </c>
      <c r="C3609" t="s">
        <v>40</v>
      </c>
      <c r="D3609">
        <v>5.5952809999999999</v>
      </c>
      <c r="E3609">
        <v>0.56436370000000002</v>
      </c>
      <c r="F3609" t="s">
        <v>75</v>
      </c>
      <c r="G3609">
        <v>-194.38810000000001</v>
      </c>
      <c r="H3609" s="1">
        <v>-1.227642E-5</v>
      </c>
      <c r="I3609">
        <v>151.4881</v>
      </c>
      <c r="J3609">
        <v>-191.10560000000001</v>
      </c>
      <c r="K3609">
        <v>1.1067549999999999</v>
      </c>
      <c r="L3609">
        <v>161.91810000000001</v>
      </c>
      <c r="M3609">
        <v>3.464057E-3</v>
      </c>
      <c r="N3609">
        <v>0</v>
      </c>
      <c r="O3609">
        <v>-0.99989550000000005</v>
      </c>
      <c r="P3609">
        <v>-0.14118789999999901</v>
      </c>
      <c r="Q3609">
        <v>-5.3389199999999901E-2</v>
      </c>
      <c r="R3609">
        <v>-0.98854219999999904</v>
      </c>
      <c r="S3609">
        <v>-0.89862059999999999</v>
      </c>
      <c r="T3609">
        <v>-0.30282160000000002</v>
      </c>
      <c r="U3609">
        <v>-2.8933260000000001</v>
      </c>
      <c r="V3609">
        <v>0.1442658</v>
      </c>
      <c r="W3609">
        <v>-4.0751709999999997E-2</v>
      </c>
      <c r="X3609">
        <v>0.98869949999999995</v>
      </c>
      <c r="Y3609">
        <v>0.29844480000000001</v>
      </c>
      <c r="Z3609">
        <v>9.9403359999999996E-2</v>
      </c>
      <c r="AA3609">
        <v>0.94923630000000003</v>
      </c>
      <c r="AB3609">
        <v>25</v>
      </c>
      <c r="AC3609">
        <v>-3.28249999999999</v>
      </c>
      <c r="AD3609">
        <v>-1.1067672764199901</v>
      </c>
      <c r="AE3609">
        <v>-10.43</v>
      </c>
      <c r="AF3609">
        <v>3.2849583511408502</v>
      </c>
      <c r="AG3609">
        <v>-1.1067672764199901</v>
      </c>
      <c r="AH3609">
        <v>10.3129059521328</v>
      </c>
      <c r="AI3609">
        <v>95.8385699985824</v>
      </c>
      <c r="AJ3609">
        <v>72.3318206650777</v>
      </c>
      <c r="AK3609">
        <v>10.8798857691806</v>
      </c>
      <c r="AL3609">
        <v>92.335547708490694</v>
      </c>
      <c r="AM3609">
        <v>81.698289685140594</v>
      </c>
      <c r="AN3609">
        <v>1.0000000121089001</v>
      </c>
    </row>
    <row r="3610" spans="1:40" x14ac:dyDescent="0.3">
      <c r="A3610" t="str">
        <f>"20200111160527318"</f>
        <v>20200111160527318</v>
      </c>
      <c r="B3610" t="str">
        <f>"1578729927315636"</f>
        <v>1578729927315636</v>
      </c>
      <c r="C3610" t="s">
        <v>40</v>
      </c>
      <c r="D3610">
        <v>5.6541249999999996</v>
      </c>
      <c r="E3610">
        <v>0.56417740000000005</v>
      </c>
      <c r="F3610" t="s">
        <v>75</v>
      </c>
      <c r="G3610">
        <v>-194.47040000000001</v>
      </c>
      <c r="H3610" s="1">
        <v>-1.2218369999999999E-5</v>
      </c>
      <c r="I3610">
        <v>151.31880000000001</v>
      </c>
      <c r="J3610">
        <v>-191.10839999999999</v>
      </c>
      <c r="K3610">
        <v>1.1066879999999999</v>
      </c>
      <c r="L3610">
        <v>161.76929999999999</v>
      </c>
      <c r="M3610">
        <v>3.670953E-4</v>
      </c>
      <c r="N3610">
        <v>0</v>
      </c>
      <c r="O3610">
        <v>-0.99990120000000005</v>
      </c>
      <c r="P3610">
        <v>-0.14772060000000001</v>
      </c>
      <c r="Q3610">
        <v>-5.344757E-2</v>
      </c>
      <c r="R3610">
        <v>-0.98758400000000002</v>
      </c>
      <c r="S3610">
        <v>-0.91667180000000004</v>
      </c>
      <c r="T3610">
        <v>-0.30151800000000001</v>
      </c>
      <c r="U3610">
        <v>-2.8875890000000002</v>
      </c>
      <c r="V3610">
        <v>0.14773020000000001</v>
      </c>
      <c r="W3610">
        <v>-4.0864009999999999E-2</v>
      </c>
      <c r="X3610">
        <v>0.98818309999999998</v>
      </c>
      <c r="Y3610">
        <v>0.3014348</v>
      </c>
      <c r="Z3610">
        <v>9.9029259999999994E-2</v>
      </c>
      <c r="AA3610">
        <v>0.94833020000000001</v>
      </c>
      <c r="AB3610">
        <v>25</v>
      </c>
      <c r="AC3610">
        <v>-3.3620000000000201</v>
      </c>
      <c r="AD3610">
        <v>-1.1067002183700001</v>
      </c>
      <c r="AE3610">
        <v>-10.4504999999999</v>
      </c>
      <c r="AF3610">
        <v>3.33197414478503</v>
      </c>
      <c r="AG3610">
        <v>-1.1067002183700001</v>
      </c>
      <c r="AH3610">
        <v>10.3441391166246</v>
      </c>
      <c r="AI3610">
        <v>95.814697156571796</v>
      </c>
      <c r="AJ3610">
        <v>72.145613281124398</v>
      </c>
      <c r="AK3610">
        <v>10.9237379655015</v>
      </c>
      <c r="AL3610">
        <v>92.341987512574207</v>
      </c>
      <c r="AM3610">
        <v>81.497433916284905</v>
      </c>
      <c r="AN3610">
        <v>0.99999995921546403</v>
      </c>
    </row>
    <row r="3611" spans="1:40" x14ac:dyDescent="0.3">
      <c r="A3611" t="str">
        <f>"20200111160527335"</f>
        <v>20200111160527335</v>
      </c>
      <c r="B3611" t="str">
        <f>"1578729927325395"</f>
        <v>1578729927325395</v>
      </c>
      <c r="C3611" t="s">
        <v>40</v>
      </c>
      <c r="D3611">
        <v>5.5147209999999998</v>
      </c>
      <c r="E3611">
        <v>0.56392799999999998</v>
      </c>
      <c r="F3611" t="s">
        <v>75</v>
      </c>
      <c r="G3611">
        <v>-194.51939999999999</v>
      </c>
      <c r="H3611" s="1">
        <v>-1.2198339999999999E-5</v>
      </c>
      <c r="I3611">
        <v>151.25190000000001</v>
      </c>
      <c r="J3611">
        <v>-191.11250000000001</v>
      </c>
      <c r="K3611">
        <v>1.1066260000000001</v>
      </c>
      <c r="L3611">
        <v>161.5874</v>
      </c>
      <c r="M3611">
        <v>-3.4747409999999999E-3</v>
      </c>
      <c r="N3611">
        <v>0</v>
      </c>
      <c r="O3611">
        <v>-0.99989530000000004</v>
      </c>
      <c r="P3611">
        <v>-0.15827349999999901</v>
      </c>
      <c r="Q3611">
        <v>-5.3556350000000003E-2</v>
      </c>
      <c r="R3611">
        <v>-0.98594219999999999</v>
      </c>
      <c r="S3611">
        <v>-0.93452449999999998</v>
      </c>
      <c r="T3611">
        <v>-0.30321179999999998</v>
      </c>
      <c r="U3611">
        <v>-2.8815460000000002</v>
      </c>
      <c r="V3611">
        <v>0.15448539999999999</v>
      </c>
      <c r="W3611">
        <v>-4.1064009999999998E-2</v>
      </c>
      <c r="X3611">
        <v>0.9871413</v>
      </c>
      <c r="Y3611">
        <v>0.30365300000000001</v>
      </c>
      <c r="Z3611">
        <v>9.9648829999999994E-2</v>
      </c>
      <c r="AA3611">
        <v>0.94755739999999999</v>
      </c>
      <c r="AB3611">
        <v>25</v>
      </c>
      <c r="AC3611">
        <v>-3.4068999999999701</v>
      </c>
      <c r="AD3611">
        <v>-1.10663819834</v>
      </c>
      <c r="AE3611">
        <v>-10.3354999999999</v>
      </c>
      <c r="AF3611">
        <v>3.3364612452817202</v>
      </c>
      <c r="AG3611">
        <v>-1.10663819834</v>
      </c>
      <c r="AH3611">
        <v>10.2413735489222</v>
      </c>
      <c r="AI3611">
        <v>95.866039774621697</v>
      </c>
      <c r="AJ3611">
        <v>71.955292062673394</v>
      </c>
      <c r="AK3611">
        <v>10.8278508445515</v>
      </c>
      <c r="AL3611">
        <v>92.353456272682607</v>
      </c>
      <c r="AM3611">
        <v>81.105484211468195</v>
      </c>
      <c r="AN3611">
        <v>0.99999996894806398</v>
      </c>
    </row>
    <row r="3612" spans="1:40" x14ac:dyDescent="0.3">
      <c r="A3612" t="str">
        <f>"20200111160527348"</f>
        <v>20200111160527348</v>
      </c>
      <c r="B3612" t="str">
        <f>"1578729927344915"</f>
        <v>1578729927344915</v>
      </c>
      <c r="C3612" t="s">
        <v>40</v>
      </c>
      <c r="D3612">
        <v>5.5786040000000003</v>
      </c>
      <c r="E3612">
        <v>0.56389730000000005</v>
      </c>
      <c r="F3612" t="s">
        <v>75</v>
      </c>
      <c r="G3612">
        <v>-194.67330000000001</v>
      </c>
      <c r="H3612" s="1">
        <v>-1.21110999999999E-5</v>
      </c>
      <c r="I3612">
        <v>150.98490000000001</v>
      </c>
      <c r="J3612">
        <v>-191.1164</v>
      </c>
      <c r="K3612">
        <v>1.1065849999999999</v>
      </c>
      <c r="L3612">
        <v>161.43680000000001</v>
      </c>
      <c r="M3612">
        <v>-6.6938659999999997E-3</v>
      </c>
      <c r="N3612">
        <v>0</v>
      </c>
      <c r="O3612">
        <v>-0.99987890000000001</v>
      </c>
      <c r="P3612">
        <v>-0.16473759999999901</v>
      </c>
      <c r="Q3612">
        <v>-5.3211509999999997E-2</v>
      </c>
      <c r="R3612">
        <v>-0.98490160000000004</v>
      </c>
      <c r="S3612">
        <v>-0.96444700000000005</v>
      </c>
      <c r="T3612">
        <v>-0.2997321</v>
      </c>
      <c r="U3612">
        <v>-2.8716740000000001</v>
      </c>
      <c r="V3612">
        <v>0.1577779</v>
      </c>
      <c r="W3612">
        <v>-4.0767459999999998E-2</v>
      </c>
      <c r="X3612">
        <v>0.98663270000000003</v>
      </c>
      <c r="Y3612">
        <v>0.31046990000000002</v>
      </c>
      <c r="Z3612">
        <v>9.8566520000000005E-2</v>
      </c>
      <c r="AA3612">
        <v>0.94545919999999894</v>
      </c>
      <c r="AB3612">
        <v>25</v>
      </c>
      <c r="AC3612">
        <v>-3.5569000000000099</v>
      </c>
      <c r="AD3612">
        <v>-1.1065971110999999</v>
      </c>
      <c r="AE3612">
        <v>-10.451899999999901</v>
      </c>
      <c r="AF3612">
        <v>3.45216892694837</v>
      </c>
      <c r="AG3612">
        <v>-1.1065971110999999</v>
      </c>
      <c r="AH3612">
        <v>10.3712865379972</v>
      </c>
      <c r="AI3612">
        <v>95.780767455319193</v>
      </c>
      <c r="AJ3612">
        <v>71.589549729303499</v>
      </c>
      <c r="AK3612">
        <v>10.9866105746825</v>
      </c>
      <c r="AL3612">
        <v>92.336450970391397</v>
      </c>
      <c r="AM3612">
        <v>80.9144416083208</v>
      </c>
      <c r="AN3612">
        <v>0.99999996811627501</v>
      </c>
    </row>
    <row r="3613" spans="1:40" x14ac:dyDescent="0.3">
      <c r="A3613" t="str">
        <f>"20200111160527362"</f>
        <v>20200111160527362</v>
      </c>
      <c r="B3613" t="str">
        <f>"1578729927354675"</f>
        <v>1578729927354675</v>
      </c>
      <c r="C3613" t="s">
        <v>40</v>
      </c>
      <c r="D3613">
        <v>5.6438569999999997</v>
      </c>
      <c r="E3613">
        <v>0.56389730000000005</v>
      </c>
      <c r="F3613" t="s">
        <v>75</v>
      </c>
      <c r="G3613">
        <v>-194.76009999999999</v>
      </c>
      <c r="H3613" s="1">
        <v>-1.205555E-5</v>
      </c>
      <c r="I3613">
        <v>150.81950000000001</v>
      </c>
      <c r="J3613">
        <v>-191.12129999999999</v>
      </c>
      <c r="K3613">
        <v>1.106549</v>
      </c>
      <c r="L3613">
        <v>161.26949999999999</v>
      </c>
      <c r="M3613">
        <v>-1.031527E-2</v>
      </c>
      <c r="N3613">
        <v>0</v>
      </c>
      <c r="O3613">
        <v>-0.99984790000000001</v>
      </c>
      <c r="P3613">
        <v>-0.171596</v>
      </c>
      <c r="Q3613">
        <v>-5.3092170000000001E-2</v>
      </c>
      <c r="R3613">
        <v>-0.98373600000000005</v>
      </c>
      <c r="S3613">
        <v>-0.98335269999999997</v>
      </c>
      <c r="T3613">
        <v>-0.29864570000000001</v>
      </c>
      <c r="U3613">
        <v>-2.8653719999999998</v>
      </c>
      <c r="V3613">
        <v>0.16107249999999901</v>
      </c>
      <c r="W3613">
        <v>-4.0696089999999997E-2</v>
      </c>
      <c r="X3613">
        <v>0.98610319999999996</v>
      </c>
      <c r="Y3613">
        <v>0.31325710000000001</v>
      </c>
      <c r="Z3613">
        <v>9.8264370000000004E-2</v>
      </c>
      <c r="AA3613">
        <v>0.94457080000000004</v>
      </c>
      <c r="AB3613">
        <v>25</v>
      </c>
      <c r="AC3613">
        <v>-3.6387999999999998</v>
      </c>
      <c r="AD3613">
        <v>-1.1065610555500001</v>
      </c>
      <c r="AE3613">
        <v>-10.4499999999999</v>
      </c>
      <c r="AF3613">
        <v>3.49584146842487</v>
      </c>
      <c r="AG3613">
        <v>-1.1065610555500001</v>
      </c>
      <c r="AH3613">
        <v>10.383147643436599</v>
      </c>
      <c r="AI3613">
        <v>95.767420281040003</v>
      </c>
      <c r="AJ3613">
        <v>71.392435193608307</v>
      </c>
      <c r="AK3613">
        <v>11.0115911623808</v>
      </c>
      <c r="AL3613">
        <v>92.332358249465102</v>
      </c>
      <c r="AM3613">
        <v>80.723093731514894</v>
      </c>
      <c r="AN3613">
        <v>1.00000002152388</v>
      </c>
    </row>
    <row r="3614" spans="1:40" x14ac:dyDescent="0.3">
      <c r="A3614" t="str">
        <f>"20200111160527404"</f>
        <v>20200111160527404</v>
      </c>
      <c r="B3614" t="str">
        <f>"1578729927394691"</f>
        <v>1578729927394691</v>
      </c>
      <c r="C3614" t="s">
        <v>40</v>
      </c>
      <c r="D3614">
        <v>5.9128769999999999</v>
      </c>
      <c r="E3614">
        <v>0.56718299999999999</v>
      </c>
      <c r="F3614" t="s">
        <v>75</v>
      </c>
      <c r="G3614">
        <v>-194.8648</v>
      </c>
      <c r="H3614" s="1">
        <v>-1.1983950000000001E-5</v>
      </c>
      <c r="I3614">
        <v>150.60929999999999</v>
      </c>
      <c r="J3614">
        <v>-191.13890000000001</v>
      </c>
      <c r="K3614">
        <v>1.1064529999999999</v>
      </c>
      <c r="L3614">
        <v>160.7996</v>
      </c>
      <c r="M3614">
        <v>-2.072187E-2</v>
      </c>
      <c r="N3614">
        <v>0</v>
      </c>
      <c r="O3614">
        <v>-0.99968599999999996</v>
      </c>
      <c r="P3614">
        <v>-0.1893524</v>
      </c>
      <c r="Q3614">
        <v>-5.4051830000000002E-2</v>
      </c>
      <c r="R3614">
        <v>-0.98042050000000003</v>
      </c>
      <c r="S3614">
        <v>-1.0038149999999999</v>
      </c>
      <c r="T3614">
        <v>-0.2967224</v>
      </c>
      <c r="U3614">
        <v>-2.8585050000000001</v>
      </c>
      <c r="V3614">
        <v>0.16860890000000001</v>
      </c>
      <c r="W3614">
        <v>-4.1767480000000003E-2</v>
      </c>
      <c r="X3614">
        <v>0.9847977</v>
      </c>
      <c r="Y3614">
        <v>0.3101218</v>
      </c>
      <c r="Z3614">
        <v>9.7774689999999997E-2</v>
      </c>
      <c r="AA3614">
        <v>0.94565560000000004</v>
      </c>
      <c r="AB3614">
        <v>25</v>
      </c>
      <c r="AC3614">
        <v>-3.72589999999999</v>
      </c>
      <c r="AD3614">
        <v>-1.10646498395</v>
      </c>
      <c r="AE3614">
        <v>-10.190300000000001</v>
      </c>
      <c r="AF3614">
        <v>3.4777502589277902</v>
      </c>
      <c r="AG3614">
        <v>-1.10646498395</v>
      </c>
      <c r="AH3614">
        <v>10.159672266892199</v>
      </c>
      <c r="AI3614">
        <v>95.882879596335599</v>
      </c>
      <c r="AJ3614">
        <v>71.103447903252501</v>
      </c>
      <c r="AK3614">
        <v>10.795274530776799</v>
      </c>
      <c r="AL3614">
        <v>92.393796682362705</v>
      </c>
      <c r="AM3614">
        <v>80.284492302945907</v>
      </c>
      <c r="AN3614">
        <v>0.99999999673502504</v>
      </c>
    </row>
    <row r="3615" spans="1:40" x14ac:dyDescent="0.3">
      <c r="A3615" t="str">
        <f>"20200111160527424"</f>
        <v>20200111160527424</v>
      </c>
      <c r="B3615" t="str">
        <f>"1578729927415187"</f>
        <v>1578729927415187</v>
      </c>
      <c r="C3615" t="s">
        <v>40</v>
      </c>
      <c r="D3615">
        <v>8.7810129999999997</v>
      </c>
      <c r="E3615">
        <v>0.56829479999999999</v>
      </c>
      <c r="F3615" t="s">
        <v>75</v>
      </c>
      <c r="G3615">
        <v>-195.13290000000001</v>
      </c>
      <c r="H3615" s="1">
        <v>-1.191214E-5</v>
      </c>
      <c r="I3615">
        <v>150.33109999999999</v>
      </c>
      <c r="J3615">
        <v>-191.14940000000001</v>
      </c>
      <c r="K3615">
        <v>1.1064000000000001</v>
      </c>
      <c r="L3615">
        <v>160.57159999999999</v>
      </c>
      <c r="M3615">
        <v>-2.5893650000000001E-2</v>
      </c>
      <c r="N3615">
        <v>0</v>
      </c>
      <c r="O3615">
        <v>-0.99956540000000005</v>
      </c>
      <c r="P3615">
        <v>-0.1958811</v>
      </c>
      <c r="Q3615">
        <v>-5.5367949999999999E-2</v>
      </c>
      <c r="R3615">
        <v>-0.97906329999999997</v>
      </c>
      <c r="S3615">
        <v>-1.081421</v>
      </c>
      <c r="T3615">
        <v>-0.299595099999999</v>
      </c>
      <c r="U3615">
        <v>-2.834549</v>
      </c>
      <c r="V3615">
        <v>0.1700595</v>
      </c>
      <c r="W3615">
        <v>-4.3113829999999999E-2</v>
      </c>
      <c r="X3615">
        <v>0.98449019999999998</v>
      </c>
      <c r="Y3615">
        <v>0.33040239999999998</v>
      </c>
      <c r="Z3615">
        <v>9.8674300000000006E-2</v>
      </c>
      <c r="AA3615">
        <v>0.93866799999999995</v>
      </c>
      <c r="AB3615">
        <v>25</v>
      </c>
      <c r="AC3615">
        <v>-3.98349999999999</v>
      </c>
      <c r="AD3615">
        <v>-1.10641191214</v>
      </c>
      <c r="AE3615">
        <v>-10.2404999999999</v>
      </c>
      <c r="AF3615">
        <v>3.6796655843716399</v>
      </c>
      <c r="AG3615">
        <v>-1.10641191214</v>
      </c>
      <c r="AH3615">
        <v>10.236435756114201</v>
      </c>
      <c r="AI3615">
        <v>95.807791493180005</v>
      </c>
      <c r="AJ3615">
        <v>70.228139703397801</v>
      </c>
      <c r="AK3615">
        <v>10.9338329565248</v>
      </c>
      <c r="AL3615">
        <v>92.471006432592802</v>
      </c>
      <c r="AM3615">
        <v>80.199518804519201</v>
      </c>
      <c r="AN3615">
        <v>0.99999999488677904</v>
      </c>
    </row>
    <row r="3616" spans="1:40" x14ac:dyDescent="0.3">
      <c r="A3616" t="str">
        <f>"20200111160527438"</f>
        <v>20200111160527438</v>
      </c>
      <c r="B3616" t="str">
        <f>"1578729927434707"</f>
        <v>1578729927434707</v>
      </c>
      <c r="C3616" t="s">
        <v>40</v>
      </c>
      <c r="D3616">
        <v>5.5396390000000002</v>
      </c>
      <c r="E3616">
        <v>0.57041419999999998</v>
      </c>
      <c r="F3616" t="s">
        <v>75</v>
      </c>
      <c r="G3616">
        <v>-195.2578</v>
      </c>
      <c r="H3616" s="1">
        <v>-1.1838940000000001E-5</v>
      </c>
      <c r="I3616">
        <v>150.1088</v>
      </c>
      <c r="J3616">
        <v>-191.15700000000001</v>
      </c>
      <c r="K3616">
        <v>1.106368</v>
      </c>
      <c r="L3616">
        <v>160.42429999999999</v>
      </c>
      <c r="M3616">
        <v>-2.9280939999999998E-2</v>
      </c>
      <c r="N3616">
        <v>0</v>
      </c>
      <c r="O3616">
        <v>-0.99947189999999997</v>
      </c>
      <c r="P3616">
        <v>-0.19965559999999999</v>
      </c>
      <c r="Q3616">
        <v>-5.5900470000000001E-2</v>
      </c>
      <c r="R3616">
        <v>-0.97827050000000004</v>
      </c>
      <c r="S3616">
        <v>-1.1094059999999999</v>
      </c>
      <c r="T3616">
        <v>-0.29877039999999999</v>
      </c>
      <c r="U3616">
        <v>-2.8253170000000001</v>
      </c>
      <c r="V3616">
        <v>0.17051229999999901</v>
      </c>
      <c r="W3616">
        <v>-4.3660079999999997E-2</v>
      </c>
      <c r="X3616">
        <v>0.98438780000000004</v>
      </c>
      <c r="Y3616">
        <v>0.33631260000000002</v>
      </c>
      <c r="Z3616">
        <v>9.8414089999999996E-2</v>
      </c>
      <c r="AA3616">
        <v>0.93659409999999998</v>
      </c>
      <c r="AB3616">
        <v>25</v>
      </c>
      <c r="AC3616">
        <v>-4.1007999999999898</v>
      </c>
      <c r="AD3616">
        <v>-1.1063798389399999</v>
      </c>
      <c r="AE3616">
        <v>-10.315499999999901</v>
      </c>
      <c r="AF3616">
        <v>3.7596173287900498</v>
      </c>
      <c r="AG3616">
        <v>-1.1063798389399999</v>
      </c>
      <c r="AH3616">
        <v>10.3285636415313</v>
      </c>
      <c r="AI3616">
        <v>95.7478840724892</v>
      </c>
      <c r="AJ3616">
        <v>69.998395297502896</v>
      </c>
      <c r="AK3616">
        <v>11.0470822258238</v>
      </c>
      <c r="AL3616">
        <v>92.502333754741898</v>
      </c>
      <c r="AM3616">
        <v>80.172929845441004</v>
      </c>
      <c r="AN3616">
        <v>0.99999999391286798</v>
      </c>
    </row>
    <row r="3617" spans="1:40" x14ac:dyDescent="0.3">
      <c r="A3617" t="str">
        <f>"20200111160527451"</f>
        <v>20200111160527451</v>
      </c>
      <c r="B3617" t="str">
        <f>"1578729927445115"</f>
        <v>1578729927445115</v>
      </c>
      <c r="C3617" t="s">
        <v>40</v>
      </c>
      <c r="D3617">
        <v>5.5950730000000002</v>
      </c>
      <c r="E3617">
        <v>0.57126180000000004</v>
      </c>
      <c r="F3617" t="s">
        <v>75</v>
      </c>
      <c r="G3617">
        <v>-195.35759999999999</v>
      </c>
      <c r="H3617" s="1">
        <v>-1.18169E-5</v>
      </c>
      <c r="I3617">
        <v>150.01609999999999</v>
      </c>
      <c r="J3617">
        <v>-191.1652</v>
      </c>
      <c r="K3617">
        <v>1.106333</v>
      </c>
      <c r="L3617">
        <v>160.2723</v>
      </c>
      <c r="M3617">
        <v>-3.280512E-2</v>
      </c>
      <c r="N3617">
        <v>0</v>
      </c>
      <c r="O3617">
        <v>-0.99936219999999998</v>
      </c>
      <c r="P3617">
        <v>-0.2032785</v>
      </c>
      <c r="Q3617">
        <v>-5.6445259999999997E-2</v>
      </c>
      <c r="R3617">
        <v>-0.97749280000000005</v>
      </c>
      <c r="S3617">
        <v>-1.1371150000000001</v>
      </c>
      <c r="T3617">
        <v>-0.2994946</v>
      </c>
      <c r="U3617">
        <v>-2.8174589999999999</v>
      </c>
      <c r="V3617">
        <v>0.17068039999999901</v>
      </c>
      <c r="W3617">
        <v>-4.4215280000000003E-2</v>
      </c>
      <c r="X3617">
        <v>0.98433389999999998</v>
      </c>
      <c r="Y3617">
        <v>0.3418176</v>
      </c>
      <c r="Z3617">
        <v>9.861462E-2</v>
      </c>
      <c r="AA3617">
        <v>0.93457789999999996</v>
      </c>
      <c r="AB3617">
        <v>25</v>
      </c>
      <c r="AC3617">
        <v>-4.1923999999999904</v>
      </c>
      <c r="AD3617">
        <v>-1.1063448169000001</v>
      </c>
      <c r="AE3617">
        <v>-10.2562</v>
      </c>
      <c r="AF3617">
        <v>3.8156113383119501</v>
      </c>
      <c r="AG3617">
        <v>-1.1063448169000001</v>
      </c>
      <c r="AH3617">
        <v>10.2856744269729</v>
      </c>
      <c r="AI3617">
        <v>95.758602294403502</v>
      </c>
      <c r="AJ3617">
        <v>69.646976891642893</v>
      </c>
      <c r="AK3617">
        <v>11.0262408443051</v>
      </c>
      <c r="AL3617">
        <v>92.534175085668096</v>
      </c>
      <c r="AM3617">
        <v>80.162902851119398</v>
      </c>
      <c r="AN3617">
        <v>1.00000000830942</v>
      </c>
    </row>
    <row r="3618" spans="1:40" x14ac:dyDescent="0.3">
      <c r="A3618" t="str">
        <f>"20200111160527469"</f>
        <v>20200111160527469</v>
      </c>
      <c r="B3618" t="str">
        <f>"1578729927465611"</f>
        <v>1578729927465611</v>
      </c>
      <c r="C3618" t="s">
        <v>40</v>
      </c>
      <c r="D3618">
        <v>5.5832110000000004</v>
      </c>
      <c r="E3618">
        <v>0.57257969999999903</v>
      </c>
      <c r="F3618" t="s">
        <v>75</v>
      </c>
      <c r="G3618">
        <v>-195.35810000000001</v>
      </c>
      <c r="H3618" s="1">
        <v>-1.183285E-5</v>
      </c>
      <c r="I3618">
        <v>150.0531</v>
      </c>
      <c r="J3618">
        <v>-191.17660000000001</v>
      </c>
      <c r="K3618">
        <v>1.106287</v>
      </c>
      <c r="L3618">
        <v>160.0778</v>
      </c>
      <c r="M3618">
        <v>-3.7373339999999998E-2</v>
      </c>
      <c r="N3618">
        <v>0</v>
      </c>
      <c r="O3618">
        <v>-0.99920180000000003</v>
      </c>
      <c r="P3618">
        <v>-0.20744380000000001</v>
      </c>
      <c r="Q3618">
        <v>-5.6491909999999999E-2</v>
      </c>
      <c r="R3618">
        <v>-0.9766146</v>
      </c>
      <c r="S3618">
        <v>-1.1535949999999999</v>
      </c>
      <c r="T3618">
        <v>-0.30438660000000001</v>
      </c>
      <c r="U3618">
        <v>-2.8115999999999999</v>
      </c>
      <c r="V3618">
        <v>0.1703722</v>
      </c>
      <c r="W3618">
        <v>-4.4269169999999997E-2</v>
      </c>
      <c r="X3618">
        <v>0.98438479999999995</v>
      </c>
      <c r="Y3618">
        <v>0.3428368</v>
      </c>
      <c r="Z3618">
        <v>0.1002506</v>
      </c>
      <c r="AA3618">
        <v>0.93403040000000004</v>
      </c>
      <c r="AB3618">
        <v>25</v>
      </c>
      <c r="AC3618">
        <v>-4.1814999999999998</v>
      </c>
      <c r="AD3618">
        <v>-1.1062988328499901</v>
      </c>
      <c r="AE3618">
        <v>-10.0246999999999</v>
      </c>
      <c r="AF3618">
        <v>3.7648286972032698</v>
      </c>
      <c r="AG3618">
        <v>-1.1062988328499901</v>
      </c>
      <c r="AH3618">
        <v>10.069527909859699</v>
      </c>
      <c r="AI3618">
        <v>95.875538843635795</v>
      </c>
      <c r="AJ3618">
        <v>69.500067483781905</v>
      </c>
      <c r="AK3618">
        <v>10.807091401218701</v>
      </c>
      <c r="AL3618">
        <v>92.537265954410898</v>
      </c>
      <c r="AM3618">
        <v>80.180817601380099</v>
      </c>
      <c r="AN3618">
        <v>0.99999994020818195</v>
      </c>
    </row>
    <row r="3619" spans="1:40" x14ac:dyDescent="0.3">
      <c r="A3619" t="str">
        <f>"20200111160527482"</f>
        <v>20200111160527482</v>
      </c>
      <c r="B3619" t="str">
        <f>"1578729927475371"</f>
        <v>1578729927475371</v>
      </c>
      <c r="C3619" t="s">
        <v>40</v>
      </c>
      <c r="D3619">
        <v>5.6078769999999896</v>
      </c>
      <c r="E3619">
        <v>0.57322550000000005</v>
      </c>
      <c r="F3619" t="s">
        <v>75</v>
      </c>
      <c r="G3619">
        <v>-195.32550000000001</v>
      </c>
      <c r="H3619" s="1">
        <v>-1.1879339999999999E-5</v>
      </c>
      <c r="I3619">
        <v>150.17500000000001</v>
      </c>
      <c r="J3619">
        <v>-191.1858</v>
      </c>
      <c r="K3619">
        <v>1.1062529999999999</v>
      </c>
      <c r="L3619">
        <v>159.93020000000001</v>
      </c>
      <c r="M3619">
        <v>-4.0886199999999998E-2</v>
      </c>
      <c r="N3619">
        <v>0</v>
      </c>
      <c r="O3619">
        <v>-0.99906419999999996</v>
      </c>
      <c r="P3619">
        <v>-0.21062500000000001</v>
      </c>
      <c r="Q3619">
        <v>-5.6342900000000001E-2</v>
      </c>
      <c r="R3619">
        <v>-0.97594230000000004</v>
      </c>
      <c r="S3619">
        <v>-1.1748499999999999</v>
      </c>
      <c r="T3619">
        <v>-0.31326929999999997</v>
      </c>
      <c r="U3619">
        <v>-2.8041689999999999</v>
      </c>
      <c r="V3619">
        <v>0.1701162</v>
      </c>
      <c r="W3619">
        <v>-4.4126949999999998E-2</v>
      </c>
      <c r="X3619">
        <v>0.98443550000000002</v>
      </c>
      <c r="Y3619">
        <v>0.34632740000000001</v>
      </c>
      <c r="Z3619">
        <v>0.103161</v>
      </c>
      <c r="AA3619">
        <v>0.93242440000000004</v>
      </c>
      <c r="AB3619">
        <v>25</v>
      </c>
      <c r="AC3619">
        <v>-4.1397000000000004</v>
      </c>
      <c r="AD3619">
        <v>-1.1062648793400001</v>
      </c>
      <c r="AE3619">
        <v>-9.7552000000000003</v>
      </c>
      <c r="AF3619">
        <v>3.69705560818264</v>
      </c>
      <c r="AG3619">
        <v>-1.1062648793400001</v>
      </c>
      <c r="AH3619">
        <v>9.8094146587149709</v>
      </c>
      <c r="AI3619">
        <v>96.024106204869398</v>
      </c>
      <c r="AJ3619">
        <v>69.349150593175295</v>
      </c>
      <c r="AK3619">
        <v>10.5411886473902</v>
      </c>
      <c r="AL3619">
        <v>92.529109273104496</v>
      </c>
      <c r="AM3619">
        <v>80.195780425911494</v>
      </c>
      <c r="AN3619">
        <v>0.99999998143949598</v>
      </c>
    </row>
    <row r="3620" spans="1:40" x14ac:dyDescent="0.3">
      <c r="A3620" t="str">
        <f>"20200111160527494"</f>
        <v>20200111160527494</v>
      </c>
      <c r="B3620" t="str">
        <f>"1578729927485130"</f>
        <v>1578729927485130</v>
      </c>
      <c r="C3620" t="s">
        <v>40</v>
      </c>
      <c r="D3620">
        <v>5.6777639999999998</v>
      </c>
      <c r="E3620">
        <v>0.5736502</v>
      </c>
      <c r="F3620" t="s">
        <v>75</v>
      </c>
      <c r="G3620">
        <v>-195.36689999999999</v>
      </c>
      <c r="H3620" s="1">
        <v>-1.1847900000000001E-5</v>
      </c>
      <c r="I3620">
        <v>150.08459999999999</v>
      </c>
      <c r="J3620">
        <v>-191.1952</v>
      </c>
      <c r="K3620">
        <v>1.106217</v>
      </c>
      <c r="L3620">
        <v>159.79159999999999</v>
      </c>
      <c r="M3620">
        <v>-4.4246319999999999E-2</v>
      </c>
      <c r="N3620">
        <v>0</v>
      </c>
      <c r="O3620">
        <v>-0.9989209</v>
      </c>
      <c r="P3620">
        <v>-0.21347440000000001</v>
      </c>
      <c r="Q3620">
        <v>-5.5592700000000002E-2</v>
      </c>
      <c r="R3620">
        <v>-0.97536579999999995</v>
      </c>
      <c r="S3620">
        <v>-1.1887509999999999</v>
      </c>
      <c r="T3620">
        <v>-0.31452629999999998</v>
      </c>
      <c r="U3620">
        <v>-2.7992400000000002</v>
      </c>
      <c r="V3620">
        <v>0.16968179999999999</v>
      </c>
      <c r="W3620">
        <v>-4.3381679999999999E-2</v>
      </c>
      <c r="X3620">
        <v>0.98454359999999996</v>
      </c>
      <c r="Y3620">
        <v>0.34767179999999998</v>
      </c>
      <c r="Z3620">
        <v>0.1035923</v>
      </c>
      <c r="AA3620">
        <v>0.93187600000000004</v>
      </c>
      <c r="AB3620">
        <v>25</v>
      </c>
      <c r="AC3620">
        <v>-4.17169999999998</v>
      </c>
      <c r="AD3620">
        <v>-1.1062288479</v>
      </c>
      <c r="AE3620">
        <v>-9.7069999999999901</v>
      </c>
      <c r="AF3620">
        <v>3.6975372183293702</v>
      </c>
      <c r="AG3620">
        <v>-1.1062288479</v>
      </c>
      <c r="AH3620">
        <v>9.7749337452852991</v>
      </c>
      <c r="AI3620">
        <v>96.042270371898596</v>
      </c>
      <c r="AJ3620">
        <v>69.2800115557569</v>
      </c>
      <c r="AK3620">
        <v>10.5092746405056</v>
      </c>
      <c r="AL3620">
        <v>92.486367486931897</v>
      </c>
      <c r="AM3620">
        <v>80.221384990984404</v>
      </c>
      <c r="AN3620">
        <v>0.99999999185591104</v>
      </c>
    </row>
    <row r="3621" spans="1:40" x14ac:dyDescent="0.3">
      <c r="A3621" t="str">
        <f>"20200111160527508"</f>
        <v>20200111160527508</v>
      </c>
      <c r="B3621" t="str">
        <f>"1578729927505627"</f>
        <v>1578729927505627</v>
      </c>
      <c r="C3621" t="s">
        <v>40</v>
      </c>
      <c r="D3621">
        <v>5.6058209999999997</v>
      </c>
      <c r="E3621">
        <v>0.57462389999999997</v>
      </c>
      <c r="F3621" t="s">
        <v>75</v>
      </c>
      <c r="G3621">
        <v>-195.37299999999999</v>
      </c>
      <c r="H3621" s="1">
        <v>-1.1836640000000001E-5</v>
      </c>
      <c r="I3621">
        <v>150.0558</v>
      </c>
      <c r="J3621">
        <v>-191.2056</v>
      </c>
      <c r="K3621">
        <v>1.1061829999999999</v>
      </c>
      <c r="L3621">
        <v>159.64320000000001</v>
      </c>
      <c r="M3621">
        <v>-4.7880060000000002E-2</v>
      </c>
      <c r="N3621">
        <v>0</v>
      </c>
      <c r="O3621">
        <v>-0.99875320000000001</v>
      </c>
      <c r="P3621">
        <v>-0.2169673</v>
      </c>
      <c r="Q3621">
        <v>-5.4793670000000003E-2</v>
      </c>
      <c r="R3621">
        <v>-0.97463999999999995</v>
      </c>
      <c r="S3621">
        <v>-1.1994629999999999</v>
      </c>
      <c r="T3621">
        <v>-0.317600299999999</v>
      </c>
      <c r="U3621">
        <v>-2.795166</v>
      </c>
      <c r="V3621">
        <v>0.16962829999999901</v>
      </c>
      <c r="W3621">
        <v>-4.2594109999999998E-2</v>
      </c>
      <c r="X3621">
        <v>0.9845872</v>
      </c>
      <c r="Y3621">
        <v>0.34772979999999998</v>
      </c>
      <c r="Z3621">
        <v>0.1046291</v>
      </c>
      <c r="AA3621">
        <v>0.93173859999999997</v>
      </c>
      <c r="AB3621">
        <v>25</v>
      </c>
      <c r="AC3621">
        <v>-4.1673999999999802</v>
      </c>
      <c r="AD3621">
        <v>-1.1061948366399901</v>
      </c>
      <c r="AE3621">
        <v>-9.5874000000000006</v>
      </c>
      <c r="AF3621">
        <v>3.6625191775058301</v>
      </c>
      <c r="AG3621">
        <v>-1.1061948366399901</v>
      </c>
      <c r="AH3621">
        <v>9.6677080893965197</v>
      </c>
      <c r="AI3621">
        <v>96.107444967008504</v>
      </c>
      <c r="AJ3621">
        <v>69.251284085349297</v>
      </c>
      <c r="AK3621">
        <v>10.397225276197</v>
      </c>
      <c r="AL3621">
        <v>92.441201309744997</v>
      </c>
      <c r="AM3621">
        <v>80.224833190480396</v>
      </c>
      <c r="AN3621">
        <v>0.99999998638571097</v>
      </c>
    </row>
    <row r="3622" spans="1:40" x14ac:dyDescent="0.3">
      <c r="A3622" t="str">
        <f>"20200111160527525"</f>
        <v>20200111160527525</v>
      </c>
      <c r="B3622" t="str">
        <f>"1578729927515387"</f>
        <v>1578729927515387</v>
      </c>
      <c r="C3622" t="s">
        <v>40</v>
      </c>
      <c r="D3622">
        <v>5.6062209999999997</v>
      </c>
      <c r="E3622">
        <v>0.57506190000000001</v>
      </c>
      <c r="F3622" t="s">
        <v>75</v>
      </c>
      <c r="G3622">
        <v>-195.37520000000001</v>
      </c>
      <c r="H3622" s="1">
        <v>-1.1848630000000001E-5</v>
      </c>
      <c r="I3622">
        <v>150.08279999999999</v>
      </c>
      <c r="J3622">
        <v>-191.21960000000001</v>
      </c>
      <c r="K3622">
        <v>1.1061259999999999</v>
      </c>
      <c r="L3622">
        <v>159.45609999999999</v>
      </c>
      <c r="M3622">
        <v>-5.2538010000000003E-2</v>
      </c>
      <c r="N3622">
        <v>0</v>
      </c>
      <c r="O3622">
        <v>-0.99851909999999999</v>
      </c>
      <c r="P3622">
        <v>-0.22160489999999999</v>
      </c>
      <c r="Q3622">
        <v>-5.2183649999999998E-2</v>
      </c>
      <c r="R3622">
        <v>-0.97373960000000004</v>
      </c>
      <c r="S3622">
        <v>-1.216431</v>
      </c>
      <c r="T3622">
        <v>-0.32272009999999901</v>
      </c>
      <c r="U3622">
        <v>-2.7891240000000002</v>
      </c>
      <c r="V3622">
        <v>0.16973579999999999</v>
      </c>
      <c r="W3622">
        <v>-4.000165E-2</v>
      </c>
      <c r="X3622">
        <v>0.98467740000000004</v>
      </c>
      <c r="Y3622">
        <v>0.34879300000000002</v>
      </c>
      <c r="Z3622">
        <v>0.10632320000000001</v>
      </c>
      <c r="AA3622">
        <v>0.93114920000000001</v>
      </c>
      <c r="AB3622">
        <v>25</v>
      </c>
      <c r="AC3622">
        <v>-4.15559999999999</v>
      </c>
      <c r="AD3622">
        <v>-1.10613784863</v>
      </c>
      <c r="AE3622">
        <v>-9.3733000000000004</v>
      </c>
      <c r="AF3622">
        <v>3.6152792132823599</v>
      </c>
      <c r="AG3622">
        <v>-1.10613784863</v>
      </c>
      <c r="AH3622">
        <v>9.4685007306021696</v>
      </c>
      <c r="AI3622">
        <v>96.228494624684302</v>
      </c>
      <c r="AJ3622">
        <v>69.1020576856682</v>
      </c>
      <c r="AK3622">
        <v>10.195405377697201</v>
      </c>
      <c r="AL3622">
        <v>92.292537440322405</v>
      </c>
      <c r="AM3622">
        <v>80.219636606888301</v>
      </c>
      <c r="AN3622">
        <v>0.99999997793756101</v>
      </c>
    </row>
    <row r="3623" spans="1:40" x14ac:dyDescent="0.3">
      <c r="A3623" t="str">
        <f>"20200111160527537"</f>
        <v>20200111160527537</v>
      </c>
      <c r="B3623" t="str">
        <f>"1578729927534908"</f>
        <v>1578729927534908</v>
      </c>
      <c r="C3623" t="s">
        <v>40</v>
      </c>
      <c r="D3623">
        <v>5.5546319999999998</v>
      </c>
      <c r="E3623">
        <v>0.57592829999999995</v>
      </c>
      <c r="F3623" t="s">
        <v>75</v>
      </c>
      <c r="G3623">
        <v>-195.51339999999999</v>
      </c>
      <c r="H3623" s="1">
        <v>-1.173616E-5</v>
      </c>
      <c r="I3623">
        <v>149.76349999999999</v>
      </c>
      <c r="J3623">
        <v>-191.23099999999999</v>
      </c>
      <c r="K3623">
        <v>1.106082</v>
      </c>
      <c r="L3623">
        <v>159.3143</v>
      </c>
      <c r="M3623">
        <v>-5.6139210000000002E-2</v>
      </c>
      <c r="N3623">
        <v>0</v>
      </c>
      <c r="O3623">
        <v>-0.99832279999999995</v>
      </c>
      <c r="P3623">
        <v>-0.22531300000000001</v>
      </c>
      <c r="Q3623">
        <v>-5.1344099999999997E-2</v>
      </c>
      <c r="R3623">
        <v>-0.97293280000000004</v>
      </c>
      <c r="S3623">
        <v>-1.2330019999999999</v>
      </c>
      <c r="T3623">
        <v>-0.31763439999999998</v>
      </c>
      <c r="U3623">
        <v>-2.7832789999999998</v>
      </c>
      <c r="V3623">
        <v>0.1699367</v>
      </c>
      <c r="W3623">
        <v>-3.9178310000000001E-2</v>
      </c>
      <c r="X3623">
        <v>0.98467590000000005</v>
      </c>
      <c r="Y3623">
        <v>0.35084660000000001</v>
      </c>
      <c r="Z3623">
        <v>0.1046748</v>
      </c>
      <c r="AA3623">
        <v>0.93056430000000001</v>
      </c>
      <c r="AB3623">
        <v>25</v>
      </c>
      <c r="AC3623">
        <v>-4.2823999999999902</v>
      </c>
      <c r="AD3623">
        <v>-1.1060937361600001</v>
      </c>
      <c r="AE3623">
        <v>-9.5508000000000095</v>
      </c>
      <c r="AF3623">
        <v>3.6981194199990601</v>
      </c>
      <c r="AG3623">
        <v>-1.1060937361600001</v>
      </c>
      <c r="AH3623">
        <v>9.6682026213339096</v>
      </c>
      <c r="AI3623">
        <v>96.099204671243697</v>
      </c>
      <c r="AJ3623">
        <v>69.067982452086198</v>
      </c>
      <c r="AK3623">
        <v>10.410267649052701</v>
      </c>
      <c r="AL3623">
        <v>92.245326412167003</v>
      </c>
      <c r="AM3623">
        <v>80.208269853415004</v>
      </c>
      <c r="AN3623">
        <v>1.0000000250110701</v>
      </c>
    </row>
    <row r="3624" spans="1:40" x14ac:dyDescent="0.3">
      <c r="A3624" t="str">
        <f>"20200111160527550"</f>
        <v>20200111160527550</v>
      </c>
      <c r="B3624" t="str">
        <f>"1578729927545643"</f>
        <v>1578729927545643</v>
      </c>
      <c r="C3624" t="s">
        <v>40</v>
      </c>
      <c r="D3624">
        <v>5.5644479999999996</v>
      </c>
      <c r="E3624">
        <v>0.57632830000000002</v>
      </c>
      <c r="F3624" t="s">
        <v>75</v>
      </c>
      <c r="G3624">
        <v>-195.5463</v>
      </c>
      <c r="H3624" s="1">
        <v>-1.172536E-5</v>
      </c>
      <c r="I3624">
        <v>149.72470000000001</v>
      </c>
      <c r="J3624">
        <v>-191.24279999999999</v>
      </c>
      <c r="K3624">
        <v>1.1060380000000001</v>
      </c>
      <c r="L3624">
        <v>159.17410000000001</v>
      </c>
      <c r="M3624">
        <v>-5.9736259999999999E-2</v>
      </c>
      <c r="N3624">
        <v>0</v>
      </c>
      <c r="O3624">
        <v>-0.99811380000000005</v>
      </c>
      <c r="P3624">
        <v>-0.2291155</v>
      </c>
      <c r="Q3624">
        <v>-5.0032529999999999E-2</v>
      </c>
      <c r="R3624">
        <v>-0.97211250000000005</v>
      </c>
      <c r="S3624">
        <v>-1.249725</v>
      </c>
      <c r="T3624">
        <v>-0.32032850000000002</v>
      </c>
      <c r="U3624">
        <v>-2.777161</v>
      </c>
      <c r="V3624">
        <v>0.17024339999999999</v>
      </c>
      <c r="W3624">
        <v>-3.788337E-2</v>
      </c>
      <c r="X3624">
        <v>0.98467360000000004</v>
      </c>
      <c r="Y3624">
        <v>0.3528657</v>
      </c>
      <c r="Z3624">
        <v>0.10556450000000001</v>
      </c>
      <c r="AA3624">
        <v>0.92969999999999997</v>
      </c>
      <c r="AB3624">
        <v>25</v>
      </c>
      <c r="AC3624">
        <v>-4.3035000000000103</v>
      </c>
      <c r="AD3624">
        <v>-1.1060497253599999</v>
      </c>
      <c r="AE3624">
        <v>-9.44939999999999</v>
      </c>
      <c r="AF3624">
        <v>3.6894206079732501</v>
      </c>
      <c r="AG3624">
        <v>-1.1060497253599999</v>
      </c>
      <c r="AH3624">
        <v>9.5809070170549795</v>
      </c>
      <c r="AI3624">
        <v>96.148846801300706</v>
      </c>
      <c r="AJ3624">
        <v>68.939276866373604</v>
      </c>
      <c r="AK3624">
        <v>10.326129463015601</v>
      </c>
      <c r="AL3624">
        <v>92.171076660443504</v>
      </c>
      <c r="AM3624">
        <v>80.190918361002701</v>
      </c>
      <c r="AN3624">
        <v>1.0000000317515301</v>
      </c>
    </row>
    <row r="3625" spans="1:40" x14ac:dyDescent="0.3">
      <c r="A3625" t="str">
        <f>"20200111160527563"</f>
        <v>20200111160527563</v>
      </c>
      <c r="B3625" t="str">
        <f>"1578729927555403"</f>
        <v>1578729927555403</v>
      </c>
      <c r="C3625" t="s">
        <v>40</v>
      </c>
      <c r="D3625">
        <v>5.5731020000000004</v>
      </c>
      <c r="E3625">
        <v>0.57667170000000001</v>
      </c>
      <c r="F3625" t="s">
        <v>75</v>
      </c>
      <c r="G3625">
        <v>-195.62880000000001</v>
      </c>
      <c r="H3625" s="1">
        <v>-1.167719E-5</v>
      </c>
      <c r="I3625">
        <v>149.55459999999999</v>
      </c>
      <c r="J3625">
        <v>-191.25540000000001</v>
      </c>
      <c r="K3625">
        <v>1.10599</v>
      </c>
      <c r="L3625">
        <v>159.02789999999999</v>
      </c>
      <c r="M3625">
        <v>-6.3520400000000005E-2</v>
      </c>
      <c r="N3625">
        <v>0</v>
      </c>
      <c r="O3625">
        <v>-0.99788030000000005</v>
      </c>
      <c r="P3625">
        <v>-0.23297899999999999</v>
      </c>
      <c r="Q3625">
        <v>-4.8851430000000001E-2</v>
      </c>
      <c r="R3625">
        <v>-0.97125419999999996</v>
      </c>
      <c r="S3625">
        <v>-1.2637940000000001</v>
      </c>
      <c r="T3625">
        <v>-0.31869899999999901</v>
      </c>
      <c r="U3625">
        <v>-2.7717740000000002</v>
      </c>
      <c r="V3625">
        <v>0.170429</v>
      </c>
      <c r="W3625">
        <v>-3.6717680000000003E-2</v>
      </c>
      <c r="X3625">
        <v>0.98468560000000005</v>
      </c>
      <c r="Y3625">
        <v>0.35393350000000001</v>
      </c>
      <c r="Z3625">
        <v>0.10505440000000001</v>
      </c>
      <c r="AA3625">
        <v>0.9293517</v>
      </c>
      <c r="AB3625">
        <v>25</v>
      </c>
      <c r="AC3625">
        <v>-4.3734000000000002</v>
      </c>
      <c r="AD3625">
        <v>-1.1060016771899901</v>
      </c>
      <c r="AE3625">
        <v>-9.4732999999999894</v>
      </c>
      <c r="AF3625">
        <v>3.7209505391017399</v>
      </c>
      <c r="AG3625">
        <v>-1.1060016771899901</v>
      </c>
      <c r="AH3625">
        <v>9.6238615497187592</v>
      </c>
      <c r="AI3625">
        <v>96.1181704842556</v>
      </c>
      <c r="AJ3625">
        <v>68.861604276631098</v>
      </c>
      <c r="AK3625">
        <v>10.377255116481599</v>
      </c>
      <c r="AL3625">
        <v>92.104241136059798</v>
      </c>
      <c r="AM3625">
        <v>80.180549868045802</v>
      </c>
      <c r="AN3625">
        <v>0.99999998145647095</v>
      </c>
    </row>
    <row r="3626" spans="1:40" x14ac:dyDescent="0.3">
      <c r="A3626" t="str">
        <f>"20200111160527575"</f>
        <v>20200111160527575</v>
      </c>
      <c r="B3626" t="str">
        <f>"1578729927565163"</f>
        <v>1578729927565163</v>
      </c>
      <c r="C3626" t="s">
        <v>40</v>
      </c>
      <c r="D3626">
        <v>5.4919440000000002</v>
      </c>
      <c r="E3626">
        <v>0.57711299999999999</v>
      </c>
      <c r="F3626" t="s">
        <v>75</v>
      </c>
      <c r="G3626">
        <v>-195.7045</v>
      </c>
      <c r="H3626" s="1">
        <v>-1.1647829999999999E-5</v>
      </c>
      <c r="I3626">
        <v>149.3922</v>
      </c>
      <c r="J3626">
        <v>-191.26759999999999</v>
      </c>
      <c r="K3626">
        <v>1.105947</v>
      </c>
      <c r="L3626">
        <v>158.89689999999999</v>
      </c>
      <c r="M3626">
        <v>-6.6976659999999993E-2</v>
      </c>
      <c r="N3626">
        <v>0</v>
      </c>
      <c r="O3626">
        <v>-0.99765400000000004</v>
      </c>
      <c r="P3626">
        <v>-0.2368208</v>
      </c>
      <c r="Q3626">
        <v>-4.820816E-2</v>
      </c>
      <c r="R3626">
        <v>-0.97035649999999996</v>
      </c>
      <c r="S3626">
        <v>-1.2773589999999999</v>
      </c>
      <c r="T3626">
        <v>-0.3175386</v>
      </c>
      <c r="U3626">
        <v>-2.7664339999999998</v>
      </c>
      <c r="V3626">
        <v>0.1709157</v>
      </c>
      <c r="W3626">
        <v>-3.6091489999999997E-2</v>
      </c>
      <c r="X3626">
        <v>0.98462439999999996</v>
      </c>
      <c r="Y3626">
        <v>0.35515259999999998</v>
      </c>
      <c r="Z3626">
        <v>0.10469580000000001</v>
      </c>
      <c r="AA3626">
        <v>0.92892710000000001</v>
      </c>
      <c r="AB3626">
        <v>25</v>
      </c>
      <c r="AC3626">
        <v>-4.4368999999999996</v>
      </c>
      <c r="AD3626">
        <v>-1.1059586478299901</v>
      </c>
      <c r="AE3626">
        <v>-9.5046999999999802</v>
      </c>
      <c r="AF3626">
        <v>3.74860522469567</v>
      </c>
      <c r="AG3626">
        <v>-1.1059586478299901</v>
      </c>
      <c r="AH3626">
        <v>9.6730176250962092</v>
      </c>
      <c r="AI3626">
        <v>96.085260070326697</v>
      </c>
      <c r="AJ3626">
        <v>68.817049420577803</v>
      </c>
      <c r="AK3626">
        <v>10.4327587740131</v>
      </c>
      <c r="AL3626">
        <v>92.068339273544495</v>
      </c>
      <c r="AM3626">
        <v>80.152456220722001</v>
      </c>
      <c r="AN3626">
        <v>0.99999999061613498</v>
      </c>
    </row>
    <row r="3627" spans="1:40" x14ac:dyDescent="0.3">
      <c r="A3627" t="str">
        <f>"20200111160527593"</f>
        <v>20200111160527593</v>
      </c>
      <c r="B3627" t="str">
        <f>"1578729927585658"</f>
        <v>1578729927585658</v>
      </c>
      <c r="C3627" t="s">
        <v>40</v>
      </c>
      <c r="D3627">
        <v>5.4047720000000004</v>
      </c>
      <c r="E3627">
        <v>0.57811429999999997</v>
      </c>
      <c r="F3627" t="s">
        <v>75</v>
      </c>
      <c r="G3627">
        <v>-195.79820000000001</v>
      </c>
      <c r="H3627" s="1">
        <v>-1.161755E-5</v>
      </c>
      <c r="I3627">
        <v>149.21440000000001</v>
      </c>
      <c r="J3627">
        <v>-191.28649999999999</v>
      </c>
      <c r="K3627">
        <v>1.105891</v>
      </c>
      <c r="L3627">
        <v>158.70150000000001</v>
      </c>
      <c r="M3627">
        <v>-7.2183289999999997E-2</v>
      </c>
      <c r="N3627">
        <v>0</v>
      </c>
      <c r="O3627">
        <v>-0.99729069999999997</v>
      </c>
      <c r="P3627">
        <v>-0.24251539999999999</v>
      </c>
      <c r="Q3627">
        <v>-4.6806189999999998E-2</v>
      </c>
      <c r="R3627">
        <v>-0.96901789999999999</v>
      </c>
      <c r="S3627">
        <v>-1.2917940000000001</v>
      </c>
      <c r="T3627">
        <v>-0.31533810000000001</v>
      </c>
      <c r="U3627">
        <v>-2.7607270000000002</v>
      </c>
      <c r="V3627">
        <v>0.1715632</v>
      </c>
      <c r="W3627">
        <v>-3.4712960000000001E-2</v>
      </c>
      <c r="X3627">
        <v>0.98456140000000003</v>
      </c>
      <c r="Y3627">
        <v>0.3550314</v>
      </c>
      <c r="Z3627">
        <v>0.104008199999999</v>
      </c>
      <c r="AA3627">
        <v>0.92905059999999995</v>
      </c>
      <c r="AB3627">
        <v>25</v>
      </c>
      <c r="AC3627">
        <v>-4.51170000000001</v>
      </c>
      <c r="AD3627">
        <v>-1.10590261755</v>
      </c>
      <c r="AE3627">
        <v>-9.4870999999999892</v>
      </c>
      <c r="AF3627">
        <v>3.7732343018755001</v>
      </c>
      <c r="AG3627">
        <v>-1.10590261755</v>
      </c>
      <c r="AH3627">
        <v>9.6807661441517894</v>
      </c>
      <c r="AI3627">
        <v>96.075570051315793</v>
      </c>
      <c r="AJ3627">
        <v>68.705850363202302</v>
      </c>
      <c r="AK3627">
        <v>10.448806191814899</v>
      </c>
      <c r="AL3627">
        <v>91.989305683143698</v>
      </c>
      <c r="AM3627">
        <v>80.115264047051795</v>
      </c>
      <c r="AN3627">
        <v>1.0000000357780801</v>
      </c>
    </row>
    <row r="3628" spans="1:40" x14ac:dyDescent="0.3">
      <c r="A3628" t="str">
        <f>"20200111160527605"</f>
        <v>20200111160527605</v>
      </c>
      <c r="B3628" t="str">
        <f>"1578729927595419"</f>
        <v>1578729927595419</v>
      </c>
      <c r="C3628" t="s">
        <v>40</v>
      </c>
      <c r="D3628">
        <v>5.4470330000000002</v>
      </c>
      <c r="E3628">
        <v>0.57856059999999998</v>
      </c>
      <c r="F3628" t="s">
        <v>75</v>
      </c>
      <c r="G3628">
        <v>-195.983</v>
      </c>
      <c r="H3628" s="1">
        <v>-1.15629399999999E-5</v>
      </c>
      <c r="I3628">
        <v>148.88310000000001</v>
      </c>
      <c r="J3628">
        <v>-191.2997</v>
      </c>
      <c r="K3628">
        <v>1.105858</v>
      </c>
      <c r="L3628">
        <v>158.56970000000001</v>
      </c>
      <c r="M3628">
        <v>-7.5731839999999995E-2</v>
      </c>
      <c r="N3628">
        <v>0</v>
      </c>
      <c r="O3628">
        <v>-0.99702769999999996</v>
      </c>
      <c r="P3628">
        <v>-0.2460175</v>
      </c>
      <c r="Q3628">
        <v>-4.6156599999999999E-2</v>
      </c>
      <c r="R3628">
        <v>-0.96816610000000003</v>
      </c>
      <c r="S3628">
        <v>-1.3161620000000001</v>
      </c>
      <c r="T3628">
        <v>-0.30992350000000002</v>
      </c>
      <c r="U3628">
        <v>-2.7515559999999999</v>
      </c>
      <c r="V3628">
        <v>0.1716211</v>
      </c>
      <c r="W3628">
        <v>-3.4073609999999997E-2</v>
      </c>
      <c r="X3628">
        <v>0.98457360000000005</v>
      </c>
      <c r="Y3628">
        <v>0.359689799999999</v>
      </c>
      <c r="Z3628">
        <v>0.10222920000000001</v>
      </c>
      <c r="AA3628">
        <v>0.92745480000000002</v>
      </c>
      <c r="AB3628">
        <v>25</v>
      </c>
      <c r="AC3628">
        <v>-4.6833</v>
      </c>
      <c r="AD3628">
        <v>-1.1058695629399999</v>
      </c>
      <c r="AE3628">
        <v>-9.6866000000000003</v>
      </c>
      <c r="AF3628">
        <v>3.89504236107198</v>
      </c>
      <c r="AG3628">
        <v>-1.1058695629399999</v>
      </c>
      <c r="AH3628">
        <v>9.9088086064410703</v>
      </c>
      <c r="AI3628">
        <v>95.929936325655007</v>
      </c>
      <c r="AJ3628">
        <v>68.540762833524894</v>
      </c>
      <c r="AK3628">
        <v>10.704148283906701</v>
      </c>
      <c r="AL3628">
        <v>91.952652024861393</v>
      </c>
      <c r="AM3628">
        <v>80.112114035587197</v>
      </c>
      <c r="AN3628">
        <v>0.99999999334030099</v>
      </c>
    </row>
    <row r="3629" spans="1:40" x14ac:dyDescent="0.3">
      <c r="A3629" t="str">
        <f>"20200111160527618"</f>
        <v>20200111160527618</v>
      </c>
      <c r="B3629" t="str">
        <f>"1578729927614939"</f>
        <v>1578729927614939</v>
      </c>
      <c r="C3629" t="s">
        <v>40</v>
      </c>
      <c r="D3629">
        <v>5.4151189999999998</v>
      </c>
      <c r="E3629">
        <v>0.57938529999999999</v>
      </c>
      <c r="F3629" t="s">
        <v>75</v>
      </c>
      <c r="G3629">
        <v>-196.06200000000001</v>
      </c>
      <c r="H3629" s="1">
        <v>-1.153754E-5</v>
      </c>
      <c r="I3629">
        <v>148.7336</v>
      </c>
      <c r="J3629">
        <v>-191.31530000000001</v>
      </c>
      <c r="K3629">
        <v>1.1058250000000001</v>
      </c>
      <c r="L3629">
        <v>158.42250000000001</v>
      </c>
      <c r="M3629">
        <v>-7.9749189999999998E-2</v>
      </c>
      <c r="N3629">
        <v>0</v>
      </c>
      <c r="O3629">
        <v>-0.99671399999999999</v>
      </c>
      <c r="P3629">
        <v>-0.25004310000000002</v>
      </c>
      <c r="Q3629">
        <v>-4.6010820000000001E-2</v>
      </c>
      <c r="R3629">
        <v>-0.96714120000000003</v>
      </c>
      <c r="S3629">
        <v>-1.3295589999999999</v>
      </c>
      <c r="T3629">
        <v>-0.30874010000000002</v>
      </c>
      <c r="U3629">
        <v>-2.7460779999999998</v>
      </c>
      <c r="V3629">
        <v>0.17174739999999999</v>
      </c>
      <c r="W3629">
        <v>-3.3938009999999998E-2</v>
      </c>
      <c r="X3629">
        <v>0.98455630000000005</v>
      </c>
      <c r="Y3629">
        <v>0.36034179999999999</v>
      </c>
      <c r="Z3629">
        <v>0.1018609</v>
      </c>
      <c r="AA3629">
        <v>0.92724220000000002</v>
      </c>
      <c r="AB3629">
        <v>25</v>
      </c>
      <c r="AC3629">
        <v>-4.7466999999999997</v>
      </c>
      <c r="AD3629">
        <v>-1.1058365375399899</v>
      </c>
      <c r="AE3629">
        <v>-9.6889000000000092</v>
      </c>
      <c r="AF3629">
        <v>3.9176627731542499</v>
      </c>
      <c r="AG3629">
        <v>-1.1058365375399899</v>
      </c>
      <c r="AH3629">
        <v>9.9322767081284997</v>
      </c>
      <c r="AI3629">
        <v>95.9131490420624</v>
      </c>
      <c r="AJ3629">
        <v>68.473862591846796</v>
      </c>
      <c r="AK3629">
        <v>10.7341080979627</v>
      </c>
      <c r="AL3629">
        <v>91.944878144039393</v>
      </c>
      <c r="AM3629">
        <v>80.104810651905893</v>
      </c>
      <c r="AN3629">
        <v>1.0000000328995999</v>
      </c>
    </row>
    <row r="3630" spans="1:40" x14ac:dyDescent="0.3">
      <c r="A3630" t="str">
        <f>"20200111160527631"</f>
        <v>20200111160527631</v>
      </c>
      <c r="B3630" t="str">
        <f>"1578729927625675"</f>
        <v>1578729927625675</v>
      </c>
      <c r="C3630" t="s">
        <v>40</v>
      </c>
      <c r="D3630">
        <v>5.3870459999999998</v>
      </c>
      <c r="E3630">
        <v>0.57976689999999997</v>
      </c>
      <c r="F3630" t="s">
        <v>75</v>
      </c>
      <c r="G3630">
        <v>-196.1285</v>
      </c>
      <c r="H3630" s="1">
        <v>-1.1524179999999999E-5</v>
      </c>
      <c r="I3630">
        <v>148.63820000000001</v>
      </c>
      <c r="J3630">
        <v>-191.33170000000001</v>
      </c>
      <c r="K3630">
        <v>1.105793</v>
      </c>
      <c r="L3630">
        <v>158.274</v>
      </c>
      <c r="M3630">
        <v>-8.3830160000000001E-2</v>
      </c>
      <c r="N3630">
        <v>0</v>
      </c>
      <c r="O3630">
        <v>-0.99637900000000001</v>
      </c>
      <c r="P3630">
        <v>-0.25409619999999999</v>
      </c>
      <c r="Q3630">
        <v>-4.5703340000000002E-2</v>
      </c>
      <c r="R3630">
        <v>-0.96609880000000004</v>
      </c>
      <c r="S3630">
        <v>-1.3473360000000001</v>
      </c>
      <c r="T3630">
        <v>-0.30955339999999998</v>
      </c>
      <c r="U3630">
        <v>-2.7388759999999999</v>
      </c>
      <c r="V3630">
        <v>0.17184349999999901</v>
      </c>
      <c r="W3630">
        <v>-3.3638790000000002E-2</v>
      </c>
      <c r="X3630">
        <v>0.98454980000000003</v>
      </c>
      <c r="Y3630">
        <v>0.36232619999999999</v>
      </c>
      <c r="Z3630">
        <v>0.1021355</v>
      </c>
      <c r="AA3630">
        <v>0.9264384</v>
      </c>
      <c r="AB3630">
        <v>25</v>
      </c>
      <c r="AC3630">
        <v>-4.7967999999999904</v>
      </c>
      <c r="AD3630">
        <v>-1.1058045241800001</v>
      </c>
      <c r="AE3630">
        <v>-9.6357999999999802</v>
      </c>
      <c r="AF3630">
        <v>3.93057550533839</v>
      </c>
      <c r="AG3630">
        <v>-1.1058045241800001</v>
      </c>
      <c r="AH3630">
        <v>9.8995495188683904</v>
      </c>
      <c r="AI3630">
        <v>95.927133376575696</v>
      </c>
      <c r="AJ3630">
        <v>68.344650802679396</v>
      </c>
      <c r="AK3630">
        <v>10.7085623743521</v>
      </c>
      <c r="AL3630">
        <v>91.927724307125899</v>
      </c>
      <c r="AM3630">
        <v>80.099319330849696</v>
      </c>
      <c r="AN3630">
        <v>1.0000000326824701</v>
      </c>
    </row>
    <row r="3631" spans="1:40" x14ac:dyDescent="0.3">
      <c r="A3631" t="str">
        <f>"20200111160527648"</f>
        <v>20200111160527648</v>
      </c>
      <c r="B3631" t="str">
        <f>"1578729927645195"</f>
        <v>1578729927645195</v>
      </c>
      <c r="C3631" t="s">
        <v>40</v>
      </c>
      <c r="D3631">
        <v>6.1970419999999997</v>
      </c>
      <c r="E3631">
        <v>0.58023269999999905</v>
      </c>
      <c r="F3631" t="s">
        <v>75</v>
      </c>
      <c r="G3631">
        <v>-196.19560000000001</v>
      </c>
      <c r="H3631" s="1">
        <v>-1.1502990000000001E-5</v>
      </c>
      <c r="I3631">
        <v>148.5127</v>
      </c>
      <c r="J3631">
        <v>-191.35140000000001</v>
      </c>
      <c r="K3631">
        <v>1.105766</v>
      </c>
      <c r="L3631">
        <v>158.10159999999999</v>
      </c>
      <c r="M3631">
        <v>-8.8601979999999997E-2</v>
      </c>
      <c r="N3631">
        <v>0</v>
      </c>
      <c r="O3631">
        <v>-0.99596600000000002</v>
      </c>
      <c r="P3631">
        <v>-0.2587489</v>
      </c>
      <c r="Q3631">
        <v>-4.6192629999999998E-2</v>
      </c>
      <c r="R3631">
        <v>-0.96483949999999996</v>
      </c>
      <c r="S3631">
        <v>-1.361572</v>
      </c>
      <c r="T3631">
        <v>-0.30954959999999998</v>
      </c>
      <c r="U3631">
        <v>-2.7324830000000002</v>
      </c>
      <c r="V3631">
        <v>0.17186609999999999</v>
      </c>
      <c r="W3631">
        <v>-3.4135409999999998E-2</v>
      </c>
      <c r="X3631">
        <v>0.98452870000000003</v>
      </c>
      <c r="Y3631">
        <v>0.36259730000000001</v>
      </c>
      <c r="Z3631">
        <v>0.1021652</v>
      </c>
      <c r="AA3631">
        <v>0.92632899999999996</v>
      </c>
      <c r="AB3631">
        <v>25</v>
      </c>
      <c r="AC3631">
        <v>-4.8441999999999998</v>
      </c>
      <c r="AD3631">
        <v>-1.1057775029899899</v>
      </c>
      <c r="AE3631">
        <v>-9.58889999999999</v>
      </c>
      <c r="AF3631">
        <v>3.9337869175148299</v>
      </c>
      <c r="AG3631">
        <v>-1.1057775029899899</v>
      </c>
      <c r="AH3631">
        <v>9.8758002602601191</v>
      </c>
      <c r="AI3631">
        <v>95.938548899009305</v>
      </c>
      <c r="AJ3631">
        <v>68.281327441820295</v>
      </c>
      <c r="AK3631">
        <v>10.687789957661099</v>
      </c>
      <c r="AL3631">
        <v>91.956195007173093</v>
      </c>
      <c r="AM3631">
        <v>80.097834999219302</v>
      </c>
      <c r="AN3631">
        <v>0.99999997183438305</v>
      </c>
    </row>
    <row r="3632" spans="1:40" x14ac:dyDescent="0.3">
      <c r="A3632" t="str">
        <f>"20200111160527660"</f>
        <v>20200111160527660</v>
      </c>
      <c r="B3632" t="str">
        <f>"1578729927654955"</f>
        <v>1578729927654955</v>
      </c>
      <c r="C3632" t="s">
        <v>40</v>
      </c>
      <c r="D3632">
        <v>5.2731440000000003</v>
      </c>
      <c r="E3632">
        <v>0.58067429999999998</v>
      </c>
      <c r="F3632" t="s">
        <v>75</v>
      </c>
      <c r="G3632">
        <v>-196.28059999999999</v>
      </c>
      <c r="H3632" s="1">
        <v>-1.14777E-5</v>
      </c>
      <c r="I3632">
        <v>148.3596</v>
      </c>
      <c r="J3632">
        <v>-191.3691</v>
      </c>
      <c r="K3632">
        <v>1.105745</v>
      </c>
      <c r="L3632">
        <v>157.95269999999999</v>
      </c>
      <c r="M3632">
        <v>-9.2751319999999998E-2</v>
      </c>
      <c r="N3632">
        <v>0</v>
      </c>
      <c r="O3632">
        <v>-0.99558820000000003</v>
      </c>
      <c r="P3632">
        <v>-0.26289400000000002</v>
      </c>
      <c r="Q3632">
        <v>-4.6478560000000002E-2</v>
      </c>
      <c r="R3632">
        <v>-0.96370480000000003</v>
      </c>
      <c r="S3632">
        <v>-1.3786769999999999</v>
      </c>
      <c r="T3632">
        <v>-0.30928149999999999</v>
      </c>
      <c r="U3632">
        <v>-2.724777</v>
      </c>
      <c r="V3632">
        <v>0.17199200000000001</v>
      </c>
      <c r="W3632">
        <v>-3.4427720000000002E-2</v>
      </c>
      <c r="X3632">
        <v>0.9844965</v>
      </c>
      <c r="Y3632">
        <v>0.36440679999999998</v>
      </c>
      <c r="Z3632">
        <v>0.10210180000000001</v>
      </c>
      <c r="AA3632">
        <v>0.9256257</v>
      </c>
      <c r="AB3632">
        <v>24</v>
      </c>
      <c r="AC3632">
        <v>-4.9114999999999798</v>
      </c>
      <c r="AD3632">
        <v>-1.1057564777</v>
      </c>
      <c r="AE3632">
        <v>-9.5930999999999909</v>
      </c>
      <c r="AF3632">
        <v>3.9587879290371202</v>
      </c>
      <c r="AG3632">
        <v>-1.1057564777</v>
      </c>
      <c r="AH3632">
        <v>9.9030844554102302</v>
      </c>
      <c r="AI3632">
        <v>95.919304169079993</v>
      </c>
      <c r="AJ3632">
        <v>68.210790561000394</v>
      </c>
      <c r="AK3632">
        <v>10.7222097063083</v>
      </c>
      <c r="AL3632">
        <v>91.972953055393404</v>
      </c>
      <c r="AM3632">
        <v>80.090407253356105</v>
      </c>
      <c r="AN3632">
        <v>0.99999993724032199</v>
      </c>
    </row>
    <row r="3633" spans="1:40" x14ac:dyDescent="0.3">
      <c r="A3633" t="str">
        <f>"20200111160527674"</f>
        <v>20200111160527674</v>
      </c>
      <c r="B3633" t="str">
        <f>"1578729927664715"</f>
        <v>1578729927664715</v>
      </c>
      <c r="C3633" t="s">
        <v>40</v>
      </c>
      <c r="D3633">
        <v>5.2458650000000002</v>
      </c>
      <c r="E3633">
        <v>0.58103749999999998</v>
      </c>
      <c r="F3633" t="s">
        <v>75</v>
      </c>
      <c r="G3633">
        <v>-196.3708</v>
      </c>
      <c r="H3633" s="1">
        <v>-1.1452089999999899E-5</v>
      </c>
      <c r="I3633">
        <v>148.20189999999999</v>
      </c>
      <c r="J3633">
        <v>-191.3869</v>
      </c>
      <c r="K3633">
        <v>1.105729</v>
      </c>
      <c r="L3633">
        <v>157.80969999999999</v>
      </c>
      <c r="M3633">
        <v>-9.6763920000000003E-2</v>
      </c>
      <c r="N3633">
        <v>0</v>
      </c>
      <c r="O3633">
        <v>-0.99520609999999998</v>
      </c>
      <c r="P3633">
        <v>-0.26692670000000002</v>
      </c>
      <c r="Q3633">
        <v>-4.6901909999999998E-2</v>
      </c>
      <c r="R3633">
        <v>-0.96257519999999996</v>
      </c>
      <c r="S3633">
        <v>-1.394104</v>
      </c>
      <c r="T3633">
        <v>-0.3082027</v>
      </c>
      <c r="U3633">
        <v>-2.717819</v>
      </c>
      <c r="V3633">
        <v>0.172141299999999</v>
      </c>
      <c r="W3633">
        <v>-3.4856280000000003E-2</v>
      </c>
      <c r="X3633">
        <v>0.98445539999999998</v>
      </c>
      <c r="Y3633">
        <v>0.36579479999999998</v>
      </c>
      <c r="Z3633">
        <v>0.10176839999999999</v>
      </c>
      <c r="AA3633">
        <v>0.92511480000000001</v>
      </c>
      <c r="AB3633">
        <v>24</v>
      </c>
      <c r="AC3633">
        <v>-4.9839000000000002</v>
      </c>
      <c r="AD3633">
        <v>-1.10574045209</v>
      </c>
      <c r="AE3633">
        <v>-9.6077999999999903</v>
      </c>
      <c r="AF3633">
        <v>3.9890921611919699</v>
      </c>
      <c r="AG3633">
        <v>-1.10574045209</v>
      </c>
      <c r="AH3633">
        <v>9.94126028598758</v>
      </c>
      <c r="AI3633">
        <v>95.893591602174098</v>
      </c>
      <c r="AJ3633">
        <v>68.136074426510206</v>
      </c>
      <c r="AK3633">
        <v>10.768666319076999</v>
      </c>
      <c r="AL3633">
        <v>91.997522335906396</v>
      </c>
      <c r="AM3633">
        <v>80.081569991741702</v>
      </c>
      <c r="AN3633">
        <v>1.0000000110051399</v>
      </c>
    </row>
    <row r="3634" spans="1:40" x14ac:dyDescent="0.3">
      <c r="A3634" t="str">
        <f>"20200111160527687"</f>
        <v>20200111160527687</v>
      </c>
      <c r="B3634" t="str">
        <f>"1578729927675450"</f>
        <v>1578729927675450</v>
      </c>
      <c r="C3634" t="s">
        <v>40</v>
      </c>
      <c r="D3634">
        <v>5.2773750000000001</v>
      </c>
      <c r="E3634">
        <v>0.58138509999999999</v>
      </c>
      <c r="F3634" t="s">
        <v>75</v>
      </c>
      <c r="G3634">
        <v>-196.43459999999999</v>
      </c>
      <c r="H3634" s="1">
        <v>-1.143445E-5</v>
      </c>
      <c r="I3634">
        <v>148.09200000000001</v>
      </c>
      <c r="J3634">
        <v>-191.40479999999999</v>
      </c>
      <c r="K3634">
        <v>1.1057189999999999</v>
      </c>
      <c r="L3634">
        <v>157.66890000000001</v>
      </c>
      <c r="M3634">
        <v>-0.1007279</v>
      </c>
      <c r="N3634">
        <v>0</v>
      </c>
      <c r="O3634">
        <v>-0.99481249999999999</v>
      </c>
      <c r="P3634">
        <v>-0.27130989999999999</v>
      </c>
      <c r="Q3634">
        <v>-4.7204210000000003E-2</v>
      </c>
      <c r="R3634">
        <v>-0.96133389999999996</v>
      </c>
      <c r="S3634">
        <v>-1.4082490000000001</v>
      </c>
      <c r="T3634">
        <v>-0.30848500000000001</v>
      </c>
      <c r="U3634">
        <v>-2.71109</v>
      </c>
      <c r="V3634">
        <v>0.17270170000000001</v>
      </c>
      <c r="W3634">
        <v>-3.5168669999999999E-2</v>
      </c>
      <c r="X3634">
        <v>0.98434619999999995</v>
      </c>
      <c r="Y3634">
        <v>0.36682599999999999</v>
      </c>
      <c r="Z3634">
        <v>0.101886</v>
      </c>
      <c r="AA3634">
        <v>0.9246934</v>
      </c>
      <c r="AB3634">
        <v>24</v>
      </c>
      <c r="AC3634">
        <v>-5.0297999999999901</v>
      </c>
      <c r="AD3634">
        <v>-1.1057304344499901</v>
      </c>
      <c r="AE3634">
        <v>-9.5768999999999895</v>
      </c>
      <c r="AF3634">
        <v>3.99768506890543</v>
      </c>
      <c r="AG3634">
        <v>-1.1057304344499901</v>
      </c>
      <c r="AH3634">
        <v>9.93110937211544</v>
      </c>
      <c r="AI3634">
        <v>95.896935530239006</v>
      </c>
      <c r="AJ3634">
        <v>68.073161563532906</v>
      </c>
      <c r="AK3634">
        <v>10.7624838705912</v>
      </c>
      <c r="AL3634">
        <v>92.015431812117797</v>
      </c>
      <c r="AM3634">
        <v>80.048843396863305</v>
      </c>
      <c r="AN3634">
        <v>1.0000000769934401</v>
      </c>
    </row>
    <row r="3635" spans="1:40" x14ac:dyDescent="0.3">
      <c r="A3635" t="str">
        <f>"20200111160527703"</f>
        <v>20200111160527703</v>
      </c>
      <c r="B3635" t="str">
        <f>"1578729927694973"</f>
        <v>1578729927694973</v>
      </c>
      <c r="C3635" t="s">
        <v>40</v>
      </c>
      <c r="D3635">
        <v>5.2982199999999997</v>
      </c>
      <c r="E3635">
        <v>0.58198890000000003</v>
      </c>
      <c r="F3635" t="s">
        <v>75</v>
      </c>
      <c r="G3635">
        <v>-196.5093</v>
      </c>
      <c r="H3635" s="1">
        <v>-1.141628E-5</v>
      </c>
      <c r="I3635">
        <v>147.97290000000001</v>
      </c>
      <c r="J3635">
        <v>-191.42949999999999</v>
      </c>
      <c r="K3635">
        <v>1.1057049999999999</v>
      </c>
      <c r="L3635">
        <v>157.48240000000001</v>
      </c>
      <c r="M3635">
        <v>-0.1059977</v>
      </c>
      <c r="N3635">
        <v>0</v>
      </c>
      <c r="O3635">
        <v>-0.99426479999999995</v>
      </c>
      <c r="P3635">
        <v>-0.27774690000000002</v>
      </c>
      <c r="Q3635">
        <v>-4.7683610000000001E-2</v>
      </c>
      <c r="R3635">
        <v>-0.95947039999999995</v>
      </c>
      <c r="S3635">
        <v>-1.4234309999999999</v>
      </c>
      <c r="T3635">
        <v>-0.30834309999999998</v>
      </c>
      <c r="U3635">
        <v>-2.7037960000000001</v>
      </c>
      <c r="V3635">
        <v>0.17407819999999999</v>
      </c>
      <c r="W3635">
        <v>-3.5668949999999998E-2</v>
      </c>
      <c r="X3635">
        <v>0.9840856</v>
      </c>
      <c r="Y3635">
        <v>0.36699700000000002</v>
      </c>
      <c r="Z3635">
        <v>0.1018679</v>
      </c>
      <c r="AA3635">
        <v>0.92462750000000005</v>
      </c>
      <c r="AB3635">
        <v>24</v>
      </c>
      <c r="AC3635">
        <v>-5.0797999999999996</v>
      </c>
      <c r="AD3635">
        <v>-1.1057164162799999</v>
      </c>
      <c r="AE3635">
        <v>-9.5094999999999992</v>
      </c>
      <c r="AF3635">
        <v>4.00100528804359</v>
      </c>
      <c r="AG3635">
        <v>-1.1057164162799999</v>
      </c>
      <c r="AH3635">
        <v>9.8903863983801497</v>
      </c>
      <c r="AI3635">
        <v>95.916904165565498</v>
      </c>
      <c r="AJ3635">
        <v>67.974955346296696</v>
      </c>
      <c r="AK3635">
        <v>10.7261547265293</v>
      </c>
      <c r="AL3635">
        <v>92.044113935526298</v>
      </c>
      <c r="AM3635">
        <v>79.968530899123095</v>
      </c>
      <c r="AN3635">
        <v>0.99999998091835096</v>
      </c>
    </row>
    <row r="3636" spans="1:40" x14ac:dyDescent="0.3">
      <c r="A3636" t="str">
        <f>"20200111160527717"</f>
        <v>20200111160527717</v>
      </c>
      <c r="B3636" t="str">
        <f>"1578729927704732"</f>
        <v>1578729927704732</v>
      </c>
      <c r="C3636" t="s">
        <v>40</v>
      </c>
      <c r="D3636">
        <v>5.3142239999999896</v>
      </c>
      <c r="E3636">
        <v>0.58225260000000001</v>
      </c>
      <c r="F3636" t="s">
        <v>75</v>
      </c>
      <c r="G3636">
        <v>-196.60589999999999</v>
      </c>
      <c r="H3636" s="1">
        <v>-1.1399369999999999E-5</v>
      </c>
      <c r="I3636">
        <v>147.84379999999999</v>
      </c>
      <c r="J3636">
        <v>-191.44929999999999</v>
      </c>
      <c r="K3636">
        <v>1.105701</v>
      </c>
      <c r="L3636">
        <v>157.33930000000001</v>
      </c>
      <c r="M3636">
        <v>-0.11006249999999999</v>
      </c>
      <c r="N3636">
        <v>0</v>
      </c>
      <c r="O3636">
        <v>-0.99382309999999996</v>
      </c>
      <c r="P3636">
        <v>-0.282991099999999</v>
      </c>
      <c r="Q3636">
        <v>-4.7722769999999998E-2</v>
      </c>
      <c r="R3636">
        <v>-0.95793470000000003</v>
      </c>
      <c r="S3636">
        <v>-1.4461520000000001</v>
      </c>
      <c r="T3636">
        <v>-0.30890509999999999</v>
      </c>
      <c r="U3636">
        <v>-2.6927490000000001</v>
      </c>
      <c r="V3636">
        <v>0.17543520000000001</v>
      </c>
      <c r="W3636">
        <v>-3.5726899999999999E-2</v>
      </c>
      <c r="X3636">
        <v>0.98384249999999995</v>
      </c>
      <c r="Y3636">
        <v>0.3708226</v>
      </c>
      <c r="Z3636">
        <v>0.10207910000000001</v>
      </c>
      <c r="AA3636">
        <v>0.92307660000000002</v>
      </c>
      <c r="AB3636">
        <v>24</v>
      </c>
      <c r="AC3636">
        <v>-5.1565999999999903</v>
      </c>
      <c r="AD3636">
        <v>-1.10571239937</v>
      </c>
      <c r="AE3636">
        <v>-9.4955000000000194</v>
      </c>
      <c r="AF3636">
        <v>4.0377800202863403</v>
      </c>
      <c r="AG3636">
        <v>-1.10571239937</v>
      </c>
      <c r="AH3636">
        <v>9.9017197766101894</v>
      </c>
      <c r="AI3636">
        <v>95.9035107743547</v>
      </c>
      <c r="AJ3636">
        <v>67.815066066320298</v>
      </c>
      <c r="AK3636">
        <v>10.7503638048606</v>
      </c>
      <c r="AL3636">
        <v>92.047436319303799</v>
      </c>
      <c r="AM3636">
        <v>79.8894924613748</v>
      </c>
      <c r="AN3636">
        <v>0.99999999279444995</v>
      </c>
    </row>
    <row r="3637" spans="1:40" x14ac:dyDescent="0.3">
      <c r="A3637" t="str">
        <f>"20200111160527731"</f>
        <v>20200111160527731</v>
      </c>
      <c r="B3637" t="str">
        <f>"1578729927725227"</f>
        <v>1578729927725227</v>
      </c>
      <c r="C3637" t="s">
        <v>40</v>
      </c>
      <c r="D3637">
        <v>5.6854209999999998</v>
      </c>
      <c r="E3637">
        <v>0.5825302</v>
      </c>
      <c r="F3637" t="s">
        <v>75</v>
      </c>
      <c r="G3637">
        <v>-196.6925</v>
      </c>
      <c r="H3637" s="1">
        <v>-1.13818E-5</v>
      </c>
      <c r="I3637">
        <v>147.71889999999999</v>
      </c>
      <c r="J3637">
        <v>-191.46969999999999</v>
      </c>
      <c r="K3637">
        <v>1.1056979999999901</v>
      </c>
      <c r="L3637">
        <v>157.19589999999999</v>
      </c>
      <c r="M3637">
        <v>-0.1141375</v>
      </c>
      <c r="N3637">
        <v>0</v>
      </c>
      <c r="O3637">
        <v>-0.99336340000000001</v>
      </c>
      <c r="P3637">
        <v>-0.28804689999999999</v>
      </c>
      <c r="Q3637">
        <v>-4.769847E-2</v>
      </c>
      <c r="R3637">
        <v>-0.95642799999999994</v>
      </c>
      <c r="S3637">
        <v>-1.462936</v>
      </c>
      <c r="T3637">
        <v>-0.30851099999999998</v>
      </c>
      <c r="U3637">
        <v>-2.6842190000000001</v>
      </c>
      <c r="V3637">
        <v>0.1765958</v>
      </c>
      <c r="W3637">
        <v>-3.5718060000000003E-2</v>
      </c>
      <c r="X3637">
        <v>0.98363520000000004</v>
      </c>
      <c r="Y3637">
        <v>0.37270550000000002</v>
      </c>
      <c r="Z3637">
        <v>0.10197920000000001</v>
      </c>
      <c r="AA3637">
        <v>0.92232910000000001</v>
      </c>
      <c r="AB3637">
        <v>24</v>
      </c>
      <c r="AC3637">
        <v>-5.2228000000000003</v>
      </c>
      <c r="AD3637">
        <v>-1.1057093817999999</v>
      </c>
      <c r="AE3637">
        <v>-9.4770000000000003</v>
      </c>
      <c r="AF3637">
        <v>4.06443336682036</v>
      </c>
      <c r="AG3637">
        <v>-1.1057093817999999</v>
      </c>
      <c r="AH3637">
        <v>9.9077814954723706</v>
      </c>
      <c r="AI3637">
        <v>95.894900617714299</v>
      </c>
      <c r="AJ3637">
        <v>67.695267542725105</v>
      </c>
      <c r="AK3637">
        <v>10.765980958201</v>
      </c>
      <c r="AL3637">
        <v>92.046929421802105</v>
      </c>
      <c r="AM3637">
        <v>79.821899426852198</v>
      </c>
      <c r="AN3637">
        <v>1.0000000315334201</v>
      </c>
    </row>
    <row r="3638" spans="1:40" x14ac:dyDescent="0.3">
      <c r="A3638" t="str">
        <f>"20200111160527742"</f>
        <v>20200111160527742</v>
      </c>
      <c r="B3638" t="str">
        <f>"1578729927734987"</f>
        <v>1578729927734987</v>
      </c>
      <c r="C3638" t="s">
        <v>40</v>
      </c>
      <c r="D3638">
        <v>6.3474440000000003</v>
      </c>
      <c r="E3638">
        <v>0.5825302</v>
      </c>
      <c r="F3638" t="s">
        <v>75</v>
      </c>
      <c r="G3638">
        <v>-196.8091</v>
      </c>
      <c r="H3638" s="1">
        <v>-1.1354669999999999E-5</v>
      </c>
      <c r="I3638">
        <v>147.5377</v>
      </c>
      <c r="J3638">
        <v>-191.4898</v>
      </c>
      <c r="K3638">
        <v>1.105699</v>
      </c>
      <c r="L3638">
        <v>157.05719999999999</v>
      </c>
      <c r="M3638">
        <v>-0.1180862</v>
      </c>
      <c r="N3638">
        <v>0</v>
      </c>
      <c r="O3638">
        <v>-0.99290140000000005</v>
      </c>
      <c r="P3638">
        <v>-0.29312300000000002</v>
      </c>
      <c r="Q3638">
        <v>-4.7598410000000001E-2</v>
      </c>
      <c r="R3638">
        <v>-0.95488930000000005</v>
      </c>
      <c r="S3638">
        <v>-1.479309</v>
      </c>
      <c r="T3638">
        <v>-0.30634139999999999</v>
      </c>
      <c r="U3638">
        <v>-2.6758579999999998</v>
      </c>
      <c r="V3638">
        <v>0.17790889999999901</v>
      </c>
      <c r="W3638">
        <v>-3.5634930000000002E-2</v>
      </c>
      <c r="X3638">
        <v>0.98340150000000004</v>
      </c>
      <c r="Y3638">
        <v>0.3745965</v>
      </c>
      <c r="Z3638">
        <v>0.1012941</v>
      </c>
      <c r="AA3638">
        <v>0.92163819999999996</v>
      </c>
      <c r="AB3638">
        <v>24</v>
      </c>
      <c r="AC3638">
        <v>-5.3192999999999904</v>
      </c>
      <c r="AD3638">
        <v>-1.10571035467</v>
      </c>
      <c r="AE3638">
        <v>-9.5194999999999901</v>
      </c>
      <c r="AF3638">
        <v>4.1155272667248397</v>
      </c>
      <c r="AG3638">
        <v>-1.10571035467</v>
      </c>
      <c r="AH3638">
        <v>9.9784906721863091</v>
      </c>
      <c r="AI3638">
        <v>95.848899794689999</v>
      </c>
      <c r="AJ3638">
        <v>67.586797433747407</v>
      </c>
      <c r="AK3638">
        <v>10.850365715794499</v>
      </c>
      <c r="AL3638">
        <v>92.042163520383895</v>
      </c>
      <c r="AM3638">
        <v>79.745433574452207</v>
      </c>
      <c r="AN3638">
        <v>0.99999996756878196</v>
      </c>
    </row>
    <row r="3639" spans="1:40" x14ac:dyDescent="0.3">
      <c r="A3639" t="str">
        <f>"20200111160527761"</f>
        <v>20200111160527761</v>
      </c>
      <c r="B3639" t="str">
        <f>"1578729927755483"</f>
        <v>1578729927755483</v>
      </c>
      <c r="C3639" t="s">
        <v>40</v>
      </c>
      <c r="D3639">
        <v>5.270651</v>
      </c>
      <c r="E3639">
        <v>0.58294389999999996</v>
      </c>
      <c r="F3639" t="s">
        <v>75</v>
      </c>
      <c r="G3639">
        <v>-196.8852</v>
      </c>
      <c r="H3639" s="1">
        <v>-1.13370899999999E-5</v>
      </c>
      <c r="I3639">
        <v>147.41980000000001</v>
      </c>
      <c r="J3639">
        <v>-191.5187</v>
      </c>
      <c r="K3639">
        <v>1.105702</v>
      </c>
      <c r="L3639">
        <v>156.8663</v>
      </c>
      <c r="M3639">
        <v>-0.1235269</v>
      </c>
      <c r="N3639">
        <v>0</v>
      </c>
      <c r="O3639">
        <v>-0.99223939999999999</v>
      </c>
      <c r="P3639">
        <v>-0.3009095</v>
      </c>
      <c r="Q3639">
        <v>-4.702286E-2</v>
      </c>
      <c r="R3639">
        <v>-0.95249300000000003</v>
      </c>
      <c r="S3639">
        <v>-1.493652</v>
      </c>
      <c r="T3639">
        <v>-0.30609920000000002</v>
      </c>
      <c r="U3639">
        <v>-2.6679689999999998</v>
      </c>
      <c r="V3639">
        <v>0.1805485</v>
      </c>
      <c r="W3639">
        <v>-3.5092489999999997E-2</v>
      </c>
      <c r="X3639">
        <v>0.98293980000000003</v>
      </c>
      <c r="Y3639">
        <v>0.37445529999999999</v>
      </c>
      <c r="Z3639">
        <v>0.1012513</v>
      </c>
      <c r="AA3639">
        <v>0.92170030000000003</v>
      </c>
      <c r="AB3639">
        <v>24</v>
      </c>
      <c r="AC3639">
        <v>-5.3665000000000003</v>
      </c>
      <c r="AD3639">
        <v>-1.1057133370900001</v>
      </c>
      <c r="AE3639">
        <v>-9.4464999999999808</v>
      </c>
      <c r="AF3639">
        <v>4.1157455718763503</v>
      </c>
      <c r="AG3639">
        <v>-1.1057133370900001</v>
      </c>
      <c r="AH3639">
        <v>9.9342131912505494</v>
      </c>
      <c r="AI3639">
        <v>95.870972502727298</v>
      </c>
      <c r="AJ3639">
        <v>67.495767743778103</v>
      </c>
      <c r="AK3639">
        <v>10.809743536525501</v>
      </c>
      <c r="AL3639">
        <v>92.011064585454605</v>
      </c>
      <c r="AM3639">
        <v>79.5918073195175</v>
      </c>
      <c r="AN3639">
        <v>0.99999994706534301</v>
      </c>
    </row>
    <row r="3640" spans="1:40" x14ac:dyDescent="0.3">
      <c r="A3640" t="str">
        <f>"20200111160527775"</f>
        <v>20200111160527775</v>
      </c>
      <c r="B3640" t="str">
        <f>"1578729927765243"</f>
        <v>1578729927765243</v>
      </c>
      <c r="C3640" t="s">
        <v>40</v>
      </c>
      <c r="D3640">
        <v>5.2871059999999996</v>
      </c>
      <c r="E3640">
        <v>0.58317200000000002</v>
      </c>
      <c r="F3640" t="s">
        <v>75</v>
      </c>
      <c r="G3640">
        <v>-197.0727</v>
      </c>
      <c r="H3640" s="1">
        <v>-1.1301510000000001E-5</v>
      </c>
      <c r="I3640">
        <v>147.15880000000001</v>
      </c>
      <c r="J3640">
        <v>-191.5437</v>
      </c>
      <c r="K3640">
        <v>1.1057090000000001</v>
      </c>
      <c r="L3640">
        <v>156.70670000000001</v>
      </c>
      <c r="M3640">
        <v>-0.12808130000000001</v>
      </c>
      <c r="N3640">
        <v>0</v>
      </c>
      <c r="O3640">
        <v>-0.99166180000000004</v>
      </c>
      <c r="P3640">
        <v>-0.30632399999999999</v>
      </c>
      <c r="Q3640">
        <v>-4.6853890000000002E-2</v>
      </c>
      <c r="R3640">
        <v>-0.95077400000000001</v>
      </c>
      <c r="S3640">
        <v>-1.5189360000000001</v>
      </c>
      <c r="T3640">
        <v>-0.3023961</v>
      </c>
      <c r="U3640">
        <v>-2.6548609999999999</v>
      </c>
      <c r="V3640">
        <v>0.1816287</v>
      </c>
      <c r="W3640">
        <v>-3.4934750000000001E-2</v>
      </c>
      <c r="X3640">
        <v>0.98274649999999997</v>
      </c>
      <c r="Y3640">
        <v>0.3788357</v>
      </c>
      <c r="Z3640">
        <v>0.100066</v>
      </c>
      <c r="AA3640">
        <v>0.92003820000000003</v>
      </c>
      <c r="AB3640">
        <v>24</v>
      </c>
      <c r="AC3640">
        <v>-5.5289999999999901</v>
      </c>
      <c r="AD3640">
        <v>-1.1057203015099999</v>
      </c>
      <c r="AE3640">
        <v>-9.5478999999999896</v>
      </c>
      <c r="AF3640">
        <v>4.2180570445907399</v>
      </c>
      <c r="AG3640">
        <v>-1.1057203015099999</v>
      </c>
      <c r="AH3640">
        <v>10.076276409490401</v>
      </c>
      <c r="AI3640">
        <v>95.780008032407494</v>
      </c>
      <c r="AJ3640">
        <v>67.285196353000103</v>
      </c>
      <c r="AK3640">
        <v>10.9793428262827</v>
      </c>
      <c r="AL3640">
        <v>92.002020992771193</v>
      </c>
      <c r="AM3640">
        <v>79.528895525501895</v>
      </c>
      <c r="AN3640">
        <v>1.0000000523417401</v>
      </c>
    </row>
    <row r="3641" spans="1:40" x14ac:dyDescent="0.3">
      <c r="A3641" t="str">
        <f>"20200111160527794"</f>
        <v>20200111160527794</v>
      </c>
      <c r="B3641" t="str">
        <f>"1578729927784762"</f>
        <v>1578729927784762</v>
      </c>
      <c r="C3641" t="s">
        <v>40</v>
      </c>
      <c r="D3641">
        <v>5.4191099999999999</v>
      </c>
      <c r="E3641">
        <v>0.58352280000000001</v>
      </c>
      <c r="F3641" t="s">
        <v>75</v>
      </c>
      <c r="G3641">
        <v>-197.1865</v>
      </c>
      <c r="H3641" s="1">
        <v>-1.1276399999999999E-5</v>
      </c>
      <c r="I3641">
        <v>146.98699999999999</v>
      </c>
      <c r="J3641">
        <v>-191.57660000000001</v>
      </c>
      <c r="K3641">
        <v>1.105726</v>
      </c>
      <c r="L3641">
        <v>156.50319999999999</v>
      </c>
      <c r="M3641">
        <v>-0.1338868</v>
      </c>
      <c r="N3641">
        <v>0</v>
      </c>
      <c r="O3641">
        <v>-0.99089459999999996</v>
      </c>
      <c r="P3641">
        <v>-0.31397750000000002</v>
      </c>
      <c r="Q3641">
        <v>-4.6709420000000001E-2</v>
      </c>
      <c r="R3641">
        <v>-0.94828089999999998</v>
      </c>
      <c r="S3641">
        <v>-1.5359339999999999</v>
      </c>
      <c r="T3641">
        <v>-0.30097279999999998</v>
      </c>
      <c r="U3641">
        <v>-2.645645</v>
      </c>
      <c r="V3641">
        <v>0.18379419999999999</v>
      </c>
      <c r="W3641">
        <v>-3.4814829999999998E-2</v>
      </c>
      <c r="X3641">
        <v>0.982348</v>
      </c>
      <c r="Y3641">
        <v>0.37925700000000001</v>
      </c>
      <c r="Z3641">
        <v>9.962377E-2</v>
      </c>
      <c r="AA3641">
        <v>0.91991259999999997</v>
      </c>
      <c r="AB3641">
        <v>24</v>
      </c>
      <c r="AC3641">
        <v>-5.6098999999999801</v>
      </c>
      <c r="AD3641">
        <v>-1.1057372764</v>
      </c>
      <c r="AE3641">
        <v>-9.5161999999999907</v>
      </c>
      <c r="AF3641">
        <v>4.2426506224110296</v>
      </c>
      <c r="AG3641">
        <v>-1.1057372764</v>
      </c>
      <c r="AH3641">
        <v>10.080670222500601</v>
      </c>
      <c r="AI3641">
        <v>95.772973171474405</v>
      </c>
      <c r="AJ3641">
        <v>67.175239753015205</v>
      </c>
      <c r="AK3641">
        <v>10.992845462530401</v>
      </c>
      <c r="AL3641">
        <v>91.995146032029695</v>
      </c>
      <c r="AM3641">
        <v>79.402661582884093</v>
      </c>
      <c r="AN3641">
        <v>0.99999998672278401</v>
      </c>
    </row>
    <row r="3642" spans="1:40" x14ac:dyDescent="0.3">
      <c r="A3642" t="str">
        <f>"20200111160527808"</f>
        <v>20200111160527808</v>
      </c>
      <c r="B3642" t="str">
        <f>"1578729927805259"</f>
        <v>1578729927805259</v>
      </c>
      <c r="C3642" t="s">
        <v>40</v>
      </c>
      <c r="D3642">
        <v>7.2910309999999896</v>
      </c>
      <c r="E3642">
        <v>0.63408989999999998</v>
      </c>
      <c r="F3642" t="s">
        <v>75</v>
      </c>
      <c r="G3642">
        <v>-197.364</v>
      </c>
      <c r="H3642" s="1">
        <v>-1.123308E-5</v>
      </c>
      <c r="I3642">
        <v>146.7396</v>
      </c>
      <c r="J3642">
        <v>-191.6002</v>
      </c>
      <c r="K3642">
        <v>1.105734</v>
      </c>
      <c r="L3642">
        <v>156.36109999999999</v>
      </c>
      <c r="M3642">
        <v>-0.13793820000000001</v>
      </c>
      <c r="N3642">
        <v>0</v>
      </c>
      <c r="O3642">
        <v>-0.99033890000000002</v>
      </c>
      <c r="P3642">
        <v>-0.318920599999999</v>
      </c>
      <c r="Q3642">
        <v>-4.6478279999999997E-2</v>
      </c>
      <c r="R3642">
        <v>-0.94664130000000002</v>
      </c>
      <c r="S3642">
        <v>-1.560303</v>
      </c>
      <c r="T3642">
        <v>-0.29811019999999999</v>
      </c>
      <c r="U3642">
        <v>-2.6322939999999999</v>
      </c>
      <c r="V3642">
        <v>0.18490280000000001</v>
      </c>
      <c r="W3642">
        <v>-3.4594720000000002E-2</v>
      </c>
      <c r="X3642">
        <v>0.98214780000000002</v>
      </c>
      <c r="Y3642">
        <v>0.38386900000000002</v>
      </c>
      <c r="Z3642">
        <v>9.8717760000000002E-2</v>
      </c>
      <c r="AA3642">
        <v>0.91809549999999995</v>
      </c>
      <c r="AB3642">
        <v>24</v>
      </c>
      <c r="AC3642">
        <v>-5.7637999999999998</v>
      </c>
      <c r="AD3642">
        <v>-1.1057452330799999</v>
      </c>
      <c r="AE3642">
        <v>-9.6214999999999904</v>
      </c>
      <c r="AF3642">
        <v>4.3392099746633601</v>
      </c>
      <c r="AG3642">
        <v>-1.1057452330799999</v>
      </c>
      <c r="AH3642">
        <v>10.225251077441801</v>
      </c>
      <c r="AI3642">
        <v>95.684849655970297</v>
      </c>
      <c r="AJ3642">
        <v>67.005467880093804</v>
      </c>
      <c r="AK3642">
        <v>11.162758410062599</v>
      </c>
      <c r="AL3642">
        <v>91.982526889935698</v>
      </c>
      <c r="AM3642">
        <v>79.338078674939297</v>
      </c>
      <c r="AN3642">
        <v>1.00000007057227</v>
      </c>
    </row>
    <row r="3643" spans="1:40" x14ac:dyDescent="0.3">
      <c r="A3643" t="str">
        <f>"20200111160527820"</f>
        <v>20200111160527820</v>
      </c>
      <c r="B3643" t="str">
        <f>"1578729927815019"</f>
        <v>1578729927815019</v>
      </c>
      <c r="C3643" t="s">
        <v>40</v>
      </c>
      <c r="D3643">
        <v>5.3140599999999996</v>
      </c>
      <c r="E3643">
        <v>0.6422871</v>
      </c>
      <c r="F3643" t="s">
        <v>75</v>
      </c>
      <c r="G3643">
        <v>-204.53880000000001</v>
      </c>
      <c r="H3643" s="1">
        <v>-7.8574780000000004E-6</v>
      </c>
      <c r="I3643">
        <v>139.97810000000001</v>
      </c>
      <c r="J3643">
        <v>-191.6249</v>
      </c>
      <c r="K3643">
        <v>1.1057459999999999</v>
      </c>
      <c r="L3643">
        <v>156.21690000000001</v>
      </c>
      <c r="M3643">
        <v>-0.1420537</v>
      </c>
      <c r="N3643">
        <v>0</v>
      </c>
      <c r="O3643">
        <v>-0.98975679999999999</v>
      </c>
      <c r="P3643">
        <v>-0.3241039</v>
      </c>
      <c r="Q3643">
        <v>-4.5921969999999999E-2</v>
      </c>
      <c r="R3643">
        <v>-0.94490669999999999</v>
      </c>
      <c r="S3643">
        <v>-1.9716800000000001</v>
      </c>
      <c r="T3643">
        <v>-0.16850190000000001</v>
      </c>
      <c r="U3643">
        <v>-2.4965820000000001</v>
      </c>
      <c r="V3643">
        <v>0.18620500000000001</v>
      </c>
      <c r="W3643">
        <v>-3.405159E-2</v>
      </c>
      <c r="X3643">
        <v>0.98192069999999998</v>
      </c>
      <c r="Y3643">
        <v>0.5010867</v>
      </c>
      <c r="Z3643">
        <v>5.437757E-2</v>
      </c>
      <c r="AA3643">
        <v>0.86368699999999998</v>
      </c>
      <c r="AB3643">
        <v>24</v>
      </c>
      <c r="AC3643">
        <v>-12.9139</v>
      </c>
      <c r="AD3643">
        <v>-1.1057538574779999</v>
      </c>
      <c r="AE3643">
        <v>-16.238799999999902</v>
      </c>
      <c r="AF3643">
        <v>10.446226738774101</v>
      </c>
      <c r="AG3643">
        <v>-1.1057538574779999</v>
      </c>
      <c r="AH3643">
        <v>17.8580172975038</v>
      </c>
      <c r="AI3643">
        <v>93.059354054921002</v>
      </c>
      <c r="AJ3643">
        <v>59.674071149178701</v>
      </c>
      <c r="AK3643">
        <v>20.718473072819599</v>
      </c>
      <c r="AL3643">
        <v>91.951389554099705</v>
      </c>
      <c r="AM3643">
        <v>79.262304855030905</v>
      </c>
      <c r="AN3643">
        <v>1.0000000369474999</v>
      </c>
    </row>
    <row r="3644" spans="1:40" x14ac:dyDescent="0.3">
      <c r="A3644" t="str">
        <f>"20200111160527838"</f>
        <v>20200111160527838</v>
      </c>
      <c r="B3644" t="str">
        <f>"1578729927835515"</f>
        <v>1578729927835515</v>
      </c>
      <c r="C3644" t="s">
        <v>40</v>
      </c>
      <c r="D3644">
        <v>5.2655129999999897</v>
      </c>
      <c r="E3644">
        <v>0.64775309999999997</v>
      </c>
      <c r="F3644" t="s">
        <v>75</v>
      </c>
      <c r="G3644">
        <v>-205.4357</v>
      </c>
      <c r="H3644" s="1">
        <v>-7.3855599999999998E-6</v>
      </c>
      <c r="I3644">
        <v>139.59520000000001</v>
      </c>
      <c r="J3644">
        <v>-191.6576</v>
      </c>
      <c r="K3644">
        <v>1.1057650000000001</v>
      </c>
      <c r="L3644">
        <v>156.03110000000001</v>
      </c>
      <c r="M3644">
        <v>-0.14735000000000001</v>
      </c>
      <c r="N3644">
        <v>0</v>
      </c>
      <c r="O3644">
        <v>-0.98898229999999998</v>
      </c>
      <c r="P3644">
        <v>-0.33180779999999999</v>
      </c>
      <c r="Q3644">
        <v>-4.4709459999999999E-2</v>
      </c>
      <c r="R3644">
        <v>-0.94228679999999998</v>
      </c>
      <c r="S3644">
        <v>-2.0477750000000001</v>
      </c>
      <c r="T3644">
        <v>-0.16395399999999999</v>
      </c>
      <c r="U3644">
        <v>-2.4645540000000001</v>
      </c>
      <c r="V3644">
        <v>0.18896930000000001</v>
      </c>
      <c r="W3644">
        <v>-3.2870959999999998E-2</v>
      </c>
      <c r="X3644">
        <v>0.98143270000000005</v>
      </c>
      <c r="Y3644">
        <v>0.51786989999999999</v>
      </c>
      <c r="Z3644">
        <v>5.2646940000000003E-2</v>
      </c>
      <c r="AA3644">
        <v>0.85383779999999998</v>
      </c>
      <c r="AB3644">
        <v>24</v>
      </c>
      <c r="AC3644">
        <v>-13.778099999999901</v>
      </c>
      <c r="AD3644">
        <v>-1.1057723855599999</v>
      </c>
      <c r="AE3644">
        <v>-16.4359</v>
      </c>
      <c r="AF3644">
        <v>11.1758904983453</v>
      </c>
      <c r="AG3644">
        <v>-1.1057723855599999</v>
      </c>
      <c r="AH3644">
        <v>18.2383818204083</v>
      </c>
      <c r="AI3644">
        <v>92.959292148963499</v>
      </c>
      <c r="AJ3644">
        <v>58.5013800505509</v>
      </c>
      <c r="AK3644">
        <v>21.418726209246699</v>
      </c>
      <c r="AL3644">
        <v>91.8837065660056</v>
      </c>
      <c r="AM3644">
        <v>79.101398807514897</v>
      </c>
      <c r="AN3644">
        <v>1.00000002049155</v>
      </c>
    </row>
    <row r="3645" spans="1:40" x14ac:dyDescent="0.3">
      <c r="A3645" t="str">
        <f>"20200111160527851"</f>
        <v>20200111160527851</v>
      </c>
      <c r="B3645" t="str">
        <f>"1578729927845276"</f>
        <v>1578729927845276</v>
      </c>
      <c r="C3645" t="s">
        <v>40</v>
      </c>
      <c r="D3645">
        <v>5.2319559999999896</v>
      </c>
      <c r="E3645">
        <v>0.648698</v>
      </c>
      <c r="F3645" t="s">
        <v>41</v>
      </c>
      <c r="G3645">
        <v>-210.09610000000001</v>
      </c>
      <c r="H3645" s="1">
        <v>-5.5185119999999899E-6</v>
      </c>
      <c r="I3645">
        <v>134.7884</v>
      </c>
      <c r="J3645">
        <v>-191.68389999999999</v>
      </c>
      <c r="K3645">
        <v>1.1057779999999999</v>
      </c>
      <c r="L3645">
        <v>155.8861</v>
      </c>
      <c r="M3645">
        <v>-0.15148399999999901</v>
      </c>
      <c r="N3645">
        <v>0</v>
      </c>
      <c r="O3645">
        <v>-0.9883575</v>
      </c>
      <c r="P3645">
        <v>-0.33719719999999997</v>
      </c>
      <c r="Q3645">
        <v>-4.4127230000000003E-2</v>
      </c>
      <c r="R3645">
        <v>-0.9403994</v>
      </c>
      <c r="S3645">
        <v>-2.112549</v>
      </c>
      <c r="T3645">
        <v>-0.12669149999999901</v>
      </c>
      <c r="U3645">
        <v>-2.4338380000000002</v>
      </c>
      <c r="V3645">
        <v>0.19048660000000001</v>
      </c>
      <c r="W3645">
        <v>-3.2305140000000003E-2</v>
      </c>
      <c r="X3645">
        <v>0.98115810000000003</v>
      </c>
      <c r="Y3645">
        <v>0.53298690000000004</v>
      </c>
      <c r="Z3645">
        <v>4.0546690000000003E-2</v>
      </c>
      <c r="AA3645">
        <v>0.8451514</v>
      </c>
      <c r="AB3645">
        <v>24</v>
      </c>
      <c r="AC3645">
        <v>-18.412199999999999</v>
      </c>
      <c r="AD3645">
        <v>-1.105783518512</v>
      </c>
      <c r="AE3645">
        <v>-21.0977</v>
      </c>
      <c r="AF3645">
        <v>14.9800279648165</v>
      </c>
      <c r="AG3645">
        <v>-1.105783518512</v>
      </c>
      <c r="AH3645">
        <v>23.606800086904801</v>
      </c>
      <c r="AI3645">
        <v>92.264911950611506</v>
      </c>
      <c r="AJ3645">
        <v>57.602254434448298</v>
      </c>
      <c r="AK3645">
        <v>27.980439692034601</v>
      </c>
      <c r="AL3645">
        <v>91.851270293037999</v>
      </c>
      <c r="AM3645">
        <v>79.013011026662397</v>
      </c>
      <c r="AN3645">
        <v>0.99999999202279399</v>
      </c>
    </row>
    <row r="3646" spans="1:40" x14ac:dyDescent="0.3">
      <c r="A3646" t="str">
        <f>"20200111160527863"</f>
        <v>20200111160527863</v>
      </c>
      <c r="B3646" t="str">
        <f>"1578729927855036"</f>
        <v>1578729927855036</v>
      </c>
      <c r="C3646" t="s">
        <v>40</v>
      </c>
      <c r="D3646">
        <v>5.1927050000000001</v>
      </c>
      <c r="E3646">
        <v>0.64968179999999998</v>
      </c>
      <c r="F3646" t="s">
        <v>41</v>
      </c>
      <c r="G3646">
        <v>-211.1371</v>
      </c>
      <c r="H3646" s="1">
        <v>-5.1954139999999901E-6</v>
      </c>
      <c r="I3646">
        <v>133.8357</v>
      </c>
      <c r="J3646">
        <v>-191.70910000000001</v>
      </c>
      <c r="K3646">
        <v>1.1057889999999999</v>
      </c>
      <c r="L3646">
        <v>155.74889999999999</v>
      </c>
      <c r="M3646">
        <v>-0.15539339999999999</v>
      </c>
      <c r="N3646">
        <v>0</v>
      </c>
      <c r="O3646">
        <v>-0.98775049999999998</v>
      </c>
      <c r="P3646">
        <v>-0.34249380000000001</v>
      </c>
      <c r="Q3646">
        <v>-4.3291570000000001E-2</v>
      </c>
      <c r="R3646">
        <v>-0.93852259999999998</v>
      </c>
      <c r="S3646">
        <v>-2.1342469999999998</v>
      </c>
      <c r="T3646">
        <v>-0.12131749999999999</v>
      </c>
      <c r="U3646">
        <v>-2.4191889999999998</v>
      </c>
      <c r="V3646">
        <v>0.192139</v>
      </c>
      <c r="W3646">
        <v>-3.148803E-2</v>
      </c>
      <c r="X3646">
        <v>0.98086240000000002</v>
      </c>
      <c r="Y3646">
        <v>0.53648949999999995</v>
      </c>
      <c r="Z3646">
        <v>3.8822700000000002E-2</v>
      </c>
      <c r="AA3646">
        <v>0.84301360000000003</v>
      </c>
      <c r="AB3646">
        <v>24</v>
      </c>
      <c r="AC3646">
        <v>-19.428000000000001</v>
      </c>
      <c r="AD3646">
        <v>-1.10579419541399</v>
      </c>
      <c r="AE3646">
        <v>-21.9131999999999</v>
      </c>
      <c r="AF3646">
        <v>15.7639677122227</v>
      </c>
      <c r="AG3646">
        <v>-1.10579419541399</v>
      </c>
      <c r="AH3646">
        <v>24.631128655561501</v>
      </c>
      <c r="AI3646">
        <v>92.165496351721202</v>
      </c>
      <c r="AJ3646">
        <v>57.380682053892798</v>
      </c>
      <c r="AK3646">
        <v>29.264619554701799</v>
      </c>
      <c r="AL3646">
        <v>91.804429543744007</v>
      </c>
      <c r="AM3646">
        <v>78.916794099520203</v>
      </c>
      <c r="AN3646">
        <v>0.99999996954402004</v>
      </c>
    </row>
    <row r="3647" spans="1:40" x14ac:dyDescent="0.3">
      <c r="A3647" t="str">
        <f>"20200111160527875"</f>
        <v>20200111160527875</v>
      </c>
      <c r="B3647" t="str">
        <f>"1578729927864796"</f>
        <v>1578729927864796</v>
      </c>
      <c r="C3647" t="s">
        <v>40</v>
      </c>
      <c r="D3647">
        <v>5.2515710000000002</v>
      </c>
      <c r="E3647">
        <v>0.65031700000000003</v>
      </c>
      <c r="F3647" t="s">
        <v>41</v>
      </c>
      <c r="G3647">
        <v>-212.8708</v>
      </c>
      <c r="H3647" s="1">
        <v>-4.7092529999999997E-6</v>
      </c>
      <c r="I3647">
        <v>132.1473</v>
      </c>
      <c r="J3647">
        <v>-191.73349999999999</v>
      </c>
      <c r="K3647">
        <v>1.1057999999999999</v>
      </c>
      <c r="L3647">
        <v>155.62100000000001</v>
      </c>
      <c r="M3647">
        <v>-0.159041299999999</v>
      </c>
      <c r="N3647">
        <v>0</v>
      </c>
      <c r="O3647">
        <v>-0.98716970000000004</v>
      </c>
      <c r="P3647">
        <v>-0.34733599999999998</v>
      </c>
      <c r="Q3647">
        <v>-4.2766529999999997E-2</v>
      </c>
      <c r="R3647">
        <v>-0.93676530000000002</v>
      </c>
      <c r="S3647">
        <v>-2.1559599999999999</v>
      </c>
      <c r="T3647">
        <v>-0.1126587</v>
      </c>
      <c r="U3647">
        <v>-2.404541</v>
      </c>
      <c r="V3647">
        <v>0.19358239999999999</v>
      </c>
      <c r="W3647">
        <v>-3.0979969999999999E-2</v>
      </c>
      <c r="X3647">
        <v>0.98059479999999999</v>
      </c>
      <c r="Y3647">
        <v>0.54021699999999995</v>
      </c>
      <c r="Z3647">
        <v>3.6046410000000001E-2</v>
      </c>
      <c r="AA3647">
        <v>0.84075330000000004</v>
      </c>
      <c r="AB3647">
        <v>24</v>
      </c>
      <c r="AC3647">
        <v>-21.1373</v>
      </c>
      <c r="AD3647">
        <v>-1.1058047092529999</v>
      </c>
      <c r="AE3647">
        <v>-23.473700000000001</v>
      </c>
      <c r="AF3647">
        <v>17.113571029448</v>
      </c>
      <c r="AG3647">
        <v>-1.1058047092529999</v>
      </c>
      <c r="AH3647">
        <v>26.504426230252001</v>
      </c>
      <c r="AI3647">
        <v>92.007397877644195</v>
      </c>
      <c r="AJ3647">
        <v>57.150183398962803</v>
      </c>
      <c r="AK3647">
        <v>31.568682697094602</v>
      </c>
      <c r="AL3647">
        <v>91.775305526621196</v>
      </c>
      <c r="AM3647">
        <v>78.832647997061699</v>
      </c>
      <c r="AN3647">
        <v>1.000000032959</v>
      </c>
    </row>
    <row r="3648" spans="1:40" x14ac:dyDescent="0.3">
      <c r="A3648" t="str">
        <f>"20200111160527894"</f>
        <v>20200111160527894</v>
      </c>
      <c r="B3648" t="str">
        <f>"1578729927885290"</f>
        <v>1578729927885290</v>
      </c>
      <c r="C3648" t="s">
        <v>40</v>
      </c>
      <c r="D3648">
        <v>5.256678</v>
      </c>
      <c r="E3648">
        <v>0.65110049999999997</v>
      </c>
      <c r="F3648" t="s">
        <v>41</v>
      </c>
      <c r="G3648">
        <v>-213.37370000000001</v>
      </c>
      <c r="H3648" s="1">
        <v>-4.6066780000000001E-6</v>
      </c>
      <c r="I3648">
        <v>131.80699999999999</v>
      </c>
      <c r="J3648">
        <v>-191.77109999999999</v>
      </c>
      <c r="K3648">
        <v>1.1058079999999999</v>
      </c>
      <c r="L3648">
        <v>155.42689999999999</v>
      </c>
      <c r="M3648">
        <v>-0.16458059999999999</v>
      </c>
      <c r="N3648">
        <v>0</v>
      </c>
      <c r="O3648">
        <v>-0.98626130000000001</v>
      </c>
      <c r="P3648">
        <v>-0.35632750000000002</v>
      </c>
      <c r="Q3648">
        <v>-4.2042860000000001E-2</v>
      </c>
      <c r="R3648">
        <v>-0.93341490000000005</v>
      </c>
      <c r="S3648">
        <v>-2.1733250000000002</v>
      </c>
      <c r="T3648">
        <v>-0.1110559</v>
      </c>
      <c r="U3648">
        <v>-2.391632</v>
      </c>
      <c r="V3648">
        <v>0.19750599999999999</v>
      </c>
      <c r="W3648">
        <v>-3.030733E-2</v>
      </c>
      <c r="X3648">
        <v>0.97983310000000001</v>
      </c>
      <c r="Y3648">
        <v>0.54111180000000003</v>
      </c>
      <c r="Z3648">
        <v>3.5539519999999998E-2</v>
      </c>
      <c r="AA3648">
        <v>0.84019940000000004</v>
      </c>
      <c r="AB3648">
        <v>24</v>
      </c>
      <c r="AC3648">
        <v>-21.602599999999999</v>
      </c>
      <c r="AD3648">
        <v>-1.1058126066780001</v>
      </c>
      <c r="AE3648">
        <v>-23.619899999999902</v>
      </c>
      <c r="AF3648">
        <v>17.399423353750102</v>
      </c>
      <c r="AG3648">
        <v>-1.1058126066780001</v>
      </c>
      <c r="AH3648">
        <v>26.821461519123901</v>
      </c>
      <c r="AI3648">
        <v>91.980969765596896</v>
      </c>
      <c r="AJ3648">
        <v>57.0280121576155</v>
      </c>
      <c r="AK3648">
        <v>31.9898976645121</v>
      </c>
      <c r="AL3648">
        <v>91.736747993126201</v>
      </c>
      <c r="AM3648">
        <v>78.603540554390705</v>
      </c>
      <c r="AN3648">
        <v>1.00000002907166</v>
      </c>
    </row>
    <row r="3649" spans="1:40" x14ac:dyDescent="0.3">
      <c r="A3649" t="str">
        <f>"20200111160527906"</f>
        <v>20200111160527906</v>
      </c>
      <c r="B3649" t="str">
        <f>"1578729927895051"</f>
        <v>1578729927895051</v>
      </c>
      <c r="C3649" t="s">
        <v>40</v>
      </c>
      <c r="D3649">
        <v>5.2943949999999997</v>
      </c>
      <c r="E3649">
        <v>0.65116070000000004</v>
      </c>
      <c r="F3649" t="s">
        <v>41</v>
      </c>
      <c r="G3649">
        <v>-213.99510000000001</v>
      </c>
      <c r="H3649" s="1">
        <v>-4.4432080000000003E-6</v>
      </c>
      <c r="I3649">
        <v>131.52449999999999</v>
      </c>
      <c r="J3649">
        <v>-191.79820000000001</v>
      </c>
      <c r="K3649">
        <v>1.1058110000000001</v>
      </c>
      <c r="L3649">
        <v>155.29060000000001</v>
      </c>
      <c r="M3649">
        <v>-0.16847619999999999</v>
      </c>
      <c r="N3649">
        <v>0</v>
      </c>
      <c r="O3649">
        <v>-0.98560329999999996</v>
      </c>
      <c r="P3649">
        <v>-0.36211019999999999</v>
      </c>
      <c r="Q3649">
        <v>-4.1685470000000002E-2</v>
      </c>
      <c r="R3649">
        <v>-0.9312028</v>
      </c>
      <c r="S3649">
        <v>-2.2021030000000001</v>
      </c>
      <c r="T3649">
        <v>-0.10957119999999999</v>
      </c>
      <c r="U3649">
        <v>-2.3684080000000001</v>
      </c>
      <c r="V3649">
        <v>0.19971169999999999</v>
      </c>
      <c r="W3649">
        <v>-2.9979430000000001E-2</v>
      </c>
      <c r="X3649">
        <v>0.97939600000000004</v>
      </c>
      <c r="Y3649">
        <v>0.54737749999999996</v>
      </c>
      <c r="Z3649">
        <v>3.5078900000000003E-2</v>
      </c>
      <c r="AA3649">
        <v>0.83615030000000001</v>
      </c>
      <c r="AB3649">
        <v>24</v>
      </c>
      <c r="AC3649">
        <v>-22.196899999999999</v>
      </c>
      <c r="AD3649">
        <v>-1.1058154432080001</v>
      </c>
      <c r="AE3649">
        <v>-23.766100000000002</v>
      </c>
      <c r="AF3649">
        <v>17.8544750719382</v>
      </c>
      <c r="AG3649">
        <v>-1.1058154432080001</v>
      </c>
      <c r="AH3649">
        <v>27.134962290269399</v>
      </c>
      <c r="AI3649">
        <v>91.949813852170607</v>
      </c>
      <c r="AJ3649">
        <v>56.655570033390298</v>
      </c>
      <c r="AK3649">
        <v>32.500942853757998</v>
      </c>
      <c r="AL3649">
        <v>91.717952169807901</v>
      </c>
      <c r="AM3649">
        <v>78.474648335232402</v>
      </c>
      <c r="AN3649">
        <v>1.0000000270780001</v>
      </c>
    </row>
    <row r="3650" spans="1:40" x14ac:dyDescent="0.3">
      <c r="A3650" t="str">
        <f>"20200111160527921"</f>
        <v>20200111160527921</v>
      </c>
      <c r="B3650" t="str">
        <f>"1578729927915548"</f>
        <v>1578729927915548</v>
      </c>
      <c r="C3650" t="s">
        <v>40</v>
      </c>
      <c r="D3650">
        <v>8.7222190000000008</v>
      </c>
      <c r="E3650">
        <v>0.65011759999999996</v>
      </c>
      <c r="F3650" t="s">
        <v>41</v>
      </c>
      <c r="G3650">
        <v>-213.89830000000001</v>
      </c>
      <c r="H3650" s="1">
        <v>-4.4011320000000001E-6</v>
      </c>
      <c r="I3650">
        <v>131.82239999999999</v>
      </c>
      <c r="J3650">
        <v>-191.8288</v>
      </c>
      <c r="K3650">
        <v>1.1058079999999999</v>
      </c>
      <c r="L3650">
        <v>155.13999999999999</v>
      </c>
      <c r="M3650">
        <v>-0.17279520000000001</v>
      </c>
      <c r="N3650">
        <v>0</v>
      </c>
      <c r="O3650">
        <v>-0.98485520000000004</v>
      </c>
      <c r="P3650">
        <v>-0.36844500000000002</v>
      </c>
      <c r="Q3650">
        <v>-4.1414159999999998E-2</v>
      </c>
      <c r="R3650">
        <v>-0.92872670000000002</v>
      </c>
      <c r="S3650">
        <v>-2.2172390000000002</v>
      </c>
      <c r="T3650">
        <v>-0.11094329999999999</v>
      </c>
      <c r="U3650">
        <v>-2.354492</v>
      </c>
      <c r="V3650">
        <v>0.20208870000000001</v>
      </c>
      <c r="W3650">
        <v>-2.974222E-2</v>
      </c>
      <c r="X3650">
        <v>0.97891550000000005</v>
      </c>
      <c r="Y3650">
        <v>0.54901359999999999</v>
      </c>
      <c r="Z3650">
        <v>3.5540540000000002E-2</v>
      </c>
      <c r="AA3650">
        <v>0.83505750000000001</v>
      </c>
      <c r="AB3650">
        <v>24</v>
      </c>
      <c r="AC3650">
        <v>-22.069500000000001</v>
      </c>
      <c r="AD3650">
        <v>-1.1058124011320001</v>
      </c>
      <c r="AE3650">
        <v>-23.317599999999999</v>
      </c>
      <c r="AF3650">
        <v>17.686899323515799</v>
      </c>
      <c r="AG3650">
        <v>-1.1058124011320001</v>
      </c>
      <c r="AH3650">
        <v>26.748936339105502</v>
      </c>
      <c r="AI3650">
        <v>91.974992073208895</v>
      </c>
      <c r="AJ3650">
        <v>56.5265733202828</v>
      </c>
      <c r="AK3650">
        <v>32.086676736929299</v>
      </c>
      <c r="AL3650">
        <v>91.704355022314502</v>
      </c>
      <c r="AM3650">
        <v>78.335640097493496</v>
      </c>
      <c r="AN3650">
        <v>0.99999999922923399</v>
      </c>
    </row>
    <row r="3651" spans="1:40" x14ac:dyDescent="0.3">
      <c r="A3651" t="str">
        <f>"20200111160527939"</f>
        <v>20200111160527939</v>
      </c>
      <c r="B3651" t="str">
        <f>"1578729927935067"</f>
        <v>1578729927935067</v>
      </c>
      <c r="C3651" t="s">
        <v>40</v>
      </c>
      <c r="D3651">
        <v>5.5132539999999999</v>
      </c>
      <c r="E3651">
        <v>0.64789039999999998</v>
      </c>
      <c r="F3651" t="s">
        <v>75</v>
      </c>
      <c r="G3651">
        <v>-209.70869999999999</v>
      </c>
      <c r="H3651" s="1">
        <v>-4.2562640000000001E-6</v>
      </c>
      <c r="I3651">
        <v>136.29509999999999</v>
      </c>
      <c r="J3651">
        <v>-191.8683</v>
      </c>
      <c r="K3651">
        <v>1.1057950000000001</v>
      </c>
      <c r="L3651">
        <v>154.95050000000001</v>
      </c>
      <c r="M3651">
        <v>-0.17825269999999999</v>
      </c>
      <c r="N3651">
        <v>0</v>
      </c>
      <c r="O3651">
        <v>-0.98388209999999998</v>
      </c>
      <c r="P3651">
        <v>-0.37843300000000002</v>
      </c>
      <c r="Q3651">
        <v>-4.1267470000000001E-2</v>
      </c>
      <c r="R3651">
        <v>-0.92470859999999999</v>
      </c>
      <c r="S3651">
        <v>-2.2224879999999998</v>
      </c>
      <c r="T3651">
        <v>-0.13745299999999999</v>
      </c>
      <c r="U3651">
        <v>-2.342422</v>
      </c>
      <c r="V3651">
        <v>0.2072059</v>
      </c>
      <c r="W3651">
        <v>-2.9672219999999999E-2</v>
      </c>
      <c r="X3651">
        <v>0.97784729999999997</v>
      </c>
      <c r="Y3651">
        <v>0.54727369999999897</v>
      </c>
      <c r="Z3651">
        <v>4.4109599999999999E-2</v>
      </c>
      <c r="AA3651">
        <v>0.83579059999999905</v>
      </c>
      <c r="AB3651">
        <v>24</v>
      </c>
      <c r="AC3651">
        <v>-17.840399999999899</v>
      </c>
      <c r="AD3651">
        <v>-1.105799256264</v>
      </c>
      <c r="AE3651">
        <v>-18.6554</v>
      </c>
      <c r="AF3651">
        <v>14.2028470285246</v>
      </c>
      <c r="AG3651">
        <v>-1.105799256264</v>
      </c>
      <c r="AH3651">
        <v>21.497536820156601</v>
      </c>
      <c r="AI3651">
        <v>92.457494876508903</v>
      </c>
      <c r="AJ3651">
        <v>56.5483281728809</v>
      </c>
      <c r="AK3651">
        <v>25.7892951637848</v>
      </c>
      <c r="AL3651">
        <v>91.700342487882594</v>
      </c>
      <c r="AM3651">
        <v>78.035993678092197</v>
      </c>
      <c r="AN3651">
        <v>1.0000000338759101</v>
      </c>
    </row>
    <row r="3652" spans="1:40" x14ac:dyDescent="0.3">
      <c r="A3652" t="str">
        <f>"20200111160527954"</f>
        <v>20200111160527954</v>
      </c>
      <c r="B3652" t="str">
        <f>"1578729927944827"</f>
        <v>1578729927944827</v>
      </c>
      <c r="C3652" t="s">
        <v>40</v>
      </c>
      <c r="D3652">
        <v>5.4670069999999997</v>
      </c>
      <c r="E3652">
        <v>0.64680579999999999</v>
      </c>
      <c r="F3652" t="s">
        <v>75</v>
      </c>
      <c r="G3652">
        <v>-205.49260000000001</v>
      </c>
      <c r="H3652" s="1">
        <v>-7.6589730000000002E-6</v>
      </c>
      <c r="I3652">
        <v>140.72200000000001</v>
      </c>
      <c r="J3652">
        <v>-191.90289999999999</v>
      </c>
      <c r="K3652">
        <v>1.1057729999999999</v>
      </c>
      <c r="L3652">
        <v>154.7893</v>
      </c>
      <c r="M3652">
        <v>-0.18293490000000001</v>
      </c>
      <c r="N3652">
        <v>0</v>
      </c>
      <c r="O3652">
        <v>-0.98302239999999996</v>
      </c>
      <c r="P3652">
        <v>-0.38553599999999999</v>
      </c>
      <c r="Q3652">
        <v>-4.134695E-2</v>
      </c>
      <c r="R3652">
        <v>-0.92176630000000004</v>
      </c>
      <c r="S3652">
        <v>-2.226318</v>
      </c>
      <c r="T3652">
        <v>-0.18069789999999999</v>
      </c>
      <c r="U3652">
        <v>-2.3250730000000002</v>
      </c>
      <c r="V3652">
        <v>0.21006929999999999</v>
      </c>
      <c r="W3652">
        <v>-2.9800409999999999E-2</v>
      </c>
      <c r="X3652">
        <v>0.9772322</v>
      </c>
      <c r="Y3652">
        <v>0.54661610000000005</v>
      </c>
      <c r="Z3652">
        <v>5.8154879999999999E-2</v>
      </c>
      <c r="AA3652">
        <v>0.83536149999999998</v>
      </c>
      <c r="AB3652">
        <v>24</v>
      </c>
      <c r="AC3652">
        <v>-13.589700000000001</v>
      </c>
      <c r="AD3652">
        <v>-1.1057806589729999</v>
      </c>
      <c r="AE3652">
        <v>-14.0672999999999</v>
      </c>
      <c r="AF3652">
        <v>10.7523016677233</v>
      </c>
      <c r="AG3652">
        <v>-1.1057806589729999</v>
      </c>
      <c r="AH3652">
        <v>16.2641648124828</v>
      </c>
      <c r="AI3652">
        <v>93.246068343771597</v>
      </c>
      <c r="AJ3652">
        <v>56.531156514513</v>
      </c>
      <c r="AK3652">
        <v>19.528384445905701</v>
      </c>
      <c r="AL3652">
        <v>91.707690585377307</v>
      </c>
      <c r="AM3652">
        <v>77.868116164796106</v>
      </c>
      <c r="AN3652">
        <v>0.99999997397774798</v>
      </c>
    </row>
    <row r="3653" spans="1:40" x14ac:dyDescent="0.3">
      <c r="A3653" t="str">
        <f>"20200111160527974"</f>
        <v>20200111160527974</v>
      </c>
      <c r="B3653" t="str">
        <f>"1578729927965323"</f>
        <v>1578729927965323</v>
      </c>
      <c r="C3653" t="s">
        <v>40</v>
      </c>
      <c r="D3653">
        <v>5.5079320000000003</v>
      </c>
      <c r="E3653">
        <v>0.64482600000000001</v>
      </c>
      <c r="F3653" t="s">
        <v>75</v>
      </c>
      <c r="G3653">
        <v>-204.36770000000001</v>
      </c>
      <c r="H3653" s="1">
        <v>-8.4278329999999994E-6</v>
      </c>
      <c r="I3653">
        <v>141.8948</v>
      </c>
      <c r="J3653">
        <v>-191.94880000000001</v>
      </c>
      <c r="K3653">
        <v>1.10572</v>
      </c>
      <c r="L3653">
        <v>154.58070000000001</v>
      </c>
      <c r="M3653">
        <v>-0.18904290000000001</v>
      </c>
      <c r="N3653">
        <v>0</v>
      </c>
      <c r="O3653">
        <v>-0.98186580000000001</v>
      </c>
      <c r="P3653">
        <v>-0.39566790000000002</v>
      </c>
      <c r="Q3653">
        <v>-4.247654E-2</v>
      </c>
      <c r="R3653">
        <v>-0.91741090000000003</v>
      </c>
      <c r="S3653">
        <v>-2.2342379999999999</v>
      </c>
      <c r="T3653">
        <v>-0.19820389999999999</v>
      </c>
      <c r="U3653">
        <v>-2.3112490000000001</v>
      </c>
      <c r="V3653">
        <v>0.21474960000000001</v>
      </c>
      <c r="W3653">
        <v>-3.1013550000000001E-2</v>
      </c>
      <c r="X3653">
        <v>0.97617659999999995</v>
      </c>
      <c r="Y3653">
        <v>0.54514090000000004</v>
      </c>
      <c r="Z3653">
        <v>6.3887920000000001E-2</v>
      </c>
      <c r="AA3653">
        <v>0.8359065</v>
      </c>
      <c r="AB3653">
        <v>24</v>
      </c>
      <c r="AC3653">
        <v>-12.418900000000001</v>
      </c>
      <c r="AD3653">
        <v>-1.105728427833</v>
      </c>
      <c r="AE3653">
        <v>-12.6859</v>
      </c>
      <c r="AF3653">
        <v>9.7586473125359703</v>
      </c>
      <c r="AG3653">
        <v>-1.105728427833</v>
      </c>
      <c r="AH3653">
        <v>14.747841332115801</v>
      </c>
      <c r="AI3653">
        <v>93.577843260109105</v>
      </c>
      <c r="AJ3653">
        <v>56.507391770337598</v>
      </c>
      <c r="AK3653">
        <v>17.718709227363199</v>
      </c>
      <c r="AL3653">
        <v>91.777230515383394</v>
      </c>
      <c r="AM3653">
        <v>77.5930994415356</v>
      </c>
      <c r="AN3653">
        <v>0.99999999268566098</v>
      </c>
    </row>
    <row r="3654" spans="1:40" x14ac:dyDescent="0.3">
      <c r="A3654" t="str">
        <f>"20200111160527995"</f>
        <v>20200111160527995</v>
      </c>
      <c r="B3654" t="str">
        <f>"1578729927984843"</f>
        <v>1578729927984843</v>
      </c>
      <c r="C3654" t="s">
        <v>40</v>
      </c>
      <c r="D3654">
        <v>5.559107</v>
      </c>
      <c r="E3654">
        <v>0.64288129999999999</v>
      </c>
      <c r="F3654" t="s">
        <v>75</v>
      </c>
      <c r="G3654">
        <v>-202.71549999999999</v>
      </c>
      <c r="H3654" s="1">
        <v>-9.4919089999999993E-6</v>
      </c>
      <c r="I3654">
        <v>143.56950000000001</v>
      </c>
      <c r="J3654">
        <v>-192.0017</v>
      </c>
      <c r="K3654">
        <v>1.10565</v>
      </c>
      <c r="L3654">
        <v>154.34829999999999</v>
      </c>
      <c r="M3654">
        <v>-0.19594690000000001</v>
      </c>
      <c r="N3654">
        <v>0</v>
      </c>
      <c r="O3654">
        <v>-0.98051140000000003</v>
      </c>
      <c r="P3654">
        <v>-0.4059487</v>
      </c>
      <c r="Q3654">
        <v>-4.442231E-2</v>
      </c>
      <c r="R3654">
        <v>-0.91281570000000001</v>
      </c>
      <c r="S3654">
        <v>-2.2416990000000001</v>
      </c>
      <c r="T3654">
        <v>-0.23022000000000001</v>
      </c>
      <c r="U3654">
        <v>-2.2926030000000002</v>
      </c>
      <c r="V3654">
        <v>0.21883459999999999</v>
      </c>
      <c r="W3654">
        <v>-3.3044299999999999E-2</v>
      </c>
      <c r="X3654">
        <v>0.97520229999999997</v>
      </c>
      <c r="Y3654">
        <v>0.54351539999999998</v>
      </c>
      <c r="Z3654">
        <v>7.4385080000000006E-2</v>
      </c>
      <c r="AA3654">
        <v>0.83609679999999997</v>
      </c>
      <c r="AB3654">
        <v>24</v>
      </c>
      <c r="AC3654">
        <v>-10.7137999999999</v>
      </c>
      <c r="AD3654">
        <v>-1.1056594919089999</v>
      </c>
      <c r="AE3654">
        <v>-10.778799999999899</v>
      </c>
      <c r="AF3654">
        <v>8.3495860333451599</v>
      </c>
      <c r="AG3654">
        <v>-1.1056594919089999</v>
      </c>
      <c r="AH3654">
        <v>12.6026490213274</v>
      </c>
      <c r="AI3654">
        <v>94.183002489499501</v>
      </c>
      <c r="AJ3654">
        <v>56.474480766459202</v>
      </c>
      <c r="AK3654">
        <v>15.1579956522967</v>
      </c>
      <c r="AL3654">
        <v>91.893643621300299</v>
      </c>
      <c r="AM3654">
        <v>77.352386210111902</v>
      </c>
      <c r="AN3654">
        <v>1.0000000169224601</v>
      </c>
    </row>
    <row r="3655" spans="1:40" x14ac:dyDescent="0.3">
      <c r="A3655" t="str">
        <f>"20200111160528010"</f>
        <v>20200111160528010</v>
      </c>
      <c r="B3655" t="str">
        <f>"1578729928005339"</f>
        <v>1578729928005339</v>
      </c>
      <c r="C3655" t="s">
        <v>40</v>
      </c>
      <c r="D3655">
        <v>5.3755350000000002</v>
      </c>
      <c r="E3655">
        <v>0.64145949999999996</v>
      </c>
      <c r="F3655" t="s">
        <v>75</v>
      </c>
      <c r="G3655">
        <v>-201.69800000000001</v>
      </c>
      <c r="H3655" s="1">
        <v>-1.0183999999999999E-5</v>
      </c>
      <c r="I3655">
        <v>144.55520000000001</v>
      </c>
      <c r="J3655">
        <v>-192.03729999999999</v>
      </c>
      <c r="K3655">
        <v>1.105594</v>
      </c>
      <c r="L3655">
        <v>154.196</v>
      </c>
      <c r="M3655">
        <v>-0.20052780000000001</v>
      </c>
      <c r="N3655">
        <v>0</v>
      </c>
      <c r="O3655">
        <v>-0.97958480000000003</v>
      </c>
      <c r="P3655">
        <v>-0.41139300000000001</v>
      </c>
      <c r="Q3655">
        <v>-4.5640649999999998E-2</v>
      </c>
      <c r="R3655">
        <v>-0.91031499999999999</v>
      </c>
      <c r="S3655">
        <v>-2.2506560000000002</v>
      </c>
      <c r="T3655">
        <v>-0.2566389</v>
      </c>
      <c r="U3655">
        <v>-2.2731020000000002</v>
      </c>
      <c r="V3655">
        <v>0.22009409999999999</v>
      </c>
      <c r="W3655">
        <v>-3.4300999999999998E-2</v>
      </c>
      <c r="X3655">
        <v>0.97487539999999995</v>
      </c>
      <c r="Y3655">
        <v>0.54434850000000001</v>
      </c>
      <c r="Z3655">
        <v>8.3112340000000007E-2</v>
      </c>
      <c r="AA3655">
        <v>0.83473180000000002</v>
      </c>
      <c r="AB3655">
        <v>24</v>
      </c>
      <c r="AC3655">
        <v>-9.6606999999999896</v>
      </c>
      <c r="AD3655">
        <v>-1.1056041839999999</v>
      </c>
      <c r="AE3655">
        <v>-9.6407999999999792</v>
      </c>
      <c r="AF3655">
        <v>7.4818906068272399</v>
      </c>
      <c r="AG3655">
        <v>-1.1056041839999999</v>
      </c>
      <c r="AH3655">
        <v>11.3081650144244</v>
      </c>
      <c r="AI3655">
        <v>94.661512944060703</v>
      </c>
      <c r="AJ3655">
        <v>56.509938612728703</v>
      </c>
      <c r="AK3655">
        <v>13.6042509407045</v>
      </c>
      <c r="AL3655">
        <v>91.965688102832701</v>
      </c>
      <c r="AM3655">
        <v>77.277828322056394</v>
      </c>
      <c r="AN3655">
        <v>1.0000000084904801</v>
      </c>
    </row>
    <row r="3656" spans="1:40" x14ac:dyDescent="0.3">
      <c r="A3656" t="str">
        <f>"20200111160528022"</f>
        <v>20200111160528022</v>
      </c>
      <c r="B3656" t="str">
        <f>"1578729928015099"</f>
        <v>1578729928015099</v>
      </c>
      <c r="C3656" t="s">
        <v>40</v>
      </c>
      <c r="D3656">
        <v>5.3971720000000003</v>
      </c>
      <c r="E3656">
        <v>0.64107689999999995</v>
      </c>
      <c r="F3656" t="s">
        <v>75</v>
      </c>
      <c r="G3656">
        <v>-201.4597</v>
      </c>
      <c r="H3656" s="1">
        <v>-1.034095E-5</v>
      </c>
      <c r="I3656">
        <v>144.7276</v>
      </c>
      <c r="J3656">
        <v>-192.07</v>
      </c>
      <c r="K3656">
        <v>1.1055459999999999</v>
      </c>
      <c r="L3656">
        <v>154.05860000000001</v>
      </c>
      <c r="M3656">
        <v>-0.20469979999999999</v>
      </c>
      <c r="N3656">
        <v>0</v>
      </c>
      <c r="O3656">
        <v>-0.97872159999999997</v>
      </c>
      <c r="P3656">
        <v>-0.41632839999999999</v>
      </c>
      <c r="Q3656">
        <v>-4.6783360000000003E-2</v>
      </c>
      <c r="R3656">
        <v>-0.90801030000000005</v>
      </c>
      <c r="S3656">
        <v>-2.253098</v>
      </c>
      <c r="T3656">
        <v>-0.26437179999999999</v>
      </c>
      <c r="U3656">
        <v>-2.264084</v>
      </c>
      <c r="V3656">
        <v>0.2212266</v>
      </c>
      <c r="W3656">
        <v>-3.5479959999999998E-2</v>
      </c>
      <c r="X3656">
        <v>0.97457680000000002</v>
      </c>
      <c r="Y3656">
        <v>0.54273309999999997</v>
      </c>
      <c r="Z3656">
        <v>8.5739040000000002E-2</v>
      </c>
      <c r="AA3656">
        <v>0.83551759999999997</v>
      </c>
      <c r="AB3656">
        <v>24</v>
      </c>
      <c r="AC3656">
        <v>-9.3896999999999995</v>
      </c>
      <c r="AD3656">
        <v>-1.10555634095</v>
      </c>
      <c r="AE3656">
        <v>-9.3310000000000102</v>
      </c>
      <c r="AF3656">
        <v>7.2301536107390998</v>
      </c>
      <c r="AG3656">
        <v>-1.10555634095</v>
      </c>
      <c r="AH3656">
        <v>10.979058977995599</v>
      </c>
      <c r="AI3656">
        <v>94.807200439359605</v>
      </c>
      <c r="AJ3656">
        <v>56.633482569776397</v>
      </c>
      <c r="AK3656">
        <v>13.1923126137991</v>
      </c>
      <c r="AL3656">
        <v>92.033278733971699</v>
      </c>
      <c r="AM3656">
        <v>77.210723911016103</v>
      </c>
      <c r="AN3656">
        <v>0.99999998760370001</v>
      </c>
    </row>
    <row r="3657" spans="1:40" x14ac:dyDescent="0.3">
      <c r="A3657" t="str">
        <f>"20200111160528040"</f>
        <v>20200111160528040</v>
      </c>
      <c r="B3657" t="str">
        <f>"1578729928035595"</f>
        <v>1578729928035595</v>
      </c>
      <c r="C3657" t="s">
        <v>40</v>
      </c>
      <c r="D3657">
        <v>5.4454260000000003</v>
      </c>
      <c r="E3657">
        <v>0.6401656</v>
      </c>
      <c r="F3657" t="s">
        <v>75</v>
      </c>
      <c r="G3657">
        <v>-201.61259999999999</v>
      </c>
      <c r="H3657" s="1">
        <v>-1.022348E-5</v>
      </c>
      <c r="I3657">
        <v>144.56059999999999</v>
      </c>
      <c r="J3657">
        <v>-192.1123</v>
      </c>
      <c r="K3657">
        <v>1.1054710000000001</v>
      </c>
      <c r="L3657">
        <v>153.886</v>
      </c>
      <c r="M3657">
        <v>-0.2100302</v>
      </c>
      <c r="N3657">
        <v>0</v>
      </c>
      <c r="O3657">
        <v>-0.97759130000000005</v>
      </c>
      <c r="P3657">
        <v>-0.42228759999999999</v>
      </c>
      <c r="Q3657">
        <v>-4.8731679999999999E-2</v>
      </c>
      <c r="R3657">
        <v>-0.90515109999999999</v>
      </c>
      <c r="S3657">
        <v>-2.2632750000000001</v>
      </c>
      <c r="T3657">
        <v>-0.26221080000000002</v>
      </c>
      <c r="U3657">
        <v>-2.2526860000000002</v>
      </c>
      <c r="V3657">
        <v>0.2223144</v>
      </c>
      <c r="W3657">
        <v>-3.7471829999999998E-2</v>
      </c>
      <c r="X3657">
        <v>0.97425470000000003</v>
      </c>
      <c r="Y3657">
        <v>0.54219399999999995</v>
      </c>
      <c r="Z3657">
        <v>8.5096370000000005E-2</v>
      </c>
      <c r="AA3657">
        <v>0.83593320000000004</v>
      </c>
      <c r="AB3657">
        <v>24</v>
      </c>
      <c r="AC3657">
        <v>-9.5002999999999798</v>
      </c>
      <c r="AD3657">
        <v>-1.10548122347999</v>
      </c>
      <c r="AE3657">
        <v>-9.3254000000000001</v>
      </c>
      <c r="AF3657">
        <v>7.2793395603133302</v>
      </c>
      <c r="AG3657">
        <v>-1.10548122347999</v>
      </c>
      <c r="AH3657">
        <v>11.036796419031999</v>
      </c>
      <c r="AI3657">
        <v>94.779634206836903</v>
      </c>
      <c r="AJ3657">
        <v>56.593078244400203</v>
      </c>
      <c r="AK3657">
        <v>13.267318808446801</v>
      </c>
      <c r="AL3657">
        <v>92.147480414804903</v>
      </c>
      <c r="AM3657">
        <v>77.145812925852397</v>
      </c>
      <c r="AN3657">
        <v>1.00000002548149</v>
      </c>
    </row>
    <row r="3658" spans="1:40" x14ac:dyDescent="0.3">
      <c r="A3658" t="str">
        <f>"20200111160528054"</f>
        <v>20200111160528054</v>
      </c>
      <c r="B3658" t="str">
        <f>"1578729928045355"</f>
        <v>1578729928045355</v>
      </c>
      <c r="C3658" t="s">
        <v>40</v>
      </c>
      <c r="D3658">
        <v>5.4669179999999997</v>
      </c>
      <c r="E3658">
        <v>0.639791</v>
      </c>
      <c r="F3658" t="s">
        <v>75</v>
      </c>
      <c r="G3658">
        <v>-201.68260000000001</v>
      </c>
      <c r="H3658" s="1">
        <v>-1.0159220000000001E-5</v>
      </c>
      <c r="I3658">
        <v>144.44899999999899</v>
      </c>
      <c r="J3658">
        <v>-192.1491</v>
      </c>
      <c r="K3658">
        <v>1.105413</v>
      </c>
      <c r="L3658">
        <v>153.73929999999999</v>
      </c>
      <c r="M3658">
        <v>-0.21462600000000001</v>
      </c>
      <c r="N3658">
        <v>0</v>
      </c>
      <c r="O3658">
        <v>-0.97659240000000003</v>
      </c>
      <c r="P3658">
        <v>-0.42661490000000002</v>
      </c>
      <c r="Q3658">
        <v>-4.9201059999999998E-2</v>
      </c>
      <c r="R3658">
        <v>-0.90309419999999996</v>
      </c>
      <c r="S3658">
        <v>-2.271957</v>
      </c>
      <c r="T3658">
        <v>-0.26243640000000001</v>
      </c>
      <c r="U3658">
        <v>-2.2402950000000001</v>
      </c>
      <c r="V3658">
        <v>0.2223898</v>
      </c>
      <c r="W3658">
        <v>-3.7966420000000001E-2</v>
      </c>
      <c r="X3658">
        <v>0.97421829999999998</v>
      </c>
      <c r="Y3658">
        <v>0.54214329999999999</v>
      </c>
      <c r="Z3658">
        <v>8.5265980000000005E-2</v>
      </c>
      <c r="AA3658">
        <v>0.83594880000000005</v>
      </c>
      <c r="AB3658">
        <v>24</v>
      </c>
      <c r="AC3658">
        <v>-9.5335000000000001</v>
      </c>
      <c r="AD3658">
        <v>-1.1054231592199999</v>
      </c>
      <c r="AE3658">
        <v>-9.2903000000000002</v>
      </c>
      <c r="AF3658">
        <v>7.2670325388435701</v>
      </c>
      <c r="AG3658">
        <v>-1.1054231592199999</v>
      </c>
      <c r="AH3658">
        <v>11.0439423811785</v>
      </c>
      <c r="AI3658">
        <v>94.779673301975706</v>
      </c>
      <c r="AJ3658">
        <v>56.654654748993202</v>
      </c>
      <c r="AK3658">
        <v>13.2665136942733</v>
      </c>
      <c r="AL3658">
        <v>92.175838604167296</v>
      </c>
      <c r="AM3658">
        <v>77.141133737476096</v>
      </c>
      <c r="AN3658">
        <v>0.99999998412327296</v>
      </c>
    </row>
    <row r="3659" spans="1:40" x14ac:dyDescent="0.3">
      <c r="A3659" t="str">
        <f>"20200111160528066"</f>
        <v>20200111160528066</v>
      </c>
      <c r="B3659" t="str">
        <f>"1578729928055114"</f>
        <v>1578729928055114</v>
      </c>
      <c r="C3659" t="s">
        <v>40</v>
      </c>
      <c r="D3659">
        <v>5.4534630000000002</v>
      </c>
      <c r="E3659">
        <v>0.63940569999999997</v>
      </c>
      <c r="F3659" t="s">
        <v>75</v>
      </c>
      <c r="G3659">
        <v>-201.8295</v>
      </c>
      <c r="H3659" s="1">
        <v>-1.0040970000000001E-5</v>
      </c>
      <c r="I3659">
        <v>144.2704</v>
      </c>
      <c r="J3659">
        <v>-192.1832</v>
      </c>
      <c r="K3659">
        <v>1.105361</v>
      </c>
      <c r="L3659">
        <v>153.60560000000001</v>
      </c>
      <c r="M3659">
        <v>-0.2188572</v>
      </c>
      <c r="N3659">
        <v>0</v>
      </c>
      <c r="O3659">
        <v>-0.97565290000000005</v>
      </c>
      <c r="P3659">
        <v>-0.43076619999999999</v>
      </c>
      <c r="Q3659">
        <v>-4.9729700000000002E-2</v>
      </c>
      <c r="R3659">
        <v>-0.90109249999999996</v>
      </c>
      <c r="S3659">
        <v>-2.280319</v>
      </c>
      <c r="T3659">
        <v>-0.26039469999999998</v>
      </c>
      <c r="U3659">
        <v>-2.230499</v>
      </c>
      <c r="V3659">
        <v>0.22264510000000001</v>
      </c>
      <c r="W3659">
        <v>-3.8521699999999999E-2</v>
      </c>
      <c r="X3659">
        <v>0.97413819999999995</v>
      </c>
      <c r="Y3659">
        <v>0.54191089999999997</v>
      </c>
      <c r="Z3659">
        <v>8.4653220000000001E-2</v>
      </c>
      <c r="AA3659">
        <v>0.83616170000000001</v>
      </c>
      <c r="AB3659">
        <v>24</v>
      </c>
      <c r="AC3659">
        <v>-9.6462999999999894</v>
      </c>
      <c r="AD3659">
        <v>-1.1053710409699999</v>
      </c>
      <c r="AE3659">
        <v>-9.3352000000000093</v>
      </c>
      <c r="AF3659">
        <v>7.3194821166527397</v>
      </c>
      <c r="AG3659">
        <v>-1.1053710409699999</v>
      </c>
      <c r="AH3659">
        <v>11.1446482999695</v>
      </c>
      <c r="AI3659">
        <v>94.739141792213502</v>
      </c>
      <c r="AJ3659">
        <v>56.704250688439402</v>
      </c>
      <c r="AK3659">
        <v>13.379082529240399</v>
      </c>
      <c r="AL3659">
        <v>92.207677068540903</v>
      </c>
      <c r="AM3659">
        <v>77.1258402456955</v>
      </c>
      <c r="AN3659">
        <v>0.99999999731206901</v>
      </c>
    </row>
    <row r="3660" spans="1:40" x14ac:dyDescent="0.3">
      <c r="A3660" t="str">
        <f>"20200111160528098"</f>
        <v>20200111160528098</v>
      </c>
      <c r="B3660" t="str">
        <f>"1578729928095131"</f>
        <v>1578729928095131</v>
      </c>
      <c r="C3660" t="s">
        <v>40</v>
      </c>
      <c r="D3660">
        <v>5.6642080000000004</v>
      </c>
      <c r="E3660">
        <v>0.63853919999999997</v>
      </c>
      <c r="F3660" t="s">
        <v>75</v>
      </c>
      <c r="G3660">
        <v>-201.91409999999999</v>
      </c>
      <c r="H3660" s="1">
        <v>-9.9702550000000003E-6</v>
      </c>
      <c r="I3660">
        <v>144.15880000000001</v>
      </c>
      <c r="J3660">
        <v>-192.2705</v>
      </c>
      <c r="K3660">
        <v>1.1052470000000001</v>
      </c>
      <c r="L3660">
        <v>153.2758</v>
      </c>
      <c r="M3660">
        <v>-0.22953290000000001</v>
      </c>
      <c r="N3660">
        <v>0</v>
      </c>
      <c r="O3660">
        <v>-0.97319659999999997</v>
      </c>
      <c r="P3660">
        <v>-0.4404554</v>
      </c>
      <c r="Q3660">
        <v>-5.0250839999999998E-2</v>
      </c>
      <c r="R3660">
        <v>-0.89636740000000004</v>
      </c>
      <c r="S3660">
        <v>-2.2880099999999999</v>
      </c>
      <c r="T3660">
        <v>-0.25990469999999999</v>
      </c>
      <c r="U3660">
        <v>-2.2212070000000002</v>
      </c>
      <c r="V3660">
        <v>0.2224631</v>
      </c>
      <c r="W3660">
        <v>-3.9093099999999999E-2</v>
      </c>
      <c r="X3660">
        <v>0.97415700000000005</v>
      </c>
      <c r="Y3660">
        <v>0.53586369999999905</v>
      </c>
      <c r="Z3660">
        <v>8.4504889999999999E-2</v>
      </c>
      <c r="AA3660">
        <v>0.840064899999999</v>
      </c>
      <c r="AB3660">
        <v>24</v>
      </c>
      <c r="AC3660">
        <v>-9.6435999999999904</v>
      </c>
      <c r="AD3660">
        <v>-1.1052569702549999</v>
      </c>
      <c r="AE3660">
        <v>-9.1169999999999902</v>
      </c>
      <c r="AF3660">
        <v>7.2429690587232898</v>
      </c>
      <c r="AG3660">
        <v>-1.1052569702549999</v>
      </c>
      <c r="AH3660">
        <v>11.0109086715805</v>
      </c>
      <c r="AI3660">
        <v>94.793691621972002</v>
      </c>
      <c r="AJ3660">
        <v>56.663105360905298</v>
      </c>
      <c r="AK3660">
        <v>13.225819578755999</v>
      </c>
      <c r="AL3660">
        <v>92.240440594517594</v>
      </c>
      <c r="AM3660">
        <v>77.136253903860194</v>
      </c>
      <c r="AN3660">
        <v>0.99999998098910903</v>
      </c>
    </row>
    <row r="3661" spans="1:40" x14ac:dyDescent="0.3">
      <c r="A3661" t="str">
        <f>"20200111160528111"</f>
        <v>20200111160528111</v>
      </c>
      <c r="B3661" t="str">
        <f>"1578729928104891"</f>
        <v>1578729928104891</v>
      </c>
      <c r="C3661" t="s">
        <v>40</v>
      </c>
      <c r="D3661">
        <v>5.6607209999999997</v>
      </c>
      <c r="E3661">
        <v>0.63771610000000001</v>
      </c>
      <c r="F3661" t="s">
        <v>75</v>
      </c>
      <c r="G3661">
        <v>-202.03469999999999</v>
      </c>
      <c r="H3661" s="1">
        <v>-9.8581869999999993E-6</v>
      </c>
      <c r="I3661">
        <v>143.96180000000001</v>
      </c>
      <c r="J3661">
        <v>-192.30879999999999</v>
      </c>
      <c r="K3661">
        <v>1.105202</v>
      </c>
      <c r="L3661">
        <v>153.13589999999999</v>
      </c>
      <c r="M3661">
        <v>-0.23414740000000001</v>
      </c>
      <c r="N3661">
        <v>0</v>
      </c>
      <c r="O3661">
        <v>-0.97209639999999997</v>
      </c>
      <c r="P3661">
        <v>-0.44487769999999999</v>
      </c>
      <c r="Q3661">
        <v>-5.0314070000000002E-2</v>
      </c>
      <c r="R3661">
        <v>-0.89417709999999995</v>
      </c>
      <c r="S3661">
        <v>-2.3055729999999999</v>
      </c>
      <c r="T3661">
        <v>-0.26097969999999998</v>
      </c>
      <c r="U3661">
        <v>-2.1992799999999999</v>
      </c>
      <c r="V3661">
        <v>0.2226487</v>
      </c>
      <c r="W3661">
        <v>-3.9178610000000003E-2</v>
      </c>
      <c r="X3661">
        <v>0.97411119999999995</v>
      </c>
      <c r="Y3661">
        <v>0.53920449999999998</v>
      </c>
      <c r="Z3661">
        <v>8.4981310000000004E-2</v>
      </c>
      <c r="AA3661">
        <v>0.83787630000000002</v>
      </c>
      <c r="AB3661">
        <v>24</v>
      </c>
      <c r="AC3661">
        <v>-9.7258999999999904</v>
      </c>
      <c r="AD3661">
        <v>-1.1052118581870001</v>
      </c>
      <c r="AE3661">
        <v>-9.1740999999999797</v>
      </c>
      <c r="AF3661">
        <v>7.2575717482806796</v>
      </c>
      <c r="AG3661">
        <v>-1.1052118581870001</v>
      </c>
      <c r="AH3661">
        <v>11.1205540122396</v>
      </c>
      <c r="AI3661">
        <v>94.757667792124707</v>
      </c>
      <c r="AJ3661">
        <v>56.8704559459865</v>
      </c>
      <c r="AK3661">
        <v>13.3251852697086</v>
      </c>
      <c r="AL3661">
        <v>92.245343628668707</v>
      </c>
      <c r="AM3661">
        <v>77.125294061980895</v>
      </c>
      <c r="AN3661">
        <v>1.0000000185293301</v>
      </c>
    </row>
    <row r="3662" spans="1:40" x14ac:dyDescent="0.3">
      <c r="A3662" t="str">
        <f>"20200111160528129"</f>
        <v>20200111160528129</v>
      </c>
      <c r="B3662" t="str">
        <f>"1578729928125387"</f>
        <v>1578729928125387</v>
      </c>
      <c r="C3662" t="s">
        <v>40</v>
      </c>
      <c r="D3662">
        <v>5.653683</v>
      </c>
      <c r="E3662">
        <v>0.63632659999999996</v>
      </c>
      <c r="F3662" t="s">
        <v>75</v>
      </c>
      <c r="G3662">
        <v>-202.03389999999999</v>
      </c>
      <c r="H3662" s="1">
        <v>-9.844141E-6</v>
      </c>
      <c r="I3662">
        <v>143.9135</v>
      </c>
      <c r="J3662">
        <v>-192.3596</v>
      </c>
      <c r="K3662">
        <v>1.105151</v>
      </c>
      <c r="L3662">
        <v>152.95429999999999</v>
      </c>
      <c r="M3662">
        <v>-0.24019969999999999</v>
      </c>
      <c r="N3662">
        <v>0</v>
      </c>
      <c r="O3662">
        <v>-0.97061850000000005</v>
      </c>
      <c r="P3662">
        <v>-0.45053850000000001</v>
      </c>
      <c r="Q3662">
        <v>-4.9619150000000001E-2</v>
      </c>
      <c r="R3662">
        <v>-0.89137730000000004</v>
      </c>
      <c r="S3662">
        <v>-2.3102719999999999</v>
      </c>
      <c r="T3662">
        <v>-0.26255070000000003</v>
      </c>
      <c r="U3662">
        <v>-2.1908259999999999</v>
      </c>
      <c r="V3662">
        <v>0.22274969999999999</v>
      </c>
      <c r="W3662">
        <v>-3.8507689999999997E-2</v>
      </c>
      <c r="X3662">
        <v>0.97411479999999995</v>
      </c>
      <c r="Y3662">
        <v>0.53638989999999998</v>
      </c>
      <c r="Z3662">
        <v>8.5543350000000004E-2</v>
      </c>
      <c r="AA3662">
        <v>0.83962389999999998</v>
      </c>
      <c r="AB3662">
        <v>24</v>
      </c>
      <c r="AC3662">
        <v>-9.6742999999999792</v>
      </c>
      <c r="AD3662">
        <v>-1.1051608441409999</v>
      </c>
      <c r="AE3662">
        <v>-9.0407999999999902</v>
      </c>
      <c r="AF3662">
        <v>7.1692500729745499</v>
      </c>
      <c r="AG3662">
        <v>-1.1051608441409999</v>
      </c>
      <c r="AH3662">
        <v>11.0232721022362</v>
      </c>
      <c r="AI3662">
        <v>94.804163373764695</v>
      </c>
      <c r="AJ3662">
        <v>56.961069124780799</v>
      </c>
      <c r="AK3662">
        <v>13.195910538504201</v>
      </c>
      <c r="AL3662">
        <v>92.2068738469641</v>
      </c>
      <c r="AM3662">
        <v>77.119694478684494</v>
      </c>
      <c r="AN3662">
        <v>0.99999995730913205</v>
      </c>
    </row>
    <row r="3663" spans="1:40" x14ac:dyDescent="0.3">
      <c r="A3663" t="str">
        <f>"20200111160528151"</f>
        <v>20200111160528151</v>
      </c>
      <c r="B3663" t="str">
        <f>"1578729928144907"</f>
        <v>1578729928144907</v>
      </c>
      <c r="C3663" t="s">
        <v>40</v>
      </c>
      <c r="D3663">
        <v>5.6126239999999896</v>
      </c>
      <c r="E3663">
        <v>0.63522509999999999</v>
      </c>
      <c r="F3663" t="s">
        <v>75</v>
      </c>
      <c r="G3663">
        <v>-202.13149999999999</v>
      </c>
      <c r="H3663" s="1">
        <v>-9.7577990000000006E-6</v>
      </c>
      <c r="I3663">
        <v>143.744</v>
      </c>
      <c r="J3663">
        <v>-192.42679999999999</v>
      </c>
      <c r="K3663">
        <v>1.105089</v>
      </c>
      <c r="L3663">
        <v>152.72139999999999</v>
      </c>
      <c r="M3663">
        <v>-0.2480966</v>
      </c>
      <c r="N3663">
        <v>0</v>
      </c>
      <c r="O3663">
        <v>-0.96863010000000005</v>
      </c>
      <c r="P3663">
        <v>-0.45816200000000001</v>
      </c>
      <c r="Q3663">
        <v>-4.8323909999999998E-2</v>
      </c>
      <c r="R3663">
        <v>-0.88755430000000002</v>
      </c>
      <c r="S3663">
        <v>-2.3142849999999999</v>
      </c>
      <c r="T3663">
        <v>-0.261735</v>
      </c>
      <c r="U3663">
        <v>-2.1812740000000002</v>
      </c>
      <c r="V3663">
        <v>0.22315740000000001</v>
      </c>
      <c r="W3663">
        <v>-3.7245859999999999E-2</v>
      </c>
      <c r="X3663">
        <v>0.97407060000000001</v>
      </c>
      <c r="Y3663">
        <v>0.53209030000000002</v>
      </c>
      <c r="Z3663">
        <v>8.5346450000000004E-2</v>
      </c>
      <c r="AA3663">
        <v>0.84237519999999999</v>
      </c>
      <c r="AB3663">
        <v>24</v>
      </c>
      <c r="AC3663">
        <v>-9.7047000000000008</v>
      </c>
      <c r="AD3663">
        <v>-1.1050987577989999</v>
      </c>
      <c r="AE3663">
        <v>-8.9773999999999798</v>
      </c>
      <c r="AF3663">
        <v>7.1239544018698</v>
      </c>
      <c r="AG3663">
        <v>-1.1050987577989999</v>
      </c>
      <c r="AH3663">
        <v>11.027559292184201</v>
      </c>
      <c r="AI3663">
        <v>94.811557356447395</v>
      </c>
      <c r="AJ3663">
        <v>57.136986040383597</v>
      </c>
      <c r="AK3663">
        <v>13.1749396024061</v>
      </c>
      <c r="AL3663">
        <v>92.134524283783804</v>
      </c>
      <c r="AM3663">
        <v>77.096342033327204</v>
      </c>
      <c r="AN3663">
        <v>1.00000000652312</v>
      </c>
    </row>
    <row r="3664" spans="1:40" x14ac:dyDescent="0.3">
      <c r="A3664" t="str">
        <f>"20200111160528164"</f>
        <v>20200111160528164</v>
      </c>
      <c r="B3664" t="str">
        <f>"1578729928154667"</f>
        <v>1578729928154667</v>
      </c>
      <c r="C3664" t="s">
        <v>40</v>
      </c>
      <c r="D3664">
        <v>5.6235900000000001</v>
      </c>
      <c r="E3664">
        <v>0.63474710000000001</v>
      </c>
      <c r="F3664" t="s">
        <v>75</v>
      </c>
      <c r="G3664">
        <v>-202.30250000000001</v>
      </c>
      <c r="H3664" s="1">
        <v>-9.6346779999999992E-6</v>
      </c>
      <c r="I3664">
        <v>143.5214</v>
      </c>
      <c r="J3664">
        <v>-192.46629999999999</v>
      </c>
      <c r="K3664">
        <v>1.1050530000000001</v>
      </c>
      <c r="L3664">
        <v>152.5872</v>
      </c>
      <c r="M3664">
        <v>-0.2526967</v>
      </c>
      <c r="N3664">
        <v>0</v>
      </c>
      <c r="O3664">
        <v>-0.96743990000000002</v>
      </c>
      <c r="P3664">
        <v>-0.46263349999999998</v>
      </c>
      <c r="Q3664">
        <v>-4.7463419999999999E-2</v>
      </c>
      <c r="R3664">
        <v>-0.88527829999999996</v>
      </c>
      <c r="S3664">
        <v>-2.324875</v>
      </c>
      <c r="T3664">
        <v>-0.26015450000000001</v>
      </c>
      <c r="U3664">
        <v>-2.1658019999999998</v>
      </c>
      <c r="V3664">
        <v>0.22343779999999999</v>
      </c>
      <c r="W3664">
        <v>-3.6404939999999997E-2</v>
      </c>
      <c r="X3664">
        <v>0.97403810000000002</v>
      </c>
      <c r="Y3664">
        <v>0.53300970000000003</v>
      </c>
      <c r="Z3664">
        <v>8.4933839999999997E-2</v>
      </c>
      <c r="AA3664">
        <v>0.84183539999999901</v>
      </c>
      <c r="AB3664">
        <v>24</v>
      </c>
      <c r="AC3664">
        <v>-9.8362000000000194</v>
      </c>
      <c r="AD3664">
        <v>-1.1050626346779999</v>
      </c>
      <c r="AE3664">
        <v>-9.0657999999999905</v>
      </c>
      <c r="AF3664">
        <v>7.1767955212669499</v>
      </c>
      <c r="AG3664">
        <v>-1.1050626346779999</v>
      </c>
      <c r="AH3664">
        <v>11.1810381895964</v>
      </c>
      <c r="AI3664">
        <v>94.754574048314197</v>
      </c>
      <c r="AJ3664">
        <v>57.3047300748119</v>
      </c>
      <c r="AK3664">
        <v>13.332035567678799</v>
      </c>
      <c r="AL3664">
        <v>92.086310436672093</v>
      </c>
      <c r="AM3664">
        <v>77.080255509270501</v>
      </c>
      <c r="AN3664">
        <v>0.99999999518842597</v>
      </c>
    </row>
    <row r="3665" spans="1:40" x14ac:dyDescent="0.3">
      <c r="A3665" t="str">
        <f>"20200111160528177"</f>
        <v>20200111160528177</v>
      </c>
      <c r="B3665" t="str">
        <f>"1578729928165403"</f>
        <v>1578729928165403</v>
      </c>
      <c r="C3665" t="s">
        <v>40</v>
      </c>
      <c r="D3665">
        <v>5.9421730000000004</v>
      </c>
      <c r="E3665">
        <v>0.63405259999999997</v>
      </c>
      <c r="F3665" t="s">
        <v>75</v>
      </c>
      <c r="G3665">
        <v>-202.3801</v>
      </c>
      <c r="H3665" s="1">
        <v>-9.5789920000000007E-6</v>
      </c>
      <c r="I3665">
        <v>143.4211</v>
      </c>
      <c r="J3665">
        <v>-192.50620000000001</v>
      </c>
      <c r="K3665">
        <v>1.105016</v>
      </c>
      <c r="L3665">
        <v>152.45529999999999</v>
      </c>
      <c r="M3665">
        <v>-0.25728679999999998</v>
      </c>
      <c r="N3665">
        <v>0</v>
      </c>
      <c r="O3665">
        <v>-0.96622929999999996</v>
      </c>
      <c r="P3665">
        <v>-0.46712959999999898</v>
      </c>
      <c r="Q3665">
        <v>-4.6329179999999998E-2</v>
      </c>
      <c r="R3665">
        <v>-0.8829745</v>
      </c>
      <c r="S3665">
        <v>-2.332001</v>
      </c>
      <c r="T3665">
        <v>-0.25994240000000002</v>
      </c>
      <c r="U3665">
        <v>-2.1561430000000001</v>
      </c>
      <c r="V3665">
        <v>0.2237624</v>
      </c>
      <c r="W3665">
        <v>-3.5290139999999998E-2</v>
      </c>
      <c r="X3665">
        <v>0.9740046</v>
      </c>
      <c r="Y3665">
        <v>0.532161</v>
      </c>
      <c r="Z3665">
        <v>8.4899340000000004E-2</v>
      </c>
      <c r="AA3665">
        <v>0.84237569999999995</v>
      </c>
      <c r="AB3665">
        <v>24</v>
      </c>
      <c r="AC3665">
        <v>-9.8738999999999901</v>
      </c>
      <c r="AD3665">
        <v>-1.105025578992</v>
      </c>
      <c r="AE3665">
        <v>-9.0341999999999896</v>
      </c>
      <c r="AF3665">
        <v>7.1679416021254001</v>
      </c>
      <c r="AG3665">
        <v>-1.105025578992</v>
      </c>
      <c r="AH3665">
        <v>11.194367777678099</v>
      </c>
      <c r="AI3665">
        <v>94.752121398514802</v>
      </c>
      <c r="AJ3665">
        <v>57.367882412614797</v>
      </c>
      <c r="AK3665">
        <v>13.3384533692488</v>
      </c>
      <c r="AL3665">
        <v>92.022396042547996</v>
      </c>
      <c r="AM3665">
        <v>77.061687408296194</v>
      </c>
      <c r="AN3665">
        <v>0.99999998322806904</v>
      </c>
    </row>
    <row r="3666" spans="1:40" x14ac:dyDescent="0.3">
      <c r="A3666" t="str">
        <f>"20200111160528189"</f>
        <v>20200111160528189</v>
      </c>
      <c r="B3666" t="str">
        <f>"1578729928175163"</f>
        <v>1578729928175163</v>
      </c>
      <c r="C3666" t="s">
        <v>40</v>
      </c>
      <c r="D3666">
        <v>7.0058910000000001</v>
      </c>
      <c r="E3666">
        <v>0.63405259999999997</v>
      </c>
      <c r="F3666" t="s">
        <v>75</v>
      </c>
      <c r="G3666">
        <v>-202.58359999999999</v>
      </c>
      <c r="H3666" s="1">
        <v>-9.4443429999999996E-6</v>
      </c>
      <c r="I3666">
        <v>143.2012</v>
      </c>
      <c r="J3666">
        <v>-192.5421</v>
      </c>
      <c r="K3666">
        <v>1.104981</v>
      </c>
      <c r="L3666">
        <v>152.3382</v>
      </c>
      <c r="M3666">
        <v>-0.26138939999999999</v>
      </c>
      <c r="N3666">
        <v>0</v>
      </c>
      <c r="O3666">
        <v>-0.96512739999999997</v>
      </c>
      <c r="P3666">
        <v>-0.47120640000000003</v>
      </c>
      <c r="Q3666">
        <v>-4.5813109999999997E-2</v>
      </c>
      <c r="R3666">
        <v>-0.88083269999999902</v>
      </c>
      <c r="S3666">
        <v>-2.3381810000000001</v>
      </c>
      <c r="T3666">
        <v>-0.25639089999999998</v>
      </c>
      <c r="U3666">
        <v>-2.1471559999999998</v>
      </c>
      <c r="V3666">
        <v>0.22412309999999999</v>
      </c>
      <c r="W3666">
        <v>-3.4793980000000002E-2</v>
      </c>
      <c r="X3666">
        <v>0.97393949999999996</v>
      </c>
      <c r="Y3666">
        <v>0.53150369999999902</v>
      </c>
      <c r="Z3666">
        <v>8.3784979999999995E-2</v>
      </c>
      <c r="AA3666">
        <v>0.84290209999999999</v>
      </c>
      <c r="AB3666">
        <v>24</v>
      </c>
      <c r="AC3666">
        <v>-10.0414999999999</v>
      </c>
      <c r="AD3666">
        <v>-1.1049904443430001</v>
      </c>
      <c r="AE3666">
        <v>-9.1370000000000005</v>
      </c>
      <c r="AF3666">
        <v>7.25569403942192</v>
      </c>
      <c r="AG3666">
        <v>-1.1049904443430001</v>
      </c>
      <c r="AH3666">
        <v>11.3689683142082</v>
      </c>
      <c r="AI3666">
        <v>94.683792269805096</v>
      </c>
      <c r="AJ3666">
        <v>57.4539149242596</v>
      </c>
      <c r="AK3666">
        <v>13.532166877675699</v>
      </c>
      <c r="AL3666">
        <v>91.993950729491104</v>
      </c>
      <c r="AM3666">
        <v>77.040697656017699</v>
      </c>
      <c r="AN3666">
        <v>0.99999996732904906</v>
      </c>
    </row>
    <row r="3667" spans="1:40" x14ac:dyDescent="0.3">
      <c r="A3667" t="str">
        <f>"20200111160528207"</f>
        <v>20200111160528207</v>
      </c>
      <c r="B3667" t="str">
        <f>"1578729928194683"</f>
        <v>1578729928194683</v>
      </c>
      <c r="C3667" t="s">
        <v>40</v>
      </c>
      <c r="D3667">
        <v>5.6772769999999904</v>
      </c>
      <c r="E3667">
        <v>0.63345149999999995</v>
      </c>
      <c r="F3667" t="s">
        <v>75</v>
      </c>
      <c r="G3667">
        <v>-202.7311</v>
      </c>
      <c r="H3667" s="1">
        <v>-9.3534370000000005E-6</v>
      </c>
      <c r="I3667">
        <v>143.06729999999999</v>
      </c>
      <c r="J3667">
        <v>-192.59889999999999</v>
      </c>
      <c r="K3667">
        <v>1.1049119999999999</v>
      </c>
      <c r="L3667">
        <v>152.15639999999999</v>
      </c>
      <c r="M3667">
        <v>-0.26784069999999999</v>
      </c>
      <c r="N3667">
        <v>0</v>
      </c>
      <c r="O3667">
        <v>-0.96335680000000001</v>
      </c>
      <c r="P3667">
        <v>-0.47778130000000002</v>
      </c>
      <c r="Q3667">
        <v>-4.4564300000000001E-2</v>
      </c>
      <c r="R3667">
        <v>-0.87734799999999902</v>
      </c>
      <c r="S3667">
        <v>-2.3480829999999999</v>
      </c>
      <c r="T3667">
        <v>-0.25464680000000001</v>
      </c>
      <c r="U3667">
        <v>-2.1365050000000001</v>
      </c>
      <c r="V3667">
        <v>0.22488449999999999</v>
      </c>
      <c r="W3667">
        <v>-3.3582260000000003E-2</v>
      </c>
      <c r="X3667">
        <v>0.97380659999999997</v>
      </c>
      <c r="Y3667">
        <v>0.52974089999999996</v>
      </c>
      <c r="Z3667">
        <v>8.3198670000000002E-2</v>
      </c>
      <c r="AA3667">
        <v>0.84406909999999902</v>
      </c>
      <c r="AB3667">
        <v>24</v>
      </c>
      <c r="AC3667">
        <v>-10.132199999999999</v>
      </c>
      <c r="AD3667">
        <v>-1.1049213534369999</v>
      </c>
      <c r="AE3667">
        <v>-9.0891000000000002</v>
      </c>
      <c r="AF3667">
        <v>7.2792775352455497</v>
      </c>
      <c r="AG3667">
        <v>-1.1049213534369999</v>
      </c>
      <c r="AH3667">
        <v>11.3959447074804</v>
      </c>
      <c r="AI3667">
        <v>94.671284400010094</v>
      </c>
      <c r="AJ3667">
        <v>57.431173479845697</v>
      </c>
      <c r="AK3667">
        <v>13.5674717028768</v>
      </c>
      <c r="AL3667">
        <v>91.924483511764095</v>
      </c>
      <c r="AM3667">
        <v>76.996451192808294</v>
      </c>
      <c r="AN3667">
        <v>1.00000005036525</v>
      </c>
    </row>
    <row r="3668" spans="1:40" x14ac:dyDescent="0.3">
      <c r="A3668" t="str">
        <f>"20200111160528219"</f>
        <v>20200111160528219</v>
      </c>
      <c r="B3668" t="str">
        <f>"1578729928215179"</f>
        <v>1578729928215179</v>
      </c>
      <c r="C3668" t="s">
        <v>40</v>
      </c>
      <c r="D3668">
        <v>5.6499069999999998</v>
      </c>
      <c r="E3668">
        <v>0.63242869999999995</v>
      </c>
      <c r="F3668" t="s">
        <v>75</v>
      </c>
      <c r="G3668">
        <v>-203.00630000000001</v>
      </c>
      <c r="H3668" s="1">
        <v>-9.1794299999999993E-6</v>
      </c>
      <c r="I3668">
        <v>142.8004</v>
      </c>
      <c r="J3668">
        <v>-192.6405</v>
      </c>
      <c r="K3668">
        <v>1.1048530000000001</v>
      </c>
      <c r="L3668">
        <v>152.0266</v>
      </c>
      <c r="M3668">
        <v>-0.27252409999999999</v>
      </c>
      <c r="N3668">
        <v>0</v>
      </c>
      <c r="O3668">
        <v>-0.96204230000000002</v>
      </c>
      <c r="P3668">
        <v>-0.4825335</v>
      </c>
      <c r="Q3668">
        <v>-4.4159549999999999E-2</v>
      </c>
      <c r="R3668">
        <v>-0.87476369999999903</v>
      </c>
      <c r="S3668">
        <v>-2.3599399999999999</v>
      </c>
      <c r="T3668">
        <v>-0.25054929999999997</v>
      </c>
      <c r="U3668">
        <v>-2.1215359999999999</v>
      </c>
      <c r="V3668">
        <v>0.2254244</v>
      </c>
      <c r="W3668">
        <v>-3.3208599999999998E-2</v>
      </c>
      <c r="X3668">
        <v>0.97369450000000002</v>
      </c>
      <c r="Y3668">
        <v>0.53076769999999995</v>
      </c>
      <c r="Z3668">
        <v>8.1916409999999995E-2</v>
      </c>
      <c r="AA3668">
        <v>0.84354929999999995</v>
      </c>
      <c r="AB3668">
        <v>24</v>
      </c>
      <c r="AC3668">
        <v>-10.3658</v>
      </c>
      <c r="AD3668">
        <v>-1.10486217943</v>
      </c>
      <c r="AE3668">
        <v>-9.2262000000000004</v>
      </c>
      <c r="AF3668">
        <v>7.4117583851590396</v>
      </c>
      <c r="AG3668">
        <v>-1.10486217943</v>
      </c>
      <c r="AH3668">
        <v>11.6284131624985</v>
      </c>
      <c r="AI3668">
        <v>94.580902704895905</v>
      </c>
      <c r="AJ3668">
        <v>57.487236781684402</v>
      </c>
      <c r="AK3668">
        <v>13.8338308314537</v>
      </c>
      <c r="AL3668">
        <v>91.903062566373094</v>
      </c>
      <c r="AM3668">
        <v>76.964847819191405</v>
      </c>
      <c r="AN3668">
        <v>0.99999997527978401</v>
      </c>
    </row>
    <row r="3669" spans="1:40" x14ac:dyDescent="0.3">
      <c r="A3669" t="str">
        <f>"20200111160528232"</f>
        <v>20200111160528232</v>
      </c>
      <c r="B3669" t="str">
        <f>"1578729928224939"</f>
        <v>1578729928224939</v>
      </c>
      <c r="C3669" t="s">
        <v>40</v>
      </c>
      <c r="D3669">
        <v>6.6206209999999999</v>
      </c>
      <c r="E3669">
        <v>0.63242869999999995</v>
      </c>
      <c r="F3669" t="s">
        <v>75</v>
      </c>
      <c r="G3669">
        <v>-203.08330000000001</v>
      </c>
      <c r="H3669" s="1">
        <v>-9.1224359999999994E-6</v>
      </c>
      <c r="I3669">
        <v>142.6944</v>
      </c>
      <c r="J3669">
        <v>-192.68559999999999</v>
      </c>
      <c r="K3669">
        <v>1.1047880000000001</v>
      </c>
      <c r="L3669">
        <v>151.8887</v>
      </c>
      <c r="M3669">
        <v>-0.27756419999999998</v>
      </c>
      <c r="N3669">
        <v>0</v>
      </c>
      <c r="O3669">
        <v>-0.96060009999999996</v>
      </c>
      <c r="P3669">
        <v>-0.48745569999999999</v>
      </c>
      <c r="Q3669">
        <v>-4.3557569999999997E-2</v>
      </c>
      <c r="R3669">
        <v>-0.87206099999999998</v>
      </c>
      <c r="S3669">
        <v>-2.3641969999999999</v>
      </c>
      <c r="T3669">
        <v>-0.25013629999999998</v>
      </c>
      <c r="U3669">
        <v>-2.112762</v>
      </c>
      <c r="V3669">
        <v>0.2258011</v>
      </c>
      <c r="W3669">
        <v>-3.2637949999999999E-2</v>
      </c>
      <c r="X3669">
        <v>0.97362660000000001</v>
      </c>
      <c r="Y3669">
        <v>0.52882709999999999</v>
      </c>
      <c r="Z3669">
        <v>8.1824999999999995E-2</v>
      </c>
      <c r="AA3669">
        <v>0.84477599999999997</v>
      </c>
      <c r="AB3669">
        <v>24</v>
      </c>
      <c r="AC3669">
        <v>-10.3977</v>
      </c>
      <c r="AD3669">
        <v>-1.10479712243599</v>
      </c>
      <c r="AE3669">
        <v>-9.1942999999999895</v>
      </c>
      <c r="AF3669">
        <v>7.38996612165265</v>
      </c>
      <c r="AG3669">
        <v>-1.10479712243599</v>
      </c>
      <c r="AH3669">
        <v>11.6454957263933</v>
      </c>
      <c r="AI3669">
        <v>94.579734708273506</v>
      </c>
      <c r="AJ3669">
        <v>57.601719352013397</v>
      </c>
      <c r="AK3669">
        <v>13.8365366575007</v>
      </c>
      <c r="AL3669">
        <v>91.870348827207806</v>
      </c>
      <c r="AM3669">
        <v>76.942931514269702</v>
      </c>
      <c r="AN3669">
        <v>1.00000006438448</v>
      </c>
    </row>
    <row r="3670" spans="1:40" x14ac:dyDescent="0.3">
      <c r="A3670" t="str">
        <f>"20200111160528246"</f>
        <v>20200111160528246</v>
      </c>
      <c r="B3670" t="str">
        <f>"1578729928234700"</f>
        <v>1578729928234700</v>
      </c>
      <c r="C3670" t="s">
        <v>40</v>
      </c>
      <c r="D3670">
        <v>5.8695469999999998</v>
      </c>
      <c r="E3670">
        <v>0.60647010000000001</v>
      </c>
      <c r="F3670" t="s">
        <v>75</v>
      </c>
      <c r="G3670">
        <v>-203.29349999999999</v>
      </c>
      <c r="H3670" s="1">
        <v>-8.9961649999999996E-6</v>
      </c>
      <c r="I3670">
        <v>142.51589999999999</v>
      </c>
      <c r="J3670">
        <v>-192.73099999999999</v>
      </c>
      <c r="K3670">
        <v>1.1047199999999999</v>
      </c>
      <c r="L3670">
        <v>151.7518</v>
      </c>
      <c r="M3670">
        <v>-0.2826187</v>
      </c>
      <c r="N3670">
        <v>0</v>
      </c>
      <c r="O3670">
        <v>-0.95912500000000001</v>
      </c>
      <c r="P3670">
        <v>-0.49259069999999999</v>
      </c>
      <c r="Q3670">
        <v>-4.2886729999999998E-2</v>
      </c>
      <c r="R3670">
        <v>-0.86920419999999998</v>
      </c>
      <c r="S3670">
        <v>-2.3762050000000001</v>
      </c>
      <c r="T3670">
        <v>-0.24747640000000001</v>
      </c>
      <c r="U3670">
        <v>-2.0995180000000002</v>
      </c>
      <c r="V3670">
        <v>0.22641040000000001</v>
      </c>
      <c r="W3670">
        <v>-3.2004110000000002E-2</v>
      </c>
      <c r="X3670">
        <v>0.97350599999999998</v>
      </c>
      <c r="Y3670">
        <v>0.52918069999999995</v>
      </c>
      <c r="Z3670">
        <v>8.0958489999999994E-2</v>
      </c>
      <c r="AA3670">
        <v>0.84463809999999995</v>
      </c>
      <c r="AB3670">
        <v>24</v>
      </c>
      <c r="AC3670">
        <v>-10.5625</v>
      </c>
      <c r="AD3670">
        <v>-1.104728996165</v>
      </c>
      <c r="AE3670">
        <v>-9.2359000000000098</v>
      </c>
      <c r="AF3670">
        <v>7.4749553751224296</v>
      </c>
      <c r="AG3670">
        <v>-1.104728996165</v>
      </c>
      <c r="AH3670">
        <v>11.7717864292011</v>
      </c>
      <c r="AI3670">
        <v>94.529688971149696</v>
      </c>
      <c r="AJ3670">
        <v>57.584900146184602</v>
      </c>
      <c r="AK3670">
        <v>13.9882214648526</v>
      </c>
      <c r="AL3670">
        <v>91.834013730838294</v>
      </c>
      <c r="AM3670">
        <v>76.907344461161301</v>
      </c>
      <c r="AN3670">
        <v>0.99999993216052296</v>
      </c>
    </row>
    <row r="3671" spans="1:40" x14ac:dyDescent="0.3">
      <c r="A3671" t="str">
        <f>"20200111160528263"</f>
        <v>20200111160528263</v>
      </c>
      <c r="B3671" t="str">
        <f>"1578729928255198"</f>
        <v>1578729928255198</v>
      </c>
      <c r="C3671" t="s">
        <v>40</v>
      </c>
      <c r="D3671">
        <v>6.0818089999999998</v>
      </c>
      <c r="E3671">
        <v>0.60882979999999998</v>
      </c>
      <c r="F3671" t="s">
        <v>76</v>
      </c>
      <c r="G3671">
        <v>-226.3964</v>
      </c>
      <c r="H3671">
        <v>0.89771650000000003</v>
      </c>
      <c r="I3671">
        <v>118.7623</v>
      </c>
      <c r="J3671">
        <v>-192.78919999999999</v>
      </c>
      <c r="K3671">
        <v>1.1046260000000001</v>
      </c>
      <c r="L3671">
        <v>151.58000000000001</v>
      </c>
      <c r="M3671">
        <v>-0.28907899999999997</v>
      </c>
      <c r="N3671">
        <v>0</v>
      </c>
      <c r="O3671">
        <v>-0.95719739999999998</v>
      </c>
      <c r="P3671">
        <v>-0.4996488</v>
      </c>
      <c r="Q3671">
        <v>-4.1070639999999999E-2</v>
      </c>
      <c r="R3671">
        <v>-0.86525429999999903</v>
      </c>
      <c r="S3671">
        <v>-2.2311550000000002</v>
      </c>
      <c r="T3671">
        <v>-1.3718609999999999E-2</v>
      </c>
      <c r="U3671">
        <v>-2.186356</v>
      </c>
      <c r="V3671">
        <v>0.2277613</v>
      </c>
      <c r="W3671">
        <v>-3.0248489999999999E-2</v>
      </c>
      <c r="X3671">
        <v>0.97324710000000003</v>
      </c>
      <c r="Y3671">
        <v>0.48138560000000002</v>
      </c>
      <c r="Z3671">
        <v>4.5297519999999997E-3</v>
      </c>
      <c r="AA3671">
        <v>0.87649719999999998</v>
      </c>
      <c r="AB3671">
        <v>24</v>
      </c>
      <c r="AC3671">
        <v>-33.607199999999999</v>
      </c>
      <c r="AD3671">
        <v>-0.2069095</v>
      </c>
      <c r="AE3671">
        <v>-32.817700000000002</v>
      </c>
      <c r="AF3671">
        <v>22.6837183428282</v>
      </c>
      <c r="AG3671">
        <v>-0.2069095</v>
      </c>
      <c r="AH3671">
        <v>41.131601314351997</v>
      </c>
      <c r="AI3671">
        <v>90.252384160929495</v>
      </c>
      <c r="AJ3671">
        <v>61.123648720932898</v>
      </c>
      <c r="AK3671">
        <v>46.972359064462097</v>
      </c>
      <c r="AL3671">
        <v>91.733375128119206</v>
      </c>
      <c r="AM3671">
        <v>76.828559289298497</v>
      </c>
      <c r="AN3671">
        <v>1.0000000492916801</v>
      </c>
    </row>
    <row r="3672" spans="1:40" x14ac:dyDescent="0.3">
      <c r="A3672" t="str">
        <f>"20200111160528275"</f>
        <v>20200111160528275</v>
      </c>
      <c r="B3672" t="str">
        <f>"1578729928264956"</f>
        <v>1578729928264956</v>
      </c>
      <c r="C3672" t="s">
        <v>40</v>
      </c>
      <c r="D3672">
        <v>6.061928</v>
      </c>
      <c r="E3672">
        <v>0.60798790000000003</v>
      </c>
      <c r="F3672" t="s">
        <v>76</v>
      </c>
      <c r="G3672">
        <v>-226.28389999999999</v>
      </c>
      <c r="H3672">
        <v>0.46325640000000001</v>
      </c>
      <c r="I3672">
        <v>119.5971</v>
      </c>
      <c r="J3672">
        <v>-192.8321</v>
      </c>
      <c r="K3672">
        <v>1.1045529999999999</v>
      </c>
      <c r="L3672">
        <v>151.4572</v>
      </c>
      <c r="M3672">
        <v>-0.29380089999999998</v>
      </c>
      <c r="N3672">
        <v>0</v>
      </c>
      <c r="O3672">
        <v>-0.95575849999999996</v>
      </c>
      <c r="P3672">
        <v>-0.50462989999999996</v>
      </c>
      <c r="Q3672">
        <v>-4.0733480000000002E-2</v>
      </c>
      <c r="R3672">
        <v>-0.86237459999999899</v>
      </c>
      <c r="S3672">
        <v>-2.2613829999999999</v>
      </c>
      <c r="T3672">
        <v>-4.330146E-2</v>
      </c>
      <c r="U3672">
        <v>-2.1593170000000002</v>
      </c>
      <c r="V3672">
        <v>0.22856290000000001</v>
      </c>
      <c r="W3672">
        <v>-2.995329E-2</v>
      </c>
      <c r="X3672">
        <v>0.97306820000000005</v>
      </c>
      <c r="Y3672">
        <v>0.48831970000000002</v>
      </c>
      <c r="Z3672">
        <v>1.4297290000000001E-2</v>
      </c>
      <c r="AA3672">
        <v>0.87254769999999904</v>
      </c>
      <c r="AB3672">
        <v>24</v>
      </c>
      <c r="AC3672">
        <v>-33.451799999999899</v>
      </c>
      <c r="AD3672">
        <v>-0.64129659999999999</v>
      </c>
      <c r="AE3672">
        <v>-31.860099999999999</v>
      </c>
      <c r="AF3672">
        <v>22.609296564966499</v>
      </c>
      <c r="AG3672">
        <v>-0.64129659999999999</v>
      </c>
      <c r="AH3672">
        <v>40.275132763668097</v>
      </c>
      <c r="AI3672">
        <v>90.795483353195294</v>
      </c>
      <c r="AJ3672">
        <v>60.691403779305901</v>
      </c>
      <c r="AK3672">
        <v>46.191751120983398</v>
      </c>
      <c r="AL3672">
        <v>91.716453899838001</v>
      </c>
      <c r="AM3672">
        <v>76.781482444810294</v>
      </c>
      <c r="AN3672">
        <v>0.99999996034473604</v>
      </c>
    </row>
    <row r="3673" spans="1:40" x14ac:dyDescent="0.3">
      <c r="A3673" t="str">
        <f>"20200111160528289"</f>
        <v>20200111160528289</v>
      </c>
      <c r="B3673" t="str">
        <f>"1578729928285451"</f>
        <v>1578729928285451</v>
      </c>
      <c r="C3673" t="s">
        <v>40</v>
      </c>
      <c r="D3673">
        <v>5.8172860000000002</v>
      </c>
      <c r="E3673">
        <v>0.6077285</v>
      </c>
      <c r="F3673" t="s">
        <v>76</v>
      </c>
      <c r="G3673">
        <v>-226.4247</v>
      </c>
      <c r="H3673">
        <v>0.38048599999999999</v>
      </c>
      <c r="I3673">
        <v>119.5971</v>
      </c>
      <c r="J3673">
        <v>-192.87799999999999</v>
      </c>
      <c r="K3673">
        <v>1.1044769999999999</v>
      </c>
      <c r="L3673">
        <v>151.3271</v>
      </c>
      <c r="M3673">
        <v>-0.29885499999999998</v>
      </c>
      <c r="N3673">
        <v>0</v>
      </c>
      <c r="O3673">
        <v>-0.95418979999999998</v>
      </c>
      <c r="P3673">
        <v>-0.51018330000000001</v>
      </c>
      <c r="Q3673">
        <v>-3.990486E-2</v>
      </c>
      <c r="R3673">
        <v>-0.85913969999999995</v>
      </c>
      <c r="S3673">
        <v>-2.2668759999999999</v>
      </c>
      <c r="T3673">
        <v>-4.8860550000000003E-2</v>
      </c>
      <c r="U3673">
        <v>-2.1499630000000001</v>
      </c>
      <c r="V3673">
        <v>0.22968479999999999</v>
      </c>
      <c r="W3673">
        <v>-2.9175019999999999E-2</v>
      </c>
      <c r="X3673">
        <v>0.97282769999999996</v>
      </c>
      <c r="Y3673">
        <v>0.48662810000000001</v>
      </c>
      <c r="Z3673">
        <v>1.613641E-2</v>
      </c>
      <c r="AA3673">
        <v>0.87346019999999902</v>
      </c>
      <c r="AB3673">
        <v>23</v>
      </c>
      <c r="AC3673">
        <v>-33.546700000000001</v>
      </c>
      <c r="AD3673">
        <v>-0.72399100000000005</v>
      </c>
      <c r="AE3673">
        <v>-31.73</v>
      </c>
      <c r="AF3673">
        <v>22.5240503438872</v>
      </c>
      <c r="AG3673">
        <v>-0.72399100000000005</v>
      </c>
      <c r="AH3673">
        <v>40.2963174186673</v>
      </c>
      <c r="AI3673">
        <v>90.898494928123895</v>
      </c>
      <c r="AJ3673">
        <v>60.796533350910899</v>
      </c>
      <c r="AK3673">
        <v>46.169797534405902</v>
      </c>
      <c r="AL3673">
        <v>91.671842724860298</v>
      </c>
      <c r="AM3673">
        <v>76.71572647664</v>
      </c>
      <c r="AN3673">
        <v>1.0000000115151599</v>
      </c>
    </row>
    <row r="3674" spans="1:40" x14ac:dyDescent="0.3">
      <c r="A3674" t="str">
        <f>"20200111160528306"</f>
        <v>20200111160528306</v>
      </c>
      <c r="B3674" t="str">
        <f>"1578729928304971"</f>
        <v>1578729928304971</v>
      </c>
      <c r="C3674" t="s">
        <v>40</v>
      </c>
      <c r="D3674">
        <v>5.6753090000000004</v>
      </c>
      <c r="E3674">
        <v>0.60250669999999995</v>
      </c>
      <c r="F3674" t="s">
        <v>76</v>
      </c>
      <c r="G3674">
        <v>-226.71250000000001</v>
      </c>
      <c r="H3674">
        <v>0.3497152</v>
      </c>
      <c r="I3674">
        <v>119.5971</v>
      </c>
      <c r="J3674">
        <v>-192.9453</v>
      </c>
      <c r="K3674">
        <v>1.1043639999999999</v>
      </c>
      <c r="L3674">
        <v>151.14109999999999</v>
      </c>
      <c r="M3674">
        <v>-0.30622379999999999</v>
      </c>
      <c r="N3674">
        <v>0</v>
      </c>
      <c r="O3674">
        <v>-0.95185019999999998</v>
      </c>
      <c r="P3674">
        <v>-0.5189859</v>
      </c>
      <c r="Q3674">
        <v>-3.7880730000000001E-2</v>
      </c>
      <c r="R3674">
        <v>-0.85394300000000001</v>
      </c>
      <c r="S3674">
        <v>-2.278305</v>
      </c>
      <c r="T3674">
        <v>-5.0822850000000003E-2</v>
      </c>
      <c r="U3674">
        <v>-2.1365970000000001</v>
      </c>
      <c r="V3674">
        <v>0.23215160000000001</v>
      </c>
      <c r="W3674">
        <v>-2.7239869999999999E-2</v>
      </c>
      <c r="X3674">
        <v>0.97229810000000005</v>
      </c>
      <c r="Y3674">
        <v>0.48477609999999899</v>
      </c>
      <c r="Z3674">
        <v>1.6776369999999999E-2</v>
      </c>
      <c r="AA3674">
        <v>0.87447739999999996</v>
      </c>
      <c r="AB3674">
        <v>23</v>
      </c>
      <c r="AC3674">
        <v>-33.767200000000003</v>
      </c>
      <c r="AD3674">
        <v>-0.75464879999999901</v>
      </c>
      <c r="AE3674">
        <v>-31.544</v>
      </c>
      <c r="AF3674">
        <v>22.4781378589756</v>
      </c>
      <c r="AG3674">
        <v>-0.75464879999999901</v>
      </c>
      <c r="AH3674">
        <v>40.358921146636298</v>
      </c>
      <c r="AI3674">
        <v>90.935880875933094</v>
      </c>
      <c r="AJ3674">
        <v>60.884123104274799</v>
      </c>
      <c r="AK3674">
        <v>46.2025831803684</v>
      </c>
      <c r="AL3674">
        <v>91.560922685433795</v>
      </c>
      <c r="AM3674">
        <v>76.571144858275403</v>
      </c>
      <c r="AN3674">
        <v>0.99999998558189296</v>
      </c>
    </row>
    <row r="3675" spans="1:40" x14ac:dyDescent="0.3">
      <c r="A3675" t="str">
        <f>"20200111160528318"</f>
        <v>20200111160528318</v>
      </c>
      <c r="B3675" t="str">
        <f>"1578729928314731"</f>
        <v>1578729928314731</v>
      </c>
      <c r="C3675" t="s">
        <v>40</v>
      </c>
      <c r="D3675">
        <v>5.9382869999999999</v>
      </c>
      <c r="E3675">
        <v>0.60261149999999997</v>
      </c>
      <c r="F3675" t="s">
        <v>75</v>
      </c>
      <c r="G3675">
        <v>-198.5806</v>
      </c>
      <c r="H3675" s="1">
        <v>-1.1108289999999999E-5</v>
      </c>
      <c r="I3675">
        <v>145.7329</v>
      </c>
      <c r="J3675">
        <v>-192.98869999999999</v>
      </c>
      <c r="K3675">
        <v>1.104295</v>
      </c>
      <c r="L3675">
        <v>151.02369999999999</v>
      </c>
      <c r="M3675">
        <v>-0.3109654</v>
      </c>
      <c r="N3675">
        <v>0</v>
      </c>
      <c r="O3675">
        <v>-0.95031169999999998</v>
      </c>
      <c r="P3675">
        <v>-0.52471630000000002</v>
      </c>
      <c r="Q3675">
        <v>-3.6519610000000001E-2</v>
      </c>
      <c r="R3675">
        <v>-0.85049379999999997</v>
      </c>
      <c r="S3675">
        <v>-2.2288969999999999</v>
      </c>
      <c r="T3675">
        <v>-0.4368089</v>
      </c>
      <c r="U3675">
        <v>-2.139084</v>
      </c>
      <c r="V3675">
        <v>0.2338374</v>
      </c>
      <c r="W3675">
        <v>-2.593678E-2</v>
      </c>
      <c r="X3675">
        <v>0.97192970000000001</v>
      </c>
      <c r="Y3675">
        <v>0.46264929999999899</v>
      </c>
      <c r="Z3675">
        <v>0.14388210000000001</v>
      </c>
      <c r="AA3675">
        <v>0.87478769999999995</v>
      </c>
      <c r="AB3675">
        <v>23</v>
      </c>
      <c r="AC3675">
        <v>-5.5919000000000096</v>
      </c>
      <c r="AD3675">
        <v>-1.1043061082899901</v>
      </c>
      <c r="AE3675">
        <v>-5.2907999999999902</v>
      </c>
      <c r="AF3675">
        <v>3.5951923331112399</v>
      </c>
      <c r="AG3675">
        <v>-1.1043061082899901</v>
      </c>
      <c r="AH3675">
        <v>6.6310473360366098</v>
      </c>
      <c r="AI3675">
        <v>98.3290620772718</v>
      </c>
      <c r="AJ3675">
        <v>61.534529436886302</v>
      </c>
      <c r="AK3675">
        <v>7.6233646551655001</v>
      </c>
      <c r="AL3675">
        <v>91.486234704678495</v>
      </c>
      <c r="AM3675">
        <v>76.472261138897395</v>
      </c>
      <c r="AN3675">
        <v>0.99999999396880901</v>
      </c>
    </row>
    <row r="3676" spans="1:40" x14ac:dyDescent="0.3">
      <c r="A3676" t="str">
        <f>"20200111160528331"</f>
        <v>20200111160528331</v>
      </c>
      <c r="B3676" t="str">
        <f>"1578729928325467"</f>
        <v>1578729928325467</v>
      </c>
      <c r="C3676" t="s">
        <v>40</v>
      </c>
      <c r="D3676">
        <v>6.0144310000000001</v>
      </c>
      <c r="E3676">
        <v>0.5999274</v>
      </c>
      <c r="F3676" t="s">
        <v>75</v>
      </c>
      <c r="G3676">
        <v>-199.00409999999999</v>
      </c>
      <c r="H3676" s="1">
        <v>-1.105105E-5</v>
      </c>
      <c r="I3676">
        <v>145.33600000000001</v>
      </c>
      <c r="J3676">
        <v>-193.03579999999999</v>
      </c>
      <c r="K3676">
        <v>1.1042259999999999</v>
      </c>
      <c r="L3676">
        <v>150.89869999999999</v>
      </c>
      <c r="M3676">
        <v>-0.31608269999999999</v>
      </c>
      <c r="N3676">
        <v>0</v>
      </c>
      <c r="O3676">
        <v>-0.94862159999999995</v>
      </c>
      <c r="P3676">
        <v>-0.53096180000000004</v>
      </c>
      <c r="Q3676">
        <v>-3.5238899999999997E-2</v>
      </c>
      <c r="R3676">
        <v>-0.84666299999999906</v>
      </c>
      <c r="S3676">
        <v>-2.246216</v>
      </c>
      <c r="T3676">
        <v>-0.41235909999999898</v>
      </c>
      <c r="U3676">
        <v>-2.12384</v>
      </c>
      <c r="V3676">
        <v>0.2357484</v>
      </c>
      <c r="W3676">
        <v>-2.471837E-2</v>
      </c>
      <c r="X3676">
        <v>0.97149969999999997</v>
      </c>
      <c r="Y3676">
        <v>0.46523560000000003</v>
      </c>
      <c r="Z3676">
        <v>0.1358819</v>
      </c>
      <c r="AA3676">
        <v>0.87469540000000001</v>
      </c>
      <c r="AB3676">
        <v>23</v>
      </c>
      <c r="AC3676">
        <v>-5.9682999999999904</v>
      </c>
      <c r="AD3676">
        <v>-1.1042370510499999</v>
      </c>
      <c r="AE3676">
        <v>-5.5626999999999702</v>
      </c>
      <c r="AF3676">
        <v>3.8335683963329199</v>
      </c>
      <c r="AG3676">
        <v>-1.1042370510499999</v>
      </c>
      <c r="AH3676">
        <v>7.0352483312667902</v>
      </c>
      <c r="AI3676">
        <v>97.8473041912453</v>
      </c>
      <c r="AJ3676">
        <v>61.413646901996003</v>
      </c>
      <c r="AK3676">
        <v>8.0876637663089301</v>
      </c>
      <c r="AL3676">
        <v>91.416402558008897</v>
      </c>
      <c r="AM3676">
        <v>76.360009165048893</v>
      </c>
      <c r="AN3676">
        <v>0.99999998650905297</v>
      </c>
    </row>
    <row r="3677" spans="1:40" x14ac:dyDescent="0.3">
      <c r="A3677" t="str">
        <f>"20200111160528344"</f>
        <v>20200111160528344</v>
      </c>
      <c r="B3677" t="str">
        <f>"1578729928335228"</f>
        <v>1578729928335228</v>
      </c>
      <c r="C3677" t="s">
        <v>40</v>
      </c>
      <c r="D3677">
        <v>5.8120339999999997</v>
      </c>
      <c r="E3677">
        <v>0.59864280000000003</v>
      </c>
      <c r="F3677" t="s">
        <v>75</v>
      </c>
      <c r="G3677">
        <v>-199.05680000000001</v>
      </c>
      <c r="H3677" s="1">
        <v>-1.10218899999999E-5</v>
      </c>
      <c r="I3677">
        <v>145.21250000000001</v>
      </c>
      <c r="J3677">
        <v>-193.0855</v>
      </c>
      <c r="K3677">
        <v>1.104158</v>
      </c>
      <c r="L3677">
        <v>150.76849999999999</v>
      </c>
      <c r="M3677">
        <v>-0.321461</v>
      </c>
      <c r="N3677">
        <v>0</v>
      </c>
      <c r="O3677">
        <v>-0.94681230000000005</v>
      </c>
      <c r="P3677">
        <v>-0.53763280000000002</v>
      </c>
      <c r="Q3677">
        <v>-3.370927E-2</v>
      </c>
      <c r="R3677">
        <v>-0.84250539999999996</v>
      </c>
      <c r="S3677">
        <v>-2.2438199999999999</v>
      </c>
      <c r="T3677">
        <v>-0.41151330000000003</v>
      </c>
      <c r="U3677">
        <v>-2.119049</v>
      </c>
      <c r="V3677">
        <v>0.23790559999999999</v>
      </c>
      <c r="W3677">
        <v>-2.325605E-2</v>
      </c>
      <c r="X3677">
        <v>0.97100989999999998</v>
      </c>
      <c r="Y3677">
        <v>0.4607579</v>
      </c>
      <c r="Z3677">
        <v>0.13564979999999999</v>
      </c>
      <c r="AA3677">
        <v>0.87709820000000005</v>
      </c>
      <c r="AB3677">
        <v>23</v>
      </c>
      <c r="AC3677">
        <v>-5.97130000000001</v>
      </c>
      <c r="AD3677">
        <v>-1.10416902189</v>
      </c>
      <c r="AE3677">
        <v>-5.5559999999999796</v>
      </c>
      <c r="AF3677">
        <v>3.7984549014874598</v>
      </c>
      <c r="AG3677">
        <v>-1.10416902189</v>
      </c>
      <c r="AH3677">
        <v>7.0515495643999699</v>
      </c>
      <c r="AI3677">
        <v>97.849142867975104</v>
      </c>
      <c r="AJ3677">
        <v>61.690006524214901</v>
      </c>
      <c r="AK3677">
        <v>8.0852829342407695</v>
      </c>
      <c r="AL3677">
        <v>91.332593556262395</v>
      </c>
      <c r="AM3677">
        <v>76.2332442811921</v>
      </c>
      <c r="AN3677">
        <v>1.00000007213548</v>
      </c>
    </row>
    <row r="3678" spans="1:40" x14ac:dyDescent="0.3">
      <c r="A3678" t="str">
        <f>"20200111160528357"</f>
        <v>20200111160528357</v>
      </c>
      <c r="B3678" t="str">
        <f>"1578729928354747"</f>
        <v>1578729928354747</v>
      </c>
      <c r="C3678" t="s">
        <v>40</v>
      </c>
      <c r="D3678">
        <v>5.754537</v>
      </c>
      <c r="E3678">
        <v>0.59873679999999996</v>
      </c>
      <c r="F3678" t="s">
        <v>75</v>
      </c>
      <c r="G3678">
        <v>-199.0624</v>
      </c>
      <c r="H3678" s="1">
        <v>-1.101134E-5</v>
      </c>
      <c r="I3678">
        <v>145.17439999999999</v>
      </c>
      <c r="J3678">
        <v>-193.13470000000001</v>
      </c>
      <c r="K3678">
        <v>1.104095</v>
      </c>
      <c r="L3678">
        <v>150.643</v>
      </c>
      <c r="M3678">
        <v>-0.32675910000000002</v>
      </c>
      <c r="N3678">
        <v>0</v>
      </c>
      <c r="O3678">
        <v>-0.94499670000000002</v>
      </c>
      <c r="P3678">
        <v>-0.54425080000000003</v>
      </c>
      <c r="Q3678">
        <v>-3.2072080000000003E-2</v>
      </c>
      <c r="R3678">
        <v>-0.83830990000000005</v>
      </c>
      <c r="S3678">
        <v>-2.2515559999999999</v>
      </c>
      <c r="T3678">
        <v>-0.41595130000000002</v>
      </c>
      <c r="U3678">
        <v>-2.1073759999999999</v>
      </c>
      <c r="V3678">
        <v>0.24011170000000001</v>
      </c>
      <c r="W3678">
        <v>-2.168498E-2</v>
      </c>
      <c r="X3678">
        <v>0.970503</v>
      </c>
      <c r="Y3678">
        <v>0.45956999999999998</v>
      </c>
      <c r="Z3678">
        <v>0.13709489999999999</v>
      </c>
      <c r="AA3678">
        <v>0.87749669999999902</v>
      </c>
      <c r="AB3678">
        <v>23</v>
      </c>
      <c r="AC3678">
        <v>-5.9276999999999802</v>
      </c>
      <c r="AD3678">
        <v>-1.1041060113400001</v>
      </c>
      <c r="AE3678">
        <v>-5.4686000000000003</v>
      </c>
      <c r="AF3678">
        <v>3.7449537069433001</v>
      </c>
      <c r="AG3678">
        <v>-1.1041060113400001</v>
      </c>
      <c r="AH3678">
        <v>6.9747619376310697</v>
      </c>
      <c r="AI3678">
        <v>97.939703520090205</v>
      </c>
      <c r="AJ3678">
        <v>61.767347917755998</v>
      </c>
      <c r="AK3678">
        <v>7.9931866259992104</v>
      </c>
      <c r="AL3678">
        <v>91.242555266038195</v>
      </c>
      <c r="AM3678">
        <v>76.103533190135593</v>
      </c>
      <c r="AN3678">
        <v>0.999999969921744</v>
      </c>
    </row>
    <row r="3679" spans="1:40" x14ac:dyDescent="0.3">
      <c r="A3679" t="str">
        <f>"20200111160528375"</f>
        <v>20200111160528375</v>
      </c>
      <c r="B3679" t="str">
        <f>"1578729928365328"</f>
        <v>1578729928365328</v>
      </c>
      <c r="C3679" t="s">
        <v>40</v>
      </c>
      <c r="D3679">
        <v>5.7480840000000004</v>
      </c>
      <c r="E3679">
        <v>0.601707199999999</v>
      </c>
      <c r="F3679" t="s">
        <v>75</v>
      </c>
      <c r="G3679">
        <v>-199.0532</v>
      </c>
      <c r="H3679" s="1">
        <v>-1.1014520000000001E-5</v>
      </c>
      <c r="I3679">
        <v>145.18950000000001</v>
      </c>
      <c r="J3679">
        <v>-193.2029</v>
      </c>
      <c r="K3679">
        <v>1.104015</v>
      </c>
      <c r="L3679">
        <v>150.47210000000001</v>
      </c>
      <c r="M3679">
        <v>-0.3340649</v>
      </c>
      <c r="N3679">
        <v>0</v>
      </c>
      <c r="O3679">
        <v>-0.94243849999999996</v>
      </c>
      <c r="P3679">
        <v>-0.55487469999999905</v>
      </c>
      <c r="Q3679">
        <v>-2.9869380000000001E-2</v>
      </c>
      <c r="R3679">
        <v>-0.83139789999999902</v>
      </c>
      <c r="S3679">
        <v>-2.2681429999999998</v>
      </c>
      <c r="T3679">
        <v>-0.42312250000000001</v>
      </c>
      <c r="U3679">
        <v>-2.0899350000000001</v>
      </c>
      <c r="V3679">
        <v>0.24494550000000001</v>
      </c>
      <c r="W3679">
        <v>-1.9607079999999999E-2</v>
      </c>
      <c r="X3679">
        <v>0.96933860000000005</v>
      </c>
      <c r="Y3679">
        <v>0.4593216</v>
      </c>
      <c r="Z3679">
        <v>0.13929929999999999</v>
      </c>
      <c r="AA3679">
        <v>0.87727949999999999</v>
      </c>
      <c r="AB3679">
        <v>23</v>
      </c>
      <c r="AC3679">
        <v>-5.8502999999999998</v>
      </c>
      <c r="AD3679">
        <v>-1.10402601452</v>
      </c>
      <c r="AE3679">
        <v>-5.2826000000000004</v>
      </c>
      <c r="AF3679">
        <v>3.6770758763016902</v>
      </c>
      <c r="AG3679">
        <v>-1.10402601452</v>
      </c>
      <c r="AH3679">
        <v>6.8002309838253501</v>
      </c>
      <c r="AI3679">
        <v>98.127469229293595</v>
      </c>
      <c r="AJ3679">
        <v>61.598665468121702</v>
      </c>
      <c r="AK3679">
        <v>7.8091550038525304</v>
      </c>
      <c r="AL3679">
        <v>91.123474892722399</v>
      </c>
      <c r="AM3679">
        <v>75.818604195228701</v>
      </c>
      <c r="AN3679">
        <v>1.0000000285031601</v>
      </c>
    </row>
    <row r="3680" spans="1:40" x14ac:dyDescent="0.3">
      <c r="A3680" t="str">
        <f>"20200111160528387"</f>
        <v>20200111160528387</v>
      </c>
      <c r="B3680" t="str">
        <f>"1578729928384848"</f>
        <v>1578729928384848</v>
      </c>
      <c r="C3680" t="s">
        <v>40</v>
      </c>
      <c r="D3680">
        <v>5.8103619999999996</v>
      </c>
      <c r="E3680">
        <v>0.65492050000000002</v>
      </c>
      <c r="F3680" t="s">
        <v>75</v>
      </c>
      <c r="G3680">
        <v>-199.3133</v>
      </c>
      <c r="H3680" s="1">
        <v>-1.1014959999999999E-5</v>
      </c>
      <c r="I3680">
        <v>145.06540000000001</v>
      </c>
      <c r="J3680">
        <v>-193.25370000000001</v>
      </c>
      <c r="K3680">
        <v>1.1039479999999999</v>
      </c>
      <c r="L3680">
        <v>150.34700000000001</v>
      </c>
      <c r="M3680">
        <v>-0.33948650000000002</v>
      </c>
      <c r="N3680">
        <v>0</v>
      </c>
      <c r="O3680">
        <v>-0.94049870000000002</v>
      </c>
      <c r="P3680">
        <v>-0.56141260000000004</v>
      </c>
      <c r="Q3680">
        <v>-2.899852E-2</v>
      </c>
      <c r="R3680">
        <v>-0.82702779999999998</v>
      </c>
      <c r="S3680">
        <v>-2.314972</v>
      </c>
      <c r="T3680">
        <v>-0.41826340000000001</v>
      </c>
      <c r="U3680">
        <v>-2.0483549999999999</v>
      </c>
      <c r="V3680">
        <v>0.2470048</v>
      </c>
      <c r="W3680">
        <v>-1.8799960000000001E-2</v>
      </c>
      <c r="X3680">
        <v>0.96883189999999997</v>
      </c>
      <c r="Y3680">
        <v>0.47203970000000001</v>
      </c>
      <c r="Z3680">
        <v>0.13769439999999999</v>
      </c>
      <c r="AA3680">
        <v>0.87075759999999902</v>
      </c>
      <c r="AB3680">
        <v>23</v>
      </c>
      <c r="AC3680">
        <v>-6.0595999999999801</v>
      </c>
      <c r="AD3680">
        <v>-1.10395901496</v>
      </c>
      <c r="AE3680">
        <v>-5.2815999999999903</v>
      </c>
      <c r="AF3680">
        <v>3.8341088966019301</v>
      </c>
      <c r="AG3680">
        <v>-1.10395901496</v>
      </c>
      <c r="AH3680">
        <v>6.8951777181106904</v>
      </c>
      <c r="AI3680">
        <v>97.965565105576204</v>
      </c>
      <c r="AJ3680">
        <v>60.923464680099499</v>
      </c>
      <c r="AK3680">
        <v>7.9663412117510903</v>
      </c>
      <c r="AL3680">
        <v>91.077221792231697</v>
      </c>
      <c r="AM3680">
        <v>75.697076588574504</v>
      </c>
      <c r="AN3680">
        <v>1.0000000300883201</v>
      </c>
    </row>
    <row r="3681" spans="1:40" x14ac:dyDescent="0.3">
      <c r="A3681" t="str">
        <f>"20200111160528400"</f>
        <v>20200111160528400</v>
      </c>
      <c r="B3681" t="str">
        <f>"1578729928395584"</f>
        <v>1578729928395584</v>
      </c>
      <c r="C3681" t="s">
        <v>40</v>
      </c>
      <c r="D3681">
        <v>5.8164379999999998</v>
      </c>
      <c r="E3681">
        <v>0.65738640000000004</v>
      </c>
      <c r="F3681" t="s">
        <v>75</v>
      </c>
      <c r="G3681">
        <v>-200.42359999999999</v>
      </c>
      <c r="H3681" s="1">
        <v>-1.1048590000000001E-5</v>
      </c>
      <c r="I3681">
        <v>145.56180000000001</v>
      </c>
      <c r="J3681">
        <v>-193.30549999999999</v>
      </c>
      <c r="K3681">
        <v>1.10388</v>
      </c>
      <c r="L3681">
        <v>150.22210000000001</v>
      </c>
      <c r="M3681">
        <v>-0.34498099999999998</v>
      </c>
      <c r="N3681">
        <v>0</v>
      </c>
      <c r="O3681">
        <v>-0.93849700000000003</v>
      </c>
      <c r="P3681">
        <v>-0.56793859999999996</v>
      </c>
      <c r="Q3681">
        <v>-2.8776469999999998E-2</v>
      </c>
      <c r="R3681">
        <v>-0.82256759999999995</v>
      </c>
      <c r="S3681">
        <v>-2.6837620000000002</v>
      </c>
      <c r="T3681">
        <v>-0.4132226</v>
      </c>
      <c r="U3681">
        <v>-1.79115299999999</v>
      </c>
      <c r="V3681">
        <v>0.24900079999999999</v>
      </c>
      <c r="W3681">
        <v>-1.86407E-2</v>
      </c>
      <c r="X3681">
        <v>0.96832390000000002</v>
      </c>
      <c r="Y3681">
        <v>0.58149209999999996</v>
      </c>
      <c r="Z3681">
        <v>0.13344839999999999</v>
      </c>
      <c r="AA3681">
        <v>0.80253260000000004</v>
      </c>
      <c r="AB3681">
        <v>23</v>
      </c>
      <c r="AC3681">
        <v>-7.1180999999999903</v>
      </c>
      <c r="AD3681">
        <v>-1.10389104859</v>
      </c>
      <c r="AE3681">
        <v>-4.6603000000000003</v>
      </c>
      <c r="AF3681">
        <v>4.9891473908178003</v>
      </c>
      <c r="AG3681">
        <v>-1.10389104859</v>
      </c>
      <c r="AH3681">
        <v>6.7169331129096399</v>
      </c>
      <c r="AI3681">
        <v>97.515737552076402</v>
      </c>
      <c r="AJ3681">
        <v>53.396082373145802</v>
      </c>
      <c r="AK3681">
        <v>8.43963018015382</v>
      </c>
      <c r="AL3681">
        <v>91.068095273063904</v>
      </c>
      <c r="AM3681">
        <v>75.5790478447027</v>
      </c>
      <c r="AN3681">
        <v>1.0000000247041601</v>
      </c>
    </row>
    <row r="3682" spans="1:40" x14ac:dyDescent="0.3">
      <c r="A3682" t="str">
        <f>"20200111160528432"</f>
        <v>20200111160528432</v>
      </c>
      <c r="B3682" t="str">
        <f>"1578729928424865"</f>
        <v>1578729928424865</v>
      </c>
      <c r="C3682" t="s">
        <v>40</v>
      </c>
      <c r="D3682">
        <v>5.7019349999999998</v>
      </c>
      <c r="E3682">
        <v>0.65937959999999995</v>
      </c>
      <c r="F3682" t="s">
        <v>75</v>
      </c>
      <c r="G3682">
        <v>-200.54750000000001</v>
      </c>
      <c r="H3682" s="1">
        <v>-1.0984279999999999E-5</v>
      </c>
      <c r="I3682">
        <v>145.53030000000001</v>
      </c>
      <c r="J3682">
        <v>-193.43860000000001</v>
      </c>
      <c r="K3682">
        <v>1.10371</v>
      </c>
      <c r="L3682">
        <v>149.91149999999999</v>
      </c>
      <c r="M3682">
        <v>-0.3589446</v>
      </c>
      <c r="N3682">
        <v>0</v>
      </c>
      <c r="O3682">
        <v>-0.93324510000000005</v>
      </c>
      <c r="P3682">
        <v>-0.58489820000000003</v>
      </c>
      <c r="Q3682">
        <v>-2.983247E-2</v>
      </c>
      <c r="R3682">
        <v>-0.81055829999999995</v>
      </c>
      <c r="S3682">
        <v>-2.7143709999999999</v>
      </c>
      <c r="T3682">
        <v>-0.41375050000000002</v>
      </c>
      <c r="U3682">
        <v>-1.7585299999999999</v>
      </c>
      <c r="V3682">
        <v>0.25464589999999998</v>
      </c>
      <c r="W3682">
        <v>-1.986709E-2</v>
      </c>
      <c r="X3682">
        <v>0.96683030000000003</v>
      </c>
      <c r="Y3682">
        <v>0.58038630000000002</v>
      </c>
      <c r="Z3682">
        <v>0.13318169999999999</v>
      </c>
      <c r="AA3682">
        <v>0.80337689999999995</v>
      </c>
      <c r="AB3682">
        <v>23</v>
      </c>
      <c r="AC3682">
        <v>-7.1089000000000002</v>
      </c>
      <c r="AD3682">
        <v>-1.10372098428</v>
      </c>
      <c r="AE3682">
        <v>-4.3811999999999696</v>
      </c>
      <c r="AF3682">
        <v>4.9753565694993798</v>
      </c>
      <c r="AG3682">
        <v>-1.10372098428</v>
      </c>
      <c r="AH3682">
        <v>6.5271119010658101</v>
      </c>
      <c r="AI3682">
        <v>97.659343138347097</v>
      </c>
      <c r="AJ3682">
        <v>52.683174542376698</v>
      </c>
      <c r="AK3682">
        <v>8.2810363345317803</v>
      </c>
      <c r="AL3682">
        <v>91.138375266142106</v>
      </c>
      <c r="AM3682">
        <v>75.244417974856503</v>
      </c>
      <c r="AN3682">
        <v>1.00000003232498</v>
      </c>
    </row>
    <row r="3683" spans="1:40" x14ac:dyDescent="0.3">
      <c r="A3683" t="str">
        <f>"20200111160528445"</f>
        <v>20200111160528445</v>
      </c>
      <c r="B3683" t="str">
        <f>"1578729928435600"</f>
        <v>1578729928435600</v>
      </c>
      <c r="C3683" t="s">
        <v>40</v>
      </c>
      <c r="D3683">
        <v>5.6722020000000004</v>
      </c>
      <c r="E3683">
        <v>0.65975459999999997</v>
      </c>
      <c r="F3683" t="s">
        <v>75</v>
      </c>
      <c r="G3683">
        <v>-200.90479999999999</v>
      </c>
      <c r="H3683" s="1">
        <v>-1.0769450000000001E-5</v>
      </c>
      <c r="I3683">
        <v>145.3408</v>
      </c>
      <c r="J3683">
        <v>-193.49469999999999</v>
      </c>
      <c r="K3683">
        <v>1.103637</v>
      </c>
      <c r="L3683">
        <v>149.7841</v>
      </c>
      <c r="M3683">
        <v>-0.36476940000000002</v>
      </c>
      <c r="N3683">
        <v>0</v>
      </c>
      <c r="O3683">
        <v>-0.93098329999999996</v>
      </c>
      <c r="P3683">
        <v>-0.59140490000000001</v>
      </c>
      <c r="Q3683">
        <v>-3.0395910000000002E-2</v>
      </c>
      <c r="R3683">
        <v>-0.80580169999999995</v>
      </c>
      <c r="S3683">
        <v>-2.7636569999999998</v>
      </c>
      <c r="T3683">
        <v>-0.40854829999999998</v>
      </c>
      <c r="U3683">
        <v>-1.6918489999999999</v>
      </c>
      <c r="V3683">
        <v>0.256382</v>
      </c>
      <c r="W3683">
        <v>-2.0490310000000001E-2</v>
      </c>
      <c r="X3683">
        <v>0.9663583</v>
      </c>
      <c r="Y3683">
        <v>0.59591919999999898</v>
      </c>
      <c r="Z3683">
        <v>0.13172799999999901</v>
      </c>
      <c r="AA3683">
        <v>0.7921667</v>
      </c>
      <c r="AB3683">
        <v>23</v>
      </c>
      <c r="AC3683">
        <v>-7.4100999999999999</v>
      </c>
      <c r="AD3683">
        <v>-1.10364776945</v>
      </c>
      <c r="AE3683">
        <v>-4.44329999999999</v>
      </c>
      <c r="AF3683">
        <v>5.1937213334777796</v>
      </c>
      <c r="AG3683">
        <v>-1.10364776945</v>
      </c>
      <c r="AH3683">
        <v>6.7305295974732298</v>
      </c>
      <c r="AI3683">
        <v>97.396694697971498</v>
      </c>
      <c r="AJ3683">
        <v>52.343849380335001</v>
      </c>
      <c r="AK3683">
        <v>8.5727946640111092</v>
      </c>
      <c r="AL3683">
        <v>91.174090482508007</v>
      </c>
      <c r="AM3683">
        <v>75.141317612669596</v>
      </c>
      <c r="AN3683">
        <v>0.99999997335339197</v>
      </c>
    </row>
    <row r="3684" spans="1:40" x14ac:dyDescent="0.3">
      <c r="A3684" t="str">
        <f>"20200111160528458"</f>
        <v>20200111160528458</v>
      </c>
      <c r="B3684" t="str">
        <f>"1578729928445361"</f>
        <v>1578729928445361</v>
      </c>
      <c r="C3684" t="s">
        <v>40</v>
      </c>
      <c r="D3684">
        <v>5.7213880000000001</v>
      </c>
      <c r="E3684">
        <v>0.65949769999999996</v>
      </c>
      <c r="F3684" t="s">
        <v>75</v>
      </c>
      <c r="G3684">
        <v>-201.03309999999999</v>
      </c>
      <c r="H3684" s="1">
        <v>-1.0689E-5</v>
      </c>
      <c r="I3684">
        <v>145.26159999999999</v>
      </c>
      <c r="J3684">
        <v>-193.55019999999999</v>
      </c>
      <c r="K3684">
        <v>1.103566</v>
      </c>
      <c r="L3684">
        <v>149.6611</v>
      </c>
      <c r="M3684">
        <v>-0.37049019999999999</v>
      </c>
      <c r="N3684">
        <v>0</v>
      </c>
      <c r="O3684">
        <v>-0.92872120000000002</v>
      </c>
      <c r="P3684">
        <v>-0.59785710000000003</v>
      </c>
      <c r="Q3684">
        <v>-3.0815370000000002E-2</v>
      </c>
      <c r="R3684">
        <v>-0.80101020000000001</v>
      </c>
      <c r="S3684">
        <v>-2.7796630000000002</v>
      </c>
      <c r="T3684">
        <v>-0.40695209999999998</v>
      </c>
      <c r="U3684">
        <v>-1.6676029999999999</v>
      </c>
      <c r="V3684">
        <v>0.25819189999999997</v>
      </c>
      <c r="W3684">
        <v>-2.0970140000000002E-2</v>
      </c>
      <c r="X3684">
        <v>0.965866</v>
      </c>
      <c r="Y3684">
        <v>0.598159</v>
      </c>
      <c r="Z3684">
        <v>0.1312054</v>
      </c>
      <c r="AA3684">
        <v>0.79056380000000004</v>
      </c>
      <c r="AB3684">
        <v>23</v>
      </c>
      <c r="AC3684">
        <v>-7.4828999999999999</v>
      </c>
      <c r="AD3684">
        <v>-1.1035766890000001</v>
      </c>
      <c r="AE3684">
        <v>-4.3995000000000104</v>
      </c>
      <c r="AF3684">
        <v>5.2355032844324798</v>
      </c>
      <c r="AG3684">
        <v>-1.1035766890000001</v>
      </c>
      <c r="AH3684">
        <v>6.7498845813785797</v>
      </c>
      <c r="AI3684">
        <v>97.361221710988602</v>
      </c>
      <c r="AJ3684">
        <v>52.201292550906302</v>
      </c>
      <c r="AK3684">
        <v>8.6133221239972109</v>
      </c>
      <c r="AL3684">
        <v>91.201588634244004</v>
      </c>
      <c r="AM3684">
        <v>75.033828651739299</v>
      </c>
      <c r="AN3684">
        <v>0.99999996697661397</v>
      </c>
    </row>
    <row r="3685" spans="1:40" x14ac:dyDescent="0.3">
      <c r="A3685" t="str">
        <f>"20200111160528488"</f>
        <v>20200111160528488</v>
      </c>
      <c r="B3685" t="str">
        <f>"1578729928485377"</f>
        <v>1578729928485377</v>
      </c>
      <c r="C3685" t="s">
        <v>40</v>
      </c>
      <c r="D3685">
        <v>5.7467800000000002</v>
      </c>
      <c r="E3685">
        <v>0.65931149999999905</v>
      </c>
      <c r="F3685" t="s">
        <v>75</v>
      </c>
      <c r="G3685">
        <v>-201.04910000000001</v>
      </c>
      <c r="H3685" s="1">
        <v>-1.0674599999999999E-5</v>
      </c>
      <c r="I3685">
        <v>145.23699999999999</v>
      </c>
      <c r="J3685">
        <v>-193.68350000000001</v>
      </c>
      <c r="K3685">
        <v>1.103413</v>
      </c>
      <c r="L3685">
        <v>149.3734</v>
      </c>
      <c r="M3685">
        <v>-0.38407970000000002</v>
      </c>
      <c r="N3685">
        <v>0</v>
      </c>
      <c r="O3685">
        <v>-0.92318359999999999</v>
      </c>
      <c r="P3685">
        <v>-0.61321819999999905</v>
      </c>
      <c r="Q3685">
        <v>-3.271607E-2</v>
      </c>
      <c r="R3685">
        <v>-0.78923580000000004</v>
      </c>
      <c r="S3685">
        <v>-2.7908170000000001</v>
      </c>
      <c r="T3685">
        <v>-0.41071150000000001</v>
      </c>
      <c r="U3685">
        <v>-1.6464840000000001</v>
      </c>
      <c r="V3685">
        <v>0.26266009999999901</v>
      </c>
      <c r="W3685">
        <v>-2.3014920000000001E-2</v>
      </c>
      <c r="X3685">
        <v>0.96461390000000002</v>
      </c>
      <c r="Y3685">
        <v>0.59213609999999905</v>
      </c>
      <c r="Z3685">
        <v>0.132128</v>
      </c>
      <c r="AA3685">
        <v>0.79493210000000003</v>
      </c>
      <c r="AB3685">
        <v>23</v>
      </c>
      <c r="AC3685">
        <v>-7.3655999999999997</v>
      </c>
      <c r="AD3685">
        <v>-1.1034236745999999</v>
      </c>
      <c r="AE3685">
        <v>-4.1364000000000001</v>
      </c>
      <c r="AF3685">
        <v>5.1242264533897002</v>
      </c>
      <c r="AG3685">
        <v>-1.1034236745999999</v>
      </c>
      <c r="AH3685">
        <v>6.53681997917319</v>
      </c>
      <c r="AI3685">
        <v>97.567344013988205</v>
      </c>
      <c r="AJ3685">
        <v>51.907030522335901</v>
      </c>
      <c r="AK3685">
        <v>8.3788576781924409</v>
      </c>
      <c r="AL3685">
        <v>91.318774228236606</v>
      </c>
      <c r="AM3685">
        <v>74.767905700523301</v>
      </c>
      <c r="AN3685">
        <v>0.99999999537391304</v>
      </c>
    </row>
    <row r="3686" spans="1:40" x14ac:dyDescent="0.3">
      <c r="A3686" t="str">
        <f>"20200111160528500"</f>
        <v>20200111160528500</v>
      </c>
      <c r="B3686" t="str">
        <f>"1578729928495137"</f>
        <v>1578729928495137</v>
      </c>
      <c r="C3686" t="s">
        <v>40</v>
      </c>
      <c r="D3686">
        <v>5.7446989999999998</v>
      </c>
      <c r="E3686">
        <v>0.65901239999999905</v>
      </c>
      <c r="F3686" t="s">
        <v>75</v>
      </c>
      <c r="G3686">
        <v>-201.142</v>
      </c>
      <c r="H3686" s="1">
        <v>-1.0609939999999999E-5</v>
      </c>
      <c r="I3686">
        <v>145.15809999999999</v>
      </c>
      <c r="J3686">
        <v>-193.74010000000001</v>
      </c>
      <c r="K3686">
        <v>1.1033520000000001</v>
      </c>
      <c r="L3686">
        <v>149.25470000000001</v>
      </c>
      <c r="M3686">
        <v>-0.38977850000000003</v>
      </c>
      <c r="N3686">
        <v>0</v>
      </c>
      <c r="O3686">
        <v>-0.9207919</v>
      </c>
      <c r="P3686">
        <v>-0.61910050000000005</v>
      </c>
      <c r="Q3686">
        <v>-3.39111E-2</v>
      </c>
      <c r="R3686">
        <v>-0.78457969999999999</v>
      </c>
      <c r="S3686">
        <v>-2.8192750000000002</v>
      </c>
      <c r="T3686">
        <v>-0.41709000000000002</v>
      </c>
      <c r="U3686">
        <v>-1.5933379999999999</v>
      </c>
      <c r="V3686">
        <v>0.26390360000000002</v>
      </c>
      <c r="W3686">
        <v>-2.4256239999999998E-2</v>
      </c>
      <c r="X3686">
        <v>0.96424399999999999</v>
      </c>
      <c r="Y3686">
        <v>0.60163800000000001</v>
      </c>
      <c r="Z3686">
        <v>0.13450179999999901</v>
      </c>
      <c r="AA3686">
        <v>0.78736340000000005</v>
      </c>
      <c r="AB3686">
        <v>23</v>
      </c>
      <c r="AC3686">
        <v>-7.4018999999999799</v>
      </c>
      <c r="AD3686">
        <v>-1.10336260994</v>
      </c>
      <c r="AE3686">
        <v>-4.09660000000002</v>
      </c>
      <c r="AF3686">
        <v>5.1321070029240898</v>
      </c>
      <c r="AG3686">
        <v>-1.10336260994</v>
      </c>
      <c r="AH3686">
        <v>6.5465761658854396</v>
      </c>
      <c r="AI3686">
        <v>97.555654800108698</v>
      </c>
      <c r="AJ3686">
        <v>51.905769349694197</v>
      </c>
      <c r="AK3686">
        <v>8.3912806432758202</v>
      </c>
      <c r="AL3686">
        <v>91.389916521067505</v>
      </c>
      <c r="AM3686">
        <v>74.693571243827293</v>
      </c>
      <c r="AN3686">
        <v>0.99999998340394802</v>
      </c>
    </row>
    <row r="3687" spans="1:40" x14ac:dyDescent="0.3">
      <c r="A3687" t="str">
        <f>"20200111160528513"</f>
        <v>20200111160528513</v>
      </c>
      <c r="B3687" t="str">
        <f>"1578729928504896"</f>
        <v>1578729928504896</v>
      </c>
      <c r="C3687" t="s">
        <v>40</v>
      </c>
      <c r="D3687">
        <v>5.6310129999999896</v>
      </c>
      <c r="E3687">
        <v>0.65869650000000002</v>
      </c>
      <c r="F3687" t="s">
        <v>75</v>
      </c>
      <c r="G3687">
        <v>-201.16220000000001</v>
      </c>
      <c r="H3687" s="1">
        <v>-1.0591559999999999E-5</v>
      </c>
      <c r="I3687">
        <v>145.12649999999999</v>
      </c>
      <c r="J3687">
        <v>-193.79929999999999</v>
      </c>
      <c r="K3687">
        <v>1.1032919999999999</v>
      </c>
      <c r="L3687">
        <v>149.13310000000001</v>
      </c>
      <c r="M3687">
        <v>-0.39569179999999998</v>
      </c>
      <c r="N3687">
        <v>0</v>
      </c>
      <c r="O3687">
        <v>-0.91826589999999997</v>
      </c>
      <c r="P3687">
        <v>-0.62473040000000002</v>
      </c>
      <c r="Q3687">
        <v>-3.5015449999999997E-2</v>
      </c>
      <c r="R3687">
        <v>-0.78005530000000001</v>
      </c>
      <c r="S3687">
        <v>-2.8287960000000001</v>
      </c>
      <c r="T3687">
        <v>-0.42052319999999999</v>
      </c>
      <c r="U3687">
        <v>-1.5733490000000001</v>
      </c>
      <c r="V3687">
        <v>0.2646384</v>
      </c>
      <c r="W3687">
        <v>-2.5395000000000001E-2</v>
      </c>
      <c r="X3687">
        <v>0.96401329999999996</v>
      </c>
      <c r="Y3687">
        <v>0.60176209999999997</v>
      </c>
      <c r="Z3687">
        <v>0.13559360000000001</v>
      </c>
      <c r="AA3687">
        <v>0.78708120000000004</v>
      </c>
      <c r="AB3687">
        <v>23</v>
      </c>
      <c r="AC3687">
        <v>-7.3629000000000202</v>
      </c>
      <c r="AD3687">
        <v>-1.1033025915600001</v>
      </c>
      <c r="AE3687">
        <v>-4.0066000000000201</v>
      </c>
      <c r="AF3687">
        <v>5.0881325658285901</v>
      </c>
      <c r="AG3687">
        <v>-1.1033025915600001</v>
      </c>
      <c r="AH3687">
        <v>6.4809974455703196</v>
      </c>
      <c r="AI3687">
        <v>97.626600729638398</v>
      </c>
      <c r="AJ3687">
        <v>51.865080352426602</v>
      </c>
      <c r="AK3687">
        <v>8.3132242544922104</v>
      </c>
      <c r="AL3687">
        <v>91.455182735858997</v>
      </c>
      <c r="AM3687">
        <v>74.649460147559196</v>
      </c>
      <c r="AN3687">
        <v>1.0000000156782201</v>
      </c>
    </row>
    <row r="3688" spans="1:40" x14ac:dyDescent="0.3">
      <c r="A3688" t="str">
        <f>"20200111160528526"</f>
        <v>20200111160528526</v>
      </c>
      <c r="B3688" t="str">
        <f>"1578729928515633"</f>
        <v>1578729928515633</v>
      </c>
      <c r="C3688" t="s">
        <v>40</v>
      </c>
      <c r="D3688">
        <v>5.673114</v>
      </c>
      <c r="E3688">
        <v>0.65816090000000005</v>
      </c>
      <c r="F3688" t="s">
        <v>75</v>
      </c>
      <c r="G3688">
        <v>-201.20419999999999</v>
      </c>
      <c r="H3688" s="1">
        <v>-1.0558119999999999E-5</v>
      </c>
      <c r="I3688">
        <v>145.07669999999999</v>
      </c>
      <c r="J3688">
        <v>-193.85749999999999</v>
      </c>
      <c r="K3688">
        <v>1.103234</v>
      </c>
      <c r="L3688">
        <v>149.01480000000001</v>
      </c>
      <c r="M3688">
        <v>-0.40147630000000001</v>
      </c>
      <c r="N3688">
        <v>0</v>
      </c>
      <c r="O3688">
        <v>-0.91575119999999999</v>
      </c>
      <c r="P3688">
        <v>-0.63036759999999903</v>
      </c>
      <c r="Q3688">
        <v>-3.6475680000000003E-2</v>
      </c>
      <c r="R3688">
        <v>-0.77543949999999995</v>
      </c>
      <c r="S3688">
        <v>-2.8375400000000002</v>
      </c>
      <c r="T3688">
        <v>-0.42278280000000001</v>
      </c>
      <c r="U3688">
        <v>-1.5543819999999999</v>
      </c>
      <c r="V3688">
        <v>0.26554240000000001</v>
      </c>
      <c r="W3688">
        <v>-2.6892909999999999E-2</v>
      </c>
      <c r="X3688">
        <v>0.96372400000000003</v>
      </c>
      <c r="Y3688">
        <v>0.601724699999999</v>
      </c>
      <c r="Z3688">
        <v>0.1363036</v>
      </c>
      <c r="AA3688">
        <v>0.78698710000000005</v>
      </c>
      <c r="AB3688">
        <v>23</v>
      </c>
      <c r="AC3688">
        <v>-7.3466999999999896</v>
      </c>
      <c r="AD3688">
        <v>-1.1032445581200001</v>
      </c>
      <c r="AE3688">
        <v>-3.9381000000000199</v>
      </c>
      <c r="AF3688">
        <v>5.05863906645948</v>
      </c>
      <c r="AG3688">
        <v>-1.1032445581200001</v>
      </c>
      <c r="AH3688">
        <v>6.4436796753620698</v>
      </c>
      <c r="AI3688">
        <v>97.669958155142396</v>
      </c>
      <c r="AJ3688">
        <v>51.866157956874098</v>
      </c>
      <c r="AK3688">
        <v>8.2660743716957708</v>
      </c>
      <c r="AL3688">
        <v>91.541036077404499</v>
      </c>
      <c r="AM3688">
        <v>74.595104957827004</v>
      </c>
      <c r="AN3688">
        <v>0.99999997149101305</v>
      </c>
    </row>
    <row r="3689" spans="1:40" x14ac:dyDescent="0.3">
      <c r="A3689" t="str">
        <f>"20200111160528542"</f>
        <v>20200111160528542</v>
      </c>
      <c r="B3689" t="str">
        <f>"1578729928535156"</f>
        <v>1578729928535156</v>
      </c>
      <c r="C3689" t="s">
        <v>40</v>
      </c>
      <c r="D3689">
        <v>5.6243829999999999</v>
      </c>
      <c r="E3689">
        <v>0.65748739999999894</v>
      </c>
      <c r="F3689" t="s">
        <v>75</v>
      </c>
      <c r="G3689">
        <v>-201.19450000000001</v>
      </c>
      <c r="H3689" s="1">
        <v>-1.0555769999999999E-5</v>
      </c>
      <c r="I3689">
        <v>145.05430000000001</v>
      </c>
      <c r="J3689">
        <v>-193.93860000000001</v>
      </c>
      <c r="K3689">
        <v>1.1031530000000001</v>
      </c>
      <c r="L3689">
        <v>148.8537</v>
      </c>
      <c r="M3689">
        <v>-0.40945890000000001</v>
      </c>
      <c r="N3689">
        <v>0</v>
      </c>
      <c r="O3689">
        <v>-0.91220950000000001</v>
      </c>
      <c r="P3689">
        <v>-0.6378762</v>
      </c>
      <c r="Q3689">
        <v>-3.9116310000000001E-2</v>
      </c>
      <c r="R3689">
        <v>-0.76914519999999997</v>
      </c>
      <c r="S3689">
        <v>-2.8451230000000001</v>
      </c>
      <c r="T3689">
        <v>-0.4278168</v>
      </c>
      <c r="U3689">
        <v>-1.5357970000000001</v>
      </c>
      <c r="V3689">
        <v>0.26649590000000001</v>
      </c>
      <c r="W3689">
        <v>-2.9579270000000001E-2</v>
      </c>
      <c r="X3689">
        <v>0.96338210000000002</v>
      </c>
      <c r="Y3689">
        <v>0.5994391</v>
      </c>
      <c r="Z3689">
        <v>0.1378035</v>
      </c>
      <c r="AA3689">
        <v>0.78846879999999997</v>
      </c>
      <c r="AB3689">
        <v>23</v>
      </c>
      <c r="AC3689">
        <v>-7.2558999999999898</v>
      </c>
      <c r="AD3689">
        <v>-1.1031635557699999</v>
      </c>
      <c r="AE3689">
        <v>-3.7993999999999901</v>
      </c>
      <c r="AF3689">
        <v>4.9735274886311496</v>
      </c>
      <c r="AG3689">
        <v>-1.1031635557699999</v>
      </c>
      <c r="AH3689">
        <v>6.3228375691261496</v>
      </c>
      <c r="AI3689">
        <v>97.808401990727205</v>
      </c>
      <c r="AJ3689">
        <v>51.8115023994838</v>
      </c>
      <c r="AK3689">
        <v>8.1198042117099103</v>
      </c>
      <c r="AL3689">
        <v>91.695014506037793</v>
      </c>
      <c r="AM3689">
        <v>74.537207147111602</v>
      </c>
      <c r="AN3689">
        <v>1.00000003426547</v>
      </c>
    </row>
    <row r="3690" spans="1:40" x14ac:dyDescent="0.3">
      <c r="A3690" t="str">
        <f>"20200111160528555"</f>
        <v>20200111160528555</v>
      </c>
      <c r="B3690" t="str">
        <f>"1578729928544912"</f>
        <v>1578729928544912</v>
      </c>
      <c r="C3690" t="s">
        <v>40</v>
      </c>
      <c r="D3690">
        <v>5.6273269999999904</v>
      </c>
      <c r="E3690">
        <v>0.65697430000000001</v>
      </c>
      <c r="F3690" t="s">
        <v>75</v>
      </c>
      <c r="G3690">
        <v>-201.19210000000001</v>
      </c>
      <c r="H3690" s="1">
        <v>-1.054559E-5</v>
      </c>
      <c r="I3690">
        <v>145.01650000000001</v>
      </c>
      <c r="J3690">
        <v>-193.99590000000001</v>
      </c>
      <c r="K3690">
        <v>1.1031</v>
      </c>
      <c r="L3690">
        <v>148.74289999999999</v>
      </c>
      <c r="M3690">
        <v>-0.4150392</v>
      </c>
      <c r="N3690">
        <v>0</v>
      </c>
      <c r="O3690">
        <v>-0.90968400000000005</v>
      </c>
      <c r="P3690">
        <v>-0.64326309999999998</v>
      </c>
      <c r="Q3690">
        <v>-4.0494700000000002E-2</v>
      </c>
      <c r="R3690">
        <v>-0.76457390000000003</v>
      </c>
      <c r="S3690">
        <v>-2.855194</v>
      </c>
      <c r="T3690">
        <v>-0.43424049999999997</v>
      </c>
      <c r="U3690">
        <v>-1.5104519999999999</v>
      </c>
      <c r="V3690">
        <v>0.26736310000000002</v>
      </c>
      <c r="W3690">
        <v>-3.0992530000000001E-2</v>
      </c>
      <c r="X3690">
        <v>0.96309730000000005</v>
      </c>
      <c r="Y3690">
        <v>0.60089090000000001</v>
      </c>
      <c r="Z3690">
        <v>0.1399473</v>
      </c>
      <c r="AA3690">
        <v>0.78698459999999903</v>
      </c>
      <c r="AB3690">
        <v>23</v>
      </c>
      <c r="AC3690">
        <v>-7.1962000000000002</v>
      </c>
      <c r="AD3690">
        <v>-1.1031105455900001</v>
      </c>
      <c r="AE3690">
        <v>-3.72639999999998</v>
      </c>
      <c r="AF3690">
        <v>4.9092441760081398</v>
      </c>
      <c r="AG3690">
        <v>-1.1031105455900001</v>
      </c>
      <c r="AH3690">
        <v>6.2612280534356204</v>
      </c>
      <c r="AI3690">
        <v>97.893460633215795</v>
      </c>
      <c r="AJ3690">
        <v>51.901052520765603</v>
      </c>
      <c r="AK3690">
        <v>8.0324658724821791</v>
      </c>
      <c r="AL3690">
        <v>91.776025589476603</v>
      </c>
      <c r="AM3690">
        <v>74.484943069358195</v>
      </c>
      <c r="AN3690">
        <v>0.99999998671235002</v>
      </c>
    </row>
    <row r="3691" spans="1:40" x14ac:dyDescent="0.3">
      <c r="A3691" t="str">
        <f>"20200111160528576"</f>
        <v>20200111160528576</v>
      </c>
      <c r="B3691" t="str">
        <f>"1578729928565408"</f>
        <v>1578729928565408</v>
      </c>
      <c r="C3691" t="s">
        <v>40</v>
      </c>
      <c r="D3691">
        <v>5.6958549999999999</v>
      </c>
      <c r="E3691">
        <v>0.65595530000000002</v>
      </c>
      <c r="F3691" t="s">
        <v>75</v>
      </c>
      <c r="G3691">
        <v>-201.21530000000001</v>
      </c>
      <c r="H3691" s="1">
        <v>-1.0524160000000001E-5</v>
      </c>
      <c r="I3691">
        <v>144.97899999999899</v>
      </c>
      <c r="J3691">
        <v>-194.09479999999999</v>
      </c>
      <c r="K3691">
        <v>1.1030089999999999</v>
      </c>
      <c r="L3691">
        <v>148.55459999999999</v>
      </c>
      <c r="M3691">
        <v>-0.42460930000000002</v>
      </c>
      <c r="N3691">
        <v>0</v>
      </c>
      <c r="O3691">
        <v>-0.90525610000000001</v>
      </c>
      <c r="P3691">
        <v>-0.65242829999999996</v>
      </c>
      <c r="Q3691">
        <v>-4.1893479999999997E-2</v>
      </c>
      <c r="R3691">
        <v>-0.75669180000000003</v>
      </c>
      <c r="S3691">
        <v>-2.8624109999999998</v>
      </c>
      <c r="T3691">
        <v>-0.4373707</v>
      </c>
      <c r="U3691">
        <v>-1.4923249999999999</v>
      </c>
      <c r="V3691">
        <v>0.26881050000000001</v>
      </c>
      <c r="W3691">
        <v>-3.2452099999999998E-2</v>
      </c>
      <c r="X3691">
        <v>0.96264620000000001</v>
      </c>
      <c r="Y3691">
        <v>0.59711689999999995</v>
      </c>
      <c r="Z3691">
        <v>0.14072129999999999</v>
      </c>
      <c r="AA3691">
        <v>0.78971449999999999</v>
      </c>
      <c r="AB3691">
        <v>23</v>
      </c>
      <c r="AC3691">
        <v>-7.1205000000000203</v>
      </c>
      <c r="AD3691">
        <v>-1.1030195241599901</v>
      </c>
      <c r="AE3691">
        <v>-3.5756000000000001</v>
      </c>
      <c r="AF3691">
        <v>4.8355134466552396</v>
      </c>
      <c r="AG3691">
        <v>-1.1030195241599901</v>
      </c>
      <c r="AH3691">
        <v>6.1432193005834703</v>
      </c>
      <c r="AI3691">
        <v>98.030680700528706</v>
      </c>
      <c r="AJ3691">
        <v>51.792647976953802</v>
      </c>
      <c r="AK3691">
        <v>7.8954408197720696</v>
      </c>
      <c r="AL3691">
        <v>91.859694948299193</v>
      </c>
      <c r="AM3691">
        <v>74.398075696430496</v>
      </c>
      <c r="AN3691">
        <v>0.99999996503954902</v>
      </c>
    </row>
    <row r="3692" spans="1:40" x14ac:dyDescent="0.3">
      <c r="A3692" t="str">
        <f>"20200111160528589"</f>
        <v>20200111160528589</v>
      </c>
      <c r="B3692" t="str">
        <f>"1578729928584928"</f>
        <v>1578729928584928</v>
      </c>
      <c r="C3692" t="s">
        <v>40</v>
      </c>
      <c r="D3692">
        <v>5.6568769999999997</v>
      </c>
      <c r="E3692">
        <v>0.65459609999999901</v>
      </c>
      <c r="F3692" t="s">
        <v>75</v>
      </c>
      <c r="G3692">
        <v>-201.34119999999999</v>
      </c>
      <c r="H3692" s="1">
        <v>-1.043549E-5</v>
      </c>
      <c r="I3692">
        <v>144.86869999999999</v>
      </c>
      <c r="J3692">
        <v>-194.16210000000001</v>
      </c>
      <c r="K3692">
        <v>1.102948</v>
      </c>
      <c r="L3692">
        <v>148.42939999999999</v>
      </c>
      <c r="M3692">
        <v>-0.43105569999999999</v>
      </c>
      <c r="N3692">
        <v>0</v>
      </c>
      <c r="O3692">
        <v>-0.90220389999999995</v>
      </c>
      <c r="P3692">
        <v>-0.6584468</v>
      </c>
      <c r="Q3692">
        <v>-4.214702E-2</v>
      </c>
      <c r="R3692">
        <v>-0.75144639999999996</v>
      </c>
      <c r="S3692">
        <v>-2.874374</v>
      </c>
      <c r="T3692">
        <v>-0.43752859999999999</v>
      </c>
      <c r="U3692">
        <v>-1.462067</v>
      </c>
      <c r="V3692">
        <v>0.26962340000000001</v>
      </c>
      <c r="W3692">
        <v>-3.2743910000000001E-2</v>
      </c>
      <c r="X3692">
        <v>0.96240899999999996</v>
      </c>
      <c r="Y3692">
        <v>0.59932600000000003</v>
      </c>
      <c r="Z3692">
        <v>0.14088299999999901</v>
      </c>
      <c r="AA3692">
        <v>0.7880104</v>
      </c>
      <c r="AB3692">
        <v>23</v>
      </c>
      <c r="AC3692">
        <v>-7.1790999999999698</v>
      </c>
      <c r="AD3692">
        <v>-1.1029584354899999</v>
      </c>
      <c r="AE3692">
        <v>-3.56069999999999</v>
      </c>
      <c r="AF3692">
        <v>4.8508021480833596</v>
      </c>
      <c r="AG3692">
        <v>-1.1029584354899999</v>
      </c>
      <c r="AH3692">
        <v>6.1904906776691799</v>
      </c>
      <c r="AI3692">
        <v>97.983255691036504</v>
      </c>
      <c r="AJ3692">
        <v>51.918131065552103</v>
      </c>
      <c r="AK3692">
        <v>7.9415976743082197</v>
      </c>
      <c r="AL3692">
        <v>91.876423231906898</v>
      </c>
      <c r="AM3692">
        <v>74.349534864303294</v>
      </c>
      <c r="AN3692">
        <v>1.0000000123753201</v>
      </c>
    </row>
    <row r="3693" spans="1:40" x14ac:dyDescent="0.3">
      <c r="A3693" t="str">
        <f>"20200111160528601"</f>
        <v>20200111160528601</v>
      </c>
      <c r="B3693" t="str">
        <f>"1578729928595665"</f>
        <v>1578729928595665</v>
      </c>
      <c r="C3693" t="s">
        <v>40</v>
      </c>
      <c r="D3693">
        <v>5.6522370000000004</v>
      </c>
      <c r="E3693">
        <v>0.65459609999999901</v>
      </c>
      <c r="F3693" t="s">
        <v>75</v>
      </c>
      <c r="G3693">
        <v>-201.41820000000001</v>
      </c>
      <c r="H3693" s="1">
        <v>-1.0375810000000001E-5</v>
      </c>
      <c r="I3693">
        <v>144.78290000000001</v>
      </c>
      <c r="J3693">
        <v>-194.22720000000001</v>
      </c>
      <c r="K3693">
        <v>1.102892</v>
      </c>
      <c r="L3693">
        <v>148.31020000000001</v>
      </c>
      <c r="M3693">
        <v>-0.43724970000000002</v>
      </c>
      <c r="N3693">
        <v>0</v>
      </c>
      <c r="O3693">
        <v>-0.89921790000000001</v>
      </c>
      <c r="P3693">
        <v>-0.66461479999999995</v>
      </c>
      <c r="Q3693">
        <v>-4.1209269999999999E-2</v>
      </c>
      <c r="R3693">
        <v>-0.74604899999999996</v>
      </c>
      <c r="S3693">
        <v>-2.8777620000000002</v>
      </c>
      <c r="T3693">
        <v>-0.43742789999999998</v>
      </c>
      <c r="U3693">
        <v>-1.4461520000000001</v>
      </c>
      <c r="V3693">
        <v>0.27092149999999998</v>
      </c>
      <c r="W3693">
        <v>-3.1854239999999999E-2</v>
      </c>
      <c r="X3693">
        <v>0.96207419999999999</v>
      </c>
      <c r="Y3693">
        <v>0.59769530000000004</v>
      </c>
      <c r="Z3693">
        <v>0.1408442</v>
      </c>
      <c r="AA3693">
        <v>0.78925480000000003</v>
      </c>
      <c r="AB3693">
        <v>23</v>
      </c>
      <c r="AC3693">
        <v>-7.1909999999999998</v>
      </c>
      <c r="AD3693">
        <v>-1.1029023758100001</v>
      </c>
      <c r="AE3693">
        <v>-3.5272999999999901</v>
      </c>
      <c r="AF3693">
        <v>4.8328702944583997</v>
      </c>
      <c r="AG3693">
        <v>-1.1029023758100001</v>
      </c>
      <c r="AH3693">
        <v>6.1992247232238098</v>
      </c>
      <c r="AI3693">
        <v>97.987026534118797</v>
      </c>
      <c r="AJ3693">
        <v>52.060281435799503</v>
      </c>
      <c r="AK3693">
        <v>7.9374691245166504</v>
      </c>
      <c r="AL3693">
        <v>91.825422382281801</v>
      </c>
      <c r="AM3693">
        <v>74.272702788942098</v>
      </c>
      <c r="AN3693">
        <v>0.99999995903693295</v>
      </c>
    </row>
    <row r="3694" spans="1:40" x14ac:dyDescent="0.3">
      <c r="A3694" t="str">
        <f>"20200111160528621"</f>
        <v>20200111160528621</v>
      </c>
      <c r="B3694" t="str">
        <f>"1578729928615184"</f>
        <v>1578729928615184</v>
      </c>
      <c r="C3694" t="s">
        <v>40</v>
      </c>
      <c r="D3694">
        <v>5.7404260000000003</v>
      </c>
      <c r="E3694">
        <v>0.63879569999999997</v>
      </c>
      <c r="F3694" t="s">
        <v>75</v>
      </c>
      <c r="G3694">
        <v>-201.56450000000001</v>
      </c>
      <c r="H3694" s="1">
        <v>-1.028545E-5</v>
      </c>
      <c r="I3694">
        <v>144.69730000000001</v>
      </c>
      <c r="J3694">
        <v>-194.3244</v>
      </c>
      <c r="K3694">
        <v>1.102816</v>
      </c>
      <c r="L3694">
        <v>148.13630000000001</v>
      </c>
      <c r="M3694">
        <v>-0.44641940000000002</v>
      </c>
      <c r="N3694">
        <v>0</v>
      </c>
      <c r="O3694">
        <v>-0.89470059999999996</v>
      </c>
      <c r="P3694">
        <v>-0.67435800000000001</v>
      </c>
      <c r="Q3694">
        <v>-3.798725E-2</v>
      </c>
      <c r="R3694">
        <v>-0.7374271</v>
      </c>
      <c r="S3694">
        <v>-2.8897400000000002</v>
      </c>
      <c r="T3694">
        <v>-0.43436590000000003</v>
      </c>
      <c r="U3694">
        <v>-1.4228970000000001</v>
      </c>
      <c r="V3694">
        <v>0.27369690000000002</v>
      </c>
      <c r="W3694">
        <v>-2.8722020000000001E-2</v>
      </c>
      <c r="X3694">
        <v>0.96138699999999999</v>
      </c>
      <c r="Y3694">
        <v>0.59611199999999998</v>
      </c>
      <c r="Z3694">
        <v>0.13960110000000001</v>
      </c>
      <c r="AA3694">
        <v>0.79067189999999998</v>
      </c>
      <c r="AB3694">
        <v>23</v>
      </c>
      <c r="AC3694">
        <v>-7.2401000000000098</v>
      </c>
      <c r="AD3694">
        <v>-1.1028262854499999</v>
      </c>
      <c r="AE3694">
        <v>-3.4389999999999898</v>
      </c>
      <c r="AF3694">
        <v>4.8511935082354896</v>
      </c>
      <c r="AG3694">
        <v>-1.1028262854499999</v>
      </c>
      <c r="AH3694">
        <v>6.1924638306904596</v>
      </c>
      <c r="AI3694">
        <v>97.980513974142596</v>
      </c>
      <c r="AJ3694">
        <v>51.9247515756513</v>
      </c>
      <c r="AK3694">
        <v>7.9433565049439299</v>
      </c>
      <c r="AL3694">
        <v>91.645876946615104</v>
      </c>
      <c r="AM3694">
        <v>74.108896913043296</v>
      </c>
      <c r="AN3694">
        <v>0.99999995563574395</v>
      </c>
    </row>
    <row r="3695" spans="1:40" x14ac:dyDescent="0.3">
      <c r="A3695" t="str">
        <f>"20200111160528634"</f>
        <v>20200111160528634</v>
      </c>
      <c r="B3695" t="str">
        <f>"1578729928624944"</f>
        <v>1578729928624944</v>
      </c>
      <c r="C3695" t="s">
        <v>40</v>
      </c>
      <c r="D3695">
        <v>5.6313079999999998</v>
      </c>
      <c r="E3695">
        <v>0.63735989999999998</v>
      </c>
      <c r="F3695" t="s">
        <v>75</v>
      </c>
      <c r="G3695">
        <v>-201.48089999999999</v>
      </c>
      <c r="H3695" s="1">
        <v>-1.023258E-5</v>
      </c>
      <c r="I3695">
        <v>144.39490000000001</v>
      </c>
      <c r="J3695">
        <v>-194.39670000000001</v>
      </c>
      <c r="K3695">
        <v>1.1027549999999999</v>
      </c>
      <c r="L3695">
        <v>148.0102</v>
      </c>
      <c r="M3695">
        <v>-0.45317360000000001</v>
      </c>
      <c r="N3695">
        <v>0</v>
      </c>
      <c r="O3695">
        <v>-0.89129820000000004</v>
      </c>
      <c r="P3695">
        <v>-0.68101999999999996</v>
      </c>
      <c r="Q3695">
        <v>-3.632531E-2</v>
      </c>
      <c r="R3695">
        <v>-0.73136350000000006</v>
      </c>
      <c r="S3695">
        <v>-2.8149410000000001</v>
      </c>
      <c r="T3695">
        <v>-0.43378870000000003</v>
      </c>
      <c r="U3695">
        <v>-1.4716640000000001</v>
      </c>
      <c r="V3695">
        <v>0.27513379999999998</v>
      </c>
      <c r="W3695">
        <v>-2.7114969999999999E-2</v>
      </c>
      <c r="X3695">
        <v>0.96102350000000003</v>
      </c>
      <c r="Y3695">
        <v>0.57054439999999995</v>
      </c>
      <c r="Z3695">
        <v>0.140114299999999</v>
      </c>
      <c r="AA3695">
        <v>0.80922620000000001</v>
      </c>
      <c r="AB3695">
        <v>23</v>
      </c>
      <c r="AC3695">
        <v>-7.0841999999999796</v>
      </c>
      <c r="AD3695">
        <v>-1.1027652325799999</v>
      </c>
      <c r="AE3695">
        <v>-3.6152999999999902</v>
      </c>
      <c r="AF3695">
        <v>4.5880882293800598</v>
      </c>
      <c r="AG3695">
        <v>-1.1027652325799999</v>
      </c>
      <c r="AH3695">
        <v>6.3120463901400097</v>
      </c>
      <c r="AI3695">
        <v>98.043729501198001</v>
      </c>
      <c r="AJ3695">
        <v>53.987418208651</v>
      </c>
      <c r="AK3695">
        <v>7.8808993389106696</v>
      </c>
      <c r="AL3695">
        <v>91.553763778038103</v>
      </c>
      <c r="AM3695">
        <v>74.023980983710203</v>
      </c>
      <c r="AN3695">
        <v>0.99999999852639498</v>
      </c>
    </row>
    <row r="3696" spans="1:40" x14ac:dyDescent="0.3">
      <c r="A3696" t="str">
        <f>"20200111160528651"</f>
        <v>20200111160528651</v>
      </c>
      <c r="B3696" t="str">
        <f>"1578729928645440"</f>
        <v>1578729928645440</v>
      </c>
      <c r="C3696" t="s">
        <v>40</v>
      </c>
      <c r="D3696">
        <v>5.5905230000000001</v>
      </c>
      <c r="E3696">
        <v>0.63570400000000005</v>
      </c>
      <c r="F3696" t="s">
        <v>75</v>
      </c>
      <c r="G3696">
        <v>-201.67070000000001</v>
      </c>
      <c r="H3696" s="1">
        <v>-1.0108050000000001E-5</v>
      </c>
      <c r="I3696">
        <v>144.25919999999999</v>
      </c>
      <c r="J3696">
        <v>-194.47800000000001</v>
      </c>
      <c r="K3696">
        <v>1.1026899999999999</v>
      </c>
      <c r="L3696">
        <v>147.87100000000001</v>
      </c>
      <c r="M3696">
        <v>-0.46070709999999998</v>
      </c>
      <c r="N3696">
        <v>0</v>
      </c>
      <c r="O3696">
        <v>-0.88742719999999897</v>
      </c>
      <c r="P3696">
        <v>-0.68841209999999997</v>
      </c>
      <c r="Q3696">
        <v>-3.4329640000000002E-2</v>
      </c>
      <c r="R3696">
        <v>-0.72450740000000002</v>
      </c>
      <c r="S3696">
        <v>-2.8204189999999998</v>
      </c>
      <c r="T3696">
        <v>-0.42758950000000001</v>
      </c>
      <c r="U3696">
        <v>-1.454437</v>
      </c>
      <c r="V3696">
        <v>0.27673900000000001</v>
      </c>
      <c r="W3696">
        <v>-2.5182039999999999E-2</v>
      </c>
      <c r="X3696">
        <v>0.96061510000000006</v>
      </c>
      <c r="Y3696">
        <v>0.56843429999999995</v>
      </c>
      <c r="Z3696">
        <v>0.13798869999999999</v>
      </c>
      <c r="AA3696">
        <v>0.81107430000000003</v>
      </c>
      <c r="AB3696">
        <v>23</v>
      </c>
      <c r="AC3696">
        <v>-7.1927000000000296</v>
      </c>
      <c r="AD3696">
        <v>-1.1027001080499901</v>
      </c>
      <c r="AE3696">
        <v>-3.6118000000000099</v>
      </c>
      <c r="AF3696">
        <v>4.6325839735807604</v>
      </c>
      <c r="AG3696">
        <v>-1.1027001080499901</v>
      </c>
      <c r="AH3696">
        <v>6.39953907398107</v>
      </c>
      <c r="AI3696">
        <v>97.945826108714897</v>
      </c>
      <c r="AJ3696">
        <v>54.099469762090699</v>
      </c>
      <c r="AK3696">
        <v>7.9768967750611797</v>
      </c>
      <c r="AL3696">
        <v>91.442977160741094</v>
      </c>
      <c r="AM3696">
        <v>73.929091480109307</v>
      </c>
      <c r="AN3696">
        <v>0.99999998980378502</v>
      </c>
    </row>
    <row r="3697" spans="1:40" x14ac:dyDescent="0.3">
      <c r="A3697" t="str">
        <f>"20200111160528665"</f>
        <v>20200111160528665</v>
      </c>
      <c r="B3697" t="str">
        <f>"1578729928655200"</f>
        <v>1578729928655200</v>
      </c>
      <c r="C3697" t="s">
        <v>40</v>
      </c>
      <c r="D3697">
        <v>5.5991350000000004</v>
      </c>
      <c r="E3697">
        <v>0.63570400000000005</v>
      </c>
      <c r="F3697" t="s">
        <v>75</v>
      </c>
      <c r="G3697">
        <v>-202.00020000000001</v>
      </c>
      <c r="H3697" s="1">
        <v>-9.9000729999999998E-6</v>
      </c>
      <c r="I3697">
        <v>144.0513</v>
      </c>
      <c r="J3697">
        <v>-194.55950000000001</v>
      </c>
      <c r="K3697">
        <v>1.1026419999999999</v>
      </c>
      <c r="L3697">
        <v>147.7338</v>
      </c>
      <c r="M3697">
        <v>-0.46821889999999999</v>
      </c>
      <c r="N3697">
        <v>0</v>
      </c>
      <c r="O3697">
        <v>-0.88348649999999995</v>
      </c>
      <c r="P3697">
        <v>-0.69697540000000002</v>
      </c>
      <c r="Q3697">
        <v>-2.9078679999999999E-2</v>
      </c>
      <c r="R3697">
        <v>-0.71650530000000001</v>
      </c>
      <c r="S3697">
        <v>-2.826584</v>
      </c>
      <c r="T3697">
        <v>-0.41435369999999999</v>
      </c>
      <c r="U3697">
        <v>-1.4353180000000001</v>
      </c>
      <c r="V3697">
        <v>0.27999039999999997</v>
      </c>
      <c r="W3697">
        <v>-2.003098E-2</v>
      </c>
      <c r="X3697">
        <v>0.95979380000000003</v>
      </c>
      <c r="Y3697">
        <v>0.56712069999999903</v>
      </c>
      <c r="Z3697">
        <v>0.13365260000000001</v>
      </c>
      <c r="AA3697">
        <v>0.8127183</v>
      </c>
      <c r="AB3697">
        <v>23</v>
      </c>
      <c r="AC3697">
        <v>-7.4406999999999899</v>
      </c>
      <c r="AD3697">
        <v>-1.102651900073</v>
      </c>
      <c r="AE3697">
        <v>-3.6825000000000001</v>
      </c>
      <c r="AF3697">
        <v>4.7660089992666004</v>
      </c>
      <c r="AG3697">
        <v>-1.102651900073</v>
      </c>
      <c r="AH3697">
        <v>6.6212657828170602</v>
      </c>
      <c r="AI3697">
        <v>97.697391856229402</v>
      </c>
      <c r="AJ3697">
        <v>54.253535556952102</v>
      </c>
      <c r="AK3697">
        <v>8.2323656114466193</v>
      </c>
      <c r="AL3697">
        <v>91.147767375709506</v>
      </c>
      <c r="AM3697">
        <v>73.737014742578793</v>
      </c>
      <c r="AN3697">
        <v>1.00000000138518</v>
      </c>
    </row>
    <row r="3698" spans="1:40" x14ac:dyDescent="0.3">
      <c r="A3698" t="str">
        <f>"20200111160528679"</f>
        <v>20200111160528679</v>
      </c>
      <c r="B3698" t="str">
        <f>"1578729928674720"</f>
        <v>1578729928674720</v>
      </c>
      <c r="C3698" t="s">
        <v>40</v>
      </c>
      <c r="D3698">
        <v>5.6330629999999999</v>
      </c>
      <c r="E3698">
        <v>0.62583290000000003</v>
      </c>
      <c r="F3698" t="s">
        <v>75</v>
      </c>
      <c r="G3698">
        <v>-202.46629999999999</v>
      </c>
      <c r="H3698" s="1">
        <v>-9.6555540000000004E-6</v>
      </c>
      <c r="I3698">
        <v>143.83410000000001</v>
      </c>
      <c r="J3698">
        <v>-194.6328</v>
      </c>
      <c r="K3698">
        <v>1.1025940000000001</v>
      </c>
      <c r="L3698">
        <v>147.61349999999999</v>
      </c>
      <c r="M3698">
        <v>-0.47490500000000002</v>
      </c>
      <c r="N3698">
        <v>0</v>
      </c>
      <c r="O3698">
        <v>-0.87991019999999898</v>
      </c>
      <c r="P3698">
        <v>-0.70358100000000001</v>
      </c>
      <c r="Q3698">
        <v>-2.6052249999999999E-2</v>
      </c>
      <c r="R3698">
        <v>-0.71013749999999998</v>
      </c>
      <c r="S3698">
        <v>-2.8451390000000001</v>
      </c>
      <c r="T3698">
        <v>-0.39677440000000003</v>
      </c>
      <c r="U3698">
        <v>-1.4032750000000001</v>
      </c>
      <c r="V3698">
        <v>0.28159830000000002</v>
      </c>
      <c r="W3698">
        <v>-1.706396E-2</v>
      </c>
      <c r="X3698">
        <v>0.95938060000000003</v>
      </c>
      <c r="Y3698">
        <v>0.57110329999999998</v>
      </c>
      <c r="Z3698">
        <v>0.12793869999999999</v>
      </c>
      <c r="AA3698">
        <v>0.81084690000000004</v>
      </c>
      <c r="AB3698">
        <v>23</v>
      </c>
      <c r="AC3698">
        <v>-7.8334999999999804</v>
      </c>
      <c r="AD3698">
        <v>-1.102603655554</v>
      </c>
      <c r="AE3698">
        <v>-3.7793999999999799</v>
      </c>
      <c r="AF3698">
        <v>5.0178478287798898</v>
      </c>
      <c r="AG3698">
        <v>-1.102603655554</v>
      </c>
      <c r="AH3698">
        <v>6.9350344800273698</v>
      </c>
      <c r="AI3698">
        <v>97.339792579667204</v>
      </c>
      <c r="AJ3698">
        <v>54.112361608867701</v>
      </c>
      <c r="AK3698">
        <v>8.6307146223937092</v>
      </c>
      <c r="AL3698">
        <v>90.977740383831801</v>
      </c>
      <c r="AM3698">
        <v>73.641931258792994</v>
      </c>
      <c r="AN3698">
        <v>0.99999995847506395</v>
      </c>
    </row>
    <row r="3699" spans="1:40" x14ac:dyDescent="0.3">
      <c r="A3699" t="str">
        <f>"20200111160528693"</f>
        <v>20200111160528693</v>
      </c>
      <c r="B3699" t="str">
        <f>"1578729928685457"</f>
        <v>1578729928685457</v>
      </c>
      <c r="C3699" t="s">
        <v>40</v>
      </c>
      <c r="D3699">
        <v>5.5886399999999998</v>
      </c>
      <c r="E3699">
        <v>0.62521110000000002</v>
      </c>
      <c r="F3699" t="s">
        <v>75</v>
      </c>
      <c r="G3699">
        <v>-201.9744</v>
      </c>
      <c r="H3699" s="1">
        <v>-9.8524019999999995E-6</v>
      </c>
      <c r="I3699">
        <v>143.8526</v>
      </c>
      <c r="J3699">
        <v>-194.7097</v>
      </c>
      <c r="K3699">
        <v>1.1025480000000001</v>
      </c>
      <c r="L3699">
        <v>147.48939999999999</v>
      </c>
      <c r="M3699">
        <v>-0.48187469999999999</v>
      </c>
      <c r="N3699">
        <v>0</v>
      </c>
      <c r="O3699">
        <v>-0.87611229999999995</v>
      </c>
      <c r="P3699">
        <v>-0.71027869999999904</v>
      </c>
      <c r="Q3699">
        <v>-2.1864249999999998E-2</v>
      </c>
      <c r="R3699">
        <v>-0.70358169999999898</v>
      </c>
      <c r="S3699">
        <v>-2.8003999999999998</v>
      </c>
      <c r="T3699">
        <v>-0.42057729999999999</v>
      </c>
      <c r="U3699">
        <v>-1.4345699999999999</v>
      </c>
      <c r="V3699">
        <v>0.28308149999999999</v>
      </c>
      <c r="W3699">
        <v>-1.2931059999999999E-2</v>
      </c>
      <c r="X3699">
        <v>0.95900870000000005</v>
      </c>
      <c r="Y3699">
        <v>0.55110649999999906</v>
      </c>
      <c r="Z3699">
        <v>0.1355527</v>
      </c>
      <c r="AA3699">
        <v>0.82335119999999895</v>
      </c>
      <c r="AB3699">
        <v>23</v>
      </c>
      <c r="AC3699">
        <v>-7.2647000000000004</v>
      </c>
      <c r="AD3699">
        <v>-1.1025578524020001</v>
      </c>
      <c r="AE3699">
        <v>-3.6367999999999898</v>
      </c>
      <c r="AF3699">
        <v>4.5293066392062498</v>
      </c>
      <c r="AG3699">
        <v>-1.1025578524020001</v>
      </c>
      <c r="AH3699">
        <v>6.5667229774259201</v>
      </c>
      <c r="AI3699">
        <v>97.869156760245502</v>
      </c>
      <c r="AJ3699">
        <v>55.404564769023899</v>
      </c>
      <c r="AK3699">
        <v>8.0530803492890008</v>
      </c>
      <c r="AL3699">
        <v>90.7409157991532</v>
      </c>
      <c r="AM3699">
        <v>73.554381556401196</v>
      </c>
      <c r="AN3699">
        <v>1.0000000173153301</v>
      </c>
    </row>
    <row r="3700" spans="1:40" x14ac:dyDescent="0.3">
      <c r="A3700" t="str">
        <f>"20200111160528711"</f>
        <v>20200111160528711</v>
      </c>
      <c r="B3700" t="str">
        <f>"1578729928704977"</f>
        <v>1578729928704977</v>
      </c>
      <c r="C3700" t="s">
        <v>40</v>
      </c>
      <c r="D3700">
        <v>5.5334659999999998</v>
      </c>
      <c r="E3700">
        <v>0.62417199999999995</v>
      </c>
      <c r="F3700" t="s">
        <v>75</v>
      </c>
      <c r="G3700">
        <v>-202.30950000000001</v>
      </c>
      <c r="H3700" s="1">
        <v>-9.6712869999999995E-6</v>
      </c>
      <c r="I3700">
        <v>143.67019999999999</v>
      </c>
      <c r="J3700">
        <v>-194.8098</v>
      </c>
      <c r="K3700">
        <v>1.1025119999999999</v>
      </c>
      <c r="L3700">
        <v>147.3312</v>
      </c>
      <c r="M3700">
        <v>-0.49086540000000001</v>
      </c>
      <c r="N3700">
        <v>0</v>
      </c>
      <c r="O3700">
        <v>-0.87110619999999905</v>
      </c>
      <c r="P3700">
        <v>-0.72006729999999997</v>
      </c>
      <c r="Q3700">
        <v>-1.2908630000000001E-2</v>
      </c>
      <c r="R3700">
        <v>-0.69378450000000003</v>
      </c>
      <c r="S3700">
        <v>-2.8115389999999998</v>
      </c>
      <c r="T3700">
        <v>-0.40788609999999997</v>
      </c>
      <c r="U3700">
        <v>-1.4129179999999999</v>
      </c>
      <c r="V3700">
        <v>0.2867072</v>
      </c>
      <c r="W3700">
        <v>-4.0854439999999997E-3</v>
      </c>
      <c r="X3700">
        <v>0.95800949999999996</v>
      </c>
      <c r="Y3700">
        <v>0.54949040000000005</v>
      </c>
      <c r="Z3700">
        <v>0.13115209999999999</v>
      </c>
      <c r="AA3700">
        <v>0.82514209999999999</v>
      </c>
      <c r="AB3700">
        <v>23</v>
      </c>
      <c r="AC3700">
        <v>-7.4997000000000096</v>
      </c>
      <c r="AD3700">
        <v>-1.1025216712870001</v>
      </c>
      <c r="AE3700">
        <v>-3.661</v>
      </c>
      <c r="AF3700">
        <v>4.6552631939902396</v>
      </c>
      <c r="AG3700">
        <v>-1.1025216712870001</v>
      </c>
      <c r="AH3700">
        <v>6.7533719278795799</v>
      </c>
      <c r="AI3700">
        <v>97.655492207552697</v>
      </c>
      <c r="AJ3700">
        <v>55.420561518861902</v>
      </c>
      <c r="AK3700">
        <v>8.2761743479248704</v>
      </c>
      <c r="AL3700">
        <v>90.234079360165097</v>
      </c>
      <c r="AM3700">
        <v>73.338932946276302</v>
      </c>
      <c r="AN3700">
        <v>0.99999995573738198</v>
      </c>
    </row>
    <row r="3701" spans="1:40" x14ac:dyDescent="0.3">
      <c r="A3701" t="str">
        <f>"20200111160528725"</f>
        <v>20200111160528725</v>
      </c>
      <c r="B3701" t="str">
        <f>"1578729928714736"</f>
        <v>1578729928714736</v>
      </c>
      <c r="C3701" t="s">
        <v>40</v>
      </c>
      <c r="D3701">
        <v>5.4849699999999997</v>
      </c>
      <c r="E3701">
        <v>0.62360150000000003</v>
      </c>
      <c r="F3701" t="s">
        <v>75</v>
      </c>
      <c r="G3701">
        <v>-203.16460000000001</v>
      </c>
      <c r="H3701" s="1">
        <v>-9.2383689999999997E-6</v>
      </c>
      <c r="I3701">
        <v>143.24950000000001</v>
      </c>
      <c r="J3701">
        <v>-194.8852</v>
      </c>
      <c r="K3701">
        <v>1.102476</v>
      </c>
      <c r="L3701">
        <v>147.2141</v>
      </c>
      <c r="M3701">
        <v>-0.4975812</v>
      </c>
      <c r="N3701">
        <v>0</v>
      </c>
      <c r="O3701">
        <v>-0.86728739999999904</v>
      </c>
      <c r="P3701">
        <v>-0.7268618</v>
      </c>
      <c r="Q3701">
        <v>-6.8985260000000003E-3</v>
      </c>
      <c r="R3701">
        <v>-0.68674950000000001</v>
      </c>
      <c r="S3701">
        <v>-2.8283079999999998</v>
      </c>
      <c r="T3701">
        <v>-0.3732299</v>
      </c>
      <c r="U3701">
        <v>-1.381729</v>
      </c>
      <c r="V3701">
        <v>0.28880830000000002</v>
      </c>
      <c r="W3701">
        <v>1.855195E-3</v>
      </c>
      <c r="X3701">
        <v>0.95738520000000005</v>
      </c>
      <c r="Y3701">
        <v>0.553728199999999</v>
      </c>
      <c r="Z3701">
        <v>0.1200418</v>
      </c>
      <c r="AA3701">
        <v>0.82399940000000005</v>
      </c>
      <c r="AB3701">
        <v>23</v>
      </c>
      <c r="AC3701">
        <v>-8.2794000000000096</v>
      </c>
      <c r="AD3701">
        <v>-1.102485238369</v>
      </c>
      <c r="AE3701">
        <v>-3.9645999999999901</v>
      </c>
      <c r="AF3701">
        <v>5.1344362762092004</v>
      </c>
      <c r="AG3701">
        <v>-1.102485238369</v>
      </c>
      <c r="AH3701">
        <v>7.4514922789806102</v>
      </c>
      <c r="AI3701">
        <v>96.946281659392199</v>
      </c>
      <c r="AJ3701">
        <v>55.431291180148001</v>
      </c>
      <c r="AK3701">
        <v>9.1160653112503596</v>
      </c>
      <c r="AL3701">
        <v>89.893705100512094</v>
      </c>
      <c r="AM3701">
        <v>73.213346964554702</v>
      </c>
      <c r="AN3701">
        <v>1.0000000485381999</v>
      </c>
    </row>
    <row r="3702" spans="1:40" x14ac:dyDescent="0.3">
      <c r="A3702" t="str">
        <f>"20200111160528745"</f>
        <v>20200111160528745</v>
      </c>
      <c r="B3702" t="str">
        <f>"1578729928735236"</f>
        <v>1578729928735236</v>
      </c>
      <c r="C3702" t="s">
        <v>40</v>
      </c>
      <c r="D3702">
        <v>5.5087000000000002</v>
      </c>
      <c r="E3702">
        <v>0.61392119999999994</v>
      </c>
      <c r="F3702" t="s">
        <v>75</v>
      </c>
      <c r="G3702">
        <v>-203.7396</v>
      </c>
      <c r="H3702" s="1">
        <v>-8.9500969999999994E-6</v>
      </c>
      <c r="I3702">
        <v>142.97739999999999</v>
      </c>
      <c r="J3702">
        <v>-195.0051</v>
      </c>
      <c r="K3702">
        <v>1.1024419999999999</v>
      </c>
      <c r="L3702">
        <v>147.03290000000001</v>
      </c>
      <c r="M3702">
        <v>-0.50814989999999904</v>
      </c>
      <c r="N3702">
        <v>0</v>
      </c>
      <c r="O3702">
        <v>-0.86113700000000004</v>
      </c>
      <c r="P3702">
        <v>-0.73837949999999997</v>
      </c>
      <c r="Q3702">
        <v>7.1429479999999997E-3</v>
      </c>
      <c r="R3702">
        <v>-0.6743479</v>
      </c>
      <c r="S3702">
        <v>-2.840042</v>
      </c>
      <c r="T3702">
        <v>-0.35362130000000003</v>
      </c>
      <c r="U3702">
        <v>-1.3589020000000001</v>
      </c>
      <c r="V3702">
        <v>0.29357759999999999</v>
      </c>
      <c r="W3702">
        <v>1.5753400000000001E-2</v>
      </c>
      <c r="X3702">
        <v>0.95580540000000003</v>
      </c>
      <c r="Y3702">
        <v>0.55106119999999903</v>
      </c>
      <c r="Z3702">
        <v>0.1133484</v>
      </c>
      <c r="AA3702">
        <v>0.82673079999999999</v>
      </c>
      <c r="AB3702">
        <v>23</v>
      </c>
      <c r="AC3702">
        <v>-8.7344999999999899</v>
      </c>
      <c r="AD3702">
        <v>-1.1024509500969999</v>
      </c>
      <c r="AE3702">
        <v>-4.0555000000000199</v>
      </c>
      <c r="AF3702">
        <v>5.39076895615504</v>
      </c>
      <c r="AG3702">
        <v>-1.1024509500969999</v>
      </c>
      <c r="AH3702">
        <v>7.82907073150679</v>
      </c>
      <c r="AI3702">
        <v>96.615617840055407</v>
      </c>
      <c r="AJ3702">
        <v>55.450335981757704</v>
      </c>
      <c r="AK3702">
        <v>9.5692286290458597</v>
      </c>
      <c r="AL3702">
        <v>89.097359302423001</v>
      </c>
      <c r="AM3702">
        <v>72.925552007589204</v>
      </c>
      <c r="AN3702">
        <v>0.99999996975123895</v>
      </c>
    </row>
    <row r="3703" spans="1:40" x14ac:dyDescent="0.3">
      <c r="A3703" t="str">
        <f>"20200111160528759"</f>
        <v>20200111160528759</v>
      </c>
      <c r="B3703" t="str">
        <f>"1578729928754753"</f>
        <v>1578729928754753</v>
      </c>
      <c r="C3703" t="s">
        <v>40</v>
      </c>
      <c r="D3703">
        <v>5.5312299999999999</v>
      </c>
      <c r="E3703">
        <v>0.61249379999999998</v>
      </c>
      <c r="F3703" t="s">
        <v>75</v>
      </c>
      <c r="G3703">
        <v>-205.3527</v>
      </c>
      <c r="H3703" s="1">
        <v>-8.0563899999999905E-6</v>
      </c>
      <c r="I3703">
        <v>141.99250000000001</v>
      </c>
      <c r="J3703">
        <v>-195.08150000000001</v>
      </c>
      <c r="K3703">
        <v>1.1024149999999999</v>
      </c>
      <c r="L3703">
        <v>146.9203</v>
      </c>
      <c r="M3703">
        <v>-0.51480630000000005</v>
      </c>
      <c r="N3703">
        <v>0</v>
      </c>
      <c r="O3703">
        <v>-0.85717389999999904</v>
      </c>
      <c r="P3703">
        <v>-0.74497259999999998</v>
      </c>
      <c r="Q3703">
        <v>1.3622220000000001E-2</v>
      </c>
      <c r="R3703">
        <v>-0.66695609999999905</v>
      </c>
      <c r="S3703">
        <v>-2.8140109999999998</v>
      </c>
      <c r="T3703">
        <v>-0.29981039999999998</v>
      </c>
      <c r="U3703">
        <v>-1.3707279999999999</v>
      </c>
      <c r="V3703">
        <v>0.29575040000000002</v>
      </c>
      <c r="W3703">
        <v>2.2162830000000001E-2</v>
      </c>
      <c r="X3703">
        <v>0.95500810000000003</v>
      </c>
      <c r="Y3703">
        <v>0.54056019999999905</v>
      </c>
      <c r="Z3703">
        <v>9.6261840000000001E-2</v>
      </c>
      <c r="AA3703">
        <v>0.83577999999999997</v>
      </c>
      <c r="AB3703">
        <v>23</v>
      </c>
      <c r="AC3703">
        <v>-10.271199999999901</v>
      </c>
      <c r="AD3703">
        <v>-1.1024230563899999</v>
      </c>
      <c r="AE3703">
        <v>-4.9277999999999897</v>
      </c>
      <c r="AF3703">
        <v>6.2099018794299203</v>
      </c>
      <c r="AG3703">
        <v>-1.1024230563899999</v>
      </c>
      <c r="AH3703">
        <v>9.4244856383699496</v>
      </c>
      <c r="AI3703">
        <v>95.578768164073594</v>
      </c>
      <c r="AJ3703">
        <v>56.618653718958697</v>
      </c>
      <c r="AK3703">
        <v>11.3401564140557</v>
      </c>
      <c r="AL3703">
        <v>88.730059375914394</v>
      </c>
      <c r="AM3703">
        <v>72.793101344137398</v>
      </c>
      <c r="AN3703">
        <v>0.99999998059968898</v>
      </c>
    </row>
    <row r="3704" spans="1:40" x14ac:dyDescent="0.3">
      <c r="A3704" t="str">
        <f>"20200111160528780"</f>
        <v>20200111160528780</v>
      </c>
      <c r="B3704" t="str">
        <f>"1578729928775248"</f>
        <v>1578729928775248</v>
      </c>
      <c r="C3704" t="s">
        <v>40</v>
      </c>
      <c r="D3704">
        <v>5.7238350000000002</v>
      </c>
      <c r="E3704">
        <v>0.61195459999999902</v>
      </c>
      <c r="F3704" t="s">
        <v>75</v>
      </c>
      <c r="G3704">
        <v>-205.38570000000001</v>
      </c>
      <c r="H3704" s="1">
        <v>-8.0362219999999996E-6</v>
      </c>
      <c r="I3704">
        <v>141.97149999999999</v>
      </c>
      <c r="J3704">
        <v>-195.2045</v>
      </c>
      <c r="K3704">
        <v>1.102387</v>
      </c>
      <c r="L3704">
        <v>146.74270000000001</v>
      </c>
      <c r="M3704">
        <v>-0.52541040000000006</v>
      </c>
      <c r="N3704">
        <v>0</v>
      </c>
      <c r="O3704">
        <v>-0.85071459999999999</v>
      </c>
      <c r="P3704">
        <v>-0.75551400000000002</v>
      </c>
      <c r="Q3704">
        <v>2.5586569999999999E-2</v>
      </c>
      <c r="R3704">
        <v>-0.65463319999999903</v>
      </c>
      <c r="S3704">
        <v>-2.8199770000000002</v>
      </c>
      <c r="T3704">
        <v>-0.30170400000000003</v>
      </c>
      <c r="U3704">
        <v>-1.3543700000000001</v>
      </c>
      <c r="V3704">
        <v>0.29955270000000001</v>
      </c>
      <c r="W3704">
        <v>3.4008450000000003E-2</v>
      </c>
      <c r="X3704">
        <v>0.95347340000000003</v>
      </c>
      <c r="Y3704">
        <v>0.53471679999999999</v>
      </c>
      <c r="Z3704">
        <v>9.6410510000000005E-2</v>
      </c>
      <c r="AA3704">
        <v>0.83951350000000002</v>
      </c>
      <c r="AB3704">
        <v>23</v>
      </c>
      <c r="AC3704">
        <v>-10.1812</v>
      </c>
      <c r="AD3704">
        <v>-1.1023950362220001</v>
      </c>
      <c r="AE3704">
        <v>-4.7712000000000199</v>
      </c>
      <c r="AF3704">
        <v>6.0965552947828501</v>
      </c>
      <c r="AG3704">
        <v>-1.1023950362220001</v>
      </c>
      <c r="AH3704">
        <v>9.3197237020064296</v>
      </c>
      <c r="AI3704">
        <v>95.6531738705702</v>
      </c>
      <c r="AJ3704">
        <v>56.809044779667403</v>
      </c>
      <c r="AK3704">
        <v>11.191090704662001</v>
      </c>
      <c r="AL3704">
        <v>88.051083467423894</v>
      </c>
      <c r="AM3704">
        <v>72.558847794198996</v>
      </c>
      <c r="AN3704">
        <v>0.99999995962812505</v>
      </c>
    </row>
    <row r="3705" spans="1:40" x14ac:dyDescent="0.3">
      <c r="A3705" t="str">
        <f>"20200111160528792"</f>
        <v>20200111160528792</v>
      </c>
      <c r="B3705" t="str">
        <f>"1578729928785008"</f>
        <v>1578729928785008</v>
      </c>
      <c r="C3705" t="s">
        <v>40</v>
      </c>
      <c r="D3705">
        <v>5.4402689999999998</v>
      </c>
      <c r="E3705">
        <v>0.60528510000000002</v>
      </c>
      <c r="F3705" t="s">
        <v>75</v>
      </c>
      <c r="G3705">
        <v>-206.49359999999999</v>
      </c>
      <c r="H3705" s="1">
        <v>-7.424246E-6</v>
      </c>
      <c r="I3705">
        <v>141.5145</v>
      </c>
      <c r="J3705">
        <v>-195.28360000000001</v>
      </c>
      <c r="K3705">
        <v>1.102357</v>
      </c>
      <c r="L3705">
        <v>146.63130000000001</v>
      </c>
      <c r="M3705">
        <v>-0.53214609999999996</v>
      </c>
      <c r="N3705">
        <v>0</v>
      </c>
      <c r="O3705">
        <v>-0.84651710000000002</v>
      </c>
      <c r="P3705">
        <v>-0.76184649999999998</v>
      </c>
      <c r="Q3705">
        <v>3.0581480000000001E-2</v>
      </c>
      <c r="R3705">
        <v>-0.64703549999999999</v>
      </c>
      <c r="S3705">
        <v>-2.8403930000000002</v>
      </c>
      <c r="T3705">
        <v>-0.27736809999999901</v>
      </c>
      <c r="U3705">
        <v>-1.315445</v>
      </c>
      <c r="V3705">
        <v>0.30148049999999998</v>
      </c>
      <c r="W3705">
        <v>3.8940429999999998E-2</v>
      </c>
      <c r="X3705">
        <v>0.95267679999999999</v>
      </c>
      <c r="Y3705">
        <v>0.54053469999999904</v>
      </c>
      <c r="Z3705">
        <v>8.8608640000000002E-2</v>
      </c>
      <c r="AA3705">
        <v>0.83664249999999996</v>
      </c>
      <c r="AB3705">
        <v>23</v>
      </c>
      <c r="AC3705">
        <v>-11.2099999999999</v>
      </c>
      <c r="AD3705">
        <v>-1.102364424246</v>
      </c>
      <c r="AE3705">
        <v>-5.1168000000000102</v>
      </c>
      <c r="AF3705">
        <v>6.7136190732432803</v>
      </c>
      <c r="AG3705">
        <v>-1.102364424246</v>
      </c>
      <c r="AH3705">
        <v>10.216237755166199</v>
      </c>
      <c r="AI3705">
        <v>95.152704855643705</v>
      </c>
      <c r="AJ3705">
        <v>56.689011154041701</v>
      </c>
      <c r="AK3705">
        <v>12.274339177916801</v>
      </c>
      <c r="AL3705">
        <v>87.768313387023298</v>
      </c>
      <c r="AM3705">
        <v>72.439700614565893</v>
      </c>
      <c r="AN3705">
        <v>0.999999967113537</v>
      </c>
    </row>
    <row r="3706" spans="1:40" x14ac:dyDescent="0.3">
      <c r="A3706" t="str">
        <f>"20200111160528812"</f>
        <v>20200111160528812</v>
      </c>
      <c r="B3706" t="str">
        <f>"1578729928805504"</f>
        <v>1578729928805504</v>
      </c>
      <c r="C3706" t="s">
        <v>40</v>
      </c>
      <c r="D3706">
        <v>5.4475059999999997</v>
      </c>
      <c r="E3706">
        <v>0.60870780000000002</v>
      </c>
      <c r="F3706" t="s">
        <v>75</v>
      </c>
      <c r="G3706">
        <v>-205.90889999999999</v>
      </c>
      <c r="H3706" s="1">
        <v>-7.7092260000000001E-6</v>
      </c>
      <c r="I3706">
        <v>141.61179999999999</v>
      </c>
      <c r="J3706">
        <v>-195.3973</v>
      </c>
      <c r="K3706">
        <v>1.1023229999999999</v>
      </c>
      <c r="L3706">
        <v>146.4743</v>
      </c>
      <c r="M3706">
        <v>-0.54173230000000006</v>
      </c>
      <c r="N3706">
        <v>0</v>
      </c>
      <c r="O3706">
        <v>-0.8404142</v>
      </c>
      <c r="P3706">
        <v>-0.77103009999999905</v>
      </c>
      <c r="Q3706">
        <v>3.8336620000000002E-2</v>
      </c>
      <c r="R3706">
        <v>-0.63564409999999905</v>
      </c>
      <c r="S3706">
        <v>-2.8186490000000002</v>
      </c>
      <c r="T3706">
        <v>-0.29243219999999998</v>
      </c>
      <c r="U3706">
        <v>-1.3315729999999999</v>
      </c>
      <c r="V3706">
        <v>0.30468149999999999</v>
      </c>
      <c r="W3706">
        <v>4.6592359999999999E-2</v>
      </c>
      <c r="X3706">
        <v>0.95131399999999999</v>
      </c>
      <c r="Y3706">
        <v>0.52408379999999999</v>
      </c>
      <c r="Z3706">
        <v>9.2933429999999997E-2</v>
      </c>
      <c r="AA3706">
        <v>0.84658109999999998</v>
      </c>
      <c r="AB3706">
        <v>23</v>
      </c>
      <c r="AC3706">
        <v>-10.5115999999999</v>
      </c>
      <c r="AD3706">
        <v>-1.102330709226</v>
      </c>
      <c r="AE3706">
        <v>-4.8625000000000096</v>
      </c>
      <c r="AF3706">
        <v>6.1449715956372799</v>
      </c>
      <c r="AG3706">
        <v>-1.102330709226</v>
      </c>
      <c r="AH3706">
        <v>9.6942935607319303</v>
      </c>
      <c r="AI3706">
        <v>95.485872883086898</v>
      </c>
      <c r="AJ3706">
        <v>57.630406160770399</v>
      </c>
      <c r="AK3706">
        <v>11.5306173531749</v>
      </c>
      <c r="AL3706">
        <v>87.329487594776197</v>
      </c>
      <c r="AM3706">
        <v>72.241069057811799</v>
      </c>
      <c r="AN3706">
        <v>0.99999999552430896</v>
      </c>
    </row>
    <row r="3707" spans="1:40" x14ac:dyDescent="0.3">
      <c r="A3707" t="str">
        <f>"20200111160528857"</f>
        <v>20200111160528857</v>
      </c>
      <c r="B3707" t="str">
        <f>"1578729928855282"</f>
        <v>1578729928855282</v>
      </c>
      <c r="C3707" t="s">
        <v>40</v>
      </c>
      <c r="D3707">
        <v>5.654134</v>
      </c>
      <c r="E3707">
        <v>0.64852359999999998</v>
      </c>
      <c r="F3707" t="s">
        <v>75</v>
      </c>
      <c r="G3707">
        <v>-206.59299999999999</v>
      </c>
      <c r="H3707" s="1">
        <v>-7.3734849999999996E-6</v>
      </c>
      <c r="I3707">
        <v>141.48910000000001</v>
      </c>
      <c r="J3707">
        <v>-195.68029999999999</v>
      </c>
      <c r="K3707">
        <v>1.102209</v>
      </c>
      <c r="L3707">
        <v>146.10040000000001</v>
      </c>
      <c r="M3707">
        <v>-0.56503429999999999</v>
      </c>
      <c r="N3707">
        <v>0</v>
      </c>
      <c r="O3707">
        <v>-0.82492670000000001</v>
      </c>
      <c r="P3707">
        <v>-0.7919543</v>
      </c>
      <c r="Q3707">
        <v>4.7650289999999998E-2</v>
      </c>
      <c r="R3707">
        <v>-0.6087188</v>
      </c>
      <c r="S3707">
        <v>-2.8563230000000002</v>
      </c>
      <c r="T3707">
        <v>-0.28123569999999998</v>
      </c>
      <c r="U3707">
        <v>-1.271881</v>
      </c>
      <c r="V3707">
        <v>0.3106138</v>
      </c>
      <c r="W3707">
        <v>5.5707039999999999E-2</v>
      </c>
      <c r="X3707">
        <v>0.94890240000000003</v>
      </c>
      <c r="Y3707">
        <v>0.51967759999999996</v>
      </c>
      <c r="Z3707">
        <v>8.819784E-2</v>
      </c>
      <c r="AA3707">
        <v>0.84979780000000005</v>
      </c>
      <c r="AB3707">
        <v>22</v>
      </c>
      <c r="AC3707">
        <v>-10.912699999999999</v>
      </c>
      <c r="AD3707">
        <v>-1.1022163734849999</v>
      </c>
      <c r="AE3707">
        <v>-4.6113</v>
      </c>
      <c r="AF3707">
        <v>6.3424770843952301</v>
      </c>
      <c r="AG3707">
        <v>-1.1022163734849999</v>
      </c>
      <c r="AH3707">
        <v>9.8856218525133599</v>
      </c>
      <c r="AI3707">
        <v>95.361108706779206</v>
      </c>
      <c r="AJ3707">
        <v>57.316335399239499</v>
      </c>
      <c r="AK3707">
        <v>11.796924002083999</v>
      </c>
      <c r="AL3707">
        <v>86.806568536871595</v>
      </c>
      <c r="AM3707">
        <v>71.874653457026099</v>
      </c>
      <c r="AN3707">
        <v>0.99999998589088002</v>
      </c>
    </row>
    <row r="3708" spans="1:40" x14ac:dyDescent="0.3">
      <c r="A3708" t="str">
        <f>"20200111160528878"</f>
        <v>20200111160528878</v>
      </c>
      <c r="B3708" t="str">
        <f>"1578729928875308"</f>
        <v>1578729928875308</v>
      </c>
      <c r="C3708" t="s">
        <v>40</v>
      </c>
      <c r="D3708">
        <v>5.6324160000000001</v>
      </c>
      <c r="E3708">
        <v>0.64766749999999995</v>
      </c>
      <c r="F3708" t="s">
        <v>75</v>
      </c>
      <c r="G3708">
        <v>-206.65770000000001</v>
      </c>
      <c r="H3708" s="1">
        <v>-7.6925249999999997E-6</v>
      </c>
      <c r="I3708">
        <v>142.8064</v>
      </c>
      <c r="J3708">
        <v>-195.81100000000001</v>
      </c>
      <c r="K3708">
        <v>1.1021540000000001</v>
      </c>
      <c r="L3708">
        <v>145.93510000000001</v>
      </c>
      <c r="M3708">
        <v>-0.57553390000000004</v>
      </c>
      <c r="N3708">
        <v>0</v>
      </c>
      <c r="O3708">
        <v>-0.81763529999999995</v>
      </c>
      <c r="P3708">
        <v>-0.80132019999999904</v>
      </c>
      <c r="Q3708">
        <v>5.0098820000000002E-2</v>
      </c>
      <c r="R3708">
        <v>-0.59613499999999997</v>
      </c>
      <c r="S3708">
        <v>-3.0933229999999998</v>
      </c>
      <c r="T3708">
        <v>-0.31059239999999999</v>
      </c>
      <c r="U3708">
        <v>-0.92820740000000002</v>
      </c>
      <c r="V3708">
        <v>0.31340780000000001</v>
      </c>
      <c r="W3708">
        <v>5.8066409999999999E-2</v>
      </c>
      <c r="X3708">
        <v>0.94784159999999995</v>
      </c>
      <c r="Y3708">
        <v>0.61254010000000003</v>
      </c>
      <c r="Z3708">
        <v>9.7288470000000002E-2</v>
      </c>
      <c r="AA3708">
        <v>0.78442939999999906</v>
      </c>
      <c r="AB3708">
        <v>22</v>
      </c>
      <c r="AC3708">
        <v>-10.8467</v>
      </c>
      <c r="AD3708">
        <v>-1.102161692525</v>
      </c>
      <c r="AE3708">
        <v>-3.1286999999999998</v>
      </c>
      <c r="AF3708">
        <v>7.0020524613957003</v>
      </c>
      <c r="AG3708">
        <v>-1.102161692525</v>
      </c>
      <c r="AH3708">
        <v>8.7186986569096003</v>
      </c>
      <c r="AI3708">
        <v>95.629052404199797</v>
      </c>
      <c r="AJ3708">
        <v>51.231790455350499</v>
      </c>
      <c r="AK3708">
        <v>11.236512151846901</v>
      </c>
      <c r="AL3708">
        <v>86.671167103087001</v>
      </c>
      <c r="AM3708">
        <v>71.703315091932396</v>
      </c>
      <c r="AN3708">
        <v>0.99999992788084102</v>
      </c>
    </row>
    <row r="3709" spans="1:40" x14ac:dyDescent="0.3">
      <c r="A3709" t="str">
        <f>"20200111160528902"</f>
        <v>20200111160528902</v>
      </c>
      <c r="B3709" t="str">
        <f>"1578729928894828"</f>
        <v>1578729928894828</v>
      </c>
      <c r="C3709" t="s">
        <v>40</v>
      </c>
      <c r="D3709">
        <v>5.5472469999999996</v>
      </c>
      <c r="E3709">
        <v>0.64661459999999904</v>
      </c>
      <c r="F3709" t="s">
        <v>75</v>
      </c>
      <c r="G3709">
        <v>-206.1575</v>
      </c>
      <c r="H3709" s="1">
        <v>-7.9590509999999906E-6</v>
      </c>
      <c r="I3709">
        <v>142.97579999999999</v>
      </c>
      <c r="J3709">
        <v>-195.96799999999999</v>
      </c>
      <c r="K3709">
        <v>1.102085</v>
      </c>
      <c r="L3709">
        <v>145.7422</v>
      </c>
      <c r="M3709">
        <v>-0.58793459999999997</v>
      </c>
      <c r="N3709">
        <v>0</v>
      </c>
      <c r="O3709">
        <v>-0.80876349999999997</v>
      </c>
      <c r="P3709">
        <v>-0.81156059999999997</v>
      </c>
      <c r="Q3709">
        <v>5.0246359999999997E-2</v>
      </c>
      <c r="R3709">
        <v>-0.58210419999999996</v>
      </c>
      <c r="S3709">
        <v>-3.1039889999999999</v>
      </c>
      <c r="T3709">
        <v>-0.33065119999999998</v>
      </c>
      <c r="U3709">
        <v>-0.88780210000000004</v>
      </c>
      <c r="V3709">
        <v>0.31545069999999997</v>
      </c>
      <c r="W3709">
        <v>5.8142590000000001E-2</v>
      </c>
      <c r="X3709">
        <v>0.94715910000000003</v>
      </c>
      <c r="Y3709">
        <v>0.61000399999999999</v>
      </c>
      <c r="Z3709">
        <v>0.10299170000000001</v>
      </c>
      <c r="AA3709">
        <v>0.78567670000000001</v>
      </c>
      <c r="AB3709">
        <v>22</v>
      </c>
      <c r="AC3709">
        <v>-10.189500000000001</v>
      </c>
      <c r="AD3709">
        <v>-1.102092959051</v>
      </c>
      <c r="AE3709">
        <v>-2.7664</v>
      </c>
      <c r="AF3709">
        <v>6.5439104740525798</v>
      </c>
      <c r="AG3709">
        <v>-1.102092959051</v>
      </c>
      <c r="AH3709">
        <v>8.1403949017444006</v>
      </c>
      <c r="AI3709">
        <v>96.023469069934094</v>
      </c>
      <c r="AJ3709">
        <v>51.204852655390297</v>
      </c>
      <c r="AK3709">
        <v>10.502542660668</v>
      </c>
      <c r="AL3709">
        <v>86.666795273654699</v>
      </c>
      <c r="AM3709">
        <v>71.579697596970902</v>
      </c>
      <c r="AN3709">
        <v>1.0000000328076</v>
      </c>
    </row>
    <row r="3710" spans="1:40" x14ac:dyDescent="0.3">
      <c r="A3710" t="str">
        <f>"20200111160528924"</f>
        <v>20200111160528924</v>
      </c>
      <c r="B3710" t="str">
        <f>"1578729928915324"</f>
        <v>1578729928915324</v>
      </c>
      <c r="C3710" t="s">
        <v>40</v>
      </c>
      <c r="D3710">
        <v>5.2560449999999896</v>
      </c>
      <c r="E3710">
        <v>0.64987859999999997</v>
      </c>
      <c r="F3710" t="s">
        <v>75</v>
      </c>
      <c r="G3710">
        <v>-205.84309999999999</v>
      </c>
      <c r="H3710" s="1">
        <v>-8.1239339999999999E-6</v>
      </c>
      <c r="I3710">
        <v>143.07220000000001</v>
      </c>
      <c r="J3710">
        <v>-196.113</v>
      </c>
      <c r="K3710">
        <v>1.102023</v>
      </c>
      <c r="L3710">
        <v>145.56979999999999</v>
      </c>
      <c r="M3710">
        <v>-0.59917089999999995</v>
      </c>
      <c r="N3710">
        <v>0</v>
      </c>
      <c r="O3710">
        <v>-0.80047409999999997</v>
      </c>
      <c r="P3710">
        <v>-0.82037700000000002</v>
      </c>
      <c r="Q3710">
        <v>4.9331680000000003E-2</v>
      </c>
      <c r="R3710">
        <v>-0.56969179999999997</v>
      </c>
      <c r="S3710">
        <v>-3.114182</v>
      </c>
      <c r="T3710">
        <v>-0.34755370000000002</v>
      </c>
      <c r="U3710">
        <v>-0.84199519999999906</v>
      </c>
      <c r="V3710">
        <v>0.31666680000000003</v>
      </c>
      <c r="W3710">
        <v>5.7180979999999999E-2</v>
      </c>
      <c r="X3710">
        <v>0.94681170000000003</v>
      </c>
      <c r="Y3710">
        <v>0.60978160000000003</v>
      </c>
      <c r="Z3710">
        <v>0.1078177</v>
      </c>
      <c r="AA3710">
        <v>0.7852017</v>
      </c>
      <c r="AB3710">
        <v>22</v>
      </c>
      <c r="AC3710">
        <v>-9.7300999999999895</v>
      </c>
      <c r="AD3710">
        <v>-1.1020311239339999</v>
      </c>
      <c r="AE3710">
        <v>-2.4975999999999701</v>
      </c>
      <c r="AF3710">
        <v>6.2181105501165099</v>
      </c>
      <c r="AG3710">
        <v>-1.1020311239339999</v>
      </c>
      <c r="AH3710">
        <v>7.7370642126297904</v>
      </c>
      <c r="AI3710">
        <v>96.335250252438698</v>
      </c>
      <c r="AJ3710">
        <v>51.211915663256299</v>
      </c>
      <c r="AK3710">
        <v>9.9870683407067098</v>
      </c>
      <c r="AL3710">
        <v>86.721983056006493</v>
      </c>
      <c r="AM3710">
        <v>71.507181967975598</v>
      </c>
      <c r="AN3710">
        <v>0.99999996097644395</v>
      </c>
    </row>
    <row r="3711" spans="1:40" x14ac:dyDescent="0.3">
      <c r="A3711" t="str">
        <f>"20200111160528968"</f>
        <v>20200111160528968</v>
      </c>
      <c r="B3711" t="str">
        <f>"1578729928965608"</f>
        <v>1578729928965608</v>
      </c>
      <c r="C3711" t="s">
        <v>40</v>
      </c>
      <c r="D3711">
        <v>5.1954029999999998</v>
      </c>
      <c r="E3711">
        <v>0.65126709999999999</v>
      </c>
      <c r="F3711" t="s">
        <v>75</v>
      </c>
      <c r="G3711">
        <v>-206.69470000000001</v>
      </c>
      <c r="H3711" s="1">
        <v>-7.7213660000000006E-6</v>
      </c>
      <c r="I3711">
        <v>142.9778</v>
      </c>
      <c r="J3711">
        <v>-196.41159999999999</v>
      </c>
      <c r="K3711">
        <v>1.1019019999999999</v>
      </c>
      <c r="L3711">
        <v>145.23070000000001</v>
      </c>
      <c r="M3711">
        <v>-0.62169759999999996</v>
      </c>
      <c r="N3711">
        <v>0</v>
      </c>
      <c r="O3711">
        <v>-0.78310599999999997</v>
      </c>
      <c r="P3711">
        <v>-0.83602699999999996</v>
      </c>
      <c r="Q3711">
        <v>4.5663250000000002E-2</v>
      </c>
      <c r="R3711">
        <v>-0.54678579999999999</v>
      </c>
      <c r="S3711">
        <v>-3.1420750000000002</v>
      </c>
      <c r="T3711">
        <v>-0.32723010000000002</v>
      </c>
      <c r="U3711">
        <v>-0.76965329999999998</v>
      </c>
      <c r="V3711">
        <v>0.31601950000000001</v>
      </c>
      <c r="W3711">
        <v>5.3508769999999997E-2</v>
      </c>
      <c r="X3711">
        <v>0.94724260000000005</v>
      </c>
      <c r="Y3711">
        <v>0.60690719999999898</v>
      </c>
      <c r="Z3711">
        <v>0.1001794</v>
      </c>
      <c r="AA3711">
        <v>0.78843369999999902</v>
      </c>
      <c r="AB3711">
        <v>22</v>
      </c>
      <c r="AC3711">
        <v>-10.283099999999999</v>
      </c>
      <c r="AD3711">
        <v>-1.1019097213660001</v>
      </c>
      <c r="AE3711">
        <v>-2.2529000000000101</v>
      </c>
      <c r="AF3711">
        <v>6.5808189178092604</v>
      </c>
      <c r="AG3711">
        <v>-1.1019097213660001</v>
      </c>
      <c r="AH3711">
        <v>8.0697863952873199</v>
      </c>
      <c r="AI3711">
        <v>96.040645778249996</v>
      </c>
      <c r="AJ3711">
        <v>50.803148003156998</v>
      </c>
      <c r="AK3711">
        <v>10.4710474704587</v>
      </c>
      <c r="AL3711">
        <v>86.932708503376602</v>
      </c>
      <c r="AM3711">
        <v>71.550247071168499</v>
      </c>
      <c r="AN3711">
        <v>1.00000002805096</v>
      </c>
    </row>
    <row r="3712" spans="1:40" x14ac:dyDescent="0.3">
      <c r="A3712" t="str">
        <f>"20200111160528991"</f>
        <v>20200111160528991</v>
      </c>
      <c r="B3712" t="str">
        <f>"1578729928985126"</f>
        <v>1578729928985126</v>
      </c>
      <c r="C3712" t="s">
        <v>40</v>
      </c>
      <c r="D3712">
        <v>5.3258169999999998</v>
      </c>
      <c r="E3712">
        <v>0.65091840000000001</v>
      </c>
      <c r="F3712" t="s">
        <v>75</v>
      </c>
      <c r="G3712">
        <v>-207.55850000000001</v>
      </c>
      <c r="H3712" s="1">
        <v>-7.3126589999999998E-6</v>
      </c>
      <c r="I3712">
        <v>142.88069999999999</v>
      </c>
      <c r="J3712">
        <v>-196.57400000000001</v>
      </c>
      <c r="K3712">
        <v>1.1018539999999999</v>
      </c>
      <c r="L3712">
        <v>145.05449999999999</v>
      </c>
      <c r="M3712">
        <v>-0.63358789999999998</v>
      </c>
      <c r="N3712">
        <v>0</v>
      </c>
      <c r="O3712">
        <v>-0.77351669999999995</v>
      </c>
      <c r="P3712">
        <v>-0.84374329999999997</v>
      </c>
      <c r="Q3712">
        <v>4.384805E-2</v>
      </c>
      <c r="R3712">
        <v>-0.53495319999999902</v>
      </c>
      <c r="S3712">
        <v>-3.1686100000000001</v>
      </c>
      <c r="T3712">
        <v>-0.31322630000000001</v>
      </c>
      <c r="U3712">
        <v>-0.66799929999999996</v>
      </c>
      <c r="V3712">
        <v>0.3149344</v>
      </c>
      <c r="W3712">
        <v>5.1718340000000002E-2</v>
      </c>
      <c r="X3712">
        <v>0.94770330000000003</v>
      </c>
      <c r="Y3712">
        <v>0.62078820000000001</v>
      </c>
      <c r="Z3712">
        <v>9.5893790000000007E-2</v>
      </c>
      <c r="AA3712">
        <v>0.77809150000000005</v>
      </c>
      <c r="AB3712">
        <v>22</v>
      </c>
      <c r="AC3712">
        <v>-10.984499999999899</v>
      </c>
      <c r="AD3712">
        <v>-1.101861312659</v>
      </c>
      <c r="AE3712">
        <v>-2.1738</v>
      </c>
      <c r="AF3712">
        <v>7.0519650874253896</v>
      </c>
      <c r="AG3712">
        <v>-1.101861312659</v>
      </c>
      <c r="AH3712">
        <v>8.5592673057218391</v>
      </c>
      <c r="AI3712">
        <v>95.674001795959001</v>
      </c>
      <c r="AJ3712">
        <v>50.514950916801403</v>
      </c>
      <c r="AK3712">
        <v>11.1447461504244</v>
      </c>
      <c r="AL3712">
        <v>87.035434806636204</v>
      </c>
      <c r="AM3712">
        <v>71.617667108860999</v>
      </c>
      <c r="AN3712">
        <v>1.0000000039132999</v>
      </c>
    </row>
    <row r="3713" spans="1:40" x14ac:dyDescent="0.3">
      <c r="A3713" t="str">
        <f>"20200111160529014"</f>
        <v>20200111160529014</v>
      </c>
      <c r="B3713" t="str">
        <f>"1578729929005623"</f>
        <v>1578729929005623</v>
      </c>
      <c r="C3713" t="s">
        <v>40</v>
      </c>
      <c r="D3713">
        <v>5.3585010000000004</v>
      </c>
      <c r="E3713">
        <v>0.64996809999999905</v>
      </c>
      <c r="F3713" t="s">
        <v>75</v>
      </c>
      <c r="G3713">
        <v>-207.79159999999999</v>
      </c>
      <c r="H3713" s="1">
        <v>-7.2010909999999999E-6</v>
      </c>
      <c r="I3713">
        <v>142.84960000000001</v>
      </c>
      <c r="J3713">
        <v>-196.73220000000001</v>
      </c>
      <c r="K3713">
        <v>1.101809</v>
      </c>
      <c r="L3713">
        <v>144.88810000000001</v>
      </c>
      <c r="M3713">
        <v>-0.64492899999999997</v>
      </c>
      <c r="N3713">
        <v>0</v>
      </c>
      <c r="O3713">
        <v>-0.76408589999999998</v>
      </c>
      <c r="P3713">
        <v>-0.85094439999999905</v>
      </c>
      <c r="Q3713">
        <v>4.2785009999999998E-2</v>
      </c>
      <c r="R3713">
        <v>-0.52351059999999905</v>
      </c>
      <c r="S3713">
        <v>-3.1760100000000002</v>
      </c>
      <c r="T3713">
        <v>-0.31196760000000001</v>
      </c>
      <c r="U3713">
        <v>-0.62426759999999903</v>
      </c>
      <c r="V3713">
        <v>0.31377450000000001</v>
      </c>
      <c r="W3713">
        <v>5.0685910000000001E-2</v>
      </c>
      <c r="X3713">
        <v>0.94814370000000003</v>
      </c>
      <c r="Y3713">
        <v>0.61999119999999996</v>
      </c>
      <c r="Z3713">
        <v>9.4995960000000004E-2</v>
      </c>
      <c r="AA3713">
        <v>0.77883669999999905</v>
      </c>
      <c r="AB3713">
        <v>22</v>
      </c>
      <c r="AC3713">
        <v>-11.059399999999901</v>
      </c>
      <c r="AD3713">
        <v>-1.101816201091</v>
      </c>
      <c r="AE3713">
        <v>-2.0384999999999902</v>
      </c>
      <c r="AF3713">
        <v>7.0686429479309201</v>
      </c>
      <c r="AG3713">
        <v>-1.101816201091</v>
      </c>
      <c r="AH3713">
        <v>8.6085201113688399</v>
      </c>
      <c r="AI3713">
        <v>95.649159249262496</v>
      </c>
      <c r="AJ3713">
        <v>50.609838381985803</v>
      </c>
      <c r="AK3713">
        <v>11.193137655463801</v>
      </c>
      <c r="AL3713">
        <v>87.094666335184101</v>
      </c>
      <c r="AM3713">
        <v>71.688782218522803</v>
      </c>
      <c r="AN3713">
        <v>0.99999998708623405</v>
      </c>
    </row>
    <row r="3714" spans="1:40" x14ac:dyDescent="0.3">
      <c r="A3714" t="str">
        <f>"20200111160529037"</f>
        <v>20200111160529037</v>
      </c>
      <c r="B3714" t="str">
        <f>"1578729929025142"</f>
        <v>1578729929025142</v>
      </c>
      <c r="C3714" t="s">
        <v>40</v>
      </c>
      <c r="D3714">
        <v>5.3841199999999896</v>
      </c>
      <c r="E3714">
        <v>0.64868340000000002</v>
      </c>
      <c r="F3714" t="s">
        <v>75</v>
      </c>
      <c r="G3714">
        <v>-207.86080000000001</v>
      </c>
      <c r="H3714" s="1">
        <v>-7.165959E-6</v>
      </c>
      <c r="I3714">
        <v>142.83279999999999</v>
      </c>
      <c r="J3714">
        <v>-196.89189999999999</v>
      </c>
      <c r="K3714">
        <v>1.101782</v>
      </c>
      <c r="L3714">
        <v>144.7252</v>
      </c>
      <c r="M3714">
        <v>-0.65613980000000005</v>
      </c>
      <c r="N3714">
        <v>0</v>
      </c>
      <c r="O3714">
        <v>-0.7544805</v>
      </c>
      <c r="P3714">
        <v>-0.85795149999999998</v>
      </c>
      <c r="Q3714">
        <v>4.1974999999999998E-2</v>
      </c>
      <c r="R3714">
        <v>-0.5120133</v>
      </c>
      <c r="S3714">
        <v>-3.1800380000000001</v>
      </c>
      <c r="T3714">
        <v>-0.31484820000000002</v>
      </c>
      <c r="U3714">
        <v>-0.58731080000000002</v>
      </c>
      <c r="V3714">
        <v>0.31254900000000002</v>
      </c>
      <c r="W3714">
        <v>4.991251E-2</v>
      </c>
      <c r="X3714">
        <v>0.94858940000000003</v>
      </c>
      <c r="Y3714">
        <v>0.61729750000000005</v>
      </c>
      <c r="Z3714">
        <v>9.5282759999999994E-2</v>
      </c>
      <c r="AA3714">
        <v>0.78093849999999998</v>
      </c>
      <c r="AB3714">
        <v>22</v>
      </c>
      <c r="AC3714">
        <v>-10.9689</v>
      </c>
      <c r="AD3714">
        <v>-1.101789165959</v>
      </c>
      <c r="AE3714">
        <v>-1.8924000000000001</v>
      </c>
      <c r="AF3714">
        <v>6.9667262562494097</v>
      </c>
      <c r="AG3714">
        <v>-1.101789165959</v>
      </c>
      <c r="AH3714">
        <v>8.5422487182444407</v>
      </c>
      <c r="AI3714">
        <v>95.707993140964106</v>
      </c>
      <c r="AJ3714">
        <v>50.800651729126997</v>
      </c>
      <c r="AK3714">
        <v>11.0778710617197</v>
      </c>
      <c r="AL3714">
        <v>87.139035071673405</v>
      </c>
      <c r="AM3714">
        <v>71.763559049936305</v>
      </c>
      <c r="AN3714">
        <v>0.99999999292393005</v>
      </c>
    </row>
    <row r="3715" spans="1:40" x14ac:dyDescent="0.3">
      <c r="A3715" t="str">
        <f>"20200111160529057"</f>
        <v>20200111160529057</v>
      </c>
      <c r="B3715" t="str">
        <f>"1578729929055398"</f>
        <v>1578729929055398</v>
      </c>
      <c r="C3715" t="s">
        <v>40</v>
      </c>
      <c r="D3715">
        <v>5.344862</v>
      </c>
      <c r="E3715">
        <v>0.64660209999999996</v>
      </c>
      <c r="F3715" t="s">
        <v>75</v>
      </c>
      <c r="G3715">
        <v>-207.88630000000001</v>
      </c>
      <c r="H3715" s="1">
        <v>-7.1499010000000002E-6</v>
      </c>
      <c r="I3715">
        <v>142.81469999999999</v>
      </c>
      <c r="J3715">
        <v>-197.0428</v>
      </c>
      <c r="K3715">
        <v>1.1017699999999999</v>
      </c>
      <c r="L3715">
        <v>144.57570000000001</v>
      </c>
      <c r="M3715">
        <v>-0.66650609999999999</v>
      </c>
      <c r="N3715">
        <v>0</v>
      </c>
      <c r="O3715">
        <v>-0.74533830000000001</v>
      </c>
      <c r="P3715">
        <v>-0.86432050000000005</v>
      </c>
      <c r="Q3715">
        <v>4.2844199999999902E-2</v>
      </c>
      <c r="R3715">
        <v>-0.50111399999999995</v>
      </c>
      <c r="S3715">
        <v>-3.1822810000000001</v>
      </c>
      <c r="T3715">
        <v>-0.31891039999999998</v>
      </c>
      <c r="U3715">
        <v>-0.55297850000000004</v>
      </c>
      <c r="V3715">
        <v>0.31143130000000002</v>
      </c>
      <c r="W3715">
        <v>5.0817359999999999E-2</v>
      </c>
      <c r="X3715">
        <v>0.94890890000000006</v>
      </c>
      <c r="Y3715">
        <v>0.61460539999999997</v>
      </c>
      <c r="Z3715">
        <v>9.5950400000000005E-2</v>
      </c>
      <c r="AA3715">
        <v>0.78297749999999999</v>
      </c>
      <c r="AB3715">
        <v>22</v>
      </c>
      <c r="AC3715">
        <v>-10.843500000000001</v>
      </c>
      <c r="AD3715">
        <v>-1.1017771499010001</v>
      </c>
      <c r="AE3715">
        <v>-1.7610000000000201</v>
      </c>
      <c r="AF3715">
        <v>6.8403837566546004</v>
      </c>
      <c r="AG3715">
        <v>-1.1017771499010001</v>
      </c>
      <c r="AH3715">
        <v>8.4557722055525097</v>
      </c>
      <c r="AI3715">
        <v>95.784444233424097</v>
      </c>
      <c r="AJ3715">
        <v>51.028517128045401</v>
      </c>
      <c r="AK3715">
        <v>10.9318272223147</v>
      </c>
      <c r="AL3715">
        <v>87.087125064666907</v>
      </c>
      <c r="AM3715">
        <v>71.830196822107496</v>
      </c>
      <c r="AN3715">
        <v>0.99999997959813403</v>
      </c>
    </row>
    <row r="3716" spans="1:40" x14ac:dyDescent="0.3">
      <c r="A3716" t="str">
        <f>"20200111160529080"</f>
        <v>20200111160529080</v>
      </c>
      <c r="B3716" t="str">
        <f>"1578729929075427"</f>
        <v>1578729929075427</v>
      </c>
      <c r="C3716" t="s">
        <v>40</v>
      </c>
      <c r="D3716">
        <v>5.2422550000000001</v>
      </c>
      <c r="E3716">
        <v>0.64551599999999998</v>
      </c>
      <c r="F3716" t="s">
        <v>75</v>
      </c>
      <c r="G3716">
        <v>-208.19839999999999</v>
      </c>
      <c r="H3716" s="1">
        <v>-6.9888260000000002E-6</v>
      </c>
      <c r="I3716">
        <v>142.72890000000001</v>
      </c>
      <c r="J3716">
        <v>-197.202</v>
      </c>
      <c r="K3716">
        <v>1.1017709999999901</v>
      </c>
      <c r="L3716">
        <v>144.42240000000001</v>
      </c>
      <c r="M3716">
        <v>-0.67721209999999998</v>
      </c>
      <c r="N3716">
        <v>0</v>
      </c>
      <c r="O3716">
        <v>-0.73562399999999994</v>
      </c>
      <c r="P3716">
        <v>-0.87099669999999896</v>
      </c>
      <c r="Q3716">
        <v>4.5152650000000003E-2</v>
      </c>
      <c r="R3716">
        <v>-0.48921019999999998</v>
      </c>
      <c r="S3716">
        <v>-3.181152</v>
      </c>
      <c r="T3716">
        <v>-0.31418400000000002</v>
      </c>
      <c r="U3716">
        <v>-0.52664180000000005</v>
      </c>
      <c r="V3716">
        <v>0.3106952</v>
      </c>
      <c r="W3716">
        <v>5.3154510000000002E-2</v>
      </c>
      <c r="X3716">
        <v>0.94902220000000004</v>
      </c>
      <c r="Y3716">
        <v>0.60968690000000003</v>
      </c>
      <c r="Z3716">
        <v>9.3884380000000003E-2</v>
      </c>
      <c r="AA3716">
        <v>0.78706259999999995</v>
      </c>
      <c r="AB3716">
        <v>22</v>
      </c>
      <c r="AC3716">
        <v>-10.9963999999999</v>
      </c>
      <c r="AD3716">
        <v>-1.10177798882599</v>
      </c>
      <c r="AE3716">
        <v>-1.6935</v>
      </c>
      <c r="AF3716">
        <v>6.8757679974013604</v>
      </c>
      <c r="AG3716">
        <v>-1.10177798882599</v>
      </c>
      <c r="AH3716">
        <v>8.6092967821924695</v>
      </c>
      <c r="AI3716">
        <v>95.710483251359307</v>
      </c>
      <c r="AJ3716">
        <v>51.387577504257997</v>
      </c>
      <c r="AK3716">
        <v>11.0729441150319</v>
      </c>
      <c r="AL3716">
        <v>86.953035016926805</v>
      </c>
      <c r="AM3716">
        <v>71.872353138345503</v>
      </c>
      <c r="AN3716">
        <v>1.00000002266461</v>
      </c>
    </row>
    <row r="3717" spans="1:40" x14ac:dyDescent="0.3">
      <c r="A3717" t="str">
        <f>"20200111160529102"</f>
        <v>20200111160529102</v>
      </c>
      <c r="B3717" t="str">
        <f>"1578729929094946"</f>
        <v>1578729929094946</v>
      </c>
      <c r="C3717" t="s">
        <v>40</v>
      </c>
      <c r="D3717">
        <v>5.1889609999999999</v>
      </c>
      <c r="E3717">
        <v>0.64447980000000005</v>
      </c>
      <c r="F3717" t="s">
        <v>75</v>
      </c>
      <c r="G3717">
        <v>-208.70169999999999</v>
      </c>
      <c r="H3717" s="1">
        <v>-6.7450620000000002E-6</v>
      </c>
      <c r="I3717">
        <v>142.65090000000001</v>
      </c>
      <c r="J3717">
        <v>-197.37219999999999</v>
      </c>
      <c r="K3717">
        <v>1.101788</v>
      </c>
      <c r="L3717">
        <v>144.26339999999999</v>
      </c>
      <c r="M3717">
        <v>-0.68839039999999996</v>
      </c>
      <c r="N3717">
        <v>0</v>
      </c>
      <c r="O3717">
        <v>-0.72517379999999998</v>
      </c>
      <c r="P3717">
        <v>-0.87768480000000004</v>
      </c>
      <c r="Q3717">
        <v>4.8074100000000002E-2</v>
      </c>
      <c r="R3717">
        <v>-0.47682160000000001</v>
      </c>
      <c r="S3717">
        <v>-3.1846009999999998</v>
      </c>
      <c r="T3717">
        <v>-0.30511500000000003</v>
      </c>
      <c r="U3717">
        <v>-0.4905853</v>
      </c>
      <c r="V3717">
        <v>0.3095675</v>
      </c>
      <c r="W3717">
        <v>5.611886E-2</v>
      </c>
      <c r="X3717">
        <v>0.94921999999999995</v>
      </c>
      <c r="Y3717">
        <v>0.60677550000000002</v>
      </c>
      <c r="Z3717">
        <v>9.0494619999999998E-2</v>
      </c>
      <c r="AA3717">
        <v>0.7897052</v>
      </c>
      <c r="AB3717">
        <v>22</v>
      </c>
      <c r="AC3717">
        <v>-11.3294999999999</v>
      </c>
      <c r="AD3717">
        <v>-1.101794745062</v>
      </c>
      <c r="AE3717">
        <v>-1.6124999999999801</v>
      </c>
      <c r="AF3717">
        <v>7.0414131698031399</v>
      </c>
      <c r="AG3717">
        <v>-1.101794745062</v>
      </c>
      <c r="AH3717">
        <v>8.8871632446818207</v>
      </c>
      <c r="AI3717">
        <v>95.550136559253602</v>
      </c>
      <c r="AJ3717">
        <v>51.609764204295203</v>
      </c>
      <c r="AK3717">
        <v>11.3919761949254</v>
      </c>
      <c r="AL3717">
        <v>86.782936019055796</v>
      </c>
      <c r="AM3717">
        <v>71.937387224421599</v>
      </c>
      <c r="AN3717">
        <v>0.99999998595197404</v>
      </c>
    </row>
    <row r="3718" spans="1:40" x14ac:dyDescent="0.3">
      <c r="A3718" t="str">
        <f>"20200111160529116"</f>
        <v>20200111160529116</v>
      </c>
      <c r="B3718" t="str">
        <f>"1578729929105684"</f>
        <v>1578729929105684</v>
      </c>
      <c r="C3718" t="s">
        <v>40</v>
      </c>
      <c r="D3718">
        <v>5.2103960000000002</v>
      </c>
      <c r="E3718">
        <v>0.64447980000000005</v>
      </c>
      <c r="F3718" t="s">
        <v>75</v>
      </c>
      <c r="G3718">
        <v>-209.32329999999999</v>
      </c>
      <c r="H3718" s="1">
        <v>-6.4472239999999997E-6</v>
      </c>
      <c r="I3718">
        <v>142.56700000000001</v>
      </c>
      <c r="J3718">
        <v>-197.47280000000001</v>
      </c>
      <c r="K3718">
        <v>1.1018030000000001</v>
      </c>
      <c r="L3718">
        <v>144.1722</v>
      </c>
      <c r="M3718">
        <v>-0.69484609999999902</v>
      </c>
      <c r="N3718">
        <v>0</v>
      </c>
      <c r="O3718">
        <v>-0.71899029999999997</v>
      </c>
      <c r="P3718">
        <v>-0.88130819999999999</v>
      </c>
      <c r="Q3718">
        <v>5.0075139999999997E-2</v>
      </c>
      <c r="R3718">
        <v>-0.46988190000000002</v>
      </c>
      <c r="S3718">
        <v>-3.1883240000000002</v>
      </c>
      <c r="T3718">
        <v>-0.29393770000000002</v>
      </c>
      <c r="U3718">
        <v>-0.45256039999999997</v>
      </c>
      <c r="V3718">
        <v>0.3085328</v>
      </c>
      <c r="W3718">
        <v>5.8157340000000002E-2</v>
      </c>
      <c r="X3718">
        <v>0.94943420000000001</v>
      </c>
      <c r="Y3718">
        <v>0.60942439999999998</v>
      </c>
      <c r="Z3718">
        <v>8.7001980000000007E-2</v>
      </c>
      <c r="AA3718">
        <v>0.78805630000000004</v>
      </c>
      <c r="AB3718">
        <v>22</v>
      </c>
      <c r="AC3718">
        <v>-11.850499999999901</v>
      </c>
      <c r="AD3718">
        <v>-1.1018094472239901</v>
      </c>
      <c r="AE3718">
        <v>-1.60519999999999</v>
      </c>
      <c r="AF3718">
        <v>7.3435853668026496</v>
      </c>
      <c r="AG3718">
        <v>-1.1018094472239901</v>
      </c>
      <c r="AH3718">
        <v>9.3104979727380197</v>
      </c>
      <c r="AI3718">
        <v>95.308480908374705</v>
      </c>
      <c r="AJ3718">
        <v>51.735654569881802</v>
      </c>
      <c r="AK3718">
        <v>11.9091394566471</v>
      </c>
      <c r="AL3718">
        <v>86.665948727436501</v>
      </c>
      <c r="AM3718">
        <v>71.9976568141211</v>
      </c>
      <c r="AN3718">
        <v>1.0000000325006699</v>
      </c>
    </row>
    <row r="3719" spans="1:40" x14ac:dyDescent="0.3">
      <c r="A3719" t="str">
        <f>"20200111160529137"</f>
        <v>20200111160529137</v>
      </c>
      <c r="B3719" t="str">
        <f>"1578729929125202"</f>
        <v>1578729929125202</v>
      </c>
      <c r="C3719" t="s">
        <v>40</v>
      </c>
      <c r="D3719">
        <v>5.1867769999999904</v>
      </c>
      <c r="E3719">
        <v>0.62672550000000005</v>
      </c>
      <c r="F3719" t="s">
        <v>75</v>
      </c>
      <c r="G3719">
        <v>-209.7602</v>
      </c>
      <c r="H3719" s="1">
        <v>-6.2431520000000002E-6</v>
      </c>
      <c r="I3719">
        <v>142.52780000000001</v>
      </c>
      <c r="J3719">
        <v>-197.63290000000001</v>
      </c>
      <c r="K3719">
        <v>1.101837</v>
      </c>
      <c r="L3719">
        <v>144.02979999999999</v>
      </c>
      <c r="M3719">
        <v>-0.70494100000000004</v>
      </c>
      <c r="N3719">
        <v>0</v>
      </c>
      <c r="O3719">
        <v>-0.70909489999999997</v>
      </c>
      <c r="P3719">
        <v>-0.88645069999999904</v>
      </c>
      <c r="Q3719">
        <v>5.5190349999999999E-2</v>
      </c>
      <c r="R3719">
        <v>-0.4595205</v>
      </c>
      <c r="S3719">
        <v>-3.1925050000000001</v>
      </c>
      <c r="T3719">
        <v>-0.28627089999999999</v>
      </c>
      <c r="U3719">
        <v>-0.42724609999999902</v>
      </c>
      <c r="V3719">
        <v>0.30612919999999999</v>
      </c>
      <c r="W3719">
        <v>6.335383E-2</v>
      </c>
      <c r="X3719">
        <v>0.94987949999999999</v>
      </c>
      <c r="Y3719">
        <v>0.60481379999999996</v>
      </c>
      <c r="Z3719">
        <v>8.3950919999999998E-2</v>
      </c>
      <c r="AA3719">
        <v>0.79192969999999996</v>
      </c>
      <c r="AB3719">
        <v>22</v>
      </c>
      <c r="AC3719">
        <v>-12.1272999999999</v>
      </c>
      <c r="AD3719">
        <v>-1.101843243152</v>
      </c>
      <c r="AE3719">
        <v>-1.50199999999998</v>
      </c>
      <c r="AF3719">
        <v>7.4806808011195596</v>
      </c>
      <c r="AG3719">
        <v>-1.101843243152</v>
      </c>
      <c r="AH3719">
        <v>9.5377146502735304</v>
      </c>
      <c r="AI3719">
        <v>95.193945371647004</v>
      </c>
      <c r="AJ3719">
        <v>51.891975721621002</v>
      </c>
      <c r="AK3719">
        <v>12.1713863027496</v>
      </c>
      <c r="AL3719">
        <v>86.367660041950401</v>
      </c>
      <c r="AM3719">
        <v>72.136795753775601</v>
      </c>
      <c r="AN3719">
        <v>0.99999992969427698</v>
      </c>
    </row>
    <row r="3720" spans="1:40" x14ac:dyDescent="0.3">
      <c r="A3720" t="str">
        <f>"20200111160529159"</f>
        <v>20200111160529159</v>
      </c>
      <c r="B3720" t="str">
        <f>"1578729929155459"</f>
        <v>1578729929155459</v>
      </c>
      <c r="C3720" t="s">
        <v>40</v>
      </c>
      <c r="D3720">
        <v>5.1496820000000003</v>
      </c>
      <c r="E3720">
        <v>0.62361999999999995</v>
      </c>
      <c r="F3720" t="s">
        <v>41</v>
      </c>
      <c r="G3720">
        <v>-210.29769999999999</v>
      </c>
      <c r="H3720" s="1">
        <v>-5.0096770000000001E-6</v>
      </c>
      <c r="I3720">
        <v>141.94309999999999</v>
      </c>
      <c r="J3720">
        <v>-197.79499999999999</v>
      </c>
      <c r="K3720">
        <v>1.10188</v>
      </c>
      <c r="L3720">
        <v>143.8897</v>
      </c>
      <c r="M3720">
        <v>-0.71490959999999903</v>
      </c>
      <c r="N3720">
        <v>0</v>
      </c>
      <c r="O3720">
        <v>-0.69904350000000004</v>
      </c>
      <c r="P3720">
        <v>-0.89109309999999997</v>
      </c>
      <c r="Q3720">
        <v>5.950449E-2</v>
      </c>
      <c r="R3720">
        <v>-0.44990259999999999</v>
      </c>
      <c r="S3720">
        <v>-3.1336210000000002</v>
      </c>
      <c r="T3720">
        <v>-0.2726247</v>
      </c>
      <c r="U3720">
        <v>-0.51631159999999998</v>
      </c>
      <c r="V3720">
        <v>0.30285079999999998</v>
      </c>
      <c r="W3720">
        <v>6.7775550000000004E-2</v>
      </c>
      <c r="X3720">
        <v>0.95062500000000005</v>
      </c>
      <c r="Y3720">
        <v>0.56947309999999995</v>
      </c>
      <c r="Z3720">
        <v>7.9037800000000005E-2</v>
      </c>
      <c r="AA3720">
        <v>0.81820130000000002</v>
      </c>
      <c r="AB3720">
        <v>22</v>
      </c>
      <c r="AC3720">
        <v>-12.502700000000001</v>
      </c>
      <c r="AD3720">
        <v>-1.1018850096770001</v>
      </c>
      <c r="AE3720">
        <v>-1.9466000000000101</v>
      </c>
      <c r="AF3720">
        <v>7.2938669216103804</v>
      </c>
      <c r="AG3720">
        <v>-1.1018850096770001</v>
      </c>
      <c r="AH3720">
        <v>10.222783792203099</v>
      </c>
      <c r="AI3720">
        <v>95.014460915774904</v>
      </c>
      <c r="AJ3720">
        <v>54.492474290923099</v>
      </c>
      <c r="AK3720">
        <v>12.6063457713503</v>
      </c>
      <c r="AL3720">
        <v>86.113767943027597</v>
      </c>
      <c r="AM3720">
        <v>72.329123767451193</v>
      </c>
      <c r="AN3720">
        <v>1.00000001143172</v>
      </c>
    </row>
    <row r="3721" spans="1:40" x14ac:dyDescent="0.3">
      <c r="A3721" t="str">
        <f>"20200111160529183"</f>
        <v>20200111160529183</v>
      </c>
      <c r="B3721" t="str">
        <f>"1578729929175488"</f>
        <v>1578729929175488</v>
      </c>
      <c r="C3721" t="s">
        <v>40</v>
      </c>
      <c r="D3721">
        <v>5.1085469999999997</v>
      </c>
      <c r="E3721">
        <v>0.62188759999999998</v>
      </c>
      <c r="F3721" t="s">
        <v>41</v>
      </c>
      <c r="G3721">
        <v>-210.572</v>
      </c>
      <c r="H3721" s="1">
        <v>-4.8835069999999999E-6</v>
      </c>
      <c r="I3721">
        <v>141.82550000000001</v>
      </c>
      <c r="J3721">
        <v>-197.98050000000001</v>
      </c>
      <c r="K3721">
        <v>1.101931</v>
      </c>
      <c r="L3721">
        <v>143.73410000000001</v>
      </c>
      <c r="M3721">
        <v>-0.72601280000000001</v>
      </c>
      <c r="N3721">
        <v>0</v>
      </c>
      <c r="O3721">
        <v>-0.68750480000000003</v>
      </c>
      <c r="P3721">
        <v>-0.89621899999999999</v>
      </c>
      <c r="Q3721">
        <v>6.3636750000000006E-2</v>
      </c>
      <c r="R3721">
        <v>-0.43902439999999998</v>
      </c>
      <c r="S3721">
        <v>-3.1293950000000001</v>
      </c>
      <c r="T3721">
        <v>-0.26987800000000001</v>
      </c>
      <c r="U3721">
        <v>-0.5055847</v>
      </c>
      <c r="V3721">
        <v>0.29907990000000001</v>
      </c>
      <c r="W3721">
        <v>7.2033739999999999E-2</v>
      </c>
      <c r="X3721">
        <v>0.9515053</v>
      </c>
      <c r="Y3721">
        <v>0.55898000000000003</v>
      </c>
      <c r="Z3721">
        <v>7.7275250000000004E-2</v>
      </c>
      <c r="AA3721">
        <v>0.82557250000000004</v>
      </c>
      <c r="AB3721">
        <v>22</v>
      </c>
      <c r="AC3721">
        <v>-12.5914999999999</v>
      </c>
      <c r="AD3721">
        <v>-1.1019358835069999</v>
      </c>
      <c r="AE3721">
        <v>-1.9086000000000001</v>
      </c>
      <c r="AF3721">
        <v>7.2178922466740696</v>
      </c>
      <c r="AG3721">
        <v>-1.1019358835069999</v>
      </c>
      <c r="AH3721">
        <v>10.3773375776537</v>
      </c>
      <c r="AI3721">
        <v>94.9820903247129</v>
      </c>
      <c r="AJ3721">
        <v>55.179697563655701</v>
      </c>
      <c r="AK3721">
        <v>12.688631383113799</v>
      </c>
      <c r="AL3721">
        <v>85.869193049672404</v>
      </c>
      <c r="AM3721">
        <v>72.550872832185107</v>
      </c>
      <c r="AN3721">
        <v>0.99999999110524296</v>
      </c>
    </row>
    <row r="3722" spans="1:40" x14ac:dyDescent="0.3">
      <c r="A3722" t="str">
        <f>"20200111160529202"</f>
        <v>20200111160529202</v>
      </c>
      <c r="B3722" t="str">
        <f>"1578729929195008"</f>
        <v>1578729929195008</v>
      </c>
      <c r="C3722" t="s">
        <v>40</v>
      </c>
      <c r="D3722">
        <v>5.1345039999999997</v>
      </c>
      <c r="E3722">
        <v>0.61173</v>
      </c>
      <c r="F3722" t="s">
        <v>41</v>
      </c>
      <c r="G3722">
        <v>-211.3828</v>
      </c>
      <c r="H3722" s="1">
        <v>-4.5459680000000001E-6</v>
      </c>
      <c r="I3722">
        <v>141.678</v>
      </c>
      <c r="J3722">
        <v>-198.14080000000001</v>
      </c>
      <c r="K3722">
        <v>1.101985</v>
      </c>
      <c r="L3722">
        <v>143.60390000000001</v>
      </c>
      <c r="M3722">
        <v>-0.73533930000000003</v>
      </c>
      <c r="N3722">
        <v>0</v>
      </c>
      <c r="O3722">
        <v>-0.67751969999999995</v>
      </c>
      <c r="P3722">
        <v>-0.90019369999999999</v>
      </c>
      <c r="Q3722">
        <v>6.736992E-2</v>
      </c>
      <c r="R3722">
        <v>-0.43024760000000001</v>
      </c>
      <c r="S3722">
        <v>-3.1304020000000001</v>
      </c>
      <c r="T3722">
        <v>-0.25738080000000002</v>
      </c>
      <c r="U3722">
        <v>-0.48025509999999899</v>
      </c>
      <c r="V3722">
        <v>0.29525889999999999</v>
      </c>
      <c r="W3722">
        <v>7.5889810000000002E-2</v>
      </c>
      <c r="X3722">
        <v>0.95239850000000004</v>
      </c>
      <c r="Y3722">
        <v>0.5546198</v>
      </c>
      <c r="Z3722">
        <v>7.3029800000000006E-2</v>
      </c>
      <c r="AA3722">
        <v>0.82889299999999999</v>
      </c>
      <c r="AB3722">
        <v>22</v>
      </c>
      <c r="AC3722">
        <v>-13.2419999999999</v>
      </c>
      <c r="AD3722">
        <v>-1.101989545968</v>
      </c>
      <c r="AE3722">
        <v>-1.9259000000000099</v>
      </c>
      <c r="AF3722">
        <v>7.5055421963808797</v>
      </c>
      <c r="AG3722">
        <v>-1.101989545968</v>
      </c>
      <c r="AH3722">
        <v>10.9691483464565</v>
      </c>
      <c r="AI3722">
        <v>94.739630330455199</v>
      </c>
      <c r="AJ3722">
        <v>55.618461890886699</v>
      </c>
      <c r="AK3722">
        <v>13.3367822231469</v>
      </c>
      <c r="AL3722">
        <v>85.647649584901501</v>
      </c>
      <c r="AM3722">
        <v>72.775720504529403</v>
      </c>
      <c r="AN3722">
        <v>0.99999999204664802</v>
      </c>
    </row>
    <row r="3723" spans="1:40" x14ac:dyDescent="0.3">
      <c r="A3723" t="str">
        <f>"20200111160529226"</f>
        <v>20200111160529226</v>
      </c>
      <c r="B3723" t="str">
        <f>"1578729929215503"</f>
        <v>1578729929215503</v>
      </c>
      <c r="C3723" t="s">
        <v>40</v>
      </c>
      <c r="D3723">
        <v>5.1467929999999997</v>
      </c>
      <c r="E3723">
        <v>0.6099464</v>
      </c>
      <c r="F3723" t="s">
        <v>41</v>
      </c>
      <c r="G3723">
        <v>-211.01339999999999</v>
      </c>
      <c r="H3723" s="1">
        <v>-4.6430950000000001E-6</v>
      </c>
      <c r="I3723">
        <v>141.42570000000001</v>
      </c>
      <c r="J3723">
        <v>-198.31800000000001</v>
      </c>
      <c r="K3723">
        <v>1.102025</v>
      </c>
      <c r="L3723">
        <v>143.46420000000001</v>
      </c>
      <c r="M3723">
        <v>-0.7453746</v>
      </c>
      <c r="N3723">
        <v>0</v>
      </c>
      <c r="O3723">
        <v>-0.66646349999999999</v>
      </c>
      <c r="P3723">
        <v>-0.90468530000000003</v>
      </c>
      <c r="Q3723">
        <v>6.9154359999999998E-2</v>
      </c>
      <c r="R3723">
        <v>-0.4204312</v>
      </c>
      <c r="S3723">
        <v>-3.101639</v>
      </c>
      <c r="T3723">
        <v>-0.26552350000000002</v>
      </c>
      <c r="U3723">
        <v>-0.52484129999999996</v>
      </c>
      <c r="V3723">
        <v>0.29133100000000001</v>
      </c>
      <c r="W3723">
        <v>7.7803399999999995E-2</v>
      </c>
      <c r="X3723">
        <v>0.95345310000000005</v>
      </c>
      <c r="Y3723">
        <v>0.52903180000000005</v>
      </c>
      <c r="Z3723">
        <v>7.41227E-2</v>
      </c>
      <c r="AA3723">
        <v>0.84535859999999996</v>
      </c>
      <c r="AB3723">
        <v>22</v>
      </c>
      <c r="AC3723">
        <v>-12.695399999999999</v>
      </c>
      <c r="AD3723">
        <v>-1.1020296430949901</v>
      </c>
      <c r="AE3723">
        <v>-2.0384999999999902</v>
      </c>
      <c r="AF3723">
        <v>6.8917928783980003</v>
      </c>
      <c r="AG3723">
        <v>-1.1020296430949901</v>
      </c>
      <c r="AH3723">
        <v>10.743808431742</v>
      </c>
      <c r="AI3723">
        <v>94.934518528007899</v>
      </c>
      <c r="AJ3723">
        <v>57.321189211361599</v>
      </c>
      <c r="AK3723">
        <v>12.811740632364099</v>
      </c>
      <c r="AL3723">
        <v>85.537683648412795</v>
      </c>
      <c r="AM3723">
        <v>73.009280676878205</v>
      </c>
      <c r="AN3723">
        <v>0.99999996725608398</v>
      </c>
    </row>
    <row r="3724" spans="1:40" x14ac:dyDescent="0.3">
      <c r="A3724" t="str">
        <f>"20200111160529247"</f>
        <v>20200111160529247</v>
      </c>
      <c r="B3724" t="str">
        <f>"1578729929244783"</f>
        <v>1578729929244783</v>
      </c>
      <c r="C3724" t="s">
        <v>40</v>
      </c>
      <c r="D3724">
        <v>5.1705249999999996</v>
      </c>
      <c r="E3724">
        <v>0.60786260000000003</v>
      </c>
      <c r="F3724" t="s">
        <v>41</v>
      </c>
      <c r="G3724">
        <v>-210.64750000000001</v>
      </c>
      <c r="H3724" s="1">
        <v>-4.78844E-6</v>
      </c>
      <c r="I3724">
        <v>141.45310000000001</v>
      </c>
      <c r="J3724">
        <v>-198.4931</v>
      </c>
      <c r="K3724">
        <v>1.1020700000000001</v>
      </c>
      <c r="L3724">
        <v>143.33019999999999</v>
      </c>
      <c r="M3724">
        <v>-0.75501359999999995</v>
      </c>
      <c r="N3724">
        <v>0</v>
      </c>
      <c r="O3724">
        <v>-0.65552410000000005</v>
      </c>
      <c r="P3724">
        <v>-0.90746970000000005</v>
      </c>
      <c r="Q3724">
        <v>7.1051059999999999E-2</v>
      </c>
      <c r="R3724">
        <v>-0.4140662</v>
      </c>
      <c r="S3724">
        <v>-3.1021269999999999</v>
      </c>
      <c r="T3724">
        <v>-0.27727279999999999</v>
      </c>
      <c r="U3724">
        <v>-0.50599669999999997</v>
      </c>
      <c r="V3724">
        <v>0.2840472</v>
      </c>
      <c r="W3724">
        <v>7.9912549999999999E-2</v>
      </c>
      <c r="X3724">
        <v>0.9554743</v>
      </c>
      <c r="Y3724">
        <v>0.52138969999999996</v>
      </c>
      <c r="Z3724">
        <v>7.641117E-2</v>
      </c>
      <c r="AA3724">
        <v>0.84989059999999905</v>
      </c>
      <c r="AB3724">
        <v>22</v>
      </c>
      <c r="AC3724">
        <v>-12.154400000000001</v>
      </c>
      <c r="AD3724">
        <v>-1.10207478844</v>
      </c>
      <c r="AE3724">
        <v>-1.87709999999998</v>
      </c>
      <c r="AF3724">
        <v>6.4988745502477601</v>
      </c>
      <c r="AG3724">
        <v>-1.10207478844</v>
      </c>
      <c r="AH3724">
        <v>10.3255694595927</v>
      </c>
      <c r="AI3724">
        <v>95.161527001837896</v>
      </c>
      <c r="AJ3724">
        <v>57.813843241399901</v>
      </c>
      <c r="AK3724">
        <v>12.2501968932767</v>
      </c>
      <c r="AL3724">
        <v>85.416460794085395</v>
      </c>
      <c r="AM3724">
        <v>73.443629836377696</v>
      </c>
      <c r="AN3724">
        <v>0.99999998271791601</v>
      </c>
    </row>
    <row r="3725" spans="1:40" x14ac:dyDescent="0.3">
      <c r="A3725" t="str">
        <f>"20200111160529269"</f>
        <v>20200111160529269</v>
      </c>
      <c r="B3725" t="str">
        <f>"1578729929264809"</f>
        <v>1578729929264809</v>
      </c>
      <c r="C3725" t="s">
        <v>40</v>
      </c>
      <c r="D3725">
        <v>5.1543409999999996</v>
      </c>
      <c r="E3725">
        <v>0.607120199999999</v>
      </c>
      <c r="F3725" t="s">
        <v>41</v>
      </c>
      <c r="G3725">
        <v>-210.6233</v>
      </c>
      <c r="H3725" s="1">
        <v>-4.7836339999999999E-6</v>
      </c>
      <c r="I3725">
        <v>141.37350000000001</v>
      </c>
      <c r="J3725">
        <v>-198.66980000000001</v>
      </c>
      <c r="K3725">
        <v>1.102096</v>
      </c>
      <c r="L3725">
        <v>143.19929999999999</v>
      </c>
      <c r="M3725">
        <v>-0.76446429999999999</v>
      </c>
      <c r="N3725">
        <v>0</v>
      </c>
      <c r="O3725">
        <v>-0.64447769999999904</v>
      </c>
      <c r="P3725">
        <v>-0.91245290000000001</v>
      </c>
      <c r="Q3725">
        <v>6.7960610000000005E-2</v>
      </c>
      <c r="R3725">
        <v>-0.40349849999999998</v>
      </c>
      <c r="S3725">
        <v>-3.0997919999999999</v>
      </c>
      <c r="T3725">
        <v>-0.28162939999999997</v>
      </c>
      <c r="U3725">
        <v>-0.50003050000000004</v>
      </c>
      <c r="V3725">
        <v>0.28132760000000001</v>
      </c>
      <c r="W3725">
        <v>7.6917239999999998E-2</v>
      </c>
      <c r="X3725">
        <v>0.95652420000000005</v>
      </c>
      <c r="Y3725">
        <v>0.51039380000000001</v>
      </c>
      <c r="Z3725">
        <v>7.6463359999999994E-2</v>
      </c>
      <c r="AA3725">
        <v>0.85653459999999904</v>
      </c>
      <c r="AB3725">
        <v>22</v>
      </c>
      <c r="AC3725">
        <v>-11.953499999999901</v>
      </c>
      <c r="AD3725">
        <v>-1.102100783634</v>
      </c>
      <c r="AE3725">
        <v>-1.8257999999999801</v>
      </c>
      <c r="AF3725">
        <v>6.2567969735114897</v>
      </c>
      <c r="AG3725">
        <v>-1.102100783634</v>
      </c>
      <c r="AH3725">
        <v>10.230976718480999</v>
      </c>
      <c r="AI3725">
        <v>95.250680070473905</v>
      </c>
      <c r="AJ3725">
        <v>58.551953142086397</v>
      </c>
      <c r="AK3725">
        <v>12.0430485807842</v>
      </c>
      <c r="AL3725">
        <v>85.5886096954588</v>
      </c>
      <c r="AM3725">
        <v>73.610627653121298</v>
      </c>
      <c r="AN3725">
        <v>1.0000000127583</v>
      </c>
    </row>
    <row r="3726" spans="1:40" x14ac:dyDescent="0.3">
      <c r="A3726" t="str">
        <f>"20200111160529293"</f>
        <v>20200111160529293</v>
      </c>
      <c r="B3726" t="str">
        <f>"1578729929285305"</f>
        <v>1578729929285305</v>
      </c>
      <c r="C3726" t="s">
        <v>40</v>
      </c>
      <c r="D3726">
        <v>5.1117540000000004</v>
      </c>
      <c r="E3726">
        <v>0.59944900000000001</v>
      </c>
      <c r="F3726" t="s">
        <v>41</v>
      </c>
      <c r="G3726">
        <v>-210.31280000000001</v>
      </c>
      <c r="H3726" s="1">
        <v>-4.9146049999999998E-6</v>
      </c>
      <c r="I3726">
        <v>141.43969999999999</v>
      </c>
      <c r="J3726">
        <v>-198.85890000000001</v>
      </c>
      <c r="K3726">
        <v>1.1021270000000001</v>
      </c>
      <c r="L3726">
        <v>143.0633</v>
      </c>
      <c r="M3726">
        <v>-0.77429619999999999</v>
      </c>
      <c r="N3726">
        <v>0</v>
      </c>
      <c r="O3726">
        <v>-0.63263169999999902</v>
      </c>
      <c r="P3726">
        <v>-0.9178906</v>
      </c>
      <c r="Q3726">
        <v>6.532346E-2</v>
      </c>
      <c r="R3726">
        <v>-0.39142100000000002</v>
      </c>
      <c r="S3726">
        <v>-3.1023860000000001</v>
      </c>
      <c r="T3726">
        <v>-0.29366419999999999</v>
      </c>
      <c r="U3726">
        <v>-0.46885680000000002</v>
      </c>
      <c r="V3726">
        <v>0.2792809</v>
      </c>
      <c r="W3726">
        <v>7.4355409999999997E-2</v>
      </c>
      <c r="X3726">
        <v>0.95732620000000002</v>
      </c>
      <c r="Y3726">
        <v>0.50537609999999999</v>
      </c>
      <c r="Z3726">
        <v>7.8693920000000001E-2</v>
      </c>
      <c r="AA3726">
        <v>0.85930339999999905</v>
      </c>
      <c r="AB3726">
        <v>22</v>
      </c>
      <c r="AC3726">
        <v>-11.453900000000001</v>
      </c>
      <c r="AD3726">
        <v>-1.1021319146049999</v>
      </c>
      <c r="AE3726">
        <v>-1.6236000000000099</v>
      </c>
      <c r="AF3726">
        <v>5.9358027205062101</v>
      </c>
      <c r="AG3726">
        <v>-1.1021319146049999</v>
      </c>
      <c r="AH3726">
        <v>9.8080292932068804</v>
      </c>
      <c r="AI3726">
        <v>95.491290125821294</v>
      </c>
      <c r="AJ3726">
        <v>58.8177448663264</v>
      </c>
      <c r="AK3726">
        <v>11.5171996297</v>
      </c>
      <c r="AL3726">
        <v>85.735813399274306</v>
      </c>
      <c r="AM3726">
        <v>73.7364440666165</v>
      </c>
      <c r="AN3726">
        <v>1.0000000006537499</v>
      </c>
    </row>
    <row r="3727" spans="1:40" x14ac:dyDescent="0.3">
      <c r="A3727" t="str">
        <f>"20200111160529314"</f>
        <v>20200111160529314</v>
      </c>
      <c r="B3727" t="str">
        <f>"1578729929304825"</f>
        <v>1578729929304825</v>
      </c>
      <c r="C3727" t="s">
        <v>40</v>
      </c>
      <c r="D3727">
        <v>5.072908</v>
      </c>
      <c r="E3727">
        <v>0.5986437</v>
      </c>
      <c r="F3727" t="s">
        <v>75</v>
      </c>
      <c r="G3727">
        <v>-209.34639999999999</v>
      </c>
      <c r="H3727" s="1">
        <v>-6.132517E-6</v>
      </c>
      <c r="I3727">
        <v>141.4136</v>
      </c>
      <c r="J3727">
        <v>-199.03489999999999</v>
      </c>
      <c r="K3727">
        <v>1.1021559999999999</v>
      </c>
      <c r="L3727">
        <v>142.94069999999999</v>
      </c>
      <c r="M3727">
        <v>-0.78318359999999998</v>
      </c>
      <c r="N3727">
        <v>0</v>
      </c>
      <c r="O3727">
        <v>-0.62159529999999996</v>
      </c>
      <c r="P3727">
        <v>-0.92315499999999995</v>
      </c>
      <c r="Q3727">
        <v>6.3547220000000001E-2</v>
      </c>
      <c r="R3727">
        <v>-0.37913989999999997</v>
      </c>
      <c r="S3727">
        <v>-3.0845180000000001</v>
      </c>
      <c r="T3727">
        <v>-0.32415159999999998</v>
      </c>
      <c r="U3727">
        <v>-0.48519899999999999</v>
      </c>
      <c r="V3727">
        <v>0.27851939999999997</v>
      </c>
      <c r="W3727">
        <v>7.2617280000000006E-2</v>
      </c>
      <c r="X3727">
        <v>0.95768140000000002</v>
      </c>
      <c r="Y3727">
        <v>0.48699029999999999</v>
      </c>
      <c r="Z3727">
        <v>8.5424799999999995E-2</v>
      </c>
      <c r="AA3727">
        <v>0.86921979999999999</v>
      </c>
      <c r="AB3727">
        <v>22</v>
      </c>
      <c r="AC3727">
        <v>-10.311499999999899</v>
      </c>
      <c r="AD3727">
        <v>-1.1021621325169999</v>
      </c>
      <c r="AE3727">
        <v>-1.5270999999999899</v>
      </c>
      <c r="AF3727">
        <v>5.1565649603684802</v>
      </c>
      <c r="AG3727">
        <v>-1.1021621325169999</v>
      </c>
      <c r="AH3727">
        <v>8.9263387978629201</v>
      </c>
      <c r="AI3727">
        <v>96.102626093190807</v>
      </c>
      <c r="AJ3727">
        <v>59.985844610688503</v>
      </c>
      <c r="AK3727">
        <v>10.3674706602472</v>
      </c>
      <c r="AL3727">
        <v>85.835670892930295</v>
      </c>
      <c r="AM3727">
        <v>73.784154377117204</v>
      </c>
      <c r="AN3727">
        <v>0.99999999471845902</v>
      </c>
    </row>
    <row r="3728" spans="1:40" x14ac:dyDescent="0.3">
      <c r="A3728" t="str">
        <f>"20200111160529336"</f>
        <v>20200111160529336</v>
      </c>
      <c r="B3728" t="str">
        <f>"1578729929325320"</f>
        <v>1578729929325320</v>
      </c>
      <c r="C3728" t="s">
        <v>40</v>
      </c>
      <c r="D3728">
        <v>5.072381</v>
      </c>
      <c r="E3728">
        <v>0.59341080000000002</v>
      </c>
      <c r="F3728" t="s">
        <v>75</v>
      </c>
      <c r="G3728">
        <v>-209.67240000000001</v>
      </c>
      <c r="H3728" s="1">
        <v>-5.9834409999999998E-6</v>
      </c>
      <c r="I3728">
        <v>141.39660000000001</v>
      </c>
      <c r="J3728">
        <v>-199.2098</v>
      </c>
      <c r="K3728">
        <v>1.1021920000000001</v>
      </c>
      <c r="L3728">
        <v>142.82239999999999</v>
      </c>
      <c r="M3728">
        <v>-0.79177889999999995</v>
      </c>
      <c r="N3728">
        <v>0</v>
      </c>
      <c r="O3728">
        <v>-0.61060919999999996</v>
      </c>
      <c r="P3728">
        <v>-0.92814439999999998</v>
      </c>
      <c r="Q3728">
        <v>6.2625420000000001E-2</v>
      </c>
      <c r="R3728">
        <v>-0.36691430000000003</v>
      </c>
      <c r="S3728">
        <v>-3.0876769999999998</v>
      </c>
      <c r="T3728">
        <v>-0.31991510000000001</v>
      </c>
      <c r="U3728">
        <v>-0.44819639999999999</v>
      </c>
      <c r="V3728">
        <v>0.27782040000000002</v>
      </c>
      <c r="W3728">
        <v>7.1729829999999994E-2</v>
      </c>
      <c r="X3728">
        <v>0.95795129999999995</v>
      </c>
      <c r="Y3728">
        <v>0.485342</v>
      </c>
      <c r="Z3728">
        <v>8.3405960000000001E-2</v>
      </c>
      <c r="AA3728">
        <v>0.87033709999999898</v>
      </c>
      <c r="AB3728">
        <v>22</v>
      </c>
      <c r="AC3728">
        <v>-10.4626</v>
      </c>
      <c r="AD3728">
        <v>-1.1021979834410001</v>
      </c>
      <c r="AE3728">
        <v>-1.42579999999998</v>
      </c>
      <c r="AF3728">
        <v>5.2035836776100499</v>
      </c>
      <c r="AG3728">
        <v>-1.1021979834410001</v>
      </c>
      <c r="AH3728">
        <v>9.0571011047599796</v>
      </c>
      <c r="AI3728">
        <v>96.023502559703402</v>
      </c>
      <c r="AJ3728">
        <v>60.1213050423966</v>
      </c>
      <c r="AK3728">
        <v>10.5034853218555</v>
      </c>
      <c r="AL3728">
        <v>85.886651082639801</v>
      </c>
      <c r="AM3728">
        <v>73.827039740876899</v>
      </c>
      <c r="AN3728">
        <v>1.0000000181698301</v>
      </c>
    </row>
    <row r="3729" spans="1:40" x14ac:dyDescent="0.3">
      <c r="A3729" t="str">
        <f>"20200111160529360"</f>
        <v>20200111160529360</v>
      </c>
      <c r="B3729" t="str">
        <f>"1578729929355577"</f>
        <v>1578729929355577</v>
      </c>
      <c r="C3729" t="s">
        <v>40</v>
      </c>
      <c r="D3729">
        <v>4.8634300000000001</v>
      </c>
      <c r="E3729">
        <v>0.59268129999999997</v>
      </c>
      <c r="F3729" t="s">
        <v>75</v>
      </c>
      <c r="G3729">
        <v>-209.875</v>
      </c>
      <c r="H3729" s="1">
        <v>-5.8631330000000001E-6</v>
      </c>
      <c r="I3729">
        <v>141.28110000000001</v>
      </c>
      <c r="J3729">
        <v>-199.40129999999999</v>
      </c>
      <c r="K3729">
        <v>1.1022259999999999</v>
      </c>
      <c r="L3729">
        <v>142.6969</v>
      </c>
      <c r="M3729">
        <v>-0.80092819999999998</v>
      </c>
      <c r="N3729">
        <v>0</v>
      </c>
      <c r="O3729">
        <v>-0.59855819999999904</v>
      </c>
      <c r="P3729">
        <v>-0.93352400000000002</v>
      </c>
      <c r="Q3729">
        <v>6.1815679999999998E-2</v>
      </c>
      <c r="R3729">
        <v>-0.353145599999999</v>
      </c>
      <c r="S3729">
        <v>-3.077896</v>
      </c>
      <c r="T3729">
        <v>-0.3180848</v>
      </c>
      <c r="U3729">
        <v>-0.44480900000000001</v>
      </c>
      <c r="V3729">
        <v>0.27750320000000001</v>
      </c>
      <c r="W3729">
        <v>7.0944560000000004E-2</v>
      </c>
      <c r="X3729">
        <v>0.95810169999999995</v>
      </c>
      <c r="Y3729">
        <v>0.47277409999999997</v>
      </c>
      <c r="Z3729">
        <v>8.1590650000000001E-2</v>
      </c>
      <c r="AA3729">
        <v>0.87739820000000002</v>
      </c>
      <c r="AB3729">
        <v>22</v>
      </c>
      <c r="AC3729">
        <v>-10.473699999999999</v>
      </c>
      <c r="AD3729">
        <v>-1.1022318631329999</v>
      </c>
      <c r="AE3729">
        <v>-1.41579999999999</v>
      </c>
      <c r="AF3729">
        <v>5.0805291909276997</v>
      </c>
      <c r="AG3729">
        <v>-1.1022318631329999</v>
      </c>
      <c r="AH3729">
        <v>9.1378525120474503</v>
      </c>
      <c r="AI3729">
        <v>96.018110783563401</v>
      </c>
      <c r="AJ3729">
        <v>60.9265000773336</v>
      </c>
      <c r="AK3729">
        <v>10.5131841262248</v>
      </c>
      <c r="AL3729">
        <v>85.9317586374614</v>
      </c>
      <c r="AM3729">
        <v>73.846945118665104</v>
      </c>
      <c r="AN3729">
        <v>1.0000000120733601</v>
      </c>
    </row>
    <row r="3730" spans="1:40" x14ac:dyDescent="0.3">
      <c r="A3730" t="str">
        <f>"20200111160529381"</f>
        <v>20200111160529381</v>
      </c>
      <c r="B3730" t="str">
        <f>"1578729929375605"</f>
        <v>1578729929375605</v>
      </c>
      <c r="C3730" t="s">
        <v>40</v>
      </c>
      <c r="D3730">
        <v>4.8107600000000001</v>
      </c>
      <c r="E3730">
        <v>0.59673989999999999</v>
      </c>
      <c r="F3730" t="s">
        <v>41</v>
      </c>
      <c r="G3730">
        <v>-210.20400000000001</v>
      </c>
      <c r="H3730" s="1">
        <v>-4.9286009999999999E-6</v>
      </c>
      <c r="I3730">
        <v>141.28299999999999</v>
      </c>
      <c r="J3730">
        <v>-199.58920000000001</v>
      </c>
      <c r="K3730">
        <v>1.102257</v>
      </c>
      <c r="L3730">
        <v>142.57759999999999</v>
      </c>
      <c r="M3730">
        <v>-0.80964419999999904</v>
      </c>
      <c r="N3730">
        <v>0</v>
      </c>
      <c r="O3730">
        <v>-0.58671490000000004</v>
      </c>
      <c r="P3730">
        <v>-0.93847199999999997</v>
      </c>
      <c r="Q3730">
        <v>6.1034999999999999E-2</v>
      </c>
      <c r="R3730">
        <v>-0.33991939999999998</v>
      </c>
      <c r="S3730">
        <v>-3.0818479999999999</v>
      </c>
      <c r="T3730">
        <v>-0.31445040000000002</v>
      </c>
      <c r="U3730">
        <v>-0.40335080000000001</v>
      </c>
      <c r="V3730">
        <v>0.27695940000000002</v>
      </c>
      <c r="W3730">
        <v>7.0192580000000004E-2</v>
      </c>
      <c r="X3730">
        <v>0.95831440000000001</v>
      </c>
      <c r="Y3730">
        <v>0.471752</v>
      </c>
      <c r="Z3730">
        <v>7.9686939999999998E-2</v>
      </c>
      <c r="AA3730">
        <v>0.87812299999999999</v>
      </c>
      <c r="AB3730">
        <v>22</v>
      </c>
      <c r="AC3730">
        <v>-10.614800000000001</v>
      </c>
      <c r="AD3730">
        <v>-1.102261928601</v>
      </c>
      <c r="AE3730">
        <v>-1.2946</v>
      </c>
      <c r="AF3730">
        <v>5.1258596859792398</v>
      </c>
      <c r="AG3730">
        <v>-1.102261928601</v>
      </c>
      <c r="AH3730">
        <v>9.25655197403767</v>
      </c>
      <c r="AI3730">
        <v>95.947245117452994</v>
      </c>
      <c r="AJ3730">
        <v>61.024299872866798</v>
      </c>
      <c r="AK3730">
        <v>10.6382880825653</v>
      </c>
      <c r="AL3730">
        <v>85.974951546140304</v>
      </c>
      <c r="AM3730">
        <v>73.880345335816102</v>
      </c>
      <c r="AN3730">
        <v>0.99999999839138798</v>
      </c>
    </row>
    <row r="3731" spans="1:40" x14ac:dyDescent="0.3">
      <c r="A3731" t="str">
        <f>"20200111160529404"</f>
        <v>20200111160529404</v>
      </c>
      <c r="B3731" t="str">
        <f>"1578729929395127"</f>
        <v>1578729929395127</v>
      </c>
      <c r="C3731" t="s">
        <v>40</v>
      </c>
      <c r="D3731">
        <v>4.8052099999999998</v>
      </c>
      <c r="E3731">
        <v>0.59775440000000002</v>
      </c>
      <c r="F3731" t="s">
        <v>41</v>
      </c>
      <c r="G3731">
        <v>-211.9391</v>
      </c>
      <c r="H3731" s="1">
        <v>-4.232328E-6</v>
      </c>
      <c r="I3731">
        <v>141.27529999999999</v>
      </c>
      <c r="J3731">
        <v>-199.78200000000001</v>
      </c>
      <c r="K3731">
        <v>1.102282</v>
      </c>
      <c r="L3731">
        <v>142.45930000000001</v>
      </c>
      <c r="M3731">
        <v>-0.81832299999999902</v>
      </c>
      <c r="N3731">
        <v>0</v>
      </c>
      <c r="O3731">
        <v>-0.57454830000000001</v>
      </c>
      <c r="P3731">
        <v>-0.94335570000000002</v>
      </c>
      <c r="Q3731">
        <v>6.0588259999999998E-2</v>
      </c>
      <c r="R3731">
        <v>-0.32620470000000001</v>
      </c>
      <c r="S3731">
        <v>-3.09639</v>
      </c>
      <c r="T3731">
        <v>-0.27636080000000002</v>
      </c>
      <c r="U3731">
        <v>-0.32650759999999901</v>
      </c>
      <c r="V3731">
        <v>0.2766054</v>
      </c>
      <c r="W3731">
        <v>6.9768759999999999E-2</v>
      </c>
      <c r="X3731">
        <v>0.95844759999999996</v>
      </c>
      <c r="Y3731">
        <v>0.48175770000000001</v>
      </c>
      <c r="Z3731">
        <v>6.9513660000000005E-2</v>
      </c>
      <c r="AA3731">
        <v>0.87354299999999996</v>
      </c>
      <c r="AB3731">
        <v>22</v>
      </c>
      <c r="AC3731">
        <v>-12.1570999999999</v>
      </c>
      <c r="AD3731">
        <v>-1.102286232328</v>
      </c>
      <c r="AE3731">
        <v>-1.1840000000000199</v>
      </c>
      <c r="AF3731">
        <v>5.9680709477109204</v>
      </c>
      <c r="AG3731">
        <v>-1.102286232328</v>
      </c>
      <c r="AH3731">
        <v>10.544115028647701</v>
      </c>
      <c r="AI3731">
        <v>95.198351182484799</v>
      </c>
      <c r="AJ3731">
        <v>60.489719807204402</v>
      </c>
      <c r="AK3731">
        <v>12.1659881436834</v>
      </c>
      <c r="AL3731">
        <v>85.999294388471696</v>
      </c>
      <c r="AM3731">
        <v>73.902002304908194</v>
      </c>
      <c r="AN3731">
        <v>1.00000001456342</v>
      </c>
    </row>
    <row r="3732" spans="1:40" x14ac:dyDescent="0.3">
      <c r="A3732" t="str">
        <f>"20200111160529426"</f>
        <v>20200111160529426</v>
      </c>
      <c r="B3732" t="str">
        <f>"1578729929415620"</f>
        <v>1578729929415620</v>
      </c>
      <c r="C3732" t="s">
        <v>40</v>
      </c>
      <c r="D3732">
        <v>4.8210280000000001</v>
      </c>
      <c r="E3732">
        <v>0.5980491</v>
      </c>
      <c r="F3732" t="s">
        <v>41</v>
      </c>
      <c r="G3732">
        <v>-212.74209999999999</v>
      </c>
      <c r="H3732" s="1">
        <v>-3.8644830000000002E-6</v>
      </c>
      <c r="I3732">
        <v>141.3194</v>
      </c>
      <c r="J3732">
        <v>-199.96709999999999</v>
      </c>
      <c r="K3732">
        <v>1.102306</v>
      </c>
      <c r="L3732">
        <v>142.34960000000001</v>
      </c>
      <c r="M3732">
        <v>-0.8264146</v>
      </c>
      <c r="N3732">
        <v>0</v>
      </c>
      <c r="O3732">
        <v>-0.5628476</v>
      </c>
      <c r="P3732">
        <v>-0.94737760000000004</v>
      </c>
      <c r="Q3732">
        <v>6.0496460000000002E-2</v>
      </c>
      <c r="R3732">
        <v>-0.31434980000000001</v>
      </c>
      <c r="S3732">
        <v>-3.102722</v>
      </c>
      <c r="T3732">
        <v>-0.26389220000000002</v>
      </c>
      <c r="U3732">
        <v>-0.27288820000000003</v>
      </c>
      <c r="V3732">
        <v>0.27498230000000001</v>
      </c>
      <c r="W3732">
        <v>6.9729749999999993E-2</v>
      </c>
      <c r="X3732">
        <v>0.95891740000000003</v>
      </c>
      <c r="Y3732">
        <v>0.48482049999999999</v>
      </c>
      <c r="Z3732">
        <v>6.5683640000000001E-2</v>
      </c>
      <c r="AA3732">
        <v>0.87214369999999997</v>
      </c>
      <c r="AB3732">
        <v>21</v>
      </c>
      <c r="AC3732">
        <v>-12.775</v>
      </c>
      <c r="AD3732">
        <v>-1.1023098644830001</v>
      </c>
      <c r="AE3732">
        <v>-1.0302</v>
      </c>
      <c r="AF3732">
        <v>6.2932187760840401</v>
      </c>
      <c r="AG3732">
        <v>-1.1023098644830001</v>
      </c>
      <c r="AH3732">
        <v>11.056846829059699</v>
      </c>
      <c r="AI3732">
        <v>94.951940002344202</v>
      </c>
      <c r="AJ3732">
        <v>60.3527926430801</v>
      </c>
      <c r="AK3732">
        <v>12.7700255051539</v>
      </c>
      <c r="AL3732">
        <v>86.001535062194193</v>
      </c>
      <c r="AM3732">
        <v>73.999052573221903</v>
      </c>
      <c r="AN3732">
        <v>1.0000000416855499</v>
      </c>
    </row>
    <row r="3733" spans="1:40" x14ac:dyDescent="0.3">
      <c r="A3733" t="str">
        <f>"20200111160529447"</f>
        <v>20200111160529447</v>
      </c>
      <c r="B3733" t="str">
        <f>"1578729929444901"</f>
        <v>1578729929444901</v>
      </c>
      <c r="C3733" t="s">
        <v>40</v>
      </c>
      <c r="D3733">
        <v>4.8091569999999999</v>
      </c>
      <c r="E3733">
        <v>0.59696260000000001</v>
      </c>
      <c r="F3733" t="s">
        <v>41</v>
      </c>
      <c r="G3733">
        <v>-213.36519999999999</v>
      </c>
      <c r="H3733" s="1">
        <v>-3.5788360000000001E-6</v>
      </c>
      <c r="I3733">
        <v>141.35299999999901</v>
      </c>
      <c r="J3733">
        <v>-200.15369999999999</v>
      </c>
      <c r="K3733">
        <v>1.102336</v>
      </c>
      <c r="L3733">
        <v>142.24250000000001</v>
      </c>
      <c r="M3733">
        <v>-0.83434039999999998</v>
      </c>
      <c r="N3733">
        <v>0</v>
      </c>
      <c r="O3733">
        <v>-0.55103059999999904</v>
      </c>
      <c r="P3733">
        <v>-0.95137910000000003</v>
      </c>
      <c r="Q3733">
        <v>6.013864E-2</v>
      </c>
      <c r="R3733">
        <v>-0.30209469999999999</v>
      </c>
      <c r="S3733">
        <v>-3.1063079999999998</v>
      </c>
      <c r="T3733">
        <v>-0.2555656</v>
      </c>
      <c r="U3733">
        <v>-0.23106380000000001</v>
      </c>
      <c r="V3733">
        <v>0.2737135</v>
      </c>
      <c r="W3733">
        <v>6.94158E-2</v>
      </c>
      <c r="X3733">
        <v>0.95930309999999996</v>
      </c>
      <c r="Y3733">
        <v>0.4844022</v>
      </c>
      <c r="Z3733">
        <v>6.2798339999999994E-2</v>
      </c>
      <c r="AA3733">
        <v>0.87258860000000005</v>
      </c>
      <c r="AB3733">
        <v>21</v>
      </c>
      <c r="AC3733">
        <v>-13.211499999999999</v>
      </c>
      <c r="AD3733">
        <v>-1.102339578836</v>
      </c>
      <c r="AE3733">
        <v>-0.88950000000002605</v>
      </c>
      <c r="AF3733">
        <v>6.4935806301437902</v>
      </c>
      <c r="AG3733">
        <v>-1.102339578836</v>
      </c>
      <c r="AH3733">
        <v>11.435168615446001</v>
      </c>
      <c r="AI3733">
        <v>94.791694463912094</v>
      </c>
      <c r="AJ3733">
        <v>60.409468196538697</v>
      </c>
      <c r="AK3733">
        <v>13.196394326138099</v>
      </c>
      <c r="AL3733">
        <v>86.019566739917394</v>
      </c>
      <c r="AM3733">
        <v>74.075208350709005</v>
      </c>
      <c r="AN3733">
        <v>1.0000000355207399</v>
      </c>
    </row>
    <row r="3734" spans="1:40" x14ac:dyDescent="0.3">
      <c r="A3734" t="str">
        <f>"20200111160529471"</f>
        <v>20200111160529471</v>
      </c>
      <c r="B3734" t="str">
        <f>"1578729929464927"</f>
        <v>1578729929464927</v>
      </c>
      <c r="C3734" t="s">
        <v>40</v>
      </c>
      <c r="D3734">
        <v>4.8142699999999996</v>
      </c>
      <c r="E3734">
        <v>0.59596749999999998</v>
      </c>
      <c r="F3734" t="s">
        <v>41</v>
      </c>
      <c r="G3734">
        <v>-213.86269999999999</v>
      </c>
      <c r="H3734" s="1">
        <v>-3.3472759999999999E-6</v>
      </c>
      <c r="I3734">
        <v>141.3664</v>
      </c>
      <c r="J3734">
        <v>-200.35319999999999</v>
      </c>
      <c r="K3734">
        <v>1.1023689999999999</v>
      </c>
      <c r="L3734">
        <v>142.13200000000001</v>
      </c>
      <c r="M3734">
        <v>-0.84255659999999899</v>
      </c>
      <c r="N3734">
        <v>0</v>
      </c>
      <c r="O3734">
        <v>-0.53838419999999998</v>
      </c>
      <c r="P3734">
        <v>-0.95547289999999996</v>
      </c>
      <c r="Q3734">
        <v>6.0117299999999999E-2</v>
      </c>
      <c r="R3734">
        <v>-0.2888907</v>
      </c>
      <c r="S3734">
        <v>-3.1060639999999999</v>
      </c>
      <c r="T3734">
        <v>-0.2497596</v>
      </c>
      <c r="U3734">
        <v>-0.1985016</v>
      </c>
      <c r="V3734">
        <v>0.27252379999999998</v>
      </c>
      <c r="W3734">
        <v>6.9436250000000005E-2</v>
      </c>
      <c r="X3734">
        <v>0.9596403</v>
      </c>
      <c r="Y3734">
        <v>0.48050999999999999</v>
      </c>
      <c r="Z3734">
        <v>6.0423020000000001E-2</v>
      </c>
      <c r="AA3734">
        <v>0.87490519999999905</v>
      </c>
      <c r="AB3734">
        <v>21</v>
      </c>
      <c r="AC3734">
        <v>-13.509499999999999</v>
      </c>
      <c r="AD3734">
        <v>-1.1023723472759901</v>
      </c>
      <c r="AE3734">
        <v>-0.76560000000000605</v>
      </c>
      <c r="AF3734">
        <v>6.5853300833015496</v>
      </c>
      <c r="AG3734">
        <v>-1.1023723472759901</v>
      </c>
      <c r="AH3734">
        <v>11.7183487083828</v>
      </c>
      <c r="AI3734">
        <v>94.688323412298303</v>
      </c>
      <c r="AJ3734">
        <v>60.6654323497538</v>
      </c>
      <c r="AK3734">
        <v>13.487086177129999</v>
      </c>
      <c r="AL3734">
        <v>86.018392304395704</v>
      </c>
      <c r="AM3734">
        <v>74.146229557905897</v>
      </c>
      <c r="AN3734">
        <v>1.00000005988229</v>
      </c>
    </row>
    <row r="3735" spans="1:40" x14ac:dyDescent="0.3">
      <c r="A3735" t="str">
        <f>"20200111160529494"</f>
        <v>20200111160529494</v>
      </c>
      <c r="B3735" t="str">
        <f>"1578729929485423"</f>
        <v>1578729929485423</v>
      </c>
      <c r="C3735" t="s">
        <v>40</v>
      </c>
      <c r="D3735">
        <v>4.8138940000000003</v>
      </c>
      <c r="E3735">
        <v>0.59481119999999899</v>
      </c>
      <c r="F3735" t="s">
        <v>41</v>
      </c>
      <c r="G3735">
        <v>-214.1901</v>
      </c>
      <c r="H3735" s="1">
        <v>-3.2035360000000001E-6</v>
      </c>
      <c r="I3735">
        <v>141.40790000000001</v>
      </c>
      <c r="J3735">
        <v>-200.55240000000001</v>
      </c>
      <c r="K3735">
        <v>1.1023989999999999</v>
      </c>
      <c r="L3735">
        <v>142.02539999999999</v>
      </c>
      <c r="M3735">
        <v>-0.85051299999999996</v>
      </c>
      <c r="N3735">
        <v>0</v>
      </c>
      <c r="O3735">
        <v>-0.52572479999999999</v>
      </c>
      <c r="P3735">
        <v>-0.95966560000000001</v>
      </c>
      <c r="Q3735">
        <v>5.9537760000000002E-2</v>
      </c>
      <c r="R3735">
        <v>-0.27476729999999999</v>
      </c>
      <c r="S3735">
        <v>-3.1062470000000002</v>
      </c>
      <c r="T3735">
        <v>-0.247471</v>
      </c>
      <c r="U3735">
        <v>-0.1625519</v>
      </c>
      <c r="V3735">
        <v>0.27232909999999999</v>
      </c>
      <c r="W3735">
        <v>6.8873500000000004E-2</v>
      </c>
      <c r="X3735">
        <v>0.95973600000000003</v>
      </c>
      <c r="Y3735">
        <v>0.47760229999999998</v>
      </c>
      <c r="Z3735">
        <v>5.894551E-2</v>
      </c>
      <c r="AA3735">
        <v>0.8765965</v>
      </c>
      <c r="AB3735">
        <v>21</v>
      </c>
      <c r="AC3735">
        <v>-13.637699999999899</v>
      </c>
      <c r="AD3735">
        <v>-1.1024022035359999</v>
      </c>
      <c r="AE3735">
        <v>-0.61749999999997796</v>
      </c>
      <c r="AF3735">
        <v>6.60223377781222</v>
      </c>
      <c r="AG3735">
        <v>-1.1024022035359999</v>
      </c>
      <c r="AH3735">
        <v>11.847854861694399</v>
      </c>
      <c r="AI3735">
        <v>94.6467147888428</v>
      </c>
      <c r="AJ3735">
        <v>60.871200583233602</v>
      </c>
      <c r="AK3735">
        <v>13.607955257826999</v>
      </c>
      <c r="AL3735">
        <v>86.050712420786795</v>
      </c>
      <c r="AM3735">
        <v>74.158487742711401</v>
      </c>
      <c r="AN3735">
        <v>0.99999994370252798</v>
      </c>
    </row>
    <row r="3736" spans="1:40" x14ac:dyDescent="0.3">
      <c r="A3736" t="str">
        <f>"20200111160529515"</f>
        <v>20200111160529515</v>
      </c>
      <c r="B3736" t="str">
        <f>"1578729929504942"</f>
        <v>1578729929504942</v>
      </c>
      <c r="C3736" t="s">
        <v>40</v>
      </c>
      <c r="D3736">
        <v>4.8423400000000001</v>
      </c>
      <c r="E3736">
        <v>0.59401389999999998</v>
      </c>
      <c r="F3736" t="s">
        <v>41</v>
      </c>
      <c r="G3736">
        <v>-214.45679999999999</v>
      </c>
      <c r="H3736" s="1">
        <v>-3.0932439999999998E-6</v>
      </c>
      <c r="I3736">
        <v>141.46719999999999</v>
      </c>
      <c r="J3736">
        <v>-200.74299999999999</v>
      </c>
      <c r="K3736">
        <v>1.102428</v>
      </c>
      <c r="L3736">
        <v>141.92689999999999</v>
      </c>
      <c r="M3736">
        <v>-0.85789020000000005</v>
      </c>
      <c r="N3736">
        <v>0</v>
      </c>
      <c r="O3736">
        <v>-0.51359869999999996</v>
      </c>
      <c r="P3736">
        <v>-0.96337839999999997</v>
      </c>
      <c r="Q3736">
        <v>5.9526290000000003E-2</v>
      </c>
      <c r="R3736">
        <v>-0.2614554</v>
      </c>
      <c r="S3736">
        <v>-3.1056819999999998</v>
      </c>
      <c r="T3736">
        <v>-0.24623229999999999</v>
      </c>
      <c r="U3736">
        <v>-0.12466430000000001</v>
      </c>
      <c r="V3736">
        <v>0.27198729999999999</v>
      </c>
      <c r="W3736">
        <v>6.8880640000000007E-2</v>
      </c>
      <c r="X3736">
        <v>0.95983249999999998</v>
      </c>
      <c r="Y3736">
        <v>0.47587309999999999</v>
      </c>
      <c r="Z3736">
        <v>5.7813950000000003E-2</v>
      </c>
      <c r="AA3736">
        <v>0.87761169999999999</v>
      </c>
      <c r="AB3736">
        <v>21</v>
      </c>
      <c r="AC3736">
        <v>-13.7137999999999</v>
      </c>
      <c r="AD3736">
        <v>-1.102431093244</v>
      </c>
      <c r="AE3736">
        <v>-0.459699999999998</v>
      </c>
      <c r="AF3736">
        <v>6.6071687475593199</v>
      </c>
      <c r="AG3736">
        <v>-1.102431093244</v>
      </c>
      <c r="AH3736">
        <v>11.9255013150176</v>
      </c>
      <c r="AI3736">
        <v>94.622989425613596</v>
      </c>
      <c r="AJ3736">
        <v>61.011925932588802</v>
      </c>
      <c r="AK3736">
        <v>13.6779974699721</v>
      </c>
      <c r="AL3736">
        <v>86.050302700370096</v>
      </c>
      <c r="AM3736">
        <v>74.178885409898001</v>
      </c>
      <c r="AN3736">
        <v>1.0000000309921699</v>
      </c>
    </row>
    <row r="3737" spans="1:40" x14ac:dyDescent="0.3">
      <c r="A3737" t="str">
        <f>"20200111160529538"</f>
        <v>20200111160529538</v>
      </c>
      <c r="B3737" t="str">
        <f>"1578729929535199"</f>
        <v>1578729929535199</v>
      </c>
      <c r="C3737" t="s">
        <v>40</v>
      </c>
      <c r="D3737">
        <v>4.834714</v>
      </c>
      <c r="E3737">
        <v>0.58180169999999998</v>
      </c>
      <c r="F3737" t="s">
        <v>41</v>
      </c>
      <c r="G3737">
        <v>-214.56979999999999</v>
      </c>
      <c r="H3737" s="1">
        <v>-3.0576600000000001E-6</v>
      </c>
      <c r="I3737">
        <v>141.5342</v>
      </c>
      <c r="J3737">
        <v>-200.9374</v>
      </c>
      <c r="K3737">
        <v>1.1024620000000001</v>
      </c>
      <c r="L3737">
        <v>141.83000000000001</v>
      </c>
      <c r="M3737">
        <v>-0.86518700000000004</v>
      </c>
      <c r="N3737">
        <v>0</v>
      </c>
      <c r="O3737">
        <v>-0.50120969999999998</v>
      </c>
      <c r="P3737">
        <v>-0.96706179999999997</v>
      </c>
      <c r="Q3737">
        <v>6.012969E-2</v>
      </c>
      <c r="R3737">
        <v>-0.24733849999999999</v>
      </c>
      <c r="S3737">
        <v>-3.1053920000000002</v>
      </c>
      <c r="T3737">
        <v>-0.24759790000000001</v>
      </c>
      <c r="U3737">
        <v>-8.8211059999999994E-2</v>
      </c>
      <c r="V3737">
        <v>0.2722116</v>
      </c>
      <c r="W3737">
        <v>6.9488579999999994E-2</v>
      </c>
      <c r="X3737">
        <v>0.95972500000000005</v>
      </c>
      <c r="Y3737">
        <v>0.47353319999999999</v>
      </c>
      <c r="Z3737">
        <v>5.7226880000000001E-2</v>
      </c>
      <c r="AA3737">
        <v>0.87891489999999906</v>
      </c>
      <c r="AB3737">
        <v>21</v>
      </c>
      <c r="AC3737">
        <v>-13.632399999999899</v>
      </c>
      <c r="AD3737">
        <v>-1.1024650576599999</v>
      </c>
      <c r="AE3737">
        <v>-0.295800000000014</v>
      </c>
      <c r="AF3737">
        <v>6.5348406519791604</v>
      </c>
      <c r="AG3737">
        <v>-1.1024650576599999</v>
      </c>
      <c r="AH3737">
        <v>11.8666952634025</v>
      </c>
      <c r="AI3737">
        <v>94.652503257377006</v>
      </c>
      <c r="AJ3737">
        <v>61.158972898147297</v>
      </c>
      <c r="AK3737">
        <v>13.591836815698599</v>
      </c>
      <c r="AL3737">
        <v>86.015386305324895</v>
      </c>
      <c r="AM3737">
        <v>74.164807540902203</v>
      </c>
      <c r="AN3737">
        <v>0.99999994677498605</v>
      </c>
    </row>
    <row r="3738" spans="1:40" x14ac:dyDescent="0.3">
      <c r="A3738" t="str">
        <f>"20200111160529561"</f>
        <v>20200111160529561</v>
      </c>
      <c r="B3738" t="str">
        <f>"1578729929555695"</f>
        <v>1578729929555695</v>
      </c>
      <c r="C3738" t="s">
        <v>40</v>
      </c>
      <c r="D3738">
        <v>4.8208690000000001</v>
      </c>
      <c r="E3738">
        <v>0.57993980000000001</v>
      </c>
      <c r="F3738" t="s">
        <v>41</v>
      </c>
      <c r="G3738">
        <v>-214.32769999999999</v>
      </c>
      <c r="H3738" s="1">
        <v>-3.091148E-6</v>
      </c>
      <c r="I3738">
        <v>141.22980000000001</v>
      </c>
      <c r="J3738">
        <v>-201.1371</v>
      </c>
      <c r="K3738">
        <v>1.1024989999999999</v>
      </c>
      <c r="L3738">
        <v>141.73400000000001</v>
      </c>
      <c r="M3738">
        <v>-0.87244339999999998</v>
      </c>
      <c r="N3738">
        <v>0</v>
      </c>
      <c r="O3738">
        <v>-0.48846990000000001</v>
      </c>
      <c r="P3738">
        <v>-0.97038190000000002</v>
      </c>
      <c r="Q3738">
        <v>6.0946790000000001E-2</v>
      </c>
      <c r="R3738">
        <v>-0.23376250000000001</v>
      </c>
      <c r="S3738">
        <v>-3.0826259999999999</v>
      </c>
      <c r="T3738">
        <v>-0.25380399999999997</v>
      </c>
      <c r="U3738">
        <v>-0.13816829999999999</v>
      </c>
      <c r="V3738">
        <v>0.271574599999999</v>
      </c>
      <c r="W3738">
        <v>7.0331480000000002E-2</v>
      </c>
      <c r="X3738">
        <v>0.95984409999999998</v>
      </c>
      <c r="Y3738">
        <v>0.44594260000000002</v>
      </c>
      <c r="Z3738">
        <v>5.6975850000000001E-2</v>
      </c>
      <c r="AA3738">
        <v>0.8932464</v>
      </c>
      <c r="AB3738">
        <v>21</v>
      </c>
      <c r="AC3738">
        <v>-13.1905999999999</v>
      </c>
      <c r="AD3738">
        <v>-1.1025020911479999</v>
      </c>
      <c r="AE3738">
        <v>-0.50419999999999698</v>
      </c>
      <c r="AF3738">
        <v>5.9624516130166896</v>
      </c>
      <c r="AG3738">
        <v>-1.1025020911479999</v>
      </c>
      <c r="AH3738">
        <v>11.674309318631</v>
      </c>
      <c r="AI3738">
        <v>94.807492786657207</v>
      </c>
      <c r="AJ3738">
        <v>62.945112616511402</v>
      </c>
      <c r="AK3738">
        <v>13.155068915274599</v>
      </c>
      <c r="AL3738">
        <v>85.966973404559496</v>
      </c>
      <c r="AM3738">
        <v>74.2018737408074</v>
      </c>
      <c r="AN3738">
        <v>0.99999998837448001</v>
      </c>
    </row>
    <row r="3739" spans="1:40" x14ac:dyDescent="0.3">
      <c r="A3739" t="str">
        <f>"20200111160529583"</f>
        <v>20200111160529583</v>
      </c>
      <c r="B3739" t="str">
        <f>"1578729929575723"</f>
        <v>1578729929575723</v>
      </c>
      <c r="C3739" t="s">
        <v>40</v>
      </c>
      <c r="D3739">
        <v>4.8537189999999999</v>
      </c>
      <c r="E3739">
        <v>0.57143339999999998</v>
      </c>
      <c r="F3739" t="s">
        <v>41</v>
      </c>
      <c r="G3739">
        <v>-214.3896</v>
      </c>
      <c r="H3739" s="1">
        <v>-3.0698030000000001E-6</v>
      </c>
      <c r="I3739">
        <v>141.25960000000001</v>
      </c>
      <c r="J3739">
        <v>-201.34059999999999</v>
      </c>
      <c r="K3739">
        <v>1.1025370000000001</v>
      </c>
      <c r="L3739">
        <v>141.63980000000001</v>
      </c>
      <c r="M3739">
        <v>-0.87960179999999999</v>
      </c>
      <c r="N3739">
        <v>0</v>
      </c>
      <c r="O3739">
        <v>-0.47545890000000002</v>
      </c>
      <c r="P3739">
        <v>-0.97353979999999996</v>
      </c>
      <c r="Q3739">
        <v>6.1024809999999999E-2</v>
      </c>
      <c r="R3739">
        <v>-0.2202202</v>
      </c>
      <c r="S3739">
        <v>-3.0810849999999999</v>
      </c>
      <c r="T3739">
        <v>-0.25632129999999997</v>
      </c>
      <c r="U3739">
        <v>-0.1102905</v>
      </c>
      <c r="V3739">
        <v>0.27068569999999997</v>
      </c>
      <c r="W3739">
        <v>7.0441340000000005E-2</v>
      </c>
      <c r="X3739">
        <v>0.96008709999999997</v>
      </c>
      <c r="Y3739">
        <v>0.44069910000000001</v>
      </c>
      <c r="Z3739">
        <v>5.6423790000000001E-2</v>
      </c>
      <c r="AA3739">
        <v>0.8958798</v>
      </c>
      <c r="AB3739">
        <v>21</v>
      </c>
      <c r="AC3739">
        <v>-13.048999999999999</v>
      </c>
      <c r="AD3739">
        <v>-1.1025400698029999</v>
      </c>
      <c r="AE3739">
        <v>-0.38020000000000198</v>
      </c>
      <c r="AF3739">
        <v>5.8289642596285001</v>
      </c>
      <c r="AG3739">
        <v>-1.1025400698029999</v>
      </c>
      <c r="AH3739">
        <v>11.5775086443356</v>
      </c>
      <c r="AI3739">
        <v>94.861812368424594</v>
      </c>
      <c r="AJ3739">
        <v>63.275974542937597</v>
      </c>
      <c r="AK3739">
        <v>13.008886399504499</v>
      </c>
      <c r="AL3739">
        <v>85.960663226334503</v>
      </c>
      <c r="AM3739">
        <v>74.254802138910406</v>
      </c>
      <c r="AN3739">
        <v>0.99999998507594701</v>
      </c>
    </row>
    <row r="3740" spans="1:40" x14ac:dyDescent="0.3">
      <c r="A3740" t="str">
        <f>"20200111160529605"</f>
        <v>20200111160529605</v>
      </c>
      <c r="B3740" t="str">
        <f>"1578729929595243"</f>
        <v>1578729929595243</v>
      </c>
      <c r="C3740" t="s">
        <v>40</v>
      </c>
      <c r="D3740">
        <v>4.8930759999999998</v>
      </c>
      <c r="E3740">
        <v>0.56920369999999998</v>
      </c>
      <c r="F3740" t="s">
        <v>41</v>
      </c>
      <c r="G3740">
        <v>-213.98330000000001</v>
      </c>
      <c r="H3740" s="1">
        <v>-3.215355E-6</v>
      </c>
      <c r="I3740">
        <v>141.0848</v>
      </c>
      <c r="J3740">
        <v>-201.53309999999999</v>
      </c>
      <c r="K3740">
        <v>1.102576</v>
      </c>
      <c r="L3740">
        <v>141.55420000000001</v>
      </c>
      <c r="M3740">
        <v>-0.88615129999999998</v>
      </c>
      <c r="N3740">
        <v>0</v>
      </c>
      <c r="O3740">
        <v>-0.46313739999999998</v>
      </c>
      <c r="P3740">
        <v>-0.97606040000000005</v>
      </c>
      <c r="Q3740">
        <v>6.1155769999999998E-2</v>
      </c>
      <c r="R3740">
        <v>-0.20872550000000001</v>
      </c>
      <c r="S3740">
        <v>-3.0678709999999998</v>
      </c>
      <c r="T3740">
        <v>-0.267541799999999</v>
      </c>
      <c r="U3740">
        <v>-0.1346588</v>
      </c>
      <c r="V3740">
        <v>0.2685999</v>
      </c>
      <c r="W3740">
        <v>7.0633020000000005E-2</v>
      </c>
      <c r="X3740">
        <v>0.96065869999999998</v>
      </c>
      <c r="Y3740">
        <v>0.4206587</v>
      </c>
      <c r="Z3740">
        <v>5.7278589999999997E-2</v>
      </c>
      <c r="AA3740">
        <v>0.90540900000000002</v>
      </c>
      <c r="AB3740">
        <v>21</v>
      </c>
      <c r="AC3740">
        <v>-12.450200000000001</v>
      </c>
      <c r="AD3740">
        <v>-1.102579215355</v>
      </c>
      <c r="AE3740">
        <v>-0.46940000000000698</v>
      </c>
      <c r="AF3740">
        <v>5.3092550457935097</v>
      </c>
      <c r="AG3740">
        <v>-1.102579215355</v>
      </c>
      <c r="AH3740">
        <v>11.164073279970699</v>
      </c>
      <c r="AI3740">
        <v>95.096687561717005</v>
      </c>
      <c r="AJ3740">
        <v>64.565822462796902</v>
      </c>
      <c r="AK3740">
        <v>12.411301393003599</v>
      </c>
      <c r="AL3740">
        <v>85.949653545029605</v>
      </c>
      <c r="AM3740">
        <v>74.379022968147098</v>
      </c>
      <c r="AN3740">
        <v>1.0000000338399999</v>
      </c>
    </row>
    <row r="3741" spans="1:40" x14ac:dyDescent="0.3">
      <c r="A3741" t="str">
        <f>"20200111160529627"</f>
        <v>20200111160529627</v>
      </c>
      <c r="B3741" t="str">
        <f>"1578729929625499"</f>
        <v>1578729929625499</v>
      </c>
      <c r="C3741" t="s">
        <v>40</v>
      </c>
      <c r="D3741">
        <v>4.8680240000000001</v>
      </c>
      <c r="E3741">
        <v>0.56701330000000005</v>
      </c>
      <c r="F3741" t="s">
        <v>41</v>
      </c>
      <c r="G3741">
        <v>-214.10380000000001</v>
      </c>
      <c r="H3741" s="1">
        <v>-3.1570020000000001E-6</v>
      </c>
      <c r="I3741">
        <v>141.0796</v>
      </c>
      <c r="J3741">
        <v>-201.72839999999999</v>
      </c>
      <c r="K3741">
        <v>1.102611</v>
      </c>
      <c r="L3741">
        <v>141.47069999999999</v>
      </c>
      <c r="M3741">
        <v>-0.89258130000000002</v>
      </c>
      <c r="N3741">
        <v>0</v>
      </c>
      <c r="O3741">
        <v>-0.4506211</v>
      </c>
      <c r="P3741">
        <v>-0.9784659</v>
      </c>
      <c r="Q3741">
        <v>6.097677E-2</v>
      </c>
      <c r="R3741">
        <v>-0.1971976</v>
      </c>
      <c r="S3741">
        <v>-3.0656590000000001</v>
      </c>
      <c r="T3741">
        <v>-0.26889049999999998</v>
      </c>
      <c r="U3741">
        <v>-0.1157532</v>
      </c>
      <c r="V3741">
        <v>0.26640659999999999</v>
      </c>
      <c r="W3741">
        <v>7.0517440000000001E-2</v>
      </c>
      <c r="X3741">
        <v>0.96127770000000001</v>
      </c>
      <c r="Y3741">
        <v>0.41347109999999898</v>
      </c>
      <c r="Z3741">
        <v>5.6327839999999997E-2</v>
      </c>
      <c r="AA3741">
        <v>0.90877319999999995</v>
      </c>
      <c r="AB3741">
        <v>21</v>
      </c>
      <c r="AC3741">
        <v>-12.375400000000001</v>
      </c>
      <c r="AD3741">
        <v>-1.1026141570020001</v>
      </c>
      <c r="AE3741">
        <v>-0.39109999999999401</v>
      </c>
      <c r="AF3741">
        <v>5.18701813273446</v>
      </c>
      <c r="AG3741">
        <v>-1.1026141570020001</v>
      </c>
      <c r="AH3741">
        <v>11.1353236506712</v>
      </c>
      <c r="AI3741">
        <v>95.129067986548606</v>
      </c>
      <c r="AJ3741">
        <v>65.023116708471093</v>
      </c>
      <c r="AK3741">
        <v>12.3335456335044</v>
      </c>
      <c r="AL3741">
        <v>85.956292212883994</v>
      </c>
      <c r="AM3741">
        <v>74.509924202621207</v>
      </c>
      <c r="AN3741">
        <v>1.0000000011925001</v>
      </c>
    </row>
    <row r="3742" spans="1:40" x14ac:dyDescent="0.3">
      <c r="A3742" t="str">
        <f>"20200111160529716"</f>
        <v>20200111160529716</v>
      </c>
      <c r="B3742" t="str">
        <f>"1578729929705063"</f>
        <v>1578729929705063</v>
      </c>
      <c r="C3742" t="s">
        <v>40</v>
      </c>
      <c r="D3742">
        <v>4.9201569999999997</v>
      </c>
      <c r="E3742">
        <v>0.56791449999999999</v>
      </c>
      <c r="F3742" t="s">
        <v>41</v>
      </c>
      <c r="G3742">
        <v>-214.17949999999999</v>
      </c>
      <c r="H3742" s="1">
        <v>-3.1211230000000001E-6</v>
      </c>
      <c r="I3742">
        <v>141.07919999999999</v>
      </c>
      <c r="J3742">
        <v>-202.53790000000001</v>
      </c>
      <c r="K3742">
        <v>1.1027049999999901</v>
      </c>
      <c r="L3742">
        <v>141.15819999999999</v>
      </c>
      <c r="M3742">
        <v>-0.91700890000000002</v>
      </c>
      <c r="N3742">
        <v>0</v>
      </c>
      <c r="O3742">
        <v>-0.39856770000000002</v>
      </c>
      <c r="P3742">
        <v>-0.98593529999999996</v>
      </c>
      <c r="Q3742">
        <v>5.3450659999999997E-2</v>
      </c>
      <c r="R3742">
        <v>-0.15835109999999999</v>
      </c>
      <c r="S3742">
        <v>-3.063507</v>
      </c>
      <c r="T3742">
        <v>-0.27129180000000003</v>
      </c>
      <c r="U3742">
        <v>-9.6313480000000007E-2</v>
      </c>
      <c r="V3742">
        <v>0.2490909</v>
      </c>
      <c r="W3742">
        <v>6.3451380000000002E-2</v>
      </c>
      <c r="X3742">
        <v>0.96639929999999996</v>
      </c>
      <c r="Y3742">
        <v>0.36668420000000002</v>
      </c>
      <c r="Z3742">
        <v>5.0604959999999997E-2</v>
      </c>
      <c r="AA3742">
        <v>0.92896820000000002</v>
      </c>
      <c r="AB3742">
        <v>21</v>
      </c>
      <c r="AC3742">
        <v>-11.641599999999899</v>
      </c>
      <c r="AD3742">
        <v>-1.1027081211230001</v>
      </c>
      <c r="AE3742">
        <v>-7.9000000000007703E-2</v>
      </c>
      <c r="AF3742">
        <v>4.5274477278709098</v>
      </c>
      <c r="AG3742">
        <v>-1.1027081211230001</v>
      </c>
      <c r="AH3742">
        <v>10.612997643371701</v>
      </c>
      <c r="AI3742">
        <v>95.459118636801705</v>
      </c>
      <c r="AJ3742">
        <v>66.897165319366806</v>
      </c>
      <c r="AK3742">
        <v>11.590921753993801</v>
      </c>
      <c r="AL3742">
        <v>86.362059755594501</v>
      </c>
      <c r="AM3742">
        <v>75.546520149481196</v>
      </c>
      <c r="AN3742">
        <v>0.99999998056360195</v>
      </c>
    </row>
    <row r="3743" spans="1:40" x14ac:dyDescent="0.3">
      <c r="A3743" t="str">
        <f>"20200111160529740"</f>
        <v>20200111160529740</v>
      </c>
      <c r="B3743" t="str">
        <f>"1578729929735316"</f>
        <v>1578729929735316</v>
      </c>
      <c r="C3743" t="s">
        <v>40</v>
      </c>
      <c r="D3743">
        <v>4.9320779999999997</v>
      </c>
      <c r="E3743">
        <v>0.5671524</v>
      </c>
      <c r="F3743" t="s">
        <v>41</v>
      </c>
      <c r="G3743">
        <v>-214.57579999999999</v>
      </c>
      <c r="H3743" s="1">
        <v>-2.9917629999999999E-6</v>
      </c>
      <c r="I3743">
        <v>141.2971</v>
      </c>
      <c r="J3743">
        <v>-202.74539999999999</v>
      </c>
      <c r="K3743">
        <v>1.102735</v>
      </c>
      <c r="L3743">
        <v>141.0865</v>
      </c>
      <c r="M3743">
        <v>-0.92271029999999998</v>
      </c>
      <c r="N3743">
        <v>0</v>
      </c>
      <c r="O3743">
        <v>-0.3851851</v>
      </c>
      <c r="P3743">
        <v>-0.98724259999999997</v>
      </c>
      <c r="Q3743">
        <v>5.284113E-2</v>
      </c>
      <c r="R3743">
        <v>-0.15020020000000001</v>
      </c>
      <c r="S3743">
        <v>-3.0636899999999998</v>
      </c>
      <c r="T3743">
        <v>-0.28064440000000002</v>
      </c>
      <c r="U3743">
        <v>3.5354610000000002E-2</v>
      </c>
      <c r="V3743">
        <v>0.243002</v>
      </c>
      <c r="W3743">
        <v>6.2996430000000006E-2</v>
      </c>
      <c r="X3743">
        <v>0.96797809999999995</v>
      </c>
      <c r="Y3743">
        <v>0.39265870000000003</v>
      </c>
      <c r="Z3743">
        <v>5.2471219999999999E-2</v>
      </c>
      <c r="AA3743">
        <v>0.91818619999999995</v>
      </c>
      <c r="AB3743">
        <v>21</v>
      </c>
      <c r="AC3743">
        <v>-11.8303999999999</v>
      </c>
      <c r="AD3743">
        <v>-1.102737991763</v>
      </c>
      <c r="AE3743">
        <v>0.21059999999999901</v>
      </c>
      <c r="AF3743">
        <v>4.7108649482577603</v>
      </c>
      <c r="AG3743">
        <v>-1.102737991763</v>
      </c>
      <c r="AH3743">
        <v>10.7428920349191</v>
      </c>
      <c r="AI3743">
        <v>95.370419027942106</v>
      </c>
      <c r="AJ3743">
        <v>66.322071350015904</v>
      </c>
      <c r="AK3743">
        <v>11.782105453319</v>
      </c>
      <c r="AL3743">
        <v>86.388179020701102</v>
      </c>
      <c r="AM3743">
        <v>75.907644505042796</v>
      </c>
      <c r="AN3743">
        <v>1.0000000621381699</v>
      </c>
    </row>
    <row r="3744" spans="1:40" x14ac:dyDescent="0.3">
      <c r="A3744" t="str">
        <f>"20200111160529763"</f>
        <v>20200111160529763</v>
      </c>
      <c r="B3744" t="str">
        <f>"1578729929755813"</f>
        <v>1578729929755813</v>
      </c>
      <c r="C3744" t="s">
        <v>40</v>
      </c>
      <c r="D3744">
        <v>4.9404250000000003</v>
      </c>
      <c r="E3744">
        <v>0.56629169999999995</v>
      </c>
      <c r="F3744" t="s">
        <v>41</v>
      </c>
      <c r="G3744">
        <v>-215.04130000000001</v>
      </c>
      <c r="H3744" s="1">
        <v>-2.7748449999999999E-6</v>
      </c>
      <c r="I3744">
        <v>141.30889999999999</v>
      </c>
      <c r="J3744">
        <v>-202.95869999999999</v>
      </c>
      <c r="K3744">
        <v>1.10277</v>
      </c>
      <c r="L3744">
        <v>141.0162</v>
      </c>
      <c r="M3744">
        <v>-0.9283342</v>
      </c>
      <c r="N3744">
        <v>0</v>
      </c>
      <c r="O3744">
        <v>-0.3714269</v>
      </c>
      <c r="P3744">
        <v>-0.98876710000000001</v>
      </c>
      <c r="Q3744">
        <v>5.2758720000000002E-2</v>
      </c>
      <c r="R3744">
        <v>-0.139845</v>
      </c>
      <c r="S3744">
        <v>-3.061874</v>
      </c>
      <c r="T3744">
        <v>-0.27460089999999998</v>
      </c>
      <c r="U3744">
        <v>5.5374149999999997E-2</v>
      </c>
      <c r="V3744">
        <v>0.2387473</v>
      </c>
      <c r="W3744">
        <v>6.3025940000000003E-2</v>
      </c>
      <c r="X3744">
        <v>0.96903430000000002</v>
      </c>
      <c r="Y3744">
        <v>0.38521280000000002</v>
      </c>
      <c r="Z3744">
        <v>4.9893140000000002E-2</v>
      </c>
      <c r="AA3744">
        <v>0.92147800000000002</v>
      </c>
      <c r="AB3744">
        <v>21</v>
      </c>
      <c r="AC3744">
        <v>-12.082599999999999</v>
      </c>
      <c r="AD3744">
        <v>-1.102772774845</v>
      </c>
      <c r="AE3744">
        <v>0.29269999999999602</v>
      </c>
      <c r="AF3744">
        <v>4.7207900984167299</v>
      </c>
      <c r="AG3744">
        <v>-1.102772774845</v>
      </c>
      <c r="AH3744">
        <v>11.0175705480657</v>
      </c>
      <c r="AI3744">
        <v>95.256547954680201</v>
      </c>
      <c r="AJ3744">
        <v>66.805916653886101</v>
      </c>
      <c r="AK3744">
        <v>12.0369775162976</v>
      </c>
      <c r="AL3744">
        <v>86.386484661567593</v>
      </c>
      <c r="AM3744">
        <v>76.159320181013101</v>
      </c>
      <c r="AN3744">
        <v>1.00000000847333</v>
      </c>
    </row>
    <row r="3745" spans="1:40" x14ac:dyDescent="0.3">
      <c r="A3745" t="str">
        <f>"20200111160529784"</f>
        <v>20200111160529784</v>
      </c>
      <c r="B3745" t="str">
        <f>"1578729929775840"</f>
        <v>1578729929775840</v>
      </c>
      <c r="C3745" t="s">
        <v>40</v>
      </c>
      <c r="D3745">
        <v>4.9376309999999997</v>
      </c>
      <c r="E3745">
        <v>0.56596199999999997</v>
      </c>
      <c r="F3745" t="s">
        <v>41</v>
      </c>
      <c r="G3745">
        <v>-215.3631</v>
      </c>
      <c r="H3745" s="1">
        <v>-2.6320820000000001E-6</v>
      </c>
      <c r="I3745">
        <v>141.3442</v>
      </c>
      <c r="J3745">
        <v>-203.1567</v>
      </c>
      <c r="K3745">
        <v>1.1028070000000001</v>
      </c>
      <c r="L3745">
        <v>140.95419999999999</v>
      </c>
      <c r="M3745">
        <v>-0.93333829999999995</v>
      </c>
      <c r="N3745">
        <v>0</v>
      </c>
      <c r="O3745">
        <v>-0.35866700000000001</v>
      </c>
      <c r="P3745">
        <v>-0.98976629999999999</v>
      </c>
      <c r="Q3745">
        <v>5.2570390000000002E-2</v>
      </c>
      <c r="R3745">
        <v>-0.13266229999999901</v>
      </c>
      <c r="S3745">
        <v>-3.0600429999999998</v>
      </c>
      <c r="T3745">
        <v>-0.27204210000000001</v>
      </c>
      <c r="U3745">
        <v>8.0902100000000005E-2</v>
      </c>
      <c r="V3745">
        <v>0.23248360000000001</v>
      </c>
      <c r="W3745">
        <v>6.299739E-2</v>
      </c>
      <c r="X3745">
        <v>0.97055789999999997</v>
      </c>
      <c r="Y3745">
        <v>0.38038329999999998</v>
      </c>
      <c r="Z3745">
        <v>4.8182559999999999E-2</v>
      </c>
      <c r="AA3745">
        <v>0.92357299999999998</v>
      </c>
      <c r="AB3745">
        <v>21</v>
      </c>
      <c r="AC3745">
        <v>-12.2064</v>
      </c>
      <c r="AD3745">
        <v>-1.10280963208199</v>
      </c>
      <c r="AE3745">
        <v>0.390000000000014</v>
      </c>
      <c r="AF3745">
        <v>4.7042388312718399</v>
      </c>
      <c r="AG3745">
        <v>-1.10280963208199</v>
      </c>
      <c r="AH3745">
        <v>11.163130871525601</v>
      </c>
      <c r="AI3745">
        <v>95.201702562328705</v>
      </c>
      <c r="AJ3745">
        <v>67.149026130736104</v>
      </c>
      <c r="AK3745">
        <v>12.163944381699</v>
      </c>
      <c r="AL3745">
        <v>86.388123560794099</v>
      </c>
      <c r="AM3745">
        <v>76.529404302904496</v>
      </c>
      <c r="AN3745">
        <v>0.99999996633409005</v>
      </c>
    </row>
    <row r="3746" spans="1:40" x14ac:dyDescent="0.3">
      <c r="A3746" t="str">
        <f>"20200111160529807"</f>
        <v>20200111160529807</v>
      </c>
      <c r="B3746" t="str">
        <f>"1578729929795359"</f>
        <v>1578729929795359</v>
      </c>
      <c r="C3746" t="s">
        <v>40</v>
      </c>
      <c r="D3746">
        <v>4.9788410000000001</v>
      </c>
      <c r="E3746">
        <v>0.55827209999999905</v>
      </c>
      <c r="F3746" t="s">
        <v>41</v>
      </c>
      <c r="G3746">
        <v>-215.60329999999999</v>
      </c>
      <c r="H3746" s="1">
        <v>-2.5237769999999999E-6</v>
      </c>
      <c r="I3746">
        <v>141.36369999999999</v>
      </c>
      <c r="J3746">
        <v>-203.36259999999999</v>
      </c>
      <c r="K3746">
        <v>1.1028469999999999</v>
      </c>
      <c r="L3746">
        <v>140.893</v>
      </c>
      <c r="M3746">
        <v>-0.93832450000000001</v>
      </c>
      <c r="N3746">
        <v>0</v>
      </c>
      <c r="O3746">
        <v>-0.34541290000000002</v>
      </c>
      <c r="P3746">
        <v>-0.99085120000000004</v>
      </c>
      <c r="Q3746">
        <v>5.149509E-2</v>
      </c>
      <c r="R3746">
        <v>-0.12475</v>
      </c>
      <c r="S3746">
        <v>-3.0588989999999998</v>
      </c>
      <c r="T3746">
        <v>-0.27102850000000001</v>
      </c>
      <c r="U3746">
        <v>0.1006317</v>
      </c>
      <c r="V3746">
        <v>0.22647439999999999</v>
      </c>
      <c r="W3746">
        <v>6.2077939999999998E-2</v>
      </c>
      <c r="X3746">
        <v>0.97203689999999998</v>
      </c>
      <c r="Y3746">
        <v>0.37334519999999999</v>
      </c>
      <c r="Z3746">
        <v>4.6600799999999998E-2</v>
      </c>
      <c r="AA3746">
        <v>0.92652129999999999</v>
      </c>
      <c r="AB3746">
        <v>21</v>
      </c>
      <c r="AC3746">
        <v>-12.2407</v>
      </c>
      <c r="AD3746">
        <v>-1.102849523777</v>
      </c>
      <c r="AE3746">
        <v>0.47069999999999301</v>
      </c>
      <c r="AF3746">
        <v>4.6327678662513003</v>
      </c>
      <c r="AG3746">
        <v>-1.102849523777</v>
      </c>
      <c r="AH3746">
        <v>11.233452799917099</v>
      </c>
      <c r="AI3746">
        <v>95.185964076812198</v>
      </c>
      <c r="AJ3746">
        <v>67.588348377446195</v>
      </c>
      <c r="AK3746">
        <v>12.2011998173389</v>
      </c>
      <c r="AL3746">
        <v>86.440907713860298</v>
      </c>
      <c r="AM3746">
        <v>76.884661641459502</v>
      </c>
      <c r="AN3746">
        <v>1.0000000297258</v>
      </c>
    </row>
    <row r="3747" spans="1:40" x14ac:dyDescent="0.3">
      <c r="A3747" t="str">
        <f>"20200111160529828"</f>
        <v>20200111160529828</v>
      </c>
      <c r="B3747" t="str">
        <f>"1578729929825615"</f>
        <v>1578729929825615</v>
      </c>
      <c r="C3747" t="s">
        <v>40</v>
      </c>
      <c r="D3747">
        <v>5.0903929999999997</v>
      </c>
      <c r="E3747">
        <v>0.55781890000000001</v>
      </c>
      <c r="F3747" t="s">
        <v>41</v>
      </c>
      <c r="G3747">
        <v>-216.4545</v>
      </c>
      <c r="H3747" s="1">
        <v>-2.0699380000000001E-6</v>
      </c>
      <c r="I3747">
        <v>141.1703</v>
      </c>
      <c r="J3747">
        <v>-203.55959999999999</v>
      </c>
      <c r="K3747">
        <v>1.1028910000000001</v>
      </c>
      <c r="L3747">
        <v>140.8373</v>
      </c>
      <c r="M3747">
        <v>-0.94288819999999995</v>
      </c>
      <c r="N3747">
        <v>0</v>
      </c>
      <c r="O3747">
        <v>-0.33275359999999998</v>
      </c>
      <c r="P3747">
        <v>-0.99180760000000001</v>
      </c>
      <c r="Q3747">
        <v>5.1299200000000003E-2</v>
      </c>
      <c r="R3747">
        <v>-0.1169877</v>
      </c>
      <c r="S3747">
        <v>-3.0491790000000001</v>
      </c>
      <c r="T3747">
        <v>-0.25686049999999999</v>
      </c>
      <c r="U3747">
        <v>6.4590449999999994E-2</v>
      </c>
      <c r="V3747">
        <v>0.2209873</v>
      </c>
      <c r="W3747">
        <v>6.2023210000000002E-2</v>
      </c>
      <c r="X3747">
        <v>0.97330249999999996</v>
      </c>
      <c r="Y3747">
        <v>0.35030139999999999</v>
      </c>
      <c r="Z3747">
        <v>4.2321869999999998E-2</v>
      </c>
      <c r="AA3747">
        <v>0.93568039999999997</v>
      </c>
      <c r="AB3747">
        <v>21</v>
      </c>
      <c r="AC3747">
        <v>-12.8949</v>
      </c>
      <c r="AD3747">
        <v>-1.102893069938</v>
      </c>
      <c r="AE3747">
        <v>0.33299999999999802</v>
      </c>
      <c r="AF3747">
        <v>4.5719290221204698</v>
      </c>
      <c r="AG3747">
        <v>-1.102893069938</v>
      </c>
      <c r="AH3747">
        <v>11.961625000262201</v>
      </c>
      <c r="AI3747">
        <v>94.922505766666504</v>
      </c>
      <c r="AJ3747">
        <v>69.082324902478405</v>
      </c>
      <c r="AK3747">
        <v>12.8529911208995</v>
      </c>
      <c r="AL3747">
        <v>86.444049499161594</v>
      </c>
      <c r="AM3747">
        <v>77.207926874695502</v>
      </c>
      <c r="AN3747">
        <v>1.00000001092312</v>
      </c>
    </row>
    <row r="3748" spans="1:40" x14ac:dyDescent="0.3">
      <c r="A3748" t="str">
        <f>"20200111160529852"</f>
        <v>20200111160529852</v>
      </c>
      <c r="B3748" t="str">
        <f>"1578729929845136"</f>
        <v>1578729929845136</v>
      </c>
      <c r="C3748" t="s">
        <v>40</v>
      </c>
      <c r="D3748">
        <v>5.0267410000000003</v>
      </c>
      <c r="E3748">
        <v>0.55802109999999905</v>
      </c>
      <c r="F3748" t="s">
        <v>41</v>
      </c>
      <c r="G3748">
        <v>-216.65209999999999</v>
      </c>
      <c r="H3748" s="1">
        <v>-1.98348E-6</v>
      </c>
      <c r="I3748">
        <v>141.19640000000001</v>
      </c>
      <c r="J3748">
        <v>-203.78120000000001</v>
      </c>
      <c r="K3748">
        <v>1.102948</v>
      </c>
      <c r="L3748">
        <v>140.77789999999999</v>
      </c>
      <c r="M3748">
        <v>-0.94778070000000003</v>
      </c>
      <c r="N3748">
        <v>0</v>
      </c>
      <c r="O3748">
        <v>-0.31855290000000003</v>
      </c>
      <c r="P3748">
        <v>-0.99295370000000005</v>
      </c>
      <c r="Q3748">
        <v>5.0741990000000001E-2</v>
      </c>
      <c r="R3748">
        <v>-0.1070916</v>
      </c>
      <c r="S3748">
        <v>-3.0479280000000002</v>
      </c>
      <c r="T3748">
        <v>-0.25675320000000001</v>
      </c>
      <c r="U3748">
        <v>8.3618159999999997E-2</v>
      </c>
      <c r="V3748">
        <v>0.21605450000000001</v>
      </c>
      <c r="W3748">
        <v>6.1595829999999997E-2</v>
      </c>
      <c r="X3748">
        <v>0.97443650000000004</v>
      </c>
      <c r="Y3748">
        <v>0.34215240000000002</v>
      </c>
      <c r="Z3748">
        <v>4.0838590000000001E-2</v>
      </c>
      <c r="AA3748">
        <v>0.93875660000000005</v>
      </c>
      <c r="AB3748">
        <v>21</v>
      </c>
      <c r="AC3748">
        <v>-12.870899999999899</v>
      </c>
      <c r="AD3748">
        <v>-1.1029499834799901</v>
      </c>
      <c r="AE3748">
        <v>0.41850000000002202</v>
      </c>
      <c r="AF3748">
        <v>4.4644893355637496</v>
      </c>
      <c r="AG3748">
        <v>-1.1029499834799901</v>
      </c>
      <c r="AH3748">
        <v>11.9790257714905</v>
      </c>
      <c r="AI3748">
        <v>94.931058384622006</v>
      </c>
      <c r="AJ3748">
        <v>69.559968419705598</v>
      </c>
      <c r="AK3748">
        <v>12.8314154374119</v>
      </c>
      <c r="AL3748">
        <v>86.468583592215793</v>
      </c>
      <c r="AM3748">
        <v>77.498479588333595</v>
      </c>
      <c r="AN3748">
        <v>1.0000000428879401</v>
      </c>
    </row>
    <row r="3749" spans="1:40" x14ac:dyDescent="0.3">
      <c r="A3749" t="str">
        <f>"20200111160529875"</f>
        <v>20200111160529875</v>
      </c>
      <c r="B3749" t="str">
        <f>"1578729929865164"</f>
        <v>1578729929865164</v>
      </c>
      <c r="C3749" t="s">
        <v>40</v>
      </c>
      <c r="D3749">
        <v>5.0450330000000001</v>
      </c>
      <c r="E3749">
        <v>0.55116509999999996</v>
      </c>
      <c r="F3749" t="s">
        <v>41</v>
      </c>
      <c r="G3749">
        <v>-216.6523</v>
      </c>
      <c r="H3749" s="1">
        <v>-2.0001690000000001E-6</v>
      </c>
      <c r="I3749">
        <v>141.2595</v>
      </c>
      <c r="J3749">
        <v>-203.99250000000001</v>
      </c>
      <c r="K3749">
        <v>1.103011</v>
      </c>
      <c r="L3749">
        <v>140.72450000000001</v>
      </c>
      <c r="M3749">
        <v>-0.95220859999999996</v>
      </c>
      <c r="N3749">
        <v>0</v>
      </c>
      <c r="O3749">
        <v>-0.30506240000000001</v>
      </c>
      <c r="P3749">
        <v>-0.99406859999999997</v>
      </c>
      <c r="Q3749">
        <v>4.8609960000000001E-2</v>
      </c>
      <c r="R3749">
        <v>-9.7286789999999998E-2</v>
      </c>
      <c r="S3749">
        <v>-3.0469210000000002</v>
      </c>
      <c r="T3749">
        <v>-0.26109700000000002</v>
      </c>
      <c r="U3749">
        <v>0.1139984</v>
      </c>
      <c r="V3749">
        <v>0.2118102</v>
      </c>
      <c r="W3749">
        <v>5.9578699999999901E-2</v>
      </c>
      <c r="X3749">
        <v>0.9754931</v>
      </c>
      <c r="Y3749">
        <v>0.33815699999999999</v>
      </c>
      <c r="Z3749">
        <v>4.0262869999999999E-2</v>
      </c>
      <c r="AA3749">
        <v>0.94022799999999995</v>
      </c>
      <c r="AB3749">
        <v>21</v>
      </c>
      <c r="AC3749">
        <v>-12.659799999999899</v>
      </c>
      <c r="AD3749">
        <v>-1.1030130001689999</v>
      </c>
      <c r="AE3749">
        <v>0.53499999999999603</v>
      </c>
      <c r="AF3749">
        <v>4.3390958636971098</v>
      </c>
      <c r="AG3749">
        <v>-1.1030130001689999</v>
      </c>
      <c r="AH3749">
        <v>11.8035212371874</v>
      </c>
      <c r="AI3749">
        <v>95.012536065042895</v>
      </c>
      <c r="AJ3749">
        <v>69.816052871504098</v>
      </c>
      <c r="AK3749">
        <v>12.624084291133</v>
      </c>
      <c r="AL3749">
        <v>86.584369155224294</v>
      </c>
      <c r="AM3749">
        <v>77.749445483672005</v>
      </c>
      <c r="AN3749">
        <v>0.99999998523266997</v>
      </c>
    </row>
    <row r="3750" spans="1:40" x14ac:dyDescent="0.3">
      <c r="A3750" t="str">
        <f>"20200111160529897"</f>
        <v>20200111160529897</v>
      </c>
      <c r="B3750" t="str">
        <f>"1578729929885658"</f>
        <v>1578729929885658</v>
      </c>
      <c r="C3750" t="s">
        <v>40</v>
      </c>
      <c r="D3750">
        <v>5.1982039999999996</v>
      </c>
      <c r="E3750">
        <v>0.55106739999999999</v>
      </c>
      <c r="F3750" t="s">
        <v>41</v>
      </c>
      <c r="G3750">
        <v>-216.38079999999999</v>
      </c>
      <c r="H3750" s="1">
        <v>-2.0814629999999999E-6</v>
      </c>
      <c r="I3750">
        <v>141.08260000000001</v>
      </c>
      <c r="J3750">
        <v>-204.1968</v>
      </c>
      <c r="K3750">
        <v>1.1030789999999999</v>
      </c>
      <c r="L3750">
        <v>140.67580000000001</v>
      </c>
      <c r="M3750">
        <v>-0.9562716</v>
      </c>
      <c r="N3750">
        <v>0</v>
      </c>
      <c r="O3750">
        <v>-0.29207860000000002</v>
      </c>
      <c r="P3750">
        <v>-0.99503379999999997</v>
      </c>
      <c r="Q3750">
        <v>4.6381350000000002E-2</v>
      </c>
      <c r="R3750">
        <v>-8.8073189999999996E-2</v>
      </c>
      <c r="S3750">
        <v>-3.0397340000000002</v>
      </c>
      <c r="T3750">
        <v>-0.27064840000000001</v>
      </c>
      <c r="U3750">
        <v>8.7860110000000005E-2</v>
      </c>
      <c r="V3750">
        <v>0.20754790000000001</v>
      </c>
      <c r="W3750">
        <v>5.7463739999999999E-2</v>
      </c>
      <c r="X3750">
        <v>0.97653559999999995</v>
      </c>
      <c r="Y3750">
        <v>0.31723479999999998</v>
      </c>
      <c r="Z3750">
        <v>3.97816E-2</v>
      </c>
      <c r="AA3750">
        <v>0.94751229999999997</v>
      </c>
      <c r="AB3750">
        <v>21</v>
      </c>
      <c r="AC3750">
        <v>-12.1839999999999</v>
      </c>
      <c r="AD3750">
        <v>-1.1030810814630001</v>
      </c>
      <c r="AE3750">
        <v>0.40680000000000399</v>
      </c>
      <c r="AF3750">
        <v>3.9160972893482602</v>
      </c>
      <c r="AG3750">
        <v>-1.1030810814630001</v>
      </c>
      <c r="AH3750">
        <v>11.440083605398099</v>
      </c>
      <c r="AI3750">
        <v>95.212416683887994</v>
      </c>
      <c r="AJ3750">
        <v>71.103222286647593</v>
      </c>
      <c r="AK3750">
        <v>12.1419981366504</v>
      </c>
      <c r="AL3750">
        <v>86.705755530610801</v>
      </c>
      <c r="AM3750">
        <v>78.001187257813896</v>
      </c>
      <c r="AN3750">
        <v>0.99999999513827798</v>
      </c>
    </row>
    <row r="3751" spans="1:40" x14ac:dyDescent="0.3">
      <c r="A3751" t="str">
        <f>"20200111160529918"</f>
        <v>20200111160529918</v>
      </c>
      <c r="B3751" t="str">
        <f>"1578729929914940"</f>
        <v>1578729929914940</v>
      </c>
      <c r="C3751" t="s">
        <v>40</v>
      </c>
      <c r="D3751">
        <v>5.1079309999999998</v>
      </c>
      <c r="E3751">
        <v>0.54625109999999999</v>
      </c>
      <c r="F3751" t="s">
        <v>41</v>
      </c>
      <c r="G3751">
        <v>-216.3766</v>
      </c>
      <c r="H3751" s="1">
        <v>-2.0977280000000002E-6</v>
      </c>
      <c r="I3751">
        <v>141.13640000000001</v>
      </c>
      <c r="J3751">
        <v>-204.39349999999999</v>
      </c>
      <c r="K3751">
        <v>1.1031629999999999</v>
      </c>
      <c r="L3751">
        <v>140.63159999999999</v>
      </c>
      <c r="M3751">
        <v>-0.95998099999999997</v>
      </c>
      <c r="N3751">
        <v>0</v>
      </c>
      <c r="O3751">
        <v>-0.27964689999999998</v>
      </c>
      <c r="P3751">
        <v>-0.99575460000000005</v>
      </c>
      <c r="Q3751">
        <v>4.482191E-2</v>
      </c>
      <c r="R3751">
        <v>-8.0398230000000001E-2</v>
      </c>
      <c r="S3751">
        <v>-3.0379489999999998</v>
      </c>
      <c r="T3751">
        <v>-0.27513520000000002</v>
      </c>
      <c r="U3751">
        <v>0.114883399999999</v>
      </c>
      <c r="V3751">
        <v>0.20238049999999999</v>
      </c>
      <c r="W3751">
        <v>5.6036019999999999E-2</v>
      </c>
      <c r="X3751">
        <v>0.97770239999999997</v>
      </c>
      <c r="Y3751">
        <v>0.31335420000000003</v>
      </c>
      <c r="Z3751">
        <v>3.9200069999999997E-2</v>
      </c>
      <c r="AA3751">
        <v>0.94882690000000003</v>
      </c>
      <c r="AB3751">
        <v>21</v>
      </c>
      <c r="AC3751">
        <v>-11.9831</v>
      </c>
      <c r="AD3751">
        <v>-1.1031650977280001</v>
      </c>
      <c r="AE3751">
        <v>0.50480000000001701</v>
      </c>
      <c r="AF3751">
        <v>3.8039030103512501</v>
      </c>
      <c r="AG3751">
        <v>-1.1031650977280001</v>
      </c>
      <c r="AH3751">
        <v>11.268381705276299</v>
      </c>
      <c r="AI3751">
        <v>95.299400502112803</v>
      </c>
      <c r="AJ3751">
        <v>71.346699171128606</v>
      </c>
      <c r="AK3751">
        <v>11.9441650022431</v>
      </c>
      <c r="AL3751">
        <v>86.787689742799898</v>
      </c>
      <c r="AM3751">
        <v>78.305166074636205</v>
      </c>
      <c r="AN3751">
        <v>0.99999994264172298</v>
      </c>
    </row>
    <row r="3752" spans="1:40" x14ac:dyDescent="0.3">
      <c r="A3752" t="str">
        <f>"20200111160529943"</f>
        <v>20200111160529943</v>
      </c>
      <c r="B3752" t="str">
        <f>"1578729929935436"</f>
        <v>1578729929935436</v>
      </c>
      <c r="C3752" t="s">
        <v>40</v>
      </c>
      <c r="D3752">
        <v>5.1204980000000004</v>
      </c>
      <c r="E3752">
        <v>0.54765109999999995</v>
      </c>
      <c r="F3752" t="s">
        <v>41</v>
      </c>
      <c r="G3752">
        <v>-216.61189999999999</v>
      </c>
      <c r="H3752" s="1">
        <v>-1.960098E-6</v>
      </c>
      <c r="I3752">
        <v>141.03720000000001</v>
      </c>
      <c r="J3752">
        <v>-204.6182</v>
      </c>
      <c r="K3752">
        <v>1.1032569999999999</v>
      </c>
      <c r="L3752">
        <v>140.58410000000001</v>
      </c>
      <c r="M3752">
        <v>-0.96398600000000001</v>
      </c>
      <c r="N3752">
        <v>0</v>
      </c>
      <c r="O3752">
        <v>-0.26551439999999998</v>
      </c>
      <c r="P3752">
        <v>-0.99647430000000004</v>
      </c>
      <c r="Q3752">
        <v>4.4952440000000003E-2</v>
      </c>
      <c r="R3752">
        <v>-7.0841360000000006E-2</v>
      </c>
      <c r="S3752">
        <v>-3.033264</v>
      </c>
      <c r="T3752">
        <v>-0.27386359999999998</v>
      </c>
      <c r="U3752">
        <v>0.1006927</v>
      </c>
      <c r="V3752">
        <v>0.19737940000000001</v>
      </c>
      <c r="W3752">
        <v>5.6291679999999997E-2</v>
      </c>
      <c r="X3752">
        <v>0.97870959999999996</v>
      </c>
      <c r="Y3752">
        <v>0.29512260000000001</v>
      </c>
      <c r="Z3752">
        <v>3.7019459999999997E-2</v>
      </c>
      <c r="AA3752">
        <v>0.95474199999999998</v>
      </c>
      <c r="AB3752">
        <v>21</v>
      </c>
      <c r="AC3752">
        <v>-11.993699999999899</v>
      </c>
      <c r="AD3752">
        <v>-1.1032589600979901</v>
      </c>
      <c r="AE3752">
        <v>0.453100000000006</v>
      </c>
      <c r="AF3752">
        <v>3.5913591795929398</v>
      </c>
      <c r="AG3752">
        <v>-1.1032589600979901</v>
      </c>
      <c r="AH3752">
        <v>11.346912685070199</v>
      </c>
      <c r="AI3752">
        <v>95.296049418139205</v>
      </c>
      <c r="AJ3752">
        <v>72.437139209081593</v>
      </c>
      <c r="AK3752">
        <v>11.9527180412026</v>
      </c>
      <c r="AL3752">
        <v>86.773018307335605</v>
      </c>
      <c r="AM3752">
        <v>78.597922613295694</v>
      </c>
      <c r="AN3752">
        <v>0.99999993095686801</v>
      </c>
    </row>
    <row r="3753" spans="1:40" x14ac:dyDescent="0.3">
      <c r="A3753" t="str">
        <f>"20200111160529965"</f>
        <v>20200111160529965</v>
      </c>
      <c r="B3753" t="str">
        <f>"1578729929955121"</f>
        <v>1578729929955121</v>
      </c>
      <c r="C3753" t="s">
        <v>40</v>
      </c>
      <c r="D3753">
        <v>5.0959349999999999</v>
      </c>
      <c r="E3753">
        <v>0.54682180000000002</v>
      </c>
      <c r="F3753" t="s">
        <v>41</v>
      </c>
      <c r="G3753">
        <v>-217.33009999999999</v>
      </c>
      <c r="H3753" s="1">
        <v>-1.6587750000000001E-6</v>
      </c>
      <c r="I3753">
        <v>141.1806</v>
      </c>
      <c r="J3753">
        <v>-204.82470000000001</v>
      </c>
      <c r="K3753">
        <v>1.103335</v>
      </c>
      <c r="L3753">
        <v>140.54349999999999</v>
      </c>
      <c r="M3753">
        <v>-0.96745340000000002</v>
      </c>
      <c r="N3753">
        <v>0</v>
      </c>
      <c r="O3753">
        <v>-0.25258950000000002</v>
      </c>
      <c r="P3753">
        <v>-0.99698070000000005</v>
      </c>
      <c r="Q3753">
        <v>4.6018860000000002E-2</v>
      </c>
      <c r="R3753">
        <v>-6.2546409999999997E-2</v>
      </c>
      <c r="S3753">
        <v>-3.0326230000000001</v>
      </c>
      <c r="T3753">
        <v>-0.2631986</v>
      </c>
      <c r="U3753">
        <v>0.14231869999999999</v>
      </c>
      <c r="V3753">
        <v>0.19241659999999999</v>
      </c>
      <c r="W3753">
        <v>5.7475169999999999E-2</v>
      </c>
      <c r="X3753">
        <v>0.97962870000000002</v>
      </c>
      <c r="Y3753">
        <v>0.29565140000000001</v>
      </c>
      <c r="Z3753">
        <v>3.4521860000000001E-2</v>
      </c>
      <c r="AA3753">
        <v>0.95467190000000002</v>
      </c>
      <c r="AB3753">
        <v>21</v>
      </c>
      <c r="AC3753">
        <v>-12.5053999999999</v>
      </c>
      <c r="AD3753">
        <v>-1.103336658775</v>
      </c>
      <c r="AE3753">
        <v>0.637100000000003</v>
      </c>
      <c r="AF3753">
        <v>3.7464480877998998</v>
      </c>
      <c r="AG3753">
        <v>-1.103336658775</v>
      </c>
      <c r="AH3753">
        <v>11.846873562287699</v>
      </c>
      <c r="AI3753">
        <v>95.074479638823505</v>
      </c>
      <c r="AJ3753">
        <v>72.450993845201793</v>
      </c>
      <c r="AK3753">
        <v>12.4740385704874</v>
      </c>
      <c r="AL3753">
        <v>86.705099461207197</v>
      </c>
      <c r="AM3753">
        <v>78.887548855729904</v>
      </c>
      <c r="AN3753">
        <v>0.99999996649288803</v>
      </c>
    </row>
    <row r="3754" spans="1:40" x14ac:dyDescent="0.3">
      <c r="A3754" t="str">
        <f>"20200111160529987"</f>
        <v>20200111160529987</v>
      </c>
      <c r="B3754" t="str">
        <f>"1578729929975617"</f>
        <v>1578729929975617</v>
      </c>
      <c r="C3754" t="s">
        <v>40</v>
      </c>
      <c r="D3754">
        <v>5.1914720000000001</v>
      </c>
      <c r="E3754">
        <v>0.54618520000000004</v>
      </c>
      <c r="F3754" t="s">
        <v>41</v>
      </c>
      <c r="G3754">
        <v>-217.7012</v>
      </c>
      <c r="H3754" s="1">
        <v>-1.4963289999999999E-6</v>
      </c>
      <c r="I3754">
        <v>141.22929999999999</v>
      </c>
      <c r="J3754">
        <v>-205.0265</v>
      </c>
      <c r="K3754">
        <v>1.103399</v>
      </c>
      <c r="L3754">
        <v>140.5067</v>
      </c>
      <c r="M3754">
        <v>-0.97065250000000003</v>
      </c>
      <c r="N3754">
        <v>0</v>
      </c>
      <c r="O3754">
        <v>-0.24000379999999999</v>
      </c>
      <c r="P3754">
        <v>-0.99733559999999999</v>
      </c>
      <c r="Q3754">
        <v>4.8066299999999999E-2</v>
      </c>
      <c r="R3754">
        <v>-5.487964E-2</v>
      </c>
      <c r="S3754">
        <v>-3.0311889999999999</v>
      </c>
      <c r="T3754">
        <v>-0.25973190000000002</v>
      </c>
      <c r="U3754">
        <v>0.161438</v>
      </c>
      <c r="V3754">
        <v>0.18722440000000001</v>
      </c>
      <c r="W3754">
        <v>5.9635830000000001E-2</v>
      </c>
      <c r="X3754">
        <v>0.98050530000000002</v>
      </c>
      <c r="Y3754">
        <v>0.28939300000000001</v>
      </c>
      <c r="Z3754">
        <v>3.2762890000000003E-2</v>
      </c>
      <c r="AA3754">
        <v>0.95664950000000004</v>
      </c>
      <c r="AB3754">
        <v>21</v>
      </c>
      <c r="AC3754">
        <v>-12.6747</v>
      </c>
      <c r="AD3754">
        <v>-1.1034004963290001</v>
      </c>
      <c r="AE3754">
        <v>0.72259999999999902</v>
      </c>
      <c r="AF3754">
        <v>3.7157348152431</v>
      </c>
      <c r="AG3754">
        <v>-1.1034004963290001</v>
      </c>
      <c r="AH3754">
        <v>12.0397598040544</v>
      </c>
      <c r="AI3754">
        <v>95.004669046904397</v>
      </c>
      <c r="AJ3754">
        <v>72.848622941549706</v>
      </c>
      <c r="AK3754">
        <v>12.6483198098337</v>
      </c>
      <c r="AL3754">
        <v>86.581090155371001</v>
      </c>
      <c r="AM3754">
        <v>79.189681626396407</v>
      </c>
      <c r="AN3754">
        <v>1.00000002575161</v>
      </c>
    </row>
    <row r="3755" spans="1:40" x14ac:dyDescent="0.3">
      <c r="A3755" t="str">
        <f>"20200111160530007"</f>
        <v>20200111160530007</v>
      </c>
      <c r="B3755" t="str">
        <f>"1578729930004898"</f>
        <v>1578729930004898</v>
      </c>
      <c r="C3755" t="s">
        <v>40</v>
      </c>
      <c r="D3755">
        <v>5.1235439999999999</v>
      </c>
      <c r="E3755">
        <v>0.54532780000000003</v>
      </c>
      <c r="F3755" t="s">
        <v>41</v>
      </c>
      <c r="G3755">
        <v>-218.28749999999999</v>
      </c>
      <c r="H3755" s="1">
        <v>-1.2364909999999999E-6</v>
      </c>
      <c r="I3755">
        <v>141.2944</v>
      </c>
      <c r="J3755">
        <v>-205.22210000000001</v>
      </c>
      <c r="K3755">
        <v>1.103451</v>
      </c>
      <c r="L3755">
        <v>140.4734</v>
      </c>
      <c r="M3755">
        <v>-0.9735838</v>
      </c>
      <c r="N3755">
        <v>0</v>
      </c>
      <c r="O3755">
        <v>-0.22782289999999999</v>
      </c>
      <c r="P3755">
        <v>-0.99760289999999996</v>
      </c>
      <c r="Q3755">
        <v>5.0596250000000002E-2</v>
      </c>
      <c r="R3755">
        <v>-4.7206619999999998E-2</v>
      </c>
      <c r="S3755">
        <v>-3.0300750000000001</v>
      </c>
      <c r="T3755">
        <v>-0.25212259999999997</v>
      </c>
      <c r="U3755">
        <v>0.17999270000000001</v>
      </c>
      <c r="V3755">
        <v>0.18248600000000001</v>
      </c>
      <c r="W3755">
        <v>6.2262610000000003E-2</v>
      </c>
      <c r="X3755">
        <v>0.98123499999999997</v>
      </c>
      <c r="Y3755">
        <v>0.28343000000000002</v>
      </c>
      <c r="Z3755">
        <v>3.0576079999999999E-2</v>
      </c>
      <c r="AA3755">
        <v>0.95850539999999995</v>
      </c>
      <c r="AB3755">
        <v>21</v>
      </c>
      <c r="AC3755">
        <v>-13.065399999999901</v>
      </c>
      <c r="AD3755">
        <v>-1.103452236491</v>
      </c>
      <c r="AE3755">
        <v>0.82099999999999795</v>
      </c>
      <c r="AF3755">
        <v>3.7497055913000001</v>
      </c>
      <c r="AG3755">
        <v>-1.103452236491</v>
      </c>
      <c r="AH3755">
        <v>12.4462412493928</v>
      </c>
      <c r="AI3755">
        <v>94.8521300871748</v>
      </c>
      <c r="AJ3755">
        <v>73.233909855873307</v>
      </c>
      <c r="AK3755">
        <v>13.0455670669285</v>
      </c>
      <c r="AL3755">
        <v>86.430306106420204</v>
      </c>
      <c r="AM3755">
        <v>79.464730230129206</v>
      </c>
      <c r="AN3755">
        <v>0.999999949012504</v>
      </c>
    </row>
    <row r="3756" spans="1:40" x14ac:dyDescent="0.3">
      <c r="A3756" t="str">
        <f>"20200111160530031"</f>
        <v>20200111160530031</v>
      </c>
      <c r="B3756" t="str">
        <f>"1578729930025393"</f>
        <v>1578729930025393</v>
      </c>
      <c r="C3756" t="s">
        <v>40</v>
      </c>
      <c r="D3756">
        <v>5.1474310000000001</v>
      </c>
      <c r="E3756">
        <v>0.53543529999999995</v>
      </c>
      <c r="F3756" t="s">
        <v>41</v>
      </c>
      <c r="G3756">
        <v>-218.7998</v>
      </c>
      <c r="H3756" s="1">
        <v>-1.009845E-6</v>
      </c>
      <c r="I3756">
        <v>141.3528</v>
      </c>
      <c r="J3756">
        <v>-205.43780000000001</v>
      </c>
      <c r="K3756">
        <v>1.1034889999999999</v>
      </c>
      <c r="L3756">
        <v>140.43969999999999</v>
      </c>
      <c r="M3756">
        <v>-0.97662570000000004</v>
      </c>
      <c r="N3756">
        <v>0</v>
      </c>
      <c r="O3756">
        <v>-0.21440909999999999</v>
      </c>
      <c r="P3756">
        <v>-0.99788619999999995</v>
      </c>
      <c r="Q3756">
        <v>5.2796179999999998E-2</v>
      </c>
      <c r="R3756">
        <v>-3.7887619999999997E-2</v>
      </c>
      <c r="S3756">
        <v>-3.0289760000000001</v>
      </c>
      <c r="T3756">
        <v>-0.24616370000000001</v>
      </c>
      <c r="U3756">
        <v>0.1961823</v>
      </c>
      <c r="V3756">
        <v>0.1781577</v>
      </c>
      <c r="W3756">
        <v>6.4545370000000005E-2</v>
      </c>
      <c r="X3756">
        <v>0.98188279999999994</v>
      </c>
      <c r="Y3756">
        <v>0.27550920000000001</v>
      </c>
      <c r="Z3756">
        <v>2.8473109999999999E-2</v>
      </c>
      <c r="AA3756">
        <v>0.96087659999999997</v>
      </c>
      <c r="AB3756">
        <v>21</v>
      </c>
      <c r="AC3756">
        <v>-13.361999999999901</v>
      </c>
      <c r="AD3756">
        <v>-1.103490009845</v>
      </c>
      <c r="AE3756">
        <v>0.91310000000001401</v>
      </c>
      <c r="AF3756">
        <v>3.7317921759020201</v>
      </c>
      <c r="AG3756">
        <v>-1.103490009845</v>
      </c>
      <c r="AH3756">
        <v>12.768700735587201</v>
      </c>
      <c r="AI3756">
        <v>94.741906352712206</v>
      </c>
      <c r="AJ3756">
        <v>73.708421677488204</v>
      </c>
      <c r="AK3756">
        <v>13.3485460452042</v>
      </c>
      <c r="AL3756">
        <v>86.299250245854495</v>
      </c>
      <c r="AM3756">
        <v>79.715853809556293</v>
      </c>
      <c r="AN3756">
        <v>1.00000005189678</v>
      </c>
    </row>
    <row r="3757" spans="1:40" x14ac:dyDescent="0.3">
      <c r="A3757" t="str">
        <f>"20200111160530056"</f>
        <v>20200111160530056</v>
      </c>
      <c r="B3757" t="str">
        <f>"1578729930044913"</f>
        <v>1578729930044913</v>
      </c>
      <c r="C3757" t="s">
        <v>40</v>
      </c>
      <c r="D3757">
        <v>6.7637330000000002</v>
      </c>
      <c r="E3757">
        <v>0.50903989999999999</v>
      </c>
      <c r="F3757" t="s">
        <v>41</v>
      </c>
      <c r="G3757">
        <v>-218.6996</v>
      </c>
      <c r="H3757" s="1">
        <v>-9.8278800000000003E-7</v>
      </c>
      <c r="I3757">
        <v>141.07320000000001</v>
      </c>
      <c r="J3757">
        <v>-205.67679999999999</v>
      </c>
      <c r="K3757">
        <v>1.1035170000000001</v>
      </c>
      <c r="L3757">
        <v>140.4058</v>
      </c>
      <c r="M3757">
        <v>-0.97977499999999995</v>
      </c>
      <c r="N3757">
        <v>0</v>
      </c>
      <c r="O3757">
        <v>-0.1995265</v>
      </c>
      <c r="P3757">
        <v>-0.99817849999999997</v>
      </c>
      <c r="Q3757">
        <v>5.396136E-2</v>
      </c>
      <c r="R3757">
        <v>-2.698209E-2</v>
      </c>
      <c r="S3757">
        <v>-3.0251619999999999</v>
      </c>
      <c r="T3757">
        <v>-0.2517163</v>
      </c>
      <c r="U3757">
        <v>0.14450070000000001</v>
      </c>
      <c r="V3757">
        <v>0.17394849999999901</v>
      </c>
      <c r="W3757">
        <v>6.5786810000000001E-2</v>
      </c>
      <c r="X3757">
        <v>0.98255490000000001</v>
      </c>
      <c r="Y3757">
        <v>0.2445466</v>
      </c>
      <c r="Z3757">
        <v>2.6652200000000001E-2</v>
      </c>
      <c r="AA3757">
        <v>0.9692712</v>
      </c>
      <c r="AB3757">
        <v>20</v>
      </c>
      <c r="AC3757">
        <v>-13.0228</v>
      </c>
      <c r="AD3757">
        <v>-1.103517982788</v>
      </c>
      <c r="AE3757">
        <v>0.66740000000001398</v>
      </c>
      <c r="AF3757">
        <v>3.2295410927566799</v>
      </c>
      <c r="AG3757">
        <v>-1.103517982788</v>
      </c>
      <c r="AH3757">
        <v>12.537911255598701</v>
      </c>
      <c r="AI3757">
        <v>94.871681792425306</v>
      </c>
      <c r="AJ3757">
        <v>75.555625282984394</v>
      </c>
      <c r="AK3757">
        <v>12.994110445175099</v>
      </c>
      <c r="AL3757">
        <v>86.227969484260399</v>
      </c>
      <c r="AM3757">
        <v>79.960554434384903</v>
      </c>
      <c r="AN3757">
        <v>1.0000000582681099</v>
      </c>
    </row>
    <row r="3758" spans="1:40" x14ac:dyDescent="0.3">
      <c r="A3758" t="str">
        <f>"20200111160530076"</f>
        <v>20200111160530076</v>
      </c>
      <c r="B3758" t="str">
        <f>"1578729930065408"</f>
        <v>1578729930065408</v>
      </c>
      <c r="C3758" t="s">
        <v>40</v>
      </c>
      <c r="D3758">
        <v>5.1428140000000004</v>
      </c>
      <c r="E3758">
        <v>0.50449500000000003</v>
      </c>
      <c r="F3758" t="s">
        <v>41</v>
      </c>
      <c r="G3758">
        <v>-222.37289999999999</v>
      </c>
      <c r="H3758" s="1">
        <v>-3.4186749999999999E-6</v>
      </c>
      <c r="I3758">
        <v>140.23400000000001</v>
      </c>
      <c r="J3758">
        <v>-205.85579999999999</v>
      </c>
      <c r="K3758">
        <v>1.1035299999999999</v>
      </c>
      <c r="L3758">
        <v>140.3828</v>
      </c>
      <c r="M3758">
        <v>-0.98198099999999999</v>
      </c>
      <c r="N3758">
        <v>0</v>
      </c>
      <c r="O3758">
        <v>-0.18837019999999999</v>
      </c>
      <c r="P3758">
        <v>-0.99835850000000004</v>
      </c>
      <c r="Q3758">
        <v>5.3715730000000003E-2</v>
      </c>
      <c r="R3758">
        <v>-1.988024E-2</v>
      </c>
      <c r="S3758">
        <v>-3.015396</v>
      </c>
      <c r="T3758">
        <v>-0.19930200000000001</v>
      </c>
      <c r="U3758">
        <v>-3.100586E-2</v>
      </c>
      <c r="V3758">
        <v>0.16975499999999999</v>
      </c>
      <c r="W3758">
        <v>6.5619799999999895E-2</v>
      </c>
      <c r="X3758">
        <v>0.98329920000000004</v>
      </c>
      <c r="Y3758">
        <v>0.17748989999999901</v>
      </c>
      <c r="Z3758">
        <v>1.8237610000000001E-2</v>
      </c>
      <c r="AA3758">
        <v>0.98395359999999998</v>
      </c>
      <c r="AB3758">
        <v>20</v>
      </c>
      <c r="AC3758">
        <v>-16.517099999999999</v>
      </c>
      <c r="AD3758">
        <v>-1.1035334186750001</v>
      </c>
      <c r="AE3758">
        <v>-0.14879999999999399</v>
      </c>
      <c r="AF3758">
        <v>2.9523739943173299</v>
      </c>
      <c r="AG3758">
        <v>-1.1035334186750001</v>
      </c>
      <c r="AH3758">
        <v>16.177170939811401</v>
      </c>
      <c r="AI3758">
        <v>93.839194981194694</v>
      </c>
      <c r="AJ3758">
        <v>79.657204734564999</v>
      </c>
      <c r="AK3758">
        <v>16.481357887757099</v>
      </c>
      <c r="AL3758">
        <v>86.237559019414903</v>
      </c>
      <c r="AM3758">
        <v>80.205107269845698</v>
      </c>
      <c r="AN3758">
        <v>1.0000000174488399</v>
      </c>
    </row>
    <row r="3759" spans="1:40" x14ac:dyDescent="0.3">
      <c r="A3759" t="str">
        <f>"20200111160530097"</f>
        <v>20200111160530097</v>
      </c>
      <c r="B3759" t="str">
        <f>"1578729930095665"</f>
        <v>1578729930095665</v>
      </c>
      <c r="C3759" t="s">
        <v>40</v>
      </c>
      <c r="D3759">
        <v>5.1242470000000004</v>
      </c>
      <c r="E3759">
        <v>0.50286039999999999</v>
      </c>
      <c r="F3759" t="s">
        <v>41</v>
      </c>
      <c r="G3759">
        <v>-223.79480000000001</v>
      </c>
      <c r="H3759" s="1">
        <v>-2.7761439999999999E-6</v>
      </c>
      <c r="I3759">
        <v>140.11179999999999</v>
      </c>
      <c r="J3759">
        <v>-206.05869999999999</v>
      </c>
      <c r="K3759">
        <v>1.1035349999999999</v>
      </c>
      <c r="L3759">
        <v>140.35929999999999</v>
      </c>
      <c r="M3759">
        <v>-0.98432770000000003</v>
      </c>
      <c r="N3759">
        <v>0</v>
      </c>
      <c r="O3759">
        <v>-0.17569749999999901</v>
      </c>
      <c r="P3759">
        <v>-0.99855380000000005</v>
      </c>
      <c r="Q3759">
        <v>5.212526E-2</v>
      </c>
      <c r="R3759">
        <v>-1.319097E-2</v>
      </c>
      <c r="S3759">
        <v>-3.014008</v>
      </c>
      <c r="T3759">
        <v>-0.18540970000000001</v>
      </c>
      <c r="U3759">
        <v>-4.553223E-2</v>
      </c>
      <c r="V3759">
        <v>0.1636455</v>
      </c>
      <c r="W3759">
        <v>6.4148999999999998E-2</v>
      </c>
      <c r="X3759">
        <v>0.98443130000000001</v>
      </c>
      <c r="Y3759">
        <v>0.1601957</v>
      </c>
      <c r="Z3759">
        <v>1.5675040000000001E-2</v>
      </c>
      <c r="AA3759">
        <v>0.98696079999999997</v>
      </c>
      <c r="AB3759">
        <v>20</v>
      </c>
      <c r="AC3759">
        <v>-17.7361</v>
      </c>
      <c r="AD3759">
        <v>-1.1035377761439999</v>
      </c>
      <c r="AE3759">
        <v>-0.247500000000002</v>
      </c>
      <c r="AF3759">
        <v>2.86181997703547</v>
      </c>
      <c r="AG3759">
        <v>-1.1035377761439999</v>
      </c>
      <c r="AH3759">
        <v>17.436139557068199</v>
      </c>
      <c r="AI3759">
        <v>93.573743922866001</v>
      </c>
      <c r="AJ3759">
        <v>80.679063427911899</v>
      </c>
      <c r="AK3759">
        <v>17.7038631902162</v>
      </c>
      <c r="AL3759">
        <v>86.322007413005807</v>
      </c>
      <c r="AM3759">
        <v>80.561825098479005</v>
      </c>
      <c r="AN3759">
        <v>0.99999996414546899</v>
      </c>
    </row>
    <row r="3760" spans="1:40" x14ac:dyDescent="0.3">
      <c r="A3760" t="str">
        <f>"20200111160530122"</f>
        <v>20200111160530122</v>
      </c>
      <c r="B3760" t="str">
        <f>"1578729930115186"</f>
        <v>1578729930115186</v>
      </c>
      <c r="C3760" t="s">
        <v>40</v>
      </c>
      <c r="D3760">
        <v>5.1489370000000001</v>
      </c>
      <c r="E3760">
        <v>0.50187799999999905</v>
      </c>
      <c r="F3760" t="s">
        <v>41</v>
      </c>
      <c r="G3760">
        <v>-223.92080000000001</v>
      </c>
      <c r="H3760" s="1">
        <v>-2.7274229999999999E-6</v>
      </c>
      <c r="I3760">
        <v>140.1317</v>
      </c>
      <c r="J3760">
        <v>-206.27770000000001</v>
      </c>
      <c r="K3760">
        <v>1.1035379999999999</v>
      </c>
      <c r="L3760">
        <v>140.33680000000001</v>
      </c>
      <c r="M3760">
        <v>-0.98667680000000002</v>
      </c>
      <c r="N3760">
        <v>0</v>
      </c>
      <c r="O3760">
        <v>-0.16198770000000001</v>
      </c>
      <c r="P3760">
        <v>-0.99880060000000004</v>
      </c>
      <c r="Q3760">
        <v>4.8250250000000001E-2</v>
      </c>
      <c r="R3760">
        <v>-8.3436659999999996E-3</v>
      </c>
      <c r="S3760">
        <v>-3.01355</v>
      </c>
      <c r="T3760">
        <v>-0.1861807</v>
      </c>
      <c r="U3760">
        <v>-3.8375850000000003E-2</v>
      </c>
      <c r="V3760">
        <v>0.154676799999999</v>
      </c>
      <c r="W3760">
        <v>6.045213E-2</v>
      </c>
      <c r="X3760">
        <v>0.98611389999999999</v>
      </c>
      <c r="Y3760">
        <v>0.14883779999999999</v>
      </c>
      <c r="Z3760">
        <v>1.455628E-2</v>
      </c>
      <c r="AA3760">
        <v>0.98875449999999998</v>
      </c>
      <c r="AB3760">
        <v>20</v>
      </c>
      <c r="AC3760">
        <v>-17.6431</v>
      </c>
      <c r="AD3760">
        <v>-1.10354072742299</v>
      </c>
      <c r="AE3760">
        <v>-0.20510000000001499</v>
      </c>
      <c r="AF3760">
        <v>2.6455530589366401</v>
      </c>
      <c r="AG3760">
        <v>-1.10354072742299</v>
      </c>
      <c r="AH3760">
        <v>17.375290078237299</v>
      </c>
      <c r="AI3760">
        <v>93.592795841728005</v>
      </c>
      <c r="AJ3760">
        <v>81.3426652290932</v>
      </c>
      <c r="AK3760">
        <v>17.610152140956099</v>
      </c>
      <c r="AL3760">
        <v>86.5342349754834</v>
      </c>
      <c r="AM3760">
        <v>81.0855115795502</v>
      </c>
      <c r="AN3760">
        <v>0.99999999812649298</v>
      </c>
    </row>
    <row r="3761" spans="1:40" x14ac:dyDescent="0.3">
      <c r="A3761" t="str">
        <f>"20200111160530143"</f>
        <v>20200111160530143</v>
      </c>
      <c r="B3761" t="str">
        <f>"1578729930135681"</f>
        <v>1578729930135681</v>
      </c>
      <c r="C3761" t="s">
        <v>40</v>
      </c>
      <c r="D3761">
        <v>5.177168</v>
      </c>
      <c r="E3761">
        <v>0.50094949999999905</v>
      </c>
      <c r="F3761" t="s">
        <v>41</v>
      </c>
      <c r="G3761">
        <v>-223.2433</v>
      </c>
      <c r="H3761" s="1">
        <v>-3.0255270000000002E-6</v>
      </c>
      <c r="I3761">
        <v>140.15989999999999</v>
      </c>
      <c r="J3761">
        <v>-206.48320000000001</v>
      </c>
      <c r="K3761">
        <v>1.1035429999999999</v>
      </c>
      <c r="L3761">
        <v>140.3184</v>
      </c>
      <c r="M3761">
        <v>-0.98870709999999995</v>
      </c>
      <c r="N3761">
        <v>0</v>
      </c>
      <c r="O3761">
        <v>-0.14909500000000001</v>
      </c>
      <c r="P3761">
        <v>-0.99899420000000005</v>
      </c>
      <c r="Q3761">
        <v>4.4522730000000003E-2</v>
      </c>
      <c r="R3761">
        <v>-5.3301299999999998E-3</v>
      </c>
      <c r="S3761">
        <v>-3.0128020000000002</v>
      </c>
      <c r="T3761">
        <v>-0.19597020000000001</v>
      </c>
      <c r="U3761">
        <v>-3.1402590000000001E-2</v>
      </c>
      <c r="V3761">
        <v>0.14472349999999901</v>
      </c>
      <c r="W3761">
        <v>5.692295E-2</v>
      </c>
      <c r="X3761">
        <v>0.98783339999999997</v>
      </c>
      <c r="Y3761">
        <v>0.13819289999999901</v>
      </c>
      <c r="Z3761">
        <v>1.414905E-2</v>
      </c>
      <c r="AA3761">
        <v>0.99030419999999997</v>
      </c>
      <c r="AB3761">
        <v>20</v>
      </c>
      <c r="AC3761">
        <v>-16.760099999999898</v>
      </c>
      <c r="AD3761">
        <v>-1.103546025527</v>
      </c>
      <c r="AE3761">
        <v>-0.158500000000003</v>
      </c>
      <c r="AF3761">
        <v>2.3322947062288</v>
      </c>
      <c r="AG3761">
        <v>-1.103546025527</v>
      </c>
      <c r="AH3761">
        <v>16.524726763670799</v>
      </c>
      <c r="AI3761">
        <v>93.783239567764497</v>
      </c>
      <c r="AJ3761">
        <v>81.966355853769699</v>
      </c>
      <c r="AK3761">
        <v>16.724951630457301</v>
      </c>
      <c r="AL3761">
        <v>86.736791235202304</v>
      </c>
      <c r="AM3761">
        <v>81.6651214359904</v>
      </c>
      <c r="AN3761">
        <v>0.99999996992225504</v>
      </c>
    </row>
    <row r="3762" spans="1:40" x14ac:dyDescent="0.3">
      <c r="A3762" t="str">
        <f>"20200111160530166"</f>
        <v>20200111160530166</v>
      </c>
      <c r="B3762" t="str">
        <f>"1578729930155201"</f>
        <v>1578729930155201</v>
      </c>
      <c r="C3762" t="s">
        <v>40</v>
      </c>
      <c r="D3762">
        <v>5.2045459999999997</v>
      </c>
      <c r="E3762">
        <v>0.50041999999999998</v>
      </c>
      <c r="F3762" t="s">
        <v>41</v>
      </c>
      <c r="G3762">
        <v>-222.54589999999999</v>
      </c>
      <c r="H3762" s="1">
        <v>-3.32474E-6</v>
      </c>
      <c r="I3762">
        <v>140.16</v>
      </c>
      <c r="J3762">
        <v>-206.69909999999999</v>
      </c>
      <c r="K3762">
        <v>1.1035600000000001</v>
      </c>
      <c r="L3762">
        <v>140.3023</v>
      </c>
      <c r="M3762">
        <v>-0.99066010000000004</v>
      </c>
      <c r="N3762">
        <v>0</v>
      </c>
      <c r="O3762">
        <v>-0.13551369999999999</v>
      </c>
      <c r="P3762">
        <v>-0.99910960000000004</v>
      </c>
      <c r="Q3762">
        <v>4.2195129999999997E-2</v>
      </c>
      <c r="R3762">
        <v>-4.0258619999999998E-4</v>
      </c>
      <c r="S3762">
        <v>-3.01207</v>
      </c>
      <c r="T3762">
        <v>-0.20693610000000001</v>
      </c>
      <c r="U3762">
        <v>-2.970886E-2</v>
      </c>
      <c r="V3762">
        <v>0.1359996</v>
      </c>
      <c r="W3762">
        <v>5.4767679999999999E-2</v>
      </c>
      <c r="X3762">
        <v>0.98919389999999996</v>
      </c>
      <c r="Y3762">
        <v>0.1251381</v>
      </c>
      <c r="Z3762">
        <v>1.357032E-2</v>
      </c>
      <c r="AA3762">
        <v>0.99204650000000005</v>
      </c>
      <c r="AB3762">
        <v>20</v>
      </c>
      <c r="AC3762">
        <v>-15.8468</v>
      </c>
      <c r="AD3762">
        <v>-1.1035633247399901</v>
      </c>
      <c r="AE3762">
        <v>-0.14230000000000501</v>
      </c>
      <c r="AF3762">
        <v>1.99703280235828</v>
      </c>
      <c r="AG3762">
        <v>-1.1035633247399901</v>
      </c>
      <c r="AH3762">
        <v>15.644010953362301</v>
      </c>
      <c r="AI3762">
        <v>94.002712500894802</v>
      </c>
      <c r="AJ3762">
        <v>82.725265247088402</v>
      </c>
      <c r="AK3762">
        <v>15.809524684010199</v>
      </c>
      <c r="AL3762">
        <v>86.860472184682706</v>
      </c>
      <c r="AM3762">
        <v>82.171751253869601</v>
      </c>
      <c r="AN3762">
        <v>0.99999998088497599</v>
      </c>
    </row>
    <row r="3763" spans="1:40" x14ac:dyDescent="0.3">
      <c r="A3763" t="str">
        <f>"20200111160530189"</f>
        <v>20200111160530189</v>
      </c>
      <c r="B3763" t="str">
        <f>"1578729930185456"</f>
        <v>1578729930185456</v>
      </c>
      <c r="C3763" t="s">
        <v>40</v>
      </c>
      <c r="D3763">
        <v>5.1983680000000003</v>
      </c>
      <c r="E3763">
        <v>0.49974819999999998</v>
      </c>
      <c r="F3763" t="s">
        <v>42</v>
      </c>
      <c r="G3763">
        <v>-207.5986</v>
      </c>
      <c r="H3763">
        <v>1.0388170000000001</v>
      </c>
      <c r="I3763">
        <v>140.29650000000001</v>
      </c>
      <c r="J3763">
        <v>-206.90260000000001</v>
      </c>
      <c r="K3763">
        <v>1.1035729999999999</v>
      </c>
      <c r="L3763">
        <v>140.28980000000001</v>
      </c>
      <c r="M3763">
        <v>-0.99232860000000001</v>
      </c>
      <c r="N3763">
        <v>0</v>
      </c>
      <c r="O3763">
        <v>-0.1227007</v>
      </c>
      <c r="P3763">
        <v>-0.99920299999999995</v>
      </c>
      <c r="Q3763">
        <v>3.9667880000000003E-2</v>
      </c>
      <c r="R3763">
        <v>4.4650469999999998E-3</v>
      </c>
      <c r="S3763">
        <v>-3.0118100000000001</v>
      </c>
      <c r="T3763">
        <v>-0.21650230000000001</v>
      </c>
      <c r="U3763">
        <v>-1.971436E-2</v>
      </c>
      <c r="V3763">
        <v>0.12799260000000001</v>
      </c>
      <c r="W3763">
        <v>5.2397390000000002E-2</v>
      </c>
      <c r="X3763">
        <v>0.99039010000000005</v>
      </c>
      <c r="Y3763">
        <v>0.11560239999999999</v>
      </c>
      <c r="Z3763">
        <v>1.294182E-2</v>
      </c>
      <c r="AA3763">
        <v>0.99321130000000002</v>
      </c>
      <c r="AB3763">
        <v>20</v>
      </c>
      <c r="AC3763">
        <v>-0.69599999999999795</v>
      </c>
      <c r="AD3763">
        <v>-6.47559999999998E-2</v>
      </c>
      <c r="AE3763">
        <v>6.6999999999950398E-3</v>
      </c>
      <c r="AF3763">
        <v>9.1268812735645202E-2</v>
      </c>
      <c r="AG3763">
        <v>-6.47559999999998E-2</v>
      </c>
      <c r="AH3763">
        <v>0.68399697380670699</v>
      </c>
      <c r="AI3763">
        <v>95.361005336572404</v>
      </c>
      <c r="AJ3763">
        <v>82.399660006060401</v>
      </c>
      <c r="AK3763">
        <v>0.69309104444575498</v>
      </c>
      <c r="AL3763">
        <v>86.996475482717202</v>
      </c>
      <c r="AM3763">
        <v>82.636221347438195</v>
      </c>
      <c r="AN3763">
        <v>1.0000000711557799</v>
      </c>
    </row>
    <row r="3764" spans="1:40" x14ac:dyDescent="0.3">
      <c r="A3764" t="str">
        <f>"20200111160530209"</f>
        <v>20200111160530209</v>
      </c>
      <c r="B3764" t="str">
        <f>"1578729930204978"</f>
        <v>1578729930204978</v>
      </c>
      <c r="C3764" t="s">
        <v>40</v>
      </c>
      <c r="D3764">
        <v>5.232526</v>
      </c>
      <c r="E3764">
        <v>0.4994017</v>
      </c>
      <c r="F3764" t="s">
        <v>42</v>
      </c>
      <c r="G3764">
        <v>-207.7824</v>
      </c>
      <c r="H3764">
        <v>1.03699599999999</v>
      </c>
      <c r="I3764">
        <v>140.2867</v>
      </c>
      <c r="J3764">
        <v>-207.09540000000001</v>
      </c>
      <c r="K3764">
        <v>1.1035839999999999</v>
      </c>
      <c r="L3764">
        <v>140.28039999999999</v>
      </c>
      <c r="M3764">
        <v>-0.99375650000000004</v>
      </c>
      <c r="N3764">
        <v>0</v>
      </c>
      <c r="O3764">
        <v>-0.1105435</v>
      </c>
      <c r="P3764">
        <v>-0.99928620000000001</v>
      </c>
      <c r="Q3764">
        <v>3.690674E-2</v>
      </c>
      <c r="R3764">
        <v>8.075367E-3</v>
      </c>
      <c r="S3764">
        <v>-3.0114749999999999</v>
      </c>
      <c r="T3764">
        <v>-0.22761290000000001</v>
      </c>
      <c r="U3764">
        <v>-1.0971069999999999E-2</v>
      </c>
      <c r="V3764">
        <v>0.11939809999999999</v>
      </c>
      <c r="W3764">
        <v>4.9802979999999997E-2</v>
      </c>
      <c r="X3764">
        <v>0.99159660000000005</v>
      </c>
      <c r="Y3764">
        <v>0.1063171</v>
      </c>
      <c r="Z3764">
        <v>1.234293E-2</v>
      </c>
      <c r="AA3764">
        <v>0.99425569999999996</v>
      </c>
      <c r="AB3764">
        <v>20</v>
      </c>
      <c r="AC3764">
        <v>-0.68699999999998296</v>
      </c>
      <c r="AD3764">
        <v>-6.65880000000003E-2</v>
      </c>
      <c r="AE3764">
        <v>6.3000000000101803E-3</v>
      </c>
      <c r="AF3764">
        <v>8.1448319273027897E-2</v>
      </c>
      <c r="AG3764">
        <v>-6.65880000000003E-2</v>
      </c>
      <c r="AH3764">
        <v>0.67574429063647701</v>
      </c>
      <c r="AI3764">
        <v>95.5875882443449</v>
      </c>
      <c r="AJ3764">
        <v>83.127220909611097</v>
      </c>
      <c r="AK3764">
        <v>0.68388459317650696</v>
      </c>
      <c r="AL3764">
        <v>87.145318599217802</v>
      </c>
      <c r="AM3764">
        <v>83.134072568917205</v>
      </c>
      <c r="AN3764">
        <v>1.0000000301160199</v>
      </c>
    </row>
    <row r="3765" spans="1:40" x14ac:dyDescent="0.3">
      <c r="A3765" t="str">
        <f>"20200111160530232"</f>
        <v>20200111160530232</v>
      </c>
      <c r="B3765" t="str">
        <f>"1578729930225473"</f>
        <v>1578729930225473</v>
      </c>
      <c r="C3765" t="s">
        <v>40</v>
      </c>
      <c r="D3765">
        <v>5.2289250000000003</v>
      </c>
      <c r="E3765">
        <v>0.49906440000000002</v>
      </c>
      <c r="F3765" t="s">
        <v>42</v>
      </c>
      <c r="G3765">
        <v>-207.9658</v>
      </c>
      <c r="H3765">
        <v>1.034483</v>
      </c>
      <c r="I3765">
        <v>140.27959999999999</v>
      </c>
      <c r="J3765">
        <v>-207.30760000000001</v>
      </c>
      <c r="K3765">
        <v>1.1035950000000001</v>
      </c>
      <c r="L3765">
        <v>140.27289999999999</v>
      </c>
      <c r="M3765">
        <v>-0.99515529999999996</v>
      </c>
      <c r="N3765">
        <v>0</v>
      </c>
      <c r="O3765">
        <v>-9.7148189999999995E-2</v>
      </c>
      <c r="P3765">
        <v>-0.99930940000000001</v>
      </c>
      <c r="Q3765">
        <v>3.4794930000000002E-2</v>
      </c>
      <c r="R3765">
        <v>1.304343E-2</v>
      </c>
      <c r="S3765">
        <v>-3.0109710000000001</v>
      </c>
      <c r="T3765">
        <v>-0.2384598</v>
      </c>
      <c r="U3765">
        <v>-3.005981E-3</v>
      </c>
      <c r="V3765">
        <v>0.1109309</v>
      </c>
      <c r="W3765">
        <v>4.7853619999999999E-2</v>
      </c>
      <c r="X3765">
        <v>0.99267539999999999</v>
      </c>
      <c r="Y3765">
        <v>9.5562910000000001E-2</v>
      </c>
      <c r="Z3765">
        <v>1.145171E-2</v>
      </c>
      <c r="AA3765">
        <v>0.99535750000000001</v>
      </c>
      <c r="AB3765">
        <v>20</v>
      </c>
      <c r="AC3765">
        <v>-0.65819999999999301</v>
      </c>
      <c r="AD3765">
        <v>-6.9112000000000007E-2</v>
      </c>
      <c r="AE3765">
        <v>6.6999999999950398E-3</v>
      </c>
      <c r="AF3765">
        <v>6.9848513364295206E-2</v>
      </c>
      <c r="AG3765">
        <v>-6.9112000000000007E-2</v>
      </c>
      <c r="AH3765">
        <v>0.64729904803627103</v>
      </c>
      <c r="AI3765">
        <v>96.059459320511607</v>
      </c>
      <c r="AJ3765">
        <v>83.841178371888404</v>
      </c>
      <c r="AK3765">
        <v>0.65471470195182302</v>
      </c>
      <c r="AL3765">
        <v>87.2571421306004</v>
      </c>
      <c r="AM3765">
        <v>83.6236844005401</v>
      </c>
      <c r="AN3765">
        <v>1.00000004164353</v>
      </c>
    </row>
    <row r="3766" spans="1:40" x14ac:dyDescent="0.3">
      <c r="A3766" t="str">
        <f>"20200111160530256"</f>
        <v>20200111160530256</v>
      </c>
      <c r="B3766" t="str">
        <f>"1578729930244994"</f>
        <v>1578729930244994</v>
      </c>
      <c r="C3766" t="s">
        <v>40</v>
      </c>
      <c r="D3766">
        <v>5.3631929999999999</v>
      </c>
      <c r="E3766">
        <v>0.49848799999999999</v>
      </c>
      <c r="F3766" t="s">
        <v>42</v>
      </c>
      <c r="G3766">
        <v>-208.1508</v>
      </c>
      <c r="H3766">
        <v>1.0350109999999999</v>
      </c>
      <c r="I3766">
        <v>140.27549999999999</v>
      </c>
      <c r="J3766">
        <v>-207.52979999999999</v>
      </c>
      <c r="K3766">
        <v>1.1035919999999999</v>
      </c>
      <c r="L3766">
        <v>140.2679</v>
      </c>
      <c r="M3766">
        <v>-0.99642649999999999</v>
      </c>
      <c r="N3766">
        <v>0</v>
      </c>
      <c r="O3766">
        <v>-8.3105639999999995E-2</v>
      </c>
      <c r="P3766">
        <v>-0.99929710000000005</v>
      </c>
      <c r="Q3766">
        <v>3.2485939999999998E-2</v>
      </c>
      <c r="R3766">
        <v>1.8717500000000001E-2</v>
      </c>
      <c r="S3766">
        <v>-3.0104679999999999</v>
      </c>
      <c r="T3766">
        <v>-0.24468100000000001</v>
      </c>
      <c r="U3766">
        <v>9.4757079999999994E-3</v>
      </c>
      <c r="V3766">
        <v>0.10252500000000001</v>
      </c>
      <c r="W3766">
        <v>4.5703529999999999E-2</v>
      </c>
      <c r="X3766">
        <v>0.99367989999999995</v>
      </c>
      <c r="Y3766">
        <v>8.5695160000000006E-2</v>
      </c>
      <c r="Z3766">
        <v>1.021533E-2</v>
      </c>
      <c r="AA3766">
        <v>0.99626899999999996</v>
      </c>
      <c r="AB3766">
        <v>20</v>
      </c>
      <c r="AC3766">
        <v>-0.62100000000000899</v>
      </c>
      <c r="AD3766">
        <v>-6.8580999999999698E-2</v>
      </c>
      <c r="AE3766">
        <v>7.5999999999964898E-3</v>
      </c>
      <c r="AF3766">
        <v>5.8475115070892397E-2</v>
      </c>
      <c r="AG3766">
        <v>-6.8580999999999698E-2</v>
      </c>
      <c r="AH3766">
        <v>0.61077166070968203</v>
      </c>
      <c r="AI3766">
        <v>96.377747587951703</v>
      </c>
      <c r="AJ3766">
        <v>84.531186006203797</v>
      </c>
      <c r="AK3766">
        <v>0.61738538545192101</v>
      </c>
      <c r="AL3766">
        <v>87.380468040762693</v>
      </c>
      <c r="AM3766">
        <v>84.109232627018699</v>
      </c>
      <c r="AN3766">
        <v>0.99999996597173402</v>
      </c>
    </row>
    <row r="3767" spans="1:40" x14ac:dyDescent="0.3">
      <c r="A3767" t="str">
        <f>"20200111160530490"</f>
        <v>20200111160530490</v>
      </c>
      <c r="B3767" t="str">
        <f>"1578729930485089"</f>
        <v>1578729930485089</v>
      </c>
      <c r="C3767" t="s">
        <v>40</v>
      </c>
      <c r="D3767">
        <v>5.2081030000000004</v>
      </c>
      <c r="E3767">
        <v>0.51379830000000004</v>
      </c>
      <c r="F3767" t="s">
        <v>62</v>
      </c>
      <c r="G3767">
        <v>-513.98249999999996</v>
      </c>
      <c r="H3767">
        <v>108.2137</v>
      </c>
      <c r="I3767">
        <v>218.69319999999999</v>
      </c>
      <c r="J3767">
        <v>-209.6755</v>
      </c>
      <c r="K3767">
        <v>1.1041479999999999</v>
      </c>
      <c r="L3767">
        <v>140.38079999999999</v>
      </c>
      <c r="M3767">
        <v>-0.99855349999999998</v>
      </c>
      <c r="N3767">
        <v>0</v>
      </c>
      <c r="O3767">
        <v>5.1650679999999997E-2</v>
      </c>
      <c r="P3767">
        <v>-0.99623070000000002</v>
      </c>
      <c r="Q3767">
        <v>1.3749610000000001E-2</v>
      </c>
      <c r="R3767">
        <v>8.5646929999999996E-2</v>
      </c>
      <c r="S3767">
        <v>-2.9327239999999999</v>
      </c>
      <c r="T3767">
        <v>1.0315259999999999</v>
      </c>
      <c r="U3767">
        <v>0.75442500000000001</v>
      </c>
      <c r="V3767">
        <v>3.4526580000000001E-2</v>
      </c>
      <c r="W3767">
        <v>2.8130459999999999E-2</v>
      </c>
      <c r="X3767">
        <v>0.9990078</v>
      </c>
      <c r="Y3767">
        <v>0.190938</v>
      </c>
      <c r="Z3767">
        <v>-1.4774300000000001E-2</v>
      </c>
      <c r="AA3767">
        <v>0.98149090000000005</v>
      </c>
      <c r="AB3767">
        <v>20</v>
      </c>
      <c r="AC3767">
        <v>-304.30700000000002</v>
      </c>
      <c r="AD3767">
        <v>107.10955199999999</v>
      </c>
      <c r="AE3767">
        <v>78.312399999999997</v>
      </c>
      <c r="AF3767">
        <v>55.983497384472102</v>
      </c>
      <c r="AG3767">
        <v>107.10955199999999</v>
      </c>
      <c r="AH3767">
        <v>275.889439646607</v>
      </c>
      <c r="AI3767">
        <v>69.169220283420003</v>
      </c>
      <c r="AJ3767">
        <v>78.529286860288593</v>
      </c>
      <c r="AK3767">
        <v>301.20025069305001</v>
      </c>
      <c r="AL3767">
        <v>88.388030714074901</v>
      </c>
      <c r="AM3767">
        <v>88.020595789855307</v>
      </c>
      <c r="AN3767">
        <v>0.99999999598357303</v>
      </c>
    </row>
    <row r="3768" spans="1:40" x14ac:dyDescent="0.3">
      <c r="A3768" t="str">
        <f>"20200111160530557"</f>
        <v>20200111160530557</v>
      </c>
      <c r="B3768" t="str">
        <f>"1578729930545600"</f>
        <v>1578729930545600</v>
      </c>
      <c r="C3768" t="s">
        <v>40</v>
      </c>
      <c r="D3768">
        <v>9.2511869999999998</v>
      </c>
      <c r="E3768">
        <v>0.513959099999999</v>
      </c>
      <c r="F3768" t="s">
        <v>41</v>
      </c>
      <c r="G3768">
        <v>-231.87739999999999</v>
      </c>
      <c r="H3768" s="1">
        <v>-4.2425249999999997E-6</v>
      </c>
      <c r="I3768">
        <v>143.0292</v>
      </c>
      <c r="J3768">
        <v>-210.2757</v>
      </c>
      <c r="K3768">
        <v>1.104552</v>
      </c>
      <c r="L3768">
        <v>140.46190000000001</v>
      </c>
      <c r="M3768">
        <v>-0.99606779999999995</v>
      </c>
      <c r="N3768">
        <v>0</v>
      </c>
      <c r="O3768">
        <v>8.7343879999999999E-2</v>
      </c>
      <c r="P3768">
        <v>-0.99464839999999999</v>
      </c>
      <c r="Q3768">
        <v>2.0287429999999999E-2</v>
      </c>
      <c r="R3768">
        <v>0.1013071</v>
      </c>
      <c r="S3768">
        <v>-2.9828030000000001</v>
      </c>
      <c r="T3768">
        <v>-0.1483418</v>
      </c>
      <c r="U3768">
        <v>0.35580440000000002</v>
      </c>
      <c r="V3768">
        <v>1.4561340000000001E-2</v>
      </c>
      <c r="W3768">
        <v>3.4902929999999999E-2</v>
      </c>
      <c r="X3768">
        <v>0.99928459999999997</v>
      </c>
      <c r="Y3768">
        <v>3.1322120000000002E-2</v>
      </c>
      <c r="Z3768">
        <v>-3.5409249999999999E-3</v>
      </c>
      <c r="AA3768">
        <v>0.99950309999999998</v>
      </c>
      <c r="AB3768">
        <v>20</v>
      </c>
      <c r="AC3768">
        <v>-21.601699999999902</v>
      </c>
      <c r="AD3768">
        <v>-1.104556242525</v>
      </c>
      <c r="AE3768">
        <v>2.5672999999999799</v>
      </c>
      <c r="AF3768">
        <v>0.66877811298535295</v>
      </c>
      <c r="AG3768">
        <v>-1.104556242525</v>
      </c>
      <c r="AH3768">
        <v>21.687473874925601</v>
      </c>
      <c r="AI3768">
        <v>92.914206840668996</v>
      </c>
      <c r="AJ3768">
        <v>88.233725856967794</v>
      </c>
      <c r="AK3768">
        <v>21.725879308623899</v>
      </c>
      <c r="AL3768">
        <v>87.9998031255477</v>
      </c>
      <c r="AM3768">
        <v>89.165158471760904</v>
      </c>
      <c r="AN3768">
        <v>0.99999997947117003</v>
      </c>
    </row>
    <row r="3769" spans="1:40" x14ac:dyDescent="0.3">
      <c r="A3769" t="str">
        <f>"20200111160530578"</f>
        <v>20200111160530578</v>
      </c>
      <c r="B3769" t="str">
        <f>"1578729930574880"</f>
        <v>1578729930574880</v>
      </c>
      <c r="C3769" t="s">
        <v>40</v>
      </c>
      <c r="D3769">
        <v>5.3154879999999904</v>
      </c>
      <c r="E3769">
        <v>0.51437319999999997</v>
      </c>
      <c r="F3769" t="s">
        <v>41</v>
      </c>
      <c r="G3769">
        <v>-232.7731</v>
      </c>
      <c r="H3769" s="1">
        <v>-4.0190519999999997E-6</v>
      </c>
      <c r="I3769">
        <v>143.48769999999999</v>
      </c>
      <c r="J3769">
        <v>-210.4623</v>
      </c>
      <c r="K3769">
        <v>1.1047199999999999</v>
      </c>
      <c r="L3769">
        <v>140.49109999999999</v>
      </c>
      <c r="M3769">
        <v>-0.9950736</v>
      </c>
      <c r="N3769">
        <v>0</v>
      </c>
      <c r="O3769">
        <v>9.8028820000000003E-2</v>
      </c>
      <c r="P3769">
        <v>-0.99425640000000004</v>
      </c>
      <c r="Q3769">
        <v>2.310216E-2</v>
      </c>
      <c r="R3769">
        <v>0.1045022</v>
      </c>
      <c r="S3769">
        <v>-2.9783330000000001</v>
      </c>
      <c r="T3769">
        <v>-0.1462273</v>
      </c>
      <c r="U3769">
        <v>0.40057369999999998</v>
      </c>
      <c r="V3769">
        <v>7.0773819999999897E-3</v>
      </c>
      <c r="W3769">
        <v>3.7789709999999997E-2</v>
      </c>
      <c r="X3769">
        <v>0.9992607</v>
      </c>
      <c r="Y3769">
        <v>3.5562360000000001E-2</v>
      </c>
      <c r="Z3769">
        <v>-3.9068449999999999E-3</v>
      </c>
      <c r="AA3769">
        <v>0.99935980000000002</v>
      </c>
      <c r="AB3769">
        <v>20</v>
      </c>
      <c r="AC3769">
        <v>-22.3108</v>
      </c>
      <c r="AD3769">
        <v>-1.104724019052</v>
      </c>
      <c r="AE3769">
        <v>2.9965999999999999</v>
      </c>
      <c r="AF3769">
        <v>0.79291356040761896</v>
      </c>
      <c r="AG3769">
        <v>-1.104724019052</v>
      </c>
      <c r="AH3769">
        <v>22.443053605952901</v>
      </c>
      <c r="AI3769">
        <v>92.816265873290405</v>
      </c>
      <c r="AJ3769">
        <v>87.976580497681894</v>
      </c>
      <c r="AK3769">
        <v>22.484211843696599</v>
      </c>
      <c r="AL3769">
        <v>87.8342935449121</v>
      </c>
      <c r="AM3769">
        <v>89.5942026557167</v>
      </c>
      <c r="AN3769">
        <v>1.00000004904117</v>
      </c>
    </row>
    <row r="3770" spans="1:40" x14ac:dyDescent="0.3">
      <c r="A3770" t="str">
        <f>"20200111160530600"</f>
        <v>20200111160530600</v>
      </c>
      <c r="B3770" t="str">
        <f>"1578729930595377"</f>
        <v>1578729930595377</v>
      </c>
      <c r="C3770" t="s">
        <v>40</v>
      </c>
      <c r="D3770">
        <v>5.3491770000000001</v>
      </c>
      <c r="E3770">
        <v>0.51333339999999905</v>
      </c>
      <c r="F3770" t="s">
        <v>41</v>
      </c>
      <c r="G3770">
        <v>-259.85309999999998</v>
      </c>
      <c r="H3770" s="1">
        <v>-2.123427E-6</v>
      </c>
      <c r="I3770">
        <v>147.4264</v>
      </c>
      <c r="J3770">
        <v>-210.6575</v>
      </c>
      <c r="K3770">
        <v>1.1049169999999999</v>
      </c>
      <c r="L3770">
        <v>140.52350000000001</v>
      </c>
      <c r="M3770">
        <v>-0.99393869999999895</v>
      </c>
      <c r="N3770">
        <v>0</v>
      </c>
      <c r="O3770">
        <v>0.108943</v>
      </c>
      <c r="P3770">
        <v>-0.99390469999999997</v>
      </c>
      <c r="Q3770">
        <v>2.649251E-2</v>
      </c>
      <c r="R3770">
        <v>0.1070132</v>
      </c>
      <c r="S3770">
        <v>-2.9749599999999998</v>
      </c>
      <c r="T3770">
        <v>-6.6540840000000004E-2</v>
      </c>
      <c r="U3770">
        <v>0.4177399</v>
      </c>
      <c r="V3770">
        <v>-1.329544E-3</v>
      </c>
      <c r="W3770">
        <v>4.1251219999999998E-2</v>
      </c>
      <c r="X3770">
        <v>0.99914789999999998</v>
      </c>
      <c r="Y3770">
        <v>3.0349439999999998E-2</v>
      </c>
      <c r="Z3770">
        <v>-2.0788640000000001E-3</v>
      </c>
      <c r="AA3770">
        <v>0.99953720000000001</v>
      </c>
      <c r="AB3770">
        <v>20</v>
      </c>
      <c r="AC3770">
        <v>-49.195599999999899</v>
      </c>
      <c r="AD3770">
        <v>-1.1049191234269999</v>
      </c>
      <c r="AE3770">
        <v>6.9028999999999803</v>
      </c>
      <c r="AF3770">
        <v>1.5009638330125199</v>
      </c>
      <c r="AG3770">
        <v>-1.1049191234269999</v>
      </c>
      <c r="AH3770">
        <v>49.630276177581699</v>
      </c>
      <c r="AI3770">
        <v>91.274782934182497</v>
      </c>
      <c r="AJ3770">
        <v>88.267737061329498</v>
      </c>
      <c r="AK3770">
        <v>49.665260013014802</v>
      </c>
      <c r="AL3770">
        <v>87.6358083100789</v>
      </c>
      <c r="AM3770">
        <v>90.076242180876804</v>
      </c>
      <c r="AN3770">
        <v>0.99999997845657296</v>
      </c>
    </row>
    <row r="3771" spans="1:40" x14ac:dyDescent="0.3">
      <c r="A3771" t="str">
        <f>"20200111160530623"</f>
        <v>20200111160530623</v>
      </c>
      <c r="B3771" t="str">
        <f>"1578729930615873"</f>
        <v>1578729930615873</v>
      </c>
      <c r="C3771" t="s">
        <v>40</v>
      </c>
      <c r="D3771">
        <v>5.3189679999999999</v>
      </c>
      <c r="E3771">
        <v>0.51250180000000001</v>
      </c>
      <c r="F3771" t="s">
        <v>75</v>
      </c>
      <c r="G3771">
        <v>-310.67239999999998</v>
      </c>
      <c r="H3771">
        <v>7.9984840000000001E-2</v>
      </c>
      <c r="I3771">
        <v>154.6026</v>
      </c>
      <c r="J3771">
        <v>-210.86779999999999</v>
      </c>
      <c r="K3771">
        <v>1.1051580000000001</v>
      </c>
      <c r="L3771">
        <v>140.56039999999999</v>
      </c>
      <c r="M3771">
        <v>-0.99262019999999995</v>
      </c>
      <c r="N3771">
        <v>0</v>
      </c>
      <c r="O3771">
        <v>0.1203726</v>
      </c>
      <c r="P3771">
        <v>-0.99347229999999997</v>
      </c>
      <c r="Q3771">
        <v>2.9525909999999999E-2</v>
      </c>
      <c r="R3771">
        <v>0.1101854</v>
      </c>
      <c r="S3771">
        <v>-2.9741360000000001</v>
      </c>
      <c r="T3771">
        <v>-3.0478359999999999E-2</v>
      </c>
      <c r="U3771">
        <v>0.41867070000000001</v>
      </c>
      <c r="V3771">
        <v>-9.6137419999999998E-3</v>
      </c>
      <c r="W3771">
        <v>4.433496E-2</v>
      </c>
      <c r="X3771">
        <v>0.99897040000000004</v>
      </c>
      <c r="Y3771">
        <v>1.9177320000000001E-2</v>
      </c>
      <c r="Z3771">
        <v>-1.125008E-3</v>
      </c>
      <c r="AA3771">
        <v>0.99981549999999997</v>
      </c>
      <c r="AB3771">
        <v>20</v>
      </c>
      <c r="AC3771">
        <v>-99.804599999999994</v>
      </c>
      <c r="AD3771">
        <v>-1.02517316</v>
      </c>
      <c r="AE3771">
        <v>14.042199999999999</v>
      </c>
      <c r="AF3771">
        <v>1.9248405380311899</v>
      </c>
      <c r="AG3771">
        <v>-1.02517316</v>
      </c>
      <c r="AH3771">
        <v>100.758795730453</v>
      </c>
      <c r="AI3771">
        <v>90.582831049257905</v>
      </c>
      <c r="AJ3771">
        <v>88.9055861048612</v>
      </c>
      <c r="AK3771">
        <v>100.782393840174</v>
      </c>
      <c r="AL3771">
        <v>87.458960841740307</v>
      </c>
      <c r="AM3771">
        <v>90.551377536305694</v>
      </c>
      <c r="AN3771">
        <v>0.9999999363948</v>
      </c>
    </row>
    <row r="3772" spans="1:40" x14ac:dyDescent="0.3">
      <c r="A3772" t="str">
        <f>"20200111160530646"</f>
        <v>20200111160530646</v>
      </c>
      <c r="B3772" t="str">
        <f>"1578729930635392"</f>
        <v>1578729930635392</v>
      </c>
      <c r="C3772" t="s">
        <v>40</v>
      </c>
      <c r="D3772">
        <v>5.4827260000000004</v>
      </c>
      <c r="E3772">
        <v>0.51278100000000004</v>
      </c>
      <c r="F3772" t="s">
        <v>75</v>
      </c>
      <c r="G3772">
        <v>-312.34980000000002</v>
      </c>
      <c r="H3772">
        <v>7.9984529999999998E-2</v>
      </c>
      <c r="I3772">
        <v>154.92259999999999</v>
      </c>
      <c r="J3772">
        <v>-211.06319999999999</v>
      </c>
      <c r="K3772">
        <v>1.1054189999999999</v>
      </c>
      <c r="L3772">
        <v>140.5967</v>
      </c>
      <c r="M3772">
        <v>-0.99132900000000002</v>
      </c>
      <c r="N3772">
        <v>0</v>
      </c>
      <c r="O3772">
        <v>0.1305866</v>
      </c>
      <c r="P3772">
        <v>-0.99320759999999997</v>
      </c>
      <c r="Q3772">
        <v>3.265171E-2</v>
      </c>
      <c r="R3772">
        <v>0.1116813</v>
      </c>
      <c r="S3772">
        <v>-2.9739230000000001</v>
      </c>
      <c r="T3772">
        <v>-3.0042650000000001E-2</v>
      </c>
      <c r="U3772">
        <v>0.42088320000000001</v>
      </c>
      <c r="V3772">
        <v>-1.8372489999999998E-2</v>
      </c>
      <c r="W3772">
        <v>4.7504480000000002E-2</v>
      </c>
      <c r="X3772">
        <v>0.99870199999999998</v>
      </c>
      <c r="Y3772">
        <v>9.6220330000000003E-3</v>
      </c>
      <c r="Z3772">
        <v>-1.258571E-3</v>
      </c>
      <c r="AA3772">
        <v>0.99995290000000003</v>
      </c>
      <c r="AB3772">
        <v>20</v>
      </c>
      <c r="AC3772">
        <v>-101.28660000000001</v>
      </c>
      <c r="AD3772">
        <v>-1.02543447</v>
      </c>
      <c r="AE3772">
        <v>14.325899999999899</v>
      </c>
      <c r="AF3772">
        <v>0.97501374535761198</v>
      </c>
      <c r="AG3772">
        <v>-1.02543447</v>
      </c>
      <c r="AH3772">
        <v>102.27977993626099</v>
      </c>
      <c r="AI3772">
        <v>90.574389481291902</v>
      </c>
      <c r="AJ3772">
        <v>89.453826743719802</v>
      </c>
      <c r="AK3772">
        <v>102.28956716824</v>
      </c>
      <c r="AL3772">
        <v>87.277168917203298</v>
      </c>
      <c r="AM3772">
        <v>91.053915392438398</v>
      </c>
      <c r="AN3772">
        <v>0.99999995440643397</v>
      </c>
    </row>
    <row r="3773" spans="1:40" x14ac:dyDescent="0.3">
      <c r="A3773" t="str">
        <f>"20200111160530823"</f>
        <v>20200111160530823</v>
      </c>
      <c r="B3773" t="str">
        <f>"1578729930814977"</f>
        <v>1578729930814977</v>
      </c>
      <c r="C3773" t="s">
        <v>40</v>
      </c>
      <c r="D3773">
        <v>5.3053929999999996</v>
      </c>
      <c r="E3773">
        <v>0.51208339999999997</v>
      </c>
      <c r="F3773" t="s">
        <v>75</v>
      </c>
      <c r="G3773">
        <v>-298.6266</v>
      </c>
      <c r="H3773" s="1">
        <v>-1.219584E-5</v>
      </c>
      <c r="I3773">
        <v>153.1559</v>
      </c>
      <c r="J3773">
        <v>-212.60720000000001</v>
      </c>
      <c r="K3773">
        <v>1.1080559999999999</v>
      </c>
      <c r="L3773">
        <v>140.93129999999999</v>
      </c>
      <c r="M3773">
        <v>-0.98064470000000004</v>
      </c>
      <c r="N3773">
        <v>0</v>
      </c>
      <c r="O3773">
        <v>0.19529060000000001</v>
      </c>
      <c r="P3773">
        <v>-0.99253429999999998</v>
      </c>
      <c r="Q3773">
        <v>3.391943E-2</v>
      </c>
      <c r="R3773">
        <v>0.1171541</v>
      </c>
      <c r="S3773">
        <v>-2.9737849999999999</v>
      </c>
      <c r="T3773">
        <v>-3.7542100000000002E-2</v>
      </c>
      <c r="U3773">
        <v>0.42652889999999999</v>
      </c>
      <c r="V3773">
        <v>-7.8632729999999998E-2</v>
      </c>
      <c r="W3773">
        <v>4.8445630000000003E-2</v>
      </c>
      <c r="X3773">
        <v>0.99572579999999999</v>
      </c>
      <c r="Y3773">
        <v>-5.4069810000000003E-2</v>
      </c>
      <c r="Z3773">
        <v>-2.7721489999999998E-3</v>
      </c>
      <c r="AA3773">
        <v>0.99853329999999996</v>
      </c>
      <c r="AB3773">
        <v>19</v>
      </c>
      <c r="AC3773">
        <v>-86.019399999999905</v>
      </c>
      <c r="AD3773">
        <v>-1.1080681958399901</v>
      </c>
      <c r="AE3773">
        <v>12.224600000000001</v>
      </c>
      <c r="AF3773">
        <v>-4.8104838744687397</v>
      </c>
      <c r="AG3773">
        <v>-1.1080681958399901</v>
      </c>
      <c r="AH3773">
        <v>86.736279809234404</v>
      </c>
      <c r="AI3773">
        <v>90.730798883742807</v>
      </c>
      <c r="AJ3773">
        <v>93.174431142115793</v>
      </c>
      <c r="AK3773">
        <v>86.876641310417597</v>
      </c>
      <c r="AL3773">
        <v>87.223182889597197</v>
      </c>
      <c r="AM3773">
        <v>94.515292190348603</v>
      </c>
      <c r="AN3773">
        <v>0.99999997703949395</v>
      </c>
    </row>
    <row r="3774" spans="1:40" x14ac:dyDescent="0.3">
      <c r="A3774" t="str">
        <f>"20200111160530848"</f>
        <v>20200111160530848</v>
      </c>
      <c r="B3774" t="str">
        <f>"1578729930845233"</f>
        <v>1578729930845233</v>
      </c>
      <c r="C3774" t="s">
        <v>40</v>
      </c>
      <c r="D3774">
        <v>5.4522449999999996</v>
      </c>
      <c r="E3774">
        <v>0.51198390000000005</v>
      </c>
      <c r="F3774" t="s">
        <v>75</v>
      </c>
      <c r="G3774">
        <v>-281.38150000000002</v>
      </c>
      <c r="H3774">
        <v>7.9984120000000006E-2</v>
      </c>
      <c r="I3774">
        <v>150.99709999999999</v>
      </c>
      <c r="J3774">
        <v>-212.81</v>
      </c>
      <c r="K3774">
        <v>1.1085670000000001</v>
      </c>
      <c r="L3774">
        <v>140.97899999999899</v>
      </c>
      <c r="M3774">
        <v>-0.97954669999999999</v>
      </c>
      <c r="N3774">
        <v>0</v>
      </c>
      <c r="O3774">
        <v>0.20073150000000001</v>
      </c>
      <c r="P3774">
        <v>-0.99244560000000004</v>
      </c>
      <c r="Q3774">
        <v>3.3355330000000002E-2</v>
      </c>
      <c r="R3774">
        <v>0.11806560000000001</v>
      </c>
      <c r="S3774">
        <v>-2.9727329999999998</v>
      </c>
      <c r="T3774">
        <v>-4.4437890000000001E-2</v>
      </c>
      <c r="U3774">
        <v>0.43508910000000001</v>
      </c>
      <c r="V3774">
        <v>-8.331674E-2</v>
      </c>
      <c r="W3774">
        <v>4.7722630000000002E-2</v>
      </c>
      <c r="X3774">
        <v>0.99537969999999998</v>
      </c>
      <c r="Y3774">
        <v>-5.6738129999999998E-2</v>
      </c>
      <c r="Z3774">
        <v>-3.3804960000000002E-3</v>
      </c>
      <c r="AA3774">
        <v>0.99838329999999997</v>
      </c>
      <c r="AB3774">
        <v>19</v>
      </c>
      <c r="AC3774">
        <v>-68.5715</v>
      </c>
      <c r="AD3774">
        <v>-1.0285828800000001</v>
      </c>
      <c r="AE3774">
        <v>10.0181</v>
      </c>
      <c r="AF3774">
        <v>-3.9507784476399701</v>
      </c>
      <c r="AG3774">
        <v>-1.0285828800000001</v>
      </c>
      <c r="AH3774">
        <v>69.171446587869198</v>
      </c>
      <c r="AI3774">
        <v>90.850542337107001</v>
      </c>
      <c r="AJ3774">
        <v>93.268939353141505</v>
      </c>
      <c r="AK3774">
        <v>69.291815217540801</v>
      </c>
      <c r="AL3774">
        <v>87.264655604900298</v>
      </c>
      <c r="AM3774">
        <v>94.784702350421398</v>
      </c>
      <c r="AN3774">
        <v>0.99999993787521502</v>
      </c>
    </row>
    <row r="3775" spans="1:40" x14ac:dyDescent="0.3">
      <c r="A3775" t="str">
        <f>"20200111160530868"</f>
        <v>20200111160530868</v>
      </c>
      <c r="B3775" t="str">
        <f>"1578729930865729"</f>
        <v>1578729930865729</v>
      </c>
      <c r="C3775" t="s">
        <v>40</v>
      </c>
      <c r="D3775">
        <v>5.7299059999999997</v>
      </c>
      <c r="E3775">
        <v>0.50791350000000002</v>
      </c>
      <c r="F3775" t="s">
        <v>41</v>
      </c>
      <c r="G3775">
        <v>-266.37029999999999</v>
      </c>
      <c r="H3775" s="1">
        <v>-3.7384539999999999E-6</v>
      </c>
      <c r="I3775">
        <v>148.80680000000001</v>
      </c>
      <c r="J3775">
        <v>-212.98759999999999</v>
      </c>
      <c r="K3775">
        <v>1.1089610000000001</v>
      </c>
      <c r="L3775">
        <v>141.02090000000001</v>
      </c>
      <c r="M3775">
        <v>-0.9786861</v>
      </c>
      <c r="N3775">
        <v>0</v>
      </c>
      <c r="O3775">
        <v>0.20489019999999999</v>
      </c>
      <c r="P3775">
        <v>-0.99266520000000003</v>
      </c>
      <c r="Q3775">
        <v>3.0900799999999999E-2</v>
      </c>
      <c r="R3775">
        <v>0.1168811</v>
      </c>
      <c r="S3775">
        <v>-2.9732210000000001</v>
      </c>
      <c r="T3775">
        <v>-6.1538700000000002E-2</v>
      </c>
      <c r="U3775">
        <v>0.43453979999999998</v>
      </c>
      <c r="V3775">
        <v>-8.8808129999999999E-2</v>
      </c>
      <c r="W3775">
        <v>4.5141439999999998E-2</v>
      </c>
      <c r="X3775">
        <v>0.9950253</v>
      </c>
      <c r="Y3775">
        <v>-6.1154859999999998E-2</v>
      </c>
      <c r="Z3775">
        <v>-4.8095680000000002E-3</v>
      </c>
      <c r="AA3775">
        <v>0.99811669999999997</v>
      </c>
      <c r="AB3775">
        <v>19</v>
      </c>
      <c r="AC3775">
        <v>-53.3827</v>
      </c>
      <c r="AD3775">
        <v>-1.108964738454</v>
      </c>
      <c r="AE3775">
        <v>7.7858999999999901</v>
      </c>
      <c r="AF3775">
        <v>-3.31655958129859</v>
      </c>
      <c r="AG3775">
        <v>-1.108964738454</v>
      </c>
      <c r="AH3775">
        <v>53.822627984852097</v>
      </c>
      <c r="AI3775">
        <v>91.178124807602302</v>
      </c>
      <c r="AJ3775">
        <v>93.526117342259894</v>
      </c>
      <c r="AK3775">
        <v>53.936116410464898</v>
      </c>
      <c r="AL3775">
        <v>87.412706765367005</v>
      </c>
      <c r="AM3775">
        <v>95.100256374315194</v>
      </c>
      <c r="AN3775">
        <v>0.99999999059972999</v>
      </c>
    </row>
    <row r="3776" spans="1:40" x14ac:dyDescent="0.3">
      <c r="A3776" t="str">
        <f>"20200111160530913"</f>
        <v>20200111160530913</v>
      </c>
      <c r="B3776" t="str">
        <f>"1578729930905745"</f>
        <v>1578729930905745</v>
      </c>
      <c r="C3776" t="s">
        <v>40</v>
      </c>
      <c r="D3776">
        <v>9.0849139999999995</v>
      </c>
      <c r="E3776">
        <v>0.50675300000000001</v>
      </c>
      <c r="F3776" t="s">
        <v>41</v>
      </c>
      <c r="G3776">
        <v>-273.30169999999998</v>
      </c>
      <c r="H3776" s="1">
        <v>-4.8369360000000004E-6</v>
      </c>
      <c r="I3776">
        <v>149.11240000000001</v>
      </c>
      <c r="J3776">
        <v>-213.37379999999999</v>
      </c>
      <c r="K3776">
        <v>1.1096459999999999</v>
      </c>
      <c r="L3776">
        <v>141.1122</v>
      </c>
      <c r="M3776">
        <v>-0.97719880000000003</v>
      </c>
      <c r="N3776">
        <v>0</v>
      </c>
      <c r="O3776">
        <v>0.2118786</v>
      </c>
      <c r="P3776">
        <v>-0.9929019</v>
      </c>
      <c r="Q3776">
        <v>2.4945740000000001E-2</v>
      </c>
      <c r="R3776">
        <v>0.11629200000000001</v>
      </c>
      <c r="S3776">
        <v>-2.9768520000000001</v>
      </c>
      <c r="T3776">
        <v>-5.4733990000000003E-2</v>
      </c>
      <c r="U3776">
        <v>0.39936830000000001</v>
      </c>
      <c r="V3776">
        <v>-9.6639840000000005E-2</v>
      </c>
      <c r="W3776">
        <v>3.8920410000000003E-2</v>
      </c>
      <c r="X3776">
        <v>0.99455819999999995</v>
      </c>
      <c r="Y3776">
        <v>-8.0022259999999998E-2</v>
      </c>
      <c r="Z3776">
        <v>-4.5748159999999998E-3</v>
      </c>
      <c r="AA3776">
        <v>0.99678259999999996</v>
      </c>
      <c r="AB3776">
        <v>19</v>
      </c>
      <c r="AC3776">
        <v>-59.927900000000001</v>
      </c>
      <c r="AD3776">
        <v>-1.1096508369360001</v>
      </c>
      <c r="AE3776">
        <v>8.0001999999999995</v>
      </c>
      <c r="AF3776">
        <v>-4.8784739206363499</v>
      </c>
      <c r="AG3776">
        <v>-1.1096508369360001</v>
      </c>
      <c r="AH3776">
        <v>60.241974440343697</v>
      </c>
      <c r="AI3776">
        <v>91.051820408024</v>
      </c>
      <c r="AJ3776">
        <v>94.629784173036995</v>
      </c>
      <c r="AK3776">
        <v>60.4493698664036</v>
      </c>
      <c r="AL3776">
        <v>87.769461470484103</v>
      </c>
      <c r="AM3776">
        <v>95.549928148343895</v>
      </c>
      <c r="AN3776">
        <v>1.0000000350885101</v>
      </c>
    </row>
    <row r="3777" spans="1:40" x14ac:dyDescent="0.3">
      <c r="A3777" t="str">
        <f>"20200111160530937"</f>
        <v>20200111160530937</v>
      </c>
      <c r="B3777" t="str">
        <f>"1578729930935025"</f>
        <v>1578729930935025</v>
      </c>
      <c r="C3777" t="s">
        <v>40</v>
      </c>
      <c r="D3777">
        <v>5.5521000000000003</v>
      </c>
      <c r="E3777">
        <v>0.50620509999999996</v>
      </c>
      <c r="F3777" t="s">
        <v>41</v>
      </c>
      <c r="G3777">
        <v>-258.4083</v>
      </c>
      <c r="H3777" s="1">
        <v>-2.62246E-6</v>
      </c>
      <c r="I3777">
        <v>146.97239999999999</v>
      </c>
      <c r="J3777">
        <v>-213.57320000000001</v>
      </c>
      <c r="K3777">
        <v>1.1099939999999999</v>
      </c>
      <c r="L3777">
        <v>141.1592</v>
      </c>
      <c r="M3777">
        <v>-0.97665100000000005</v>
      </c>
      <c r="N3777">
        <v>0</v>
      </c>
      <c r="O3777">
        <v>0.21439320000000001</v>
      </c>
      <c r="P3777">
        <v>-0.99279989999999996</v>
      </c>
      <c r="Q3777">
        <v>2.3598149999999998E-2</v>
      </c>
      <c r="R3777">
        <v>0.117438899999999</v>
      </c>
      <c r="S3777">
        <v>-2.9779049999999998</v>
      </c>
      <c r="T3777">
        <v>-7.3375579999999996E-2</v>
      </c>
      <c r="U3777">
        <v>0.38751219999999997</v>
      </c>
      <c r="V3777">
        <v>-9.8094130000000002E-2</v>
      </c>
      <c r="W3777">
        <v>3.7434240000000001E-2</v>
      </c>
      <c r="X3777">
        <v>0.99447289999999999</v>
      </c>
      <c r="Y3777">
        <v>-8.6492310000000003E-2</v>
      </c>
      <c r="Z3777">
        <v>-6.2720500000000004E-3</v>
      </c>
      <c r="AA3777">
        <v>0.99623269999999997</v>
      </c>
      <c r="AB3777">
        <v>19</v>
      </c>
      <c r="AC3777">
        <v>-44.835099999999898</v>
      </c>
      <c r="AD3777">
        <v>-1.10999662246</v>
      </c>
      <c r="AE3777">
        <v>5.8131999999999904</v>
      </c>
      <c r="AF3777">
        <v>-3.9328729456249798</v>
      </c>
      <c r="AG3777">
        <v>-1.10999662246</v>
      </c>
      <c r="AH3777">
        <v>45.011665576085299</v>
      </c>
      <c r="AI3777">
        <v>91.407279586245593</v>
      </c>
      <c r="AJ3777">
        <v>94.993510014615296</v>
      </c>
      <c r="AK3777">
        <v>45.196787718173503</v>
      </c>
      <c r="AL3777">
        <v>87.854674929928905</v>
      </c>
      <c r="AM3777">
        <v>95.633393420762005</v>
      </c>
      <c r="AN3777">
        <v>1.0000000647496201</v>
      </c>
    </row>
    <row r="3778" spans="1:40" x14ac:dyDescent="0.3">
      <c r="A3778" t="str">
        <f>"20200111160530959"</f>
        <v>20200111160530959</v>
      </c>
      <c r="B3778" t="str">
        <f>"1578729930955521"</f>
        <v>1578729930955521</v>
      </c>
      <c r="C3778" t="s">
        <v>40</v>
      </c>
      <c r="D3778">
        <v>5.4569720000000004</v>
      </c>
      <c r="E3778">
        <v>0.50574730000000001</v>
      </c>
      <c r="F3778" t="s">
        <v>41</v>
      </c>
      <c r="G3778">
        <v>-248.30189999999999</v>
      </c>
      <c r="H3778" s="1">
        <v>-2.3130239999999999E-6</v>
      </c>
      <c r="I3778">
        <v>145.63800000000001</v>
      </c>
      <c r="J3778">
        <v>-213.75399999999999</v>
      </c>
      <c r="K3778">
        <v>1.1103449999999999</v>
      </c>
      <c r="L3778">
        <v>141.20150000000001</v>
      </c>
      <c r="M3778">
        <v>-0.97628530000000002</v>
      </c>
      <c r="N3778">
        <v>0</v>
      </c>
      <c r="O3778">
        <v>0.2160552</v>
      </c>
      <c r="P3778">
        <v>-0.99268230000000002</v>
      </c>
      <c r="Q3778">
        <v>2.3844170000000001E-2</v>
      </c>
      <c r="R3778">
        <v>0.1183776</v>
      </c>
      <c r="S3778">
        <v>-2.978577</v>
      </c>
      <c r="T3778">
        <v>-9.5201129999999995E-2</v>
      </c>
      <c r="U3778">
        <v>0.38413999999999998</v>
      </c>
      <c r="V3778">
        <v>-9.8876569999999997E-2</v>
      </c>
      <c r="W3778">
        <v>3.7553360000000001E-2</v>
      </c>
      <c r="X3778">
        <v>0.99439080000000002</v>
      </c>
      <c r="Y3778">
        <v>-8.9262869999999994E-2</v>
      </c>
      <c r="Z3778">
        <v>-8.2314650000000003E-3</v>
      </c>
      <c r="AA3778">
        <v>0.99597409999999997</v>
      </c>
      <c r="AB3778">
        <v>19</v>
      </c>
      <c r="AC3778">
        <v>-34.547899999999899</v>
      </c>
      <c r="AD3778">
        <v>-1.110347313024</v>
      </c>
      <c r="AE3778">
        <v>4.4364999999999899</v>
      </c>
      <c r="AF3778">
        <v>-3.1300762166603602</v>
      </c>
      <c r="AG3778">
        <v>-1.110347313024</v>
      </c>
      <c r="AH3778">
        <v>34.655166434472797</v>
      </c>
      <c r="AI3778">
        <v>91.827687272585706</v>
      </c>
      <c r="AJ3778">
        <v>95.160986766563497</v>
      </c>
      <c r="AK3778">
        <v>34.813945609175803</v>
      </c>
      <c r="AL3778">
        <v>87.847844801292595</v>
      </c>
      <c r="AM3778">
        <v>95.678500996780201</v>
      </c>
      <c r="AN3778">
        <v>0.99999994703344497</v>
      </c>
    </row>
    <row r="3779" spans="1:40" x14ac:dyDescent="0.3">
      <c r="A3779" t="str">
        <f>"20200111160530981"</f>
        <v>20200111160530981</v>
      </c>
      <c r="B3779" t="str">
        <f>"1578729930975041"</f>
        <v>1578729930975041</v>
      </c>
      <c r="C3779" t="s">
        <v>40</v>
      </c>
      <c r="D3779">
        <v>5.3931490000000002</v>
      </c>
      <c r="E3779">
        <v>0.50549049999999995</v>
      </c>
      <c r="F3779" t="s">
        <v>41</v>
      </c>
      <c r="G3779">
        <v>-246.53819999999999</v>
      </c>
      <c r="H3779" s="1">
        <v>-3.008705E-6</v>
      </c>
      <c r="I3779">
        <v>145.40889999999999</v>
      </c>
      <c r="J3779">
        <v>-213.9452</v>
      </c>
      <c r="K3779">
        <v>1.110746</v>
      </c>
      <c r="L3779">
        <v>141.24590000000001</v>
      </c>
      <c r="M3779">
        <v>-0.97602900000000004</v>
      </c>
      <c r="N3779">
        <v>0</v>
      </c>
      <c r="O3779">
        <v>0.21721219999999999</v>
      </c>
      <c r="P3779">
        <v>-0.99259310000000001</v>
      </c>
      <c r="Q3779">
        <v>2.591537E-2</v>
      </c>
      <c r="R3779">
        <v>0.1186897</v>
      </c>
      <c r="S3779">
        <v>-2.9789729999999999</v>
      </c>
      <c r="T3779">
        <v>-0.1008931</v>
      </c>
      <c r="U3779">
        <v>0.38230900000000001</v>
      </c>
      <c r="V3779">
        <v>-9.9767120000000001E-2</v>
      </c>
      <c r="W3779">
        <v>3.9490270000000001E-2</v>
      </c>
      <c r="X3779">
        <v>0.99422690000000002</v>
      </c>
      <c r="Y3779">
        <v>-9.1042010000000007E-2</v>
      </c>
      <c r="Z3779">
        <v>-8.7906859999999903E-3</v>
      </c>
      <c r="AA3779">
        <v>0.99580820000000003</v>
      </c>
      <c r="AB3779">
        <v>19</v>
      </c>
      <c r="AC3779">
        <v>-32.592999999999897</v>
      </c>
      <c r="AD3779">
        <v>-1.110749008705</v>
      </c>
      <c r="AE3779">
        <v>4.1629999999999798</v>
      </c>
      <c r="AF3779">
        <v>-3.0132260542584</v>
      </c>
      <c r="AG3779">
        <v>-1.110749008705</v>
      </c>
      <c r="AH3779">
        <v>32.681667388276502</v>
      </c>
      <c r="AI3779">
        <v>91.938342552872399</v>
      </c>
      <c r="AJ3779">
        <v>95.2677365508614</v>
      </c>
      <c r="AK3779">
        <v>32.839072427404702</v>
      </c>
      <c r="AL3779">
        <v>87.736785796952404</v>
      </c>
      <c r="AM3779">
        <v>95.730244913621505</v>
      </c>
      <c r="AN3779">
        <v>1.00000004417068</v>
      </c>
    </row>
    <row r="3780" spans="1:40" x14ac:dyDescent="0.3">
      <c r="A3780" t="str">
        <f>"20200111160531005"</f>
        <v>20200111160531005</v>
      </c>
      <c r="B3780" t="str">
        <f>"1578729930995537"</f>
        <v>1578729930995537</v>
      </c>
      <c r="C3780" t="s">
        <v>40</v>
      </c>
      <c r="D3780">
        <v>5.484826</v>
      </c>
      <c r="E3780">
        <v>0.5052565</v>
      </c>
      <c r="F3780" t="s">
        <v>41</v>
      </c>
      <c r="G3780">
        <v>-246.3158</v>
      </c>
      <c r="H3780" s="1">
        <v>-3.096366E-6</v>
      </c>
      <c r="I3780">
        <v>145.37970000000001</v>
      </c>
      <c r="J3780">
        <v>-214.13409999999999</v>
      </c>
      <c r="K3780">
        <v>1.111154</v>
      </c>
      <c r="L3780">
        <v>141.28909999999999</v>
      </c>
      <c r="M3780">
        <v>-0.97591099999999997</v>
      </c>
      <c r="N3780">
        <v>0</v>
      </c>
      <c r="O3780">
        <v>0.2177441</v>
      </c>
      <c r="P3780">
        <v>-0.99247560000000001</v>
      </c>
      <c r="Q3780">
        <v>2.881508E-2</v>
      </c>
      <c r="R3780">
        <v>0.11900570000000001</v>
      </c>
      <c r="S3780">
        <v>-2.979568</v>
      </c>
      <c r="T3780">
        <v>-0.1022397</v>
      </c>
      <c r="U3780">
        <v>0.38050840000000002</v>
      </c>
      <c r="V3780">
        <v>-0.1000137</v>
      </c>
      <c r="W3780">
        <v>4.2264570000000001E-2</v>
      </c>
      <c r="X3780">
        <v>0.99408799999999997</v>
      </c>
      <c r="Y3780">
        <v>-9.2196249999999993E-2</v>
      </c>
      <c r="Z3780">
        <v>-8.9440730000000003E-3</v>
      </c>
      <c r="AA3780">
        <v>0.99570069999999999</v>
      </c>
      <c r="AB3780">
        <v>19</v>
      </c>
      <c r="AC3780">
        <v>-32.181699999999999</v>
      </c>
      <c r="AD3780">
        <v>-1.111157096366</v>
      </c>
      <c r="AE3780">
        <v>4.0906000000000198</v>
      </c>
      <c r="AF3780">
        <v>-3.0120593145441199</v>
      </c>
      <c r="AG3780">
        <v>-1.111157096366</v>
      </c>
      <c r="AH3780">
        <v>32.262320445203301</v>
      </c>
      <c r="AI3780">
        <v>91.964028613734797</v>
      </c>
      <c r="AJ3780">
        <v>95.3337599765254</v>
      </c>
      <c r="AK3780">
        <v>32.421667013220102</v>
      </c>
      <c r="AL3780">
        <v>87.577696976036705</v>
      </c>
      <c r="AM3780">
        <v>95.745110197305394</v>
      </c>
      <c r="AN3780">
        <v>0.99999999290448705</v>
      </c>
    </row>
    <row r="3781" spans="1:40" x14ac:dyDescent="0.3">
      <c r="A3781" t="str">
        <f>"20200111160531025"</f>
        <v>20200111160531025</v>
      </c>
      <c r="B3781" t="str">
        <f>"1578729931015059"</f>
        <v>1578729931015059</v>
      </c>
      <c r="C3781" t="s">
        <v>40</v>
      </c>
      <c r="D3781">
        <v>5.514945</v>
      </c>
      <c r="E3781">
        <v>0.5048395</v>
      </c>
      <c r="F3781" t="s">
        <v>41</v>
      </c>
      <c r="G3781">
        <v>-247.10759999999999</v>
      </c>
      <c r="H3781" s="1">
        <v>-2.7852259999999999E-6</v>
      </c>
      <c r="I3781">
        <v>145.48699999999999</v>
      </c>
      <c r="J3781">
        <v>-214.31190000000001</v>
      </c>
      <c r="K3781">
        <v>1.1115120000000001</v>
      </c>
      <c r="L3781">
        <v>141.32900000000001</v>
      </c>
      <c r="M3781">
        <v>-0.97592990000000002</v>
      </c>
      <c r="N3781">
        <v>0</v>
      </c>
      <c r="O3781">
        <v>0.2176604</v>
      </c>
      <c r="P3781">
        <v>-0.99254679999999995</v>
      </c>
      <c r="Q3781">
        <v>3.0273129999999999E-2</v>
      </c>
      <c r="R3781">
        <v>0.118044</v>
      </c>
      <c r="S3781">
        <v>-2.980194</v>
      </c>
      <c r="T3781">
        <v>-0.1004282</v>
      </c>
      <c r="U3781">
        <v>0.37942500000000001</v>
      </c>
      <c r="V3781">
        <v>-0.1009198</v>
      </c>
      <c r="W3781">
        <v>4.3615630000000002E-2</v>
      </c>
      <c r="X3781">
        <v>0.99393810000000005</v>
      </c>
      <c r="Y3781">
        <v>-9.2499380000000006E-2</v>
      </c>
      <c r="Z3781">
        <v>-8.7864840000000007E-3</v>
      </c>
      <c r="AA3781">
        <v>0.99567399999999995</v>
      </c>
      <c r="AB3781">
        <v>19</v>
      </c>
      <c r="AC3781">
        <v>-32.795699999999897</v>
      </c>
      <c r="AD3781">
        <v>-1.1115147852259999</v>
      </c>
      <c r="AE3781">
        <v>4.1579999999999799</v>
      </c>
      <c r="AF3781">
        <v>-3.0772144995792301</v>
      </c>
      <c r="AG3781">
        <v>-1.1115147852259999</v>
      </c>
      <c r="AH3781">
        <v>32.877209537257997</v>
      </c>
      <c r="AI3781">
        <v>91.927902028241306</v>
      </c>
      <c r="AJ3781">
        <v>95.347145956766198</v>
      </c>
      <c r="AK3781">
        <v>33.039606855272403</v>
      </c>
      <c r="AL3781">
        <v>87.500215581110197</v>
      </c>
      <c r="AM3781">
        <v>95.797674910245206</v>
      </c>
      <c r="AN3781">
        <v>1.00000003792197</v>
      </c>
    </row>
    <row r="3782" spans="1:40" x14ac:dyDescent="0.3">
      <c r="A3782" t="str">
        <f>"20200111160531049"</f>
        <v>20200111160531049</v>
      </c>
      <c r="B3782" t="str">
        <f>"1578729931045313"</f>
        <v>1578729931045313</v>
      </c>
      <c r="C3782" t="s">
        <v>40</v>
      </c>
      <c r="D3782">
        <v>5.4748559999999999</v>
      </c>
      <c r="E3782">
        <v>0.50416309999999998</v>
      </c>
      <c r="F3782" t="s">
        <v>41</v>
      </c>
      <c r="G3782">
        <v>-246.33869999999999</v>
      </c>
      <c r="H3782" s="1">
        <v>-3.0754389999999998E-6</v>
      </c>
      <c r="I3782">
        <v>145.3381</v>
      </c>
      <c r="J3782">
        <v>-214.4984</v>
      </c>
      <c r="K3782">
        <v>1.1117870000000001</v>
      </c>
      <c r="L3782">
        <v>141.37020000000001</v>
      </c>
      <c r="M3782">
        <v>-0.97606020000000004</v>
      </c>
      <c r="N3782">
        <v>0</v>
      </c>
      <c r="O3782">
        <v>0.21707699999999999</v>
      </c>
      <c r="P3782">
        <v>-0.99284510000000004</v>
      </c>
      <c r="Q3782">
        <v>2.9607350000000001E-2</v>
      </c>
      <c r="R3782">
        <v>0.1156818</v>
      </c>
      <c r="S3782">
        <v>-2.981293</v>
      </c>
      <c r="T3782">
        <v>-0.10346809999999999</v>
      </c>
      <c r="U3782">
        <v>0.37319950000000002</v>
      </c>
      <c r="V3782">
        <v>-0.10272299999999999</v>
      </c>
      <c r="W3782">
        <v>4.2858170000000001E-2</v>
      </c>
      <c r="X3782">
        <v>0.99378630000000001</v>
      </c>
      <c r="Y3782">
        <v>-9.3985589999999994E-2</v>
      </c>
      <c r="Z3782">
        <v>-9.0566029999999999E-3</v>
      </c>
      <c r="AA3782">
        <v>0.99553239999999998</v>
      </c>
      <c r="AB3782">
        <v>19</v>
      </c>
      <c r="AC3782">
        <v>-31.8402999999999</v>
      </c>
      <c r="AD3782">
        <v>-1.111790075439</v>
      </c>
      <c r="AE3782">
        <v>3.9678999999999802</v>
      </c>
      <c r="AF3782">
        <v>-3.0355227952697601</v>
      </c>
      <c r="AG3782">
        <v>-1.111790075439</v>
      </c>
      <c r="AH3782">
        <v>31.904025239847201</v>
      </c>
      <c r="AI3782">
        <v>91.986867466394102</v>
      </c>
      <c r="AJ3782">
        <v>95.435071441368393</v>
      </c>
      <c r="AK3782">
        <v>32.0673868956804</v>
      </c>
      <c r="AL3782">
        <v>87.543655429758502</v>
      </c>
      <c r="AM3782">
        <v>95.901436159504499</v>
      </c>
      <c r="AN3782">
        <v>1.0000000237662099</v>
      </c>
    </row>
    <row r="3783" spans="1:40" x14ac:dyDescent="0.3">
      <c r="A3783" t="str">
        <f>"20200111160531069"</f>
        <v>20200111160531069</v>
      </c>
      <c r="B3783" t="str">
        <f>"1578729931064833"</f>
        <v>1578729931064833</v>
      </c>
      <c r="C3783" t="s">
        <v>40</v>
      </c>
      <c r="D3783">
        <v>5.4707439999999998</v>
      </c>
      <c r="E3783">
        <v>0.50383250000000002</v>
      </c>
      <c r="F3783" t="s">
        <v>41</v>
      </c>
      <c r="G3783">
        <v>-243.06100000000001</v>
      </c>
      <c r="H3783" s="1">
        <v>-4.1571929999999998E-6</v>
      </c>
      <c r="I3783">
        <v>144.81880000000001</v>
      </c>
      <c r="J3783">
        <v>-214.68209999999999</v>
      </c>
      <c r="K3783">
        <v>1.1119859999999999</v>
      </c>
      <c r="L3783">
        <v>141.4101</v>
      </c>
      <c r="M3783">
        <v>-0.97628709999999996</v>
      </c>
      <c r="N3783">
        <v>0</v>
      </c>
      <c r="O3783">
        <v>0.21605550000000001</v>
      </c>
      <c r="P3783">
        <v>-0.99329889999999998</v>
      </c>
      <c r="Q3783">
        <v>2.9054340000000001E-2</v>
      </c>
      <c r="R3783">
        <v>0.1118644</v>
      </c>
      <c r="S3783">
        <v>-2.9831240000000001</v>
      </c>
      <c r="T3783">
        <v>-0.1161174</v>
      </c>
      <c r="U3783">
        <v>0.3601837</v>
      </c>
      <c r="V3783">
        <v>-0.10552599999999999</v>
      </c>
      <c r="W3783">
        <v>4.222836E-2</v>
      </c>
      <c r="X3783">
        <v>0.9935195</v>
      </c>
      <c r="Y3783">
        <v>-9.7248719999999997E-2</v>
      </c>
      <c r="Z3783">
        <v>-1.0185130000000001E-2</v>
      </c>
      <c r="AA3783">
        <v>0.99520799999999998</v>
      </c>
      <c r="AB3783">
        <v>19</v>
      </c>
      <c r="AC3783">
        <v>-28.378899999999899</v>
      </c>
      <c r="AD3783">
        <v>-1.111990157193</v>
      </c>
      <c r="AE3783">
        <v>3.4087000000000098</v>
      </c>
      <c r="AF3783">
        <v>-2.7995676613004399</v>
      </c>
      <c r="AG3783">
        <v>-1.111990157193</v>
      </c>
      <c r="AH3783">
        <v>28.402045363068101</v>
      </c>
      <c r="AI3783">
        <v>92.231283419280203</v>
      </c>
      <c r="AJ3783">
        <v>95.629416103132698</v>
      </c>
      <c r="AK3783">
        <v>28.561342440537899</v>
      </c>
      <c r="AL3783">
        <v>87.579773488485898</v>
      </c>
      <c r="AM3783">
        <v>96.062901053607803</v>
      </c>
      <c r="AN3783">
        <v>0.99999998397226897</v>
      </c>
    </row>
    <row r="3784" spans="1:40" x14ac:dyDescent="0.3">
      <c r="A3784" t="str">
        <f>"20200111160531093"</f>
        <v>20200111160531093</v>
      </c>
      <c r="B3784" t="str">
        <f>"1578729931085329"</f>
        <v>1578729931085329</v>
      </c>
      <c r="C3784" t="s">
        <v>40</v>
      </c>
      <c r="D3784">
        <v>5.4573660000000004</v>
      </c>
      <c r="E3784">
        <v>0.50350419999999996</v>
      </c>
      <c r="F3784" t="s">
        <v>41</v>
      </c>
      <c r="G3784">
        <v>-241.346</v>
      </c>
      <c r="H3784" s="1">
        <v>-4.6831689999999997E-6</v>
      </c>
      <c r="I3784">
        <v>144.49379999999999</v>
      </c>
      <c r="J3784">
        <v>-214.87100000000001</v>
      </c>
      <c r="K3784">
        <v>1.1121460000000001</v>
      </c>
      <c r="L3784">
        <v>141.45050000000001</v>
      </c>
      <c r="M3784">
        <v>-0.97661500000000001</v>
      </c>
      <c r="N3784">
        <v>0</v>
      </c>
      <c r="O3784">
        <v>0.2145688</v>
      </c>
      <c r="P3784">
        <v>-0.99370069999999999</v>
      </c>
      <c r="Q3784">
        <v>2.8466490000000001E-2</v>
      </c>
      <c r="R3784">
        <v>0.10839169999999999</v>
      </c>
      <c r="S3784">
        <v>-2.984985</v>
      </c>
      <c r="T3784">
        <v>-0.1244861</v>
      </c>
      <c r="U3784">
        <v>0.34521479999999999</v>
      </c>
      <c r="V3784">
        <v>-0.1075052</v>
      </c>
      <c r="W3784">
        <v>4.1577580000000003E-2</v>
      </c>
      <c r="X3784">
        <v>0.99333479999999996</v>
      </c>
      <c r="Y3784">
        <v>-0.1006927</v>
      </c>
      <c r="Z3784">
        <v>-1.092749E-2</v>
      </c>
      <c r="AA3784">
        <v>0.99485749999999995</v>
      </c>
      <c r="AB3784">
        <v>19</v>
      </c>
      <c r="AC3784">
        <v>-26.474999999999898</v>
      </c>
      <c r="AD3784">
        <v>-1.11215068316899</v>
      </c>
      <c r="AE3784">
        <v>3.0432999999999799</v>
      </c>
      <c r="AF3784">
        <v>-2.70411537116042</v>
      </c>
      <c r="AG3784">
        <v>-1.11215068316899</v>
      </c>
      <c r="AH3784">
        <v>26.465217724883502</v>
      </c>
      <c r="AI3784">
        <v>92.393881898615206</v>
      </c>
      <c r="AJ3784">
        <v>95.8340188849984</v>
      </c>
      <c r="AK3784">
        <v>26.626243976725402</v>
      </c>
      <c r="AL3784">
        <v>87.617093358835504</v>
      </c>
      <c r="AM3784">
        <v>96.176882925133597</v>
      </c>
      <c r="AN3784">
        <v>1.0000000440383601</v>
      </c>
    </row>
    <row r="3785" spans="1:40" x14ac:dyDescent="0.3">
      <c r="A3785" t="str">
        <f>"20200111160531116"</f>
        <v>20200111160531116</v>
      </c>
      <c r="B3785" t="str">
        <f>"1578729931104849"</f>
        <v>1578729931104849</v>
      </c>
      <c r="C3785" t="s">
        <v>40</v>
      </c>
      <c r="D3785">
        <v>5.4790989999999997</v>
      </c>
      <c r="E3785">
        <v>0.50326099999999996</v>
      </c>
      <c r="F3785" t="s">
        <v>41</v>
      </c>
      <c r="G3785">
        <v>-240.00659999999999</v>
      </c>
      <c r="H3785" s="1">
        <v>-5.0933710000000001E-6</v>
      </c>
      <c r="I3785">
        <v>144.23660000000001</v>
      </c>
      <c r="J3785">
        <v>-215.06190000000001</v>
      </c>
      <c r="K3785">
        <v>1.112293</v>
      </c>
      <c r="L3785">
        <v>141.49039999999999</v>
      </c>
      <c r="M3785">
        <v>-0.97702999999999995</v>
      </c>
      <c r="N3785">
        <v>0</v>
      </c>
      <c r="O3785">
        <v>0.21267140000000001</v>
      </c>
      <c r="P3785">
        <v>-0.99396709999999999</v>
      </c>
      <c r="Q3785">
        <v>2.8192020000000002E-2</v>
      </c>
      <c r="R3785">
        <v>0.1059929</v>
      </c>
      <c r="S3785">
        <v>-2.986694</v>
      </c>
      <c r="T3785">
        <v>-0.13214960000000001</v>
      </c>
      <c r="U3785">
        <v>0.33106989999999997</v>
      </c>
      <c r="V3785">
        <v>-0.1079903</v>
      </c>
      <c r="W3785">
        <v>4.1251700000000002E-2</v>
      </c>
      <c r="X3785">
        <v>0.9932957</v>
      </c>
      <c r="Y3785">
        <v>-0.1034421</v>
      </c>
      <c r="Z3785">
        <v>-1.157618E-2</v>
      </c>
      <c r="AA3785">
        <v>0.99456809999999995</v>
      </c>
      <c r="AB3785">
        <v>19</v>
      </c>
      <c r="AC3785">
        <v>-24.944699999999902</v>
      </c>
      <c r="AD3785">
        <v>-1.1122980933710001</v>
      </c>
      <c r="AE3785">
        <v>2.7462000000000102</v>
      </c>
      <c r="AF3785">
        <v>-2.6170036328695998</v>
      </c>
      <c r="AG3785">
        <v>-1.1122980933710001</v>
      </c>
      <c r="AH3785">
        <v>24.909111242170901</v>
      </c>
      <c r="AI3785">
        <v>92.542825613496802</v>
      </c>
      <c r="AJ3785">
        <v>95.997612414234396</v>
      </c>
      <c r="AK3785">
        <v>25.070894238894098</v>
      </c>
      <c r="AL3785">
        <v>87.635780782749293</v>
      </c>
      <c r="AM3785">
        <v>96.204780544589696</v>
      </c>
      <c r="AN3785">
        <v>0.99999997764273396</v>
      </c>
    </row>
    <row r="3786" spans="1:40" x14ac:dyDescent="0.3">
      <c r="A3786" t="str">
        <f>"20200111160531138"</f>
        <v>20200111160531138</v>
      </c>
      <c r="B3786" t="str">
        <f>"1578729931135105"</f>
        <v>1578729931135105</v>
      </c>
      <c r="C3786" t="s">
        <v>40</v>
      </c>
      <c r="D3786">
        <v>5.4828440000000001</v>
      </c>
      <c r="E3786">
        <v>0.50290409999999997</v>
      </c>
      <c r="F3786" t="s">
        <v>41</v>
      </c>
      <c r="G3786">
        <v>-238.95310000000001</v>
      </c>
      <c r="H3786" s="1">
        <v>-1.6123190000000001E-6</v>
      </c>
      <c r="I3786">
        <v>144.05449999999999</v>
      </c>
      <c r="J3786">
        <v>-215.24610000000001</v>
      </c>
      <c r="K3786">
        <v>1.1124320000000001</v>
      </c>
      <c r="L3786">
        <v>141.5282</v>
      </c>
      <c r="M3786">
        <v>-0.97749629999999998</v>
      </c>
      <c r="N3786">
        <v>0</v>
      </c>
      <c r="O3786">
        <v>0.2105187</v>
      </c>
      <c r="P3786">
        <v>-0.99405010000000005</v>
      </c>
      <c r="Q3786">
        <v>2.7969910000000001E-2</v>
      </c>
      <c r="R3786">
        <v>0.1052723</v>
      </c>
      <c r="S3786">
        <v>-2.9879760000000002</v>
      </c>
      <c r="T3786">
        <v>-0.13910999999999901</v>
      </c>
      <c r="U3786">
        <v>0.32067869999999998</v>
      </c>
      <c r="V3786">
        <v>-0.1065372</v>
      </c>
      <c r="W3786">
        <v>4.0994419999999997E-2</v>
      </c>
      <c r="X3786">
        <v>0.99346330000000005</v>
      </c>
      <c r="Y3786">
        <v>-0.10468429999999999</v>
      </c>
      <c r="Z3786">
        <v>-1.211449E-2</v>
      </c>
      <c r="AA3786">
        <v>0.99443170000000003</v>
      </c>
      <c r="AB3786">
        <v>19</v>
      </c>
      <c r="AC3786">
        <v>-23.706999999999901</v>
      </c>
      <c r="AD3786">
        <v>-1.112433612319</v>
      </c>
      <c r="AE3786">
        <v>2.5262999999999902</v>
      </c>
      <c r="AF3786">
        <v>-2.5160705774038798</v>
      </c>
      <c r="AG3786">
        <v>-1.112433612319</v>
      </c>
      <c r="AH3786">
        <v>23.656002870974799</v>
      </c>
      <c r="AI3786">
        <v>92.677296116515393</v>
      </c>
      <c r="AJ3786">
        <v>96.0711979310624</v>
      </c>
      <c r="AK3786">
        <v>23.8154275948147</v>
      </c>
      <c r="AL3786">
        <v>87.650534427961105</v>
      </c>
      <c r="AM3786">
        <v>96.120903341115394</v>
      </c>
      <c r="AN3786">
        <v>1.00000002295093</v>
      </c>
    </row>
    <row r="3787" spans="1:40" x14ac:dyDescent="0.3">
      <c r="A3787" t="str">
        <f>"20200111160531160"</f>
        <v>20200111160531160</v>
      </c>
      <c r="B3787" t="str">
        <f>"1578729931155600"</f>
        <v>1578729931155600</v>
      </c>
      <c r="C3787" t="s">
        <v>40</v>
      </c>
      <c r="D3787">
        <v>5.5323379999999904</v>
      </c>
      <c r="E3787">
        <v>0.50270099999999995</v>
      </c>
      <c r="F3787" t="s">
        <v>41</v>
      </c>
      <c r="G3787">
        <v>-238.20089999999999</v>
      </c>
      <c r="H3787" s="1">
        <v>-1.9048430000000001E-6</v>
      </c>
      <c r="I3787">
        <v>143.94110000000001</v>
      </c>
      <c r="J3787">
        <v>-215.4263</v>
      </c>
      <c r="K3787">
        <v>1.112565</v>
      </c>
      <c r="L3787">
        <v>141.5643</v>
      </c>
      <c r="M3787">
        <v>-0.97800500000000001</v>
      </c>
      <c r="N3787">
        <v>0</v>
      </c>
      <c r="O3787">
        <v>0.2081422</v>
      </c>
      <c r="P3787">
        <v>-0.99399320000000002</v>
      </c>
      <c r="Q3787">
        <v>2.814649E-2</v>
      </c>
      <c r="R3787">
        <v>0.1057632</v>
      </c>
      <c r="S3787">
        <v>-2.9887540000000001</v>
      </c>
      <c r="T3787">
        <v>-0.14484079999999999</v>
      </c>
      <c r="U3787">
        <v>0.31416319999999998</v>
      </c>
      <c r="V3787">
        <v>-0.1036445</v>
      </c>
      <c r="W3787">
        <v>4.1148789999999998E-2</v>
      </c>
      <c r="X3787">
        <v>0.9937629</v>
      </c>
      <c r="Y3787">
        <v>-0.1044133</v>
      </c>
      <c r="Z3787">
        <v>-1.2492990000000001E-2</v>
      </c>
      <c r="AA3787">
        <v>0.99445550000000005</v>
      </c>
      <c r="AB3787">
        <v>19</v>
      </c>
      <c r="AC3787">
        <v>-22.7745999999999</v>
      </c>
      <c r="AD3787">
        <v>-1.112566904843</v>
      </c>
      <c r="AE3787">
        <v>2.3767999999999998</v>
      </c>
      <c r="AF3787">
        <v>-2.4103639792972098</v>
      </c>
      <c r="AG3787">
        <v>-1.112566904843</v>
      </c>
      <c r="AH3787">
        <v>22.716840834706002</v>
      </c>
      <c r="AI3787">
        <v>92.788218407728095</v>
      </c>
      <c r="AJ3787">
        <v>96.056691167861501</v>
      </c>
      <c r="AK3787">
        <v>22.871434522998602</v>
      </c>
      <c r="AL3787">
        <v>87.641682280968894</v>
      </c>
      <c r="AM3787">
        <v>95.954136893411302</v>
      </c>
      <c r="AN3787">
        <v>1.0000000533575599</v>
      </c>
    </row>
    <row r="3788" spans="1:40" x14ac:dyDescent="0.3">
      <c r="A3788" t="str">
        <f>"20200111160531181"</f>
        <v>20200111160531181</v>
      </c>
      <c r="B3788" t="str">
        <f>"1578729931174939"</f>
        <v>1578729931174939</v>
      </c>
      <c r="C3788" t="s">
        <v>40</v>
      </c>
      <c r="D3788">
        <v>5.4846380000000003</v>
      </c>
      <c r="E3788">
        <v>0.44326339999999997</v>
      </c>
      <c r="F3788" t="s">
        <v>41</v>
      </c>
      <c r="G3788">
        <v>-237.98009999999999</v>
      </c>
      <c r="H3788" s="1">
        <v>-1.995294E-6</v>
      </c>
      <c r="I3788">
        <v>143.92500000000001</v>
      </c>
      <c r="J3788">
        <v>-215.60679999999999</v>
      </c>
      <c r="K3788">
        <v>1.112687</v>
      </c>
      <c r="L3788">
        <v>141.59970000000001</v>
      </c>
      <c r="M3788">
        <v>-0.97856080000000001</v>
      </c>
      <c r="N3788">
        <v>0</v>
      </c>
      <c r="O3788">
        <v>0.20551320000000001</v>
      </c>
      <c r="P3788">
        <v>-0.99373020000000001</v>
      </c>
      <c r="Q3788">
        <v>2.8105430000000001E-2</v>
      </c>
      <c r="R3788">
        <v>0.1082156</v>
      </c>
      <c r="S3788">
        <v>-2.9890140000000001</v>
      </c>
      <c r="T3788">
        <v>-0.14744649999999901</v>
      </c>
      <c r="U3788">
        <v>0.31286619999999998</v>
      </c>
      <c r="V3788">
        <v>-9.8530859999999998E-2</v>
      </c>
      <c r="W3788">
        <v>4.1107820000000003E-2</v>
      </c>
      <c r="X3788">
        <v>0.99428459999999996</v>
      </c>
      <c r="Y3788">
        <v>-0.102169</v>
      </c>
      <c r="Z3788">
        <v>-1.253518E-2</v>
      </c>
      <c r="AA3788">
        <v>0.99468809999999996</v>
      </c>
      <c r="AB3788">
        <v>19</v>
      </c>
      <c r="AC3788">
        <v>-22.3733</v>
      </c>
      <c r="AD3788">
        <v>-1.112688995294</v>
      </c>
      <c r="AE3788">
        <v>2.3252999999999902</v>
      </c>
      <c r="AF3788">
        <v>-2.3171039019068802</v>
      </c>
      <c r="AG3788">
        <v>-1.112688995294</v>
      </c>
      <c r="AH3788">
        <v>22.3189495224598</v>
      </c>
      <c r="AI3788">
        <v>92.838828588358794</v>
      </c>
      <c r="AJ3788">
        <v>95.927087465233001</v>
      </c>
      <c r="AK3788">
        <v>22.4664762497057</v>
      </c>
      <c r="AL3788">
        <v>87.644031608831796</v>
      </c>
      <c r="AM3788">
        <v>95.659376378374006</v>
      </c>
      <c r="AN3788">
        <v>1.00000002451732</v>
      </c>
    </row>
    <row r="3789" spans="1:40" x14ac:dyDescent="0.3">
      <c r="A3789" t="str">
        <f>"20200111160531205"</f>
        <v>20200111160531205</v>
      </c>
      <c r="B3789" t="str">
        <f>"1578729931195436"</f>
        <v>1578729931195436</v>
      </c>
      <c r="C3789" t="s">
        <v>40</v>
      </c>
      <c r="D3789">
        <v>5.5194029999999996</v>
      </c>
      <c r="E3789">
        <v>0.43034480000000003</v>
      </c>
      <c r="F3789" t="s">
        <v>41</v>
      </c>
      <c r="G3789">
        <v>-239.32249999999999</v>
      </c>
      <c r="H3789" s="1">
        <v>-4.7961199999999899E-7</v>
      </c>
      <c r="I3789">
        <v>140.3929</v>
      </c>
      <c r="J3789">
        <v>-215.8022</v>
      </c>
      <c r="K3789">
        <v>1.112784</v>
      </c>
      <c r="L3789">
        <v>141.637</v>
      </c>
      <c r="M3789">
        <v>-0.97920819999999997</v>
      </c>
      <c r="N3789">
        <v>0</v>
      </c>
      <c r="O3789">
        <v>0.20240540000000001</v>
      </c>
      <c r="P3789">
        <v>-0.99333139999999998</v>
      </c>
      <c r="Q3789">
        <v>2.8916239999999999E-2</v>
      </c>
      <c r="R3789">
        <v>0.1116103</v>
      </c>
      <c r="S3789">
        <v>-3.0397949999999998</v>
      </c>
      <c r="T3789">
        <v>-0.14262069999999999</v>
      </c>
      <c r="U3789">
        <v>-0.15467829999999999</v>
      </c>
      <c r="V3789">
        <v>-9.1981419999999994E-2</v>
      </c>
      <c r="W3789">
        <v>4.1936319999999999E-2</v>
      </c>
      <c r="X3789">
        <v>0.99487729999999996</v>
      </c>
      <c r="Y3789">
        <v>-0.25143219999999999</v>
      </c>
      <c r="Z3789">
        <v>-1.533983E-2</v>
      </c>
      <c r="AA3789">
        <v>0.96775339999999999</v>
      </c>
      <c r="AB3789">
        <v>19</v>
      </c>
      <c r="AC3789">
        <v>-23.520299999999899</v>
      </c>
      <c r="AD3789">
        <v>-1.1127844796120001</v>
      </c>
      <c r="AE3789">
        <v>-1.2441</v>
      </c>
      <c r="AF3789">
        <v>-5.9660996365652004</v>
      </c>
      <c r="AG3789">
        <v>-1.1127844796120001</v>
      </c>
      <c r="AH3789">
        <v>22.7308081896681</v>
      </c>
      <c r="AI3789">
        <v>92.710991782366506</v>
      </c>
      <c r="AJ3789">
        <v>104.706564732186</v>
      </c>
      <c r="AK3789">
        <v>23.527054110682201</v>
      </c>
      <c r="AL3789">
        <v>87.596521117175996</v>
      </c>
      <c r="AM3789">
        <v>95.282266885444898</v>
      </c>
      <c r="AN3789">
        <v>1.0000000393078201</v>
      </c>
    </row>
    <row r="3790" spans="1:40" x14ac:dyDescent="0.3">
      <c r="A3790" t="str">
        <f>"20200111160531248"</f>
        <v>20200111160531248</v>
      </c>
      <c r="B3790" t="str">
        <f>"1578729931245211"</f>
        <v>1578729931245211</v>
      </c>
      <c r="C3790" t="s">
        <v>40</v>
      </c>
      <c r="D3790">
        <v>5.1528739999999997</v>
      </c>
      <c r="E3790">
        <v>0.4239269</v>
      </c>
      <c r="F3790" t="s">
        <v>41</v>
      </c>
      <c r="G3790">
        <v>-250.54759999999999</v>
      </c>
      <c r="H3790" s="1">
        <v>-4.1701610000000003E-6</v>
      </c>
      <c r="I3790">
        <v>138.86760000000001</v>
      </c>
      <c r="J3790">
        <v>-216.1568</v>
      </c>
      <c r="K3790">
        <v>1.11287</v>
      </c>
      <c r="L3790">
        <v>141.70230000000001</v>
      </c>
      <c r="M3790">
        <v>-0.98046809999999995</v>
      </c>
      <c r="N3790">
        <v>0</v>
      </c>
      <c r="O3790">
        <v>0.19621160000000001</v>
      </c>
      <c r="P3790">
        <v>-0.99221760000000003</v>
      </c>
      <c r="Q3790">
        <v>3.3516839999999999E-2</v>
      </c>
      <c r="R3790">
        <v>0.1199197</v>
      </c>
      <c r="S3790">
        <v>-3.0503079999999998</v>
      </c>
      <c r="T3790">
        <v>-9.7692130000000002E-2</v>
      </c>
      <c r="U3790">
        <v>-0.24311830000000001</v>
      </c>
      <c r="V3790">
        <v>-7.7350790000000003E-2</v>
      </c>
      <c r="W3790">
        <v>4.6616169999999998E-2</v>
      </c>
      <c r="X3790">
        <v>0.99591359999999995</v>
      </c>
      <c r="Y3790">
        <v>-0.27327630000000003</v>
      </c>
      <c r="Z3790">
        <v>-1.0622639999999999E-2</v>
      </c>
      <c r="AA3790">
        <v>0.96187690000000003</v>
      </c>
      <c r="AB3790">
        <v>19</v>
      </c>
      <c r="AC3790">
        <v>-34.390799999999899</v>
      </c>
      <c r="AD3790">
        <v>-1.1128741701610001</v>
      </c>
      <c r="AE3790">
        <v>-2.83469999999999</v>
      </c>
      <c r="AF3790">
        <v>-9.5181804932291705</v>
      </c>
      <c r="AG3790">
        <v>-1.1128741701610001</v>
      </c>
      <c r="AH3790">
        <v>33.131461936100102</v>
      </c>
      <c r="AI3790">
        <v>91.849084454099298</v>
      </c>
      <c r="AJ3790">
        <v>106.028578037015</v>
      </c>
      <c r="AK3790">
        <v>34.489534917762299</v>
      </c>
      <c r="AL3790">
        <v>87.328122058277899</v>
      </c>
      <c r="AM3790">
        <v>94.441142679778395</v>
      </c>
      <c r="AN3790">
        <v>1.0000000553420201</v>
      </c>
    </row>
    <row r="3791" spans="1:40" x14ac:dyDescent="0.3">
      <c r="A3791" t="str">
        <f>"20200111160531275"</f>
        <v>20200111160531275</v>
      </c>
      <c r="B3791" t="str">
        <f>"1578729931265707"</f>
        <v>1578729931265707</v>
      </c>
      <c r="C3791" t="s">
        <v>40</v>
      </c>
      <c r="D3791">
        <v>5.1705379999999996</v>
      </c>
      <c r="E3791">
        <v>0.42152539999999999</v>
      </c>
      <c r="F3791" t="s">
        <v>41</v>
      </c>
      <c r="G3791">
        <v>-262.47430000000003</v>
      </c>
      <c r="H3791" s="1">
        <v>-3.560592E-6</v>
      </c>
      <c r="I3791">
        <v>137.64410000000001</v>
      </c>
      <c r="J3791">
        <v>-216.3836</v>
      </c>
      <c r="K3791">
        <v>1.1128610000000001</v>
      </c>
      <c r="L3791">
        <v>141.74250000000001</v>
      </c>
      <c r="M3791">
        <v>-0.98129299999999997</v>
      </c>
      <c r="N3791">
        <v>0</v>
      </c>
      <c r="O3791">
        <v>0.19204350000000001</v>
      </c>
      <c r="P3791">
        <v>-0.99174689999999999</v>
      </c>
      <c r="Q3791">
        <v>3.7343759999999997E-2</v>
      </c>
      <c r="R3791">
        <v>0.12265239999999999</v>
      </c>
      <c r="S3791">
        <v>-3.0584259999999999</v>
      </c>
      <c r="T3791">
        <v>-7.3484899999999895E-2</v>
      </c>
      <c r="U3791">
        <v>-0.26795960000000002</v>
      </c>
      <c r="V3791">
        <v>-7.0359580000000005E-2</v>
      </c>
      <c r="W3791">
        <v>5.0488289999999998E-2</v>
      </c>
      <c r="X3791">
        <v>0.9962432</v>
      </c>
      <c r="Y3791">
        <v>-0.27684809999999999</v>
      </c>
      <c r="Z3791">
        <v>-7.9123300000000004E-3</v>
      </c>
      <c r="AA3791">
        <v>0.96088110000000004</v>
      </c>
      <c r="AB3791">
        <v>19</v>
      </c>
      <c r="AC3791">
        <v>-46.090699999999998</v>
      </c>
      <c r="AD3791">
        <v>-1.112864560592</v>
      </c>
      <c r="AE3791">
        <v>-4.0983999999999901</v>
      </c>
      <c r="AF3791">
        <v>-12.8668884667347</v>
      </c>
      <c r="AG3791">
        <v>-1.112864560592</v>
      </c>
      <c r="AH3791">
        <v>44.419791788718499</v>
      </c>
      <c r="AI3791">
        <v>91.378506337624501</v>
      </c>
      <c r="AJ3791">
        <v>106.154487421103</v>
      </c>
      <c r="AK3791">
        <v>46.259195722566503</v>
      </c>
      <c r="AL3791">
        <v>87.106003754930796</v>
      </c>
      <c r="AM3791">
        <v>94.039801140481302</v>
      </c>
      <c r="AN3791">
        <v>1.0000000257355699</v>
      </c>
    </row>
    <row r="3792" spans="1:40" x14ac:dyDescent="0.3">
      <c r="A3792" t="str">
        <f>"20200111160531294"</f>
        <v>20200111160531294</v>
      </c>
      <c r="B3792" t="str">
        <f>"1578729931285227"</f>
        <v>1578729931285227</v>
      </c>
      <c r="C3792" t="s">
        <v>40</v>
      </c>
      <c r="D3792">
        <v>5.2128629999999996</v>
      </c>
      <c r="E3792">
        <v>0.41930309999999998</v>
      </c>
      <c r="F3792" t="s">
        <v>41</v>
      </c>
      <c r="G3792">
        <v>-261.05160000000001</v>
      </c>
      <c r="H3792" s="1">
        <v>-4.1701599999999899E-6</v>
      </c>
      <c r="I3792">
        <v>137.64850000000001</v>
      </c>
      <c r="J3792">
        <v>-216.53700000000001</v>
      </c>
      <c r="K3792">
        <v>1.112849</v>
      </c>
      <c r="L3792">
        <v>141.76910000000001</v>
      </c>
      <c r="M3792">
        <v>-0.98185009999999995</v>
      </c>
      <c r="N3792">
        <v>0</v>
      </c>
      <c r="O3792">
        <v>0.18917490000000001</v>
      </c>
      <c r="P3792">
        <v>-0.99111669999999996</v>
      </c>
      <c r="Q3792">
        <v>4.0704919999999999E-2</v>
      </c>
      <c r="R3792">
        <v>0.1266138</v>
      </c>
      <c r="S3792">
        <v>-3.0625460000000002</v>
      </c>
      <c r="T3792">
        <v>-7.6300740000000006E-2</v>
      </c>
      <c r="U3792">
        <v>-0.28068539999999997</v>
      </c>
      <c r="V3792">
        <v>-6.3450400000000004E-2</v>
      </c>
      <c r="W3792">
        <v>5.3891590000000003E-2</v>
      </c>
      <c r="X3792">
        <v>0.99652890000000005</v>
      </c>
      <c r="Y3792">
        <v>-0.27787909999999999</v>
      </c>
      <c r="Z3792">
        <v>-8.1455580000000007E-3</v>
      </c>
      <c r="AA3792">
        <v>0.96058149999999998</v>
      </c>
      <c r="AB3792">
        <v>19</v>
      </c>
      <c r="AC3792">
        <v>-44.514600000000002</v>
      </c>
      <c r="AD3792">
        <v>-1.11285317016</v>
      </c>
      <c r="AE3792">
        <v>-4.1205999999999898</v>
      </c>
      <c r="AF3792">
        <v>-12.4602775397993</v>
      </c>
      <c r="AG3792">
        <v>-1.11285317016</v>
      </c>
      <c r="AH3792">
        <v>42.904496934420102</v>
      </c>
      <c r="AI3792">
        <v>91.426870376084096</v>
      </c>
      <c r="AJ3792">
        <v>106.194296727275</v>
      </c>
      <c r="AK3792">
        <v>44.691082060550102</v>
      </c>
      <c r="AL3792">
        <v>86.9107429154013</v>
      </c>
      <c r="AM3792">
        <v>93.643185153709993</v>
      </c>
      <c r="AN3792">
        <v>1.00000005263404</v>
      </c>
    </row>
    <row r="3793" spans="1:40" x14ac:dyDescent="0.3">
      <c r="A3793" t="str">
        <f>"20200111160531317"</f>
        <v>20200111160531317</v>
      </c>
      <c r="B3793" t="str">
        <f>"1578729931305722"</f>
        <v>1578729931305722</v>
      </c>
      <c r="C3793" t="s">
        <v>40</v>
      </c>
      <c r="D3793">
        <v>5.4013249999999999</v>
      </c>
      <c r="E3793">
        <v>0.41849910000000001</v>
      </c>
      <c r="F3793" t="s">
        <v>41</v>
      </c>
      <c r="G3793">
        <v>-265.08819999999997</v>
      </c>
      <c r="H3793" s="1">
        <v>-2.5139140000000002E-6</v>
      </c>
      <c r="I3793">
        <v>137.22319999999999</v>
      </c>
      <c r="J3793">
        <v>-216.72710000000001</v>
      </c>
      <c r="K3793">
        <v>1.112827</v>
      </c>
      <c r="L3793">
        <v>141.8014</v>
      </c>
      <c r="M3793">
        <v>-0.98253539999999995</v>
      </c>
      <c r="N3793">
        <v>0</v>
      </c>
      <c r="O3793">
        <v>0.18558230000000001</v>
      </c>
      <c r="P3793">
        <v>-0.99032529999999996</v>
      </c>
      <c r="Q3793">
        <v>4.2825170000000003E-2</v>
      </c>
      <c r="R3793">
        <v>0.13199259999999999</v>
      </c>
      <c r="S3793">
        <v>-3.0664370000000001</v>
      </c>
      <c r="T3793">
        <v>-7.0286509999999996E-2</v>
      </c>
      <c r="U3793">
        <v>-0.28710940000000001</v>
      </c>
      <c r="V3793">
        <v>-5.4377290000000002E-2</v>
      </c>
      <c r="W3793">
        <v>5.6066020000000001E-2</v>
      </c>
      <c r="X3793">
        <v>0.99694519999999998</v>
      </c>
      <c r="Y3793">
        <v>-0.27627289999999999</v>
      </c>
      <c r="Z3793">
        <v>-7.3939039999999998E-3</v>
      </c>
      <c r="AA3793">
        <v>0.96105070000000004</v>
      </c>
      <c r="AB3793">
        <v>19</v>
      </c>
      <c r="AC3793">
        <v>-48.361099999999901</v>
      </c>
      <c r="AD3793">
        <v>-1.1128295139139901</v>
      </c>
      <c r="AE3793">
        <v>-4.5782000000000096</v>
      </c>
      <c r="AF3793">
        <v>-13.467375764653401</v>
      </c>
      <c r="AG3793">
        <v>-1.1128295139139901</v>
      </c>
      <c r="AH3793">
        <v>46.646659770559303</v>
      </c>
      <c r="AI3793">
        <v>91.313014578919294</v>
      </c>
      <c r="AJ3793">
        <v>106.103978824498</v>
      </c>
      <c r="AK3793">
        <v>48.564590673285103</v>
      </c>
      <c r="AL3793">
        <v>86.785968379660403</v>
      </c>
      <c r="AM3793">
        <v>93.122042270873905</v>
      </c>
      <c r="AN3793">
        <v>1.00000001003471</v>
      </c>
    </row>
    <row r="3794" spans="1:40" x14ac:dyDescent="0.3">
      <c r="A3794" t="str">
        <f>"20200111160531350"</f>
        <v>20200111160531350</v>
      </c>
      <c r="B3794" t="str">
        <f>"1578729931345739"</f>
        <v>1578729931345739</v>
      </c>
      <c r="C3794" t="s">
        <v>40</v>
      </c>
      <c r="D3794">
        <v>5.2199249999999999</v>
      </c>
      <c r="E3794">
        <v>0.41677449999999999</v>
      </c>
      <c r="F3794" t="s">
        <v>41</v>
      </c>
      <c r="G3794">
        <v>-262.06939999999997</v>
      </c>
      <c r="H3794" s="1">
        <v>-3.7280379999999999E-6</v>
      </c>
      <c r="I3794">
        <v>137.67949999999999</v>
      </c>
      <c r="J3794">
        <v>-216.9923</v>
      </c>
      <c r="K3794">
        <v>1.112806</v>
      </c>
      <c r="L3794">
        <v>141.845</v>
      </c>
      <c r="M3794">
        <v>-0.98348089999999999</v>
      </c>
      <c r="N3794">
        <v>0</v>
      </c>
      <c r="O3794">
        <v>0.18050459999999999</v>
      </c>
      <c r="P3794">
        <v>-0.9904984</v>
      </c>
      <c r="Q3794">
        <v>4.2658090000000003E-2</v>
      </c>
      <c r="R3794">
        <v>0.13074140000000001</v>
      </c>
      <c r="S3794">
        <v>-3.0697779999999999</v>
      </c>
      <c r="T3794">
        <v>-7.534122E-2</v>
      </c>
      <c r="U3794">
        <v>-0.27905269999999999</v>
      </c>
      <c r="V3794">
        <v>-5.04825E-2</v>
      </c>
      <c r="W3794">
        <v>5.592271E-2</v>
      </c>
      <c r="X3794">
        <v>0.99715810000000005</v>
      </c>
      <c r="Y3794">
        <v>-0.26868829999999999</v>
      </c>
      <c r="Z3794">
        <v>-7.7014249999999996E-3</v>
      </c>
      <c r="AA3794">
        <v>0.96319639999999995</v>
      </c>
      <c r="AB3794">
        <v>19</v>
      </c>
      <c r="AC3794">
        <v>-45.077099999999902</v>
      </c>
      <c r="AD3794">
        <v>-1.112809728038</v>
      </c>
      <c r="AE3794">
        <v>-4.1654999999999998</v>
      </c>
      <c r="AF3794">
        <v>-12.2270470557926</v>
      </c>
      <c r="AG3794">
        <v>-1.112809728038</v>
      </c>
      <c r="AH3794">
        <v>43.558250734880097</v>
      </c>
      <c r="AI3794">
        <v>91.409016110386204</v>
      </c>
      <c r="AJ3794">
        <v>105.679730985994</v>
      </c>
      <c r="AK3794">
        <v>45.255499469987797</v>
      </c>
      <c r="AL3794">
        <v>86.794192482651596</v>
      </c>
      <c r="AM3794">
        <v>92.898203254578505</v>
      </c>
      <c r="AN3794">
        <v>1.0000000543478</v>
      </c>
    </row>
    <row r="3795" spans="1:40" x14ac:dyDescent="0.3">
      <c r="A3795" t="str">
        <f>"20200111160531371"</f>
        <v>20200111160531371</v>
      </c>
      <c r="B3795" t="str">
        <f>"1578729931365259"</f>
        <v>1578729931365259</v>
      </c>
      <c r="C3795" t="s">
        <v>40</v>
      </c>
      <c r="D3795">
        <v>5.2062799999999996</v>
      </c>
      <c r="E3795">
        <v>0.41586699999999999</v>
      </c>
      <c r="F3795" t="s">
        <v>41</v>
      </c>
      <c r="G3795">
        <v>-251.96969999999999</v>
      </c>
      <c r="H3795" s="1">
        <v>-3.638171E-6</v>
      </c>
      <c r="I3795">
        <v>138.42740000000001</v>
      </c>
      <c r="J3795">
        <v>-217.17269999999999</v>
      </c>
      <c r="K3795">
        <v>1.1128039999999999</v>
      </c>
      <c r="L3795">
        <v>141.87379999999999</v>
      </c>
      <c r="M3795">
        <v>-0.98411610000000005</v>
      </c>
      <c r="N3795">
        <v>0</v>
      </c>
      <c r="O3795">
        <v>0.17700850000000001</v>
      </c>
      <c r="P3795">
        <v>-0.990842</v>
      </c>
      <c r="Q3795">
        <v>4.3333589999999998E-2</v>
      </c>
      <c r="R3795">
        <v>0.12788430000000001</v>
      </c>
      <c r="S3795">
        <v>-3.0726170000000002</v>
      </c>
      <c r="T3795">
        <v>-9.7756029999999994E-2</v>
      </c>
      <c r="U3795">
        <v>-0.3002167</v>
      </c>
      <c r="V3795">
        <v>-4.9813000000000003E-2</v>
      </c>
      <c r="W3795">
        <v>5.6601609999999997E-2</v>
      </c>
      <c r="X3795">
        <v>0.99715339999999997</v>
      </c>
      <c r="Y3795">
        <v>-0.27166889999999999</v>
      </c>
      <c r="Z3795">
        <v>-9.9173600000000001E-3</v>
      </c>
      <c r="AA3795">
        <v>0.96233970000000002</v>
      </c>
      <c r="AB3795">
        <v>19</v>
      </c>
      <c r="AC3795">
        <v>-34.796999999999997</v>
      </c>
      <c r="AD3795">
        <v>-1.1128076381709999</v>
      </c>
      <c r="AE3795">
        <v>-3.4463999999999801</v>
      </c>
      <c r="AF3795">
        <v>-9.54223466415365</v>
      </c>
      <c r="AG3795">
        <v>-1.1128076381709999</v>
      </c>
      <c r="AH3795">
        <v>33.6032991734237</v>
      </c>
      <c r="AI3795">
        <v>91.824626478315594</v>
      </c>
      <c r="AJ3795">
        <v>105.852807201533</v>
      </c>
      <c r="AK3795">
        <v>34.949596543650699</v>
      </c>
      <c r="AL3795">
        <v>86.755232459694298</v>
      </c>
      <c r="AM3795">
        <v>92.859844912298897</v>
      </c>
      <c r="AN3795">
        <v>0.99999999017757601</v>
      </c>
    </row>
    <row r="3796" spans="1:40" x14ac:dyDescent="0.3">
      <c r="A3796" t="str">
        <f>"20200111160531395"</f>
        <v>20200111160531395</v>
      </c>
      <c r="B3796" t="str">
        <f>"1578729931385754"</f>
        <v>1578729931385754</v>
      </c>
      <c r="C3796" t="s">
        <v>40</v>
      </c>
      <c r="D3796">
        <v>5.1989769999999904</v>
      </c>
      <c r="E3796">
        <v>0.41530790000000001</v>
      </c>
      <c r="F3796" t="s">
        <v>41</v>
      </c>
      <c r="G3796">
        <v>-249.7252</v>
      </c>
      <c r="H3796" s="1">
        <v>-3.738341E-7</v>
      </c>
      <c r="I3796">
        <v>138.5103</v>
      </c>
      <c r="J3796">
        <v>-217.36850000000001</v>
      </c>
      <c r="K3796">
        <v>1.112808</v>
      </c>
      <c r="L3796">
        <v>141.90430000000001</v>
      </c>
      <c r="M3796">
        <v>-0.98479910000000004</v>
      </c>
      <c r="N3796">
        <v>0</v>
      </c>
      <c r="O3796">
        <v>0.1731692</v>
      </c>
      <c r="P3796">
        <v>-0.99136170000000001</v>
      </c>
      <c r="Q3796">
        <v>4.4268210000000002E-2</v>
      </c>
      <c r="R3796">
        <v>0.1234609</v>
      </c>
      <c r="S3796">
        <v>-3.0733030000000001</v>
      </c>
      <c r="T3796">
        <v>-0.1050608</v>
      </c>
      <c r="U3796">
        <v>-0.31755070000000002</v>
      </c>
      <c r="V3796">
        <v>-5.0371850000000003E-2</v>
      </c>
      <c r="W3796">
        <v>5.7531350000000002E-2</v>
      </c>
      <c r="X3796">
        <v>0.99707210000000002</v>
      </c>
      <c r="Y3796">
        <v>-0.2732349</v>
      </c>
      <c r="Z3796">
        <v>-1.0550169999999999E-2</v>
      </c>
      <c r="AA3796">
        <v>0.96188949999999995</v>
      </c>
      <c r="AB3796">
        <v>19</v>
      </c>
      <c r="AC3796">
        <v>-32.356699999999897</v>
      </c>
      <c r="AD3796">
        <v>-1.1128083738340999</v>
      </c>
      <c r="AE3796">
        <v>-3.3940000000000001</v>
      </c>
      <c r="AF3796">
        <v>-8.93595690422835</v>
      </c>
      <c r="AG3796">
        <v>-1.1128083738340999</v>
      </c>
      <c r="AH3796">
        <v>31.243424903423499</v>
      </c>
      <c r="AI3796">
        <v>91.961285337965805</v>
      </c>
      <c r="AJ3796">
        <v>105.961101417649</v>
      </c>
      <c r="AK3796">
        <v>32.515246700078499</v>
      </c>
      <c r="AL3796">
        <v>86.701875280723101</v>
      </c>
      <c r="AM3796">
        <v>92.892110633350896</v>
      </c>
      <c r="AN3796">
        <v>0.999999976051827</v>
      </c>
    </row>
    <row r="3797" spans="1:40" x14ac:dyDescent="0.3">
      <c r="A3797" t="str">
        <f>"20200111160531416"</f>
        <v>20200111160531416</v>
      </c>
      <c r="B3797" t="str">
        <f>"1578729931405277"</f>
        <v>1578729931405277</v>
      </c>
      <c r="C3797" t="s">
        <v>40</v>
      </c>
      <c r="D3797">
        <v>5.2028619999999997</v>
      </c>
      <c r="E3797">
        <v>0.41470109999999899</v>
      </c>
      <c r="F3797" t="s">
        <v>41</v>
      </c>
      <c r="G3797">
        <v>-248.0805</v>
      </c>
      <c r="H3797" s="1">
        <v>-9.9727859999999899E-7</v>
      </c>
      <c r="I3797">
        <v>138.5367</v>
      </c>
      <c r="J3797">
        <v>-217.5455</v>
      </c>
      <c r="K3797">
        <v>1.112806</v>
      </c>
      <c r="L3797">
        <v>141.93109999999999</v>
      </c>
      <c r="M3797">
        <v>-0.98541420000000002</v>
      </c>
      <c r="N3797">
        <v>0</v>
      </c>
      <c r="O3797">
        <v>0.1696336</v>
      </c>
      <c r="P3797">
        <v>-0.99194780000000005</v>
      </c>
      <c r="Q3797">
        <v>4.3341089999999999E-2</v>
      </c>
      <c r="R3797">
        <v>0.1190012</v>
      </c>
      <c r="S3797">
        <v>-3.0730590000000002</v>
      </c>
      <c r="T3797">
        <v>-0.1113484</v>
      </c>
      <c r="U3797">
        <v>-0.33695979999999998</v>
      </c>
      <c r="V3797">
        <v>-5.1281710000000001E-2</v>
      </c>
      <c r="W3797">
        <v>5.659923E-2</v>
      </c>
      <c r="X3797">
        <v>0.9970791</v>
      </c>
      <c r="Y3797">
        <v>-0.2757655</v>
      </c>
      <c r="Z3797">
        <v>-1.109802E-2</v>
      </c>
      <c r="AA3797">
        <v>0.96116089999999998</v>
      </c>
      <c r="AB3797">
        <v>19</v>
      </c>
      <c r="AC3797">
        <v>-30.535</v>
      </c>
      <c r="AD3797">
        <v>-1.1128069972786001</v>
      </c>
      <c r="AE3797">
        <v>-3.3943999999999899</v>
      </c>
      <c r="AF3797">
        <v>-8.5142632130766707</v>
      </c>
      <c r="AG3797">
        <v>-1.1128069972786001</v>
      </c>
      <c r="AH3797">
        <v>29.477850749272299</v>
      </c>
      <c r="AI3797">
        <v>92.077096550974005</v>
      </c>
      <c r="AJ3797">
        <v>106.110618996041</v>
      </c>
      <c r="AK3797">
        <v>30.703008032945501</v>
      </c>
      <c r="AL3797">
        <v>86.755369104187494</v>
      </c>
      <c r="AM3797">
        <v>92.944238705537202</v>
      </c>
      <c r="AN3797">
        <v>1.0000000091369601</v>
      </c>
    </row>
    <row r="3798" spans="1:40" x14ac:dyDescent="0.3">
      <c r="A3798" t="str">
        <f>"20200111160531438"</f>
        <v>20200111160531438</v>
      </c>
      <c r="B3798" t="str">
        <f>"1578729931435531"</f>
        <v>1578729931435531</v>
      </c>
      <c r="C3798" t="s">
        <v>40</v>
      </c>
      <c r="D3798">
        <v>5.2197879999999897</v>
      </c>
      <c r="E3798">
        <v>0.41413420000000001</v>
      </c>
      <c r="F3798" t="s">
        <v>41</v>
      </c>
      <c r="G3798">
        <v>-245.77440000000001</v>
      </c>
      <c r="H3798" s="1">
        <v>-1.96622E-6</v>
      </c>
      <c r="I3798">
        <v>138.6515</v>
      </c>
      <c r="J3798">
        <v>-217.7217</v>
      </c>
      <c r="K3798">
        <v>1.1128100000000001</v>
      </c>
      <c r="L3798">
        <v>141.95699999999999</v>
      </c>
      <c r="M3798">
        <v>-0.98602559999999995</v>
      </c>
      <c r="N3798">
        <v>0</v>
      </c>
      <c r="O3798">
        <v>0.1660431</v>
      </c>
      <c r="P3798">
        <v>-0.99252640000000003</v>
      </c>
      <c r="Q3798">
        <v>4.1188549999999997E-2</v>
      </c>
      <c r="R3798">
        <v>0.11486970000000001</v>
      </c>
      <c r="S3798">
        <v>-3.0724640000000001</v>
      </c>
      <c r="T3798">
        <v>-0.12111959999999999</v>
      </c>
      <c r="U3798">
        <v>-0.35694890000000001</v>
      </c>
      <c r="V3798">
        <v>-5.180854E-2</v>
      </c>
      <c r="W3798">
        <v>5.4443909999999998E-2</v>
      </c>
      <c r="X3798">
        <v>0.9971719</v>
      </c>
      <c r="Y3798">
        <v>-0.27840589999999998</v>
      </c>
      <c r="Z3798">
        <v>-1.19817E-2</v>
      </c>
      <c r="AA3798">
        <v>0.96038880000000004</v>
      </c>
      <c r="AB3798">
        <v>19</v>
      </c>
      <c r="AC3798">
        <v>-28.052700000000002</v>
      </c>
      <c r="AD3798">
        <v>-1.11281196622</v>
      </c>
      <c r="AE3798">
        <v>-3.3054999999999901</v>
      </c>
      <c r="AF3798">
        <v>-7.9057201570909301</v>
      </c>
      <c r="AG3798">
        <v>-1.11281196622</v>
      </c>
      <c r="AH3798">
        <v>27.072291174402402</v>
      </c>
      <c r="AI3798">
        <v>92.2595598140352</v>
      </c>
      <c r="AJ3798">
        <v>106.278996174445</v>
      </c>
      <c r="AK3798">
        <v>28.2249483809276</v>
      </c>
      <c r="AL3798">
        <v>86.879050715797405</v>
      </c>
      <c r="AM3798">
        <v>92.974155263192202</v>
      </c>
      <c r="AN3798">
        <v>1.00000003115131</v>
      </c>
    </row>
    <row r="3799" spans="1:40" x14ac:dyDescent="0.3">
      <c r="A3799" t="str">
        <f>"20200111160531459"</f>
        <v>20200111160531459</v>
      </c>
      <c r="B3799" t="str">
        <f>"1578729931455051"</f>
        <v>1578729931455051</v>
      </c>
      <c r="C3799" t="s">
        <v>40</v>
      </c>
      <c r="D3799">
        <v>5.2415760000000002</v>
      </c>
      <c r="E3799">
        <v>0.41399989999999998</v>
      </c>
      <c r="F3799" t="s">
        <v>41</v>
      </c>
      <c r="G3799">
        <v>-243.00559999999999</v>
      </c>
      <c r="H3799" s="1">
        <v>-3.1167109999999998E-6</v>
      </c>
      <c r="I3799">
        <v>138.86170000000001</v>
      </c>
      <c r="J3799">
        <v>-217.89859999999999</v>
      </c>
      <c r="K3799">
        <v>1.1128049999999901</v>
      </c>
      <c r="L3799">
        <v>141.98230000000001</v>
      </c>
      <c r="M3799">
        <v>-0.98663809999999996</v>
      </c>
      <c r="N3799">
        <v>0</v>
      </c>
      <c r="O3799">
        <v>0.16236389999999901</v>
      </c>
      <c r="P3799">
        <v>-0.99312940000000005</v>
      </c>
      <c r="Q3799">
        <v>3.801467E-2</v>
      </c>
      <c r="R3799">
        <v>0.1106762</v>
      </c>
      <c r="S3799">
        <v>-3.0717319999999999</v>
      </c>
      <c r="T3799">
        <v>-0.13519519999999999</v>
      </c>
      <c r="U3799">
        <v>-0.37603760000000003</v>
      </c>
      <c r="V3799">
        <v>-5.2308510000000003E-2</v>
      </c>
      <c r="W3799">
        <v>5.1267849999999997E-2</v>
      </c>
      <c r="X3799">
        <v>0.99731409999999998</v>
      </c>
      <c r="Y3799">
        <v>-0.28065089999999998</v>
      </c>
      <c r="Z3799">
        <v>-1.3260849999999999E-2</v>
      </c>
      <c r="AA3799">
        <v>0.95971830000000002</v>
      </c>
      <c r="AB3799">
        <v>19</v>
      </c>
      <c r="AC3799">
        <v>-25.106999999999999</v>
      </c>
      <c r="AD3799">
        <v>-1.11280811671099</v>
      </c>
      <c r="AE3799">
        <v>-3.1205999999999898</v>
      </c>
      <c r="AF3799">
        <v>-7.1422115181251504</v>
      </c>
      <c r="AG3799">
        <v>-1.11280811671099</v>
      </c>
      <c r="AH3799">
        <v>24.2202166135224</v>
      </c>
      <c r="AI3799">
        <v>92.523350665723697</v>
      </c>
      <c r="AJ3799">
        <v>106.430069217845</v>
      </c>
      <c r="AK3799">
        <v>25.275846574945898</v>
      </c>
      <c r="AL3799">
        <v>87.061280239298497</v>
      </c>
      <c r="AM3799">
        <v>93.002377228804804</v>
      </c>
      <c r="AN3799">
        <v>0.999999993360426</v>
      </c>
    </row>
    <row r="3800" spans="1:40" x14ac:dyDescent="0.3">
      <c r="A3800" t="str">
        <f>"20200111160531484"</f>
        <v>20200111160531484</v>
      </c>
      <c r="B3800" t="str">
        <f>"1578729931475547"</f>
        <v>1578729931475547</v>
      </c>
      <c r="C3800" t="s">
        <v>40</v>
      </c>
      <c r="D3800">
        <v>5.1661590000000004</v>
      </c>
      <c r="E3800">
        <v>0.4138384</v>
      </c>
      <c r="F3800" t="s">
        <v>41</v>
      </c>
      <c r="G3800">
        <v>-240.82579999999999</v>
      </c>
      <c r="H3800" s="1">
        <v>-4.0172420000000002E-6</v>
      </c>
      <c r="I3800">
        <v>139.05690000000001</v>
      </c>
      <c r="J3800">
        <v>-218.09399999999999</v>
      </c>
      <c r="K3800">
        <v>1.112811</v>
      </c>
      <c r="L3800">
        <v>142.0094</v>
      </c>
      <c r="M3800">
        <v>-0.98731060000000004</v>
      </c>
      <c r="N3800">
        <v>0</v>
      </c>
      <c r="O3800">
        <v>0.1582218</v>
      </c>
      <c r="P3800">
        <v>-0.99368860000000003</v>
      </c>
      <c r="Q3800">
        <v>3.4980230000000001E-2</v>
      </c>
      <c r="R3800">
        <v>0.1065801</v>
      </c>
      <c r="S3800">
        <v>-3.0701139999999998</v>
      </c>
      <c r="T3800">
        <v>-0.14901329999999999</v>
      </c>
      <c r="U3800">
        <v>-0.39172360000000001</v>
      </c>
      <c r="V3800">
        <v>-5.2241750000000003E-2</v>
      </c>
      <c r="W3800">
        <v>4.8233690000000003E-2</v>
      </c>
      <c r="X3800">
        <v>0.99746889999999999</v>
      </c>
      <c r="Y3800">
        <v>-0.28142499999999998</v>
      </c>
      <c r="Z3800">
        <v>-1.4438070000000001E-2</v>
      </c>
      <c r="AA3800">
        <v>0.95947459999999996</v>
      </c>
      <c r="AB3800">
        <v>19</v>
      </c>
      <c r="AC3800">
        <v>-22.7317999999999</v>
      </c>
      <c r="AD3800">
        <v>-1.1128150172419999</v>
      </c>
      <c r="AE3800">
        <v>-2.9524999999999801</v>
      </c>
      <c r="AF3800">
        <v>-6.49698709695212</v>
      </c>
      <c r="AG3800">
        <v>-1.1128150172419999</v>
      </c>
      <c r="AH3800">
        <v>21.9265400754064</v>
      </c>
      <c r="AI3800">
        <v>92.785857998607696</v>
      </c>
      <c r="AJ3800">
        <v>106.50492464983699</v>
      </c>
      <c r="AK3800">
        <v>22.895902652635499</v>
      </c>
      <c r="AL3800">
        <v>87.235340289370797</v>
      </c>
      <c r="AM3800">
        <v>92.998087864959302</v>
      </c>
      <c r="AN3800">
        <v>0.99999994788064295</v>
      </c>
    </row>
    <row r="3801" spans="1:40" x14ac:dyDescent="0.3">
      <c r="A3801" t="str">
        <f>"20200111160531506"</f>
        <v>20200111160531506</v>
      </c>
      <c r="B3801" t="str">
        <f>"1578729931495067"</f>
        <v>1578729931495067</v>
      </c>
      <c r="C3801" t="s">
        <v>40</v>
      </c>
      <c r="D3801">
        <v>5.219576</v>
      </c>
      <c r="E3801">
        <v>0.41371760000000002</v>
      </c>
      <c r="F3801" t="s">
        <v>41</v>
      </c>
      <c r="G3801">
        <v>-239.44329999999999</v>
      </c>
      <c r="H3801" s="1">
        <v>-2.9897339999999998E-7</v>
      </c>
      <c r="I3801">
        <v>139.17760000000001</v>
      </c>
      <c r="J3801">
        <v>-218.2791</v>
      </c>
      <c r="K3801">
        <v>1.112814</v>
      </c>
      <c r="L3801">
        <v>142.0342</v>
      </c>
      <c r="M3801">
        <v>-0.98794320000000002</v>
      </c>
      <c r="N3801">
        <v>0</v>
      </c>
      <c r="O3801">
        <v>0.1542232</v>
      </c>
      <c r="P3801">
        <v>-0.9942105</v>
      </c>
      <c r="Q3801">
        <v>3.3961909999999998E-2</v>
      </c>
      <c r="R3801">
        <v>0.1019429</v>
      </c>
      <c r="S3801">
        <v>-3.0683590000000001</v>
      </c>
      <c r="T3801">
        <v>-0.15993550000000001</v>
      </c>
      <c r="U3801">
        <v>-0.40699770000000002</v>
      </c>
      <c r="V3801">
        <v>-5.2859799999999998E-2</v>
      </c>
      <c r="W3801">
        <v>4.721061E-2</v>
      </c>
      <c r="X3801">
        <v>0.99748530000000002</v>
      </c>
      <c r="Y3801">
        <v>-0.28223239999999999</v>
      </c>
      <c r="Z3801">
        <v>-1.5314009999999999E-2</v>
      </c>
      <c r="AA3801">
        <v>0.95922390000000002</v>
      </c>
      <c r="AB3801">
        <v>19</v>
      </c>
      <c r="AC3801">
        <v>-21.164199999999902</v>
      </c>
      <c r="AD3801">
        <v>-1.11281429897339</v>
      </c>
      <c r="AE3801">
        <v>-2.8565999999999798</v>
      </c>
      <c r="AF3801">
        <v>-6.0702455892983904</v>
      </c>
      <c r="AG3801">
        <v>-1.11281429897339</v>
      </c>
      <c r="AH3801">
        <v>20.4149205997495</v>
      </c>
      <c r="AI3801">
        <v>92.990928273955006</v>
      </c>
      <c r="AJ3801">
        <v>106.559507833444</v>
      </c>
      <c r="AK3801">
        <v>21.327335048535101</v>
      </c>
      <c r="AL3801">
        <v>87.2940253620189</v>
      </c>
      <c r="AM3801">
        <v>93.033441330872606</v>
      </c>
      <c r="AN3801">
        <v>0.99999996193435003</v>
      </c>
    </row>
    <row r="3802" spans="1:40" x14ac:dyDescent="0.3">
      <c r="A3802" t="str">
        <f>"20200111160531529"</f>
        <v>20200111160531529</v>
      </c>
      <c r="B3802" t="str">
        <f>"1578729931525322"</f>
        <v>1578729931525322</v>
      </c>
      <c r="C3802" t="s">
        <v>40</v>
      </c>
      <c r="D3802">
        <v>5.1628049999999996</v>
      </c>
      <c r="E3802">
        <v>0.413572</v>
      </c>
      <c r="F3802" t="s">
        <v>41</v>
      </c>
      <c r="G3802">
        <v>-238.876</v>
      </c>
      <c r="H3802" s="1">
        <v>-5.3998929999999996E-7</v>
      </c>
      <c r="I3802">
        <v>139.1908</v>
      </c>
      <c r="J3802">
        <v>-218.46360000000001</v>
      </c>
      <c r="K3802">
        <v>1.1128209999999901</v>
      </c>
      <c r="L3802">
        <v>142.05799999999999</v>
      </c>
      <c r="M3802">
        <v>-0.98856460000000002</v>
      </c>
      <c r="N3802">
        <v>0</v>
      </c>
      <c r="O3802">
        <v>0.15018919999999999</v>
      </c>
      <c r="P3802">
        <v>-0.99471050000000005</v>
      </c>
      <c r="Q3802">
        <v>3.3571199999999898E-2</v>
      </c>
      <c r="R3802">
        <v>9.7078570000000003E-2</v>
      </c>
      <c r="S3802">
        <v>-3.0665439999999999</v>
      </c>
      <c r="T3802">
        <v>-0.16568039999999901</v>
      </c>
      <c r="U3802">
        <v>-0.4233246</v>
      </c>
      <c r="V3802">
        <v>-5.3669359999999999E-2</v>
      </c>
      <c r="W3802">
        <v>4.681432E-2</v>
      </c>
      <c r="X3802">
        <v>0.99746080000000004</v>
      </c>
      <c r="Y3802">
        <v>-0.28336729999999999</v>
      </c>
      <c r="Z3802">
        <v>-1.5682339999999999E-2</v>
      </c>
      <c r="AA3802">
        <v>0.95888320000000005</v>
      </c>
      <c r="AB3802">
        <v>19</v>
      </c>
      <c r="AC3802">
        <v>-20.412399999999899</v>
      </c>
      <c r="AD3802">
        <v>-1.11282153998929</v>
      </c>
      <c r="AE3802">
        <v>-2.8671999999999902</v>
      </c>
      <c r="AF3802">
        <v>-5.8835270016614896</v>
      </c>
      <c r="AG3802">
        <v>-1.11282153998929</v>
      </c>
      <c r="AH3802">
        <v>19.6927667476739</v>
      </c>
      <c r="AI3802">
        <v>93.099214069357103</v>
      </c>
      <c r="AJ3802">
        <v>106.63435135500001</v>
      </c>
      <c r="AK3802">
        <v>20.582986273557001</v>
      </c>
      <c r="AL3802">
        <v>87.316756381172993</v>
      </c>
      <c r="AM3802">
        <v>93.079885919662303</v>
      </c>
      <c r="AN3802">
        <v>1.0000000141482499</v>
      </c>
    </row>
    <row r="3803" spans="1:40" x14ac:dyDescent="0.3">
      <c r="A3803" t="str">
        <f>"20200111160531550"</f>
        <v>20200111160531550</v>
      </c>
      <c r="B3803" t="str">
        <f>"1578729931544843"</f>
        <v>1578729931544843</v>
      </c>
      <c r="C3803" t="s">
        <v>40</v>
      </c>
      <c r="D3803">
        <v>5.336741</v>
      </c>
      <c r="E3803">
        <v>0.41364459999999997</v>
      </c>
      <c r="F3803" t="s">
        <v>41</v>
      </c>
      <c r="G3803">
        <v>-238.26730000000001</v>
      </c>
      <c r="H3803" s="1">
        <v>-7.9607709999999898E-7</v>
      </c>
      <c r="I3803">
        <v>139.2191</v>
      </c>
      <c r="J3803">
        <v>-218.62950000000001</v>
      </c>
      <c r="K3803">
        <v>1.112824</v>
      </c>
      <c r="L3803">
        <v>142.0788</v>
      </c>
      <c r="M3803">
        <v>-0.98911349999999998</v>
      </c>
      <c r="N3803">
        <v>0</v>
      </c>
      <c r="O3803">
        <v>0.1465302</v>
      </c>
      <c r="P3803">
        <v>-0.99525609999999998</v>
      </c>
      <c r="Q3803">
        <v>3.286273E-2</v>
      </c>
      <c r="R3803">
        <v>9.1571399999999997E-2</v>
      </c>
      <c r="S3803">
        <v>-3.0646360000000001</v>
      </c>
      <c r="T3803">
        <v>-0.17220940000000001</v>
      </c>
      <c r="U3803">
        <v>-0.43931579999999898</v>
      </c>
      <c r="V3803">
        <v>-5.5500399999999998E-2</v>
      </c>
      <c r="W3803">
        <v>4.6095070000000002E-2</v>
      </c>
      <c r="X3803">
        <v>0.99739409999999895</v>
      </c>
      <c r="Y3803">
        <v>-0.2847594</v>
      </c>
      <c r="Z3803">
        <v>-1.6139460000000001E-2</v>
      </c>
      <c r="AA3803">
        <v>0.95846310000000001</v>
      </c>
      <c r="AB3803">
        <v>19</v>
      </c>
      <c r="AC3803">
        <v>-19.637799999999999</v>
      </c>
      <c r="AD3803">
        <v>-1.1128247960771001</v>
      </c>
      <c r="AE3803">
        <v>-2.8597000000000001</v>
      </c>
      <c r="AF3803">
        <v>-5.6887335669690602</v>
      </c>
      <c r="AG3803">
        <v>-1.1128247960771001</v>
      </c>
      <c r="AH3803">
        <v>18.947143817001098</v>
      </c>
      <c r="AI3803">
        <v>93.219630257907596</v>
      </c>
      <c r="AJ3803">
        <v>106.711978561565</v>
      </c>
      <c r="AK3803">
        <v>19.813993223094801</v>
      </c>
      <c r="AL3803">
        <v>87.358010925630794</v>
      </c>
      <c r="AM3803">
        <v>93.184962326224095</v>
      </c>
      <c r="AN3803">
        <v>1.0000000202966299</v>
      </c>
    </row>
    <row r="3804" spans="1:40" x14ac:dyDescent="0.3">
      <c r="A3804" t="str">
        <f>"20200111160531573"</f>
        <v>20200111160531573</v>
      </c>
      <c r="B3804" t="str">
        <f>"1578729931565339"</f>
        <v>1578729931565339</v>
      </c>
      <c r="C3804" t="s">
        <v>40</v>
      </c>
      <c r="D3804">
        <v>5.6993359999999997</v>
      </c>
      <c r="E3804">
        <v>0.44696330000000001</v>
      </c>
      <c r="F3804" t="s">
        <v>41</v>
      </c>
      <c r="G3804">
        <v>-237.9665</v>
      </c>
      <c r="H3804" s="1">
        <v>-9.2653429999999995E-7</v>
      </c>
      <c r="I3804">
        <v>139.21119999999999</v>
      </c>
      <c r="J3804">
        <v>-218.8159</v>
      </c>
      <c r="K3804">
        <v>1.1128199999999999</v>
      </c>
      <c r="L3804">
        <v>142.10130000000001</v>
      </c>
      <c r="M3804">
        <v>-0.98971699999999996</v>
      </c>
      <c r="N3804">
        <v>0</v>
      </c>
      <c r="O3804">
        <v>0.14239649999999901</v>
      </c>
      <c r="P3804">
        <v>-0.99583259999999996</v>
      </c>
      <c r="Q3804">
        <v>3.0524559999999999E-2</v>
      </c>
      <c r="R3804">
        <v>8.5940230000000006E-2</v>
      </c>
      <c r="S3804">
        <v>-3.06189</v>
      </c>
      <c r="T3804">
        <v>-0.17620829999999901</v>
      </c>
      <c r="U3804">
        <v>-0.45405580000000001</v>
      </c>
      <c r="V3804">
        <v>-5.6973549999999998E-2</v>
      </c>
      <c r="W3804">
        <v>4.3749969999999999E-2</v>
      </c>
      <c r="X3804">
        <v>0.99741659999999999</v>
      </c>
      <c r="Y3804">
        <v>-0.2853675</v>
      </c>
      <c r="Z3804">
        <v>-1.6304900000000001E-2</v>
      </c>
      <c r="AA3804">
        <v>0.95827949999999995</v>
      </c>
      <c r="AB3804">
        <v>19</v>
      </c>
      <c r="AC3804">
        <v>-19.150600000000001</v>
      </c>
      <c r="AD3804">
        <v>-1.1128209265343001</v>
      </c>
      <c r="AE3804">
        <v>-2.8901000000000101</v>
      </c>
      <c r="AF3804">
        <v>-5.5694848019749399</v>
      </c>
      <c r="AG3804">
        <v>-1.1128209265343001</v>
      </c>
      <c r="AH3804">
        <v>18.482815480660399</v>
      </c>
      <c r="AI3804">
        <v>93.299335568033698</v>
      </c>
      <c r="AJ3804">
        <v>106.769294849076</v>
      </c>
      <c r="AK3804">
        <v>19.335769947589402</v>
      </c>
      <c r="AL3804">
        <v>87.492510915604001</v>
      </c>
      <c r="AM3804">
        <v>93.269246339761906</v>
      </c>
      <c r="AN3804">
        <v>0.99999995961508004</v>
      </c>
    </row>
    <row r="3805" spans="1:40" x14ac:dyDescent="0.3">
      <c r="A3805" t="str">
        <f>"20200111160531594"</f>
        <v>20200111160531594</v>
      </c>
      <c r="B3805" t="str">
        <f>"1578729931585835"</f>
        <v>1578729931585835</v>
      </c>
      <c r="C3805" t="s">
        <v>40</v>
      </c>
      <c r="D3805">
        <v>5.4866869999999999</v>
      </c>
      <c r="E3805">
        <v>0.44984639999999998</v>
      </c>
      <c r="F3805" t="s">
        <v>41</v>
      </c>
      <c r="G3805">
        <v>-232.9853</v>
      </c>
      <c r="H3805" s="1">
        <v>-3.3916630000000001E-6</v>
      </c>
      <c r="I3805">
        <v>141.1198</v>
      </c>
      <c r="J3805">
        <v>-218.99850000000001</v>
      </c>
      <c r="K3805">
        <v>1.1128009999999999</v>
      </c>
      <c r="L3805">
        <v>142.12270000000001</v>
      </c>
      <c r="M3805">
        <v>-0.9902917</v>
      </c>
      <c r="N3805">
        <v>0</v>
      </c>
      <c r="O3805">
        <v>0.1383433</v>
      </c>
      <c r="P3805">
        <v>-0.99634219999999896</v>
      </c>
      <c r="Q3805">
        <v>2.8033410000000002E-2</v>
      </c>
      <c r="R3805">
        <v>8.0725099999999994E-2</v>
      </c>
      <c r="S3805">
        <v>-3.0380250000000002</v>
      </c>
      <c r="T3805">
        <v>-0.23859849999999999</v>
      </c>
      <c r="U3805">
        <v>-0.21043400000000001</v>
      </c>
      <c r="V3805">
        <v>-5.8109260000000003E-2</v>
      </c>
      <c r="W3805">
        <v>4.1254079999999999E-2</v>
      </c>
      <c r="X3805">
        <v>0.9974575</v>
      </c>
      <c r="Y3805">
        <v>-0.2054078</v>
      </c>
      <c r="Z3805">
        <v>-1.886734E-2</v>
      </c>
      <c r="AA3805">
        <v>0.97849459999999999</v>
      </c>
      <c r="AB3805">
        <v>18</v>
      </c>
      <c r="AC3805">
        <v>-13.986799999999899</v>
      </c>
      <c r="AD3805">
        <v>-1.1128043916629999</v>
      </c>
      <c r="AE3805">
        <v>-1.0029000000000099</v>
      </c>
      <c r="AF3805">
        <v>-2.9100857777209299</v>
      </c>
      <c r="AG3805">
        <v>-1.1128043916629999</v>
      </c>
      <c r="AH3805">
        <v>13.6277040177714</v>
      </c>
      <c r="AI3805">
        <v>94.565783436361997</v>
      </c>
      <c r="AJ3805">
        <v>102.05400433874701</v>
      </c>
      <c r="AK3805">
        <v>13.9793150634707</v>
      </c>
      <c r="AL3805">
        <v>87.635644414076495</v>
      </c>
      <c r="AM3805">
        <v>93.334133442192297</v>
      </c>
      <c r="AN3805">
        <v>1.00000002476032</v>
      </c>
    </row>
    <row r="3806" spans="1:40" x14ac:dyDescent="0.3">
      <c r="A3806" t="str">
        <f>"20200111160531617"</f>
        <v>20200111160531617</v>
      </c>
      <c r="B3806" t="str">
        <f>"1578729931605354"</f>
        <v>1578729931605354</v>
      </c>
      <c r="C3806" t="s">
        <v>40</v>
      </c>
      <c r="D3806">
        <v>5.4479129999999998</v>
      </c>
      <c r="E3806">
        <v>0.4518663</v>
      </c>
      <c r="F3806" t="s">
        <v>41</v>
      </c>
      <c r="G3806">
        <v>-232.56489999999999</v>
      </c>
      <c r="H3806" s="1">
        <v>-3.5972340000000001E-6</v>
      </c>
      <c r="I3806">
        <v>141.21459999999999</v>
      </c>
      <c r="J3806">
        <v>-219.17580000000001</v>
      </c>
      <c r="K3806">
        <v>1.1127769999999999</v>
      </c>
      <c r="L3806">
        <v>142.14269999999999</v>
      </c>
      <c r="M3806">
        <v>-0.99083239999999995</v>
      </c>
      <c r="N3806">
        <v>0</v>
      </c>
      <c r="O3806">
        <v>0.13441649999999999</v>
      </c>
      <c r="P3806">
        <v>-0.99670510000000001</v>
      </c>
      <c r="Q3806">
        <v>2.6518400000000001E-2</v>
      </c>
      <c r="R3806">
        <v>7.6653490000000005E-2</v>
      </c>
      <c r="S3806">
        <v>-3.0344850000000001</v>
      </c>
      <c r="T3806">
        <v>-0.24890799999999999</v>
      </c>
      <c r="U3806">
        <v>-0.20309450000000001</v>
      </c>
      <c r="V3806">
        <v>-5.82265E-2</v>
      </c>
      <c r="W3806">
        <v>3.9740409999999997E-2</v>
      </c>
      <c r="X3806">
        <v>0.99751210000000001</v>
      </c>
      <c r="Y3806">
        <v>-0.1991861</v>
      </c>
      <c r="Z3806">
        <v>-1.9129759999999999E-2</v>
      </c>
      <c r="AA3806">
        <v>0.97977499999999995</v>
      </c>
      <c r="AB3806">
        <v>18</v>
      </c>
      <c r="AC3806">
        <v>-13.3890999999999</v>
      </c>
      <c r="AD3806">
        <v>-1.1127805972339999</v>
      </c>
      <c r="AE3806">
        <v>-0.92810000000000004</v>
      </c>
      <c r="AF3806">
        <v>-2.7009891805639099</v>
      </c>
      <c r="AG3806">
        <v>-1.1127805972339999</v>
      </c>
      <c r="AH3806">
        <v>13.0530751078315</v>
      </c>
      <c r="AI3806">
        <v>94.772097902523299</v>
      </c>
      <c r="AJ3806">
        <v>101.690854833023</v>
      </c>
      <c r="AK3806">
        <v>13.375963254352699</v>
      </c>
      <c r="AL3806">
        <v>87.7224424884825</v>
      </c>
      <c r="AM3806">
        <v>93.3406626460486</v>
      </c>
      <c r="AN3806">
        <v>1.0000000075678099</v>
      </c>
    </row>
    <row r="3807" spans="1:40" x14ac:dyDescent="0.3">
      <c r="A3807" t="str">
        <f>"20200111160531639"</f>
        <v>20200111160531639</v>
      </c>
      <c r="B3807" t="str">
        <f>"1578729931635610"</f>
        <v>1578729931635610</v>
      </c>
      <c r="C3807" t="s">
        <v>40</v>
      </c>
      <c r="D3807">
        <v>5.3945280000000002</v>
      </c>
      <c r="E3807">
        <v>0.45256109999999999</v>
      </c>
      <c r="F3807" t="s">
        <v>41</v>
      </c>
      <c r="G3807">
        <v>-232.3621</v>
      </c>
      <c r="H3807" s="1">
        <v>-3.7001400000000002E-6</v>
      </c>
      <c r="I3807">
        <v>141.27440000000001</v>
      </c>
      <c r="J3807">
        <v>-219.35409999999999</v>
      </c>
      <c r="K3807">
        <v>1.1127590000000001</v>
      </c>
      <c r="L3807">
        <v>142.16200000000001</v>
      </c>
      <c r="M3807">
        <v>-0.99135790000000001</v>
      </c>
      <c r="N3807">
        <v>0</v>
      </c>
      <c r="O3807">
        <v>0.1304843</v>
      </c>
      <c r="P3807">
        <v>-0.99700840000000002</v>
      </c>
      <c r="Q3807">
        <v>2.6482100000000001E-2</v>
      </c>
      <c r="R3807">
        <v>7.2615550000000001E-2</v>
      </c>
      <c r="S3807">
        <v>-3.032089</v>
      </c>
      <c r="T3807">
        <v>-0.25587530000000003</v>
      </c>
      <c r="U3807">
        <v>-0.19963069999999999</v>
      </c>
      <c r="V3807">
        <v>-5.8307449999999997E-2</v>
      </c>
      <c r="W3807">
        <v>3.9704200000000002E-2</v>
      </c>
      <c r="X3807">
        <v>0.99750879999999997</v>
      </c>
      <c r="Y3807">
        <v>-0.19420009999999999</v>
      </c>
      <c r="Z3807">
        <v>-1.9140130000000002E-2</v>
      </c>
      <c r="AA3807">
        <v>0.98077519999999996</v>
      </c>
      <c r="AB3807">
        <v>18</v>
      </c>
      <c r="AC3807">
        <v>-13.007999999999999</v>
      </c>
      <c r="AD3807">
        <v>-1.11276270014</v>
      </c>
      <c r="AE3807">
        <v>-0.88759999999999195</v>
      </c>
      <c r="AF3807">
        <v>-2.5588667196660602</v>
      </c>
      <c r="AG3807">
        <v>-1.11276270014</v>
      </c>
      <c r="AH3807">
        <v>12.6885150683992</v>
      </c>
      <c r="AI3807">
        <v>94.913505176656003</v>
      </c>
      <c r="AJ3807">
        <v>101.40179334516201</v>
      </c>
      <c r="AK3807">
        <v>12.991707137895</v>
      </c>
      <c r="AL3807">
        <v>87.724518776814193</v>
      </c>
      <c r="AM3807">
        <v>93.345307538521396</v>
      </c>
      <c r="AN3807">
        <v>0.99999999415029095</v>
      </c>
    </row>
    <row r="3808" spans="1:40" x14ac:dyDescent="0.3">
      <c r="A3808" t="str">
        <f>"20200111160531660"</f>
        <v>20200111160531660</v>
      </c>
      <c r="B3808" t="str">
        <f>"1578729931655131"</f>
        <v>1578729931655131</v>
      </c>
      <c r="C3808" t="s">
        <v>40</v>
      </c>
      <c r="D3808">
        <v>5.4860860000000002</v>
      </c>
      <c r="E3808">
        <v>0.45232359999999999</v>
      </c>
      <c r="F3808" t="s">
        <v>41</v>
      </c>
      <c r="G3808">
        <v>-232.78110000000001</v>
      </c>
      <c r="H3808" s="1">
        <v>-3.514164E-6</v>
      </c>
      <c r="I3808">
        <v>141.25110000000001</v>
      </c>
      <c r="J3808">
        <v>-219.53299999999999</v>
      </c>
      <c r="K3808">
        <v>1.112744</v>
      </c>
      <c r="L3808">
        <v>142.1808</v>
      </c>
      <c r="M3808">
        <v>-0.99186649999999998</v>
      </c>
      <c r="N3808">
        <v>0</v>
      </c>
      <c r="O3808">
        <v>0.12656099999999901</v>
      </c>
      <c r="P3808">
        <v>-0.9971738</v>
      </c>
      <c r="Q3808">
        <v>2.8653959999999999E-2</v>
      </c>
      <c r="R3808">
        <v>6.9453269999999998E-2</v>
      </c>
      <c r="S3808">
        <v>-3.0306549999999999</v>
      </c>
      <c r="T3808">
        <v>-0.25116519999999998</v>
      </c>
      <c r="U3808">
        <v>-0.2055969</v>
      </c>
      <c r="V3808">
        <v>-5.752463E-2</v>
      </c>
      <c r="W3808">
        <v>4.1880580000000001E-2</v>
      </c>
      <c r="X3808">
        <v>0.9974653</v>
      </c>
      <c r="Y3808">
        <v>-0.1923327</v>
      </c>
      <c r="Z3808">
        <v>-1.8396900000000001E-2</v>
      </c>
      <c r="AA3808">
        <v>0.98115730000000001</v>
      </c>
      <c r="AB3808">
        <v>18</v>
      </c>
      <c r="AC3808">
        <v>-13.248100000000001</v>
      </c>
      <c r="AD3808">
        <v>-1.112747514164</v>
      </c>
      <c r="AE3808">
        <v>-0.92969999999999597</v>
      </c>
      <c r="AF3808">
        <v>-2.5809501874703402</v>
      </c>
      <c r="AG3808">
        <v>-1.112747514164</v>
      </c>
      <c r="AH3808">
        <v>12.9330821294079</v>
      </c>
      <c r="AI3808">
        <v>94.822915746193999</v>
      </c>
      <c r="AJ3808">
        <v>101.285793507729</v>
      </c>
      <c r="AK3808">
        <v>13.2349584157447</v>
      </c>
      <c r="AL3808">
        <v>87.599717606609403</v>
      </c>
      <c r="AM3808">
        <v>93.300637929031097</v>
      </c>
      <c r="AN3808">
        <v>1.0000000453709299</v>
      </c>
    </row>
    <row r="3809" spans="1:40" x14ac:dyDescent="0.3">
      <c r="A3809" t="str">
        <f>"20200111160531683"</f>
        <v>20200111160531683</v>
      </c>
      <c r="B3809" t="str">
        <f>"1578729931675630"</f>
        <v>1578729931675630</v>
      </c>
      <c r="C3809" t="s">
        <v>40</v>
      </c>
      <c r="D3809">
        <v>5.509735</v>
      </c>
      <c r="E3809">
        <v>0.4528044</v>
      </c>
      <c r="F3809" t="s">
        <v>41</v>
      </c>
      <c r="G3809">
        <v>-233.6611</v>
      </c>
      <c r="H3809" s="1">
        <v>-3.1157410000000002E-6</v>
      </c>
      <c r="I3809">
        <v>141.17240000000001</v>
      </c>
      <c r="J3809">
        <v>-219.71629999999999</v>
      </c>
      <c r="K3809">
        <v>1.112735</v>
      </c>
      <c r="L3809">
        <v>142.19929999999999</v>
      </c>
      <c r="M3809">
        <v>-0.99236919999999995</v>
      </c>
      <c r="N3809">
        <v>0</v>
      </c>
      <c r="O3809">
        <v>0.12255770000000001</v>
      </c>
      <c r="P3809">
        <v>-0.99739350000000004</v>
      </c>
      <c r="Q3809">
        <v>3.0208760000000001E-2</v>
      </c>
      <c r="R3809">
        <v>6.5526849999999998E-2</v>
      </c>
      <c r="S3809">
        <v>-3.0304259999999998</v>
      </c>
      <c r="T3809">
        <v>-0.2386798</v>
      </c>
      <c r="U3809">
        <v>-0.2162781</v>
      </c>
      <c r="V3809">
        <v>-5.7426640000000001E-2</v>
      </c>
      <c r="W3809">
        <v>4.3434609999999998E-2</v>
      </c>
      <c r="X3809">
        <v>0.99740450000000003</v>
      </c>
      <c r="Y3809">
        <v>-0.19193930000000001</v>
      </c>
      <c r="Z3809">
        <v>-1.7156290000000001E-2</v>
      </c>
      <c r="AA3809">
        <v>0.98125680000000004</v>
      </c>
      <c r="AB3809">
        <v>18</v>
      </c>
      <c r="AC3809">
        <v>-13.944800000000001</v>
      </c>
      <c r="AD3809">
        <v>-1.1127381157409999</v>
      </c>
      <c r="AE3809">
        <v>-1.0268999999999799</v>
      </c>
      <c r="AF3809">
        <v>-2.71118611287514</v>
      </c>
      <c r="AG3809">
        <v>-1.1127381157409999</v>
      </c>
      <c r="AH3809">
        <v>13.627486770010499</v>
      </c>
      <c r="AI3809">
        <v>94.578727244805705</v>
      </c>
      <c r="AJ3809">
        <v>101.252064484651</v>
      </c>
      <c r="AK3809">
        <v>13.939049893005</v>
      </c>
      <c r="AL3809">
        <v>87.510597157138605</v>
      </c>
      <c r="AM3809">
        <v>93.295228291826007</v>
      </c>
      <c r="AN3809">
        <v>1.0000000604738899</v>
      </c>
    </row>
    <row r="3810" spans="1:40" x14ac:dyDescent="0.3">
      <c r="A3810" t="str">
        <f>"20200111160531708"</f>
        <v>20200111160531708</v>
      </c>
      <c r="B3810" t="str">
        <f>"1578729931705886"</f>
        <v>1578729931705886</v>
      </c>
      <c r="C3810" t="s">
        <v>40</v>
      </c>
      <c r="D3810">
        <v>5.4233979999999997</v>
      </c>
      <c r="E3810">
        <v>0.45369660000000001</v>
      </c>
      <c r="F3810" t="s">
        <v>41</v>
      </c>
      <c r="G3810">
        <v>-234.4015</v>
      </c>
      <c r="H3810" s="1">
        <v>-2.7832840000000001E-6</v>
      </c>
      <c r="I3810">
        <v>141.11670000000001</v>
      </c>
      <c r="J3810">
        <v>-219.91149999999999</v>
      </c>
      <c r="K3810">
        <v>1.112724</v>
      </c>
      <c r="L3810">
        <v>142.2182</v>
      </c>
      <c r="M3810">
        <v>-0.99288339999999997</v>
      </c>
      <c r="N3810">
        <v>0</v>
      </c>
      <c r="O3810">
        <v>0.11831899999999999</v>
      </c>
      <c r="P3810">
        <v>-0.99762419999999996</v>
      </c>
      <c r="Q3810">
        <v>3.1024739999999999E-2</v>
      </c>
      <c r="R3810">
        <v>6.1511219999999998E-2</v>
      </c>
      <c r="S3810">
        <v>-3.02948</v>
      </c>
      <c r="T3810">
        <v>-0.22955310000000001</v>
      </c>
      <c r="U3810">
        <v>-0.22332759999999999</v>
      </c>
      <c r="V3810">
        <v>-5.7181080000000002E-2</v>
      </c>
      <c r="W3810">
        <v>4.425159E-2</v>
      </c>
      <c r="X3810">
        <v>0.99738260000000001</v>
      </c>
      <c r="Y3810">
        <v>-0.19013150000000001</v>
      </c>
      <c r="Z3810">
        <v>-1.611868E-2</v>
      </c>
      <c r="AA3810">
        <v>0.98162629999999995</v>
      </c>
      <c r="AB3810">
        <v>18</v>
      </c>
      <c r="AC3810">
        <v>-14.49</v>
      </c>
      <c r="AD3810">
        <v>-1.112726783284</v>
      </c>
      <c r="AE3810">
        <v>-1.1014999999999799</v>
      </c>
      <c r="AF3810">
        <v>-2.79199047056925</v>
      </c>
      <c r="AG3810">
        <v>-1.112726783284</v>
      </c>
      <c r="AH3810">
        <v>14.1747479542333</v>
      </c>
      <c r="AI3810">
        <v>94.404269940269401</v>
      </c>
      <c r="AJ3810">
        <v>101.142869085119</v>
      </c>
      <c r="AK3810">
        <v>14.489887896323699</v>
      </c>
      <c r="AL3810">
        <v>87.463742356312395</v>
      </c>
      <c r="AM3810">
        <v>93.281240425543501</v>
      </c>
      <c r="AN3810">
        <v>0.999999964955126</v>
      </c>
    </row>
    <row r="3811" spans="1:40" x14ac:dyDescent="0.3">
      <c r="A3811" t="str">
        <f>"20200111160531730"</f>
        <v>20200111160531730</v>
      </c>
      <c r="B3811" t="str">
        <f>"1578729931725406"</f>
        <v>1578729931725406</v>
      </c>
      <c r="C3811" t="s">
        <v>40</v>
      </c>
      <c r="D3811">
        <v>5.5131680000000003</v>
      </c>
      <c r="E3811">
        <v>0.45406649999999998</v>
      </c>
      <c r="F3811" t="s">
        <v>41</v>
      </c>
      <c r="G3811">
        <v>-235.10390000000001</v>
      </c>
      <c r="H3811" s="1">
        <v>-2.4719029999999999E-6</v>
      </c>
      <c r="I3811">
        <v>141.0789</v>
      </c>
      <c r="J3811">
        <v>-220.08199999999999</v>
      </c>
      <c r="K3811">
        <v>1.1127129999999901</v>
      </c>
      <c r="L3811">
        <v>142.23390000000001</v>
      </c>
      <c r="M3811">
        <v>-0.99331639999999999</v>
      </c>
      <c r="N3811">
        <v>0</v>
      </c>
      <c r="O3811">
        <v>0.11462890000000001</v>
      </c>
      <c r="P3811">
        <v>-0.99781220000000004</v>
      </c>
      <c r="Q3811">
        <v>3.2319019999999997E-2</v>
      </c>
      <c r="R3811">
        <v>5.767398E-2</v>
      </c>
      <c r="S3811">
        <v>-3.0280459999999998</v>
      </c>
      <c r="T3811">
        <v>-0.22178129999999999</v>
      </c>
      <c r="U3811">
        <v>-0.2270508</v>
      </c>
      <c r="V3811">
        <v>-5.7310920000000001E-2</v>
      </c>
      <c r="W3811">
        <v>4.554395E-2</v>
      </c>
      <c r="X3811">
        <v>0.99731700000000001</v>
      </c>
      <c r="Y3811">
        <v>-0.18779190000000001</v>
      </c>
      <c r="Z3811">
        <v>-1.5227030000000001E-2</v>
      </c>
      <c r="AA3811">
        <v>0.98209080000000004</v>
      </c>
      <c r="AB3811">
        <v>18</v>
      </c>
      <c r="AC3811">
        <v>-15.0219</v>
      </c>
      <c r="AD3811">
        <v>-1.1127154719029999</v>
      </c>
      <c r="AE3811">
        <v>-1.155</v>
      </c>
      <c r="AF3811">
        <v>-2.8539196810618601</v>
      </c>
      <c r="AG3811">
        <v>-1.1127154719029999</v>
      </c>
      <c r="AH3811">
        <v>14.7102171866212</v>
      </c>
      <c r="AI3811">
        <v>94.246860901066498</v>
      </c>
      <c r="AJ3811">
        <v>100.97951804001499</v>
      </c>
      <c r="AK3811">
        <v>15.0257606444709</v>
      </c>
      <c r="AL3811">
        <v>87.389620910110807</v>
      </c>
      <c r="AM3811">
        <v>93.288890583754494</v>
      </c>
      <c r="AN3811">
        <v>0.99999999571092402</v>
      </c>
    </row>
    <row r="3812" spans="1:40" x14ac:dyDescent="0.3">
      <c r="A3812" t="str">
        <f>"20200111160531751"</f>
        <v>20200111160531751</v>
      </c>
      <c r="B3812" t="str">
        <f>"1578729931745903"</f>
        <v>1578729931745903</v>
      </c>
      <c r="C3812" t="s">
        <v>40</v>
      </c>
      <c r="D3812">
        <v>5.5700570000000003</v>
      </c>
      <c r="E3812">
        <v>0.45429340000000001</v>
      </c>
      <c r="F3812" t="s">
        <v>41</v>
      </c>
      <c r="G3812">
        <v>-235.60929999999999</v>
      </c>
      <c r="H3812" s="1">
        <v>-2.2418170000000001E-6</v>
      </c>
      <c r="I3812">
        <v>141.0291</v>
      </c>
      <c r="J3812">
        <v>-220.26</v>
      </c>
      <c r="K3812">
        <v>1.1127</v>
      </c>
      <c r="L3812">
        <v>142.24979999999999</v>
      </c>
      <c r="M3812">
        <v>-0.99375230000000003</v>
      </c>
      <c r="N3812">
        <v>0</v>
      </c>
      <c r="O3812">
        <v>0.11078639999999999</v>
      </c>
      <c r="P3812">
        <v>-0.99798299999999995</v>
      </c>
      <c r="Q3812">
        <v>3.3786299999999998E-2</v>
      </c>
      <c r="R3812">
        <v>5.3745840000000003E-2</v>
      </c>
      <c r="S3812">
        <v>-3.0271910000000002</v>
      </c>
      <c r="T3812">
        <v>-0.21693370000000001</v>
      </c>
      <c r="U3812">
        <v>-0.23487849999999999</v>
      </c>
      <c r="V3812">
        <v>-5.7379300000000001E-2</v>
      </c>
      <c r="W3812">
        <v>4.7010080000000003E-2</v>
      </c>
      <c r="X3812">
        <v>0.99724500000000005</v>
      </c>
      <c r="Y3812">
        <v>-0.18658659999999999</v>
      </c>
      <c r="Z3812">
        <v>-1.4581129999999999E-2</v>
      </c>
      <c r="AA3812">
        <v>0.98233029999999999</v>
      </c>
      <c r="AB3812">
        <v>18</v>
      </c>
      <c r="AC3812">
        <v>-15.349299999999999</v>
      </c>
      <c r="AD3812">
        <v>-1.1127022418170001</v>
      </c>
      <c r="AE3812">
        <v>-1.2206999999999899</v>
      </c>
      <c r="AF3812">
        <v>-2.8986961783552898</v>
      </c>
      <c r="AG3812">
        <v>-1.1127022418170001</v>
      </c>
      <c r="AH3812">
        <v>15.041001600354299</v>
      </c>
      <c r="AI3812">
        <v>94.154739702741907</v>
      </c>
      <c r="AJ3812">
        <v>100.908285557727</v>
      </c>
      <c r="AK3812">
        <v>15.3581338370004</v>
      </c>
      <c r="AL3812">
        <v>87.3055276533361</v>
      </c>
      <c r="AM3812">
        <v>93.293043277664395</v>
      </c>
      <c r="AN3812">
        <v>0.99999996085754705</v>
      </c>
    </row>
    <row r="3813" spans="1:40" x14ac:dyDescent="0.3">
      <c r="A3813" t="str">
        <f>"20200111160531774"</f>
        <v>20200111160531774</v>
      </c>
      <c r="B3813" t="str">
        <f>"1578729931765422"</f>
        <v>1578729931765422</v>
      </c>
      <c r="C3813" t="s">
        <v>40</v>
      </c>
      <c r="D3813">
        <v>5.4345720000000002</v>
      </c>
      <c r="E3813">
        <v>0.45480540000000003</v>
      </c>
      <c r="F3813" t="s">
        <v>41</v>
      </c>
      <c r="G3813">
        <v>-236.1131</v>
      </c>
      <c r="H3813" s="1">
        <v>-2.0105289999999998E-6</v>
      </c>
      <c r="I3813">
        <v>140.97210000000001</v>
      </c>
      <c r="J3813">
        <v>-220.44540000000001</v>
      </c>
      <c r="K3813">
        <v>1.112689</v>
      </c>
      <c r="L3813">
        <v>142.2655</v>
      </c>
      <c r="M3813">
        <v>-0.99418960000000001</v>
      </c>
      <c r="N3813">
        <v>0</v>
      </c>
      <c r="O3813">
        <v>0.1067905</v>
      </c>
      <c r="P3813">
        <v>-0.99821309999999996</v>
      </c>
      <c r="Q3813">
        <v>3.4310220000000002E-2</v>
      </c>
      <c r="R3813">
        <v>4.8925969999999999E-2</v>
      </c>
      <c r="S3813">
        <v>-3.0263520000000002</v>
      </c>
      <c r="T3813">
        <v>-0.21241460000000001</v>
      </c>
      <c r="U3813">
        <v>-0.24389649999999999</v>
      </c>
      <c r="V3813">
        <v>-5.8184340000000001E-2</v>
      </c>
      <c r="W3813">
        <v>4.7528300000000002E-2</v>
      </c>
      <c r="X3813">
        <v>0.9971738</v>
      </c>
      <c r="Y3813">
        <v>-0.18561059999999999</v>
      </c>
      <c r="Z3813">
        <v>-1.3967510000000001E-2</v>
      </c>
      <c r="AA3813">
        <v>0.98252410000000001</v>
      </c>
      <c r="AB3813">
        <v>18</v>
      </c>
      <c r="AC3813">
        <v>-15.6676999999999</v>
      </c>
      <c r="AD3813">
        <v>-1.112691010529</v>
      </c>
      <c r="AE3813">
        <v>-1.2933999999999899</v>
      </c>
      <c r="AF3813">
        <v>-2.9445662574729701</v>
      </c>
      <c r="AG3813">
        <v>-1.112691010529</v>
      </c>
      <c r="AH3813">
        <v>15.3629930876003</v>
      </c>
      <c r="AI3813">
        <v>94.068707122258402</v>
      </c>
      <c r="AJ3813">
        <v>100.850077946163</v>
      </c>
      <c r="AK3813">
        <v>15.6821589183127</v>
      </c>
      <c r="AL3813">
        <v>87.275802636487398</v>
      </c>
      <c r="AM3813">
        <v>93.339379216269293</v>
      </c>
      <c r="AN3813">
        <v>0.99999997206428204</v>
      </c>
    </row>
    <row r="3814" spans="1:40" x14ac:dyDescent="0.3">
      <c r="A3814" t="str">
        <f>"20200111160531796"</f>
        <v>20200111160531796</v>
      </c>
      <c r="B3814" t="str">
        <f>"1578729931785450"</f>
        <v>1578729931785450</v>
      </c>
      <c r="C3814" t="s">
        <v>40</v>
      </c>
      <c r="D3814">
        <v>5.4604910000000002</v>
      </c>
      <c r="E3814">
        <v>0.45546789999999998</v>
      </c>
      <c r="F3814" t="s">
        <v>41</v>
      </c>
      <c r="G3814">
        <v>-236.39070000000001</v>
      </c>
      <c r="H3814" s="1">
        <v>-1.8801720000000001E-6</v>
      </c>
      <c r="I3814">
        <v>140.9297</v>
      </c>
      <c r="J3814">
        <v>-220.619</v>
      </c>
      <c r="K3814">
        <v>1.1126769999999999</v>
      </c>
      <c r="L3814">
        <v>142.27959999999999</v>
      </c>
      <c r="M3814">
        <v>-0.99458380000000002</v>
      </c>
      <c r="N3814">
        <v>0</v>
      </c>
      <c r="O3814">
        <v>0.1030537</v>
      </c>
      <c r="P3814">
        <v>-0.99845589999999995</v>
      </c>
      <c r="Q3814">
        <v>3.3904959999999998E-2</v>
      </c>
      <c r="R3814">
        <v>4.4000030000000002E-2</v>
      </c>
      <c r="S3814">
        <v>-3.025055</v>
      </c>
      <c r="T3814">
        <v>-0.2110938</v>
      </c>
      <c r="U3814">
        <v>-0.25340269999999998</v>
      </c>
      <c r="V3814">
        <v>-5.9356100000000002E-2</v>
      </c>
      <c r="W3814">
        <v>4.7115829999999997E-2</v>
      </c>
      <c r="X3814">
        <v>0.99712429999999996</v>
      </c>
      <c r="Y3814">
        <v>-0.18503800000000001</v>
      </c>
      <c r="Z3814">
        <v>-1.3605910000000001E-2</v>
      </c>
      <c r="AA3814">
        <v>0.98263719999999999</v>
      </c>
      <c r="AB3814">
        <v>18</v>
      </c>
      <c r="AC3814">
        <v>-15.7716999999999</v>
      </c>
      <c r="AD3814">
        <v>-1.112678880172</v>
      </c>
      <c r="AE3814">
        <v>-1.3498999999999901</v>
      </c>
      <c r="AF3814">
        <v>-2.9535986521770998</v>
      </c>
      <c r="AG3814">
        <v>-1.112678880172</v>
      </c>
      <c r="AH3814">
        <v>15.472140406384099</v>
      </c>
      <c r="AI3814">
        <v>94.040627077695007</v>
      </c>
      <c r="AJ3814">
        <v>100.807610651253</v>
      </c>
      <c r="AK3814">
        <v>15.7907861755958</v>
      </c>
      <c r="AL3814">
        <v>87.299461897674007</v>
      </c>
      <c r="AM3814">
        <v>93.406642045379499</v>
      </c>
      <c r="AN3814">
        <v>0.99999995884714299</v>
      </c>
    </row>
    <row r="3815" spans="1:40" x14ac:dyDescent="0.3">
      <c r="A3815" t="str">
        <f>"20200111160531817"</f>
        <v>20200111160531817</v>
      </c>
      <c r="B3815" t="str">
        <f>"1578729931815707"</f>
        <v>1578729931815707</v>
      </c>
      <c r="C3815" t="s">
        <v>40</v>
      </c>
      <c r="D3815">
        <v>5.4638460000000002</v>
      </c>
      <c r="E3815">
        <v>0.45181500000000002</v>
      </c>
      <c r="F3815" t="s">
        <v>41</v>
      </c>
      <c r="G3815">
        <v>-236.446</v>
      </c>
      <c r="H3815" s="1">
        <v>-1.8501380000000001E-6</v>
      </c>
      <c r="I3815">
        <v>140.90610000000001</v>
      </c>
      <c r="J3815">
        <v>-220.79429999999999</v>
      </c>
      <c r="K3815">
        <v>1.112671</v>
      </c>
      <c r="L3815">
        <v>142.29320000000001</v>
      </c>
      <c r="M3815">
        <v>-0.99496719999999905</v>
      </c>
      <c r="N3815">
        <v>0</v>
      </c>
      <c r="O3815">
        <v>9.928534E-2</v>
      </c>
      <c r="P3815">
        <v>-0.99869949999999996</v>
      </c>
      <c r="Q3815">
        <v>3.3329310000000001E-2</v>
      </c>
      <c r="R3815">
        <v>3.857936E-2</v>
      </c>
      <c r="S3815">
        <v>-3.0234529999999999</v>
      </c>
      <c r="T3815">
        <v>-0.21255679999999999</v>
      </c>
      <c r="U3815">
        <v>-0.26237490000000002</v>
      </c>
      <c r="V3815">
        <v>-6.099094E-2</v>
      </c>
      <c r="W3815">
        <v>4.6530429999999998E-2</v>
      </c>
      <c r="X3815">
        <v>0.99705310000000003</v>
      </c>
      <c r="Y3815">
        <v>-0.1842549</v>
      </c>
      <c r="Z3815">
        <v>-1.341462E-2</v>
      </c>
      <c r="AA3815">
        <v>0.98278699999999997</v>
      </c>
      <c r="AB3815">
        <v>18</v>
      </c>
      <c r="AC3815">
        <v>-15.6517</v>
      </c>
      <c r="AD3815">
        <v>-1.1126728501380001</v>
      </c>
      <c r="AE3815">
        <v>-1.3871</v>
      </c>
      <c r="AF3815">
        <v>-2.9197308733755798</v>
      </c>
      <c r="AG3815">
        <v>-1.1126728501380001</v>
      </c>
      <c r="AH3815">
        <v>15.359601210352499</v>
      </c>
      <c r="AI3815">
        <v>94.070712742138497</v>
      </c>
      <c r="AJ3815">
        <v>100.76303136874</v>
      </c>
      <c r="AK3815">
        <v>15.674189567101701</v>
      </c>
      <c r="AL3815">
        <v>87.333039599992006</v>
      </c>
      <c r="AM3815">
        <v>93.500490066480594</v>
      </c>
      <c r="AN3815">
        <v>0.99999992994883602</v>
      </c>
    </row>
    <row r="3816" spans="1:40" x14ac:dyDescent="0.3">
      <c r="A3816" t="str">
        <f>"20200111160531840"</f>
        <v>20200111160531840</v>
      </c>
      <c r="B3816" t="str">
        <f>"1578729931835227"</f>
        <v>1578729931835227</v>
      </c>
      <c r="C3816" t="s">
        <v>40</v>
      </c>
      <c r="D3816">
        <v>5.6741190000000001</v>
      </c>
      <c r="E3816">
        <v>0.45823979999999997</v>
      </c>
      <c r="F3816" t="s">
        <v>75</v>
      </c>
      <c r="G3816">
        <v>-318.31529999999998</v>
      </c>
      <c r="H3816" s="1">
        <v>-3.7980720000000002E-6</v>
      </c>
      <c r="I3816">
        <v>133.02629999999999</v>
      </c>
      <c r="J3816">
        <v>-220.96979999999999</v>
      </c>
      <c r="K3816">
        <v>1.1126560000000001</v>
      </c>
      <c r="L3816">
        <v>142.30609999999999</v>
      </c>
      <c r="M3816">
        <v>-0.99533649999999996</v>
      </c>
      <c r="N3816">
        <v>0</v>
      </c>
      <c r="O3816">
        <v>9.5513310000000004E-2</v>
      </c>
      <c r="P3816">
        <v>-0.99892020000000004</v>
      </c>
      <c r="Q3816">
        <v>3.2108699999999997E-2</v>
      </c>
      <c r="R3816">
        <v>3.3575550000000003E-2</v>
      </c>
      <c r="S3816">
        <v>-3.0161440000000002</v>
      </c>
      <c r="T3816">
        <v>-3.4412980000000003E-2</v>
      </c>
      <c r="U3816">
        <v>-0.28660580000000002</v>
      </c>
      <c r="V3816">
        <v>-6.2204370000000002E-2</v>
      </c>
      <c r="W3816">
        <v>4.5302439999999999E-2</v>
      </c>
      <c r="X3816">
        <v>0.99703470000000005</v>
      </c>
      <c r="Y3816">
        <v>-0.18924050000000001</v>
      </c>
      <c r="Z3816">
        <v>-2.1644899999999998E-3</v>
      </c>
      <c r="AA3816">
        <v>0.98192829999999998</v>
      </c>
      <c r="AB3816">
        <v>18</v>
      </c>
      <c r="AC3816">
        <v>-97.345500000000001</v>
      </c>
      <c r="AD3816">
        <v>-1.1126597980720001</v>
      </c>
      <c r="AE3816">
        <v>-9.2797999999999892</v>
      </c>
      <c r="AF3816">
        <v>-18.533606163869798</v>
      </c>
      <c r="AG3816">
        <v>-1.1126597980720001</v>
      </c>
      <c r="AH3816">
        <v>96.001515394121597</v>
      </c>
      <c r="AI3816">
        <v>90.651991912345295</v>
      </c>
      <c r="AJ3816">
        <v>100.926831223105</v>
      </c>
      <c r="AK3816">
        <v>97.780486433804597</v>
      </c>
      <c r="AL3816">
        <v>87.403472576549603</v>
      </c>
      <c r="AM3816">
        <v>93.570020546499407</v>
      </c>
      <c r="AN3816">
        <v>0.99999994386056801</v>
      </c>
    </row>
    <row r="3817" spans="1:40" x14ac:dyDescent="0.3">
      <c r="A3817" t="str">
        <f>"20200111160531862"</f>
        <v>20200111160531862</v>
      </c>
      <c r="B3817" t="str">
        <f>"1578729931855723"</f>
        <v>1578729931855723</v>
      </c>
      <c r="C3817" t="s">
        <v>40</v>
      </c>
      <c r="D3817">
        <v>5.6355700000000004</v>
      </c>
      <c r="E3817">
        <v>0.4618447</v>
      </c>
      <c r="F3817" t="s">
        <v>41</v>
      </c>
      <c r="G3817">
        <v>-252.09790000000001</v>
      </c>
      <c r="H3817" s="1">
        <v>-3.3791700000000002E-6</v>
      </c>
      <c r="I3817">
        <v>139.6421</v>
      </c>
      <c r="J3817">
        <v>-221.15549999999999</v>
      </c>
      <c r="K3817">
        <v>1.1126469999999999</v>
      </c>
      <c r="L3817">
        <v>142.31909999999999</v>
      </c>
      <c r="M3817">
        <v>-0.99571129999999997</v>
      </c>
      <c r="N3817">
        <v>0</v>
      </c>
      <c r="O3817">
        <v>9.1524159999999993E-2</v>
      </c>
      <c r="P3817">
        <v>-0.99912889999999999</v>
      </c>
      <c r="Q3817">
        <v>3.0521309999999999E-2</v>
      </c>
      <c r="R3817">
        <v>2.8461130000000001E-2</v>
      </c>
      <c r="S3817">
        <v>-3.015396</v>
      </c>
      <c r="T3817">
        <v>-0.107784199999999</v>
      </c>
      <c r="U3817">
        <v>-0.25805660000000002</v>
      </c>
      <c r="V3817">
        <v>-6.3310409999999998E-2</v>
      </c>
      <c r="W3817">
        <v>4.3701860000000002E-2</v>
      </c>
      <c r="X3817">
        <v>0.99703660000000005</v>
      </c>
      <c r="Y3817">
        <v>-0.1759394</v>
      </c>
      <c r="Z3817">
        <v>-6.4022590000000004E-3</v>
      </c>
      <c r="AA3817">
        <v>0.98438020000000004</v>
      </c>
      <c r="AB3817">
        <v>18</v>
      </c>
      <c r="AC3817">
        <v>-30.942399999999999</v>
      </c>
      <c r="AD3817">
        <v>-1.11265037917</v>
      </c>
      <c r="AE3817">
        <v>-2.6769999999999898</v>
      </c>
      <c r="AF3817">
        <v>-5.4909503513040701</v>
      </c>
      <c r="AG3817">
        <v>-1.11265037917</v>
      </c>
      <c r="AH3817">
        <v>30.528293233208899</v>
      </c>
      <c r="AI3817">
        <v>92.054371268843497</v>
      </c>
      <c r="AJ3817">
        <v>100.196442982091</v>
      </c>
      <c r="AK3817">
        <v>31.038125174687099</v>
      </c>
      <c r="AL3817">
        <v>87.495270208859296</v>
      </c>
      <c r="AM3817">
        <v>93.633322705482101</v>
      </c>
      <c r="AN3817">
        <v>1.0000000211606901</v>
      </c>
    </row>
    <row r="3818" spans="1:40" x14ac:dyDescent="0.3">
      <c r="A3818" t="str">
        <f>"20200111160531885"</f>
        <v>20200111160531885</v>
      </c>
      <c r="B3818" t="str">
        <f>"1578729931875749"</f>
        <v>1578729931875749</v>
      </c>
      <c r="C3818" t="s">
        <v>40</v>
      </c>
      <c r="D3818">
        <v>5.6675519999999997</v>
      </c>
      <c r="E3818">
        <v>0.4634952</v>
      </c>
      <c r="F3818" t="s">
        <v>41</v>
      </c>
      <c r="G3818">
        <v>-244.65010000000001</v>
      </c>
      <c r="H3818" s="1">
        <v>-2.4829430000000001E-6</v>
      </c>
      <c r="I3818">
        <v>140.3888</v>
      </c>
      <c r="J3818">
        <v>-221.33099999999999</v>
      </c>
      <c r="K3818">
        <v>1.1126259999999999</v>
      </c>
      <c r="L3818">
        <v>142.3306</v>
      </c>
      <c r="M3818">
        <v>-0.99605319999999997</v>
      </c>
      <c r="N3818">
        <v>0</v>
      </c>
      <c r="O3818">
        <v>8.7737930000000006E-2</v>
      </c>
      <c r="P3818">
        <v>-0.99930359999999996</v>
      </c>
      <c r="Q3818">
        <v>2.8986720000000001E-2</v>
      </c>
      <c r="R3818">
        <v>2.3504009999999999E-2</v>
      </c>
      <c r="S3818">
        <v>-3.0140229999999999</v>
      </c>
      <c r="T3818">
        <v>-0.1427369</v>
      </c>
      <c r="U3818">
        <v>-0.2476196</v>
      </c>
      <c r="V3818">
        <v>-6.4463969999999995E-2</v>
      </c>
      <c r="W3818">
        <v>4.2080670000000001E-2</v>
      </c>
      <c r="X3818">
        <v>0.99703240000000004</v>
      </c>
      <c r="Y3818">
        <v>-0.16872960000000001</v>
      </c>
      <c r="Z3818">
        <v>-8.1322319999999997E-3</v>
      </c>
      <c r="AA3818">
        <v>0.98562879999999997</v>
      </c>
      <c r="AB3818">
        <v>18</v>
      </c>
      <c r="AC3818">
        <v>-23.319099999999999</v>
      </c>
      <c r="AD3818">
        <v>-1.112628482943</v>
      </c>
      <c r="AE3818">
        <v>-1.9418</v>
      </c>
      <c r="AF3818">
        <v>-3.9714850662235199</v>
      </c>
      <c r="AG3818">
        <v>-1.112628482943</v>
      </c>
      <c r="AH3818">
        <v>23.006755646524098</v>
      </c>
      <c r="AI3818">
        <v>92.728430120837899</v>
      </c>
      <c r="AJ3818">
        <v>99.794022802206797</v>
      </c>
      <c r="AK3818">
        <v>23.373520084727598</v>
      </c>
      <c r="AL3818">
        <v>87.588243060923006</v>
      </c>
      <c r="AM3818">
        <v>93.6993577357688</v>
      </c>
      <c r="AN3818">
        <v>0.99999999643278403</v>
      </c>
    </row>
    <row r="3819" spans="1:40" x14ac:dyDescent="0.3">
      <c r="A3819" t="str">
        <f>"20200111160531906"</f>
        <v>20200111160531906</v>
      </c>
      <c r="B3819" t="str">
        <f>"1578729931895270"</f>
        <v>1578729931895270</v>
      </c>
      <c r="C3819" t="s">
        <v>40</v>
      </c>
      <c r="D3819">
        <v>5.665743</v>
      </c>
      <c r="E3819">
        <v>0.46538570000000001</v>
      </c>
      <c r="F3819" t="s">
        <v>41</v>
      </c>
      <c r="G3819">
        <v>-242.03530000000001</v>
      </c>
      <c r="H3819" s="1">
        <v>-3.6632200000000001E-6</v>
      </c>
      <c r="I3819">
        <v>140.6088</v>
      </c>
      <c r="J3819">
        <v>-221.51169999999999</v>
      </c>
      <c r="K3819">
        <v>1.1125860000000001</v>
      </c>
      <c r="L3819">
        <v>142.34180000000001</v>
      </c>
      <c r="M3819">
        <v>-0.99639279999999997</v>
      </c>
      <c r="N3819">
        <v>0</v>
      </c>
      <c r="O3819">
        <v>8.3824679999999999E-2</v>
      </c>
      <c r="P3819">
        <v>-0.99943289999999996</v>
      </c>
      <c r="Q3819">
        <v>2.794083E-2</v>
      </c>
      <c r="R3819">
        <v>1.879629E-2</v>
      </c>
      <c r="S3819">
        <v>-3.01268</v>
      </c>
      <c r="T3819">
        <v>-0.16189809999999999</v>
      </c>
      <c r="U3819">
        <v>-0.25053409999999998</v>
      </c>
      <c r="V3819">
        <v>-6.5242270000000005E-2</v>
      </c>
      <c r="W3819">
        <v>4.0828620000000003E-2</v>
      </c>
      <c r="X3819">
        <v>0.99703379999999997</v>
      </c>
      <c r="Y3819">
        <v>-0.16576759999999999</v>
      </c>
      <c r="Z3819">
        <v>-8.937225E-3</v>
      </c>
      <c r="AA3819">
        <v>0.98612429999999995</v>
      </c>
      <c r="AB3819">
        <v>18</v>
      </c>
      <c r="AC3819">
        <v>-20.523599999999998</v>
      </c>
      <c r="AD3819">
        <v>-1.1125896632200001</v>
      </c>
      <c r="AE3819">
        <v>-1.7330000000000001</v>
      </c>
      <c r="AF3819">
        <v>-3.4374040994679098</v>
      </c>
      <c r="AG3819">
        <v>-1.1125896632200001</v>
      </c>
      <c r="AH3819">
        <v>20.246994381570801</v>
      </c>
      <c r="AI3819">
        <v>93.1010045304904</v>
      </c>
      <c r="AJ3819">
        <v>99.635434612634199</v>
      </c>
      <c r="AK3819">
        <v>20.566827275715099</v>
      </c>
      <c r="AL3819">
        <v>87.660041890401899</v>
      </c>
      <c r="AM3819">
        <v>93.743890086988401</v>
      </c>
      <c r="AN3819">
        <v>0.99999996417414805</v>
      </c>
    </row>
    <row r="3820" spans="1:40" x14ac:dyDescent="0.3">
      <c r="A3820" t="str">
        <f>"20200111160531930"</f>
        <v>20200111160531930</v>
      </c>
      <c r="B3820" t="str">
        <f>"1578729931925526"</f>
        <v>1578729931925526</v>
      </c>
      <c r="C3820" t="s">
        <v>40</v>
      </c>
      <c r="D3820">
        <v>5.5486879999999896</v>
      </c>
      <c r="E3820">
        <v>0.46610400000000002</v>
      </c>
      <c r="F3820" t="s">
        <v>41</v>
      </c>
      <c r="G3820">
        <v>-240.25290000000001</v>
      </c>
      <c r="H3820" s="1">
        <v>-4.3969820000000003E-6</v>
      </c>
      <c r="I3820">
        <v>140.7833</v>
      </c>
      <c r="J3820">
        <v>-221.69540000000001</v>
      </c>
      <c r="K3820">
        <v>1.112536</v>
      </c>
      <c r="L3820">
        <v>142.35249999999999</v>
      </c>
      <c r="M3820">
        <v>-0.99672280000000002</v>
      </c>
      <c r="N3820">
        <v>0</v>
      </c>
      <c r="O3820">
        <v>7.9846420000000001E-2</v>
      </c>
      <c r="P3820">
        <v>-0.99955050000000001</v>
      </c>
      <c r="Q3820">
        <v>2.6609219999999999E-2</v>
      </c>
      <c r="R3820">
        <v>1.38126E-2</v>
      </c>
      <c r="S3820">
        <v>-3.0114290000000001</v>
      </c>
      <c r="T3820">
        <v>-0.17877750000000001</v>
      </c>
      <c r="U3820">
        <v>-0.25042720000000002</v>
      </c>
      <c r="V3820">
        <v>-6.62301E-2</v>
      </c>
      <c r="W3820">
        <v>3.9241070000000003E-2</v>
      </c>
      <c r="X3820">
        <v>0.99703249999999999</v>
      </c>
      <c r="Y3820">
        <v>-0.16176370000000001</v>
      </c>
      <c r="Z3820">
        <v>-9.5176110000000005E-3</v>
      </c>
      <c r="AA3820">
        <v>0.98678359999999998</v>
      </c>
      <c r="AB3820">
        <v>18</v>
      </c>
      <c r="AC3820">
        <v>-18.557500000000001</v>
      </c>
      <c r="AD3820">
        <v>-1.112540396982</v>
      </c>
      <c r="AE3820">
        <v>-1.5691999999999899</v>
      </c>
      <c r="AF3820">
        <v>-3.0352320134265698</v>
      </c>
      <c r="AG3820">
        <v>-1.112540396982</v>
      </c>
      <c r="AH3820">
        <v>18.307601086792999</v>
      </c>
      <c r="AI3820">
        <v>93.430831632620894</v>
      </c>
      <c r="AJ3820">
        <v>99.413488688137306</v>
      </c>
      <c r="AK3820">
        <v>18.590821312233398</v>
      </c>
      <c r="AL3820">
        <v>87.751074986679896</v>
      </c>
      <c r="AM3820">
        <v>93.8004161976408</v>
      </c>
      <c r="AN3820">
        <v>1.0000000468885</v>
      </c>
    </row>
    <row r="3821" spans="1:40" x14ac:dyDescent="0.3">
      <c r="A3821" t="str">
        <f>"20200111160531953"</f>
        <v>20200111160531953</v>
      </c>
      <c r="B3821" t="str">
        <f>"1578729931945045"</f>
        <v>1578729931945045</v>
      </c>
      <c r="C3821" t="s">
        <v>40</v>
      </c>
      <c r="D3821">
        <v>5.6760580000000003</v>
      </c>
      <c r="E3821">
        <v>0.46688679999999999</v>
      </c>
      <c r="F3821" t="s">
        <v>41</v>
      </c>
      <c r="G3821">
        <v>-238.65649999999999</v>
      </c>
      <c r="H3821" s="1">
        <v>-8.9569349999999999E-7</v>
      </c>
      <c r="I3821">
        <v>140.8828</v>
      </c>
      <c r="J3821">
        <v>-221.88740000000001</v>
      </c>
      <c r="K3821">
        <v>1.112476</v>
      </c>
      <c r="L3821">
        <v>142.36279999999999</v>
      </c>
      <c r="M3821">
        <v>-0.99705169999999999</v>
      </c>
      <c r="N3821">
        <v>0</v>
      </c>
      <c r="O3821">
        <v>7.567931E-2</v>
      </c>
      <c r="P3821">
        <v>-0.99962470000000003</v>
      </c>
      <c r="Q3821">
        <v>2.5892220000000001E-2</v>
      </c>
      <c r="R3821">
        <v>8.9663319999999901E-3</v>
      </c>
      <c r="S3821">
        <v>-3.0102229999999999</v>
      </c>
      <c r="T3821">
        <v>-0.19745170000000001</v>
      </c>
      <c r="U3821">
        <v>-0.26081850000000001</v>
      </c>
      <c r="V3821">
        <v>-6.6893549999999996E-2</v>
      </c>
      <c r="W3821">
        <v>3.8229989999999998E-2</v>
      </c>
      <c r="X3821">
        <v>0.99702749999999996</v>
      </c>
      <c r="Y3821">
        <v>-0.16097069999999999</v>
      </c>
      <c r="Z3821">
        <v>-1.0214249999999999E-2</v>
      </c>
      <c r="AA3821">
        <v>0.98690630000000001</v>
      </c>
      <c r="AB3821">
        <v>18</v>
      </c>
      <c r="AC3821">
        <v>-16.769099999999899</v>
      </c>
      <c r="AD3821">
        <v>-1.1124768956935001</v>
      </c>
      <c r="AE3821">
        <v>-1.47999999999998</v>
      </c>
      <c r="AF3821">
        <v>-2.73299553791942</v>
      </c>
      <c r="AG3821">
        <v>-1.1124768956935001</v>
      </c>
      <c r="AH3821">
        <v>16.5367699636205</v>
      </c>
      <c r="AI3821">
        <v>93.797300268341402</v>
      </c>
      <c r="AJ3821">
        <v>99.384321420597203</v>
      </c>
      <c r="AK3821">
        <v>16.797965063764199</v>
      </c>
      <c r="AL3821">
        <v>87.809049136081796</v>
      </c>
      <c r="AM3821">
        <v>93.838392242222298</v>
      </c>
      <c r="AN3821">
        <v>1.0000000574616199</v>
      </c>
    </row>
    <row r="3822" spans="1:40" x14ac:dyDescent="0.3">
      <c r="A3822" t="str">
        <f>"20200111160531975"</f>
        <v>20200111160531975</v>
      </c>
      <c r="B3822" t="str">
        <f>"1578729931965541"</f>
        <v>1578729931965541</v>
      </c>
      <c r="C3822" t="s">
        <v>40</v>
      </c>
      <c r="D3822">
        <v>5.6357809999999997</v>
      </c>
      <c r="E3822">
        <v>0.4665571</v>
      </c>
      <c r="F3822" t="s">
        <v>41</v>
      </c>
      <c r="G3822">
        <v>-238.06460000000001</v>
      </c>
      <c r="H3822" s="1">
        <v>-1.158156E-6</v>
      </c>
      <c r="I3822">
        <v>140.91499999999999</v>
      </c>
      <c r="J3822">
        <v>-222.06379999999999</v>
      </c>
      <c r="K3822">
        <v>1.112409</v>
      </c>
      <c r="L3822">
        <v>142.3717</v>
      </c>
      <c r="M3822">
        <v>-0.99734029999999996</v>
      </c>
      <c r="N3822">
        <v>0</v>
      </c>
      <c r="O3822">
        <v>7.1833679999999997E-2</v>
      </c>
      <c r="P3822">
        <v>-0.99967899999999998</v>
      </c>
      <c r="Q3822">
        <v>2.493623E-2</v>
      </c>
      <c r="R3822">
        <v>4.4734350000000004E-3</v>
      </c>
      <c r="S3822">
        <v>-3.008896</v>
      </c>
      <c r="T3822">
        <v>-0.2069163</v>
      </c>
      <c r="U3822">
        <v>-0.26927190000000001</v>
      </c>
      <c r="V3822">
        <v>-6.7525329999999995E-2</v>
      </c>
      <c r="W3822">
        <v>3.693486E-2</v>
      </c>
      <c r="X3822">
        <v>0.99703370000000002</v>
      </c>
      <c r="Y3822">
        <v>-0.159915</v>
      </c>
      <c r="Z3822">
        <v>-1.0406510000000001E-2</v>
      </c>
      <c r="AA3822">
        <v>0.98707590000000001</v>
      </c>
      <c r="AB3822">
        <v>18</v>
      </c>
      <c r="AC3822">
        <v>-16.000800000000002</v>
      </c>
      <c r="AD3822">
        <v>-1.112410158156</v>
      </c>
      <c r="AE3822">
        <v>-1.4567000000000101</v>
      </c>
      <c r="AF3822">
        <v>-2.5900046290454499</v>
      </c>
      <c r="AG3822">
        <v>-1.112410158156</v>
      </c>
      <c r="AH3822">
        <v>15.779170490985599</v>
      </c>
      <c r="AI3822">
        <v>93.979525252000698</v>
      </c>
      <c r="AJ3822">
        <v>99.321451012066404</v>
      </c>
      <c r="AK3822">
        <v>16.028967581289699</v>
      </c>
      <c r="AL3822">
        <v>87.883307015320597</v>
      </c>
      <c r="AM3822">
        <v>93.874510236418303</v>
      </c>
      <c r="AN3822">
        <v>1.00000002650525</v>
      </c>
    </row>
    <row r="3823" spans="1:40" x14ac:dyDescent="0.3">
      <c r="A3823" t="str">
        <f>"20200111160531998"</f>
        <v>20200111160531998</v>
      </c>
      <c r="B3823" t="str">
        <f>"1578729931995209"</f>
        <v>1578729931995209</v>
      </c>
      <c r="C3823" t="s">
        <v>40</v>
      </c>
      <c r="D3823">
        <v>5.3957179999999996</v>
      </c>
      <c r="E3823">
        <v>0.402368</v>
      </c>
      <c r="F3823" t="s">
        <v>41</v>
      </c>
      <c r="G3823">
        <v>-237.8417</v>
      </c>
      <c r="H3823" s="1">
        <v>-1.242983E-6</v>
      </c>
      <c r="I3823">
        <v>140.87440000000001</v>
      </c>
      <c r="J3823">
        <v>-222.24250000000001</v>
      </c>
      <c r="K3823">
        <v>1.112333</v>
      </c>
      <c r="L3823">
        <v>142.38</v>
      </c>
      <c r="M3823">
        <v>-0.99761960000000005</v>
      </c>
      <c r="N3823">
        <v>0</v>
      </c>
      <c r="O3823">
        <v>6.7923670000000005E-2</v>
      </c>
      <c r="P3823">
        <v>-0.99970959999999998</v>
      </c>
      <c r="Q3823">
        <v>2.4101629999999999E-2</v>
      </c>
      <c r="R3823">
        <v>1.2396400000000001E-4</v>
      </c>
      <c r="S3823">
        <v>-3.0075229999999999</v>
      </c>
      <c r="T3823">
        <v>-0.21204410000000001</v>
      </c>
      <c r="U3823">
        <v>-0.2854004</v>
      </c>
      <c r="V3823">
        <v>-6.7951139999999993E-2</v>
      </c>
      <c r="W3823">
        <v>3.5651580000000002E-2</v>
      </c>
      <c r="X3823">
        <v>0.99705149999999998</v>
      </c>
      <c r="Y3823">
        <v>-0.16131280000000001</v>
      </c>
      <c r="Z3823">
        <v>-1.0440639999999999E-2</v>
      </c>
      <c r="AA3823">
        <v>0.98684810000000001</v>
      </c>
      <c r="AB3823">
        <v>18</v>
      </c>
      <c r="AC3823">
        <v>-15.5991999999999</v>
      </c>
      <c r="AD3823">
        <v>-1.1123342429829901</v>
      </c>
      <c r="AE3823">
        <v>-1.5055999999999801</v>
      </c>
      <c r="AF3823">
        <v>-2.5489113971393098</v>
      </c>
      <c r="AG3823">
        <v>-1.1123342429829901</v>
      </c>
      <c r="AH3823">
        <v>15.3833976243614</v>
      </c>
      <c r="AI3823">
        <v>94.0802751391725</v>
      </c>
      <c r="AJ3823">
        <v>99.407998511325104</v>
      </c>
      <c r="AK3823">
        <v>15.632759169378501</v>
      </c>
      <c r="AL3823">
        <v>87.956882052715002</v>
      </c>
      <c r="AM3823">
        <v>93.898798117420696</v>
      </c>
      <c r="AN3823">
        <v>1.00000004311802</v>
      </c>
    </row>
    <row r="3824" spans="1:40" x14ac:dyDescent="0.3">
      <c r="A3824" t="str">
        <f>"20200111160532018"</f>
        <v>20200111160532018</v>
      </c>
      <c r="B3824" t="str">
        <f>"1578729932015705"</f>
        <v>1578729932015705</v>
      </c>
      <c r="C3824" t="s">
        <v>40</v>
      </c>
      <c r="D3824">
        <v>5.3582780000000003</v>
      </c>
      <c r="E3824">
        <v>0.399733</v>
      </c>
      <c r="F3824" t="s">
        <v>41</v>
      </c>
      <c r="G3824">
        <v>-242.30070000000001</v>
      </c>
      <c r="H3824" s="1">
        <v>-3.7521570000000001E-6</v>
      </c>
      <c r="I3824">
        <v>136.98429999999999</v>
      </c>
      <c r="J3824">
        <v>-222.40899999999999</v>
      </c>
      <c r="K3824">
        <v>1.1122479999999999</v>
      </c>
      <c r="L3824">
        <v>142.3871</v>
      </c>
      <c r="M3824">
        <v>-0.99786750000000002</v>
      </c>
      <c r="N3824">
        <v>0</v>
      </c>
      <c r="O3824">
        <v>6.4272200000000002E-2</v>
      </c>
      <c r="P3824">
        <v>-0.99972110000000003</v>
      </c>
      <c r="Q3824">
        <v>2.3272459999999998E-2</v>
      </c>
      <c r="R3824">
        <v>-4.0392120000000004E-3</v>
      </c>
      <c r="S3824">
        <v>-3.0049899999999998</v>
      </c>
      <c r="T3824">
        <v>-0.16664319999999999</v>
      </c>
      <c r="U3824">
        <v>-0.80833440000000001</v>
      </c>
      <c r="V3824">
        <v>-6.8450720000000007E-2</v>
      </c>
      <c r="W3824">
        <v>3.4307249999999997E-2</v>
      </c>
      <c r="X3824">
        <v>0.99706450000000002</v>
      </c>
      <c r="Y3824">
        <v>-0.32074209999999997</v>
      </c>
      <c r="Z3824">
        <v>-1.2237100000000001E-2</v>
      </c>
      <c r="AA3824">
        <v>0.94708749999999997</v>
      </c>
      <c r="AB3824">
        <v>18</v>
      </c>
      <c r="AC3824">
        <v>-19.891699999999901</v>
      </c>
      <c r="AD3824">
        <v>-1.1122517521569999</v>
      </c>
      <c r="AE3824">
        <v>-5.4028000000000098</v>
      </c>
      <c r="AF3824">
        <v>-6.6508285066862598</v>
      </c>
      <c r="AG3824">
        <v>-1.1122517521569999</v>
      </c>
      <c r="AH3824">
        <v>19.446671013253201</v>
      </c>
      <c r="AI3824">
        <v>93.097683063618604</v>
      </c>
      <c r="AJ3824">
        <v>108.88086474943</v>
      </c>
      <c r="AK3824">
        <v>20.582605211275599</v>
      </c>
      <c r="AL3824">
        <v>88.033953674841399</v>
      </c>
      <c r="AM3824">
        <v>93.927321844359795</v>
      </c>
      <c r="AN3824">
        <v>1.0000000528156601</v>
      </c>
    </row>
    <row r="3825" spans="1:40" x14ac:dyDescent="0.3">
      <c r="A3825" t="str">
        <f>"20200111160532085"</f>
        <v>20200111160532085</v>
      </c>
      <c r="B3825" t="str">
        <f>"1578729932075243"</f>
        <v>1578729932075243</v>
      </c>
      <c r="C3825" t="s">
        <v>40</v>
      </c>
      <c r="D3825">
        <v>5.3871969999999996</v>
      </c>
      <c r="E3825">
        <v>0.39996130000000002</v>
      </c>
      <c r="F3825" t="s">
        <v>41</v>
      </c>
      <c r="G3825">
        <v>-239.44239999999999</v>
      </c>
      <c r="H3825" s="1">
        <v>-7.1356569999999896E-7</v>
      </c>
      <c r="I3825">
        <v>137.59520000000001</v>
      </c>
      <c r="J3825">
        <v>-222.97649999999999</v>
      </c>
      <c r="K3825">
        <v>1.1119349999999999</v>
      </c>
      <c r="L3825">
        <v>142.40719999999999</v>
      </c>
      <c r="M3825">
        <v>-0.99861350000000004</v>
      </c>
      <c r="N3825">
        <v>0</v>
      </c>
      <c r="O3825">
        <v>5.183865E-2</v>
      </c>
      <c r="P3825">
        <v>-0.99964109999999995</v>
      </c>
      <c r="Q3825">
        <v>2.1377030000000002E-2</v>
      </c>
      <c r="R3825">
        <v>-1.6149980000000001E-2</v>
      </c>
      <c r="S3825">
        <v>-3.0019840000000002</v>
      </c>
      <c r="T3825">
        <v>-0.1960247</v>
      </c>
      <c r="U3825">
        <v>-0.84451290000000001</v>
      </c>
      <c r="V3825">
        <v>-6.8097469999999993E-2</v>
      </c>
      <c r="W3825">
        <v>3.0190950000000001E-2</v>
      </c>
      <c r="X3825">
        <v>0.99722180000000005</v>
      </c>
      <c r="Y3825">
        <v>-0.31961040000000002</v>
      </c>
      <c r="Z3825">
        <v>-1.354823E-2</v>
      </c>
      <c r="AA3825">
        <v>0.94745219999999997</v>
      </c>
      <c r="AB3825">
        <v>19</v>
      </c>
      <c r="AC3825">
        <v>-16.465900000000001</v>
      </c>
      <c r="AD3825">
        <v>-1.1119357135657</v>
      </c>
      <c r="AE3825">
        <v>-4.8119999999999798</v>
      </c>
      <c r="AF3825">
        <v>-5.6354584346114498</v>
      </c>
      <c r="AG3825">
        <v>-1.1119357135657</v>
      </c>
      <c r="AH3825">
        <v>16.126546750073398</v>
      </c>
      <c r="AI3825">
        <v>93.724171433550794</v>
      </c>
      <c r="AJ3825">
        <v>109.262083865093</v>
      </c>
      <c r="AK3825">
        <v>17.119004143981002</v>
      </c>
      <c r="AL3825">
        <v>88.269923158837898</v>
      </c>
      <c r="AM3825">
        <v>93.906502864481695</v>
      </c>
      <c r="AN3825">
        <v>1.00000003863877</v>
      </c>
    </row>
    <row r="3826" spans="1:40" x14ac:dyDescent="0.3">
      <c r="A3826" t="str">
        <f>"20200111160532107"</f>
        <v>20200111160532107</v>
      </c>
      <c r="B3826" t="str">
        <f>"1578729932105498"</f>
        <v>1578729932105498</v>
      </c>
      <c r="C3826" t="s">
        <v>40</v>
      </c>
      <c r="D3826">
        <v>5.294168</v>
      </c>
      <c r="E3826">
        <v>0.40004719999999999</v>
      </c>
      <c r="F3826" t="s">
        <v>41</v>
      </c>
      <c r="G3826">
        <v>-239.828</v>
      </c>
      <c r="H3826" s="1">
        <v>-6.1780040000000001E-7</v>
      </c>
      <c r="I3826">
        <v>137.46199999999999</v>
      </c>
      <c r="J3826">
        <v>-223.1583</v>
      </c>
      <c r="K3826">
        <v>1.11185</v>
      </c>
      <c r="L3826">
        <v>142.41220000000001</v>
      </c>
      <c r="M3826">
        <v>-0.9988186</v>
      </c>
      <c r="N3826">
        <v>0</v>
      </c>
      <c r="O3826">
        <v>4.7869549999999997E-2</v>
      </c>
      <c r="P3826">
        <v>-0.99957149999999995</v>
      </c>
      <c r="Q3826">
        <v>2.1439380000000001E-2</v>
      </c>
      <c r="R3826">
        <v>-1.99399E-2</v>
      </c>
      <c r="S3826">
        <v>-2.9911349999999999</v>
      </c>
      <c r="T3826">
        <v>-0.19736880000000001</v>
      </c>
      <c r="U3826">
        <v>-0.87776180000000004</v>
      </c>
      <c r="V3826">
        <v>-6.7913029999999999E-2</v>
      </c>
      <c r="W3826">
        <v>2.9466010000000001E-2</v>
      </c>
      <c r="X3826">
        <v>0.99725600000000003</v>
      </c>
      <c r="Y3826">
        <v>-0.32643990000000001</v>
      </c>
      <c r="Z3826">
        <v>-1.363167E-2</v>
      </c>
      <c r="AA3826">
        <v>0.94511970000000001</v>
      </c>
      <c r="AB3826">
        <v>19</v>
      </c>
      <c r="AC3826">
        <v>-16.669699999999999</v>
      </c>
      <c r="AD3826">
        <v>-1.1118506178004</v>
      </c>
      <c r="AE3826">
        <v>-4.9501999999999899</v>
      </c>
      <c r="AF3826">
        <v>-5.71914245533016</v>
      </c>
      <c r="AG3826">
        <v>-1.1118506178004</v>
      </c>
      <c r="AH3826">
        <v>16.346786951242201</v>
      </c>
      <c r="AI3826">
        <v>93.673384374836999</v>
      </c>
      <c r="AJ3826">
        <v>109.283073426653</v>
      </c>
      <c r="AK3826">
        <v>17.3540267906317</v>
      </c>
      <c r="AL3826">
        <v>88.311477547640905</v>
      </c>
      <c r="AM3826">
        <v>93.895821647066001</v>
      </c>
      <c r="AN3826">
        <v>0.99999997746254998</v>
      </c>
    </row>
    <row r="3827" spans="1:40" x14ac:dyDescent="0.3">
      <c r="A3827" t="str">
        <f>"20200111160532129"</f>
        <v>20200111160532129</v>
      </c>
      <c r="B3827" t="str">
        <f>"1578729932125017"</f>
        <v>1578729932125017</v>
      </c>
      <c r="C3827" t="s">
        <v>40</v>
      </c>
      <c r="D3827">
        <v>5.3108029999999999</v>
      </c>
      <c r="E3827">
        <v>0.40045930000000002</v>
      </c>
      <c r="F3827" t="s">
        <v>41</v>
      </c>
      <c r="G3827">
        <v>-240.20949999999999</v>
      </c>
      <c r="H3827" s="1">
        <v>-4.5857400000000002E-6</v>
      </c>
      <c r="I3827">
        <v>137.3424</v>
      </c>
      <c r="J3827">
        <v>-223.35130000000001</v>
      </c>
      <c r="K3827">
        <v>1.111766</v>
      </c>
      <c r="L3827">
        <v>142.41679999999999</v>
      </c>
      <c r="M3827">
        <v>-0.9990173</v>
      </c>
      <c r="N3827">
        <v>0</v>
      </c>
      <c r="O3827">
        <v>4.3673799999999999E-2</v>
      </c>
      <c r="P3827">
        <v>-0.99946869999999999</v>
      </c>
      <c r="Q3827">
        <v>2.1754559999999999E-2</v>
      </c>
      <c r="R3827">
        <v>-2.4270110000000001E-2</v>
      </c>
      <c r="S3827">
        <v>-2.987762</v>
      </c>
      <c r="T3827">
        <v>-0.19482289999999999</v>
      </c>
      <c r="U3827">
        <v>-0.88833619999999902</v>
      </c>
      <c r="V3827">
        <v>-6.8043399999999907E-2</v>
      </c>
      <c r="W3827">
        <v>2.8946469999999998E-2</v>
      </c>
      <c r="X3827">
        <v>0.99726239999999999</v>
      </c>
      <c r="Y3827">
        <v>-0.32586300000000001</v>
      </c>
      <c r="Z3827">
        <v>-1.317756E-2</v>
      </c>
      <c r="AA3827">
        <v>0.94532510000000003</v>
      </c>
      <c r="AB3827">
        <v>19</v>
      </c>
      <c r="AC3827">
        <v>-16.858199999999901</v>
      </c>
      <c r="AD3827">
        <v>-1.11177058574</v>
      </c>
      <c r="AE3827">
        <v>-5.07439999999999</v>
      </c>
      <c r="AF3827">
        <v>-5.7827796397470399</v>
      </c>
      <c r="AG3827">
        <v>-1.11177058574</v>
      </c>
      <c r="AH3827">
        <v>16.554472016773101</v>
      </c>
      <c r="AI3827">
        <v>93.627777497298894</v>
      </c>
      <c r="AJ3827">
        <v>109.25524162534001</v>
      </c>
      <c r="AK3827">
        <v>17.570632258154902</v>
      </c>
      <c r="AL3827">
        <v>88.341257819700303</v>
      </c>
      <c r="AM3827">
        <v>93.903252236544105</v>
      </c>
      <c r="AN3827">
        <v>1.00000004843138</v>
      </c>
    </row>
    <row r="3828" spans="1:40" x14ac:dyDescent="0.3">
      <c r="A3828" t="str">
        <f>"20200111160532152"</f>
        <v>20200111160532152</v>
      </c>
      <c r="B3828" t="str">
        <f>"1578729932145513"</f>
        <v>1578729932145513</v>
      </c>
      <c r="C3828" t="s">
        <v>40</v>
      </c>
      <c r="D3828">
        <v>5.350835</v>
      </c>
      <c r="E3828">
        <v>0.40076010000000001</v>
      </c>
      <c r="F3828" t="s">
        <v>41</v>
      </c>
      <c r="G3828">
        <v>-240.62780000000001</v>
      </c>
      <c r="H3828" s="1">
        <v>-4.4283459999999996E-6</v>
      </c>
      <c r="I3828">
        <v>137.21799999999999</v>
      </c>
      <c r="J3828">
        <v>-223.5515</v>
      </c>
      <c r="K3828">
        <v>1.111694</v>
      </c>
      <c r="L3828">
        <v>142.42070000000001</v>
      </c>
      <c r="M3828">
        <v>-0.9992029</v>
      </c>
      <c r="N3828">
        <v>0</v>
      </c>
      <c r="O3828">
        <v>3.9350950000000003E-2</v>
      </c>
      <c r="P3828">
        <v>-0.9993438</v>
      </c>
      <c r="Q3828">
        <v>2.1704850000000001E-2</v>
      </c>
      <c r="R3828">
        <v>-2.899506E-2</v>
      </c>
      <c r="S3828">
        <v>-2.983978</v>
      </c>
      <c r="T3828">
        <v>-0.1920241</v>
      </c>
      <c r="U3828">
        <v>-0.89791869999999996</v>
      </c>
      <c r="V3828">
        <v>-6.8441710000000003E-2</v>
      </c>
      <c r="W3828">
        <v>2.80561E-2</v>
      </c>
      <c r="X3828">
        <v>0.99726060000000005</v>
      </c>
      <c r="Y3828">
        <v>-0.3249167</v>
      </c>
      <c r="Z3828">
        <v>-1.2696259999999999E-2</v>
      </c>
      <c r="AA3828">
        <v>0.94565739999999998</v>
      </c>
      <c r="AB3828">
        <v>19</v>
      </c>
      <c r="AC3828">
        <v>-17.0763</v>
      </c>
      <c r="AD3828">
        <v>-1.1116984283460001</v>
      </c>
      <c r="AE3828">
        <v>-5.2027000000000196</v>
      </c>
      <c r="AF3828">
        <v>-5.8479739612282398</v>
      </c>
      <c r="AG3828">
        <v>-1.1116984283460001</v>
      </c>
      <c r="AH3828">
        <v>16.793208978822001</v>
      </c>
      <c r="AI3828">
        <v>93.577309574423495</v>
      </c>
      <c r="AJ3828">
        <v>109.19987787695599</v>
      </c>
      <c r="AK3828">
        <v>17.817029512608901</v>
      </c>
      <c r="AL3828">
        <v>88.392293010836497</v>
      </c>
      <c r="AM3828">
        <v>93.926036770969105</v>
      </c>
      <c r="AN3828">
        <v>1.0000000583636399</v>
      </c>
    </row>
    <row r="3829" spans="1:40" x14ac:dyDescent="0.3">
      <c r="A3829" t="str">
        <f>"20200111160532197"</f>
        <v>20200111160532197</v>
      </c>
      <c r="B3829" t="str">
        <f>"1578729932195289"</f>
        <v>1578729932195289</v>
      </c>
      <c r="C3829" t="s">
        <v>40</v>
      </c>
      <c r="D3829">
        <v>5.3396220000000003</v>
      </c>
      <c r="E3829">
        <v>0.40207540000000003</v>
      </c>
      <c r="F3829" t="s">
        <v>41</v>
      </c>
      <c r="G3829">
        <v>-240.9374</v>
      </c>
      <c r="H3829" s="1">
        <v>-4.3138650000000004E-6</v>
      </c>
      <c r="I3829">
        <v>137.1147</v>
      </c>
      <c r="J3829">
        <v>-223.94479999999999</v>
      </c>
      <c r="K3829">
        <v>1.111607</v>
      </c>
      <c r="L3829">
        <v>142.42619999999999</v>
      </c>
      <c r="M3829">
        <v>-0.99950660000000002</v>
      </c>
      <c r="N3829">
        <v>0</v>
      </c>
      <c r="O3829">
        <v>3.0974080000000001E-2</v>
      </c>
      <c r="P3829">
        <v>-0.9990251</v>
      </c>
      <c r="Q3829">
        <v>2.0844649999999999E-2</v>
      </c>
      <c r="R3829">
        <v>-3.8919790000000003E-2</v>
      </c>
      <c r="S3829">
        <v>-2.9797210000000001</v>
      </c>
      <c r="T3829">
        <v>-0.19053110000000001</v>
      </c>
      <c r="U3829">
        <v>-0.90937809999999997</v>
      </c>
      <c r="V3829">
        <v>-6.9981580000000002E-2</v>
      </c>
      <c r="W3829">
        <v>2.5696139999999999E-2</v>
      </c>
      <c r="X3829">
        <v>0.99721729999999997</v>
      </c>
      <c r="Y3829">
        <v>-0.32072469999999997</v>
      </c>
      <c r="Z3829">
        <v>-1.1952829999999999E-2</v>
      </c>
      <c r="AA3829">
        <v>0.94709710000000003</v>
      </c>
      <c r="AB3829">
        <v>20</v>
      </c>
      <c r="AC3829">
        <v>-16.992599999999999</v>
      </c>
      <c r="AD3829">
        <v>-1.1116113138649999</v>
      </c>
      <c r="AE3829">
        <v>-5.3114999999999899</v>
      </c>
      <c r="AF3829">
        <v>-5.8126280099877103</v>
      </c>
      <c r="AG3829">
        <v>-1.1116113138649999</v>
      </c>
      <c r="AH3829">
        <v>16.7546071408409</v>
      </c>
      <c r="AI3829">
        <v>93.586699837376997</v>
      </c>
      <c r="AJ3829">
        <v>109.133048383504</v>
      </c>
      <c r="AK3829">
        <v>17.769051312310499</v>
      </c>
      <c r="AL3829">
        <v>88.527557599322293</v>
      </c>
      <c r="AM3829">
        <v>94.014256802383798</v>
      </c>
      <c r="AN3829">
        <v>1.0000000282847401</v>
      </c>
    </row>
    <row r="3830" spans="1:40" x14ac:dyDescent="0.3">
      <c r="A3830" t="str">
        <f>"20200111160532219"</f>
        <v>20200111160532219</v>
      </c>
      <c r="B3830" t="str">
        <f>"1578729932215786"</f>
        <v>1578729932215786</v>
      </c>
      <c r="C3830" t="s">
        <v>40</v>
      </c>
      <c r="D3830">
        <v>5.2536719999999999</v>
      </c>
      <c r="E3830">
        <v>0.40292299999999998</v>
      </c>
      <c r="F3830" t="s">
        <v>41</v>
      </c>
      <c r="G3830">
        <v>-241.5213</v>
      </c>
      <c r="H3830" s="1">
        <v>-4.0952409999999998E-6</v>
      </c>
      <c r="I3830">
        <v>136.93510000000001</v>
      </c>
      <c r="J3830">
        <v>-224.1353</v>
      </c>
      <c r="K3830">
        <v>1.111591</v>
      </c>
      <c r="L3830">
        <v>142.42769999999999</v>
      </c>
      <c r="M3830">
        <v>-0.99962530000000005</v>
      </c>
      <c r="N3830">
        <v>0</v>
      </c>
      <c r="O3830">
        <v>2.698652E-2</v>
      </c>
      <c r="P3830">
        <v>-0.99886569999999997</v>
      </c>
      <c r="Q3830">
        <v>1.9634780000000001E-2</v>
      </c>
      <c r="R3830">
        <v>-4.3386470000000003E-2</v>
      </c>
      <c r="S3830">
        <v>-2.9706730000000001</v>
      </c>
      <c r="T3830">
        <v>-0.1878785</v>
      </c>
      <c r="U3830">
        <v>-0.92807010000000001</v>
      </c>
      <c r="V3830">
        <v>-7.0456009999999999E-2</v>
      </c>
      <c r="W3830">
        <v>2.385468E-2</v>
      </c>
      <c r="X3830">
        <v>0.99722960000000005</v>
      </c>
      <c r="Y3830">
        <v>-0.32320900000000002</v>
      </c>
      <c r="Z3830">
        <v>-1.164043E-2</v>
      </c>
      <c r="AA3830">
        <v>0.94625599999999999</v>
      </c>
      <c r="AB3830">
        <v>20</v>
      </c>
      <c r="AC3830">
        <v>-17.3859999999999</v>
      </c>
      <c r="AD3830">
        <v>-1.1115950952410001</v>
      </c>
      <c r="AE3830">
        <v>-5.4925999999999799</v>
      </c>
      <c r="AF3830">
        <v>-5.9377223354407596</v>
      </c>
      <c r="AG3830">
        <v>-1.1115950952410001</v>
      </c>
      <c r="AH3830">
        <v>17.167630213387799</v>
      </c>
      <c r="AI3830">
        <v>93.501721172870205</v>
      </c>
      <c r="AJ3830">
        <v>109.07883082248</v>
      </c>
      <c r="AK3830">
        <v>18.199442775321</v>
      </c>
      <c r="AL3830">
        <v>88.633097834788401</v>
      </c>
      <c r="AM3830">
        <v>94.041331321225002</v>
      </c>
      <c r="AN3830">
        <v>0.99999998510959098</v>
      </c>
    </row>
    <row r="3831" spans="1:40" x14ac:dyDescent="0.3">
      <c r="A3831" t="str">
        <f>"20200111160532242"</f>
        <v>20200111160532242</v>
      </c>
      <c r="B3831" t="str">
        <f>"1578729932235306"</f>
        <v>1578729932235306</v>
      </c>
      <c r="C3831" t="s">
        <v>40</v>
      </c>
      <c r="D3831">
        <v>5.2924230000000003</v>
      </c>
      <c r="E3831">
        <v>0.40369260000000001</v>
      </c>
      <c r="F3831" t="s">
        <v>41</v>
      </c>
      <c r="G3831">
        <v>-241.64609999999999</v>
      </c>
      <c r="H3831" s="1">
        <v>-4.0455779999999997E-6</v>
      </c>
      <c r="I3831">
        <v>136.91309999999999</v>
      </c>
      <c r="J3831">
        <v>-224.3476</v>
      </c>
      <c r="K3831">
        <v>1.111578</v>
      </c>
      <c r="L3831">
        <v>142.42850000000001</v>
      </c>
      <c r="M3831">
        <v>-0.99973699999999999</v>
      </c>
      <c r="N3831">
        <v>0</v>
      </c>
      <c r="O3831">
        <v>2.2585109999999999E-2</v>
      </c>
      <c r="P3831">
        <v>-0.99861730000000004</v>
      </c>
      <c r="Q3831">
        <v>1.959383E-2</v>
      </c>
      <c r="R3831">
        <v>-4.8781339999999999E-2</v>
      </c>
      <c r="S3831">
        <v>-2.9665370000000002</v>
      </c>
      <c r="T3831">
        <v>-0.18831709999999999</v>
      </c>
      <c r="U3831">
        <v>-0.93421940000000003</v>
      </c>
      <c r="V3831">
        <v>-7.1450949999999999E-2</v>
      </c>
      <c r="W3831">
        <v>2.3173470000000002E-2</v>
      </c>
      <c r="X3831">
        <v>0.99717489999999998</v>
      </c>
      <c r="Y3831">
        <v>-0.32121129999999998</v>
      </c>
      <c r="Z3831">
        <v>-1.1344679999999999E-2</v>
      </c>
      <c r="AA3831">
        <v>0.94693959999999999</v>
      </c>
      <c r="AB3831">
        <v>20</v>
      </c>
      <c r="AC3831">
        <v>-17.298499999999901</v>
      </c>
      <c r="AD3831">
        <v>-1.1115820455780001</v>
      </c>
      <c r="AE3831">
        <v>-5.5154000000000201</v>
      </c>
      <c r="AF3831">
        <v>-5.88263560796333</v>
      </c>
      <c r="AG3831">
        <v>-1.1115820455780001</v>
      </c>
      <c r="AH3831">
        <v>17.105406549127299</v>
      </c>
      <c r="AI3831">
        <v>93.516507107884706</v>
      </c>
      <c r="AJ3831">
        <v>108.97835207841</v>
      </c>
      <c r="AK3831">
        <v>18.122801923297001</v>
      </c>
      <c r="AL3831">
        <v>88.672139127902298</v>
      </c>
      <c r="AM3831">
        <v>94.098431657303806</v>
      </c>
      <c r="AN3831">
        <v>1.0000000145788699</v>
      </c>
    </row>
    <row r="3832" spans="1:40" x14ac:dyDescent="0.3">
      <c r="A3832" t="str">
        <f>"20200111160532265"</f>
        <v>20200111160532265</v>
      </c>
      <c r="B3832" t="str">
        <f>"1578729932255801"</f>
        <v>1578729932255801</v>
      </c>
      <c r="C3832" t="s">
        <v>40</v>
      </c>
      <c r="D3832">
        <v>5.2386470000000003</v>
      </c>
      <c r="E3832">
        <v>0.40433449999999999</v>
      </c>
      <c r="F3832" t="s">
        <v>41</v>
      </c>
      <c r="G3832">
        <v>-242.16650000000001</v>
      </c>
      <c r="H3832" s="1">
        <v>-3.8510150000000003E-6</v>
      </c>
      <c r="I3832">
        <v>136.75149999999999</v>
      </c>
      <c r="J3832">
        <v>-224.5643</v>
      </c>
      <c r="K3832">
        <v>1.1115660000000001</v>
      </c>
      <c r="L3832">
        <v>142.42850000000001</v>
      </c>
      <c r="M3832">
        <v>-0.99982969999999904</v>
      </c>
      <c r="N3832">
        <v>0</v>
      </c>
      <c r="O3832">
        <v>1.8144400000000001E-2</v>
      </c>
      <c r="P3832">
        <v>-0.99832120000000002</v>
      </c>
      <c r="Q3832">
        <v>2.0190380000000001E-2</v>
      </c>
      <c r="R3832">
        <v>-5.4290060000000001E-2</v>
      </c>
      <c r="S3832">
        <v>-2.9616850000000001</v>
      </c>
      <c r="T3832">
        <v>-0.184757</v>
      </c>
      <c r="U3832">
        <v>-0.943573</v>
      </c>
      <c r="V3832">
        <v>-7.2524530000000004E-2</v>
      </c>
      <c r="W3832">
        <v>2.3191110000000001E-2</v>
      </c>
      <c r="X3832">
        <v>0.99709700000000001</v>
      </c>
      <c r="Y3832">
        <v>-0.32019999999999998</v>
      </c>
      <c r="Z3832">
        <v>-1.084157E-2</v>
      </c>
      <c r="AA3832">
        <v>0.94728789999999996</v>
      </c>
      <c r="AB3832">
        <v>20</v>
      </c>
      <c r="AC3832">
        <v>-17.6022</v>
      </c>
      <c r="AD3832">
        <v>-1.1115698510150001</v>
      </c>
      <c r="AE3832">
        <v>-5.67700000000002</v>
      </c>
      <c r="AF3832">
        <v>-5.9738701723952801</v>
      </c>
      <c r="AG3832">
        <v>-1.1115698510150001</v>
      </c>
      <c r="AH3832">
        <v>17.433324383635298</v>
      </c>
      <c r="AI3832">
        <v>93.451792000859498</v>
      </c>
      <c r="AJ3832">
        <v>108.915028363359</v>
      </c>
      <c r="AK3832">
        <v>18.4619476609423</v>
      </c>
      <c r="AL3832">
        <v>88.671128180793502</v>
      </c>
      <c r="AM3832">
        <v>94.160121556203904</v>
      </c>
      <c r="AN3832">
        <v>1.00000003122187</v>
      </c>
    </row>
    <row r="3833" spans="1:40" x14ac:dyDescent="0.3">
      <c r="A3833" t="str">
        <f>"20200111160532287"</f>
        <v>20200111160532287</v>
      </c>
      <c r="B3833" t="str">
        <f>"1578729932275321"</f>
        <v>1578729932275321</v>
      </c>
      <c r="C3833" t="s">
        <v>40</v>
      </c>
      <c r="D3833">
        <v>5.2813759999999998</v>
      </c>
      <c r="E3833">
        <v>0.40515600000000002</v>
      </c>
      <c r="F3833" t="s">
        <v>41</v>
      </c>
      <c r="G3833">
        <v>-242.6309</v>
      </c>
      <c r="H3833" s="1">
        <v>-3.6788159999999998E-6</v>
      </c>
      <c r="I3833">
        <v>136.59909999999999</v>
      </c>
      <c r="J3833">
        <v>-224.76079999999999</v>
      </c>
      <c r="K3833">
        <v>1.111551</v>
      </c>
      <c r="L3833">
        <v>142.42760000000001</v>
      </c>
      <c r="M3833">
        <v>-0.99989539999999999</v>
      </c>
      <c r="N3833">
        <v>0</v>
      </c>
      <c r="O3833">
        <v>1.4164059999999999E-2</v>
      </c>
      <c r="P3833">
        <v>-0.99800670000000002</v>
      </c>
      <c r="Q3833">
        <v>2.1257829999999998E-2</v>
      </c>
      <c r="R3833">
        <v>-5.9422349999999999E-2</v>
      </c>
      <c r="S3833">
        <v>-2.9568479999999999</v>
      </c>
      <c r="T3833">
        <v>-0.18192420000000001</v>
      </c>
      <c r="U3833">
        <v>-0.95405580000000001</v>
      </c>
      <c r="V3833">
        <v>-7.3685899999999999E-2</v>
      </c>
      <c r="W3833">
        <v>2.3795090000000001E-2</v>
      </c>
      <c r="X3833">
        <v>0.99699760000000004</v>
      </c>
      <c r="Y3833">
        <v>-0.31994699999999998</v>
      </c>
      <c r="Z3833">
        <v>-1.0440130000000001E-2</v>
      </c>
      <c r="AA3833">
        <v>0.9473779</v>
      </c>
      <c r="AB3833">
        <v>21</v>
      </c>
      <c r="AC3833">
        <v>-17.870100000000001</v>
      </c>
      <c r="AD3833">
        <v>-1.111554678816</v>
      </c>
      <c r="AE3833">
        <v>-5.8285000000000098</v>
      </c>
      <c r="AF3833">
        <v>-6.0598379271732403</v>
      </c>
      <c r="AG3833">
        <v>-1.111554678816</v>
      </c>
      <c r="AH3833">
        <v>17.723770625861398</v>
      </c>
      <c r="AI3833">
        <v>93.396107450096196</v>
      </c>
      <c r="AJ3833">
        <v>108.87579192936001</v>
      </c>
      <c r="AK3833">
        <v>18.7640410014941</v>
      </c>
      <c r="AL3833">
        <v>88.636513102279494</v>
      </c>
      <c r="AM3833">
        <v>94.226919912913999</v>
      </c>
      <c r="AN3833">
        <v>1.0000000162863301</v>
      </c>
    </row>
    <row r="3834" spans="1:40" x14ac:dyDescent="0.3">
      <c r="A3834" t="str">
        <f>"20200111160532308"</f>
        <v>20200111160532308</v>
      </c>
      <c r="B3834" t="str">
        <f>"1578729932305579"</f>
        <v>1578729932305579</v>
      </c>
      <c r="C3834" t="s">
        <v>40</v>
      </c>
      <c r="D3834">
        <v>5.3382849999999999</v>
      </c>
      <c r="E3834">
        <v>0.4059972</v>
      </c>
      <c r="F3834" t="s">
        <v>41</v>
      </c>
      <c r="G3834">
        <v>-243.26519999999999</v>
      </c>
      <c r="H3834" s="1">
        <v>-3.442498E-6</v>
      </c>
      <c r="I3834">
        <v>136.3973</v>
      </c>
      <c r="J3834">
        <v>-224.96950000000001</v>
      </c>
      <c r="K3834">
        <v>1.1115219999999999</v>
      </c>
      <c r="L3834">
        <v>142.42590000000001</v>
      </c>
      <c r="M3834">
        <v>-0.99994700000000003</v>
      </c>
      <c r="N3834">
        <v>0</v>
      </c>
      <c r="O3834">
        <v>9.9800429999999992E-3</v>
      </c>
      <c r="P3834">
        <v>-0.99772070000000002</v>
      </c>
      <c r="Q3834">
        <v>2.135888E-2</v>
      </c>
      <c r="R3834">
        <v>-6.4010280000000003E-2</v>
      </c>
      <c r="S3834">
        <v>-2.9524689999999998</v>
      </c>
      <c r="T3834">
        <v>-0.17735429999999999</v>
      </c>
      <c r="U3834">
        <v>-0.96215819999999996</v>
      </c>
      <c r="V3834">
        <v>-7.4097720000000006E-2</v>
      </c>
      <c r="W3834">
        <v>2.346616E-2</v>
      </c>
      <c r="X3834">
        <v>0.9969749</v>
      </c>
      <c r="Y3834">
        <v>-0.31878230000000002</v>
      </c>
      <c r="Z3834">
        <v>-9.9093800000000006E-3</v>
      </c>
      <c r="AA3834">
        <v>0.94777619999999896</v>
      </c>
      <c r="AB3834">
        <v>21</v>
      </c>
      <c r="AC3834">
        <v>-18.295699999999901</v>
      </c>
      <c r="AD3834">
        <v>-1.1115254424979999</v>
      </c>
      <c r="AE3834">
        <v>-6.0286000000000097</v>
      </c>
      <c r="AF3834">
        <v>-6.1902818578645</v>
      </c>
      <c r="AG3834">
        <v>-1.1115254424979999</v>
      </c>
      <c r="AH3834">
        <v>18.174112780714601</v>
      </c>
      <c r="AI3834">
        <v>93.313365074012495</v>
      </c>
      <c r="AJ3834">
        <v>108.80934859372</v>
      </c>
      <c r="AK3834">
        <v>19.2315743935659</v>
      </c>
      <c r="AL3834">
        <v>88.655364701549999</v>
      </c>
      <c r="AM3834">
        <v>94.2505536516516</v>
      </c>
      <c r="AN3834">
        <v>1.00000004200217</v>
      </c>
    </row>
    <row r="3835" spans="1:40" x14ac:dyDescent="0.3">
      <c r="A3835" t="str">
        <f>"20200111160532330"</f>
        <v>20200111160532330</v>
      </c>
      <c r="B3835" t="str">
        <f>"1578729932325098"</f>
        <v>1578729932325098</v>
      </c>
      <c r="C3835" t="s">
        <v>40</v>
      </c>
      <c r="D3835">
        <v>5.422167</v>
      </c>
      <c r="E3835">
        <v>0.4063756</v>
      </c>
      <c r="F3835" t="s">
        <v>41</v>
      </c>
      <c r="G3835">
        <v>-243.65350000000001</v>
      </c>
      <c r="H3835" s="1">
        <v>-3.2952990000000002E-6</v>
      </c>
      <c r="I3835">
        <v>136.28790000000001</v>
      </c>
      <c r="J3835">
        <v>-225.1808</v>
      </c>
      <c r="K3835">
        <v>1.111491</v>
      </c>
      <c r="L3835">
        <v>142.42339999999999</v>
      </c>
      <c r="M3835">
        <v>-0.99998100000000001</v>
      </c>
      <c r="N3835">
        <v>0</v>
      </c>
      <c r="O3835">
        <v>5.7938290000000003E-3</v>
      </c>
      <c r="P3835">
        <v>-0.99747479999999999</v>
      </c>
      <c r="Q3835">
        <v>1.9697539999999999E-2</v>
      </c>
      <c r="R3835">
        <v>-6.8239629999999996E-2</v>
      </c>
      <c r="S3835">
        <v>-2.9484409999999999</v>
      </c>
      <c r="T3835">
        <v>-0.1754049</v>
      </c>
      <c r="U3835">
        <v>-0.96859740000000005</v>
      </c>
      <c r="V3835">
        <v>-7.4139620000000003E-2</v>
      </c>
      <c r="W3835">
        <v>2.1423910000000001E-2</v>
      </c>
      <c r="X3835">
        <v>0.99701770000000001</v>
      </c>
      <c r="Y3835">
        <v>-0.31708579999999997</v>
      </c>
      <c r="Z3835">
        <v>-9.5183690000000005E-3</v>
      </c>
      <c r="AA3835">
        <v>0.94834909999999994</v>
      </c>
      <c r="AB3835">
        <v>21</v>
      </c>
      <c r="AC3835">
        <v>-18.4727</v>
      </c>
      <c r="AD3835">
        <v>-1.1114942952989999</v>
      </c>
      <c r="AE3835">
        <v>-6.1354999999999702</v>
      </c>
      <c r="AF3835">
        <v>-6.22213657726678</v>
      </c>
      <c r="AG3835">
        <v>-1.1114942952989999</v>
      </c>
      <c r="AH3835">
        <v>18.3769207263562</v>
      </c>
      <c r="AI3835">
        <v>93.278804404124401</v>
      </c>
      <c r="AJ3835">
        <v>108.70529261227701</v>
      </c>
      <c r="AK3835">
        <v>19.4335179146088</v>
      </c>
      <c r="AL3835">
        <v>88.772406432734897</v>
      </c>
      <c r="AM3835">
        <v>94.252766492692899</v>
      </c>
      <c r="AN3835">
        <v>0.99999998064336104</v>
      </c>
    </row>
    <row r="3836" spans="1:40" x14ac:dyDescent="0.3">
      <c r="A3836" t="str">
        <f>"20200111160532355"</f>
        <v>20200111160532355</v>
      </c>
      <c r="B3836" t="str">
        <f>"1578729932345593"</f>
        <v>1578729932345593</v>
      </c>
      <c r="C3836" t="s">
        <v>40</v>
      </c>
      <c r="D3836">
        <v>5.1759380000000004</v>
      </c>
      <c r="E3836">
        <v>0.40689550000000002</v>
      </c>
      <c r="F3836" t="s">
        <v>41</v>
      </c>
      <c r="G3836">
        <v>-243.85210000000001</v>
      </c>
      <c r="H3836" s="1">
        <v>-3.2214230000000002E-6</v>
      </c>
      <c r="I3836">
        <v>136.2242</v>
      </c>
      <c r="J3836">
        <v>-225.41139999999999</v>
      </c>
      <c r="K3836">
        <v>1.11145</v>
      </c>
      <c r="L3836">
        <v>142.41980000000001</v>
      </c>
      <c r="M3836">
        <v>-0.99999760000000004</v>
      </c>
      <c r="N3836">
        <v>0</v>
      </c>
      <c r="O3836">
        <v>1.290401E-3</v>
      </c>
      <c r="P3836">
        <v>-0.99723859999999998</v>
      </c>
      <c r="Q3836">
        <v>1.716297E-2</v>
      </c>
      <c r="R3836">
        <v>-7.225405E-2</v>
      </c>
      <c r="S3836">
        <v>-2.9441830000000002</v>
      </c>
      <c r="T3836">
        <v>-0.17526600000000001</v>
      </c>
      <c r="U3836">
        <v>-0.97752380000000005</v>
      </c>
      <c r="V3836">
        <v>-7.3647069999999995E-2</v>
      </c>
      <c r="W3836">
        <v>1.8531519999999999E-2</v>
      </c>
      <c r="X3836">
        <v>0.9971122</v>
      </c>
      <c r="Y3836">
        <v>-0.31582320000000003</v>
      </c>
      <c r="Z3836">
        <v>-9.2219789999999999E-3</v>
      </c>
      <c r="AA3836">
        <v>0.94877319999999998</v>
      </c>
      <c r="AB3836">
        <v>21</v>
      </c>
      <c r="AC3836">
        <v>-18.4407</v>
      </c>
      <c r="AD3836">
        <v>-1.111453221423</v>
      </c>
      <c r="AE3836">
        <v>-6.1956000000000104</v>
      </c>
      <c r="AF3836">
        <v>-6.1991553546083704</v>
      </c>
      <c r="AG3836">
        <v>-1.111453221423</v>
      </c>
      <c r="AH3836">
        <v>18.372717189761602</v>
      </c>
      <c r="AI3836">
        <v>93.280596921443006</v>
      </c>
      <c r="AJ3836">
        <v>108.64495648492699</v>
      </c>
      <c r="AK3836">
        <v>19.4221932929559</v>
      </c>
      <c r="AL3836">
        <v>88.938161359750794</v>
      </c>
      <c r="AM3836">
        <v>94.224216739458001</v>
      </c>
      <c r="AN3836">
        <v>1.0000000237709601</v>
      </c>
    </row>
    <row r="3837" spans="1:40" x14ac:dyDescent="0.3">
      <c r="A3837" t="str">
        <f>"20200111160532386"</f>
        <v>20200111160532386</v>
      </c>
      <c r="B3837" t="str">
        <f>"1578729932375849"</f>
        <v>1578729932375849</v>
      </c>
      <c r="C3837" t="s">
        <v>40</v>
      </c>
      <c r="D3837">
        <v>5.3484020000000001</v>
      </c>
      <c r="E3837">
        <v>0.4082153</v>
      </c>
      <c r="F3837" t="s">
        <v>41</v>
      </c>
      <c r="G3837">
        <v>-243.5976</v>
      </c>
      <c r="H3837" s="1">
        <v>-3.3124319999999999E-6</v>
      </c>
      <c r="I3837">
        <v>136.32679999999999</v>
      </c>
      <c r="J3837">
        <v>-225.72059999999999</v>
      </c>
      <c r="K3837">
        <v>1.1114170000000001</v>
      </c>
      <c r="L3837">
        <v>142.4135</v>
      </c>
      <c r="M3837">
        <v>-0.99998830000000005</v>
      </c>
      <c r="N3837">
        <v>0</v>
      </c>
      <c r="O3837">
        <v>-4.6261740000000003E-3</v>
      </c>
      <c r="P3837">
        <v>-0.99699669999999896</v>
      </c>
      <c r="Q3837">
        <v>1.6046830000000002E-2</v>
      </c>
      <c r="R3837">
        <v>-7.5762449999999995E-2</v>
      </c>
      <c r="S3837">
        <v>-2.9400330000000001</v>
      </c>
      <c r="T3837">
        <v>-0.1796816</v>
      </c>
      <c r="U3837">
        <v>-0.98501590000000006</v>
      </c>
      <c r="V3837">
        <v>-7.1247699999999997E-2</v>
      </c>
      <c r="W3837">
        <v>1.701971E-2</v>
      </c>
      <c r="X3837">
        <v>0.99731340000000002</v>
      </c>
      <c r="Y3837">
        <v>-0.31277349999999998</v>
      </c>
      <c r="Z3837">
        <v>-9.0205909999999997E-3</v>
      </c>
      <c r="AA3837">
        <v>0.94978490000000004</v>
      </c>
      <c r="AB3837">
        <v>22</v>
      </c>
      <c r="AC3837">
        <v>-17.876999999999999</v>
      </c>
      <c r="AD3837">
        <v>-1.1114203124319999</v>
      </c>
      <c r="AE3837">
        <v>-6.0867000000000004</v>
      </c>
      <c r="AF3837">
        <v>-5.9832089950963896</v>
      </c>
      <c r="AG3837">
        <v>-1.1114203124319999</v>
      </c>
      <c r="AH3837">
        <v>17.843164579253099</v>
      </c>
      <c r="AI3837">
        <v>93.379764672902596</v>
      </c>
      <c r="AJ3837">
        <v>108.537445260753</v>
      </c>
      <c r="AK3837">
        <v>18.852388898815999</v>
      </c>
      <c r="AL3837">
        <v>89.024795325759598</v>
      </c>
      <c r="AM3837">
        <v>94.086247156079594</v>
      </c>
      <c r="AN3837">
        <v>0.99999996155166604</v>
      </c>
    </row>
    <row r="3838" spans="1:40" x14ac:dyDescent="0.3">
      <c r="A3838" t="str">
        <f>"20200111160532409"</f>
        <v>20200111160532409</v>
      </c>
      <c r="B3838" t="str">
        <f>"1578729932405129"</f>
        <v>1578729932405129</v>
      </c>
      <c r="C3838" t="s">
        <v>40</v>
      </c>
      <c r="D3838">
        <v>5.4691340000000004</v>
      </c>
      <c r="E3838">
        <v>0.40943230000000003</v>
      </c>
      <c r="F3838" t="s">
        <v>41</v>
      </c>
      <c r="G3838">
        <v>-244.23650000000001</v>
      </c>
      <c r="H3838" s="1">
        <v>-3.0594240000000001E-6</v>
      </c>
      <c r="I3838">
        <v>136.2079</v>
      </c>
      <c r="J3838">
        <v>-225.94409999999999</v>
      </c>
      <c r="K3838">
        <v>1.111394</v>
      </c>
      <c r="L3838">
        <v>142.40790000000001</v>
      </c>
      <c r="M3838">
        <v>-0.99996070000000004</v>
      </c>
      <c r="N3838">
        <v>0</v>
      </c>
      <c r="O3838">
        <v>-8.7949180000000005E-3</v>
      </c>
      <c r="P3838">
        <v>-0.99684620000000002</v>
      </c>
      <c r="Q3838">
        <v>1.706011E-2</v>
      </c>
      <c r="R3838">
        <v>-7.7502089999999996E-2</v>
      </c>
      <c r="S3838">
        <v>-2.9370729999999998</v>
      </c>
      <c r="T3838">
        <v>-0.17629909999999999</v>
      </c>
      <c r="U3838">
        <v>-0.98435969999999995</v>
      </c>
      <c r="V3838">
        <v>-6.883454E-2</v>
      </c>
      <c r="W3838">
        <v>1.7801129999999998E-2</v>
      </c>
      <c r="X3838">
        <v>0.99746919999999994</v>
      </c>
      <c r="Y3838">
        <v>-0.30894090000000002</v>
      </c>
      <c r="Z3838">
        <v>-8.5047030000000006E-3</v>
      </c>
      <c r="AA3838">
        <v>0.95104319999999998</v>
      </c>
      <c r="AB3838">
        <v>22</v>
      </c>
      <c r="AC3838">
        <v>-18.292400000000001</v>
      </c>
      <c r="AD3838">
        <v>-1.1113970594239999</v>
      </c>
      <c r="AE3838">
        <v>-6.2000000000000099</v>
      </c>
      <c r="AF3838">
        <v>-6.0189507426617297</v>
      </c>
      <c r="AG3838">
        <v>-1.1113970594239999</v>
      </c>
      <c r="AH3838">
        <v>18.2856757732836</v>
      </c>
      <c r="AI3838">
        <v>93.304159810856305</v>
      </c>
      <c r="AJ3838">
        <v>108.219583713888</v>
      </c>
      <c r="AK3838">
        <v>19.282865709015802</v>
      </c>
      <c r="AL3838">
        <v>88.980016445154504</v>
      </c>
      <c r="AM3838">
        <v>93.947676553127494</v>
      </c>
      <c r="AN3838">
        <v>0.99999993953746202</v>
      </c>
    </row>
    <row r="3839" spans="1:40" x14ac:dyDescent="0.3">
      <c r="A3839" t="str">
        <f>"20200111160532432"</f>
        <v>20200111160532432</v>
      </c>
      <c r="B3839" t="str">
        <f>"1578729932425626"</f>
        <v>1578729932425626</v>
      </c>
      <c r="C3839" t="s">
        <v>40</v>
      </c>
      <c r="D3839">
        <v>5.5528399999999998</v>
      </c>
      <c r="E3839">
        <v>0.4097015</v>
      </c>
      <c r="F3839" t="s">
        <v>41</v>
      </c>
      <c r="G3839">
        <v>-245.4932</v>
      </c>
      <c r="H3839" s="1">
        <v>-2.577329E-6</v>
      </c>
      <c r="I3839">
        <v>135.88640000000001</v>
      </c>
      <c r="J3839">
        <v>-226.17500000000001</v>
      </c>
      <c r="K3839">
        <v>1.11137</v>
      </c>
      <c r="L3839">
        <v>142.40119999999999</v>
      </c>
      <c r="M3839">
        <v>-0.99991479999999999</v>
      </c>
      <c r="N3839">
        <v>0</v>
      </c>
      <c r="O3839">
        <v>-1.3019569999999999E-2</v>
      </c>
      <c r="P3839">
        <v>-0.99672450000000001</v>
      </c>
      <c r="Q3839">
        <v>1.7720489999999998E-2</v>
      </c>
      <c r="R3839">
        <v>-7.8908329999999999E-2</v>
      </c>
      <c r="S3839">
        <v>-2.936172</v>
      </c>
      <c r="T3839">
        <v>-0.16692599999999999</v>
      </c>
      <c r="U3839">
        <v>-0.97949219999999904</v>
      </c>
      <c r="V3839">
        <v>-6.6029409999999997E-2</v>
      </c>
      <c r="W3839">
        <v>1.8258819999999999E-2</v>
      </c>
      <c r="X3839">
        <v>0.99765060000000005</v>
      </c>
      <c r="Y3839">
        <v>-0.30365189999999997</v>
      </c>
      <c r="Z3839">
        <v>-7.6779069999999899E-3</v>
      </c>
      <c r="AA3839">
        <v>0.95275209999999999</v>
      </c>
      <c r="AB3839">
        <v>22</v>
      </c>
      <c r="AC3839">
        <v>-19.318199999999901</v>
      </c>
      <c r="AD3839">
        <v>-1.111372577329</v>
      </c>
      <c r="AE3839">
        <v>-6.5147999999999797</v>
      </c>
      <c r="AF3839">
        <v>-6.2441771510111996</v>
      </c>
      <c r="AG3839">
        <v>-1.111372577329</v>
      </c>
      <c r="AH3839">
        <v>19.3438980567107</v>
      </c>
      <c r="AI3839">
        <v>93.129554300010597</v>
      </c>
      <c r="AJ3839">
        <v>107.889990518869</v>
      </c>
      <c r="AK3839">
        <v>20.357094324270999</v>
      </c>
      <c r="AL3839">
        <v>88.953788531126094</v>
      </c>
      <c r="AM3839">
        <v>93.786593173670397</v>
      </c>
      <c r="AN3839">
        <v>0.99999999358655001</v>
      </c>
    </row>
    <row r="3840" spans="1:40" x14ac:dyDescent="0.3">
      <c r="A3840" t="str">
        <f>"20200111160532454"</f>
        <v>20200111160532454</v>
      </c>
      <c r="B3840" t="str">
        <f>"1578729932445145"</f>
        <v>1578729932445145</v>
      </c>
      <c r="C3840" t="s">
        <v>40</v>
      </c>
      <c r="D3840">
        <v>5.3990739999999997</v>
      </c>
      <c r="E3840">
        <v>0.4282338</v>
      </c>
      <c r="F3840" t="s">
        <v>41</v>
      </c>
      <c r="G3840">
        <v>-246.08320000000001</v>
      </c>
      <c r="H3840" s="1">
        <v>-2.3498509999999999E-6</v>
      </c>
      <c r="I3840">
        <v>135.74189999999999</v>
      </c>
      <c r="J3840">
        <v>-226.40190000000001</v>
      </c>
      <c r="K3840">
        <v>1.1113329999999999</v>
      </c>
      <c r="L3840">
        <v>142.3939</v>
      </c>
      <c r="M3840">
        <v>-0.99985389999999996</v>
      </c>
      <c r="N3840">
        <v>0</v>
      </c>
      <c r="O3840">
        <v>-1.7078019999999999E-2</v>
      </c>
      <c r="P3840">
        <v>-0.9966332</v>
      </c>
      <c r="Q3840">
        <v>1.8426890000000001E-2</v>
      </c>
      <c r="R3840">
        <v>-7.9893389999999995E-2</v>
      </c>
      <c r="S3840">
        <v>-2.935028</v>
      </c>
      <c r="T3840">
        <v>-0.16384799999999999</v>
      </c>
      <c r="U3840">
        <v>-0.98176569999999996</v>
      </c>
      <c r="V3840">
        <v>-6.2968659999999996E-2</v>
      </c>
      <c r="W3840">
        <v>1.8797069999999999E-2</v>
      </c>
      <c r="X3840">
        <v>0.99783849999999996</v>
      </c>
      <c r="Y3840">
        <v>-0.30058430000000003</v>
      </c>
      <c r="Z3840">
        <v>-7.2350189999999997E-3</v>
      </c>
      <c r="AA3840">
        <v>0.95372780000000001</v>
      </c>
      <c r="AB3840">
        <v>22</v>
      </c>
      <c r="AC3840">
        <v>-19.6813</v>
      </c>
      <c r="AD3840">
        <v>-1.1113353498509999</v>
      </c>
      <c r="AE3840">
        <v>-6.6520000000000099</v>
      </c>
      <c r="AF3840">
        <v>-6.2968930760747597</v>
      </c>
      <c r="AG3840">
        <v>-1.1113353498509999</v>
      </c>
      <c r="AH3840">
        <v>19.735557787341701</v>
      </c>
      <c r="AI3840">
        <v>93.0707932720033</v>
      </c>
      <c r="AJ3840">
        <v>107.695976976126</v>
      </c>
      <c r="AK3840">
        <v>20.745557834120799</v>
      </c>
      <c r="AL3840">
        <v>88.922943818539693</v>
      </c>
      <c r="AM3840">
        <v>93.610865652638196</v>
      </c>
      <c r="AN3840">
        <v>1.00000002703251</v>
      </c>
    </row>
    <row r="3841" spans="1:40" x14ac:dyDescent="0.3">
      <c r="A3841" t="str">
        <f>"20200111160532477"</f>
        <v>20200111160532477</v>
      </c>
      <c r="B3841" t="str">
        <f>"1578729932465641"</f>
        <v>1578729932465641</v>
      </c>
      <c r="C3841" t="s">
        <v>40</v>
      </c>
      <c r="D3841">
        <v>5.386558</v>
      </c>
      <c r="E3841">
        <v>0.4268073</v>
      </c>
      <c r="F3841" t="s">
        <v>41</v>
      </c>
      <c r="G3841">
        <v>-253.39009999999999</v>
      </c>
      <c r="H3841" s="1">
        <v>-3.677992E-6</v>
      </c>
      <c r="I3841">
        <v>134.76769999999999</v>
      </c>
      <c r="J3841">
        <v>-226.62559999999999</v>
      </c>
      <c r="K3841">
        <v>1.1112919999999999</v>
      </c>
      <c r="L3841">
        <v>142.38589999999999</v>
      </c>
      <c r="M3841">
        <v>-0.9997798</v>
      </c>
      <c r="N3841">
        <v>0</v>
      </c>
      <c r="O3841">
        <v>-2.09775E-2</v>
      </c>
      <c r="P3841">
        <v>-0.99647699999999995</v>
      </c>
      <c r="Q3841">
        <v>1.994131E-2</v>
      </c>
      <c r="R3841">
        <v>-8.1460859999999996E-2</v>
      </c>
      <c r="S3841">
        <v>-2.9456479999999998</v>
      </c>
      <c r="T3841">
        <v>-0.12129819999999999</v>
      </c>
      <c r="U3841">
        <v>-0.83236690000000002</v>
      </c>
      <c r="V3841">
        <v>-6.0653970000000001E-2</v>
      </c>
      <c r="W3841">
        <v>2.0167239999999999E-2</v>
      </c>
      <c r="X3841">
        <v>0.99795509999999998</v>
      </c>
      <c r="Y3841">
        <v>-0.25149959999999999</v>
      </c>
      <c r="Z3841">
        <v>-4.2305149999999998E-3</v>
      </c>
      <c r="AA3841">
        <v>0.96784820000000005</v>
      </c>
      <c r="AB3841">
        <v>23</v>
      </c>
      <c r="AC3841">
        <v>-26.764500000000002</v>
      </c>
      <c r="AD3841">
        <v>-1.111295677992</v>
      </c>
      <c r="AE3841">
        <v>-7.6181999999999999</v>
      </c>
      <c r="AF3841">
        <v>-7.0438376677575301</v>
      </c>
      <c r="AG3841">
        <v>-1.111295677992</v>
      </c>
      <c r="AH3841">
        <v>26.875559944719601</v>
      </c>
      <c r="AI3841">
        <v>92.290535831912607</v>
      </c>
      <c r="AJ3841">
        <v>104.686368975267</v>
      </c>
      <c r="AK3841">
        <v>27.8055093374651</v>
      </c>
      <c r="AL3841">
        <v>88.844423924246698</v>
      </c>
      <c r="AM3841">
        <v>93.478059088416202</v>
      </c>
      <c r="AN3841">
        <v>1.00000000163099</v>
      </c>
    </row>
    <row r="3842" spans="1:40" x14ac:dyDescent="0.3">
      <c r="A3842" t="str">
        <f>"20200111160532497"</f>
        <v>20200111160532497</v>
      </c>
      <c r="B3842" t="str">
        <f>"1578729932495897"</f>
        <v>1578729932495897</v>
      </c>
      <c r="C3842" t="s">
        <v>40</v>
      </c>
      <c r="D3842">
        <v>5.4736019999999996</v>
      </c>
      <c r="E3842">
        <v>0.42637770000000003</v>
      </c>
      <c r="F3842" t="s">
        <v>41</v>
      </c>
      <c r="G3842">
        <v>-256.58530000000002</v>
      </c>
      <c r="H3842" s="1">
        <v>-2.7058840000000002E-6</v>
      </c>
      <c r="I3842">
        <v>133.76150000000001</v>
      </c>
      <c r="J3842">
        <v>-226.8449</v>
      </c>
      <c r="K3842">
        <v>1.111253</v>
      </c>
      <c r="L3842">
        <v>142.37729999999999</v>
      </c>
      <c r="M3842">
        <v>-0.999695</v>
      </c>
      <c r="N3842">
        <v>0</v>
      </c>
      <c r="O3842">
        <v>-2.4689989999999998E-2</v>
      </c>
      <c r="P3842">
        <v>-0.99636409999999997</v>
      </c>
      <c r="Q3842">
        <v>2.122046E-2</v>
      </c>
      <c r="R3842">
        <v>-8.2511639999999997E-2</v>
      </c>
      <c r="S3842">
        <v>-2.943527</v>
      </c>
      <c r="T3842">
        <v>-0.1091844</v>
      </c>
      <c r="U3842">
        <v>-0.84733579999999997</v>
      </c>
      <c r="V3842">
        <v>-5.8006559999999999E-2</v>
      </c>
      <c r="W3842">
        <v>2.1333330000000001E-2</v>
      </c>
      <c r="X3842">
        <v>0.99808819999999998</v>
      </c>
      <c r="Y3842">
        <v>-0.25267529999999999</v>
      </c>
      <c r="Z3842">
        <v>-3.6950400000000001E-3</v>
      </c>
      <c r="AA3842">
        <v>0.96754410000000002</v>
      </c>
      <c r="AB3842">
        <v>23</v>
      </c>
      <c r="AC3842">
        <v>-29.740400000000001</v>
      </c>
      <c r="AD3842">
        <v>-1.111255705884</v>
      </c>
      <c r="AE3842">
        <v>-8.6157999999999699</v>
      </c>
      <c r="AF3842">
        <v>-7.8687478426800102</v>
      </c>
      <c r="AG3842">
        <v>-1.111255705884</v>
      </c>
      <c r="AH3842">
        <v>29.905537854006099</v>
      </c>
      <c r="AI3842">
        <v>92.058079593079697</v>
      </c>
      <c r="AJ3842">
        <v>104.7415371097</v>
      </c>
      <c r="AK3842">
        <v>30.943388246811899</v>
      </c>
      <c r="AL3842">
        <v>88.777597449962002</v>
      </c>
      <c r="AM3842">
        <v>93.326155658397894</v>
      </c>
      <c r="AN3842">
        <v>0.99999996347557996</v>
      </c>
    </row>
    <row r="3843" spans="1:40" x14ac:dyDescent="0.3">
      <c r="A3843" t="str">
        <f>"20200111160532521"</f>
        <v>20200111160532521</v>
      </c>
      <c r="B3843" t="str">
        <f>"1578729932515418"</f>
        <v>1578729932515418</v>
      </c>
      <c r="C3843" t="s">
        <v>40</v>
      </c>
      <c r="D3843">
        <v>5.4859489999999997</v>
      </c>
      <c r="E3843">
        <v>0.42580699999999999</v>
      </c>
      <c r="F3843" t="s">
        <v>41</v>
      </c>
      <c r="G3843">
        <v>-259.95490000000001</v>
      </c>
      <c r="H3843" s="1">
        <v>-1.820553E-6</v>
      </c>
      <c r="I3843">
        <v>132.7792</v>
      </c>
      <c r="J3843">
        <v>-227.08529999999999</v>
      </c>
      <c r="K3843">
        <v>1.11121</v>
      </c>
      <c r="L3843">
        <v>142.36709999999999</v>
      </c>
      <c r="M3843">
        <v>-0.99959030000000004</v>
      </c>
      <c r="N3843">
        <v>0</v>
      </c>
      <c r="O3843">
        <v>-2.8622410000000001E-2</v>
      </c>
      <c r="P3843">
        <v>-0.99633070000000001</v>
      </c>
      <c r="Q3843">
        <v>2.181756E-2</v>
      </c>
      <c r="R3843">
        <v>-8.2760449999999999E-2</v>
      </c>
      <c r="S3843">
        <v>-2.9424130000000002</v>
      </c>
      <c r="T3843">
        <v>-9.8754880000000003E-2</v>
      </c>
      <c r="U3843">
        <v>-0.85295100000000001</v>
      </c>
      <c r="V3843">
        <v>-5.433048E-2</v>
      </c>
      <c r="W3843">
        <v>2.184724E-2</v>
      </c>
      <c r="X3843">
        <v>0.99828399999999995</v>
      </c>
      <c r="Y3843">
        <v>-0.25069950000000002</v>
      </c>
      <c r="Z3843">
        <v>-3.1811470000000001E-3</v>
      </c>
      <c r="AA3843">
        <v>0.96805969999999997</v>
      </c>
      <c r="AB3843">
        <v>23</v>
      </c>
      <c r="AC3843">
        <v>-32.869599999999998</v>
      </c>
      <c r="AD3843">
        <v>-1.1112118205529999</v>
      </c>
      <c r="AE3843">
        <v>-9.5878999999999905</v>
      </c>
      <c r="AF3843">
        <v>-8.6340705972747394</v>
      </c>
      <c r="AG3843">
        <v>-1.1112118205529999</v>
      </c>
      <c r="AH3843">
        <v>33.095703169971401</v>
      </c>
      <c r="AI3843">
        <v>91.860790350981702</v>
      </c>
      <c r="AJ3843">
        <v>104.621536776959</v>
      </c>
      <c r="AK3843">
        <v>34.221448465892202</v>
      </c>
      <c r="AL3843">
        <v>88.748145784923395</v>
      </c>
      <c r="AM3843">
        <v>93.115184877437898</v>
      </c>
      <c r="AN3843">
        <v>1.0000000238043201</v>
      </c>
    </row>
    <row r="3844" spans="1:40" x14ac:dyDescent="0.3">
      <c r="A3844" t="str">
        <f>"20200111160532543"</f>
        <v>20200111160532543</v>
      </c>
      <c r="B3844" t="str">
        <f>"1578729932534938"</f>
        <v>1578729932534938</v>
      </c>
      <c r="C3844" t="s">
        <v>40</v>
      </c>
      <c r="D3844">
        <v>5.4122539999999999</v>
      </c>
      <c r="E3844">
        <v>0.42554999999999998</v>
      </c>
      <c r="F3844" t="s">
        <v>41</v>
      </c>
      <c r="G3844">
        <v>-261.91230000000002</v>
      </c>
      <c r="H3844" s="1">
        <v>-4.76432E-6</v>
      </c>
      <c r="I3844">
        <v>132.21729999999999</v>
      </c>
      <c r="J3844">
        <v>-227.32130000000001</v>
      </c>
      <c r="K3844">
        <v>1.111165</v>
      </c>
      <c r="L3844">
        <v>142.35640000000001</v>
      </c>
      <c r="M3844">
        <v>-0.99947759999999997</v>
      </c>
      <c r="N3844">
        <v>0</v>
      </c>
      <c r="O3844">
        <v>-3.2319130000000001E-2</v>
      </c>
      <c r="P3844">
        <v>-0.99650760000000005</v>
      </c>
      <c r="Q3844">
        <v>2.061406E-2</v>
      </c>
      <c r="R3844">
        <v>-8.0917909999999996E-2</v>
      </c>
      <c r="S3844">
        <v>-2.9418790000000001</v>
      </c>
      <c r="T3844">
        <v>-9.3865749999999998E-2</v>
      </c>
      <c r="U3844">
        <v>-0.85736080000000003</v>
      </c>
      <c r="V3844">
        <v>-4.8781020000000001E-2</v>
      </c>
      <c r="W3844">
        <v>2.062729E-2</v>
      </c>
      <c r="X3844">
        <v>0.9985965</v>
      </c>
      <c r="Y3844">
        <v>-0.24851770000000001</v>
      </c>
      <c r="Z3844">
        <v>-2.874326E-3</v>
      </c>
      <c r="AA3844">
        <v>0.96862309999999996</v>
      </c>
      <c r="AB3844">
        <v>23</v>
      </c>
      <c r="AC3844">
        <v>-34.591000000000001</v>
      </c>
      <c r="AD3844">
        <v>-1.11116976432</v>
      </c>
      <c r="AE3844">
        <v>-10.139099999999999</v>
      </c>
      <c r="AF3844">
        <v>-9.0072931203849596</v>
      </c>
      <c r="AG3844">
        <v>-1.11116976432</v>
      </c>
      <c r="AH3844">
        <v>34.867483696558303</v>
      </c>
      <c r="AI3844">
        <v>91.767325720388499</v>
      </c>
      <c r="AJ3844">
        <v>104.48451763976399</v>
      </c>
      <c r="AK3844">
        <v>36.029258206788498</v>
      </c>
      <c r="AL3844">
        <v>88.818059539065302</v>
      </c>
      <c r="AM3844">
        <v>92.796651668187096</v>
      </c>
      <c r="AN3844">
        <v>1.00000002140861</v>
      </c>
    </row>
    <row r="3845" spans="1:40" x14ac:dyDescent="0.3">
      <c r="A3845" t="str">
        <f>"20200111160532567"</f>
        <v>20200111160532567</v>
      </c>
      <c r="B3845" t="str">
        <f>"1578729932555433"</f>
        <v>1578729932555433</v>
      </c>
      <c r="C3845" t="s">
        <v>40</v>
      </c>
      <c r="D3845">
        <v>5.4874400000000003</v>
      </c>
      <c r="E3845">
        <v>0.42575689999999999</v>
      </c>
      <c r="F3845" t="s">
        <v>41</v>
      </c>
      <c r="G3845">
        <v>-261.47800000000001</v>
      </c>
      <c r="H3845" s="1">
        <v>-4.9087680000000003E-6</v>
      </c>
      <c r="I3845">
        <v>132.45339999999999</v>
      </c>
      <c r="J3845">
        <v>-227.56809999999999</v>
      </c>
      <c r="K3845">
        <v>1.111116</v>
      </c>
      <c r="L3845">
        <v>142.3443</v>
      </c>
      <c r="M3845">
        <v>-0.99935260000000004</v>
      </c>
      <c r="N3845">
        <v>0</v>
      </c>
      <c r="O3845">
        <v>-3.597504E-2</v>
      </c>
      <c r="P3845">
        <v>-0.99681869999999995</v>
      </c>
      <c r="Q3845">
        <v>1.658869E-2</v>
      </c>
      <c r="R3845">
        <v>-7.7956620000000004E-2</v>
      </c>
      <c r="S3845">
        <v>-2.943222</v>
      </c>
      <c r="T3845">
        <v>-9.574771E-2</v>
      </c>
      <c r="U3845">
        <v>-0.85331729999999995</v>
      </c>
      <c r="V3845">
        <v>-4.2133869999999997E-2</v>
      </c>
      <c r="W3845">
        <v>1.670027E-2</v>
      </c>
      <c r="X3845">
        <v>0.99897239999999998</v>
      </c>
      <c r="Y3845">
        <v>-0.2436256</v>
      </c>
      <c r="Z3845">
        <v>-2.7370670000000001E-3</v>
      </c>
      <c r="AA3845">
        <v>0.96986550000000005</v>
      </c>
      <c r="AB3845">
        <v>24</v>
      </c>
      <c r="AC3845">
        <v>-33.9099</v>
      </c>
      <c r="AD3845">
        <v>-1.1111209087680001</v>
      </c>
      <c r="AE3845">
        <v>-9.8909000000000091</v>
      </c>
      <c r="AF3845">
        <v>-8.6560223994676697</v>
      </c>
      <c r="AG3845">
        <v>-1.1111209087680001</v>
      </c>
      <c r="AH3845">
        <v>34.209925134109902</v>
      </c>
      <c r="AI3845">
        <v>91.803486777164693</v>
      </c>
      <c r="AJ3845">
        <v>104.199339751617</v>
      </c>
      <c r="AK3845">
        <v>35.305527770242897</v>
      </c>
      <c r="AL3845">
        <v>89.043100537639006</v>
      </c>
      <c r="AM3845">
        <v>92.415144763836906</v>
      </c>
      <c r="AN3845">
        <v>1.0000000089904999</v>
      </c>
    </row>
    <row r="3846" spans="1:40" x14ac:dyDescent="0.3">
      <c r="A3846" t="str">
        <f>"20200111160532587"</f>
        <v>20200111160532587</v>
      </c>
      <c r="B3846" t="str">
        <f>"1578729932585690"</f>
        <v>1578729932585690</v>
      </c>
      <c r="C3846" t="s">
        <v>40</v>
      </c>
      <c r="D3846">
        <v>5.7754490000000001</v>
      </c>
      <c r="E3846">
        <v>0.42560540000000002</v>
      </c>
      <c r="F3846" t="s">
        <v>41</v>
      </c>
      <c r="G3846">
        <v>-257.02550000000002</v>
      </c>
      <c r="H3846" s="1">
        <v>-2.5152309999999999E-6</v>
      </c>
      <c r="I3846">
        <v>133.91499999999999</v>
      </c>
      <c r="J3846">
        <v>-227.79060000000001</v>
      </c>
      <c r="K3846">
        <v>1.111078</v>
      </c>
      <c r="L3846">
        <v>142.33279999999999</v>
      </c>
      <c r="M3846">
        <v>-0.99923519999999999</v>
      </c>
      <c r="N3846">
        <v>0</v>
      </c>
      <c r="O3846">
        <v>-3.9101450000000003E-2</v>
      </c>
      <c r="P3846">
        <v>-0.99721970000000004</v>
      </c>
      <c r="Q3846">
        <v>1.3266999999999999E-2</v>
      </c>
      <c r="R3846">
        <v>-7.3327890000000007E-2</v>
      </c>
      <c r="S3846">
        <v>-2.9455260000000001</v>
      </c>
      <c r="T3846">
        <v>-0.11110390000000001</v>
      </c>
      <c r="U3846">
        <v>-0.84286499999999998</v>
      </c>
      <c r="V3846">
        <v>-3.4348389999999999E-2</v>
      </c>
      <c r="W3846">
        <v>1.359308E-2</v>
      </c>
      <c r="X3846">
        <v>0.99931749999999997</v>
      </c>
      <c r="Y3846">
        <v>-0.23717630000000001</v>
      </c>
      <c r="Z3846">
        <v>-2.9404850000000001E-3</v>
      </c>
      <c r="AA3846">
        <v>0.97146220000000005</v>
      </c>
      <c r="AB3846">
        <v>24</v>
      </c>
      <c r="AC3846">
        <v>-29.2349</v>
      </c>
      <c r="AD3846">
        <v>-1.1110805152309999</v>
      </c>
      <c r="AE3846">
        <v>-8.4177999999999997</v>
      </c>
      <c r="AF3846">
        <v>-7.2585538318622298</v>
      </c>
      <c r="AG3846">
        <v>-1.1110805152309999</v>
      </c>
      <c r="AH3846">
        <v>29.502339946523499</v>
      </c>
      <c r="AI3846">
        <v>92.094383726934296</v>
      </c>
      <c r="AJ3846">
        <v>103.82213085655999</v>
      </c>
      <c r="AK3846">
        <v>30.402453288535899</v>
      </c>
      <c r="AL3846">
        <v>89.221149918522599</v>
      </c>
      <c r="AM3846">
        <v>91.968586868382204</v>
      </c>
      <c r="AN3846">
        <v>1.00000002476286</v>
      </c>
    </row>
    <row r="3847" spans="1:40" x14ac:dyDescent="0.3">
      <c r="A3847" t="str">
        <f>"20200111160532611"</f>
        <v>20200111160532611</v>
      </c>
      <c r="B3847" t="str">
        <f>"1578729932605209"</f>
        <v>1578729932605209</v>
      </c>
      <c r="C3847" t="s">
        <v>40</v>
      </c>
      <c r="D3847">
        <v>5.4663620000000002</v>
      </c>
      <c r="E3847">
        <v>0.41109889999999999</v>
      </c>
      <c r="F3847" t="s">
        <v>41</v>
      </c>
      <c r="G3847">
        <v>-254.34469999999999</v>
      </c>
      <c r="H3847" s="1">
        <v>-3.2530660000000002E-6</v>
      </c>
      <c r="I3847">
        <v>134.8544</v>
      </c>
      <c r="J3847">
        <v>-228.0359</v>
      </c>
      <c r="K3847">
        <v>1.111056</v>
      </c>
      <c r="L3847">
        <v>142.31950000000001</v>
      </c>
      <c r="M3847">
        <v>-0.99910019999999999</v>
      </c>
      <c r="N3847">
        <v>0</v>
      </c>
      <c r="O3847">
        <v>-4.24053E-2</v>
      </c>
      <c r="P3847">
        <v>-0.99747750000000002</v>
      </c>
      <c r="Q3847">
        <v>1.268353E-2</v>
      </c>
      <c r="R3847">
        <v>-6.9841089999999995E-2</v>
      </c>
      <c r="S3847">
        <v>-2.948944</v>
      </c>
      <c r="T3847">
        <v>-0.12339029999999999</v>
      </c>
      <c r="U3847">
        <v>-0.83050539999999995</v>
      </c>
      <c r="V3847">
        <v>-2.7546009999999999E-2</v>
      </c>
      <c r="W3847">
        <v>1.333752E-2</v>
      </c>
      <c r="X3847">
        <v>0.99953159999999996</v>
      </c>
      <c r="Y3847">
        <v>-0.22986989999999999</v>
      </c>
      <c r="Z3847">
        <v>-2.978601E-3</v>
      </c>
      <c r="AA3847">
        <v>0.97321679999999999</v>
      </c>
      <c r="AB3847">
        <v>24</v>
      </c>
      <c r="AC3847">
        <v>-26.308799999999898</v>
      </c>
      <c r="AD3847">
        <v>-1.111059253066</v>
      </c>
      <c r="AE3847">
        <v>-7.4650999999999996</v>
      </c>
      <c r="AF3847">
        <v>-6.3323000871322703</v>
      </c>
      <c r="AG3847">
        <v>-1.111059253066</v>
      </c>
      <c r="AH3847">
        <v>26.557858442847699</v>
      </c>
      <c r="AI3847">
        <v>92.330345884978797</v>
      </c>
      <c r="AJ3847">
        <v>103.41087217549401</v>
      </c>
      <c r="AK3847">
        <v>27.3249395631107</v>
      </c>
      <c r="AL3847">
        <v>89.235793771282403</v>
      </c>
      <c r="AM3847">
        <v>91.578610156177902</v>
      </c>
      <c r="AN3847">
        <v>1.0000000457526099</v>
      </c>
    </row>
    <row r="3848" spans="1:40" x14ac:dyDescent="0.3">
      <c r="A3848" t="str">
        <f>"20200111160532632"</f>
        <v>20200111160532632</v>
      </c>
      <c r="B3848" t="str">
        <f>"1578729932625705"</f>
        <v>1578729932625705</v>
      </c>
      <c r="C3848" t="s">
        <v>40</v>
      </c>
      <c r="D3848">
        <v>5.6946729999999999</v>
      </c>
      <c r="E3848">
        <v>0.42407800000000001</v>
      </c>
      <c r="F3848" t="s">
        <v>70</v>
      </c>
      <c r="G3848">
        <v>-325.93560000000002</v>
      </c>
      <c r="H3848">
        <v>2.9422280000000001</v>
      </c>
      <c r="I3848">
        <v>111.7597</v>
      </c>
      <c r="J3848">
        <v>-228.27979999999999</v>
      </c>
      <c r="K3848">
        <v>1.1110580000000001</v>
      </c>
      <c r="L3848">
        <v>142.3056</v>
      </c>
      <c r="M3848">
        <v>-0.99896110000000005</v>
      </c>
      <c r="N3848">
        <v>0</v>
      </c>
      <c r="O3848">
        <v>-4.5557779999999999E-2</v>
      </c>
      <c r="P3848">
        <v>-0.99768440000000003</v>
      </c>
      <c r="Q3848">
        <v>1.299355E-2</v>
      </c>
      <c r="R3848">
        <v>-6.6761319999999999E-2</v>
      </c>
      <c r="S3848">
        <v>-2.9425659999999998</v>
      </c>
      <c r="T3848">
        <v>5.503976E-2</v>
      </c>
      <c r="U3848">
        <v>-0.9185333</v>
      </c>
      <c r="V3848">
        <v>-2.130692E-2</v>
      </c>
      <c r="W3848">
        <v>1.4058910000000001E-2</v>
      </c>
      <c r="X3848">
        <v>0.99967410000000001</v>
      </c>
      <c r="Y3848">
        <v>-0.25414320000000001</v>
      </c>
      <c r="Z3848">
        <v>1.490789E-3</v>
      </c>
      <c r="AA3848">
        <v>0.96716550000000001</v>
      </c>
      <c r="AB3848">
        <v>24</v>
      </c>
      <c r="AC3848">
        <v>-97.655799999999999</v>
      </c>
      <c r="AD3848">
        <v>1.83117</v>
      </c>
      <c r="AE3848">
        <v>-30.5459</v>
      </c>
      <c r="AF3848">
        <v>-26.056854819210599</v>
      </c>
      <c r="AG3848">
        <v>1.83117</v>
      </c>
      <c r="AH3848">
        <v>98.914328844148002</v>
      </c>
      <c r="AI3848">
        <v>88.974403073090599</v>
      </c>
      <c r="AJ3848">
        <v>104.758063065915</v>
      </c>
      <c r="AK3848">
        <v>102.305216471725</v>
      </c>
      <c r="AL3848">
        <v>89.194457232086506</v>
      </c>
      <c r="AM3848">
        <v>91.221009706335906</v>
      </c>
      <c r="AN3848">
        <v>0.99999997200054103</v>
      </c>
    </row>
    <row r="3849" spans="1:40" x14ac:dyDescent="0.3">
      <c r="A3849" t="str">
        <f>"20200111160532655"</f>
        <v>20200111160532655</v>
      </c>
      <c r="B3849" t="str">
        <f>"1578729932645225"</f>
        <v>1578729932645225</v>
      </c>
      <c r="C3849" t="s">
        <v>40</v>
      </c>
      <c r="D3849">
        <v>4.8718859999999999</v>
      </c>
      <c r="E3849">
        <v>0.47586070000000003</v>
      </c>
      <c r="F3849" t="s">
        <v>41</v>
      </c>
      <c r="G3849">
        <v>-256.0616</v>
      </c>
      <c r="H3849" s="1">
        <v>-2.670365E-6</v>
      </c>
      <c r="I3849">
        <v>134.56479999999999</v>
      </c>
      <c r="J3849">
        <v>-228.5282</v>
      </c>
      <c r="K3849">
        <v>1.1110690000000001</v>
      </c>
      <c r="L3849">
        <v>142.29089999999999</v>
      </c>
      <c r="M3849">
        <v>-0.99881640000000005</v>
      </c>
      <c r="N3849">
        <v>0</v>
      </c>
      <c r="O3849">
        <v>-4.8615140000000001E-2</v>
      </c>
      <c r="P3849">
        <v>-0.99786620000000004</v>
      </c>
      <c r="Q3849">
        <v>1.3432660000000001E-2</v>
      </c>
      <c r="R3849">
        <v>-6.3897499999999996E-2</v>
      </c>
      <c r="S3849">
        <v>-2.9534449999999999</v>
      </c>
      <c r="T3849">
        <v>-0.1181157</v>
      </c>
      <c r="U3849">
        <v>-0.82290649999999999</v>
      </c>
      <c r="V3849">
        <v>-1.53793E-2</v>
      </c>
      <c r="W3849">
        <v>1.5001509999999999E-2</v>
      </c>
      <c r="X3849">
        <v>0.99976920000000002</v>
      </c>
      <c r="Y3849">
        <v>-0.22112599999999999</v>
      </c>
      <c r="Z3849">
        <v>-2.4339489999999999E-3</v>
      </c>
      <c r="AA3849">
        <v>0.97524219999999895</v>
      </c>
      <c r="AB3849">
        <v>24</v>
      </c>
      <c r="AC3849">
        <v>-27.5334</v>
      </c>
      <c r="AD3849">
        <v>-1.1110716703650001</v>
      </c>
      <c r="AE3849">
        <v>-7.7260999999999997</v>
      </c>
      <c r="AF3849">
        <v>-6.3688088117967601</v>
      </c>
      <c r="AG3849">
        <v>-1.1110716703650001</v>
      </c>
      <c r="AH3849">
        <v>27.834432451020302</v>
      </c>
      <c r="AI3849">
        <v>92.228344416186602</v>
      </c>
      <c r="AJ3849">
        <v>102.88801544108</v>
      </c>
      <c r="AK3849">
        <v>28.575371140342501</v>
      </c>
      <c r="AL3849">
        <v>89.140444558016199</v>
      </c>
      <c r="AM3849">
        <v>90.881302892155006</v>
      </c>
      <c r="AN3849">
        <v>1.0000000107197</v>
      </c>
    </row>
    <row r="3850" spans="1:40" x14ac:dyDescent="0.3">
      <c r="A3850" t="str">
        <f>"20200111160532676"</f>
        <v>20200111160532676</v>
      </c>
      <c r="B3850" t="str">
        <f>"1578729932665721"</f>
        <v>1578729932665721</v>
      </c>
      <c r="C3850" t="s">
        <v>40</v>
      </c>
      <c r="D3850">
        <v>5.8557689999999996</v>
      </c>
      <c r="E3850">
        <v>0.48910949999999997</v>
      </c>
      <c r="F3850" t="s">
        <v>41</v>
      </c>
      <c r="G3850">
        <v>-242.73830000000001</v>
      </c>
      <c r="H3850" s="1">
        <v>-3.2870469999999999E-6</v>
      </c>
      <c r="I3850">
        <v>140.32830000000001</v>
      </c>
      <c r="J3850">
        <v>-228.75299999999999</v>
      </c>
      <c r="K3850">
        <v>1.111059</v>
      </c>
      <c r="L3850">
        <v>142.27699999999999</v>
      </c>
      <c r="M3850">
        <v>-0.99868460000000003</v>
      </c>
      <c r="N3850">
        <v>0</v>
      </c>
      <c r="O3850">
        <v>-5.1229419999999998E-2</v>
      </c>
      <c r="P3850">
        <v>-0.99802080000000004</v>
      </c>
      <c r="Q3850">
        <v>1.193052E-2</v>
      </c>
      <c r="R3850">
        <v>-6.174441E-2</v>
      </c>
      <c r="S3850">
        <v>-2.9831699999999999</v>
      </c>
      <c r="T3850">
        <v>-0.23325180000000001</v>
      </c>
      <c r="U3850">
        <v>-0.4119873</v>
      </c>
      <c r="V3850">
        <v>-1.059629E-2</v>
      </c>
      <c r="W3850">
        <v>1.4005500000000001E-2</v>
      </c>
      <c r="X3850">
        <v>0.99984569999999995</v>
      </c>
      <c r="Y3850">
        <v>-8.5774509999999998E-2</v>
      </c>
      <c r="Z3850">
        <v>6.4341929999999999E-4</v>
      </c>
      <c r="AA3850">
        <v>0.99631429999999999</v>
      </c>
      <c r="AB3850">
        <v>24</v>
      </c>
      <c r="AC3850">
        <v>-13.985300000000001</v>
      </c>
      <c r="AD3850">
        <v>-1.1110622870469999</v>
      </c>
      <c r="AE3850">
        <v>-1.9487000000000001</v>
      </c>
      <c r="AF3850">
        <v>-1.2221142314306099</v>
      </c>
      <c r="AG3850">
        <v>-1.1110622870469999</v>
      </c>
      <c r="AH3850">
        <v>13.9802112532593</v>
      </c>
      <c r="AI3850">
        <v>94.526778612883305</v>
      </c>
      <c r="AJ3850">
        <v>94.995949974727793</v>
      </c>
      <c r="AK3850">
        <v>14.077440438024199</v>
      </c>
      <c r="AL3850">
        <v>89.197517667050903</v>
      </c>
      <c r="AM3850">
        <v>90.607193657141394</v>
      </c>
      <c r="AN3850">
        <v>0.99999992960024897</v>
      </c>
    </row>
    <row r="3851" spans="1:40" x14ac:dyDescent="0.3">
      <c r="A3851" t="str">
        <f>"20200111160532698"</f>
        <v>20200111160532698</v>
      </c>
      <c r="B3851" t="str">
        <f>"1578729932695001"</f>
        <v>1578729932695001</v>
      </c>
      <c r="C3851" t="s">
        <v>40</v>
      </c>
      <c r="D3851">
        <v>5.6144850000000002</v>
      </c>
      <c r="E3851">
        <v>0.54427769999999898</v>
      </c>
      <c r="F3851" t="s">
        <v>41</v>
      </c>
      <c r="G3851">
        <v>-241.97130000000001</v>
      </c>
      <c r="H3851" s="1">
        <v>-3.7807469999999999E-6</v>
      </c>
      <c r="I3851">
        <v>140.94730000000001</v>
      </c>
      <c r="J3851">
        <v>-228.994</v>
      </c>
      <c r="K3851">
        <v>1.111027</v>
      </c>
      <c r="L3851">
        <v>142.26169999999999</v>
      </c>
      <c r="M3851">
        <v>-0.99854520000000002</v>
      </c>
      <c r="N3851">
        <v>0</v>
      </c>
      <c r="O3851">
        <v>-5.3857950000000002E-2</v>
      </c>
      <c r="P3851">
        <v>-0.99817840000000002</v>
      </c>
      <c r="Q3851">
        <v>8.9147840000000002E-3</v>
      </c>
      <c r="R3851">
        <v>-5.967161E-2</v>
      </c>
      <c r="S3851">
        <v>-2.9903409999999999</v>
      </c>
      <c r="T3851">
        <v>-0.25135239999999998</v>
      </c>
      <c r="U3851">
        <v>-0.30081180000000002</v>
      </c>
      <c r="V3851">
        <v>-5.8726029999999997E-3</v>
      </c>
      <c r="W3851">
        <v>1.15519E-2</v>
      </c>
      <c r="X3851">
        <v>0.99991600000000003</v>
      </c>
      <c r="Y3851">
        <v>-4.6382300000000001E-2</v>
      </c>
      <c r="Z3851">
        <v>2.5620500000000002E-3</v>
      </c>
      <c r="AA3851">
        <v>0.99892049999999999</v>
      </c>
      <c r="AB3851">
        <v>24</v>
      </c>
      <c r="AC3851">
        <v>-12.9772999999999</v>
      </c>
      <c r="AD3851">
        <v>-1.1110307807469999</v>
      </c>
      <c r="AE3851">
        <v>-1.31439999999997</v>
      </c>
      <c r="AF3851">
        <v>-0.60913967779607903</v>
      </c>
      <c r="AG3851">
        <v>-1.1110307807469999</v>
      </c>
      <c r="AH3851">
        <v>12.935406544292899</v>
      </c>
      <c r="AI3851">
        <v>94.903717303820301</v>
      </c>
      <c r="AJ3851">
        <v>92.6961169311882</v>
      </c>
      <c r="AK3851">
        <v>12.9973144537234</v>
      </c>
      <c r="AL3851">
        <v>89.338110143396307</v>
      </c>
      <c r="AM3851">
        <v>90.336499764005197</v>
      </c>
      <c r="AN3851">
        <v>0.99999997045780198</v>
      </c>
    </row>
    <row r="3852" spans="1:40" x14ac:dyDescent="0.3">
      <c r="A3852" t="str">
        <f>"20200111160532722"</f>
        <v>20200111160532722</v>
      </c>
      <c r="B3852" t="str">
        <f>"1578729932715497"</f>
        <v>1578729932715497</v>
      </c>
      <c r="C3852" t="s">
        <v>40</v>
      </c>
      <c r="D3852">
        <v>5.7085629999999998</v>
      </c>
      <c r="E3852">
        <v>0.54484309999999903</v>
      </c>
      <c r="F3852" t="s">
        <v>42</v>
      </c>
      <c r="G3852">
        <v>-229.77850000000001</v>
      </c>
      <c r="H3852">
        <v>1.037568</v>
      </c>
      <c r="I3852">
        <v>142.29949999999999</v>
      </c>
      <c r="J3852">
        <v>-229.2499</v>
      </c>
      <c r="K3852">
        <v>1.1109659999999999</v>
      </c>
      <c r="L3852">
        <v>142.2449</v>
      </c>
      <c r="M3852">
        <v>-0.99840079999999998</v>
      </c>
      <c r="N3852">
        <v>0</v>
      </c>
      <c r="O3852">
        <v>-5.6440160000000003E-2</v>
      </c>
      <c r="P3852">
        <v>-0.99830110000000005</v>
      </c>
      <c r="Q3852">
        <v>6.443888E-3</v>
      </c>
      <c r="R3852">
        <v>-5.7910799999999998E-2</v>
      </c>
      <c r="S3852">
        <v>-3.0166469999999999</v>
      </c>
      <c r="T3852">
        <v>-0.28267330000000002</v>
      </c>
      <c r="U3852">
        <v>0.14471439999999999</v>
      </c>
      <c r="V3852">
        <v>-1.5108509999999999E-3</v>
      </c>
      <c r="W3852">
        <v>9.6651659999999993E-3</v>
      </c>
      <c r="X3852">
        <v>0.99995210000000001</v>
      </c>
      <c r="Y3852">
        <v>0.1035167</v>
      </c>
      <c r="Z3852">
        <v>1.011045E-2</v>
      </c>
      <c r="AA3852">
        <v>0.99457629999999997</v>
      </c>
      <c r="AB3852">
        <v>24</v>
      </c>
      <c r="AC3852">
        <v>-0.52860000000001095</v>
      </c>
      <c r="AD3852">
        <v>-7.3397999999999797E-2</v>
      </c>
      <c r="AE3852">
        <v>5.4599999999993501E-2</v>
      </c>
      <c r="AF3852">
        <v>8.2768433444706205E-2</v>
      </c>
      <c r="AG3852">
        <v>-7.3397999999999797E-2</v>
      </c>
      <c r="AH3852">
        <v>0.51485398836827401</v>
      </c>
      <c r="AI3852">
        <v>98.011953209799103</v>
      </c>
      <c r="AJ3852">
        <v>80.867215327792593</v>
      </c>
      <c r="AK3852">
        <v>0.52660469929313103</v>
      </c>
      <c r="AL3852">
        <v>89.446218130137098</v>
      </c>
      <c r="AM3852">
        <v>90.0865694665776</v>
      </c>
      <c r="AN3852">
        <v>0.99999995019947896</v>
      </c>
    </row>
    <row r="3853" spans="1:40" x14ac:dyDescent="0.3">
      <c r="A3853" t="str">
        <f>"20200111160532746"</f>
        <v>20200111160532746</v>
      </c>
      <c r="B3853" t="str">
        <f>"1578729932735993"</f>
        <v>1578729932735993</v>
      </c>
      <c r="C3853" t="s">
        <v>40</v>
      </c>
      <c r="D3853">
        <v>5.7232260000000004</v>
      </c>
      <c r="E3853">
        <v>0.54538240000000004</v>
      </c>
      <c r="F3853" t="s">
        <v>42</v>
      </c>
      <c r="G3853">
        <v>-229.99959999999999</v>
      </c>
      <c r="H3853">
        <v>1.041283</v>
      </c>
      <c r="I3853">
        <v>142.28360000000001</v>
      </c>
      <c r="J3853">
        <v>-229.5102</v>
      </c>
      <c r="K3853">
        <v>1.110884</v>
      </c>
      <c r="L3853">
        <v>142.22749999999999</v>
      </c>
      <c r="M3853">
        <v>-0.99826159999999997</v>
      </c>
      <c r="N3853">
        <v>0</v>
      </c>
      <c r="O3853">
        <v>-5.8818809999999999E-2</v>
      </c>
      <c r="P3853">
        <v>-0.99833989999999995</v>
      </c>
      <c r="Q3853">
        <v>6.8188869999999896E-3</v>
      </c>
      <c r="R3853">
        <v>-5.719407E-2</v>
      </c>
      <c r="S3853">
        <v>-3.0159150000000001</v>
      </c>
      <c r="T3853">
        <v>-0.28031709999999999</v>
      </c>
      <c r="U3853">
        <v>0.15550229999999901</v>
      </c>
      <c r="V3853">
        <v>1.58972E-3</v>
      </c>
      <c r="W3853">
        <v>1.0594950000000001E-2</v>
      </c>
      <c r="X3853">
        <v>0.99994260000000001</v>
      </c>
      <c r="Y3853">
        <v>0.109420699999999</v>
      </c>
      <c r="Z3853">
        <v>1.0522170000000001E-2</v>
      </c>
      <c r="AA3853">
        <v>0.99393980000000004</v>
      </c>
      <c r="AB3853">
        <v>25</v>
      </c>
      <c r="AC3853">
        <v>-0.48939999999998901</v>
      </c>
      <c r="AD3853">
        <v>-6.9600999999999996E-2</v>
      </c>
      <c r="AE3853">
        <v>5.6100000000014902E-2</v>
      </c>
      <c r="AF3853">
        <v>8.3129457333416507E-2</v>
      </c>
      <c r="AG3853">
        <v>-6.9600999999999996E-2</v>
      </c>
      <c r="AH3853">
        <v>0.47575524801590202</v>
      </c>
      <c r="AI3853">
        <v>98.200572185437593</v>
      </c>
      <c r="AJ3853">
        <v>80.088678543482999</v>
      </c>
      <c r="AK3853">
        <v>0.48795272505871001</v>
      </c>
      <c r="AL3853">
        <v>89.392942718139096</v>
      </c>
      <c r="AM3853">
        <v>89.908910601599302</v>
      </c>
      <c r="AN3853">
        <v>0.99999999173497001</v>
      </c>
    </row>
    <row r="3854" spans="1:40" x14ac:dyDescent="0.3">
      <c r="A3854" t="str">
        <f>"20200111160532768"</f>
        <v>20200111160532768</v>
      </c>
      <c r="B3854" t="str">
        <f>"1578729932765274"</f>
        <v>1578729932765274</v>
      </c>
      <c r="C3854" t="s">
        <v>40</v>
      </c>
      <c r="D3854">
        <v>5.6519459999999997</v>
      </c>
      <c r="E3854">
        <v>0.54475799999999996</v>
      </c>
      <c r="F3854" t="s">
        <v>42</v>
      </c>
      <c r="G3854">
        <v>-230.4348</v>
      </c>
      <c r="H3854">
        <v>1.025987</v>
      </c>
      <c r="I3854">
        <v>142.2773</v>
      </c>
      <c r="J3854">
        <v>-229.7578</v>
      </c>
      <c r="K3854">
        <v>1.1108009999999999</v>
      </c>
      <c r="L3854">
        <v>142.2105</v>
      </c>
      <c r="M3854">
        <v>-0.99813810000000003</v>
      </c>
      <c r="N3854">
        <v>0</v>
      </c>
      <c r="O3854">
        <v>-6.0845940000000001E-2</v>
      </c>
      <c r="P3854">
        <v>-0.99825909999999995</v>
      </c>
      <c r="Q3854">
        <v>1.05973E-2</v>
      </c>
      <c r="R3854">
        <v>-5.8020960000000003E-2</v>
      </c>
      <c r="S3854">
        <v>-3.0161739999999999</v>
      </c>
      <c r="T3854">
        <v>-0.27708070000000001</v>
      </c>
      <c r="U3854">
        <v>0.16227720000000001</v>
      </c>
      <c r="V3854">
        <v>2.7803849999999998E-3</v>
      </c>
      <c r="W3854">
        <v>1.4858E-2</v>
      </c>
      <c r="X3854">
        <v>0.99988569999999999</v>
      </c>
      <c r="Y3854">
        <v>0.11365069999999999</v>
      </c>
      <c r="Z3854">
        <v>1.0779149999999999E-2</v>
      </c>
      <c r="AA3854">
        <v>0.99346230000000002</v>
      </c>
      <c r="AB3854">
        <v>25</v>
      </c>
      <c r="AC3854">
        <v>-0.67699999999999205</v>
      </c>
      <c r="AD3854">
        <v>-8.4813999999999903E-2</v>
      </c>
      <c r="AE3854">
        <v>6.6800000000000595E-2</v>
      </c>
      <c r="AF3854">
        <v>0.10621829453458199</v>
      </c>
      <c r="AG3854">
        <v>-8.4813999999999903E-2</v>
      </c>
      <c r="AH3854">
        <v>0.66140055862389002</v>
      </c>
      <c r="AI3854">
        <v>97.215916069255002</v>
      </c>
      <c r="AJ3854">
        <v>80.876429389047999</v>
      </c>
      <c r="AK3854">
        <v>0.67522325170111597</v>
      </c>
      <c r="AL3854">
        <v>89.148667941704005</v>
      </c>
      <c r="AM3854">
        <v>89.840677874154295</v>
      </c>
      <c r="AN3854">
        <v>0.99999995188461699</v>
      </c>
    </row>
    <row r="3855" spans="1:40" x14ac:dyDescent="0.3">
      <c r="A3855" t="str">
        <f>"20200111160532789"</f>
        <v>20200111160532789</v>
      </c>
      <c r="B3855" t="str">
        <f>"1578729932785768"</f>
        <v>1578729932785768</v>
      </c>
      <c r="C3855" t="s">
        <v>40</v>
      </c>
      <c r="D3855">
        <v>5.6750259999999999</v>
      </c>
      <c r="E3855">
        <v>0.53666269999999905</v>
      </c>
      <c r="F3855" t="s">
        <v>42</v>
      </c>
      <c r="G3855">
        <v>-230.6583</v>
      </c>
      <c r="H3855">
        <v>1.031293</v>
      </c>
      <c r="I3855">
        <v>142.2569</v>
      </c>
      <c r="J3855">
        <v>-229.9862</v>
      </c>
      <c r="K3855">
        <v>1.1107419999999999</v>
      </c>
      <c r="L3855">
        <v>142.19450000000001</v>
      </c>
      <c r="M3855">
        <v>-0.99803070000000005</v>
      </c>
      <c r="N3855">
        <v>0</v>
      </c>
      <c r="O3855">
        <v>-6.2553549999999999E-2</v>
      </c>
      <c r="P3855">
        <v>-0.99808920000000001</v>
      </c>
      <c r="Q3855">
        <v>1.7469780000000001E-2</v>
      </c>
      <c r="R3855">
        <v>-5.927056E-2</v>
      </c>
      <c r="S3855">
        <v>-3.01709</v>
      </c>
      <c r="T3855">
        <v>-0.26645419999999997</v>
      </c>
      <c r="U3855">
        <v>0.1549683</v>
      </c>
      <c r="V3855">
        <v>3.2166859999999999E-3</v>
      </c>
      <c r="W3855">
        <v>2.2141859999999999E-2</v>
      </c>
      <c r="X3855">
        <v>0.99974969999999996</v>
      </c>
      <c r="Y3855">
        <v>0.1129855</v>
      </c>
      <c r="Z3855">
        <v>1.048584E-2</v>
      </c>
      <c r="AA3855">
        <v>0.99354129999999996</v>
      </c>
      <c r="AB3855">
        <v>25</v>
      </c>
      <c r="AC3855">
        <v>-0.67210000000000003</v>
      </c>
      <c r="AD3855">
        <v>-7.9449000000000103E-2</v>
      </c>
      <c r="AE3855">
        <v>6.2399999999996597E-2</v>
      </c>
      <c r="AF3855">
        <v>0.102894964690046</v>
      </c>
      <c r="AG3855">
        <v>-7.9449000000000103E-2</v>
      </c>
      <c r="AH3855">
        <v>0.65776750799014905</v>
      </c>
      <c r="AI3855">
        <v>96.805185519110196</v>
      </c>
      <c r="AJ3855">
        <v>81.109240222644402</v>
      </c>
      <c r="AK3855">
        <v>0.67049057556921499</v>
      </c>
      <c r="AL3855">
        <v>88.731261233443703</v>
      </c>
      <c r="AM3855">
        <v>89.815651961845205</v>
      </c>
      <c r="AN3855">
        <v>1.0000000358415799</v>
      </c>
    </row>
    <row r="3856" spans="1:40" x14ac:dyDescent="0.3">
      <c r="A3856" t="str">
        <f>"20200111160532811"</f>
        <v>20200111160532811</v>
      </c>
      <c r="B3856" t="str">
        <f>"1578729932805289"</f>
        <v>1578729932805289</v>
      </c>
      <c r="C3856" t="s">
        <v>40</v>
      </c>
      <c r="D3856">
        <v>5.6652259999999997</v>
      </c>
      <c r="E3856">
        <v>0.53722429999999999</v>
      </c>
      <c r="F3856" t="s">
        <v>66</v>
      </c>
      <c r="G3856">
        <v>-511.92939999999999</v>
      </c>
      <c r="H3856">
        <v>12.587580000000001</v>
      </c>
      <c r="I3856">
        <v>153.6326</v>
      </c>
      <c r="J3856">
        <v>-230.23439999999999</v>
      </c>
      <c r="K3856">
        <v>1.110692</v>
      </c>
      <c r="L3856">
        <v>142.17699999999999</v>
      </c>
      <c r="M3856">
        <v>-0.9979228</v>
      </c>
      <c r="N3856">
        <v>0</v>
      </c>
      <c r="O3856">
        <v>-6.4223359999999993E-2</v>
      </c>
      <c r="P3856">
        <v>-0.99772349999999999</v>
      </c>
      <c r="Q3856">
        <v>2.5231699999999999E-2</v>
      </c>
      <c r="R3856">
        <v>-6.2543180000000004E-2</v>
      </c>
      <c r="S3856">
        <v>-3.0108640000000002</v>
      </c>
      <c r="T3856">
        <v>0.1225612</v>
      </c>
      <c r="U3856">
        <v>0.12214659999999999</v>
      </c>
      <c r="V3856">
        <v>1.5854840000000001E-3</v>
      </c>
      <c r="W3856">
        <v>3.030915E-2</v>
      </c>
      <c r="X3856">
        <v>0.99953930000000002</v>
      </c>
      <c r="Y3856">
        <v>0.1044834</v>
      </c>
      <c r="Z3856">
        <v>-4.7364909999999998E-3</v>
      </c>
      <c r="AA3856">
        <v>0.99451540000000005</v>
      </c>
      <c r="AB3856">
        <v>25</v>
      </c>
      <c r="AC3856">
        <v>-281.69499999999999</v>
      </c>
      <c r="AD3856">
        <v>11.476888000000001</v>
      </c>
      <c r="AE3856">
        <v>11.455599999999899</v>
      </c>
      <c r="AF3856">
        <v>29.474734200094101</v>
      </c>
      <c r="AG3856">
        <v>11.476888000000001</v>
      </c>
      <c r="AH3856">
        <v>279.913842690992</v>
      </c>
      <c r="AI3856">
        <v>87.6649971871704</v>
      </c>
      <c r="AJ3856">
        <v>83.988945446697997</v>
      </c>
      <c r="AK3856">
        <v>281.69529325916699</v>
      </c>
      <c r="AL3856">
        <v>88.263147604562903</v>
      </c>
      <c r="AM3856">
        <v>89.909116664549799</v>
      </c>
      <c r="AN3856">
        <v>0.99999998528886302</v>
      </c>
    </row>
    <row r="3857" spans="1:40" x14ac:dyDescent="0.3">
      <c r="A3857" t="str">
        <f>"20200111160532834"</f>
        <v>20200111160532834</v>
      </c>
      <c r="B3857" t="str">
        <f>"1578729932825786"</f>
        <v>1578729932825786</v>
      </c>
      <c r="C3857" t="s">
        <v>40</v>
      </c>
      <c r="D3857">
        <v>5.6477519999999997</v>
      </c>
      <c r="E3857">
        <v>0.53653969999999995</v>
      </c>
      <c r="F3857" t="s">
        <v>66</v>
      </c>
      <c r="G3857">
        <v>-511.06310000000002</v>
      </c>
      <c r="H3857">
        <v>13.50046</v>
      </c>
      <c r="I3857">
        <v>152.9512</v>
      </c>
      <c r="J3857">
        <v>-230.49180000000001</v>
      </c>
      <c r="K3857">
        <v>1.1106229999999999</v>
      </c>
      <c r="L3857">
        <v>142.15860000000001</v>
      </c>
      <c r="M3857">
        <v>-0.99782150000000003</v>
      </c>
      <c r="N3857">
        <v>0</v>
      </c>
      <c r="O3857">
        <v>-6.5747840000000002E-2</v>
      </c>
      <c r="P3857">
        <v>-0.99745950000000005</v>
      </c>
      <c r="Q3857">
        <v>2.9311150000000001E-2</v>
      </c>
      <c r="R3857">
        <v>-6.4929310000000004E-2</v>
      </c>
      <c r="S3857">
        <v>-3.0107270000000002</v>
      </c>
      <c r="T3857">
        <v>0.13282939999999999</v>
      </c>
      <c r="U3857">
        <v>0.115509</v>
      </c>
      <c r="V3857">
        <v>7.1311940000000004E-4</v>
      </c>
      <c r="W3857">
        <v>3.4774270000000003E-2</v>
      </c>
      <c r="X3857">
        <v>0.99939500000000003</v>
      </c>
      <c r="Y3857">
        <v>0.1037904</v>
      </c>
      <c r="Z3857">
        <v>-5.1852189999999996E-3</v>
      </c>
      <c r="AA3857">
        <v>0.99458570000000002</v>
      </c>
      <c r="AB3857">
        <v>25</v>
      </c>
      <c r="AC3857">
        <v>-280.57130000000001</v>
      </c>
      <c r="AD3857">
        <v>12.389837</v>
      </c>
      <c r="AE3857">
        <v>10.792599999999901</v>
      </c>
      <c r="AF3857">
        <v>29.159697136718499</v>
      </c>
      <c r="AG3857">
        <v>12.389837</v>
      </c>
      <c r="AH3857">
        <v>278.71190310662701</v>
      </c>
      <c r="AI3857">
        <v>87.468453018576099</v>
      </c>
      <c r="AJ3857">
        <v>84.027268434397499</v>
      </c>
      <c r="AK3857">
        <v>280.50689997094503</v>
      </c>
      <c r="AL3857">
        <v>88.007179443325796</v>
      </c>
      <c r="AM3857">
        <v>89.959116540532605</v>
      </c>
      <c r="AN3857">
        <v>1.0000000622091501</v>
      </c>
    </row>
    <row r="3858" spans="1:40" x14ac:dyDescent="0.3">
      <c r="A3858" t="str">
        <f>"20200111160532856"</f>
        <v>20200111160532856</v>
      </c>
      <c r="B3858" t="str">
        <f>"1578729932845305"</f>
        <v>1578729932845305</v>
      </c>
      <c r="C3858" t="s">
        <v>40</v>
      </c>
      <c r="D3858">
        <v>5.6772309999999999</v>
      </c>
      <c r="E3858">
        <v>0.54370779999999996</v>
      </c>
      <c r="F3858" t="s">
        <v>66</v>
      </c>
      <c r="G3858">
        <v>-511.0634</v>
      </c>
      <c r="H3858">
        <v>14.330920000000001</v>
      </c>
      <c r="I3858">
        <v>151.70750000000001</v>
      </c>
      <c r="J3858">
        <v>-230.73349999999999</v>
      </c>
      <c r="K3858">
        <v>1.110535</v>
      </c>
      <c r="L3858">
        <v>142.14109999999999</v>
      </c>
      <c r="M3858">
        <v>-0.99773690000000004</v>
      </c>
      <c r="N3858">
        <v>0</v>
      </c>
      <c r="O3858">
        <v>-6.6990930000000004E-2</v>
      </c>
      <c r="P3858">
        <v>-0.99721570000000004</v>
      </c>
      <c r="Q3858">
        <v>3.2530969999999999E-2</v>
      </c>
      <c r="R3858">
        <v>-6.7106109999999997E-2</v>
      </c>
      <c r="S3858">
        <v>-3.0101619999999998</v>
      </c>
      <c r="T3858">
        <v>0.14183660000000001</v>
      </c>
      <c r="U3858">
        <v>0.1024475</v>
      </c>
      <c r="V3858">
        <v>-2.2663300000000001E-4</v>
      </c>
      <c r="W3858">
        <v>3.8322910000000002E-2</v>
      </c>
      <c r="X3858">
        <v>0.99926539999999997</v>
      </c>
      <c r="Y3858">
        <v>0.10070519999999999</v>
      </c>
      <c r="Z3858">
        <v>-5.5236560000000001E-3</v>
      </c>
      <c r="AA3858">
        <v>0.99490100000000004</v>
      </c>
      <c r="AB3858">
        <v>25</v>
      </c>
      <c r="AC3858">
        <v>-280.32990000000001</v>
      </c>
      <c r="AD3858">
        <v>13.220385</v>
      </c>
      <c r="AE3858">
        <v>9.5664000000000105</v>
      </c>
      <c r="AF3858">
        <v>28.261998829379799</v>
      </c>
      <c r="AG3858">
        <v>13.220385</v>
      </c>
      <c r="AH3858">
        <v>278.440716258983</v>
      </c>
      <c r="AI3858">
        <v>87.295508758639897</v>
      </c>
      <c r="AJ3858">
        <v>84.204272614899395</v>
      </c>
      <c r="AK3858">
        <v>280.18342497049298</v>
      </c>
      <c r="AL3858">
        <v>87.803721222020599</v>
      </c>
      <c r="AM3858">
        <v>90.012994660052996</v>
      </c>
      <c r="AN3858">
        <v>1.00000001821527</v>
      </c>
    </row>
    <row r="3859" spans="1:40" x14ac:dyDescent="0.3">
      <c r="A3859" t="str">
        <f>"20200111160532877"</f>
        <v>20200111160532877</v>
      </c>
      <c r="B3859" t="str">
        <f>"1578729932875561"</f>
        <v>1578729932875561</v>
      </c>
      <c r="C3859" t="s">
        <v>40</v>
      </c>
      <c r="D3859">
        <v>5.6580149999999998</v>
      </c>
      <c r="E3859">
        <v>0.53932930000000001</v>
      </c>
      <c r="F3859" t="s">
        <v>42</v>
      </c>
      <c r="G3859">
        <v>-231.55420000000001</v>
      </c>
      <c r="H3859">
        <v>1.044232</v>
      </c>
      <c r="I3859">
        <v>142.17250000000001</v>
      </c>
      <c r="J3859">
        <v>-230.97309999999999</v>
      </c>
      <c r="K3859">
        <v>1.110428</v>
      </c>
      <c r="L3859">
        <v>142.12370000000001</v>
      </c>
      <c r="M3859">
        <v>-0.99766370000000004</v>
      </c>
      <c r="N3859">
        <v>0</v>
      </c>
      <c r="O3859">
        <v>-6.8046090000000004E-2</v>
      </c>
      <c r="P3859">
        <v>-0.9971063</v>
      </c>
      <c r="Q3859">
        <v>3.3229759999999997E-2</v>
      </c>
      <c r="R3859">
        <v>-6.8375340000000007E-2</v>
      </c>
      <c r="S3859">
        <v>-3.0240939999999998</v>
      </c>
      <c r="T3859">
        <v>-0.24437149999999999</v>
      </c>
      <c r="U3859">
        <v>0.11524959999999999</v>
      </c>
      <c r="V3859">
        <v>-4.3388820000000002E-4</v>
      </c>
      <c r="W3859">
        <v>3.9318270000000002E-2</v>
      </c>
      <c r="X3859">
        <v>0.99922659999999996</v>
      </c>
      <c r="Y3859">
        <v>0.1054278</v>
      </c>
      <c r="Z3859">
        <v>9.7376870000000001E-3</v>
      </c>
      <c r="AA3859">
        <v>0.99437929999999997</v>
      </c>
      <c r="AB3859">
        <v>25</v>
      </c>
      <c r="AC3859">
        <v>-0.58110000000002004</v>
      </c>
      <c r="AD3859">
        <v>-6.6195999999999894E-2</v>
      </c>
      <c r="AE3859">
        <v>4.8799999999999899E-2</v>
      </c>
      <c r="AF3859">
        <v>8.7106762163103493E-2</v>
      </c>
      <c r="AG3859">
        <v>-6.6195999999999894E-2</v>
      </c>
      <c r="AH3859">
        <v>0.56909908590356495</v>
      </c>
      <c r="AI3859">
        <v>96.558960500715202</v>
      </c>
      <c r="AJ3859">
        <v>81.297799896525106</v>
      </c>
      <c r="AK3859">
        <v>0.57951985988990296</v>
      </c>
      <c r="AL3859">
        <v>87.746648132417207</v>
      </c>
      <c r="AM3859">
        <v>90.024879202653395</v>
      </c>
      <c r="AN3859">
        <v>0.99999995638116002</v>
      </c>
    </row>
    <row r="3860" spans="1:40" x14ac:dyDescent="0.3">
      <c r="A3860" t="str">
        <f>"20200111160532900"</f>
        <v>20200111160532900</v>
      </c>
      <c r="B3860" t="str">
        <f>"1578729932895081"</f>
        <v>1578729932895081</v>
      </c>
      <c r="C3860" t="s">
        <v>40</v>
      </c>
      <c r="D3860">
        <v>5.6455590000000004</v>
      </c>
      <c r="E3860">
        <v>0.54535129999999998</v>
      </c>
      <c r="F3860" t="s">
        <v>66</v>
      </c>
      <c r="G3860">
        <v>-511.06319999999999</v>
      </c>
      <c r="H3860">
        <v>13.742100000000001</v>
      </c>
      <c r="I3860">
        <v>152.59020000000001</v>
      </c>
      <c r="J3860">
        <v>-231.2261</v>
      </c>
      <c r="K3860">
        <v>1.1103149999999999</v>
      </c>
      <c r="L3860">
        <v>142.1053</v>
      </c>
      <c r="M3860">
        <v>-0.99759790000000004</v>
      </c>
      <c r="N3860">
        <v>0</v>
      </c>
      <c r="O3860">
        <v>-6.8976739999999995E-2</v>
      </c>
      <c r="P3860">
        <v>-0.99695990000000001</v>
      </c>
      <c r="Q3860">
        <v>3.6120630000000001E-2</v>
      </c>
      <c r="R3860">
        <v>-6.9038509999999997E-2</v>
      </c>
      <c r="S3860">
        <v>-3.0118870000000002</v>
      </c>
      <c r="T3860">
        <v>0.13583219999999999</v>
      </c>
      <c r="U3860">
        <v>0.1125488</v>
      </c>
      <c r="V3860">
        <v>-1.651384E-4</v>
      </c>
      <c r="W3860">
        <v>4.2489909999999999E-2</v>
      </c>
      <c r="X3860">
        <v>0.99909689999999995</v>
      </c>
      <c r="Y3860">
        <v>0.10600560000000001</v>
      </c>
      <c r="Z3860">
        <v>-5.4956199999999997E-3</v>
      </c>
      <c r="AA3860">
        <v>0.99435039999999997</v>
      </c>
      <c r="AB3860">
        <v>25</v>
      </c>
      <c r="AC3860">
        <v>-279.83710000000002</v>
      </c>
      <c r="AD3860">
        <v>12.631785000000001</v>
      </c>
      <c r="AE3860">
        <v>10.4849</v>
      </c>
      <c r="AF3860">
        <v>29.702133665544402</v>
      </c>
      <c r="AG3860">
        <v>12.631785000000001</v>
      </c>
      <c r="AH3860">
        <v>277.88192870868698</v>
      </c>
      <c r="AI3860">
        <v>87.411997319275699</v>
      </c>
      <c r="AJ3860">
        <v>83.898955746744605</v>
      </c>
      <c r="AK3860">
        <v>279.750147523522</v>
      </c>
      <c r="AL3860">
        <v>87.564774396624699</v>
      </c>
      <c r="AM3860">
        <v>90.009470285884504</v>
      </c>
      <c r="AN3860">
        <v>1.00000001765605</v>
      </c>
    </row>
    <row r="3861" spans="1:40" x14ac:dyDescent="0.3">
      <c r="A3861" t="str">
        <f>"20200111160532924"</f>
        <v>20200111160532924</v>
      </c>
      <c r="B3861" t="str">
        <f>"1578729932915577"</f>
        <v>1578729932915577</v>
      </c>
      <c r="C3861" t="s">
        <v>40</v>
      </c>
      <c r="D3861">
        <v>5.7088650000000003</v>
      </c>
      <c r="E3861">
        <v>0.54638100000000001</v>
      </c>
      <c r="F3861" t="s">
        <v>42</v>
      </c>
      <c r="G3861">
        <v>-232.0026</v>
      </c>
      <c r="H3861">
        <v>1.0431859999999999</v>
      </c>
      <c r="I3861">
        <v>142.13640000000001</v>
      </c>
      <c r="J3861">
        <v>-231.49979999999999</v>
      </c>
      <c r="K3861">
        <v>1.1102000000000001</v>
      </c>
      <c r="L3861">
        <v>142.08529999999999</v>
      </c>
      <c r="M3861">
        <v>-0.9975406</v>
      </c>
      <c r="N3861">
        <v>0</v>
      </c>
      <c r="O3861">
        <v>-6.977709E-2</v>
      </c>
      <c r="P3861">
        <v>-0.99687099999999995</v>
      </c>
      <c r="Q3861">
        <v>3.7975080000000001E-2</v>
      </c>
      <c r="R3861">
        <v>-6.9328020000000004E-2</v>
      </c>
      <c r="S3861">
        <v>-3.026993</v>
      </c>
      <c r="T3861">
        <v>-0.26184059999999998</v>
      </c>
      <c r="U3861">
        <v>0.1203308</v>
      </c>
      <c r="V3861">
        <v>3.5456700000000002E-4</v>
      </c>
      <c r="W3861">
        <v>4.4611249999999998E-2</v>
      </c>
      <c r="X3861">
        <v>0.99900440000000001</v>
      </c>
      <c r="Y3861">
        <v>0.108682399999999</v>
      </c>
      <c r="Z3861">
        <v>1.071079E-2</v>
      </c>
      <c r="AA3861">
        <v>0.99401879999999998</v>
      </c>
      <c r="AB3861">
        <v>25</v>
      </c>
      <c r="AC3861">
        <v>-0.50280000000000702</v>
      </c>
      <c r="AD3861">
        <v>-6.7013999999999893E-2</v>
      </c>
      <c r="AE3861">
        <v>5.1100000000019401E-2</v>
      </c>
      <c r="AF3861">
        <v>8.4573137439000898E-2</v>
      </c>
      <c r="AG3861">
        <v>-6.7013999999999893E-2</v>
      </c>
      <c r="AH3861">
        <v>0.48940385088785998</v>
      </c>
      <c r="AI3861">
        <v>97.684508098616007</v>
      </c>
      <c r="AJ3861">
        <v>80.195633141543595</v>
      </c>
      <c r="AK3861">
        <v>0.50115827942491697</v>
      </c>
      <c r="AL3861">
        <v>87.443115177313999</v>
      </c>
      <c r="AM3861">
        <v>89.979664562236493</v>
      </c>
      <c r="AN3861">
        <v>1.0000000402818301</v>
      </c>
    </row>
    <row r="3862" spans="1:40" x14ac:dyDescent="0.3">
      <c r="A3862" t="str">
        <f>"20200111160532947"</f>
        <v>20200111160532947</v>
      </c>
      <c r="B3862" t="str">
        <f>"1578729932935097"</f>
        <v>1578729932935097</v>
      </c>
      <c r="C3862" t="s">
        <v>40</v>
      </c>
      <c r="D3862">
        <v>5.6048200000000001</v>
      </c>
      <c r="E3862">
        <v>0.5663916</v>
      </c>
      <c r="F3862" t="s">
        <v>42</v>
      </c>
      <c r="G3862">
        <v>-232.44759999999999</v>
      </c>
      <c r="H3862">
        <v>1.026816</v>
      </c>
      <c r="I3862">
        <v>142.12520000000001</v>
      </c>
      <c r="J3862">
        <v>-231.75579999999999</v>
      </c>
      <c r="K3862">
        <v>1.1100890000000001</v>
      </c>
      <c r="L3862">
        <v>142.0667</v>
      </c>
      <c r="M3862">
        <v>-0.99750099999999997</v>
      </c>
      <c r="N3862">
        <v>0</v>
      </c>
      <c r="O3862">
        <v>-7.0321389999999998E-2</v>
      </c>
      <c r="P3862">
        <v>-0.99687669999999995</v>
      </c>
      <c r="Q3862">
        <v>3.889546E-2</v>
      </c>
      <c r="R3862">
        <v>-6.8732760000000004E-2</v>
      </c>
      <c r="S3862">
        <v>-3.0283660000000001</v>
      </c>
      <c r="T3862">
        <v>-0.26649840000000002</v>
      </c>
      <c r="U3862">
        <v>0.12687680000000001</v>
      </c>
      <c r="V3862">
        <v>1.506173E-3</v>
      </c>
      <c r="W3862">
        <v>4.5746870000000002E-2</v>
      </c>
      <c r="X3862">
        <v>0.9989519</v>
      </c>
      <c r="Y3862">
        <v>0.1113162</v>
      </c>
      <c r="Z3862">
        <v>1.105866E-2</v>
      </c>
      <c r="AA3862">
        <v>0.99372349999999998</v>
      </c>
      <c r="AB3862">
        <v>25</v>
      </c>
      <c r="AC3862">
        <v>-0.69179999999999997</v>
      </c>
      <c r="AD3862">
        <v>-8.3272999999999903E-2</v>
      </c>
      <c r="AE3862">
        <v>5.8500000000009302E-2</v>
      </c>
      <c r="AF3862">
        <v>0.105487060890329</v>
      </c>
      <c r="AG3862">
        <v>-8.3272999999999903E-2</v>
      </c>
      <c r="AH3862">
        <v>0.67624465166595205</v>
      </c>
      <c r="AI3862">
        <v>96.937022407629797</v>
      </c>
      <c r="AJ3862">
        <v>81.133911617091499</v>
      </c>
      <c r="AK3862">
        <v>0.68946989887237597</v>
      </c>
      <c r="AL3862">
        <v>87.377982256335798</v>
      </c>
      <c r="AM3862">
        <v>89.9136121661885</v>
      </c>
      <c r="AN3862">
        <v>0.999999971592756</v>
      </c>
    </row>
    <row r="3863" spans="1:40" x14ac:dyDescent="0.3">
      <c r="A3863" t="str">
        <f>"20200111160532969"</f>
        <v>20200111160532969</v>
      </c>
      <c r="B3863" t="str">
        <f>"1578729932965354"</f>
        <v>1578729932965354</v>
      </c>
      <c r="C3863" t="s">
        <v>40</v>
      </c>
      <c r="D3863">
        <v>5.61503</v>
      </c>
      <c r="E3863">
        <v>0.57576359999999904</v>
      </c>
      <c r="F3863" t="s">
        <v>42</v>
      </c>
      <c r="G3863">
        <v>-232.68799999999999</v>
      </c>
      <c r="H3863">
        <v>1.036211</v>
      </c>
      <c r="I3863">
        <v>142.15610000000001</v>
      </c>
      <c r="J3863">
        <v>-232.00280000000001</v>
      </c>
      <c r="K3863">
        <v>1.109996</v>
      </c>
      <c r="L3863">
        <v>142.0488</v>
      </c>
      <c r="M3863">
        <v>-0.99747180000000002</v>
      </c>
      <c r="N3863">
        <v>0</v>
      </c>
      <c r="O3863">
        <v>-7.0714669999999993E-2</v>
      </c>
      <c r="P3863">
        <v>-0.99693169999999998</v>
      </c>
      <c r="Q3863">
        <v>3.8931840000000002E-2</v>
      </c>
      <c r="R3863">
        <v>-6.7908860000000001E-2</v>
      </c>
      <c r="S3863">
        <v>-3.0388639999999998</v>
      </c>
      <c r="T3863">
        <v>-0.2408766</v>
      </c>
      <c r="U3863">
        <v>0.29083249999999999</v>
      </c>
      <c r="V3863">
        <v>2.7364189999999999E-3</v>
      </c>
      <c r="W3863">
        <v>4.5965979999999997E-2</v>
      </c>
      <c r="X3863">
        <v>0.99893929999999997</v>
      </c>
      <c r="Y3863">
        <v>0.1646927</v>
      </c>
      <c r="Z3863">
        <v>1.20873E-2</v>
      </c>
      <c r="AA3863">
        <v>0.9862708</v>
      </c>
      <c r="AB3863">
        <v>25</v>
      </c>
      <c r="AC3863">
        <v>-0.68519999999998005</v>
      </c>
      <c r="AD3863">
        <v>-7.3784999999999906E-2</v>
      </c>
      <c r="AE3863">
        <v>0.107300000000009</v>
      </c>
      <c r="AF3863">
        <v>0.15374612025853601</v>
      </c>
      <c r="AG3863">
        <v>-7.3784999999999906E-2</v>
      </c>
      <c r="AH3863">
        <v>0.66833233868340702</v>
      </c>
      <c r="AI3863">
        <v>96.140914092317999</v>
      </c>
      <c r="AJ3863">
        <v>77.044818705807501</v>
      </c>
      <c r="AK3863">
        <v>0.68974648288308404</v>
      </c>
      <c r="AL3863">
        <v>87.365415143558593</v>
      </c>
      <c r="AM3863">
        <v>89.843048654193197</v>
      </c>
      <c r="AN3863">
        <v>1.0000000421953901</v>
      </c>
    </row>
    <row r="3864" spans="1:40" x14ac:dyDescent="0.3">
      <c r="A3864" t="str">
        <f>"20200111160532990"</f>
        <v>20200111160532990</v>
      </c>
      <c r="B3864" t="str">
        <f>"1578729932985849"</f>
        <v>1578729932985849</v>
      </c>
      <c r="C3864" t="s">
        <v>40</v>
      </c>
      <c r="D3864">
        <v>5.5759100000000004</v>
      </c>
      <c r="E3864">
        <v>0.57842249999999995</v>
      </c>
      <c r="F3864" t="s">
        <v>41</v>
      </c>
      <c r="G3864">
        <v>-245.4265</v>
      </c>
      <c r="H3864" s="1">
        <v>-3.0227910000000001E-6</v>
      </c>
      <c r="I3864">
        <v>143.6695</v>
      </c>
      <c r="J3864">
        <v>-232.25280000000001</v>
      </c>
      <c r="K3864">
        <v>1.1099270000000001</v>
      </c>
      <c r="L3864">
        <v>142.0307</v>
      </c>
      <c r="M3864">
        <v>-0.99745090000000003</v>
      </c>
      <c r="N3864">
        <v>0</v>
      </c>
      <c r="O3864">
        <v>-7.0991929999999995E-2</v>
      </c>
      <c r="P3864">
        <v>-0.99698989999999998</v>
      </c>
      <c r="Q3864">
        <v>3.8724420000000002E-2</v>
      </c>
      <c r="R3864">
        <v>-6.7168179999999994E-2</v>
      </c>
      <c r="S3864">
        <v>-3.044098</v>
      </c>
      <c r="T3864">
        <v>-0.2517143</v>
      </c>
      <c r="U3864">
        <v>0.36753849999999999</v>
      </c>
      <c r="V3864">
        <v>3.7658990000000001E-3</v>
      </c>
      <c r="W3864">
        <v>4.592073E-2</v>
      </c>
      <c r="X3864">
        <v>0.99893799999999999</v>
      </c>
      <c r="Y3864">
        <v>0.18917020000000001</v>
      </c>
      <c r="Z3864">
        <v>1.3621609999999999E-2</v>
      </c>
      <c r="AA3864">
        <v>0.98184979999999999</v>
      </c>
      <c r="AB3864">
        <v>25</v>
      </c>
      <c r="AC3864">
        <v>-13.173699999999901</v>
      </c>
      <c r="AD3864">
        <v>-1.1099300227910001</v>
      </c>
      <c r="AE3864">
        <v>1.6388</v>
      </c>
      <c r="AF3864">
        <v>2.5520753419909901</v>
      </c>
      <c r="AG3864">
        <v>-1.1099300227910001</v>
      </c>
      <c r="AH3864">
        <v>12.9337023378643</v>
      </c>
      <c r="AI3864">
        <v>94.812581833771901</v>
      </c>
      <c r="AJ3864">
        <v>78.837802102410905</v>
      </c>
      <c r="AK3864">
        <v>13.2297274866555</v>
      </c>
      <c r="AL3864">
        <v>87.368010437592702</v>
      </c>
      <c r="AM3864">
        <v>89.784001513012399</v>
      </c>
      <c r="AN3864">
        <v>1.0000000116415</v>
      </c>
    </row>
    <row r="3865" spans="1:40" x14ac:dyDescent="0.3">
      <c r="A3865" t="str">
        <f>"20200111160533014"</f>
        <v>20200111160533014</v>
      </c>
      <c r="B3865" t="str">
        <f>"1578729933005369"</f>
        <v>1578729933005369</v>
      </c>
      <c r="C3865" t="s">
        <v>40</v>
      </c>
      <c r="D3865">
        <v>5.5279749999999996</v>
      </c>
      <c r="E3865">
        <v>0.5793334</v>
      </c>
      <c r="F3865" t="s">
        <v>41</v>
      </c>
      <c r="G3865">
        <v>-245.61429999999999</v>
      </c>
      <c r="H3865" s="1">
        <v>-2.9628709999999999E-6</v>
      </c>
      <c r="I3865">
        <v>143.74709999999999</v>
      </c>
      <c r="J3865">
        <v>-232.51429999999999</v>
      </c>
      <c r="K3865">
        <v>1.109855</v>
      </c>
      <c r="L3865">
        <v>142.01179999999999</v>
      </c>
      <c r="M3865">
        <v>-0.99743769999999998</v>
      </c>
      <c r="N3865">
        <v>0</v>
      </c>
      <c r="O3865">
        <v>-7.1163359999999995E-2</v>
      </c>
      <c r="P3865">
        <v>-0.99706450000000002</v>
      </c>
      <c r="Q3865">
        <v>3.7845950000000003E-2</v>
      </c>
      <c r="R3865">
        <v>-6.6561770000000006E-2</v>
      </c>
      <c r="S3865">
        <v>-3.045258</v>
      </c>
      <c r="T3865">
        <v>-0.2529671</v>
      </c>
      <c r="U3865">
        <v>0.39120480000000002</v>
      </c>
      <c r="V3865">
        <v>4.5556980000000004E-3</v>
      </c>
      <c r="W3865">
        <v>4.5190029999999999E-2</v>
      </c>
      <c r="X3865">
        <v>0.99896799999999997</v>
      </c>
      <c r="Y3865">
        <v>0.1967691</v>
      </c>
      <c r="Z3865">
        <v>1.400587E-2</v>
      </c>
      <c r="AA3865">
        <v>0.98034980000000005</v>
      </c>
      <c r="AB3865">
        <v>25</v>
      </c>
      <c r="AC3865">
        <v>-13.0999999999999</v>
      </c>
      <c r="AD3865">
        <v>-1.1098579628709999</v>
      </c>
      <c r="AE3865">
        <v>1.7352999999999901</v>
      </c>
      <c r="AF3865">
        <v>2.6445108366681298</v>
      </c>
      <c r="AG3865">
        <v>-1.1098579628709999</v>
      </c>
      <c r="AH3865">
        <v>12.852629429892399</v>
      </c>
      <c r="AI3865">
        <v>94.834613998749603</v>
      </c>
      <c r="AJ3865">
        <v>78.373288972019395</v>
      </c>
      <c r="AK3865">
        <v>13.168724521575299</v>
      </c>
      <c r="AL3865">
        <v>87.409919889678605</v>
      </c>
      <c r="AM3865">
        <v>89.738709889966003</v>
      </c>
      <c r="AN3865">
        <v>0.99999997910983296</v>
      </c>
    </row>
    <row r="3866" spans="1:40" x14ac:dyDescent="0.3">
      <c r="A3866" t="str">
        <f>"20200111160533036"</f>
        <v>20200111160533036</v>
      </c>
      <c r="B3866" t="str">
        <f>"1578729933025865"</f>
        <v>1578729933025865</v>
      </c>
      <c r="C3866" t="s">
        <v>40</v>
      </c>
      <c r="D3866">
        <v>5.4861820000000003</v>
      </c>
      <c r="E3866">
        <v>0.57985500000000001</v>
      </c>
      <c r="F3866" t="s">
        <v>41</v>
      </c>
      <c r="G3866">
        <v>-245.54320000000001</v>
      </c>
      <c r="H3866" s="1">
        <v>-2.9870400000000002E-6</v>
      </c>
      <c r="I3866">
        <v>143.72319999999999</v>
      </c>
      <c r="J3866">
        <v>-232.76910000000001</v>
      </c>
      <c r="K3866">
        <v>1.109796</v>
      </c>
      <c r="L3866">
        <v>141.99340000000001</v>
      </c>
      <c r="M3866">
        <v>-0.99743130000000002</v>
      </c>
      <c r="N3866">
        <v>0</v>
      </c>
      <c r="O3866">
        <v>-7.1237910000000002E-2</v>
      </c>
      <c r="P3866">
        <v>-0.99713030000000002</v>
      </c>
      <c r="Q3866">
        <v>3.6354119999999997E-2</v>
      </c>
      <c r="R3866">
        <v>-6.6404210000000005E-2</v>
      </c>
      <c r="S3866">
        <v>-3.0453950000000001</v>
      </c>
      <c r="T3866">
        <v>-0.25942159999999997</v>
      </c>
      <c r="U3866">
        <v>0.4000397</v>
      </c>
      <c r="V3866">
        <v>4.79862E-3</v>
      </c>
      <c r="W3866">
        <v>4.3824290000000002E-2</v>
      </c>
      <c r="X3866">
        <v>0.99902769999999996</v>
      </c>
      <c r="Y3866">
        <v>0.19957610000000001</v>
      </c>
      <c r="Z3866">
        <v>1.448398E-2</v>
      </c>
      <c r="AA3866">
        <v>0.97977519999999996</v>
      </c>
      <c r="AB3866">
        <v>26</v>
      </c>
      <c r="AC3866">
        <v>-12.774100000000001</v>
      </c>
      <c r="AD3866">
        <v>-1.10979898704</v>
      </c>
      <c r="AE3866">
        <v>1.72979999999998</v>
      </c>
      <c r="AF3866">
        <v>2.6160404536094601</v>
      </c>
      <c r="AG3866">
        <v>-1.10979898704</v>
      </c>
      <c r="AH3866">
        <v>12.525573142900599</v>
      </c>
      <c r="AI3866">
        <v>94.956927344173906</v>
      </c>
      <c r="AJ3866">
        <v>78.2030160219674</v>
      </c>
      <c r="AK3866">
        <v>12.8438819678752</v>
      </c>
      <c r="AL3866">
        <v>87.488248631794207</v>
      </c>
      <c r="AM3866">
        <v>89.724793857991898</v>
      </c>
      <c r="AN3866">
        <v>0.99999997025759801</v>
      </c>
    </row>
    <row r="3867" spans="1:40" x14ac:dyDescent="0.3">
      <c r="A3867" t="str">
        <f>"20200111160533057"</f>
        <v>20200111160533057</v>
      </c>
      <c r="B3867" t="str">
        <f>"1578729933045385"</f>
        <v>1578729933045385</v>
      </c>
      <c r="C3867" t="s">
        <v>40</v>
      </c>
      <c r="D3867">
        <v>5.4354040000000001</v>
      </c>
      <c r="E3867">
        <v>0.58033159999999995</v>
      </c>
      <c r="F3867" t="s">
        <v>41</v>
      </c>
      <c r="G3867">
        <v>-245.51300000000001</v>
      </c>
      <c r="H3867" s="1">
        <v>-2.9904600000000002E-6</v>
      </c>
      <c r="I3867">
        <v>143.6874</v>
      </c>
      <c r="J3867">
        <v>-233.0068</v>
      </c>
      <c r="K3867">
        <v>1.1097509999999999</v>
      </c>
      <c r="L3867">
        <v>141.97640000000001</v>
      </c>
      <c r="M3867">
        <v>-0.99742949999999997</v>
      </c>
      <c r="N3867">
        <v>0</v>
      </c>
      <c r="O3867">
        <v>-7.1252540000000003E-2</v>
      </c>
      <c r="P3867">
        <v>-0.99718929999999995</v>
      </c>
      <c r="Q3867">
        <v>3.3835570000000002E-2</v>
      </c>
      <c r="R3867">
        <v>-6.6848669999999999E-2</v>
      </c>
      <c r="S3867">
        <v>-3.045258</v>
      </c>
      <c r="T3867">
        <v>-0.26519670000000001</v>
      </c>
      <c r="U3867">
        <v>0.4048004</v>
      </c>
      <c r="V3867">
        <v>4.3785250000000003E-3</v>
      </c>
      <c r="W3867">
        <v>4.1408920000000002E-2</v>
      </c>
      <c r="X3867">
        <v>0.99913269999999998</v>
      </c>
      <c r="Y3867">
        <v>0.2010526</v>
      </c>
      <c r="Z3867">
        <v>1.486964E-2</v>
      </c>
      <c r="AA3867">
        <v>0.97946759999999999</v>
      </c>
      <c r="AB3867">
        <v>26</v>
      </c>
      <c r="AC3867">
        <v>-12.5062</v>
      </c>
      <c r="AD3867">
        <v>-1.10975399046</v>
      </c>
      <c r="AE3867">
        <v>1.7109999999999801</v>
      </c>
      <c r="AF3867">
        <v>2.5778496617754798</v>
      </c>
      <c r="AG3867">
        <v>-1.10975399046</v>
      </c>
      <c r="AH3867">
        <v>12.2577489348296</v>
      </c>
      <c r="AI3867">
        <v>95.063007411437198</v>
      </c>
      <c r="AJ3867">
        <v>78.123557440641093</v>
      </c>
      <c r="AK3867">
        <v>12.574946192623401</v>
      </c>
      <c r="AL3867">
        <v>87.626765116088393</v>
      </c>
      <c r="AM3867">
        <v>89.7489128350649</v>
      </c>
      <c r="AN3867">
        <v>1.0000000111730101</v>
      </c>
    </row>
    <row r="3868" spans="1:40" x14ac:dyDescent="0.3">
      <c r="A3868" t="str">
        <f>"20200111160533079"</f>
        <v>20200111160533079</v>
      </c>
      <c r="B3868" t="str">
        <f>"1578729933075641"</f>
        <v>1578729933075641</v>
      </c>
      <c r="C3868" t="s">
        <v>40</v>
      </c>
      <c r="D3868">
        <v>5.3775950000000003</v>
      </c>
      <c r="E3868">
        <v>0.58098229999999995</v>
      </c>
      <c r="F3868" t="s">
        <v>41</v>
      </c>
      <c r="G3868">
        <v>-245.3972</v>
      </c>
      <c r="H3868" s="1">
        <v>-3.0259230000000001E-6</v>
      </c>
      <c r="I3868">
        <v>143.63409999999999</v>
      </c>
      <c r="J3868">
        <v>-233.25829999999999</v>
      </c>
      <c r="K3868">
        <v>1.1097189999999999</v>
      </c>
      <c r="L3868">
        <v>141.95840000000001</v>
      </c>
      <c r="M3868">
        <v>-0.99743000000000004</v>
      </c>
      <c r="N3868">
        <v>0</v>
      </c>
      <c r="O3868">
        <v>-7.1235190000000004E-2</v>
      </c>
      <c r="P3868">
        <v>-0.99720359999999997</v>
      </c>
      <c r="Q3868">
        <v>3.1678289999999998E-2</v>
      </c>
      <c r="R3868">
        <v>-6.7685620000000002E-2</v>
      </c>
      <c r="S3868">
        <v>-3.0449830000000002</v>
      </c>
      <c r="T3868">
        <v>-0.27272489999999999</v>
      </c>
      <c r="U3868">
        <v>0.40739439999999999</v>
      </c>
      <c r="V3868">
        <v>3.5300940000000001E-3</v>
      </c>
      <c r="W3868">
        <v>3.9347809999999997E-2</v>
      </c>
      <c r="X3868">
        <v>0.99921939999999998</v>
      </c>
      <c r="Y3868">
        <v>0.2018056</v>
      </c>
      <c r="Z3868">
        <v>1.532263E-2</v>
      </c>
      <c r="AA3868">
        <v>0.97930569999999895</v>
      </c>
      <c r="AB3868">
        <v>26</v>
      </c>
      <c r="AC3868">
        <v>-12.1389</v>
      </c>
      <c r="AD3868">
        <v>-1.1097220259230001</v>
      </c>
      <c r="AE3868">
        <v>1.67569999999997</v>
      </c>
      <c r="AF3868">
        <v>2.5155547503781901</v>
      </c>
      <c r="AG3868">
        <v>-1.1097220259230001</v>
      </c>
      <c r="AH3868">
        <v>11.891166999798401</v>
      </c>
      <c r="AI3868">
        <v>95.216787871209405</v>
      </c>
      <c r="AJ3868">
        <v>78.0552897734635</v>
      </c>
      <c r="AK3868">
        <v>12.204890466287001</v>
      </c>
      <c r="AL3868">
        <v>87.744954539231003</v>
      </c>
      <c r="AM3868">
        <v>89.797583347539998</v>
      </c>
      <c r="AN3868">
        <v>1.0000000605259001</v>
      </c>
    </row>
    <row r="3869" spans="1:40" x14ac:dyDescent="0.3">
      <c r="A3869" t="str">
        <f>"20200111160533101"</f>
        <v>20200111160533101</v>
      </c>
      <c r="B3869" t="str">
        <f>"1578729933095161"</f>
        <v>1578729933095161</v>
      </c>
      <c r="C3869" t="s">
        <v>40</v>
      </c>
      <c r="D3869">
        <v>5.3968220000000002</v>
      </c>
      <c r="E3869">
        <v>0.58116610000000002</v>
      </c>
      <c r="F3869" t="s">
        <v>41</v>
      </c>
      <c r="G3869">
        <v>-245.41149999999999</v>
      </c>
      <c r="H3869" s="1">
        <v>-3.009487E-6</v>
      </c>
      <c r="I3869">
        <v>143.59520000000001</v>
      </c>
      <c r="J3869">
        <v>-233.52539999999999</v>
      </c>
      <c r="K3869">
        <v>1.1097079999999999</v>
      </c>
      <c r="L3869">
        <v>141.9393</v>
      </c>
      <c r="M3869">
        <v>-0.99743210000000004</v>
      </c>
      <c r="N3869">
        <v>0</v>
      </c>
      <c r="O3869">
        <v>-7.1197469999999999E-2</v>
      </c>
      <c r="P3869">
        <v>-0.99717460000000002</v>
      </c>
      <c r="Q3869">
        <v>3.025634E-2</v>
      </c>
      <c r="R3869">
        <v>-6.8755919999999998E-2</v>
      </c>
      <c r="S3869">
        <v>-3.045105</v>
      </c>
      <c r="T3869">
        <v>-0.27805400000000002</v>
      </c>
      <c r="U3869">
        <v>0.41014099999999998</v>
      </c>
      <c r="V3869">
        <v>2.4238390000000001E-3</v>
      </c>
      <c r="W3869">
        <v>3.8015090000000001E-2</v>
      </c>
      <c r="X3869">
        <v>0.99927429999999995</v>
      </c>
      <c r="Y3869">
        <v>0.20258590000000001</v>
      </c>
      <c r="Z3869">
        <v>1.56513E-2</v>
      </c>
      <c r="AA3869">
        <v>0.97913939999999999</v>
      </c>
      <c r="AB3869">
        <v>26</v>
      </c>
      <c r="AC3869">
        <v>-11.886100000000001</v>
      </c>
      <c r="AD3869">
        <v>-1.109711009487</v>
      </c>
      <c r="AE3869">
        <v>1.6558999999999999</v>
      </c>
      <c r="AF3869">
        <v>2.4768051739299102</v>
      </c>
      <c r="AG3869">
        <v>-1.109711009487</v>
      </c>
      <c r="AH3869">
        <v>11.6385192198277</v>
      </c>
      <c r="AI3869">
        <v>95.327977137324396</v>
      </c>
      <c r="AJ3869">
        <v>77.986051431526704</v>
      </c>
      <c r="AK3869">
        <v>11.9507803939526</v>
      </c>
      <c r="AL3869">
        <v>87.821370992308303</v>
      </c>
      <c r="AM3869">
        <v>89.861023672318694</v>
      </c>
      <c r="AN3869">
        <v>1.00000007435184</v>
      </c>
    </row>
    <row r="3870" spans="1:40" x14ac:dyDescent="0.3">
      <c r="A3870" t="str">
        <f>"20200111160533125"</f>
        <v>20200111160533125</v>
      </c>
      <c r="B3870" t="str">
        <f>"1578729933115658"</f>
        <v>1578729933115658</v>
      </c>
      <c r="C3870" t="s">
        <v>40</v>
      </c>
      <c r="D3870">
        <v>5.3774730000000002</v>
      </c>
      <c r="E3870">
        <v>0.5814011</v>
      </c>
      <c r="F3870" t="s">
        <v>41</v>
      </c>
      <c r="G3870">
        <v>-245.55799999999999</v>
      </c>
      <c r="H3870" s="1">
        <v>-2.9351850000000001E-6</v>
      </c>
      <c r="I3870">
        <v>143.5522</v>
      </c>
      <c r="J3870">
        <v>-233.7938</v>
      </c>
      <c r="K3870">
        <v>1.1097159999999999</v>
      </c>
      <c r="L3870">
        <v>141.92019999999999</v>
      </c>
      <c r="M3870">
        <v>-0.99743490000000001</v>
      </c>
      <c r="N3870">
        <v>0</v>
      </c>
      <c r="O3870">
        <v>-7.115196E-2</v>
      </c>
      <c r="P3870">
        <v>-0.99717520000000004</v>
      </c>
      <c r="Q3870">
        <v>3.060939E-2</v>
      </c>
      <c r="R3870">
        <v>-6.8593840000000003E-2</v>
      </c>
      <c r="S3870">
        <v>-3.0451510000000002</v>
      </c>
      <c r="T3870">
        <v>-0.28084100000000001</v>
      </c>
      <c r="U3870">
        <v>0.40820309999999999</v>
      </c>
      <c r="V3870">
        <v>2.540095E-3</v>
      </c>
      <c r="W3870">
        <v>3.8444409999999998E-2</v>
      </c>
      <c r="X3870">
        <v>0.99925750000000002</v>
      </c>
      <c r="Y3870">
        <v>0.2019077</v>
      </c>
      <c r="Z3870">
        <v>1.5772680000000001E-2</v>
      </c>
      <c r="AA3870">
        <v>0.97927759999999997</v>
      </c>
      <c r="AB3870">
        <v>26</v>
      </c>
      <c r="AC3870">
        <v>-11.764199999999899</v>
      </c>
      <c r="AD3870">
        <v>-1.1097189351850001</v>
      </c>
      <c r="AE3870">
        <v>1.6319999999999999</v>
      </c>
      <c r="AF3870">
        <v>2.4436017929351901</v>
      </c>
      <c r="AG3870">
        <v>-1.1097189351850001</v>
      </c>
      <c r="AH3870">
        <v>11.5177065986943</v>
      </c>
      <c r="AI3870">
        <v>95.384283346197606</v>
      </c>
      <c r="AJ3870">
        <v>78.021716314338207</v>
      </c>
      <c r="AK3870">
        <v>11.8262517786131</v>
      </c>
      <c r="AL3870">
        <v>87.796754584547301</v>
      </c>
      <c r="AM3870">
        <v>89.854355449327898</v>
      </c>
      <c r="AN3870">
        <v>0.99999998802455303</v>
      </c>
    </row>
    <row r="3871" spans="1:40" x14ac:dyDescent="0.3">
      <c r="A3871" t="str">
        <f>"20200111160533146"</f>
        <v>20200111160533146</v>
      </c>
      <c r="B3871" t="str">
        <f>"1578729933135177"</f>
        <v>1578729933135177</v>
      </c>
      <c r="C3871" t="s">
        <v>40</v>
      </c>
      <c r="D3871">
        <v>5.3306769999999997</v>
      </c>
      <c r="E3871">
        <v>0.58171090000000003</v>
      </c>
      <c r="F3871" t="s">
        <v>41</v>
      </c>
      <c r="G3871">
        <v>-245.9692</v>
      </c>
      <c r="H3871" s="1">
        <v>-2.7608089999999999E-6</v>
      </c>
      <c r="I3871">
        <v>143.5598</v>
      </c>
      <c r="J3871">
        <v>-234.0446</v>
      </c>
      <c r="K3871">
        <v>1.109731</v>
      </c>
      <c r="L3871">
        <v>141.9023</v>
      </c>
      <c r="M3871">
        <v>-0.99743709999999997</v>
      </c>
      <c r="N3871">
        <v>0</v>
      </c>
      <c r="O3871">
        <v>-7.1111850000000004E-2</v>
      </c>
      <c r="P3871">
        <v>-0.99719729999999995</v>
      </c>
      <c r="Q3871">
        <v>3.0248219999999999E-2</v>
      </c>
      <c r="R3871">
        <v>-6.8430569999999996E-2</v>
      </c>
      <c r="S3871">
        <v>-3.045242</v>
      </c>
      <c r="T3871">
        <v>-0.27755619999999998</v>
      </c>
      <c r="U3871">
        <v>0.41011049999999899</v>
      </c>
      <c r="V3871">
        <v>2.6635180000000001E-3</v>
      </c>
      <c r="W3871">
        <v>3.814613E-2</v>
      </c>
      <c r="X3871">
        <v>0.99926870000000001</v>
      </c>
      <c r="Y3871">
        <v>0.20249130000000001</v>
      </c>
      <c r="Z3871">
        <v>1.561067E-2</v>
      </c>
      <c r="AA3871">
        <v>0.97915969999999997</v>
      </c>
      <c r="AB3871">
        <v>26</v>
      </c>
      <c r="AC3871">
        <v>-11.9245999999999</v>
      </c>
      <c r="AD3871">
        <v>-1.1097337608089901</v>
      </c>
      <c r="AE3871">
        <v>1.65749999999999</v>
      </c>
      <c r="AF3871">
        <v>2.48023703116549</v>
      </c>
      <c r="AG3871">
        <v>-1.1097337608089901</v>
      </c>
      <c r="AH3871">
        <v>11.677321450223101</v>
      </c>
      <c r="AI3871">
        <v>95.310926454740695</v>
      </c>
      <c r="AJ3871">
        <v>78.008705108671506</v>
      </c>
      <c r="AK3871">
        <v>11.989283590043399</v>
      </c>
      <c r="AL3871">
        <v>87.813857512534994</v>
      </c>
      <c r="AM3871">
        <v>89.847280337464994</v>
      </c>
      <c r="AN3871">
        <v>1.00000007818089</v>
      </c>
    </row>
    <row r="3872" spans="1:40" x14ac:dyDescent="0.3">
      <c r="A3872" t="str">
        <f>"20200111160533169"</f>
        <v>20200111160533169</v>
      </c>
      <c r="B3872" t="str">
        <f>"1578729933165433"</f>
        <v>1578729933165433</v>
      </c>
      <c r="C3872" t="s">
        <v>40</v>
      </c>
      <c r="D3872">
        <v>5.3099460000000001</v>
      </c>
      <c r="E3872">
        <v>0.58207169999999997</v>
      </c>
      <c r="F3872" t="s">
        <v>41</v>
      </c>
      <c r="G3872">
        <v>-246.20660000000001</v>
      </c>
      <c r="H3872" s="1">
        <v>-2.6565100000000002E-6</v>
      </c>
      <c r="I3872">
        <v>143.5506</v>
      </c>
      <c r="J3872">
        <v>-234.30080000000001</v>
      </c>
      <c r="K3872">
        <v>1.1097410000000001</v>
      </c>
      <c r="L3872">
        <v>141.88409999999999</v>
      </c>
      <c r="M3872">
        <v>-0.99743899999999996</v>
      </c>
      <c r="N3872">
        <v>0</v>
      </c>
      <c r="O3872">
        <v>-7.1080679999999993E-2</v>
      </c>
      <c r="P3872">
        <v>-0.9972432</v>
      </c>
      <c r="Q3872">
        <v>2.879833E-2</v>
      </c>
      <c r="R3872">
        <v>-6.8388770000000002E-2</v>
      </c>
      <c r="S3872">
        <v>-3.0451969999999999</v>
      </c>
      <c r="T3872">
        <v>-0.27786369999999999</v>
      </c>
      <c r="U3872">
        <v>0.41271970000000002</v>
      </c>
      <c r="V3872">
        <v>2.6762320000000002E-3</v>
      </c>
      <c r="W3872">
        <v>3.6752350000000003E-2</v>
      </c>
      <c r="X3872">
        <v>0.99932080000000001</v>
      </c>
      <c r="Y3872">
        <v>0.20328109999999999</v>
      </c>
      <c r="Z3872">
        <v>1.5660259999999999E-2</v>
      </c>
      <c r="AA3872">
        <v>0.97899519999999995</v>
      </c>
      <c r="AB3872">
        <v>26</v>
      </c>
      <c r="AC3872">
        <v>-11.905799999999999</v>
      </c>
      <c r="AD3872">
        <v>-1.1097436565100001</v>
      </c>
      <c r="AE3872">
        <v>1.6665000000000101</v>
      </c>
      <c r="AF3872">
        <v>2.4873878831359901</v>
      </c>
      <c r="AG3872">
        <v>-1.1097436565100001</v>
      </c>
      <c r="AH3872">
        <v>11.6578841965443</v>
      </c>
      <c r="AI3872">
        <v>95.318735710225297</v>
      </c>
      <c r="AJ3872">
        <v>77.955673397506899</v>
      </c>
      <c r="AK3872">
        <v>11.9718375116092</v>
      </c>
      <c r="AL3872">
        <v>87.893771073179593</v>
      </c>
      <c r="AM3872">
        <v>89.846559351086697</v>
      </c>
      <c r="AN3872">
        <v>0.99999997938044005</v>
      </c>
    </row>
    <row r="3873" spans="1:40" x14ac:dyDescent="0.3">
      <c r="A3873" t="str">
        <f>"20200111160533214"</f>
        <v>20200111160533214</v>
      </c>
      <c r="B3873" t="str">
        <f>"1578729933205449"</f>
        <v>1578729933205449</v>
      </c>
      <c r="C3873" t="s">
        <v>40</v>
      </c>
      <c r="D3873">
        <v>5.9029910000000001</v>
      </c>
      <c r="E3873">
        <v>0.53686610000000001</v>
      </c>
      <c r="F3873" t="s">
        <v>41</v>
      </c>
      <c r="G3873">
        <v>-246.4316</v>
      </c>
      <c r="H3873" s="1">
        <v>-2.55791E-6</v>
      </c>
      <c r="I3873">
        <v>143.5428</v>
      </c>
      <c r="J3873">
        <v>-234.82910000000001</v>
      </c>
      <c r="K3873">
        <v>1.109769</v>
      </c>
      <c r="L3873">
        <v>141.84649999999999</v>
      </c>
      <c r="M3873">
        <v>-0.9974402</v>
      </c>
      <c r="N3873">
        <v>0</v>
      </c>
      <c r="O3873">
        <v>-7.1053169999999999E-2</v>
      </c>
      <c r="P3873">
        <v>-0.99726000000000004</v>
      </c>
      <c r="Q3873">
        <v>2.7479079999999999E-2</v>
      </c>
      <c r="R3873">
        <v>-6.8685599999999999E-2</v>
      </c>
      <c r="S3873">
        <v>-3.0449069999999998</v>
      </c>
      <c r="T3873">
        <v>-0.2785533</v>
      </c>
      <c r="U3873">
        <v>0.41635129999999998</v>
      </c>
      <c r="V3873">
        <v>2.3520709999999998E-3</v>
      </c>
      <c r="W3873">
        <v>3.5528160000000003E-2</v>
      </c>
      <c r="X3873">
        <v>0.99936590000000003</v>
      </c>
      <c r="Y3873">
        <v>0.20440269999999999</v>
      </c>
      <c r="Z3873">
        <v>1.5747730000000001E-2</v>
      </c>
      <c r="AA3873">
        <v>0.97876019999999997</v>
      </c>
      <c r="AB3873">
        <v>26</v>
      </c>
      <c r="AC3873">
        <v>-11.6024999999999</v>
      </c>
      <c r="AD3873">
        <v>-1.10977155791</v>
      </c>
      <c r="AE3873">
        <v>1.6962999999999999</v>
      </c>
      <c r="AF3873">
        <v>2.49409293602274</v>
      </c>
      <c r="AG3873">
        <v>-1.10977155791</v>
      </c>
      <c r="AH3873">
        <v>11.3509673172692</v>
      </c>
      <c r="AI3873">
        <v>95.454689364526104</v>
      </c>
      <c r="AJ3873">
        <v>77.607603370644398</v>
      </c>
      <c r="AK3873">
        <v>11.674611407750501</v>
      </c>
      <c r="AL3873">
        <v>87.963957876624306</v>
      </c>
      <c r="AM3873">
        <v>89.865150999663399</v>
      </c>
      <c r="AN3873">
        <v>0.99999999223689195</v>
      </c>
    </row>
    <row r="3874" spans="1:40" x14ac:dyDescent="0.3">
      <c r="A3874" t="str">
        <f>"20200111160533235"</f>
        <v>20200111160533235</v>
      </c>
      <c r="B3874" t="str">
        <f>"1578729933224968"</f>
        <v>1578729933224968</v>
      </c>
      <c r="C3874" t="s">
        <v>40</v>
      </c>
      <c r="D3874">
        <v>5.3810520000000004</v>
      </c>
      <c r="E3874">
        <v>0.52597450000000001</v>
      </c>
      <c r="F3874" t="s">
        <v>66</v>
      </c>
      <c r="G3874">
        <v>-550.16300000000001</v>
      </c>
      <c r="H3874">
        <v>3.4157160000000002</v>
      </c>
      <c r="I3874">
        <v>150.52330000000001</v>
      </c>
      <c r="J3874">
        <v>-235.08029999999999</v>
      </c>
      <c r="K3874">
        <v>1.1097809999999999</v>
      </c>
      <c r="L3874">
        <v>141.82859999999999</v>
      </c>
      <c r="M3874">
        <v>-0.99743990000000005</v>
      </c>
      <c r="N3874">
        <v>0</v>
      </c>
      <c r="O3874">
        <v>-7.1052290000000004E-2</v>
      </c>
      <c r="P3874">
        <v>-0.99719060000000004</v>
      </c>
      <c r="Q3874">
        <v>2.7706410000000001E-2</v>
      </c>
      <c r="R3874">
        <v>-6.9594959999999997E-2</v>
      </c>
      <c r="S3874">
        <v>-3.0133359999999998</v>
      </c>
      <c r="T3874">
        <v>2.203608E-2</v>
      </c>
      <c r="U3874">
        <v>8.2916260000000006E-2</v>
      </c>
      <c r="V3874">
        <v>1.4388529999999999E-3</v>
      </c>
      <c r="W3874">
        <v>3.5793110000000003E-2</v>
      </c>
      <c r="X3874">
        <v>0.99935819999999997</v>
      </c>
      <c r="Y3874">
        <v>9.8459699999999997E-2</v>
      </c>
      <c r="Z3874">
        <v>-8.7924240000000005E-4</v>
      </c>
      <c r="AA3874">
        <v>0.99514069999999999</v>
      </c>
      <c r="AB3874">
        <v>26</v>
      </c>
      <c r="AC3874">
        <v>-315.08269999999999</v>
      </c>
      <c r="AD3874">
        <v>2.3059349999999998</v>
      </c>
      <c r="AE3874">
        <v>8.6947000000000099</v>
      </c>
      <c r="AF3874">
        <v>31.0591386720107</v>
      </c>
      <c r="AG3874">
        <v>2.3059349999999998</v>
      </c>
      <c r="AH3874">
        <v>313.65172043776698</v>
      </c>
      <c r="AI3874">
        <v>89.580825033242704</v>
      </c>
      <c r="AJ3874">
        <v>84.344762797883206</v>
      </c>
      <c r="AK3874">
        <v>315.19420864737202</v>
      </c>
      <c r="AL3874">
        <v>87.948767743690297</v>
      </c>
      <c r="AM3874">
        <v>89.917506908659206</v>
      </c>
      <c r="AN3874">
        <v>1.00000001446433</v>
      </c>
    </row>
    <row r="3875" spans="1:40" x14ac:dyDescent="0.3">
      <c r="A3875" t="str">
        <f>"20200111160533257"</f>
        <v>20200111160533257</v>
      </c>
      <c r="B3875" t="str">
        <f>"1578729933245465"</f>
        <v>1578729933245465</v>
      </c>
      <c r="C3875" t="s">
        <v>40</v>
      </c>
      <c r="D3875">
        <v>5.2693120000000002</v>
      </c>
      <c r="E3875">
        <v>0.52165969999999995</v>
      </c>
      <c r="F3875" t="s">
        <v>41</v>
      </c>
      <c r="G3875">
        <v>-267.40679999999998</v>
      </c>
      <c r="H3875" s="1">
        <v>-1.6309220000000001E-6</v>
      </c>
      <c r="I3875">
        <v>141.6311</v>
      </c>
      <c r="J3875">
        <v>-235.33019999999999</v>
      </c>
      <c r="K3875">
        <v>1.109793</v>
      </c>
      <c r="L3875">
        <v>141.8108</v>
      </c>
      <c r="M3875">
        <v>-0.99743939999999998</v>
      </c>
      <c r="N3875">
        <v>0</v>
      </c>
      <c r="O3875">
        <v>-7.1055080000000007E-2</v>
      </c>
      <c r="P3875">
        <v>-0.99711439999999996</v>
      </c>
      <c r="Q3875">
        <v>2.7762530000000001E-2</v>
      </c>
      <c r="R3875">
        <v>-7.0658040000000005E-2</v>
      </c>
      <c r="S3875">
        <v>-3.01004</v>
      </c>
      <c r="T3875">
        <v>-0.1033361</v>
      </c>
      <c r="U3875">
        <v>-1.8386840000000002E-2</v>
      </c>
      <c r="V3875">
        <v>3.75585E-4</v>
      </c>
      <c r="W3875">
        <v>3.5882219999999999E-2</v>
      </c>
      <c r="X3875">
        <v>0.99935600000000002</v>
      </c>
      <c r="Y3875">
        <v>6.4883120000000002E-2</v>
      </c>
      <c r="Z3875">
        <v>3.5504130000000001E-3</v>
      </c>
      <c r="AA3875">
        <v>0.99788650000000001</v>
      </c>
      <c r="AB3875">
        <v>26</v>
      </c>
      <c r="AC3875">
        <v>-32.0765999999999</v>
      </c>
      <c r="AD3875">
        <v>-1.1097946309219999</v>
      </c>
      <c r="AE3875">
        <v>-0.179699999999996</v>
      </c>
      <c r="AF3875">
        <v>2.09752389037526</v>
      </c>
      <c r="AG3875">
        <v>-1.1097946309219999</v>
      </c>
      <c r="AH3875">
        <v>31.970018466174501</v>
      </c>
      <c r="AI3875">
        <v>91.983882928312596</v>
      </c>
      <c r="AJ3875">
        <v>86.246255812043003</v>
      </c>
      <c r="AK3875">
        <v>32.057968296837799</v>
      </c>
      <c r="AL3875">
        <v>87.943658897329698</v>
      </c>
      <c r="AM3875">
        <v>89.978466698218398</v>
      </c>
      <c r="AN3875">
        <v>1.0000000447560999</v>
      </c>
    </row>
    <row r="3876" spans="1:40" x14ac:dyDescent="0.3">
      <c r="A3876" t="str">
        <f>"20200111160533280"</f>
        <v>20200111160533280</v>
      </c>
      <c r="B3876" t="str">
        <f>"1578729933275722"</f>
        <v>1578729933275722</v>
      </c>
      <c r="C3876" t="s">
        <v>40</v>
      </c>
      <c r="D3876">
        <v>5.2924150000000001</v>
      </c>
      <c r="E3876">
        <v>0.51929619999999999</v>
      </c>
      <c r="F3876" t="s">
        <v>41</v>
      </c>
      <c r="G3876">
        <v>-258.96609999999998</v>
      </c>
      <c r="H3876" s="1">
        <v>-8.8552049999999997E-7</v>
      </c>
      <c r="I3876">
        <v>141.34379999999999</v>
      </c>
      <c r="J3876">
        <v>-235.59479999999999</v>
      </c>
      <c r="K3876">
        <v>1.1097939999999999</v>
      </c>
      <c r="L3876">
        <v>141.792</v>
      </c>
      <c r="M3876">
        <v>-0.99743879999999996</v>
      </c>
      <c r="N3876">
        <v>0</v>
      </c>
      <c r="O3876">
        <v>-7.1059410000000003E-2</v>
      </c>
      <c r="P3876">
        <v>-0.99705299999999997</v>
      </c>
      <c r="Q3876">
        <v>2.7474229999999999E-2</v>
      </c>
      <c r="R3876">
        <v>-7.1631630000000002E-2</v>
      </c>
      <c r="S3876">
        <v>-3.0084080000000002</v>
      </c>
      <c r="T3876">
        <v>-0.141256399999999</v>
      </c>
      <c r="U3876">
        <v>-5.9432980000000003E-2</v>
      </c>
      <c r="V3876">
        <v>-5.9549339999999905E-4</v>
      </c>
      <c r="W3876">
        <v>3.5624900000000001E-2</v>
      </c>
      <c r="X3876">
        <v>0.99936499999999995</v>
      </c>
      <c r="Y3876">
        <v>5.1211550000000002E-2</v>
      </c>
      <c r="Z3876">
        <v>4.5332790000000003E-3</v>
      </c>
      <c r="AA3876">
        <v>0.99867760000000005</v>
      </c>
      <c r="AB3876">
        <v>26</v>
      </c>
      <c r="AC3876">
        <v>-23.371299999999898</v>
      </c>
      <c r="AD3876">
        <v>-1.1097948855205</v>
      </c>
      <c r="AE3876">
        <v>-0.44820000000001398</v>
      </c>
      <c r="AF3876">
        <v>1.21100936247664</v>
      </c>
      <c r="AG3876">
        <v>-1.1097948855205</v>
      </c>
      <c r="AH3876">
        <v>23.291565370675599</v>
      </c>
      <c r="AI3876">
        <v>92.724287836331499</v>
      </c>
      <c r="AJ3876">
        <v>87.023673524363502</v>
      </c>
      <c r="AK3876">
        <v>23.349415534021201</v>
      </c>
      <c r="AL3876">
        <v>87.958411476694394</v>
      </c>
      <c r="AM3876">
        <v>90.034140934002806</v>
      </c>
      <c r="AN3876">
        <v>0.99999994566869799</v>
      </c>
    </row>
    <row r="3877" spans="1:40" x14ac:dyDescent="0.3">
      <c r="A3877" t="str">
        <f>"20200111160533303"</f>
        <v>20200111160533303</v>
      </c>
      <c r="B3877" t="str">
        <f>"1578729933295750"</f>
        <v>1578729933295750</v>
      </c>
      <c r="C3877" t="s">
        <v>40</v>
      </c>
      <c r="D3877">
        <v>5.3362749999999997</v>
      </c>
      <c r="E3877">
        <v>0.51855529999999905</v>
      </c>
      <c r="F3877" t="s">
        <v>41</v>
      </c>
      <c r="G3877">
        <v>-255.01089999999999</v>
      </c>
      <c r="H3877" s="1">
        <v>-2.5572170000000001E-6</v>
      </c>
      <c r="I3877">
        <v>141.24950000000001</v>
      </c>
      <c r="J3877">
        <v>-235.87530000000001</v>
      </c>
      <c r="K3877">
        <v>1.1097950000000001</v>
      </c>
      <c r="L3877">
        <v>141.77199999999999</v>
      </c>
      <c r="M3877">
        <v>-0.99743839999999995</v>
      </c>
      <c r="N3877">
        <v>0</v>
      </c>
      <c r="O3877">
        <v>-7.1063719999999997E-2</v>
      </c>
      <c r="P3877">
        <v>-0.99702880000000005</v>
      </c>
      <c r="Q3877">
        <v>2.6400739999999999E-2</v>
      </c>
      <c r="R3877">
        <v>-7.2368890000000005E-2</v>
      </c>
      <c r="S3877">
        <v>-3.007568</v>
      </c>
      <c r="T3877">
        <v>-0.1719088</v>
      </c>
      <c r="U3877">
        <v>-8.4014889999999995E-2</v>
      </c>
      <c r="V3877">
        <v>-1.3294050000000001E-3</v>
      </c>
      <c r="W3877">
        <v>3.458079E-2</v>
      </c>
      <c r="X3877">
        <v>0.99940099999999998</v>
      </c>
      <c r="Y3877">
        <v>4.2999580000000003E-2</v>
      </c>
      <c r="Z3877">
        <v>5.2820300000000001E-3</v>
      </c>
      <c r="AA3877">
        <v>0.99906110000000004</v>
      </c>
      <c r="AB3877">
        <v>26</v>
      </c>
      <c r="AC3877">
        <v>-19.135599999999901</v>
      </c>
      <c r="AD3877">
        <v>-1.109797557217</v>
      </c>
      <c r="AE3877">
        <v>-0.52250000000000796</v>
      </c>
      <c r="AF3877">
        <v>0.83590373541018204</v>
      </c>
      <c r="AG3877">
        <v>-1.109797557217</v>
      </c>
      <c r="AH3877">
        <v>19.060286486548701</v>
      </c>
      <c r="AI3877">
        <v>93.329128830046997</v>
      </c>
      <c r="AJ3877">
        <v>87.488857978094401</v>
      </c>
      <c r="AK3877">
        <v>19.110858343417899</v>
      </c>
      <c r="AL3877">
        <v>88.018271535671104</v>
      </c>
      <c r="AM3877">
        <v>90.076214903565202</v>
      </c>
      <c r="AN3877">
        <v>0.99999997857783796</v>
      </c>
    </row>
    <row r="3878" spans="1:40" x14ac:dyDescent="0.3">
      <c r="A3878" t="str">
        <f>"20200111160533326"</f>
        <v>20200111160533326</v>
      </c>
      <c r="B3878" t="str">
        <f>"1578729933315269"</f>
        <v>1578729933315269</v>
      </c>
      <c r="C3878" t="s">
        <v>40</v>
      </c>
      <c r="D3878">
        <v>6.8811559999999998</v>
      </c>
      <c r="E3878">
        <v>0.51798</v>
      </c>
      <c r="F3878" t="s">
        <v>41</v>
      </c>
      <c r="G3878">
        <v>-256.25209999999998</v>
      </c>
      <c r="H3878" s="1">
        <v>-1.999388E-6</v>
      </c>
      <c r="I3878">
        <v>141.1542</v>
      </c>
      <c r="J3878">
        <v>-236.1454</v>
      </c>
      <c r="K3878">
        <v>1.1097950000000001</v>
      </c>
      <c r="L3878">
        <v>141.7527</v>
      </c>
      <c r="M3878">
        <v>-0.99743800000000005</v>
      </c>
      <c r="N3878">
        <v>0</v>
      </c>
      <c r="O3878">
        <v>-7.1066340000000006E-2</v>
      </c>
      <c r="P3878">
        <v>-0.99704809999999999</v>
      </c>
      <c r="Q3878">
        <v>2.505052E-2</v>
      </c>
      <c r="R3878">
        <v>-7.2581909999999999E-2</v>
      </c>
      <c r="S3878">
        <v>-3.0066830000000002</v>
      </c>
      <c r="T3878">
        <v>-0.1637556</v>
      </c>
      <c r="U3878">
        <v>-9.1140750000000006E-2</v>
      </c>
      <c r="V3878">
        <v>-1.538204E-3</v>
      </c>
      <c r="W3878">
        <v>3.3255E-2</v>
      </c>
      <c r="X3878">
        <v>0.99944569999999999</v>
      </c>
      <c r="Y3878">
        <v>4.0648709999999998E-2</v>
      </c>
      <c r="Z3878">
        <v>4.9693050000000002E-3</v>
      </c>
      <c r="AA3878">
        <v>0.99916110000000002</v>
      </c>
      <c r="AB3878">
        <v>26</v>
      </c>
      <c r="AC3878">
        <v>-20.106699999999901</v>
      </c>
      <c r="AD3878">
        <v>-1.1097969993879999</v>
      </c>
      <c r="AE3878">
        <v>-0.59850000000000103</v>
      </c>
      <c r="AF3878">
        <v>0.82944611599596996</v>
      </c>
      <c r="AG3878">
        <v>-1.1097969993879999</v>
      </c>
      <c r="AH3878">
        <v>20.037402747257499</v>
      </c>
      <c r="AI3878">
        <v>93.167453445252306</v>
      </c>
      <c r="AJ3878">
        <v>87.629600718346595</v>
      </c>
      <c r="AK3878">
        <v>20.0852468019438</v>
      </c>
      <c r="AL3878">
        <v>88.094277457153794</v>
      </c>
      <c r="AM3878">
        <v>90.0881814065974</v>
      </c>
      <c r="AN3878">
        <v>0.99999998417251701</v>
      </c>
    </row>
    <row r="3879" spans="1:40" x14ac:dyDescent="0.3">
      <c r="A3879" t="str">
        <f>"20200111160533346"</f>
        <v>20200111160533346</v>
      </c>
      <c r="B3879" t="str">
        <f>"1578729933335765"</f>
        <v>1578729933335765</v>
      </c>
      <c r="C3879" t="s">
        <v>40</v>
      </c>
      <c r="D3879">
        <v>5.393459</v>
      </c>
      <c r="E3879">
        <v>0.49570999999999998</v>
      </c>
      <c r="F3879" t="s">
        <v>42</v>
      </c>
      <c r="G3879">
        <v>-237.09270000000001</v>
      </c>
      <c r="H3879">
        <v>1.0543750000000001</v>
      </c>
      <c r="I3879">
        <v>141.72229999999999</v>
      </c>
      <c r="J3879">
        <v>-236.38149999999999</v>
      </c>
      <c r="K3879">
        <v>1.1097939999999999</v>
      </c>
      <c r="L3879">
        <v>141.73589999999999</v>
      </c>
      <c r="M3879">
        <v>-0.99743769999999998</v>
      </c>
      <c r="N3879">
        <v>0</v>
      </c>
      <c r="O3879">
        <v>-7.1068099999999995E-2</v>
      </c>
      <c r="P3879">
        <v>-0.99708600000000003</v>
      </c>
      <c r="Q3879">
        <v>2.4026369999999998E-2</v>
      </c>
      <c r="R3879">
        <v>-7.2407509999999994E-2</v>
      </c>
      <c r="S3879">
        <v>-3.0062410000000002</v>
      </c>
      <c r="T3879">
        <v>-0.17595659999999999</v>
      </c>
      <c r="U3879">
        <v>-9.7106929999999994E-2</v>
      </c>
      <c r="V3879">
        <v>-1.35953299999999E-3</v>
      </c>
      <c r="W3879">
        <v>3.2250840000000003E-2</v>
      </c>
      <c r="X3879">
        <v>0.99947889999999995</v>
      </c>
      <c r="Y3879">
        <v>3.8642839999999998E-2</v>
      </c>
      <c r="Z3879">
        <v>5.2809579999999997E-3</v>
      </c>
      <c r="AA3879">
        <v>0.99923910000000005</v>
      </c>
      <c r="AB3879">
        <v>26</v>
      </c>
      <c r="AC3879">
        <v>-0.71120000000001904</v>
      </c>
      <c r="AD3879">
        <v>-5.5418999999999802E-2</v>
      </c>
      <c r="AE3879">
        <v>-1.35999999999967E-2</v>
      </c>
      <c r="AF3879">
        <v>3.67566197977654E-2</v>
      </c>
      <c r="AG3879">
        <v>-5.5418999999999802E-2</v>
      </c>
      <c r="AH3879">
        <v>0.70608235820582899</v>
      </c>
      <c r="AI3879">
        <v>94.481787492267003</v>
      </c>
      <c r="AJ3879">
        <v>87.020036167178603</v>
      </c>
      <c r="AK3879">
        <v>0.70920702987876705</v>
      </c>
      <c r="AL3879">
        <v>88.151842538333199</v>
      </c>
      <c r="AM3879">
        <v>90.077936067451304</v>
      </c>
      <c r="AN3879">
        <v>1.0000000182779401</v>
      </c>
    </row>
    <row r="3880" spans="1:40" x14ac:dyDescent="0.3">
      <c r="A3880" t="str">
        <f>"20200111160533369"</f>
        <v>20200111160533369</v>
      </c>
      <c r="B3880" t="str">
        <f>"1578729933365045"</f>
        <v>1578729933365045</v>
      </c>
      <c r="C3880" t="s">
        <v>40</v>
      </c>
      <c r="D3880">
        <v>5.4073830000000003</v>
      </c>
      <c r="E3880">
        <v>0.50337739999999997</v>
      </c>
      <c r="F3880" t="s">
        <v>46</v>
      </c>
      <c r="G3880">
        <v>0</v>
      </c>
      <c r="H3880">
        <v>0</v>
      </c>
      <c r="I3880">
        <v>0</v>
      </c>
      <c r="J3880">
        <v>-236.66380000000001</v>
      </c>
      <c r="K3880">
        <v>1.1098030000000001</v>
      </c>
      <c r="L3880">
        <v>141.7159</v>
      </c>
      <c r="M3880">
        <v>-0.99743740000000003</v>
      </c>
      <c r="N3880">
        <v>0</v>
      </c>
      <c r="O3880">
        <v>-7.1069259999999995E-2</v>
      </c>
      <c r="P3880">
        <v>-0.99714559999999997</v>
      </c>
      <c r="Q3880">
        <v>2.3492409999999998E-2</v>
      </c>
      <c r="R3880">
        <v>-7.1757559999999998E-2</v>
      </c>
      <c r="S3880">
        <v>-2.9871059999999998</v>
      </c>
      <c r="T3880">
        <v>0.1683539</v>
      </c>
      <c r="U3880">
        <v>-0.2426605</v>
      </c>
      <c r="V3880">
        <v>-7.0614189999999996E-4</v>
      </c>
      <c r="W3880">
        <v>3.1738019999999999E-2</v>
      </c>
      <c r="X3880">
        <v>0.99949600000000005</v>
      </c>
      <c r="Y3880">
        <v>-1.0022150000000001E-2</v>
      </c>
      <c r="Z3880">
        <v>-3.7087299999999999E-3</v>
      </c>
      <c r="AA3880">
        <v>0.99994289999999997</v>
      </c>
      <c r="AB3880">
        <v>27</v>
      </c>
      <c r="AC3880">
        <v>-2.9871059999999998</v>
      </c>
      <c r="AD3880">
        <v>0.1683539</v>
      </c>
      <c r="AE3880">
        <v>-0.2426605</v>
      </c>
      <c r="AF3880">
        <v>-2.9654673929347401E-2</v>
      </c>
      <c r="AG3880">
        <v>0.1683539</v>
      </c>
      <c r="AH3880">
        <v>2.98737143654217</v>
      </c>
      <c r="AI3880">
        <v>86.774655488048595</v>
      </c>
      <c r="AJ3880">
        <v>90.568738066094696</v>
      </c>
      <c r="AK3880">
        <v>2.99225843389222</v>
      </c>
      <c r="AL3880">
        <v>88.1812400262708</v>
      </c>
      <c r="AM3880">
        <v>90.040479345465897</v>
      </c>
      <c r="AN3880">
        <v>1.0000000272829499</v>
      </c>
    </row>
    <row r="3881" spans="1:40" x14ac:dyDescent="0.3">
      <c r="A3881" t="str">
        <f>"20200111160533391"</f>
        <v>20200111160533391</v>
      </c>
      <c r="B3881" t="str">
        <f>"1578729933385068"</f>
        <v>1578729933385068</v>
      </c>
      <c r="C3881" t="s">
        <v>40</v>
      </c>
      <c r="D3881">
        <v>5.3742929999999998</v>
      </c>
      <c r="E3881">
        <v>0.50621799999999995</v>
      </c>
      <c r="F3881" t="s">
        <v>46</v>
      </c>
      <c r="G3881">
        <v>0</v>
      </c>
      <c r="H3881">
        <v>0</v>
      </c>
      <c r="I3881">
        <v>0</v>
      </c>
      <c r="J3881">
        <v>-236.92449999999999</v>
      </c>
      <c r="K3881">
        <v>1.109801</v>
      </c>
      <c r="L3881">
        <v>141.69730000000001</v>
      </c>
      <c r="M3881">
        <v>-0.99743720000000002</v>
      </c>
      <c r="N3881">
        <v>0</v>
      </c>
      <c r="O3881">
        <v>-7.1070170000000002E-2</v>
      </c>
      <c r="P3881">
        <v>-0.99722080000000002</v>
      </c>
      <c r="Q3881">
        <v>2.2756720000000001E-2</v>
      </c>
      <c r="R3881">
        <v>-7.0946889999999999E-2</v>
      </c>
      <c r="S3881">
        <v>-2.9931950000000001</v>
      </c>
      <c r="T3881">
        <v>8.0688709999999997E-2</v>
      </c>
      <c r="U3881">
        <v>-0.18743899999999999</v>
      </c>
      <c r="V3881">
        <v>1.089618E-4</v>
      </c>
      <c r="W3881">
        <v>3.1019310000000001E-2</v>
      </c>
      <c r="X3881">
        <v>0.99951880000000004</v>
      </c>
      <c r="Y3881">
        <v>8.5636559999999994E-3</v>
      </c>
      <c r="Z3881">
        <v>-2.0267290000000001E-3</v>
      </c>
      <c r="AA3881">
        <v>0.99996130000000005</v>
      </c>
      <c r="AB3881">
        <v>27</v>
      </c>
      <c r="AC3881">
        <v>-2.9931950000000001</v>
      </c>
      <c r="AD3881">
        <v>8.0688709999999997E-2</v>
      </c>
      <c r="AE3881">
        <v>-0.18743899999999999</v>
      </c>
      <c r="AF3881">
        <v>2.5750483342804598E-2</v>
      </c>
      <c r="AG3881">
        <v>8.0688709999999997E-2</v>
      </c>
      <c r="AH3881">
        <v>2.9967781680251999</v>
      </c>
      <c r="AI3881">
        <v>88.457731929343794</v>
      </c>
      <c r="AJ3881">
        <v>89.507685379762904</v>
      </c>
      <c r="AK3881">
        <v>2.9979748403991602</v>
      </c>
      <c r="AL3881">
        <v>88.222439351539407</v>
      </c>
      <c r="AM3881">
        <v>89.993753943154005</v>
      </c>
      <c r="AN3881">
        <v>1.0000000205094901</v>
      </c>
    </row>
    <row r="3882" spans="1:40" x14ac:dyDescent="0.3">
      <c r="A3882" t="str">
        <f>"20200111160533426"</f>
        <v>20200111160533426</v>
      </c>
      <c r="B3882" t="str">
        <f>"1578729933415324"</f>
        <v>1578729933415324</v>
      </c>
      <c r="C3882" t="s">
        <v>40</v>
      </c>
      <c r="D3882">
        <v>5.4100390000000003</v>
      </c>
      <c r="E3882">
        <v>0.50726990000000005</v>
      </c>
      <c r="F3882" t="s">
        <v>64</v>
      </c>
      <c r="G3882">
        <v>-1095.643</v>
      </c>
      <c r="H3882">
        <v>-0.1</v>
      </c>
      <c r="I3882">
        <v>93.026470000000003</v>
      </c>
      <c r="J3882">
        <v>-237.32910000000001</v>
      </c>
      <c r="K3882">
        <v>1.109801</v>
      </c>
      <c r="L3882">
        <v>141.66839999999999</v>
      </c>
      <c r="M3882">
        <v>-0.99743689999999996</v>
      </c>
      <c r="N3882">
        <v>0</v>
      </c>
      <c r="O3882">
        <v>-7.1070980000000006E-2</v>
      </c>
      <c r="P3882">
        <v>-0.99731510000000001</v>
      </c>
      <c r="Q3882">
        <v>2.158624E-2</v>
      </c>
      <c r="R3882">
        <v>-6.9976419999999998E-2</v>
      </c>
      <c r="S3882">
        <v>-2.9963839999999999</v>
      </c>
      <c r="T3882">
        <v>-4.2214389999999996E-3</v>
      </c>
      <c r="U3882">
        <v>-0.16983029999999999</v>
      </c>
      <c r="V3882">
        <v>1.0842099999999999E-3</v>
      </c>
      <c r="W3882">
        <v>2.9873050000000002E-2</v>
      </c>
      <c r="X3882">
        <v>0.99955309999999997</v>
      </c>
      <c r="Y3882">
        <v>1.451495E-2</v>
      </c>
      <c r="Z3882">
        <v>1.101539E-4</v>
      </c>
      <c r="AA3882">
        <v>0.99989459999999997</v>
      </c>
      <c r="AB3882">
        <v>27</v>
      </c>
      <c r="AC3882">
        <v>-858.31389999999999</v>
      </c>
      <c r="AD3882">
        <v>-1.2098009999999999</v>
      </c>
      <c r="AE3882">
        <v>-48.641930000000002</v>
      </c>
      <c r="AF3882">
        <v>12.484357314504599</v>
      </c>
      <c r="AG3882">
        <v>-1.2098009999999999</v>
      </c>
      <c r="AH3882">
        <v>859.598744695194</v>
      </c>
      <c r="AI3882">
        <v>90.080629638743403</v>
      </c>
      <c r="AJ3882">
        <v>89.167924916441706</v>
      </c>
      <c r="AK3882">
        <v>859.69024926281998</v>
      </c>
      <c r="AL3882">
        <v>88.288145617893505</v>
      </c>
      <c r="AM3882">
        <v>89.937851593133999</v>
      </c>
      <c r="AN3882">
        <v>0.99999998717361804</v>
      </c>
    </row>
    <row r="3883" spans="1:40" x14ac:dyDescent="0.3">
      <c r="A3883" t="str">
        <f>"20200111160533469"</f>
        <v>20200111160533469</v>
      </c>
      <c r="B3883" t="str">
        <f>"1578729933465101"</f>
        <v>1578729933465101</v>
      </c>
      <c r="C3883" t="s">
        <v>40</v>
      </c>
      <c r="D3883">
        <v>5.5765529999999996</v>
      </c>
      <c r="E3883">
        <v>0.50904479999999996</v>
      </c>
      <c r="F3883" t="s">
        <v>41</v>
      </c>
      <c r="G3883">
        <v>-279.65940000000001</v>
      </c>
      <c r="H3883" s="1">
        <v>-1.7746900000000001E-7</v>
      </c>
      <c r="I3883">
        <v>139.3398</v>
      </c>
      <c r="J3883">
        <v>-237.84649999999999</v>
      </c>
      <c r="K3883">
        <v>1.109807</v>
      </c>
      <c r="L3883">
        <v>141.63159999999999</v>
      </c>
      <c r="M3883">
        <v>-0.99743660000000001</v>
      </c>
      <c r="N3883">
        <v>0</v>
      </c>
      <c r="O3883">
        <v>-7.1071679999999998E-2</v>
      </c>
      <c r="P3883">
        <v>-0.99737390000000004</v>
      </c>
      <c r="Q3883">
        <v>1.9984519999999999E-2</v>
      </c>
      <c r="R3883">
        <v>-6.9613140000000004E-2</v>
      </c>
      <c r="S3883">
        <v>-2.9981840000000002</v>
      </c>
      <c r="T3883">
        <v>-7.8605530000000007E-2</v>
      </c>
      <c r="U3883">
        <v>-0.164932299999999</v>
      </c>
      <c r="V3883">
        <v>1.4515089999999999E-3</v>
      </c>
      <c r="W3883">
        <v>2.8298239999999999E-2</v>
      </c>
      <c r="X3883">
        <v>0.9995984</v>
      </c>
      <c r="Y3883">
        <v>1.6148260000000001E-2</v>
      </c>
      <c r="Z3883">
        <v>2.0710770000000002E-3</v>
      </c>
      <c r="AA3883">
        <v>0.99986739999999996</v>
      </c>
      <c r="AB3883">
        <v>27</v>
      </c>
      <c r="AC3883">
        <v>-41.812899999999999</v>
      </c>
      <c r="AD3883">
        <v>-1.1098071774689999</v>
      </c>
      <c r="AE3883">
        <v>-2.2917999999999901</v>
      </c>
      <c r="AF3883">
        <v>0.68533016349281795</v>
      </c>
      <c r="AG3883">
        <v>-1.1098071774689999</v>
      </c>
      <c r="AH3883">
        <v>41.840656366135697</v>
      </c>
      <c r="AI3883">
        <v>91.519188382915999</v>
      </c>
      <c r="AJ3883">
        <v>89.061606142799803</v>
      </c>
      <c r="AK3883">
        <v>41.860982723213901</v>
      </c>
      <c r="AL3883">
        <v>88.378413691401704</v>
      </c>
      <c r="AM3883">
        <v>89.9168013062326</v>
      </c>
      <c r="AN3883">
        <v>0.99999992927401404</v>
      </c>
    </row>
    <row r="3884" spans="1:40" x14ac:dyDescent="0.3">
      <c r="A3884" t="str">
        <f>"20200111160533492"</f>
        <v>20200111160533492</v>
      </c>
      <c r="B3884" t="str">
        <f>"1578729933485127"</f>
        <v>1578729933485127</v>
      </c>
      <c r="C3884" t="s">
        <v>40</v>
      </c>
      <c r="D3884">
        <v>5.4410639999999999</v>
      </c>
      <c r="E3884">
        <v>0.51155139999999999</v>
      </c>
      <c r="F3884" t="s">
        <v>75</v>
      </c>
      <c r="G3884">
        <v>-298.40620000000001</v>
      </c>
      <c r="H3884" s="1">
        <v>-7.8533690000000003E-6</v>
      </c>
      <c r="I3884">
        <v>138.66319999999999</v>
      </c>
      <c r="J3884">
        <v>-238.13210000000001</v>
      </c>
      <c r="K3884">
        <v>1.109809</v>
      </c>
      <c r="L3884">
        <v>141.6112</v>
      </c>
      <c r="M3884">
        <v>-0.9974364</v>
      </c>
      <c r="N3884">
        <v>0</v>
      </c>
      <c r="O3884">
        <v>-7.1071839999999997E-2</v>
      </c>
      <c r="P3884">
        <v>-0.99736539999999996</v>
      </c>
      <c r="Q3884">
        <v>1.9152289999999999E-2</v>
      </c>
      <c r="R3884">
        <v>-6.9967050000000003E-2</v>
      </c>
      <c r="S3884">
        <v>-2.9987490000000001</v>
      </c>
      <c r="T3884">
        <v>-5.4955009999999999E-2</v>
      </c>
      <c r="U3884">
        <v>-0.14698789999999901</v>
      </c>
      <c r="V3884">
        <v>1.0980899999999999E-3</v>
      </c>
      <c r="W3884">
        <v>2.7478869999999999E-2</v>
      </c>
      <c r="X3884">
        <v>0.9996218</v>
      </c>
      <c r="Y3884">
        <v>2.213967E-2</v>
      </c>
      <c r="Z3884">
        <v>1.50295299999999E-3</v>
      </c>
      <c r="AA3884">
        <v>0.99975380000000003</v>
      </c>
      <c r="AB3884">
        <v>27</v>
      </c>
      <c r="AC3884">
        <v>-60.274099999999997</v>
      </c>
      <c r="AD3884">
        <v>-1.109816853369</v>
      </c>
      <c r="AE3884">
        <v>-2.948</v>
      </c>
      <c r="AF3884">
        <v>1.3429411012810599</v>
      </c>
      <c r="AG3884">
        <v>-1.109816853369</v>
      </c>
      <c r="AH3884">
        <v>60.310796764022797</v>
      </c>
      <c r="AI3884">
        <v>91.053955450363901</v>
      </c>
      <c r="AJ3884">
        <v>88.724405111162099</v>
      </c>
      <c r="AK3884">
        <v>60.335954376812502</v>
      </c>
      <c r="AL3884">
        <v>88.425378547000307</v>
      </c>
      <c r="AM3884">
        <v>89.937060298986694</v>
      </c>
      <c r="AN3884">
        <v>1.00000001856668</v>
      </c>
    </row>
    <row r="3885" spans="1:40" x14ac:dyDescent="0.3">
      <c r="A3885" t="str">
        <f>"20200111160533515"</f>
        <v>20200111160533515</v>
      </c>
      <c r="B3885" t="str">
        <f>"1578729933505622"</f>
        <v>1578729933505622</v>
      </c>
      <c r="C3885" t="s">
        <v>40</v>
      </c>
      <c r="D3885">
        <v>5.468445</v>
      </c>
      <c r="E3885">
        <v>0.51339380000000001</v>
      </c>
      <c r="F3885" t="s">
        <v>75</v>
      </c>
      <c r="G3885">
        <v>-279.988</v>
      </c>
      <c r="H3885" s="1">
        <v>-3.6703499999999999E-6</v>
      </c>
      <c r="I3885">
        <v>139.79589999999999</v>
      </c>
      <c r="J3885">
        <v>-238.4014</v>
      </c>
      <c r="K3885">
        <v>1.1098049999999999</v>
      </c>
      <c r="L3885">
        <v>141.59209999999999</v>
      </c>
      <c r="M3885">
        <v>-0.99743649999999995</v>
      </c>
      <c r="N3885">
        <v>0</v>
      </c>
      <c r="O3885">
        <v>-7.1072239999999995E-2</v>
      </c>
      <c r="P3885">
        <v>-0.99734250000000002</v>
      </c>
      <c r="Q3885">
        <v>1.8683140000000001E-2</v>
      </c>
      <c r="R3885">
        <v>-7.0422280000000004E-2</v>
      </c>
      <c r="S3885">
        <v>-3.0003199999999999</v>
      </c>
      <c r="T3885">
        <v>-7.9553600000000002E-2</v>
      </c>
      <c r="U3885">
        <v>-0.13012699999999999</v>
      </c>
      <c r="V3885">
        <v>6.4261730000000005E-4</v>
      </c>
      <c r="W3885">
        <v>2.7020809999999999E-2</v>
      </c>
      <c r="X3885">
        <v>0.99963469999999999</v>
      </c>
      <c r="Y3885">
        <v>2.775263E-2</v>
      </c>
      <c r="Z3885">
        <v>2.249109E-3</v>
      </c>
      <c r="AA3885">
        <v>0.99961230000000001</v>
      </c>
      <c r="AB3885">
        <v>27</v>
      </c>
      <c r="AC3885">
        <v>-41.586599999999997</v>
      </c>
      <c r="AD3885">
        <v>-1.1098086703500001</v>
      </c>
      <c r="AE3885">
        <v>-1.79619999999999</v>
      </c>
      <c r="AF3885">
        <v>1.1632707180992099</v>
      </c>
      <c r="AG3885">
        <v>-1.1098086703500001</v>
      </c>
      <c r="AH3885">
        <v>41.579534735260196</v>
      </c>
      <c r="AI3885">
        <v>91.528333743725199</v>
      </c>
      <c r="AJ3885">
        <v>88.397453897265507</v>
      </c>
      <c r="AK3885">
        <v>41.610606614769303</v>
      </c>
      <c r="AL3885">
        <v>88.451633226958606</v>
      </c>
      <c r="AM3885">
        <v>89.963167290951205</v>
      </c>
      <c r="AN3885">
        <v>1.0000000352870599</v>
      </c>
    </row>
    <row r="3886" spans="1:40" x14ac:dyDescent="0.3">
      <c r="A3886" t="str">
        <f>"20200111160533536"</f>
        <v>20200111160533536</v>
      </c>
      <c r="B3886" t="str">
        <f>"1578729933525142"</f>
        <v>1578729933525142</v>
      </c>
      <c r="C3886" t="s">
        <v>40</v>
      </c>
      <c r="D3886">
        <v>5.3171410000000003</v>
      </c>
      <c r="E3886">
        <v>0.51453470000000001</v>
      </c>
      <c r="F3886" t="s">
        <v>41</v>
      </c>
      <c r="G3886">
        <v>-272.529</v>
      </c>
      <c r="H3886" s="1">
        <v>-3.3553350000000002E-6</v>
      </c>
      <c r="I3886">
        <v>140.24760000000001</v>
      </c>
      <c r="J3886">
        <v>-238.6662</v>
      </c>
      <c r="K3886">
        <v>1.109807</v>
      </c>
      <c r="L3886">
        <v>141.57320000000001</v>
      </c>
      <c r="M3886">
        <v>-0.9974362</v>
      </c>
      <c r="N3886">
        <v>0</v>
      </c>
      <c r="O3886">
        <v>-7.107252E-2</v>
      </c>
      <c r="P3886">
        <v>-0.99734179999999995</v>
      </c>
      <c r="Q3886">
        <v>1.842705E-2</v>
      </c>
      <c r="R3886">
        <v>-7.0497539999999997E-2</v>
      </c>
      <c r="S3886">
        <v>-3.001465</v>
      </c>
      <c r="T3886">
        <v>-9.7605709999999998E-2</v>
      </c>
      <c r="U3886">
        <v>-0.1182404</v>
      </c>
      <c r="V3886">
        <v>5.6771019999999998E-4</v>
      </c>
      <c r="W3886">
        <v>2.6774849999999999E-2</v>
      </c>
      <c r="X3886">
        <v>0.99964129999999995</v>
      </c>
      <c r="Y3886">
        <v>3.1701609999999998E-2</v>
      </c>
      <c r="Z3886">
        <v>2.8226599999999998E-3</v>
      </c>
      <c r="AA3886">
        <v>0.99949339999999998</v>
      </c>
      <c r="AB3886">
        <v>27</v>
      </c>
      <c r="AC3886">
        <v>-33.862799999999901</v>
      </c>
      <c r="AD3886">
        <v>-1.1098103553350001</v>
      </c>
      <c r="AE3886">
        <v>-1.3255999999999999</v>
      </c>
      <c r="AF3886">
        <v>1.0833890071011201</v>
      </c>
      <c r="AG3886">
        <v>-1.1098103553350001</v>
      </c>
      <c r="AH3886">
        <v>33.835089871049398</v>
      </c>
      <c r="AI3886">
        <v>91.877699259914607</v>
      </c>
      <c r="AJ3886">
        <v>88.166033633110899</v>
      </c>
      <c r="AK3886">
        <v>33.870617315713403</v>
      </c>
      <c r="AL3886">
        <v>88.465730699631294</v>
      </c>
      <c r="AM3886">
        <v>89.9674609332872</v>
      </c>
      <c r="AN3886">
        <v>0.99999997177654099</v>
      </c>
    </row>
    <row r="3887" spans="1:40" x14ac:dyDescent="0.3">
      <c r="A3887" t="str">
        <f>"20200111160533559"</f>
        <v>20200111160533559</v>
      </c>
      <c r="B3887" t="str">
        <f>"1578729933555399"</f>
        <v>1578729933555399</v>
      </c>
      <c r="C3887" t="s">
        <v>40</v>
      </c>
      <c r="D3887">
        <v>5.5164220000000004</v>
      </c>
      <c r="E3887">
        <v>0.51623129999999995</v>
      </c>
      <c r="F3887" t="s">
        <v>41</v>
      </c>
      <c r="G3887">
        <v>-267.93130000000002</v>
      </c>
      <c r="H3887" s="1">
        <v>-1.1031240000000001E-6</v>
      </c>
      <c r="I3887">
        <v>140.4931</v>
      </c>
      <c r="J3887">
        <v>-238.9288</v>
      </c>
      <c r="K3887">
        <v>1.109807</v>
      </c>
      <c r="L3887">
        <v>141.55449999999999</v>
      </c>
      <c r="M3887">
        <v>-0.99743630000000005</v>
      </c>
      <c r="N3887">
        <v>0</v>
      </c>
      <c r="O3887">
        <v>-7.1073029999999995E-2</v>
      </c>
      <c r="P3887">
        <v>-0.99732869999999996</v>
      </c>
      <c r="Q3887">
        <v>1.8225519999999999E-2</v>
      </c>
      <c r="R3887">
        <v>-7.0737010000000003E-2</v>
      </c>
      <c r="S3887">
        <v>-3.0022579999999999</v>
      </c>
      <c r="T3887">
        <v>-0.1138535</v>
      </c>
      <c r="U3887">
        <v>-0.11079410000000001</v>
      </c>
      <c r="V3887">
        <v>3.2859170000000001E-4</v>
      </c>
      <c r="W3887">
        <v>2.6583229999999999E-2</v>
      </c>
      <c r="X3887">
        <v>0.99964649999999999</v>
      </c>
      <c r="Y3887">
        <v>3.4166509999999997E-2</v>
      </c>
      <c r="Z3887">
        <v>3.3382849999999999E-3</v>
      </c>
      <c r="AA3887">
        <v>0.99941060000000004</v>
      </c>
      <c r="AB3887">
        <v>27</v>
      </c>
      <c r="AC3887">
        <v>-29.002500000000001</v>
      </c>
      <c r="AD3887">
        <v>-1.1098081031239999</v>
      </c>
      <c r="AE3887">
        <v>-1.0613999999999899</v>
      </c>
      <c r="AF3887">
        <v>1.0011874218622701</v>
      </c>
      <c r="AG3887">
        <v>-1.1098081031239999</v>
      </c>
      <c r="AH3887">
        <v>28.962238254469199</v>
      </c>
      <c r="AI3887">
        <v>92.193142691345003</v>
      </c>
      <c r="AJ3887">
        <v>88.020146792757501</v>
      </c>
      <c r="AK3887">
        <v>29.0007809375557</v>
      </c>
      <c r="AL3887">
        <v>88.476713594211404</v>
      </c>
      <c r="AM3887">
        <v>89.981166425416404</v>
      </c>
      <c r="AN3887">
        <v>0.999999950525992</v>
      </c>
    </row>
    <row r="3888" spans="1:40" x14ac:dyDescent="0.3">
      <c r="A3888" t="str">
        <f>"20200111160533583"</f>
        <v>20200111160533583</v>
      </c>
      <c r="B3888" t="str">
        <f>"1578729933575895"</f>
        <v>1578729933575895</v>
      </c>
      <c r="C3888" t="s">
        <v>40</v>
      </c>
      <c r="D3888">
        <v>5.4794280000000004</v>
      </c>
      <c r="E3888">
        <v>0.51727190000000001</v>
      </c>
      <c r="F3888" t="s">
        <v>41</v>
      </c>
      <c r="G3888">
        <v>-270.49290000000002</v>
      </c>
      <c r="H3888" s="1">
        <v>-4.2707270000000001E-6</v>
      </c>
      <c r="I3888">
        <v>140.53200000000001</v>
      </c>
      <c r="J3888">
        <v>-239.2175</v>
      </c>
      <c r="K3888">
        <v>1.109807</v>
      </c>
      <c r="L3888">
        <v>141.53389999999999</v>
      </c>
      <c r="M3888">
        <v>-0.99743610000000005</v>
      </c>
      <c r="N3888">
        <v>0</v>
      </c>
      <c r="O3888">
        <v>-7.1073189999999994E-2</v>
      </c>
      <c r="P3888">
        <v>-0.99730830000000004</v>
      </c>
      <c r="Q3888">
        <v>1.7632950000000001E-2</v>
      </c>
      <c r="R3888">
        <v>-7.1174920000000003E-2</v>
      </c>
      <c r="S3888">
        <v>-3.003082</v>
      </c>
      <c r="T3888">
        <v>-0.1055902</v>
      </c>
      <c r="U3888">
        <v>-9.7274780000000005E-2</v>
      </c>
      <c r="V3888">
        <v>-1.099373E-4</v>
      </c>
      <c r="W3888">
        <v>2.6000740000000001E-2</v>
      </c>
      <c r="X3888">
        <v>0.99966189999999999</v>
      </c>
      <c r="Y3888">
        <v>3.8677959999999997E-2</v>
      </c>
      <c r="Z3888">
        <v>3.1749209999999998E-3</v>
      </c>
      <c r="AA3888">
        <v>0.99924669999999904</v>
      </c>
      <c r="AB3888">
        <v>27</v>
      </c>
      <c r="AC3888">
        <v>-31.275400000000001</v>
      </c>
      <c r="AD3888">
        <v>-1.109811270727</v>
      </c>
      <c r="AE3888">
        <v>-1.00189999999997</v>
      </c>
      <c r="AF3888">
        <v>1.2220167596717999</v>
      </c>
      <c r="AG3888">
        <v>-1.109811270727</v>
      </c>
      <c r="AH3888">
        <v>31.228230848341401</v>
      </c>
      <c r="AI3888">
        <v>92.033806639449693</v>
      </c>
      <c r="AJ3888">
        <v>87.759056626783106</v>
      </c>
      <c r="AK3888">
        <v>31.271830901545499</v>
      </c>
      <c r="AL3888">
        <v>88.510099403760904</v>
      </c>
      <c r="AM3888">
        <v>90.006301073668695</v>
      </c>
      <c r="AN3888">
        <v>0.99999998243918298</v>
      </c>
    </row>
    <row r="3889" spans="1:40" x14ac:dyDescent="0.3">
      <c r="A3889" t="str">
        <f>"20200111160533604"</f>
        <v>20200111160533604</v>
      </c>
      <c r="B3889" t="str">
        <f>"1578729933595922"</f>
        <v>1578729933595922</v>
      </c>
      <c r="C3889" t="s">
        <v>40</v>
      </c>
      <c r="D3889">
        <v>5.5681849999999997</v>
      </c>
      <c r="E3889">
        <v>0.51804399999999995</v>
      </c>
      <c r="F3889" t="s">
        <v>41</v>
      </c>
      <c r="G3889">
        <v>-267.40280000000001</v>
      </c>
      <c r="H3889" s="1">
        <v>-1.3788949999999999E-6</v>
      </c>
      <c r="I3889">
        <v>140.67740000000001</v>
      </c>
      <c r="J3889">
        <v>-239.48840000000001</v>
      </c>
      <c r="K3889">
        <v>1.1098049999999999</v>
      </c>
      <c r="L3889">
        <v>141.5146</v>
      </c>
      <c r="M3889">
        <v>-0.99743599999999999</v>
      </c>
      <c r="N3889">
        <v>0</v>
      </c>
      <c r="O3889">
        <v>-7.1073579999999997E-2</v>
      </c>
      <c r="P3889">
        <v>-0.99726369999999998</v>
      </c>
      <c r="Q3889">
        <v>1.73782E-2</v>
      </c>
      <c r="R3889">
        <v>-7.1855600000000006E-2</v>
      </c>
      <c r="S3889">
        <v>-3.0036930000000002</v>
      </c>
      <c r="T3889">
        <v>-0.11827219999999999</v>
      </c>
      <c r="U3889">
        <v>-9.1262819999999995E-2</v>
      </c>
      <c r="V3889">
        <v>-7.9111229999999995E-4</v>
      </c>
      <c r="W3889">
        <v>2.575477E-2</v>
      </c>
      <c r="X3889">
        <v>0.999668</v>
      </c>
      <c r="Y3889">
        <v>4.0664169999999999E-2</v>
      </c>
      <c r="Z3889">
        <v>3.5945019999999999E-3</v>
      </c>
      <c r="AA3889">
        <v>0.99916640000000001</v>
      </c>
      <c r="AB3889">
        <v>27</v>
      </c>
      <c r="AC3889">
        <v>-27.914400000000001</v>
      </c>
      <c r="AD3889">
        <v>-1.1098063788949999</v>
      </c>
      <c r="AE3889">
        <v>-0.83719999999999495</v>
      </c>
      <c r="AF3889">
        <v>1.14715149643609</v>
      </c>
      <c r="AG3889">
        <v>-1.1098063788949999</v>
      </c>
      <c r="AH3889">
        <v>27.859310064720798</v>
      </c>
      <c r="AI3889">
        <v>92.279305008761696</v>
      </c>
      <c r="AJ3889">
        <v>87.642086976887498</v>
      </c>
      <c r="AK3889">
        <v>27.904995682434102</v>
      </c>
      <c r="AL3889">
        <v>88.524197226652404</v>
      </c>
      <c r="AM3889">
        <v>90.045342440138498</v>
      </c>
      <c r="AN3889">
        <v>1.0000000221302101</v>
      </c>
    </row>
    <row r="3890" spans="1:40" x14ac:dyDescent="0.3">
      <c r="A3890" t="str">
        <f>"20200111160533626"</f>
        <v>20200111160533626</v>
      </c>
      <c r="B3890" t="str">
        <f>"1578729933615442"</f>
        <v>1578729933615442</v>
      </c>
      <c r="C3890" t="s">
        <v>40</v>
      </c>
      <c r="D3890">
        <v>5.5800510000000001</v>
      </c>
      <c r="E3890">
        <v>0.51872929999999995</v>
      </c>
      <c r="F3890" t="s">
        <v>41</v>
      </c>
      <c r="G3890">
        <v>-265.53199999999998</v>
      </c>
      <c r="H3890" s="1">
        <v>-2.2014760000000002E-6</v>
      </c>
      <c r="I3890">
        <v>140.7527</v>
      </c>
      <c r="J3890">
        <v>-239.74690000000001</v>
      </c>
      <c r="K3890">
        <v>1.109807</v>
      </c>
      <c r="L3890">
        <v>141.49610000000001</v>
      </c>
      <c r="M3890">
        <v>-0.99743590000000004</v>
      </c>
      <c r="N3890">
        <v>0</v>
      </c>
      <c r="O3890">
        <v>-7.1074209999999999E-2</v>
      </c>
      <c r="P3890">
        <v>-0.99719829999999998</v>
      </c>
      <c r="Q3890">
        <v>1.7665170000000001E-2</v>
      </c>
      <c r="R3890">
        <v>-7.2690320000000003E-2</v>
      </c>
      <c r="S3890">
        <v>-3.0041199999999999</v>
      </c>
      <c r="T3890">
        <v>-0.1280164</v>
      </c>
      <c r="U3890">
        <v>-8.7875369999999994E-2</v>
      </c>
      <c r="V3890">
        <v>-1.627671E-3</v>
      </c>
      <c r="W3890">
        <v>2.605031E-2</v>
      </c>
      <c r="X3890">
        <v>0.99965930000000003</v>
      </c>
      <c r="Y3890">
        <v>4.1778940000000001E-2</v>
      </c>
      <c r="Z3890">
        <v>3.9136930000000002E-3</v>
      </c>
      <c r="AA3890">
        <v>0.99911919999999999</v>
      </c>
      <c r="AB3890">
        <v>27</v>
      </c>
      <c r="AC3890">
        <v>-25.7850999999999</v>
      </c>
      <c r="AD3890">
        <v>-1.1098092014759999</v>
      </c>
      <c r="AE3890">
        <v>-0.74340000000000805</v>
      </c>
      <c r="AF3890">
        <v>1.08918396045861</v>
      </c>
      <c r="AG3890">
        <v>-1.1098092014759999</v>
      </c>
      <c r="AH3890">
        <v>25.7251078417965</v>
      </c>
      <c r="AI3890">
        <v>92.468062222733593</v>
      </c>
      <c r="AJ3890">
        <v>87.575582787293001</v>
      </c>
      <c r="AK3890">
        <v>25.7720618429233</v>
      </c>
      <c r="AL3890">
        <v>88.507258303879496</v>
      </c>
      <c r="AM3890">
        <v>90.093290380355199</v>
      </c>
      <c r="AN3890">
        <v>0.99999999202023504</v>
      </c>
    </row>
    <row r="3891" spans="1:40" x14ac:dyDescent="0.3">
      <c r="A3891" t="str">
        <f>"20200111160533647"</f>
        <v>20200111160533647</v>
      </c>
      <c r="B3891" t="str">
        <f>"1578729933645698"</f>
        <v>1578729933645698</v>
      </c>
      <c r="C3891" t="s">
        <v>40</v>
      </c>
      <c r="D3891">
        <v>5.567939</v>
      </c>
      <c r="E3891">
        <v>0.51953130000000003</v>
      </c>
      <c r="F3891" t="s">
        <v>41</v>
      </c>
      <c r="G3891">
        <v>-264.60980000000001</v>
      </c>
      <c r="H3891" s="1">
        <v>-2.606863E-6</v>
      </c>
      <c r="I3891">
        <v>140.7894</v>
      </c>
      <c r="J3891">
        <v>-240.01429999999999</v>
      </c>
      <c r="K3891">
        <v>1.1098049999999999</v>
      </c>
      <c r="L3891">
        <v>141.47710000000001</v>
      </c>
      <c r="M3891">
        <v>-0.99743579999999998</v>
      </c>
      <c r="N3891">
        <v>0</v>
      </c>
      <c r="O3891">
        <v>-7.1074369999999998E-2</v>
      </c>
      <c r="P3891">
        <v>-0.99714879999999995</v>
      </c>
      <c r="Q3891">
        <v>1.8000849999999999E-2</v>
      </c>
      <c r="R3891">
        <v>-7.3281879999999994E-2</v>
      </c>
      <c r="S3891">
        <v>-3.004578</v>
      </c>
      <c r="T3891">
        <v>-0.13411629999999899</v>
      </c>
      <c r="U3891">
        <v>-8.5403439999999997E-2</v>
      </c>
      <c r="V3891">
        <v>-2.2215870000000001E-3</v>
      </c>
      <c r="W3891">
        <v>2.639447E-2</v>
      </c>
      <c r="X3891">
        <v>0.99964909999999996</v>
      </c>
      <c r="Y3891">
        <v>4.2594109999999998E-2</v>
      </c>
      <c r="Z3891">
        <v>4.1176329999999999E-3</v>
      </c>
      <c r="AA3891">
        <v>0.99908399999999997</v>
      </c>
      <c r="AB3891">
        <v>27</v>
      </c>
      <c r="AC3891">
        <v>-24.595500000000001</v>
      </c>
      <c r="AD3891">
        <v>-1.1098076068629901</v>
      </c>
      <c r="AE3891">
        <v>-0.68770000000000597</v>
      </c>
      <c r="AF3891">
        <v>1.0600537683270901</v>
      </c>
      <c r="AG3891">
        <v>-1.1098076068629901</v>
      </c>
      <c r="AH3891">
        <v>24.532264238158</v>
      </c>
      <c r="AI3891">
        <v>92.587808725035103</v>
      </c>
      <c r="AJ3891">
        <v>87.525754364979093</v>
      </c>
      <c r="AK3891">
        <v>24.5802232611261</v>
      </c>
      <c r="AL3891">
        <v>88.487532561721594</v>
      </c>
      <c r="AM3891">
        <v>90.127332030177001</v>
      </c>
      <c r="AN3891">
        <v>0.99999996331309304</v>
      </c>
    </row>
    <row r="3892" spans="1:40" x14ac:dyDescent="0.3">
      <c r="A3892" t="str">
        <f>"20200111160533671"</f>
        <v>20200111160533671</v>
      </c>
      <c r="B3892" t="str">
        <f>"1578729933665218"</f>
        <v>1578729933665218</v>
      </c>
      <c r="C3892" t="s">
        <v>40</v>
      </c>
      <c r="D3892">
        <v>5.5750289999999998</v>
      </c>
      <c r="E3892">
        <v>0.51998250000000001</v>
      </c>
      <c r="F3892" t="s">
        <v>41</v>
      </c>
      <c r="G3892">
        <v>-263.32080000000002</v>
      </c>
      <c r="H3892" s="1">
        <v>-3.174083E-6</v>
      </c>
      <c r="I3892">
        <v>140.84289999999999</v>
      </c>
      <c r="J3892">
        <v>-240.29949999999999</v>
      </c>
      <c r="K3892">
        <v>1.1098110000000001</v>
      </c>
      <c r="L3892">
        <v>141.45670000000001</v>
      </c>
      <c r="M3892">
        <v>-0.99743559999999998</v>
      </c>
      <c r="N3892">
        <v>0</v>
      </c>
      <c r="O3892">
        <v>-7.1074750000000006E-2</v>
      </c>
      <c r="P3892">
        <v>-0.99712500000000004</v>
      </c>
      <c r="Q3892">
        <v>1.8709420000000001E-2</v>
      </c>
      <c r="R3892">
        <v>-7.342796E-2</v>
      </c>
      <c r="S3892">
        <v>-3.0051570000000001</v>
      </c>
      <c r="T3892">
        <v>-0.1431</v>
      </c>
      <c r="U3892">
        <v>-8.1756590000000004E-2</v>
      </c>
      <c r="V3892">
        <v>-2.3683570000000002E-3</v>
      </c>
      <c r="W3892">
        <v>2.71109E-2</v>
      </c>
      <c r="X3892">
        <v>0.99962960000000001</v>
      </c>
      <c r="Y3892">
        <v>4.3794489999999998E-2</v>
      </c>
      <c r="Z3892">
        <v>4.4209890000000002E-3</v>
      </c>
      <c r="AA3892">
        <v>0.9990308</v>
      </c>
      <c r="AB3892">
        <v>27</v>
      </c>
      <c r="AC3892">
        <v>-23.0213</v>
      </c>
      <c r="AD3892">
        <v>-1.1098141740829901</v>
      </c>
      <c r="AE3892">
        <v>-0.61380000000002599</v>
      </c>
      <c r="AF3892">
        <v>1.0216706205502</v>
      </c>
      <c r="AG3892">
        <v>-1.1098141740829901</v>
      </c>
      <c r="AH3892">
        <v>22.953395676769901</v>
      </c>
      <c r="AI3892">
        <v>92.765405038068295</v>
      </c>
      <c r="AJ3892">
        <v>87.451409662904894</v>
      </c>
      <c r="AK3892">
        <v>23.002910064864601</v>
      </c>
      <c r="AL3892">
        <v>88.446469462818001</v>
      </c>
      <c r="AM3892">
        <v>90.135746887227</v>
      </c>
      <c r="AN3892">
        <v>0.99999997360492399</v>
      </c>
    </row>
    <row r="3893" spans="1:40" x14ac:dyDescent="0.3">
      <c r="A3893" t="str">
        <f>"20200111160533693"</f>
        <v>20200111160533693</v>
      </c>
      <c r="B3893" t="str">
        <f>"1578729933685200"</f>
        <v>1578729933685200</v>
      </c>
      <c r="C3893" t="s">
        <v>40</v>
      </c>
      <c r="D3893">
        <v>5.5958819999999996</v>
      </c>
      <c r="E3893">
        <v>0.52044690000000005</v>
      </c>
      <c r="F3893" t="s">
        <v>41</v>
      </c>
      <c r="G3893">
        <v>-263.24329999999998</v>
      </c>
      <c r="H3893" s="1">
        <v>-3.210859E-6</v>
      </c>
      <c r="I3893">
        <v>140.8563</v>
      </c>
      <c r="J3893">
        <v>-240.58170000000001</v>
      </c>
      <c r="K3893">
        <v>1.109815</v>
      </c>
      <c r="L3893">
        <v>141.4366</v>
      </c>
      <c r="M3893">
        <v>-0.99743559999999998</v>
      </c>
      <c r="N3893">
        <v>0</v>
      </c>
      <c r="O3893">
        <v>-7.1075379999999994E-2</v>
      </c>
      <c r="P3893">
        <v>-0.99711039999999995</v>
      </c>
      <c r="Q3893">
        <v>1.9882529999999999E-2</v>
      </c>
      <c r="R3893">
        <v>-7.331886E-2</v>
      </c>
      <c r="S3893">
        <v>-3.0055999999999998</v>
      </c>
      <c r="T3893">
        <v>-0.1453836</v>
      </c>
      <c r="U3893">
        <v>-7.86438E-2</v>
      </c>
      <c r="V3893">
        <v>-2.2600799999999998E-3</v>
      </c>
      <c r="W3893">
        <v>2.8292040000000001E-2</v>
      </c>
      <c r="X3893">
        <v>0.99959710000000002</v>
      </c>
      <c r="Y3893">
        <v>4.4827649999999997E-2</v>
      </c>
      <c r="Z3893">
        <v>4.5158899999999998E-3</v>
      </c>
      <c r="AA3893">
        <v>0.99898450000000005</v>
      </c>
      <c r="AB3893">
        <v>27</v>
      </c>
      <c r="AC3893">
        <v>-22.6615999999999</v>
      </c>
      <c r="AD3893">
        <v>-1.109818210859</v>
      </c>
      <c r="AE3893">
        <v>-0.58029999999999404</v>
      </c>
      <c r="AF3893">
        <v>1.02943894164367</v>
      </c>
      <c r="AG3893">
        <v>-1.109818210859</v>
      </c>
      <c r="AH3893">
        <v>22.591382283700302</v>
      </c>
      <c r="AI3893">
        <v>92.809525470454801</v>
      </c>
      <c r="AJ3893">
        <v>87.390963842723096</v>
      </c>
      <c r="AK3893">
        <v>22.6420404222768</v>
      </c>
      <c r="AL3893">
        <v>88.378769109118906</v>
      </c>
      <c r="AM3893">
        <v>90.1295450183909</v>
      </c>
      <c r="AN3893">
        <v>0.99999995490868798</v>
      </c>
    </row>
    <row r="3894" spans="1:40" x14ac:dyDescent="0.3">
      <c r="A3894" t="str">
        <f>"20200111160533715"</f>
        <v>20200111160533715</v>
      </c>
      <c r="B3894" t="str">
        <f>"1578729933705695"</f>
        <v>1578729933705695</v>
      </c>
      <c r="C3894" t="s">
        <v>40</v>
      </c>
      <c r="D3894">
        <v>5.5931030000000002</v>
      </c>
      <c r="E3894">
        <v>0.52080669999999996</v>
      </c>
      <c r="F3894" t="s">
        <v>41</v>
      </c>
      <c r="G3894">
        <v>-263.47430000000003</v>
      </c>
      <c r="H3894" s="1">
        <v>-3.1142499999999999E-6</v>
      </c>
      <c r="I3894">
        <v>140.8656</v>
      </c>
      <c r="J3894">
        <v>-240.84889999999999</v>
      </c>
      <c r="K3894">
        <v>1.10981</v>
      </c>
      <c r="L3894">
        <v>141.41759999999999</v>
      </c>
      <c r="M3894">
        <v>-0.99743550000000003</v>
      </c>
      <c r="N3894">
        <v>0</v>
      </c>
      <c r="O3894">
        <v>-7.1075650000000004E-2</v>
      </c>
      <c r="P3894">
        <v>-0.99718050000000003</v>
      </c>
      <c r="Q3894">
        <v>1.9594839999999999E-2</v>
      </c>
      <c r="R3894">
        <v>-7.2437929999999998E-2</v>
      </c>
      <c r="S3894">
        <v>-3.0061040000000001</v>
      </c>
      <c r="T3894">
        <v>-0.14573410000000001</v>
      </c>
      <c r="U3894">
        <v>-7.4981690000000004E-2</v>
      </c>
      <c r="V3894">
        <v>-1.375914E-3</v>
      </c>
      <c r="W3894">
        <v>2.8011299999999999E-2</v>
      </c>
      <c r="X3894">
        <v>0.99960669999999996</v>
      </c>
      <c r="Y3894">
        <v>4.6046440000000001E-2</v>
      </c>
      <c r="Z3894">
        <v>4.5556499999999996E-3</v>
      </c>
      <c r="AA3894">
        <v>0.99892890000000001</v>
      </c>
      <c r="AB3894">
        <v>28</v>
      </c>
      <c r="AC3894">
        <v>-22.625399999999999</v>
      </c>
      <c r="AD3894">
        <v>-1.1098131142500001</v>
      </c>
      <c r="AE3894">
        <v>-0.55199999999999205</v>
      </c>
      <c r="AF3894">
        <v>1.05503102606777</v>
      </c>
      <c r="AG3894">
        <v>-1.1098131142500001</v>
      </c>
      <c r="AH3894">
        <v>22.553177719462699</v>
      </c>
      <c r="AI3894">
        <v>92.814107301154394</v>
      </c>
      <c r="AJ3894">
        <v>87.321672830596995</v>
      </c>
      <c r="AK3894">
        <v>22.605101213226099</v>
      </c>
      <c r="AL3894">
        <v>88.394860841952607</v>
      </c>
      <c r="AM3894">
        <v>90.078865033003297</v>
      </c>
      <c r="AN3894">
        <v>1.0000000403759499</v>
      </c>
    </row>
    <row r="3895" spans="1:40" x14ac:dyDescent="0.3">
      <c r="A3895" t="str">
        <f>"20200111160533737"</f>
        <v>20200111160533737</v>
      </c>
      <c r="B3895" t="str">
        <f>"1578729933734976"</f>
        <v>1578729933734976</v>
      </c>
      <c r="C3895" t="s">
        <v>40</v>
      </c>
      <c r="D3895">
        <v>5.6311879999999999</v>
      </c>
      <c r="E3895">
        <v>0.5213854</v>
      </c>
      <c r="F3895" t="s">
        <v>41</v>
      </c>
      <c r="G3895">
        <v>-262.92619999999999</v>
      </c>
      <c r="H3895" s="1">
        <v>-3.35963E-6</v>
      </c>
      <c r="I3895">
        <v>140.9041</v>
      </c>
      <c r="J3895">
        <v>-241.12029999999999</v>
      </c>
      <c r="K3895">
        <v>1.109809</v>
      </c>
      <c r="L3895">
        <v>141.3982</v>
      </c>
      <c r="M3895">
        <v>-0.99743550000000003</v>
      </c>
      <c r="N3895">
        <v>0</v>
      </c>
      <c r="O3895">
        <v>-7.1076390000000003E-2</v>
      </c>
      <c r="P3895">
        <v>-0.99727849999999996</v>
      </c>
      <c r="Q3895">
        <v>1.8404239999999999E-2</v>
      </c>
      <c r="R3895">
        <v>-7.1396280000000006E-2</v>
      </c>
      <c r="S3895">
        <v>-3.0063780000000002</v>
      </c>
      <c r="T3895">
        <v>-0.1511296</v>
      </c>
      <c r="U3895">
        <v>-6.9915770000000002E-2</v>
      </c>
      <c r="V3895">
        <v>-3.2920120000000001E-4</v>
      </c>
      <c r="W3895">
        <v>2.682824E-2</v>
      </c>
      <c r="X3895">
        <v>0.99963999999999997</v>
      </c>
      <c r="Y3895">
        <v>4.7719209999999998E-2</v>
      </c>
      <c r="Z3895">
        <v>4.7658730000000003E-3</v>
      </c>
      <c r="AA3895">
        <v>0.9988494</v>
      </c>
      <c r="AB3895">
        <v>28</v>
      </c>
      <c r="AC3895">
        <v>-21.805900000000001</v>
      </c>
      <c r="AD3895">
        <v>-1.10981235963</v>
      </c>
      <c r="AE3895">
        <v>-0.49410000000000298</v>
      </c>
      <c r="AF3895">
        <v>1.05435936033708</v>
      </c>
      <c r="AG3895">
        <v>-1.10981235963</v>
      </c>
      <c r="AH3895">
        <v>21.729608889612798</v>
      </c>
      <c r="AI3895">
        <v>92.920339384866097</v>
      </c>
      <c r="AJ3895">
        <v>87.222085344285802</v>
      </c>
      <c r="AK3895">
        <v>21.783462985252299</v>
      </c>
      <c r="AL3895">
        <v>88.462670616184298</v>
      </c>
      <c r="AM3895">
        <v>90.018868631396003</v>
      </c>
      <c r="AN3895">
        <v>0.99999999621746305</v>
      </c>
    </row>
    <row r="3896" spans="1:40" x14ac:dyDescent="0.3">
      <c r="A3896" t="str">
        <f>"20200111160533761"</f>
        <v>20200111160533761</v>
      </c>
      <c r="B3896" t="str">
        <f>"1578729933755472"</f>
        <v>1578729933755472</v>
      </c>
      <c r="C3896" t="s">
        <v>40</v>
      </c>
      <c r="D3896">
        <v>5.6395359999999997</v>
      </c>
      <c r="E3896">
        <v>0.52182289999999998</v>
      </c>
      <c r="F3896" t="s">
        <v>41</v>
      </c>
      <c r="G3896">
        <v>-261.79950000000002</v>
      </c>
      <c r="H3896" s="1">
        <v>-3.8591370000000004E-6</v>
      </c>
      <c r="I3896">
        <v>140.9648</v>
      </c>
      <c r="J3896">
        <v>-241.4074</v>
      </c>
      <c r="K3896">
        <v>1.10981</v>
      </c>
      <c r="L3896">
        <v>141.37780000000001</v>
      </c>
      <c r="M3896">
        <v>-0.99743519999999997</v>
      </c>
      <c r="N3896">
        <v>0</v>
      </c>
      <c r="O3896">
        <v>-7.1077020000000005E-2</v>
      </c>
      <c r="P3896">
        <v>-0.99735750000000001</v>
      </c>
      <c r="Q3896">
        <v>1.7815580000000001E-2</v>
      </c>
      <c r="R3896">
        <v>-7.0432419999999996E-2</v>
      </c>
      <c r="S3896">
        <v>-3.006653</v>
      </c>
      <c r="T3896">
        <v>-0.16136130000000001</v>
      </c>
      <c r="U3896">
        <v>-6.3003539999999997E-2</v>
      </c>
      <c r="V3896">
        <v>6.3844870000000003E-4</v>
      </c>
      <c r="W3896">
        <v>2.624717E-2</v>
      </c>
      <c r="X3896">
        <v>0.99965530000000002</v>
      </c>
      <c r="Y3896">
        <v>4.999286E-2</v>
      </c>
      <c r="Z3896">
        <v>5.1488200000000001E-3</v>
      </c>
      <c r="AA3896">
        <v>0.99873630000000002</v>
      </c>
      <c r="AB3896">
        <v>28</v>
      </c>
      <c r="AC3896">
        <v>-20.392099999999999</v>
      </c>
      <c r="AD3896">
        <v>-1.1098138591369999</v>
      </c>
      <c r="AE3896">
        <v>-0.41300000000001003</v>
      </c>
      <c r="AF3896">
        <v>1.03444313193167</v>
      </c>
      <c r="AG3896">
        <v>-1.1098138591369999</v>
      </c>
      <c r="AH3896">
        <v>20.309745499336501</v>
      </c>
      <c r="AI3896">
        <v>93.123741623947694</v>
      </c>
      <c r="AJ3896">
        <v>87.084254302281707</v>
      </c>
      <c r="AK3896">
        <v>20.3663330436029</v>
      </c>
      <c r="AL3896">
        <v>88.495975240876305</v>
      </c>
      <c r="AM3896">
        <v>89.963406975412497</v>
      </c>
      <c r="AN3896">
        <v>1.0000000201839201</v>
      </c>
    </row>
    <row r="3897" spans="1:40" x14ac:dyDescent="0.3">
      <c r="A3897" t="str">
        <f>"20200111160533783"</f>
        <v>20200111160533783</v>
      </c>
      <c r="B3897" t="str">
        <f>"1578729933775970"</f>
        <v>1578729933775970</v>
      </c>
      <c r="C3897" t="s">
        <v>40</v>
      </c>
      <c r="D3897">
        <v>8.5067389999999996</v>
      </c>
      <c r="E3897">
        <v>0.52222760000000001</v>
      </c>
      <c r="F3897" t="s">
        <v>41</v>
      </c>
      <c r="G3897">
        <v>-261.5034</v>
      </c>
      <c r="H3897" s="1">
        <v>-3.995252E-6</v>
      </c>
      <c r="I3897">
        <v>140.9991</v>
      </c>
      <c r="J3897">
        <v>-241.69499999999999</v>
      </c>
      <c r="K3897">
        <v>1.1098110000000001</v>
      </c>
      <c r="L3897">
        <v>141.35730000000001</v>
      </c>
      <c r="M3897">
        <v>-0.99743519999999997</v>
      </c>
      <c r="N3897">
        <v>0</v>
      </c>
      <c r="O3897">
        <v>-7.1077399999999902E-2</v>
      </c>
      <c r="P3897">
        <v>-0.99744239999999995</v>
      </c>
      <c r="Q3897">
        <v>1.7784189999999998E-2</v>
      </c>
      <c r="R3897">
        <v>-6.9231100000000004E-2</v>
      </c>
      <c r="S3897">
        <v>-3.0068969999999999</v>
      </c>
      <c r="T3897">
        <v>-0.1660576</v>
      </c>
      <c r="U3897">
        <v>-5.6655879999999999E-2</v>
      </c>
      <c r="V3897">
        <v>1.843342E-3</v>
      </c>
      <c r="W3897">
        <v>2.6222860000000001E-2</v>
      </c>
      <c r="X3897">
        <v>0.99965440000000005</v>
      </c>
      <c r="Y3897">
        <v>5.2088910000000002E-2</v>
      </c>
      <c r="Z3897">
        <v>5.3560489999999999E-3</v>
      </c>
      <c r="AA3897">
        <v>0.99862810000000002</v>
      </c>
      <c r="AB3897">
        <v>28</v>
      </c>
      <c r="AC3897">
        <v>-19.808399999999999</v>
      </c>
      <c r="AD3897">
        <v>-1.109814995252</v>
      </c>
      <c r="AE3897">
        <v>-0.35820000000001001</v>
      </c>
      <c r="AF3897">
        <v>1.0473988008375701</v>
      </c>
      <c r="AG3897">
        <v>-1.109814995252</v>
      </c>
      <c r="AH3897">
        <v>19.721869635021299</v>
      </c>
      <c r="AI3897">
        <v>93.216303488467901</v>
      </c>
      <c r="AJ3897">
        <v>86.959963427895502</v>
      </c>
      <c r="AK3897">
        <v>19.780820899862999</v>
      </c>
      <c r="AL3897">
        <v>88.497368517231905</v>
      </c>
      <c r="AM3897">
        <v>89.894347889538096</v>
      </c>
      <c r="AN3897">
        <v>0.99999997786783401</v>
      </c>
    </row>
    <row r="3898" spans="1:40" x14ac:dyDescent="0.3">
      <c r="A3898" t="str">
        <f>"20200111160533806"</f>
        <v>20200111160533806</v>
      </c>
      <c r="B3898" t="str">
        <f>"1578729933795487"</f>
        <v>1578729933795487</v>
      </c>
      <c r="C3898" t="s">
        <v>40</v>
      </c>
      <c r="D3898">
        <v>5.6526449999999997</v>
      </c>
      <c r="E3898">
        <v>0.574986199999999</v>
      </c>
      <c r="F3898" t="s">
        <v>41</v>
      </c>
      <c r="G3898">
        <v>-261.90969999999999</v>
      </c>
      <c r="H3898" s="1">
        <v>-3.8277200000000003E-6</v>
      </c>
      <c r="I3898">
        <v>141.02449999999999</v>
      </c>
      <c r="J3898">
        <v>-241.9701</v>
      </c>
      <c r="K3898">
        <v>1.1098079999999999</v>
      </c>
      <c r="L3898">
        <v>141.33770000000001</v>
      </c>
      <c r="M3898">
        <v>-0.99743519999999997</v>
      </c>
      <c r="N3898">
        <v>0</v>
      </c>
      <c r="O3898">
        <v>-7.1077790000000002E-2</v>
      </c>
      <c r="P3898">
        <v>-0.99748210000000004</v>
      </c>
      <c r="Q3898">
        <v>1.7448999999999999E-2</v>
      </c>
      <c r="R3898">
        <v>-6.8742919999999999E-2</v>
      </c>
      <c r="S3898">
        <v>-3.0072169999999998</v>
      </c>
      <c r="T3898">
        <v>-0.16510050000000001</v>
      </c>
      <c r="U3898">
        <v>-4.9499509999999997E-2</v>
      </c>
      <c r="V3898">
        <v>2.333248E-3</v>
      </c>
      <c r="W3898">
        <v>2.589491E-2</v>
      </c>
      <c r="X3898">
        <v>0.99966189999999999</v>
      </c>
      <c r="Y3898">
        <v>5.4465479999999997E-2</v>
      </c>
      <c r="Z3898">
        <v>5.3900579999999997E-3</v>
      </c>
      <c r="AA3898">
        <v>0.99850110000000003</v>
      </c>
      <c r="AB3898">
        <v>28</v>
      </c>
      <c r="AC3898">
        <v>-19.939599999999899</v>
      </c>
      <c r="AD3898">
        <v>-1.10981182772</v>
      </c>
      <c r="AE3898">
        <v>-0.31320000000002302</v>
      </c>
      <c r="AF3898">
        <v>1.1014937415075801</v>
      </c>
      <c r="AG3898">
        <v>-1.10981182772</v>
      </c>
      <c r="AH3898">
        <v>19.849949276919698</v>
      </c>
      <c r="AI3898">
        <v>93.195173371179905</v>
      </c>
      <c r="AJ3898">
        <v>86.823856680083196</v>
      </c>
      <c r="AK3898">
        <v>19.9114403560318</v>
      </c>
      <c r="AL3898">
        <v>88.516165013890003</v>
      </c>
      <c r="AM3898">
        <v>89.866269765609999</v>
      </c>
      <c r="AN3898">
        <v>0.99999995236087202</v>
      </c>
    </row>
    <row r="3899" spans="1:40" x14ac:dyDescent="0.3">
      <c r="A3899" t="str">
        <f>"20200111160533826"</f>
        <v>20200111160533826</v>
      </c>
      <c r="B3899" t="str">
        <f>"1578729933815983"</f>
        <v>1578729933815983</v>
      </c>
      <c r="C3899" t="s">
        <v>40</v>
      </c>
      <c r="D3899">
        <v>5.5866069999999999</v>
      </c>
      <c r="E3899">
        <v>0.5883024</v>
      </c>
      <c r="F3899" t="s">
        <v>41</v>
      </c>
      <c r="G3899">
        <v>-263.06240000000003</v>
      </c>
      <c r="H3899" s="1">
        <v>-3.9999819999999997E-6</v>
      </c>
      <c r="I3899">
        <v>143.93510000000001</v>
      </c>
      <c r="J3899">
        <v>-242.22819999999999</v>
      </c>
      <c r="K3899">
        <v>1.109801</v>
      </c>
      <c r="L3899">
        <v>141.3193</v>
      </c>
      <c r="M3899">
        <v>-0.99743510000000002</v>
      </c>
      <c r="N3899">
        <v>0</v>
      </c>
      <c r="O3899">
        <v>-7.10784E-2</v>
      </c>
      <c r="P3899">
        <v>-0.99748689999999995</v>
      </c>
      <c r="Q3899">
        <v>1.736443E-2</v>
      </c>
      <c r="R3899">
        <v>-6.8693519999999994E-2</v>
      </c>
      <c r="S3899">
        <v>-3.0361180000000001</v>
      </c>
      <c r="T3899">
        <v>-0.15975120000000001</v>
      </c>
      <c r="U3899">
        <v>0.37390139999999999</v>
      </c>
      <c r="V3899">
        <v>2.3837540000000001E-3</v>
      </c>
      <c r="W3899">
        <v>2.5816740000000001E-2</v>
      </c>
      <c r="X3899">
        <v>0.99966379999999999</v>
      </c>
      <c r="Y3899">
        <v>0.19210730000000001</v>
      </c>
      <c r="Z3899">
        <v>8.7567329999999992E-3</v>
      </c>
      <c r="AA3899">
        <v>0.98133490000000001</v>
      </c>
      <c r="AB3899">
        <v>28</v>
      </c>
      <c r="AC3899">
        <v>-20.834199999999999</v>
      </c>
      <c r="AD3899">
        <v>-1.1098049999819899</v>
      </c>
      <c r="AE3899">
        <v>2.6158000000000001</v>
      </c>
      <c r="AF3899">
        <v>4.0787038886283504</v>
      </c>
      <c r="AG3899">
        <v>-1.1098049999819899</v>
      </c>
      <c r="AH3899">
        <v>20.538194254336702</v>
      </c>
      <c r="AI3899">
        <v>93.033901634957701</v>
      </c>
      <c r="AJ3899">
        <v>78.767704280026706</v>
      </c>
      <c r="AK3899">
        <v>20.968665092894302</v>
      </c>
      <c r="AL3899">
        <v>88.520645319082305</v>
      </c>
      <c r="AM3899">
        <v>89.863375282039101</v>
      </c>
      <c r="AN3899">
        <v>0.99999994968889805</v>
      </c>
    </row>
    <row r="3900" spans="1:40" x14ac:dyDescent="0.3">
      <c r="A3900" t="str">
        <f>"20200111160533850"</f>
        <v>20200111160533850</v>
      </c>
      <c r="B3900" t="str">
        <f>"1578729933845263"</f>
        <v>1578729933845263</v>
      </c>
      <c r="C3900" t="s">
        <v>40</v>
      </c>
      <c r="D3900">
        <v>5.5982789999999998</v>
      </c>
      <c r="E3900">
        <v>0.59450409999999998</v>
      </c>
      <c r="F3900" t="s">
        <v>41</v>
      </c>
      <c r="G3900">
        <v>-257.92939999999999</v>
      </c>
      <c r="H3900" s="1">
        <v>-1.9764190000000001E-6</v>
      </c>
      <c r="I3900">
        <v>143.7722</v>
      </c>
      <c r="J3900">
        <v>-242.51179999999999</v>
      </c>
      <c r="K3900">
        <v>1.1097950000000001</v>
      </c>
      <c r="L3900">
        <v>141.29900000000001</v>
      </c>
      <c r="M3900">
        <v>-0.99743499999999996</v>
      </c>
      <c r="N3900">
        <v>0</v>
      </c>
      <c r="O3900">
        <v>-7.1078669999999997E-2</v>
      </c>
      <c r="P3900">
        <v>-0.99748749999999997</v>
      </c>
      <c r="Q3900">
        <v>1.7362209999999999E-2</v>
      </c>
      <c r="R3900">
        <v>-6.8688070000000004E-2</v>
      </c>
      <c r="S3900">
        <v>-3.0440520000000002</v>
      </c>
      <c r="T3900">
        <v>-0.21516350000000001</v>
      </c>
      <c r="U3900">
        <v>0.47557070000000001</v>
      </c>
      <c r="V3900">
        <v>2.3894210000000001E-3</v>
      </c>
      <c r="W3900">
        <v>2.5821509999999999E-2</v>
      </c>
      <c r="X3900">
        <v>0.99966370000000004</v>
      </c>
      <c r="Y3900">
        <v>0.2234768</v>
      </c>
      <c r="Z3900">
        <v>1.2832400000000001E-2</v>
      </c>
      <c r="AA3900">
        <v>0.97462479999999996</v>
      </c>
      <c r="AB3900">
        <v>28</v>
      </c>
      <c r="AC3900">
        <v>-15.417599999999901</v>
      </c>
      <c r="AD3900">
        <v>-1.1097969764190001</v>
      </c>
      <c r="AE3900">
        <v>2.4731999999999901</v>
      </c>
      <c r="AF3900">
        <v>3.54493844708223</v>
      </c>
      <c r="AG3900">
        <v>-1.1097969764190001</v>
      </c>
      <c r="AH3900">
        <v>15.1263928551706</v>
      </c>
      <c r="AI3900">
        <v>94.085860692610098</v>
      </c>
      <c r="AJ3900">
        <v>76.810501931581499</v>
      </c>
      <c r="AK3900">
        <v>15.5758145447173</v>
      </c>
      <c r="AL3900">
        <v>88.520371981397304</v>
      </c>
      <c r="AM3900">
        <v>89.863050465809096</v>
      </c>
      <c r="AN3900">
        <v>0.99999998640454202</v>
      </c>
    </row>
    <row r="3901" spans="1:40" x14ac:dyDescent="0.3">
      <c r="A3901" t="str">
        <f>"20200111160533871"</f>
        <v>20200111160533871</v>
      </c>
      <c r="B3901" t="str">
        <f>"1578729933865759"</f>
        <v>1578729933865759</v>
      </c>
      <c r="C3901" t="s">
        <v>40</v>
      </c>
      <c r="D3901">
        <v>5.592276</v>
      </c>
      <c r="E3901">
        <v>0.59643749999999995</v>
      </c>
      <c r="F3901" t="s">
        <v>41</v>
      </c>
      <c r="G3901">
        <v>-256.79360000000003</v>
      </c>
      <c r="H3901" s="1">
        <v>-2.458138E-6</v>
      </c>
      <c r="I3901">
        <v>143.75139999999999</v>
      </c>
      <c r="J3901">
        <v>-242.79660000000001</v>
      </c>
      <c r="K3901">
        <v>1.1097900000000001</v>
      </c>
      <c r="L3901">
        <v>141.27869999999999</v>
      </c>
      <c r="M3901">
        <v>-0.99743479999999995</v>
      </c>
      <c r="N3901">
        <v>0</v>
      </c>
      <c r="O3901">
        <v>-7.1079050000000005E-2</v>
      </c>
      <c r="P3901">
        <v>-0.99748000000000003</v>
      </c>
      <c r="Q3901">
        <v>1.708498E-2</v>
      </c>
      <c r="R3901">
        <v>-6.8860870000000005E-2</v>
      </c>
      <c r="S3901">
        <v>-3.0477289999999999</v>
      </c>
      <c r="T3901">
        <v>-0.23683180000000001</v>
      </c>
      <c r="U3901">
        <v>0.52336119999999997</v>
      </c>
      <c r="V3901">
        <v>2.2167580000000001E-3</v>
      </c>
      <c r="W3901">
        <v>2.5550750000000001E-2</v>
      </c>
      <c r="X3901">
        <v>0.99967099999999998</v>
      </c>
      <c r="Y3901">
        <v>0.23796500000000001</v>
      </c>
      <c r="Z3901">
        <v>1.464536E-2</v>
      </c>
      <c r="AA3901">
        <v>0.97116329999999995</v>
      </c>
      <c r="AB3901">
        <v>28</v>
      </c>
      <c r="AC3901">
        <v>-13.997</v>
      </c>
      <c r="AD3901">
        <v>-1.1097924581380001</v>
      </c>
      <c r="AE3901">
        <v>2.4727000000000001</v>
      </c>
      <c r="AF3901">
        <v>3.4404006392364899</v>
      </c>
      <c r="AG3901">
        <v>-1.1097924581380001</v>
      </c>
      <c r="AH3901">
        <v>13.702297719367399</v>
      </c>
      <c r="AI3901">
        <v>94.491638628730698</v>
      </c>
      <c r="AJ3901">
        <v>75.9054228058544</v>
      </c>
      <c r="AK3901">
        <v>14.1711311704035</v>
      </c>
      <c r="AL3901">
        <v>88.535890426803604</v>
      </c>
      <c r="AM3901">
        <v>89.872947530316395</v>
      </c>
      <c r="AN3901">
        <v>0.99999993154129396</v>
      </c>
    </row>
    <row r="3902" spans="1:40" x14ac:dyDescent="0.3">
      <c r="A3902" t="str">
        <f>"20200111160533894"</f>
        <v>20200111160533894</v>
      </c>
      <c r="B3902" t="str">
        <f>"1578729933885215"</f>
        <v>1578729933885215</v>
      </c>
      <c r="C3902" t="s">
        <v>40</v>
      </c>
      <c r="D3902">
        <v>5.5853599999999997</v>
      </c>
      <c r="E3902">
        <v>0.597670699999999</v>
      </c>
      <c r="F3902" t="s">
        <v>41</v>
      </c>
      <c r="G3902">
        <v>-256.60289999999998</v>
      </c>
      <c r="H3902" s="1">
        <v>-2.5297390000000001E-6</v>
      </c>
      <c r="I3902">
        <v>143.71299999999999</v>
      </c>
      <c r="J3902">
        <v>-243.08860000000001</v>
      </c>
      <c r="K3902">
        <v>1.109785</v>
      </c>
      <c r="L3902">
        <v>141.25790000000001</v>
      </c>
      <c r="M3902">
        <v>-0.99743459999999995</v>
      </c>
      <c r="N3902">
        <v>0</v>
      </c>
      <c r="O3902">
        <v>-7.1079439999999994E-2</v>
      </c>
      <c r="P3902">
        <v>-0.99746939999999995</v>
      </c>
      <c r="Q3902">
        <v>1.739632E-2</v>
      </c>
      <c r="R3902">
        <v>-6.8935490000000002E-2</v>
      </c>
      <c r="S3902">
        <v>-3.048889</v>
      </c>
      <c r="T3902">
        <v>-0.24508070000000001</v>
      </c>
      <c r="U3902">
        <v>0.53759769999999996</v>
      </c>
      <c r="V3902">
        <v>2.1418750000000001E-3</v>
      </c>
      <c r="W3902">
        <v>2.586917E-2</v>
      </c>
      <c r="X3902">
        <v>0.99966310000000003</v>
      </c>
      <c r="Y3902">
        <v>0.24222689999999999</v>
      </c>
      <c r="Z3902">
        <v>1.531221E-2</v>
      </c>
      <c r="AA3902">
        <v>0.97009880000000004</v>
      </c>
      <c r="AB3902">
        <v>28</v>
      </c>
      <c r="AC3902">
        <v>-13.514299999999899</v>
      </c>
      <c r="AD3902">
        <v>-1.1097875297390001</v>
      </c>
      <c r="AE3902">
        <v>2.4550999999999799</v>
      </c>
      <c r="AF3902">
        <v>3.3873996903793002</v>
      </c>
      <c r="AG3902">
        <v>-1.1097875297390001</v>
      </c>
      <c r="AH3902">
        <v>13.2193040542291</v>
      </c>
      <c r="AI3902">
        <v>94.649319557971197</v>
      </c>
      <c r="AJ3902">
        <v>75.627412365593798</v>
      </c>
      <c r="AK3902">
        <v>13.6914610141396</v>
      </c>
      <c r="AL3902">
        <v>88.517640457493599</v>
      </c>
      <c r="AM3902">
        <v>89.877238431674201</v>
      </c>
      <c r="AN3902">
        <v>1.0000000575432999</v>
      </c>
    </row>
    <row r="3903" spans="1:40" x14ac:dyDescent="0.3">
      <c r="A3903" t="str">
        <f>"20200111160533916"</f>
        <v>20200111160533916</v>
      </c>
      <c r="B3903" t="str">
        <f>"1578729933905724"</f>
        <v>1578729933905724</v>
      </c>
      <c r="C3903" t="s">
        <v>40</v>
      </c>
      <c r="D3903">
        <v>5.6285629999999998</v>
      </c>
      <c r="E3903">
        <v>0.59856299999999996</v>
      </c>
      <c r="F3903" t="s">
        <v>41</v>
      </c>
      <c r="G3903">
        <v>-256.68529999999998</v>
      </c>
      <c r="H3903" s="1">
        <v>-2.4894470000000001E-6</v>
      </c>
      <c r="I3903">
        <v>143.69450000000001</v>
      </c>
      <c r="J3903">
        <v>-243.35400000000001</v>
      </c>
      <c r="K3903">
        <v>1.1097919999999999</v>
      </c>
      <c r="L3903">
        <v>141.239</v>
      </c>
      <c r="M3903">
        <v>-0.99743470000000001</v>
      </c>
      <c r="N3903">
        <v>0</v>
      </c>
      <c r="O3903">
        <v>-7.1079110000000001E-2</v>
      </c>
      <c r="P3903">
        <v>-0.99748729999999997</v>
      </c>
      <c r="Q3903">
        <v>1.7956179999999999E-2</v>
      </c>
      <c r="R3903">
        <v>-6.8531330000000001E-2</v>
      </c>
      <c r="S3903">
        <v>-3.0497130000000001</v>
      </c>
      <c r="T3903">
        <v>-0.24892410000000001</v>
      </c>
      <c r="U3903">
        <v>0.54652400000000001</v>
      </c>
      <c r="V3903">
        <v>2.546006E-3</v>
      </c>
      <c r="W3903">
        <v>2.6434510000000001E-2</v>
      </c>
      <c r="X3903">
        <v>0.99964730000000002</v>
      </c>
      <c r="Y3903">
        <v>0.2448948</v>
      </c>
      <c r="Z3903">
        <v>1.5651470000000001E-2</v>
      </c>
      <c r="AA3903">
        <v>0.96942329999999999</v>
      </c>
      <c r="AB3903">
        <v>28</v>
      </c>
      <c r="AC3903">
        <v>-13.331299999999899</v>
      </c>
      <c r="AD3903">
        <v>-1.109794489447</v>
      </c>
      <c r="AE3903">
        <v>2.4554999999999998</v>
      </c>
      <c r="AF3903">
        <v>3.3742829123631402</v>
      </c>
      <c r="AG3903">
        <v>-1.109794489447</v>
      </c>
      <c r="AH3903">
        <v>13.035663148437999</v>
      </c>
      <c r="AI3903">
        <v>94.711602932964297</v>
      </c>
      <c r="AJ3903">
        <v>75.487512871870706</v>
      </c>
      <c r="AK3903">
        <v>13.5109563947567</v>
      </c>
      <c r="AL3903">
        <v>88.485237685778003</v>
      </c>
      <c r="AM3903">
        <v>89.854073448706799</v>
      </c>
      <c r="AN3903">
        <v>0.99999999493139102</v>
      </c>
    </row>
    <row r="3904" spans="1:40" x14ac:dyDescent="0.3">
      <c r="A3904" t="str">
        <f>"20200111160533940"</f>
        <v>20200111160533940</v>
      </c>
      <c r="B3904" t="str">
        <f>"1578729933935966"</f>
        <v>1578729933935966</v>
      </c>
      <c r="C3904" t="s">
        <v>40</v>
      </c>
      <c r="D3904">
        <v>5.6506959999999999</v>
      </c>
      <c r="E3904">
        <v>0.60716289999999995</v>
      </c>
      <c r="F3904" t="s">
        <v>41</v>
      </c>
      <c r="G3904">
        <v>-256.94720000000001</v>
      </c>
      <c r="H3904" s="1">
        <v>-2.38144E-6</v>
      </c>
      <c r="I3904">
        <v>143.71090000000001</v>
      </c>
      <c r="J3904">
        <v>-243.6455</v>
      </c>
      <c r="K3904">
        <v>1.109799</v>
      </c>
      <c r="L3904">
        <v>141.2182</v>
      </c>
      <c r="M3904">
        <v>-0.99743519999999997</v>
      </c>
      <c r="N3904">
        <v>0</v>
      </c>
      <c r="O3904">
        <v>-7.1071709999999996E-2</v>
      </c>
      <c r="P3904">
        <v>-0.99748559999999997</v>
      </c>
      <c r="Q3904">
        <v>1.908458E-2</v>
      </c>
      <c r="R3904">
        <v>-6.8250939999999996E-2</v>
      </c>
      <c r="S3904">
        <v>-3.050125</v>
      </c>
      <c r="T3904">
        <v>-0.2490222</v>
      </c>
      <c r="U3904">
        <v>0.55467219999999995</v>
      </c>
      <c r="V3904">
        <v>2.818484E-3</v>
      </c>
      <c r="W3904">
        <v>2.7569920000000001E-2</v>
      </c>
      <c r="X3904">
        <v>0.9996159</v>
      </c>
      <c r="Y3904">
        <v>0.24736420000000001</v>
      </c>
      <c r="Z3904">
        <v>1.575124E-2</v>
      </c>
      <c r="AA3904">
        <v>0.9687945</v>
      </c>
      <c r="AB3904">
        <v>28</v>
      </c>
      <c r="AC3904">
        <v>-13.3017</v>
      </c>
      <c r="AD3904">
        <v>-1.1098013814399901</v>
      </c>
      <c r="AE3904">
        <v>2.4927000000000099</v>
      </c>
      <c r="AF3904">
        <v>3.4088801365888002</v>
      </c>
      <c r="AG3904">
        <v>-1.1098013814399901</v>
      </c>
      <c r="AH3904">
        <v>13.003446528780801</v>
      </c>
      <c r="AI3904">
        <v>94.719466758968693</v>
      </c>
      <c r="AJ3904">
        <v>75.310348711635598</v>
      </c>
      <c r="AK3904">
        <v>13.4885782986472</v>
      </c>
      <c r="AL3904">
        <v>88.420159753390095</v>
      </c>
      <c r="AM3904">
        <v>89.838451139194305</v>
      </c>
      <c r="AN3904">
        <v>0.99999999593683697</v>
      </c>
    </row>
    <row r="3905" spans="1:40" x14ac:dyDescent="0.3">
      <c r="A3905" t="str">
        <f>"20200111160533963"</f>
        <v>20200111160533963</v>
      </c>
      <c r="B3905" t="str">
        <f>"1578729933955485"</f>
        <v>1578729933955485</v>
      </c>
      <c r="C3905" t="s">
        <v>40</v>
      </c>
      <c r="D3905">
        <v>5.9185699999999999</v>
      </c>
      <c r="E3905">
        <v>0.60774300000000003</v>
      </c>
      <c r="F3905" t="s">
        <v>77</v>
      </c>
      <c r="G3905">
        <v>-346.1644</v>
      </c>
      <c r="H3905">
        <v>2.9733179999999999</v>
      </c>
      <c r="I3905">
        <v>163.0926</v>
      </c>
      <c r="J3905">
        <v>-243.93950000000001</v>
      </c>
      <c r="K3905">
        <v>1.1097950000000001</v>
      </c>
      <c r="L3905">
        <v>141.19730000000001</v>
      </c>
      <c r="M3905">
        <v>-0.99743689999999996</v>
      </c>
      <c r="N3905">
        <v>0</v>
      </c>
      <c r="O3905">
        <v>-7.1046590000000007E-2</v>
      </c>
      <c r="P3905">
        <v>-0.99749540000000003</v>
      </c>
      <c r="Q3905">
        <v>1.9310709999999998E-2</v>
      </c>
      <c r="R3905">
        <v>-6.8044709999999994E-2</v>
      </c>
      <c r="S3905">
        <v>-3.0510410000000001</v>
      </c>
      <c r="T3905">
        <v>5.5461410000000003E-2</v>
      </c>
      <c r="U3905">
        <v>0.65100100000000005</v>
      </c>
      <c r="V3905">
        <v>3.0004810000000002E-3</v>
      </c>
      <c r="W3905">
        <v>2.7802520000000001E-2</v>
      </c>
      <c r="X3905">
        <v>0.99960890000000002</v>
      </c>
      <c r="Y3905">
        <v>0.27757530000000002</v>
      </c>
      <c r="Z3905">
        <v>-3.7732249999999998E-3</v>
      </c>
      <c r="AA3905">
        <v>0.96069649999999995</v>
      </c>
      <c r="AB3905">
        <v>28</v>
      </c>
      <c r="AC3905">
        <v>-102.22490000000001</v>
      </c>
      <c r="AD3905">
        <v>1.863523</v>
      </c>
      <c r="AE3905">
        <v>21.895299999999899</v>
      </c>
      <c r="AF3905">
        <v>29.0937143028736</v>
      </c>
      <c r="AG3905">
        <v>1.863523</v>
      </c>
      <c r="AH3905">
        <v>100.37902172820699</v>
      </c>
      <c r="AI3905">
        <v>88.978466802061902</v>
      </c>
      <c r="AJ3905">
        <v>73.836371939400195</v>
      </c>
      <c r="AK3905">
        <v>104.526862255693</v>
      </c>
      <c r="AL3905">
        <v>88.406827599753697</v>
      </c>
      <c r="AM3905">
        <v>89.828018356481095</v>
      </c>
      <c r="AN3905">
        <v>0.99999996798189505</v>
      </c>
    </row>
    <row r="3906" spans="1:40" x14ac:dyDescent="0.3">
      <c r="A3906" t="str">
        <f>"20200111160533984"</f>
        <v>20200111160533984</v>
      </c>
      <c r="B3906" t="str">
        <f>"1578729933975981"</f>
        <v>1578729933975981</v>
      </c>
      <c r="C3906" t="s">
        <v>40</v>
      </c>
      <c r="D3906">
        <v>5.5996800000000002</v>
      </c>
      <c r="E3906">
        <v>0.60706260000000001</v>
      </c>
      <c r="F3906" t="s">
        <v>77</v>
      </c>
      <c r="G3906">
        <v>-346.07490000000001</v>
      </c>
      <c r="H3906">
        <v>1.9079520000000001</v>
      </c>
      <c r="I3906">
        <v>163.0625</v>
      </c>
      <c r="J3906">
        <v>-244.2141</v>
      </c>
      <c r="K3906">
        <v>1.109777</v>
      </c>
      <c r="L3906">
        <v>141.17779999999999</v>
      </c>
      <c r="M3906">
        <v>-0.99744069999999996</v>
      </c>
      <c r="N3906">
        <v>0</v>
      </c>
      <c r="O3906">
        <v>-7.0990380000000006E-2</v>
      </c>
      <c r="P3906">
        <v>-0.99747070000000004</v>
      </c>
      <c r="Q3906">
        <v>2.0078740000000001E-2</v>
      </c>
      <c r="R3906">
        <v>-6.8183960000000002E-2</v>
      </c>
      <c r="S3906">
        <v>-3.051666</v>
      </c>
      <c r="T3906">
        <v>2.3849490000000001E-2</v>
      </c>
      <c r="U3906">
        <v>0.65330509999999997</v>
      </c>
      <c r="V3906">
        <v>2.8048550000000002E-3</v>
      </c>
      <c r="W3906">
        <v>2.8576600000000001E-2</v>
      </c>
      <c r="X3906">
        <v>0.99958769999999997</v>
      </c>
      <c r="Y3906">
        <v>0.27821970000000001</v>
      </c>
      <c r="Z3906">
        <v>-1.624272E-3</v>
      </c>
      <c r="AA3906">
        <v>0.96051609999999998</v>
      </c>
      <c r="AB3906">
        <v>28</v>
      </c>
      <c r="AC3906">
        <v>-101.8608</v>
      </c>
      <c r="AD3906">
        <v>0.79817499999999997</v>
      </c>
      <c r="AE3906">
        <v>21.884699999999999</v>
      </c>
      <c r="AF3906">
        <v>29.0591740800803</v>
      </c>
      <c r="AG3906">
        <v>0.79817499999999997</v>
      </c>
      <c r="AH3906">
        <v>100.04425529744201</v>
      </c>
      <c r="AI3906">
        <v>89.561033296036697</v>
      </c>
      <c r="AJ3906">
        <v>73.803363671435804</v>
      </c>
      <c r="AK3906">
        <v>104.18217553673399</v>
      </c>
      <c r="AL3906">
        <v>88.362458548697902</v>
      </c>
      <c r="AM3906">
        <v>89.839227781750907</v>
      </c>
      <c r="AN3906">
        <v>1.0000000296352101</v>
      </c>
    </row>
    <row r="3907" spans="1:40" x14ac:dyDescent="0.3">
      <c r="A3907" t="str">
        <f>"20200111160534009"</f>
        <v>20200111160534009</v>
      </c>
      <c r="B3907" t="str">
        <f>"1578729934005262"</f>
        <v>1578729934005262</v>
      </c>
      <c r="C3907" t="s">
        <v>40</v>
      </c>
      <c r="D3907">
        <v>5.602735</v>
      </c>
      <c r="E3907">
        <v>0.60662749999999999</v>
      </c>
      <c r="F3907" t="s">
        <v>75</v>
      </c>
      <c r="G3907">
        <v>-306.11750000000001</v>
      </c>
      <c r="H3907" s="1">
        <v>-1.326545E-5</v>
      </c>
      <c r="I3907">
        <v>154.16569999999999</v>
      </c>
      <c r="J3907">
        <v>-244.52080000000001</v>
      </c>
      <c r="K3907">
        <v>1.1097440000000001</v>
      </c>
      <c r="L3907">
        <v>141.15600000000001</v>
      </c>
      <c r="M3907">
        <v>-0.99744929999999998</v>
      </c>
      <c r="N3907">
        <v>0</v>
      </c>
      <c r="O3907">
        <v>-7.0869749999999995E-2</v>
      </c>
      <c r="P3907">
        <v>-0.99747589999999997</v>
      </c>
      <c r="Q3907">
        <v>2.0506139999999999E-2</v>
      </c>
      <c r="R3907">
        <v>-6.7982479999999998E-2</v>
      </c>
      <c r="S3907">
        <v>-3.0524900000000001</v>
      </c>
      <c r="T3907">
        <v>-5.4724340000000003E-2</v>
      </c>
      <c r="U3907">
        <v>0.64044190000000001</v>
      </c>
      <c r="V3907">
        <v>2.8881509999999998E-3</v>
      </c>
      <c r="W3907">
        <v>2.901082E-2</v>
      </c>
      <c r="X3907">
        <v>0.99957490000000004</v>
      </c>
      <c r="Y3907">
        <v>0.27413120000000002</v>
      </c>
      <c r="Z3907">
        <v>3.688958E-3</v>
      </c>
      <c r="AA3907">
        <v>0.96168520000000002</v>
      </c>
      <c r="AB3907">
        <v>28</v>
      </c>
      <c r="AC3907">
        <v>-61.596699999999998</v>
      </c>
      <c r="AD3907">
        <v>-1.1097572654500001</v>
      </c>
      <c r="AE3907">
        <v>13.009699999999899</v>
      </c>
      <c r="AF3907">
        <v>17.337099248761401</v>
      </c>
      <c r="AG3907">
        <v>-1.1097572654500001</v>
      </c>
      <c r="AH3907">
        <v>60.500981478212402</v>
      </c>
      <c r="AI3907">
        <v>91.010197491363996</v>
      </c>
      <c r="AJ3907">
        <v>74.009869563537293</v>
      </c>
      <c r="AK3907">
        <v>62.9458126595934</v>
      </c>
      <c r="AL3907">
        <v>88.337569165124606</v>
      </c>
      <c r="AM3907">
        <v>89.834451222816796</v>
      </c>
      <c r="AN3907">
        <v>0.99999997490164005</v>
      </c>
    </row>
    <row r="3908" spans="1:40" x14ac:dyDescent="0.3">
      <c r="A3908" t="str">
        <f>"20200111160534028"</f>
        <v>20200111160534028</v>
      </c>
      <c r="B3908" t="str">
        <f>"1578729934025758"</f>
        <v>1578729934025758</v>
      </c>
      <c r="C3908" t="s">
        <v>40</v>
      </c>
      <c r="D3908">
        <v>6.1621810000000004</v>
      </c>
      <c r="E3908">
        <v>0.60651929999999998</v>
      </c>
      <c r="F3908" t="s">
        <v>41</v>
      </c>
      <c r="G3908">
        <v>-274.51690000000002</v>
      </c>
      <c r="H3908" s="1">
        <v>-4.1144069999999999E-6</v>
      </c>
      <c r="I3908">
        <v>147.37049999999999</v>
      </c>
      <c r="J3908">
        <v>-244.77709999999999</v>
      </c>
      <c r="K3908">
        <v>1.109712</v>
      </c>
      <c r="L3908">
        <v>141.1379</v>
      </c>
      <c r="M3908">
        <v>-0.9974594</v>
      </c>
      <c r="N3908">
        <v>0</v>
      </c>
      <c r="O3908">
        <v>-7.0727440000000003E-2</v>
      </c>
      <c r="P3908">
        <v>-0.99749270000000001</v>
      </c>
      <c r="Q3908">
        <v>2.0984389999999999E-2</v>
      </c>
      <c r="R3908">
        <v>-6.75867E-2</v>
      </c>
      <c r="S3908">
        <v>-3.0530240000000002</v>
      </c>
      <c r="T3908">
        <v>-0.112951</v>
      </c>
      <c r="U3908">
        <v>0.63252259999999905</v>
      </c>
      <c r="V3908">
        <v>3.1441519999999999E-3</v>
      </c>
      <c r="W3908">
        <v>2.9494119999999999E-2</v>
      </c>
      <c r="X3908">
        <v>0.99956</v>
      </c>
      <c r="Y3908">
        <v>0.27139679999999999</v>
      </c>
      <c r="Z3908">
        <v>7.5574589999999999E-3</v>
      </c>
      <c r="AA3908">
        <v>0.96243789999999996</v>
      </c>
      <c r="AB3908">
        <v>28</v>
      </c>
      <c r="AC3908">
        <v>-29.739799999999999</v>
      </c>
      <c r="AD3908">
        <v>-1.109716114407</v>
      </c>
      <c r="AE3908">
        <v>6.2325999999999899</v>
      </c>
      <c r="AF3908">
        <v>8.3094036565163893</v>
      </c>
      <c r="AG3908">
        <v>-1.109716114407</v>
      </c>
      <c r="AH3908">
        <v>29.185558015960499</v>
      </c>
      <c r="AI3908">
        <v>92.094345108209495</v>
      </c>
      <c r="AJ3908">
        <v>74.107846874437797</v>
      </c>
      <c r="AK3908">
        <v>30.365678910317499</v>
      </c>
      <c r="AL3908">
        <v>88.309866286157501</v>
      </c>
      <c r="AM3908">
        <v>89.819774655244601</v>
      </c>
      <c r="AN3908">
        <v>0.99999999120318595</v>
      </c>
    </row>
    <row r="3909" spans="1:40" x14ac:dyDescent="0.3">
      <c r="A3909" t="str">
        <f>"20200111160534050"</f>
        <v>20200111160534050</v>
      </c>
      <c r="B3909" t="str">
        <f>"1578729934045277"</f>
        <v>1578729934045277</v>
      </c>
      <c r="C3909" t="s">
        <v>40</v>
      </c>
      <c r="D3909">
        <v>5.3140349999999996</v>
      </c>
      <c r="E3909">
        <v>0.55839539999999999</v>
      </c>
      <c r="F3909" t="s">
        <v>41</v>
      </c>
      <c r="G3909">
        <v>-272.03910000000002</v>
      </c>
      <c r="H3909" s="1">
        <v>-4.852855E-6</v>
      </c>
      <c r="I3909">
        <v>146.7799</v>
      </c>
      <c r="J3909">
        <v>-245.0522</v>
      </c>
      <c r="K3909">
        <v>1.1096729999999999</v>
      </c>
      <c r="L3909">
        <v>141.11859999999999</v>
      </c>
      <c r="M3909">
        <v>-0.99747470000000005</v>
      </c>
      <c r="N3909">
        <v>0</v>
      </c>
      <c r="O3909">
        <v>-7.0510039999999996E-2</v>
      </c>
      <c r="P3909">
        <v>-0.99750050000000001</v>
      </c>
      <c r="Q3909">
        <v>2.1458970000000001E-2</v>
      </c>
      <c r="R3909">
        <v>-6.7321690000000003E-2</v>
      </c>
      <c r="S3909">
        <v>-3.0529630000000001</v>
      </c>
      <c r="T3909">
        <v>-0.1242733</v>
      </c>
      <c r="U3909">
        <v>0.63183590000000001</v>
      </c>
      <c r="V3909">
        <v>3.1947550000000001E-3</v>
      </c>
      <c r="W3909">
        <v>2.9974560000000001E-2</v>
      </c>
      <c r="X3909">
        <v>0.99954560000000003</v>
      </c>
      <c r="Y3909">
        <v>0.27093630000000002</v>
      </c>
      <c r="Z3909">
        <v>8.2967459999999903E-3</v>
      </c>
      <c r="AA3909">
        <v>0.96256149999999996</v>
      </c>
      <c r="AB3909">
        <v>29</v>
      </c>
      <c r="AC3909">
        <v>-26.986899999999999</v>
      </c>
      <c r="AD3909">
        <v>-1.109677852855</v>
      </c>
      <c r="AE3909">
        <v>5.6613000000000104</v>
      </c>
      <c r="AF3909">
        <v>7.5379170812565901</v>
      </c>
      <c r="AG3909">
        <v>-1.109677852855</v>
      </c>
      <c r="AH3909">
        <v>26.4776527535596</v>
      </c>
      <c r="AI3909">
        <v>92.308248078071202</v>
      </c>
      <c r="AJ3909">
        <v>74.108888561623303</v>
      </c>
      <c r="AK3909">
        <v>27.552090196555</v>
      </c>
      <c r="AL3909">
        <v>88.282327014462297</v>
      </c>
      <c r="AM3909">
        <v>89.816871431613095</v>
      </c>
      <c r="AN3909">
        <v>1.0000000435930301</v>
      </c>
    </row>
    <row r="3910" spans="1:40" x14ac:dyDescent="0.3">
      <c r="A3910" t="str">
        <f>"20200111160534073"</f>
        <v>20200111160534073</v>
      </c>
      <c r="B3910" t="str">
        <f>"1578729934065773"</f>
        <v>1578729934065773</v>
      </c>
      <c r="C3910" t="s">
        <v>40</v>
      </c>
      <c r="D3910">
        <v>5.7537880000000001</v>
      </c>
      <c r="E3910">
        <v>0.54340359999999999</v>
      </c>
      <c r="F3910" t="s">
        <v>78</v>
      </c>
      <c r="G3910">
        <v>-470.36399999999998</v>
      </c>
      <c r="H3910">
        <v>9.1521419999999996</v>
      </c>
      <c r="I3910">
        <v>161.09299999999999</v>
      </c>
      <c r="J3910">
        <v>-245.35740000000001</v>
      </c>
      <c r="K3910">
        <v>1.1095930000000001</v>
      </c>
      <c r="L3910">
        <v>141.09739999999999</v>
      </c>
      <c r="M3910">
        <v>-0.99750079999999997</v>
      </c>
      <c r="N3910">
        <v>0</v>
      </c>
      <c r="O3910">
        <v>-7.0140720000000004E-2</v>
      </c>
      <c r="P3910">
        <v>-0.99754540000000003</v>
      </c>
      <c r="Q3910">
        <v>2.2487610000000002E-2</v>
      </c>
      <c r="R3910">
        <v>-6.6316559999999997E-2</v>
      </c>
      <c r="S3910">
        <v>-3.023285</v>
      </c>
      <c r="T3910">
        <v>0.1079156</v>
      </c>
      <c r="U3910">
        <v>0.268020599999999</v>
      </c>
      <c r="V3910">
        <v>3.8366709999999998E-3</v>
      </c>
      <c r="W3910">
        <v>3.10093E-2</v>
      </c>
      <c r="X3910">
        <v>0.9995117</v>
      </c>
      <c r="Y3910">
        <v>0.15781329999999999</v>
      </c>
      <c r="Z3910">
        <v>-5.3086189999999997E-3</v>
      </c>
      <c r="AA3910">
        <v>0.98745470000000002</v>
      </c>
      <c r="AB3910">
        <v>29</v>
      </c>
      <c r="AC3910">
        <v>-225.00659999999999</v>
      </c>
      <c r="AD3910">
        <v>8.0425489999999993</v>
      </c>
      <c r="AE3910">
        <v>19.9956</v>
      </c>
      <c r="AF3910">
        <v>35.683813300983097</v>
      </c>
      <c r="AG3910">
        <v>8.0425489999999993</v>
      </c>
      <c r="AH3910">
        <v>222.76745700704001</v>
      </c>
      <c r="AI3910">
        <v>87.958359630565994</v>
      </c>
      <c r="AJ3910">
        <v>80.899436334681894</v>
      </c>
      <c r="AK3910">
        <v>225.750652330176</v>
      </c>
      <c r="AL3910">
        <v>88.223013064237307</v>
      </c>
      <c r="AM3910">
        <v>89.780068631488604</v>
      </c>
      <c r="AN3910">
        <v>0.99999996758387</v>
      </c>
    </row>
    <row r="3911" spans="1:40" x14ac:dyDescent="0.3">
      <c r="A3911" t="str">
        <f>"20200111160534096"</f>
        <v>20200111160534096</v>
      </c>
      <c r="B3911" t="str">
        <f>"1578729934085292"</f>
        <v>1578729934085292</v>
      </c>
      <c r="C3911" t="s">
        <v>40</v>
      </c>
      <c r="D3911">
        <v>5.6857389999999999</v>
      </c>
      <c r="E3911">
        <v>0.53523739999999997</v>
      </c>
      <c r="F3911" t="s">
        <v>66</v>
      </c>
      <c r="G3911">
        <v>-510.17570000000001</v>
      </c>
      <c r="H3911">
        <v>5.9884930000000001</v>
      </c>
      <c r="I3911">
        <v>153.97329999999999</v>
      </c>
      <c r="J3911">
        <v>-245.63589999999999</v>
      </c>
      <c r="K3911">
        <v>1.109475</v>
      </c>
      <c r="L3911">
        <v>141.07820000000001</v>
      </c>
      <c r="M3911">
        <v>-0.99753590000000003</v>
      </c>
      <c r="N3911">
        <v>0</v>
      </c>
      <c r="O3911">
        <v>-6.9639179999999995E-2</v>
      </c>
      <c r="P3911">
        <v>-0.99762510000000004</v>
      </c>
      <c r="Q3911">
        <v>2.2730920000000002E-2</v>
      </c>
      <c r="R3911">
        <v>-6.5022839999999998E-2</v>
      </c>
      <c r="S3911">
        <v>-3.0158839999999998</v>
      </c>
      <c r="T3911">
        <v>5.5563809999999998E-2</v>
      </c>
      <c r="U3911">
        <v>0.14663699999999999</v>
      </c>
      <c r="V3911">
        <v>4.6384679999999998E-3</v>
      </c>
      <c r="W3911">
        <v>3.1257609999999998E-2</v>
      </c>
      <c r="X3911">
        <v>0.99950059999999996</v>
      </c>
      <c r="Y3911">
        <v>0.117974</v>
      </c>
      <c r="Z3911">
        <v>-2.3679840000000001E-3</v>
      </c>
      <c r="AA3911">
        <v>0.9930139</v>
      </c>
      <c r="AB3911">
        <v>29</v>
      </c>
      <c r="AC3911">
        <v>-264.53980000000001</v>
      </c>
      <c r="AD3911">
        <v>4.8790180000000003</v>
      </c>
      <c r="AE3911">
        <v>12.8950999999999</v>
      </c>
      <c r="AF3911">
        <v>31.276180625443899</v>
      </c>
      <c r="AG3911">
        <v>4.8790180000000003</v>
      </c>
      <c r="AH3911">
        <v>262.91025941186598</v>
      </c>
      <c r="AI3911">
        <v>88.944284546188598</v>
      </c>
      <c r="AJ3911">
        <v>83.215894690830297</v>
      </c>
      <c r="AK3911">
        <v>264.809004369516</v>
      </c>
      <c r="AL3911">
        <v>88.208779109339702</v>
      </c>
      <c r="AM3911">
        <v>89.734104479860804</v>
      </c>
      <c r="AN3911">
        <v>1.00000000148432</v>
      </c>
    </row>
    <row r="3912" spans="1:40" x14ac:dyDescent="0.3">
      <c r="A3912" t="str">
        <f>"20200111160534118"</f>
        <v>20200111160534118</v>
      </c>
      <c r="B3912" t="str">
        <f>"1578729934115549"</f>
        <v>1578729934115549</v>
      </c>
      <c r="C3912" t="s">
        <v>40</v>
      </c>
      <c r="D3912">
        <v>5.6271279999999999</v>
      </c>
      <c r="E3912">
        <v>0.52952809999999995</v>
      </c>
      <c r="F3912" t="s">
        <v>75</v>
      </c>
      <c r="G3912">
        <v>-417.4314</v>
      </c>
      <c r="H3912" s="1">
        <v>-1.211245E-5</v>
      </c>
      <c r="I3912">
        <v>145.57320000000001</v>
      </c>
      <c r="J3912">
        <v>-245.92599999999999</v>
      </c>
      <c r="K3912">
        <v>1.1093120000000001</v>
      </c>
      <c r="L3912">
        <v>141.05860000000001</v>
      </c>
      <c r="M3912">
        <v>-0.99758709999999995</v>
      </c>
      <c r="N3912">
        <v>0</v>
      </c>
      <c r="O3912">
        <v>-6.8897890000000003E-2</v>
      </c>
      <c r="P3912">
        <v>-0.9977028</v>
      </c>
      <c r="Q3912">
        <v>2.2034600000000001E-2</v>
      </c>
      <c r="R3912">
        <v>-6.4059669999999999E-2</v>
      </c>
      <c r="S3912">
        <v>-3.0127259999999998</v>
      </c>
      <c r="T3912">
        <v>-1.945674E-2</v>
      </c>
      <c r="U3912">
        <v>7.8826899999999894E-2</v>
      </c>
      <c r="V3912">
        <v>4.8728440000000003E-3</v>
      </c>
      <c r="W3912">
        <v>3.0568430000000001E-2</v>
      </c>
      <c r="X3912">
        <v>0.99952079999999999</v>
      </c>
      <c r="Y3912">
        <v>9.4966949999999994E-2</v>
      </c>
      <c r="Z3912">
        <v>7.5132809999999895E-4</v>
      </c>
      <c r="AA3912">
        <v>0.99548009999999998</v>
      </c>
      <c r="AB3912">
        <v>29</v>
      </c>
      <c r="AC3912">
        <v>-171.50540000000001</v>
      </c>
      <c r="AD3912">
        <v>-1.10932411245</v>
      </c>
      <c r="AE3912">
        <v>4.5145999999999997</v>
      </c>
      <c r="AF3912">
        <v>16.319980791633899</v>
      </c>
      <c r="AG3912">
        <v>-1.10932411245</v>
      </c>
      <c r="AH3912">
        <v>170.77962707432701</v>
      </c>
      <c r="AI3912">
        <v>90.370480178347293</v>
      </c>
      <c r="AJ3912">
        <v>84.5412975623818</v>
      </c>
      <c r="AK3912">
        <v>171.56122346460401</v>
      </c>
      <c r="AL3912">
        <v>88.248285096317403</v>
      </c>
      <c r="AM3912">
        <v>89.720674963884093</v>
      </c>
      <c r="AN3912">
        <v>1.0000000015769701</v>
      </c>
    </row>
    <row r="3913" spans="1:40" x14ac:dyDescent="0.3">
      <c r="A3913" t="str">
        <f>"20200111160534140"</f>
        <v>20200111160534140</v>
      </c>
      <c r="B3913" t="str">
        <f>"1578729934135069"</f>
        <v>1578729934135069</v>
      </c>
      <c r="C3913" t="s">
        <v>40</v>
      </c>
      <c r="D3913">
        <v>5.5971479999999998</v>
      </c>
      <c r="E3913">
        <v>0.52719059999999995</v>
      </c>
      <c r="F3913" t="s">
        <v>75</v>
      </c>
      <c r="G3913">
        <v>-287.16609999999997</v>
      </c>
      <c r="H3913" s="1">
        <v>-7.7951260000000004E-6</v>
      </c>
      <c r="I3913">
        <v>141.4836</v>
      </c>
      <c r="J3913">
        <v>-246.209</v>
      </c>
      <c r="K3913">
        <v>1.1091040000000001</v>
      </c>
      <c r="L3913">
        <v>141.04</v>
      </c>
      <c r="M3913">
        <v>-0.99765479999999995</v>
      </c>
      <c r="N3913">
        <v>0</v>
      </c>
      <c r="O3913">
        <v>-6.7911369999999999E-2</v>
      </c>
      <c r="P3913">
        <v>-0.99769929999999996</v>
      </c>
      <c r="Q3913">
        <v>2.0717449999999998E-2</v>
      </c>
      <c r="R3913">
        <v>-6.4555089999999996E-2</v>
      </c>
      <c r="S3913">
        <v>-3.0106959999999998</v>
      </c>
      <c r="T3913">
        <v>-8.0984829999999994E-2</v>
      </c>
      <c r="U3913">
        <v>3.1021119999999999E-2</v>
      </c>
      <c r="V3913">
        <v>3.4022050000000002E-3</v>
      </c>
      <c r="W3913">
        <v>2.9261530000000001E-2</v>
      </c>
      <c r="X3913">
        <v>0.99956599999999995</v>
      </c>
      <c r="Y3913">
        <v>7.813676E-2</v>
      </c>
      <c r="Z3913">
        <v>2.8762269999999999E-3</v>
      </c>
      <c r="AA3913">
        <v>0.99693849999999995</v>
      </c>
      <c r="AB3913">
        <v>29</v>
      </c>
      <c r="AC3913">
        <v>-40.957099999999897</v>
      </c>
      <c r="AD3913">
        <v>-1.1091117951260001</v>
      </c>
      <c r="AE3913">
        <v>0.44360000000000299</v>
      </c>
      <c r="AF3913">
        <v>3.2217677344807099</v>
      </c>
      <c r="AG3913">
        <v>-1.1091117951260001</v>
      </c>
      <c r="AH3913">
        <v>40.802493543324502</v>
      </c>
      <c r="AI3913">
        <v>91.552227381464604</v>
      </c>
      <c r="AJ3913">
        <v>85.485288320147305</v>
      </c>
      <c r="AK3913">
        <v>40.944516063351699</v>
      </c>
      <c r="AL3913">
        <v>88.323198481284805</v>
      </c>
      <c r="AM3913">
        <v>89.804984128333899</v>
      </c>
      <c r="AN3913">
        <v>1.0000000002464</v>
      </c>
    </row>
    <row r="3914" spans="1:40" x14ac:dyDescent="0.3">
      <c r="A3914" t="str">
        <f>"20200111160534163"</f>
        <v>20200111160534163</v>
      </c>
      <c r="B3914" t="str">
        <f>"1578729934155567"</f>
        <v>1578729934155567</v>
      </c>
      <c r="C3914" t="s">
        <v>40</v>
      </c>
      <c r="D3914">
        <v>6.2820220000000004</v>
      </c>
      <c r="E3914">
        <v>0.52470669999999897</v>
      </c>
      <c r="F3914" t="s">
        <v>41</v>
      </c>
      <c r="G3914">
        <v>-276.95069999999998</v>
      </c>
      <c r="H3914" s="1">
        <v>-1.695021E-6</v>
      </c>
      <c r="I3914">
        <v>141.13669999999999</v>
      </c>
      <c r="J3914">
        <v>-246.50819999999999</v>
      </c>
      <c r="K3914">
        <v>1.108862</v>
      </c>
      <c r="L3914">
        <v>141.02090000000001</v>
      </c>
      <c r="M3914">
        <v>-0.99774580000000002</v>
      </c>
      <c r="N3914">
        <v>0</v>
      </c>
      <c r="O3914">
        <v>-6.6559989999999999E-2</v>
      </c>
      <c r="P3914">
        <v>-0.9976583</v>
      </c>
      <c r="Q3914">
        <v>1.8984279999999999E-2</v>
      </c>
      <c r="R3914">
        <v>-6.5710920000000006E-2</v>
      </c>
      <c r="S3914">
        <v>-3.0097960000000001</v>
      </c>
      <c r="T3914">
        <v>-0.108588</v>
      </c>
      <c r="U3914">
        <v>9.4757079999999994E-3</v>
      </c>
      <c r="V3914">
        <v>9.0503770000000005E-4</v>
      </c>
      <c r="W3914">
        <v>2.7544659999999999E-2</v>
      </c>
      <c r="X3914">
        <v>0.99962010000000001</v>
      </c>
      <c r="Y3914">
        <v>6.9614830000000003E-2</v>
      </c>
      <c r="Z3914">
        <v>3.6547709999999998E-3</v>
      </c>
      <c r="AA3914">
        <v>0.99756719999999999</v>
      </c>
      <c r="AB3914">
        <v>29</v>
      </c>
      <c r="AC3914">
        <v>-30.4424999999999</v>
      </c>
      <c r="AD3914">
        <v>-1.108863695021</v>
      </c>
      <c r="AE3914">
        <v>0.115799999999978</v>
      </c>
      <c r="AF3914">
        <v>2.1390317688396898</v>
      </c>
      <c r="AG3914">
        <v>-1.108863695021</v>
      </c>
      <c r="AH3914">
        <v>30.327042173357398</v>
      </c>
      <c r="AI3914">
        <v>92.088818441487703</v>
      </c>
      <c r="AJ3914">
        <v>85.965486381335893</v>
      </c>
      <c r="AK3914">
        <v>30.4225988795639</v>
      </c>
      <c r="AL3914">
        <v>88.421607499784002</v>
      </c>
      <c r="AM3914">
        <v>89.948125466523194</v>
      </c>
      <c r="AN3914">
        <v>0.99999993585587998</v>
      </c>
    </row>
    <row r="3915" spans="1:40" x14ac:dyDescent="0.3">
      <c r="A3915" t="str">
        <f>"20200111160534184"</f>
        <v>20200111160534184</v>
      </c>
      <c r="B3915" t="str">
        <f>"1578729934175084"</f>
        <v>1578729934175084</v>
      </c>
      <c r="C3915" t="s">
        <v>40</v>
      </c>
      <c r="D3915">
        <v>5.6031069999999996</v>
      </c>
      <c r="E3915">
        <v>0.52363510000000002</v>
      </c>
      <c r="F3915" t="s">
        <v>75</v>
      </c>
      <c r="G3915">
        <v>-282.70460000000003</v>
      </c>
      <c r="H3915" s="1">
        <v>-5.2267479999999999E-6</v>
      </c>
      <c r="I3915">
        <v>140.8828</v>
      </c>
      <c r="J3915">
        <v>-246.78729999999999</v>
      </c>
      <c r="K3915">
        <v>1.1086240000000001</v>
      </c>
      <c r="L3915">
        <v>141.00380000000001</v>
      </c>
      <c r="M3915">
        <v>-0.9978494</v>
      </c>
      <c r="N3915">
        <v>0</v>
      </c>
      <c r="O3915">
        <v>-6.4985329999999994E-2</v>
      </c>
      <c r="P3915">
        <v>-0.99756199999999995</v>
      </c>
      <c r="Q3915">
        <v>1.785745E-2</v>
      </c>
      <c r="R3915">
        <v>-6.7463910000000002E-2</v>
      </c>
      <c r="S3915">
        <v>-3.0080260000000001</v>
      </c>
      <c r="T3915">
        <v>-9.2149969999999998E-2</v>
      </c>
      <c r="U3915">
        <v>-1.147461E-2</v>
      </c>
      <c r="V3915">
        <v>-2.4155890000000001E-3</v>
      </c>
      <c r="W3915">
        <v>2.6439279999999999E-2</v>
      </c>
      <c r="X3915">
        <v>0.99964750000000002</v>
      </c>
      <c r="Y3915">
        <v>6.1121549999999997E-2</v>
      </c>
      <c r="Z3915">
        <v>2.9252869999999999E-3</v>
      </c>
      <c r="AA3915">
        <v>0.99812599999999996</v>
      </c>
      <c r="AB3915">
        <v>29</v>
      </c>
      <c r="AC3915">
        <v>-35.917299999999997</v>
      </c>
      <c r="AD3915">
        <v>-1.108629226748</v>
      </c>
      <c r="AE3915">
        <v>-0.121000000000009</v>
      </c>
      <c r="AF3915">
        <v>2.2113323843705199</v>
      </c>
      <c r="AG3915">
        <v>-1.108629226748</v>
      </c>
      <c r="AH3915">
        <v>35.815115247627297</v>
      </c>
      <c r="AI3915">
        <v>91.769612772929804</v>
      </c>
      <c r="AJ3915">
        <v>86.466872232412797</v>
      </c>
      <c r="AK3915">
        <v>35.900439132096899</v>
      </c>
      <c r="AL3915">
        <v>88.484964293133302</v>
      </c>
      <c r="AM3915">
        <v>90.138451589537397</v>
      </c>
      <c r="AN3915">
        <v>0.99999999742669199</v>
      </c>
    </row>
    <row r="3916" spans="1:40" x14ac:dyDescent="0.3">
      <c r="A3916" t="str">
        <f>"20200111160534208"</f>
        <v>20200111160534208</v>
      </c>
      <c r="B3916" t="str">
        <f>"1578729934205341"</f>
        <v>1578729934205341</v>
      </c>
      <c r="C3916" t="s">
        <v>40</v>
      </c>
      <c r="D3916">
        <v>5.5747960000000001</v>
      </c>
      <c r="E3916">
        <v>0.52225699999999997</v>
      </c>
      <c r="F3916" t="s">
        <v>75</v>
      </c>
      <c r="G3916">
        <v>-285.57229999999998</v>
      </c>
      <c r="H3916" s="1">
        <v>-6.5470649999999996E-6</v>
      </c>
      <c r="I3916">
        <v>140.69299999999899</v>
      </c>
      <c r="J3916">
        <v>-247.08510000000001</v>
      </c>
      <c r="K3916">
        <v>1.1084080000000001</v>
      </c>
      <c r="L3916">
        <v>140.9864</v>
      </c>
      <c r="M3916">
        <v>-0.99797639999999999</v>
      </c>
      <c r="N3916">
        <v>0</v>
      </c>
      <c r="O3916">
        <v>-6.3005309999999995E-2</v>
      </c>
      <c r="P3916">
        <v>-0.99750819999999996</v>
      </c>
      <c r="Q3916">
        <v>1.8395669999999999E-2</v>
      </c>
      <c r="R3916">
        <v>-6.8113019999999996E-2</v>
      </c>
      <c r="S3916">
        <v>-3.0072480000000001</v>
      </c>
      <c r="T3916">
        <v>-8.5959320000000006E-2</v>
      </c>
      <c r="U3916">
        <v>-2.4093630000000001E-2</v>
      </c>
      <c r="V3916">
        <v>-5.0343209999999996E-3</v>
      </c>
      <c r="W3916">
        <v>2.7000779999999999E-2</v>
      </c>
      <c r="X3916">
        <v>0.99962280000000003</v>
      </c>
      <c r="Y3916">
        <v>5.496177E-2</v>
      </c>
      <c r="Z3916">
        <v>2.584949E-3</v>
      </c>
      <c r="AA3916">
        <v>0.99848510000000001</v>
      </c>
      <c r="AB3916">
        <v>29</v>
      </c>
      <c r="AC3916">
        <v>-38.487199999999902</v>
      </c>
      <c r="AD3916">
        <v>-1.108414547065</v>
      </c>
      <c r="AE3916">
        <v>-0.29340000000001898</v>
      </c>
      <c r="AF3916">
        <v>2.13040309642202</v>
      </c>
      <c r="AG3916">
        <v>-1.108414547065</v>
      </c>
      <c r="AH3916">
        <v>38.397368632374103</v>
      </c>
      <c r="AI3916">
        <v>91.650956895510802</v>
      </c>
      <c r="AJ3916">
        <v>86.824311417314902</v>
      </c>
      <c r="AK3916">
        <v>38.472394233421703</v>
      </c>
      <c r="AL3916">
        <v>88.452781325304301</v>
      </c>
      <c r="AM3916">
        <v>90.288551749107995</v>
      </c>
      <c r="AN3916">
        <v>1.00000006439418</v>
      </c>
    </row>
    <row r="3917" spans="1:40" x14ac:dyDescent="0.3">
      <c r="A3917" t="str">
        <f>"20200111160534229"</f>
        <v>20200111160534229</v>
      </c>
      <c r="B3917" t="str">
        <f>"1578729934225837"</f>
        <v>1578729934225837</v>
      </c>
      <c r="C3917" t="s">
        <v>40</v>
      </c>
      <c r="D3917">
        <v>6.3006039999999999</v>
      </c>
      <c r="E3917">
        <v>0.52197550000000004</v>
      </c>
      <c r="F3917" t="s">
        <v>41</v>
      </c>
      <c r="G3917">
        <v>-272.84289999999999</v>
      </c>
      <c r="H3917" s="1">
        <v>-3.3261260000000001E-6</v>
      </c>
      <c r="I3917">
        <v>140.6439</v>
      </c>
      <c r="J3917">
        <v>-247.3629</v>
      </c>
      <c r="K3917">
        <v>1.1082459999999901</v>
      </c>
      <c r="L3917">
        <v>140.9709</v>
      </c>
      <c r="M3917">
        <v>-0.99810390000000004</v>
      </c>
      <c r="N3917">
        <v>0</v>
      </c>
      <c r="O3917">
        <v>-6.095014E-2</v>
      </c>
      <c r="P3917">
        <v>-0.997525</v>
      </c>
      <c r="Q3917">
        <v>1.9392710000000001E-2</v>
      </c>
      <c r="R3917">
        <v>-6.759097E-2</v>
      </c>
      <c r="S3917">
        <v>-3.0071560000000002</v>
      </c>
      <c r="T3917">
        <v>-0.12940409999999999</v>
      </c>
      <c r="U3917">
        <v>-3.9978029999999998E-2</v>
      </c>
      <c r="V3917">
        <v>-6.5551460000000004E-3</v>
      </c>
      <c r="W3917">
        <v>2.8016539999999999E-2</v>
      </c>
      <c r="X3917">
        <v>0.99958599999999997</v>
      </c>
      <c r="Y3917">
        <v>4.7578250000000002E-2</v>
      </c>
      <c r="Z3917">
        <v>3.6432669999999999E-3</v>
      </c>
      <c r="AA3917">
        <v>0.99886090000000005</v>
      </c>
      <c r="AB3917">
        <v>29</v>
      </c>
      <c r="AC3917">
        <v>-25.479999999999901</v>
      </c>
      <c r="AD3917">
        <v>-1.10824932612599</v>
      </c>
      <c r="AE3917">
        <v>-0.32699999999999801</v>
      </c>
      <c r="AF3917">
        <v>1.22435892115238</v>
      </c>
      <c r="AG3917">
        <v>-1.10824932612599</v>
      </c>
      <c r="AH3917">
        <v>25.404503400884899</v>
      </c>
      <c r="AI3917">
        <v>92.495002467223799</v>
      </c>
      <c r="AJ3917">
        <v>87.240789951678906</v>
      </c>
      <c r="AK3917">
        <v>25.458123740414202</v>
      </c>
      <c r="AL3917">
        <v>88.394560483843094</v>
      </c>
      <c r="AM3917">
        <v>90.375732369193301</v>
      </c>
      <c r="AN3917">
        <v>1.00000003392432</v>
      </c>
    </row>
    <row r="3918" spans="1:40" x14ac:dyDescent="0.3">
      <c r="A3918" t="str">
        <f>"20200111160534253"</f>
        <v>20200111160534253</v>
      </c>
      <c r="B3918" t="str">
        <f>"1578729934245357"</f>
        <v>1578729934245357</v>
      </c>
      <c r="C3918" t="s">
        <v>40</v>
      </c>
      <c r="D3918">
        <v>6.9268169999999998</v>
      </c>
      <c r="E3918">
        <v>0.52139760000000002</v>
      </c>
      <c r="F3918" t="s">
        <v>41</v>
      </c>
      <c r="G3918">
        <v>-272.61709999999999</v>
      </c>
      <c r="H3918" s="1">
        <v>-3.4183809999999999E-6</v>
      </c>
      <c r="I3918">
        <v>140.62649999999999</v>
      </c>
      <c r="J3918">
        <v>-247.67320000000001</v>
      </c>
      <c r="K3918">
        <v>1.1080970000000001</v>
      </c>
      <c r="L3918">
        <v>140.9545</v>
      </c>
      <c r="M3918">
        <v>-0.99825330000000001</v>
      </c>
      <c r="N3918">
        <v>0</v>
      </c>
      <c r="O3918">
        <v>-5.8448609999999998E-2</v>
      </c>
      <c r="P3918">
        <v>-0.99759180000000003</v>
      </c>
      <c r="Q3918">
        <v>2.2003160000000001E-2</v>
      </c>
      <c r="R3918">
        <v>-6.5777559999999999E-2</v>
      </c>
      <c r="S3918">
        <v>-3.0072329999999998</v>
      </c>
      <c r="T3918">
        <v>-0.13196910000000001</v>
      </c>
      <c r="U3918">
        <v>-4.1000370000000001E-2</v>
      </c>
      <c r="V3918">
        <v>-7.2256959999999898E-3</v>
      </c>
      <c r="W3918">
        <v>3.0642309999999999E-2</v>
      </c>
      <c r="X3918">
        <v>0.99950430000000001</v>
      </c>
      <c r="Y3918">
        <v>4.4736789999999999E-2</v>
      </c>
      <c r="Z3918">
        <v>3.5434379999999999E-3</v>
      </c>
      <c r="AA3918">
        <v>0.99899249999999995</v>
      </c>
      <c r="AB3918">
        <v>29</v>
      </c>
      <c r="AC3918">
        <v>-24.9438999999999</v>
      </c>
      <c r="AD3918">
        <v>-1.1081004183809999</v>
      </c>
      <c r="AE3918">
        <v>-0.32800000000000201</v>
      </c>
      <c r="AF3918">
        <v>1.1283247683995801</v>
      </c>
      <c r="AG3918">
        <v>-1.1081004183809999</v>
      </c>
      <c r="AH3918">
        <v>24.871350799585901</v>
      </c>
      <c r="AI3918">
        <v>92.548410595963006</v>
      </c>
      <c r="AJ3918">
        <v>87.402475193403305</v>
      </c>
      <c r="AK3918">
        <v>24.921578880886798</v>
      </c>
      <c r="AL3918">
        <v>88.244050104104105</v>
      </c>
      <c r="AM3918">
        <v>90.414199991751104</v>
      </c>
      <c r="AN3918">
        <v>1.0000000037816501</v>
      </c>
    </row>
    <row r="3919" spans="1:40" x14ac:dyDescent="0.3">
      <c r="A3919" t="str">
        <f>"20200111160534275"</f>
        <v>20200111160534275</v>
      </c>
      <c r="B3919" t="str">
        <f>"1578729934265852"</f>
        <v>1578729934265852</v>
      </c>
      <c r="C3919" t="s">
        <v>40</v>
      </c>
      <c r="D3919">
        <v>5.5367319999999998</v>
      </c>
      <c r="E3919">
        <v>0.52093350000000005</v>
      </c>
      <c r="F3919" t="s">
        <v>41</v>
      </c>
      <c r="G3919">
        <v>-278.26679999999999</v>
      </c>
      <c r="H3919" s="1">
        <v>-9.7491310000000006E-7</v>
      </c>
      <c r="I3919">
        <v>140.5522</v>
      </c>
      <c r="J3919">
        <v>-247.96860000000001</v>
      </c>
      <c r="K3919">
        <v>1.1079810000000001</v>
      </c>
      <c r="L3919">
        <v>140.93969999999999</v>
      </c>
      <c r="M3919">
        <v>-0.99839909999999998</v>
      </c>
      <c r="N3919">
        <v>0</v>
      </c>
      <c r="O3919">
        <v>-5.5900320000000003E-2</v>
      </c>
      <c r="P3919">
        <v>-0.99768290000000004</v>
      </c>
      <c r="Q3919">
        <v>2.5034500000000001E-2</v>
      </c>
      <c r="R3919">
        <v>-6.3263920000000001E-2</v>
      </c>
      <c r="S3919">
        <v>-3.0070190000000001</v>
      </c>
      <c r="T3919">
        <v>-0.1089141</v>
      </c>
      <c r="U3919">
        <v>-3.9535519999999998E-2</v>
      </c>
      <c r="V3919">
        <v>-7.2392849999999998E-3</v>
      </c>
      <c r="W3919">
        <v>3.3685329999999999E-2</v>
      </c>
      <c r="X3919">
        <v>0.99940629999999997</v>
      </c>
      <c r="Y3919">
        <v>4.2706910000000001E-2</v>
      </c>
      <c r="Z3919">
        <v>2.7961890000000001E-3</v>
      </c>
      <c r="AA3919">
        <v>0.99908379999999997</v>
      </c>
      <c r="AB3919">
        <v>29</v>
      </c>
      <c r="AC3919">
        <v>-30.298199999999898</v>
      </c>
      <c r="AD3919">
        <v>-1.1079819749130999</v>
      </c>
      <c r="AE3919">
        <v>-0.38749999999998802</v>
      </c>
      <c r="AF3919">
        <v>1.3051029937623599</v>
      </c>
      <c r="AG3919">
        <v>-1.1079819749130999</v>
      </c>
      <c r="AH3919">
        <v>30.232060021111</v>
      </c>
      <c r="AI3919">
        <v>92.0969559970181</v>
      </c>
      <c r="AJ3919">
        <v>87.5281044812331</v>
      </c>
      <c r="AK3919">
        <v>30.280494893596401</v>
      </c>
      <c r="AL3919">
        <v>88.069607631283503</v>
      </c>
      <c r="AM3919">
        <v>90.415019620123402</v>
      </c>
      <c r="AN3919">
        <v>1.0000000305921</v>
      </c>
    </row>
    <row r="3920" spans="1:40" x14ac:dyDescent="0.3">
      <c r="A3920" t="str">
        <f>"20200111160534297"</f>
        <v>20200111160534297</v>
      </c>
      <c r="B3920" t="str">
        <f>"1578729934285372"</f>
        <v>1578729934285372</v>
      </c>
      <c r="C3920" t="s">
        <v>40</v>
      </c>
      <c r="D3920">
        <v>5.5313169999999996</v>
      </c>
      <c r="E3920">
        <v>0.52074309999999902</v>
      </c>
      <c r="F3920" t="s">
        <v>75</v>
      </c>
      <c r="G3920">
        <v>-285.98340000000002</v>
      </c>
      <c r="H3920" s="1">
        <v>-6.7390299999999997E-6</v>
      </c>
      <c r="I3920">
        <v>140.49520000000001</v>
      </c>
      <c r="J3920">
        <v>-248.24770000000001</v>
      </c>
      <c r="K3920">
        <v>1.107877</v>
      </c>
      <c r="L3920">
        <v>140.9265</v>
      </c>
      <c r="M3920">
        <v>-0.99853749999999997</v>
      </c>
      <c r="N3920">
        <v>0</v>
      </c>
      <c r="O3920">
        <v>-5.3370269999999997E-2</v>
      </c>
      <c r="P3920">
        <v>-0.99777009999999999</v>
      </c>
      <c r="Q3920">
        <v>2.862437E-2</v>
      </c>
      <c r="R3920">
        <v>-6.0296710000000003E-2</v>
      </c>
      <c r="S3920">
        <v>-3.006958</v>
      </c>
      <c r="T3920">
        <v>-8.7641360000000001E-2</v>
      </c>
      <c r="U3920">
        <v>-3.515625E-2</v>
      </c>
      <c r="V3920">
        <v>-6.7790200000000002E-3</v>
      </c>
      <c r="W3920">
        <v>3.7283669999999998E-2</v>
      </c>
      <c r="X3920">
        <v>0.99928170000000005</v>
      </c>
      <c r="Y3920">
        <v>4.1654110000000001E-2</v>
      </c>
      <c r="Z3920">
        <v>2.161418E-3</v>
      </c>
      <c r="AA3920">
        <v>0.99912979999999996</v>
      </c>
      <c r="AB3920">
        <v>29</v>
      </c>
      <c r="AC3920">
        <v>-37.735700000000001</v>
      </c>
      <c r="AD3920">
        <v>-1.10788373903</v>
      </c>
      <c r="AE3920">
        <v>-0.43129999999999302</v>
      </c>
      <c r="AF3920">
        <v>1.58199081191461</v>
      </c>
      <c r="AG3920">
        <v>-1.10788373903</v>
      </c>
      <c r="AH3920">
        <v>37.672466554963599</v>
      </c>
      <c r="AI3920">
        <v>91.683004370516301</v>
      </c>
      <c r="AJ3920">
        <v>87.595374520834895</v>
      </c>
      <c r="AK3920">
        <v>37.7219410640948</v>
      </c>
      <c r="AL3920">
        <v>87.863307782326501</v>
      </c>
      <c r="AM3920">
        <v>90.388682467662406</v>
      </c>
      <c r="AN3920">
        <v>0.99999997155785902</v>
      </c>
    </row>
    <row r="3921" spans="1:40" x14ac:dyDescent="0.3">
      <c r="A3921" t="str">
        <f>"20200111160534319"</f>
        <v>20200111160534319</v>
      </c>
      <c r="B3921" t="str">
        <f>"1578729934315629"</f>
        <v>1578729934315629</v>
      </c>
      <c r="C3921" t="s">
        <v>40</v>
      </c>
      <c r="D3921">
        <v>5.5919089999999896</v>
      </c>
      <c r="E3921">
        <v>0.52060399999999996</v>
      </c>
      <c r="F3921" t="s">
        <v>75</v>
      </c>
      <c r="G3921">
        <v>-294.7534</v>
      </c>
      <c r="H3921" s="1">
        <v>-8.7401109999999996E-6</v>
      </c>
      <c r="I3921">
        <v>140.4982</v>
      </c>
      <c r="J3921">
        <v>-248.5412</v>
      </c>
      <c r="K3921">
        <v>1.10778</v>
      </c>
      <c r="L3921">
        <v>140.9136</v>
      </c>
      <c r="M3921">
        <v>-0.99868100000000004</v>
      </c>
      <c r="N3921">
        <v>0</v>
      </c>
      <c r="O3921">
        <v>-5.0611160000000002E-2</v>
      </c>
      <c r="P3921">
        <v>-0.99792159999999996</v>
      </c>
      <c r="Q3921">
        <v>2.949034E-2</v>
      </c>
      <c r="R3921">
        <v>-5.7297300000000002E-2</v>
      </c>
      <c r="S3921">
        <v>-3.0070950000000001</v>
      </c>
      <c r="T3921">
        <v>-7.16368E-2</v>
      </c>
      <c r="U3921">
        <v>-2.7694699999999999E-2</v>
      </c>
      <c r="V3921">
        <v>-6.5234000000000004E-3</v>
      </c>
      <c r="W3921">
        <v>3.8169950000000001E-2</v>
      </c>
      <c r="X3921">
        <v>0.99924999999999997</v>
      </c>
      <c r="Y3921">
        <v>4.1387229999999997E-2</v>
      </c>
      <c r="Z3921">
        <v>1.6979759999999999E-3</v>
      </c>
      <c r="AA3921">
        <v>0.99914179999999997</v>
      </c>
      <c r="AB3921">
        <v>29</v>
      </c>
      <c r="AC3921">
        <v>-46.212200000000003</v>
      </c>
      <c r="AD3921">
        <v>-1.107788740111</v>
      </c>
      <c r="AE3921">
        <v>-0.41540000000000499</v>
      </c>
      <c r="AF3921">
        <v>1.92296795714168</v>
      </c>
      <c r="AG3921">
        <v>-1.107788740111</v>
      </c>
      <c r="AH3921">
        <v>46.147479912456497</v>
      </c>
      <c r="AI3921">
        <v>91.373952145985797</v>
      </c>
      <c r="AJ3921">
        <v>87.6138622543221</v>
      </c>
      <c r="AK3921">
        <v>46.200810641453998</v>
      </c>
      <c r="AL3921">
        <v>87.812491629602107</v>
      </c>
      <c r="AM3921">
        <v>90.374038507329402</v>
      </c>
      <c r="AN3921">
        <v>1.0000000311652799</v>
      </c>
    </row>
    <row r="3922" spans="1:40" x14ac:dyDescent="0.3">
      <c r="A3922" t="str">
        <f>"20200111160534341"</f>
        <v>20200111160534341</v>
      </c>
      <c r="B3922" t="str">
        <f>"1578729934335149"</f>
        <v>1578729934335149</v>
      </c>
      <c r="C3922" t="s">
        <v>40</v>
      </c>
      <c r="D3922">
        <v>5.5851059999999997</v>
      </c>
      <c r="E3922">
        <v>0.52059659999999996</v>
      </c>
      <c r="F3922" t="s">
        <v>75</v>
      </c>
      <c r="G3922">
        <v>-291.52210000000002</v>
      </c>
      <c r="H3922" s="1">
        <v>-9.0558610000000008E-6</v>
      </c>
      <c r="I3922">
        <v>140.61920000000001</v>
      </c>
      <c r="J3922">
        <v>-248.8389</v>
      </c>
      <c r="K3922">
        <v>1.107688</v>
      </c>
      <c r="L3922">
        <v>140.9014</v>
      </c>
      <c r="M3922">
        <v>-0.99882210000000005</v>
      </c>
      <c r="N3922">
        <v>0</v>
      </c>
      <c r="O3922">
        <v>-4.7735909999999999E-2</v>
      </c>
      <c r="P3922">
        <v>-0.99814999999999998</v>
      </c>
      <c r="Q3922">
        <v>2.808341E-2</v>
      </c>
      <c r="R3922">
        <v>-5.3926929999999998E-2</v>
      </c>
      <c r="S3922">
        <v>-3.007339</v>
      </c>
      <c r="T3922">
        <v>-7.7511189999999994E-2</v>
      </c>
      <c r="U3922">
        <v>-2.0599369999999999E-2</v>
      </c>
      <c r="V3922">
        <v>-6.0210180000000004E-3</v>
      </c>
      <c r="W3922">
        <v>3.6820020000000002E-2</v>
      </c>
      <c r="X3922">
        <v>0.99930379999999996</v>
      </c>
      <c r="Y3922">
        <v>4.0865470000000001E-2</v>
      </c>
      <c r="Z3922">
        <v>1.75631299999999E-3</v>
      </c>
      <c r="AA3922">
        <v>0.99916309999999997</v>
      </c>
      <c r="AB3922">
        <v>29</v>
      </c>
      <c r="AC3922">
        <v>-42.683199999999999</v>
      </c>
      <c r="AD3922">
        <v>-1.107697055861</v>
      </c>
      <c r="AE3922">
        <v>-0.28219999999998802</v>
      </c>
      <c r="AF3922">
        <v>1.75453864419601</v>
      </c>
      <c r="AG3922">
        <v>-1.107697055861</v>
      </c>
      <c r="AH3922">
        <v>42.619306475385798</v>
      </c>
      <c r="AI3922">
        <v>91.487551310130399</v>
      </c>
      <c r="AJ3922">
        <v>87.642595936797406</v>
      </c>
      <c r="AK3922">
        <v>42.669786536428802</v>
      </c>
      <c r="AL3922">
        <v>87.889891339269894</v>
      </c>
      <c r="AM3922">
        <v>90.345215083993097</v>
      </c>
      <c r="AN3922">
        <v>1.0000000256124899</v>
      </c>
    </row>
    <row r="3923" spans="1:40" x14ac:dyDescent="0.3">
      <c r="A3923" t="str">
        <f>"20200111160534364"</f>
        <v>20200111160534364</v>
      </c>
      <c r="B3923" t="str">
        <f>"1578729934355645"</f>
        <v>1578729934355645</v>
      </c>
      <c r="C3923" t="s">
        <v>40</v>
      </c>
      <c r="D3923">
        <v>5.862298</v>
      </c>
      <c r="E3923">
        <v>0.52002040000000005</v>
      </c>
      <c r="F3923" t="s">
        <v>75</v>
      </c>
      <c r="G3923">
        <v>-285.48970000000003</v>
      </c>
      <c r="H3923" s="1">
        <v>-6.5195370000000004E-6</v>
      </c>
      <c r="I3923">
        <v>140.76669999999999</v>
      </c>
      <c r="J3923">
        <v>-249.14179999999999</v>
      </c>
      <c r="K3923">
        <v>1.1076280000000001</v>
      </c>
      <c r="L3923">
        <v>140.88990000000001</v>
      </c>
      <c r="M3923">
        <v>-0.99895889999999998</v>
      </c>
      <c r="N3923">
        <v>0</v>
      </c>
      <c r="O3923">
        <v>-4.4753469999999997E-2</v>
      </c>
      <c r="P3923">
        <v>-0.99836990000000003</v>
      </c>
      <c r="Q3923">
        <v>2.635585E-2</v>
      </c>
      <c r="R3923">
        <v>-5.0625719999999999E-2</v>
      </c>
      <c r="S3923">
        <v>-3.0075069999999999</v>
      </c>
      <c r="T3923">
        <v>-9.0895530000000002E-2</v>
      </c>
      <c r="U3923">
        <v>-1.1047360000000001E-2</v>
      </c>
      <c r="V3923">
        <v>-5.698748E-3</v>
      </c>
      <c r="W3923">
        <v>3.5238419999999999E-2</v>
      </c>
      <c r="X3923">
        <v>0.99936270000000005</v>
      </c>
      <c r="Y3923">
        <v>4.1046190000000003E-2</v>
      </c>
      <c r="Z3923">
        <v>1.9720750000000002E-3</v>
      </c>
      <c r="AA3923">
        <v>0.99915529999999997</v>
      </c>
      <c r="AB3923">
        <v>29</v>
      </c>
      <c r="AC3923">
        <v>-36.347900000000003</v>
      </c>
      <c r="AD3923">
        <v>-1.1076345195370001</v>
      </c>
      <c r="AE3923">
        <v>-0.123200000000025</v>
      </c>
      <c r="AF3923">
        <v>1.5022867176719199</v>
      </c>
      <c r="AG3923">
        <v>-1.1076345195370001</v>
      </c>
      <c r="AH3923">
        <v>36.283299909999897</v>
      </c>
      <c r="AI3923">
        <v>91.747051752928996</v>
      </c>
      <c r="AJ3923">
        <v>87.629059298844297</v>
      </c>
      <c r="AK3923">
        <v>36.331275396962901</v>
      </c>
      <c r="AL3923">
        <v>87.980569201789905</v>
      </c>
      <c r="AM3923">
        <v>90.326718887819695</v>
      </c>
      <c r="AN3923">
        <v>1.00000001406207</v>
      </c>
    </row>
    <row r="3924" spans="1:40" x14ac:dyDescent="0.3">
      <c r="A3924" t="str">
        <f>"20200111160534385"</f>
        <v>20200111160534385</v>
      </c>
      <c r="B3924" t="str">
        <f>"1578729934375164"</f>
        <v>1578729934375164</v>
      </c>
      <c r="C3924" t="s">
        <v>40</v>
      </c>
      <c r="D3924">
        <v>5.573747</v>
      </c>
      <c r="E3924">
        <v>0.51990740000000002</v>
      </c>
      <c r="F3924" t="s">
        <v>75</v>
      </c>
      <c r="G3924">
        <v>-283.05090000000001</v>
      </c>
      <c r="H3924" s="1">
        <v>-5.3619719999999997E-6</v>
      </c>
      <c r="I3924">
        <v>140.8261</v>
      </c>
      <c r="J3924">
        <v>-249.42519999999999</v>
      </c>
      <c r="K3924">
        <v>1.1076330000000001</v>
      </c>
      <c r="L3924">
        <v>140.8802</v>
      </c>
      <c r="M3924">
        <v>-0.99907869999999999</v>
      </c>
      <c r="N3924">
        <v>0</v>
      </c>
      <c r="O3924">
        <v>-4.1935479999999997E-2</v>
      </c>
      <c r="P3924">
        <v>-0.99862890000000004</v>
      </c>
      <c r="Q3924">
        <v>2.4006240000000002E-2</v>
      </c>
      <c r="R3924">
        <v>-4.6525980000000002E-2</v>
      </c>
      <c r="S3924">
        <v>-3.0072019999999999</v>
      </c>
      <c r="T3924">
        <v>-9.8229650000000002E-2</v>
      </c>
      <c r="U3924">
        <v>-5.6610109999999996E-3</v>
      </c>
      <c r="V3924">
        <v>-4.4186119999999997E-3</v>
      </c>
      <c r="W3924">
        <v>3.316587E-2</v>
      </c>
      <c r="X3924">
        <v>0.99944010000000005</v>
      </c>
      <c r="Y3924">
        <v>4.0012619999999999E-2</v>
      </c>
      <c r="Z3924">
        <v>2.0225170000000002E-3</v>
      </c>
      <c r="AA3924">
        <v>0.99919709999999995</v>
      </c>
      <c r="AB3924">
        <v>29</v>
      </c>
      <c r="AC3924">
        <v>-33.625700000000002</v>
      </c>
      <c r="AD3924">
        <v>-1.1076383619720001</v>
      </c>
      <c r="AE3924">
        <v>-5.4100000000005297E-2</v>
      </c>
      <c r="AF3924">
        <v>1.35464623806683</v>
      </c>
      <c r="AG3924">
        <v>-1.1076383619720001</v>
      </c>
      <c r="AH3924">
        <v>33.561969895441997</v>
      </c>
      <c r="AI3924">
        <v>91.888697295922796</v>
      </c>
      <c r="AJ3924">
        <v>87.688651623591497</v>
      </c>
      <c r="AK3924">
        <v>33.607554990415103</v>
      </c>
      <c r="AL3924">
        <v>88.099387090636696</v>
      </c>
      <c r="AM3924">
        <v>90.253307996598593</v>
      </c>
      <c r="AN3924">
        <v>1.00000000627643</v>
      </c>
    </row>
    <row r="3925" spans="1:40" x14ac:dyDescent="0.3">
      <c r="A3925" t="str">
        <f>"20200111160534407"</f>
        <v>20200111160534407</v>
      </c>
      <c r="B3925" t="str">
        <f>"1578729934405929"</f>
        <v>1578729934405929</v>
      </c>
      <c r="C3925" t="s">
        <v>40</v>
      </c>
      <c r="D3925">
        <v>5.5866020000000001</v>
      </c>
      <c r="E3925">
        <v>0.51942339999999998</v>
      </c>
      <c r="F3925" t="s">
        <v>41</v>
      </c>
      <c r="G3925">
        <v>-278.83699999999999</v>
      </c>
      <c r="H3925" s="1">
        <v>-8.3127590000000002E-7</v>
      </c>
      <c r="I3925">
        <v>140.93180000000001</v>
      </c>
      <c r="J3925">
        <v>-249.71440000000001</v>
      </c>
      <c r="K3925">
        <v>1.1076600000000001</v>
      </c>
      <c r="L3925">
        <v>140.87110000000001</v>
      </c>
      <c r="M3925">
        <v>-0.99919290000000005</v>
      </c>
      <c r="N3925">
        <v>0</v>
      </c>
      <c r="O3925">
        <v>-3.9030960000000003E-2</v>
      </c>
      <c r="P3925">
        <v>-0.99887459999999995</v>
      </c>
      <c r="Q3925">
        <v>2.1556220000000001E-2</v>
      </c>
      <c r="R3925">
        <v>-4.2252060000000001E-2</v>
      </c>
      <c r="S3925">
        <v>-3.0070800000000002</v>
      </c>
      <c r="T3925">
        <v>-0.113245</v>
      </c>
      <c r="U3925">
        <v>5.2795409999999996E-3</v>
      </c>
      <c r="V3925">
        <v>-3.0534410000000001E-3</v>
      </c>
      <c r="W3925">
        <v>3.10765E-2</v>
      </c>
      <c r="X3925">
        <v>0.99951239999999997</v>
      </c>
      <c r="Y3925">
        <v>4.0730490000000001E-2</v>
      </c>
      <c r="Z3925">
        <v>2.235833E-3</v>
      </c>
      <c r="AA3925">
        <v>0.99916769999999999</v>
      </c>
      <c r="AB3925">
        <v>29</v>
      </c>
      <c r="AC3925">
        <v>-29.122599999999899</v>
      </c>
      <c r="AD3925">
        <v>-1.10766083127589</v>
      </c>
      <c r="AE3925">
        <v>6.0699999999996999E-2</v>
      </c>
      <c r="AF3925">
        <v>1.1956583567146599</v>
      </c>
      <c r="AG3925">
        <v>-1.10766083127589</v>
      </c>
      <c r="AH3925">
        <v>29.056004640166002</v>
      </c>
      <c r="AI3925">
        <v>92.181304275105205</v>
      </c>
      <c r="AJ3925">
        <v>87.643600703578002</v>
      </c>
      <c r="AK3925">
        <v>29.101682375293599</v>
      </c>
      <c r="AL3925">
        <v>88.219161087024901</v>
      </c>
      <c r="AM3925">
        <v>90.175034084670997</v>
      </c>
      <c r="AN3925">
        <v>1.00000005505397</v>
      </c>
    </row>
    <row r="3926" spans="1:40" x14ac:dyDescent="0.3">
      <c r="A3926" t="str">
        <f>"20200111160534430"</f>
        <v>20200111160534430</v>
      </c>
      <c r="B3926" t="str">
        <f>"1578729934425449"</f>
        <v>1578729934425449</v>
      </c>
      <c r="C3926" t="s">
        <v>40</v>
      </c>
      <c r="D3926">
        <v>5.5960960000000002</v>
      </c>
      <c r="E3926">
        <v>0.51918719999999996</v>
      </c>
      <c r="F3926" t="s">
        <v>41</v>
      </c>
      <c r="G3926">
        <v>-276.51729999999998</v>
      </c>
      <c r="H3926" s="1">
        <v>-1.843363E-6</v>
      </c>
      <c r="I3926">
        <v>140.99539999999999</v>
      </c>
      <c r="J3926">
        <v>-250.0128</v>
      </c>
      <c r="K3926">
        <v>1.10771</v>
      </c>
      <c r="L3926">
        <v>140.86269999999999</v>
      </c>
      <c r="M3926">
        <v>-0.99930160000000001</v>
      </c>
      <c r="N3926">
        <v>0</v>
      </c>
      <c r="O3926">
        <v>-3.6021440000000002E-2</v>
      </c>
      <c r="P3926">
        <v>-0.99910750000000004</v>
      </c>
      <c r="Q3926">
        <v>1.7467219999999999E-2</v>
      </c>
      <c r="R3926">
        <v>-3.8461160000000001E-2</v>
      </c>
      <c r="S3926">
        <v>-3.006653</v>
      </c>
      <c r="T3926">
        <v>-0.1242535</v>
      </c>
      <c r="U3926">
        <v>1.394653E-2</v>
      </c>
      <c r="V3926">
        <v>-2.2868279999999999E-3</v>
      </c>
      <c r="W3926">
        <v>2.742406E-2</v>
      </c>
      <c r="X3926">
        <v>0.99962130000000005</v>
      </c>
      <c r="Y3926">
        <v>4.0592940000000001E-2</v>
      </c>
      <c r="Z3926">
        <v>2.3262619999999999E-3</v>
      </c>
      <c r="AA3926">
        <v>0.99917299999999998</v>
      </c>
      <c r="AB3926">
        <v>29</v>
      </c>
      <c r="AC3926">
        <v>-26.504499999999901</v>
      </c>
      <c r="AD3926">
        <v>-1.107711843363</v>
      </c>
      <c r="AE3926">
        <v>0.13269999999999901</v>
      </c>
      <c r="AF3926">
        <v>1.0854953100390501</v>
      </c>
      <c r="AG3926">
        <v>-1.107711843363</v>
      </c>
      <c r="AH3926">
        <v>26.436342277100501</v>
      </c>
      <c r="AI3926">
        <v>92.397334986452606</v>
      </c>
      <c r="AJ3926">
        <v>87.648714721276903</v>
      </c>
      <c r="AK3926">
        <v>26.4817959849413</v>
      </c>
      <c r="AL3926">
        <v>88.428520124289307</v>
      </c>
      <c r="AM3926">
        <v>90.131075002400294</v>
      </c>
      <c r="AN3926">
        <v>1.0000000260314299</v>
      </c>
    </row>
    <row r="3927" spans="1:40" x14ac:dyDescent="0.3">
      <c r="A3927" t="str">
        <f>"20200111160534464"</f>
        <v>20200111160534464</v>
      </c>
      <c r="B3927" t="str">
        <f>"1578729934455704"</f>
        <v>1578729934455704</v>
      </c>
      <c r="C3927" t="s">
        <v>40</v>
      </c>
      <c r="D3927">
        <v>5.5683499999999997</v>
      </c>
      <c r="E3927">
        <v>0.51885630000000005</v>
      </c>
      <c r="F3927" t="s">
        <v>41</v>
      </c>
      <c r="G3927">
        <v>-273.38580000000002</v>
      </c>
      <c r="H3927" s="1">
        <v>-3.199247E-6</v>
      </c>
      <c r="I3927">
        <v>141.04230000000001</v>
      </c>
      <c r="J3927">
        <v>-250.45750000000001</v>
      </c>
      <c r="K3927">
        <v>1.1077889999999999</v>
      </c>
      <c r="L3927">
        <v>140.85169999999999</v>
      </c>
      <c r="M3927">
        <v>-0.99944630000000001</v>
      </c>
      <c r="N3927">
        <v>0</v>
      </c>
      <c r="O3927">
        <v>-3.1532369999999997E-2</v>
      </c>
      <c r="P3927">
        <v>-0.99935079999999998</v>
      </c>
      <c r="Q3927">
        <v>1.329383E-2</v>
      </c>
      <c r="R3927">
        <v>-3.349038E-2</v>
      </c>
      <c r="S3927">
        <v>-3.0060419999999999</v>
      </c>
      <c r="T3927">
        <v>-0.1424648</v>
      </c>
      <c r="U3927">
        <v>2.311707E-2</v>
      </c>
      <c r="V3927">
        <v>-1.8212980000000001E-3</v>
      </c>
      <c r="W3927">
        <v>2.392476E-2</v>
      </c>
      <c r="X3927">
        <v>0.99971209999999999</v>
      </c>
      <c r="Y3927">
        <v>3.9140040000000001E-2</v>
      </c>
      <c r="Z3927">
        <v>2.420434E-3</v>
      </c>
      <c r="AA3927">
        <v>0.99923079999999997</v>
      </c>
      <c r="AB3927">
        <v>29</v>
      </c>
      <c r="AC3927">
        <v>-22.9283</v>
      </c>
      <c r="AD3927">
        <v>-1.1077921992469999</v>
      </c>
      <c r="AE3927">
        <v>0.19060000000001701</v>
      </c>
      <c r="AF3927">
        <v>0.91140221112421405</v>
      </c>
      <c r="AG3927">
        <v>-1.1077921992469999</v>
      </c>
      <c r="AH3927">
        <v>22.857532132509899</v>
      </c>
      <c r="AI3927">
        <v>92.772474023762101</v>
      </c>
      <c r="AJ3927">
        <v>87.716645343024197</v>
      </c>
      <c r="AK3927">
        <v>22.902502761398701</v>
      </c>
      <c r="AL3927">
        <v>88.629081416618106</v>
      </c>
      <c r="AM3927">
        <v>90.104382624943398</v>
      </c>
      <c r="AN3927">
        <v>0.99999999707693599</v>
      </c>
    </row>
    <row r="3928" spans="1:40" x14ac:dyDescent="0.3">
      <c r="A3928" t="str">
        <f>"20200111160534486"</f>
        <v>20200111160534486</v>
      </c>
      <c r="B3928" t="str">
        <f>"1578729934475224"</f>
        <v>1578729934475224</v>
      </c>
      <c r="C3928" t="s">
        <v>40</v>
      </c>
      <c r="D3928">
        <v>5.5782689999999997</v>
      </c>
      <c r="E3928">
        <v>0.51862969999999997</v>
      </c>
      <c r="F3928" t="s">
        <v>41</v>
      </c>
      <c r="G3928">
        <v>-271.07130000000001</v>
      </c>
      <c r="H3928" s="1">
        <v>-4.173603E-6</v>
      </c>
      <c r="I3928">
        <v>141.09389999999999</v>
      </c>
      <c r="J3928">
        <v>-250.7509</v>
      </c>
      <c r="K3928">
        <v>1.107834</v>
      </c>
      <c r="L3928">
        <v>140.84569999999999</v>
      </c>
      <c r="M3928">
        <v>-0.99953060000000005</v>
      </c>
      <c r="N3928">
        <v>0</v>
      </c>
      <c r="O3928">
        <v>-2.8582710000000001E-2</v>
      </c>
      <c r="P3928">
        <v>-0.99945329999999999</v>
      </c>
      <c r="Q3928">
        <v>1.234007E-2</v>
      </c>
      <c r="R3928">
        <v>-3.067711E-2</v>
      </c>
      <c r="S3928">
        <v>-3.00528</v>
      </c>
      <c r="T3928">
        <v>-0.16150519999999999</v>
      </c>
      <c r="U3928">
        <v>3.5324099999999997E-2</v>
      </c>
      <c r="V3928">
        <v>-1.9600419999999999E-3</v>
      </c>
      <c r="W3928">
        <v>2.3385599999999999E-2</v>
      </c>
      <c r="X3928">
        <v>0.99972459999999996</v>
      </c>
      <c r="Y3928">
        <v>4.0231580000000003E-2</v>
      </c>
      <c r="Z3928">
        <v>2.6151049999999999E-3</v>
      </c>
      <c r="AA3928">
        <v>0.99918689999999999</v>
      </c>
      <c r="AB3928">
        <v>29</v>
      </c>
      <c r="AC3928">
        <v>-20.320399999999999</v>
      </c>
      <c r="AD3928">
        <v>-1.1078381736030001</v>
      </c>
      <c r="AE3928">
        <v>0.24819999999999701</v>
      </c>
      <c r="AF3928">
        <v>0.826489816297452</v>
      </c>
      <c r="AG3928">
        <v>-1.1078381736030001</v>
      </c>
      <c r="AH3928">
        <v>20.2448379090382</v>
      </c>
      <c r="AI3928">
        <v>93.129614378502495</v>
      </c>
      <c r="AJ3928">
        <v>87.662214094895802</v>
      </c>
      <c r="AK3928">
        <v>20.291965227610799</v>
      </c>
      <c r="AL3928">
        <v>88.659981662690299</v>
      </c>
      <c r="AM3928">
        <v>90.112332926864696</v>
      </c>
      <c r="AN3928">
        <v>1.00000000194858</v>
      </c>
    </row>
    <row r="3929" spans="1:40" x14ac:dyDescent="0.3">
      <c r="A3929" t="str">
        <f>"20200111160534575"</f>
        <v>20200111160534575</v>
      </c>
      <c r="B3929" t="str">
        <f>"1578729934565992"</f>
        <v>1578729934565992</v>
      </c>
      <c r="C3929" t="s">
        <v>40</v>
      </c>
      <c r="D3929">
        <v>5.5495640000000002</v>
      </c>
      <c r="E3929">
        <v>0.51808199999999904</v>
      </c>
      <c r="F3929" t="s">
        <v>41</v>
      </c>
      <c r="G3929">
        <v>-271.8134</v>
      </c>
      <c r="H3929" s="1">
        <v>-3.9009719999999997E-6</v>
      </c>
      <c r="I3929">
        <v>141.14439999999999</v>
      </c>
      <c r="J3929">
        <v>-251.91679999999999</v>
      </c>
      <c r="K3929">
        <v>1.107972</v>
      </c>
      <c r="L3929">
        <v>140.83029999999999</v>
      </c>
      <c r="M3929">
        <v>-0.99978049999999996</v>
      </c>
      <c r="N3929">
        <v>0</v>
      </c>
      <c r="O3929">
        <v>-1.6920640000000001E-2</v>
      </c>
      <c r="P3929">
        <v>-0.99972709999999998</v>
      </c>
      <c r="Q3929">
        <v>1.1869080000000001E-2</v>
      </c>
      <c r="R3929">
        <v>-2.0125179999999999E-2</v>
      </c>
      <c r="S3929">
        <v>-3.0049130000000002</v>
      </c>
      <c r="T3929">
        <v>-0.15805159999999999</v>
      </c>
      <c r="U3929">
        <v>4.263306E-2</v>
      </c>
      <c r="V3929">
        <v>-3.065936E-3</v>
      </c>
      <c r="W3929">
        <v>2.4240330000000001E-2</v>
      </c>
      <c r="X3929">
        <v>0.99970139999999996</v>
      </c>
      <c r="Y3929">
        <v>3.103827E-2</v>
      </c>
      <c r="Z3929">
        <v>1.7050570000000001E-3</v>
      </c>
      <c r="AA3929">
        <v>0.99951670000000004</v>
      </c>
      <c r="AB3929">
        <v>29</v>
      </c>
      <c r="AC3929">
        <v>-19.896599999999999</v>
      </c>
      <c r="AD3929">
        <v>-1.107975900972</v>
      </c>
      <c r="AE3929">
        <v>0.31409999999999599</v>
      </c>
      <c r="AF3929">
        <v>0.64873270467574295</v>
      </c>
      <c r="AG3929">
        <v>-1.107975900972</v>
      </c>
      <c r="AH3929">
        <v>19.826967637155199</v>
      </c>
      <c r="AI3929">
        <v>93.196784178443906</v>
      </c>
      <c r="AJ3929">
        <v>88.125967074334895</v>
      </c>
      <c r="AK3929">
        <v>19.8684954237619</v>
      </c>
      <c r="AL3929">
        <v>88.610995264503899</v>
      </c>
      <c r="AM3929">
        <v>90.175717111445394</v>
      </c>
      <c r="AN3929">
        <v>0.99999994136200998</v>
      </c>
    </row>
    <row r="3930" spans="1:40" x14ac:dyDescent="0.3">
      <c r="A3930" t="str">
        <f>"20200111160534596"</f>
        <v>20200111160534596</v>
      </c>
      <c r="B3930" t="str">
        <f>"1578729934586020"</f>
        <v>1578729934586020</v>
      </c>
      <c r="C3930" t="s">
        <v>40</v>
      </c>
      <c r="D3930">
        <v>5.5537020000000004</v>
      </c>
      <c r="E3930">
        <v>0.51762039999999998</v>
      </c>
      <c r="F3930" t="s">
        <v>41</v>
      </c>
      <c r="G3930">
        <v>-272.5412</v>
      </c>
      <c r="H3930" s="1">
        <v>-3.6318539999999999E-6</v>
      </c>
      <c r="I3930">
        <v>141.3064</v>
      </c>
      <c r="J3930">
        <v>-252.19499999999999</v>
      </c>
      <c r="K3930">
        <v>1.107996</v>
      </c>
      <c r="L3930">
        <v>140.82859999999999</v>
      </c>
      <c r="M3930">
        <v>-0.99982079999999995</v>
      </c>
      <c r="N3930">
        <v>0</v>
      </c>
      <c r="O3930">
        <v>-1.4134020000000001E-2</v>
      </c>
      <c r="P3930">
        <v>-0.99976940000000003</v>
      </c>
      <c r="Q3930">
        <v>1.1682420000000001E-2</v>
      </c>
      <c r="R3930">
        <v>-1.8011840000000001E-2</v>
      </c>
      <c r="S3930">
        <v>-3.0041350000000002</v>
      </c>
      <c r="T3930">
        <v>-0.16138710000000001</v>
      </c>
      <c r="U3930">
        <v>6.9366460000000005E-2</v>
      </c>
      <c r="V3930">
        <v>-3.7395000000000002E-3</v>
      </c>
      <c r="W3930">
        <v>2.4293720000000001E-2</v>
      </c>
      <c r="X3930">
        <v>0.99969790000000003</v>
      </c>
      <c r="Y3930">
        <v>3.713934E-2</v>
      </c>
      <c r="Z3930">
        <v>1.755469E-3</v>
      </c>
      <c r="AA3930">
        <v>0.99930850000000004</v>
      </c>
      <c r="AB3930">
        <v>29</v>
      </c>
      <c r="AC3930">
        <v>-20.3462</v>
      </c>
      <c r="AD3930">
        <v>-1.107999631854</v>
      </c>
      <c r="AE3930">
        <v>0.477800000000002</v>
      </c>
      <c r="AF3930">
        <v>0.76308690607686402</v>
      </c>
      <c r="AG3930">
        <v>-1.107999631854</v>
      </c>
      <c r="AH3930">
        <v>20.277312261710701</v>
      </c>
      <c r="AI3930">
        <v>93.125456670355703</v>
      </c>
      <c r="AJ3930">
        <v>87.844830892127206</v>
      </c>
      <c r="AK3930">
        <v>20.321893547830101</v>
      </c>
      <c r="AL3930">
        <v>88.607935464929895</v>
      </c>
      <c r="AM3930">
        <v>90.214321314646995</v>
      </c>
      <c r="AN3930">
        <v>1.0000000299780401</v>
      </c>
    </row>
    <row r="3931" spans="1:40" x14ac:dyDescent="0.3">
      <c r="A3931" t="str">
        <f>"20200111160534621"</f>
        <v>20200111160534621</v>
      </c>
      <c r="B3931" t="str">
        <f>"1578729934615301"</f>
        <v>1578729934615301</v>
      </c>
      <c r="C3931" t="s">
        <v>40</v>
      </c>
      <c r="D3931">
        <v>5.5244970000000002</v>
      </c>
      <c r="E3931">
        <v>0.51717979999999997</v>
      </c>
      <c r="F3931" t="s">
        <v>41</v>
      </c>
      <c r="G3931">
        <v>-273.47980000000001</v>
      </c>
      <c r="H3931" s="1">
        <v>-3.238208E-6</v>
      </c>
      <c r="I3931">
        <v>141.34030000000001</v>
      </c>
      <c r="J3931">
        <v>-252.5042</v>
      </c>
      <c r="K3931">
        <v>1.10802</v>
      </c>
      <c r="L3931">
        <v>140.82769999999999</v>
      </c>
      <c r="M3931">
        <v>-0.99985690000000005</v>
      </c>
      <c r="N3931">
        <v>0</v>
      </c>
      <c r="O3931">
        <v>-1.10394E-2</v>
      </c>
      <c r="P3931">
        <v>-0.99979750000000001</v>
      </c>
      <c r="Q3931">
        <v>1.2448839999999999E-2</v>
      </c>
      <c r="R3931">
        <v>-1.5823110000000001E-2</v>
      </c>
      <c r="S3931">
        <v>-3.0037989999999999</v>
      </c>
      <c r="T3931">
        <v>-0.156366</v>
      </c>
      <c r="U3931">
        <v>7.2219850000000002E-2</v>
      </c>
      <c r="V3931">
        <v>-4.640333E-3</v>
      </c>
      <c r="W3931">
        <v>2.5296679999999998E-2</v>
      </c>
      <c r="X3931">
        <v>0.99966920000000004</v>
      </c>
      <c r="Y3931">
        <v>3.5009230000000002E-2</v>
      </c>
      <c r="Z3931">
        <v>1.4847269999999999E-3</v>
      </c>
      <c r="AA3931">
        <v>0.99938590000000005</v>
      </c>
      <c r="AB3931">
        <v>29</v>
      </c>
      <c r="AC3931">
        <v>-20.9756</v>
      </c>
      <c r="AD3931">
        <v>-1.108023238208</v>
      </c>
      <c r="AE3931">
        <v>0.51260000000002004</v>
      </c>
      <c r="AF3931">
        <v>0.74207635799832705</v>
      </c>
      <c r="AG3931">
        <v>-1.108023238208</v>
      </c>
      <c r="AH3931">
        <v>20.910348613139998</v>
      </c>
      <c r="AI3931">
        <v>93.031317609781397</v>
      </c>
      <c r="AJ3931">
        <v>87.967513205490306</v>
      </c>
      <c r="AK3931">
        <v>20.952829688148501</v>
      </c>
      <c r="AL3931">
        <v>88.550452346695707</v>
      </c>
      <c r="AM3931">
        <v>90.265957565649899</v>
      </c>
      <c r="AN3931">
        <v>0.99999998206900598</v>
      </c>
    </row>
    <row r="3932" spans="1:40" x14ac:dyDescent="0.3">
      <c r="A3932" t="str">
        <f>"20200111160534643"</f>
        <v>20200111160534643</v>
      </c>
      <c r="B3932" t="str">
        <f>"1578729934635796"</f>
        <v>1578729934635796</v>
      </c>
      <c r="C3932" t="s">
        <v>40</v>
      </c>
      <c r="D3932">
        <v>5.5435869999999996</v>
      </c>
      <c r="E3932">
        <v>0.51702119999999996</v>
      </c>
      <c r="F3932" t="s">
        <v>41</v>
      </c>
      <c r="G3932">
        <v>-273.3193</v>
      </c>
      <c r="H3932" s="1">
        <v>-3.308347E-6</v>
      </c>
      <c r="I3932">
        <v>141.34520000000001</v>
      </c>
      <c r="J3932">
        <v>-252.8048</v>
      </c>
      <c r="K3932">
        <v>1.108047</v>
      </c>
      <c r="L3932">
        <v>140.82759999999999</v>
      </c>
      <c r="M3932">
        <v>-0.99988290000000002</v>
      </c>
      <c r="N3932">
        <v>0</v>
      </c>
      <c r="O3932">
        <v>-8.0333790000000002E-3</v>
      </c>
      <c r="P3932">
        <v>-0.99982070000000001</v>
      </c>
      <c r="Q3932">
        <v>1.352794E-2</v>
      </c>
      <c r="R3932">
        <v>-1.3248619999999999E-2</v>
      </c>
      <c r="S3932">
        <v>-3.003784</v>
      </c>
      <c r="T3932">
        <v>-0.15989690000000001</v>
      </c>
      <c r="U3932">
        <v>7.4691770000000005E-2</v>
      </c>
      <c r="V3932">
        <v>-5.0658389999999999E-3</v>
      </c>
      <c r="W3932">
        <v>2.6573690000000001E-2</v>
      </c>
      <c r="X3932">
        <v>0.99963400000000002</v>
      </c>
      <c r="Y3932">
        <v>3.2831159999999998E-2</v>
      </c>
      <c r="Z3932">
        <v>1.300385E-3</v>
      </c>
      <c r="AA3932">
        <v>0.99946000000000002</v>
      </c>
      <c r="AB3932">
        <v>29</v>
      </c>
      <c r="AC3932">
        <v>-20.514500000000002</v>
      </c>
      <c r="AD3932">
        <v>-1.1080503083469999</v>
      </c>
      <c r="AE3932">
        <v>0.51760000000001505</v>
      </c>
      <c r="AF3932">
        <v>0.68041424707639597</v>
      </c>
      <c r="AG3932">
        <v>-1.1080503083469999</v>
      </c>
      <c r="AH3932">
        <v>20.450056303672799</v>
      </c>
      <c r="AI3932">
        <v>93.099726335646807</v>
      </c>
      <c r="AJ3932">
        <v>88.094357888534304</v>
      </c>
      <c r="AK3932">
        <v>20.4913528557008</v>
      </c>
      <c r="AL3932">
        <v>88.477260432266903</v>
      </c>
      <c r="AM3932">
        <v>90.2903549796563</v>
      </c>
      <c r="AN3932">
        <v>0.99999997884049396</v>
      </c>
    </row>
    <row r="3933" spans="1:40" x14ac:dyDescent="0.3">
      <c r="A3933" t="str">
        <f>"20200111160534666"</f>
        <v>20200111160534666</v>
      </c>
      <c r="B3933" t="str">
        <f>"1578729934655316"</f>
        <v>1578729934655316</v>
      </c>
      <c r="C3933" t="s">
        <v>40</v>
      </c>
      <c r="D3933">
        <v>5.5816100000000004</v>
      </c>
      <c r="E3933">
        <v>0.51669489999999996</v>
      </c>
      <c r="F3933" t="s">
        <v>41</v>
      </c>
      <c r="G3933">
        <v>-273.6696</v>
      </c>
      <c r="H3933" s="1">
        <v>-3.1696940000000002E-6</v>
      </c>
      <c r="I3933">
        <v>141.3887</v>
      </c>
      <c r="J3933">
        <v>-253.0848</v>
      </c>
      <c r="K3933">
        <v>1.10806</v>
      </c>
      <c r="L3933">
        <v>140.82849999999999</v>
      </c>
      <c r="M3933">
        <v>-0.99989950000000005</v>
      </c>
      <c r="N3933">
        <v>0</v>
      </c>
      <c r="O3933">
        <v>-5.2388269999999997E-3</v>
      </c>
      <c r="P3933">
        <v>-0.99984839999999997</v>
      </c>
      <c r="Q3933">
        <v>1.368521E-2</v>
      </c>
      <c r="R3933">
        <v>-1.07692E-2</v>
      </c>
      <c r="S3933">
        <v>-3.003784</v>
      </c>
      <c r="T3933">
        <v>-0.1595201</v>
      </c>
      <c r="U3933">
        <v>8.0795290000000006E-2</v>
      </c>
      <c r="V3933">
        <v>-5.3799149999999999E-3</v>
      </c>
      <c r="W3933">
        <v>2.6889719999999999E-2</v>
      </c>
      <c r="X3933">
        <v>0.99962399999999996</v>
      </c>
      <c r="Y3933">
        <v>3.2072589999999998E-2</v>
      </c>
      <c r="Z3933">
        <v>1.128874E-3</v>
      </c>
      <c r="AA3933">
        <v>0.99948490000000001</v>
      </c>
      <c r="AB3933">
        <v>29</v>
      </c>
      <c r="AC3933">
        <v>-20.584800000000001</v>
      </c>
      <c r="AD3933">
        <v>-1.108063169694</v>
      </c>
      <c r="AE3933">
        <v>0.56020000000000802</v>
      </c>
      <c r="AF3933">
        <v>0.66611318680500797</v>
      </c>
      <c r="AG3933">
        <v>-1.108063169694</v>
      </c>
      <c r="AH3933">
        <v>20.522161786489001</v>
      </c>
      <c r="AI3933">
        <v>93.088974589306503</v>
      </c>
      <c r="AJ3933">
        <v>88.1409327033887</v>
      </c>
      <c r="AK3933">
        <v>20.562845988736498</v>
      </c>
      <c r="AL3933">
        <v>88.459146915549795</v>
      </c>
      <c r="AM3933">
        <v>90.308359390675406</v>
      </c>
      <c r="AN3933">
        <v>1.00000007095154</v>
      </c>
    </row>
    <row r="3934" spans="1:40" x14ac:dyDescent="0.3">
      <c r="A3934" t="str">
        <f>"20200111160534686"</f>
        <v>20200111160534686</v>
      </c>
      <c r="B3934" t="str">
        <f>"1578729934675812"</f>
        <v>1578729934675812</v>
      </c>
      <c r="C3934" t="s">
        <v>40</v>
      </c>
      <c r="D3934">
        <v>6.3331269999999904</v>
      </c>
      <c r="E3934">
        <v>0.51668409999999998</v>
      </c>
      <c r="F3934" t="s">
        <v>41</v>
      </c>
      <c r="G3934">
        <v>-273.26280000000003</v>
      </c>
      <c r="H3934" s="1">
        <v>-3.3470610000000001E-6</v>
      </c>
      <c r="I3934">
        <v>141.39940000000001</v>
      </c>
      <c r="J3934">
        <v>-253.3563</v>
      </c>
      <c r="K3934">
        <v>1.108077</v>
      </c>
      <c r="L3934">
        <v>140.83000000000001</v>
      </c>
      <c r="M3934">
        <v>-0.99990829999999997</v>
      </c>
      <c r="N3934">
        <v>0</v>
      </c>
      <c r="O3934">
        <v>-2.535289E-3</v>
      </c>
      <c r="P3934">
        <v>-0.99987360000000003</v>
      </c>
      <c r="Q3934">
        <v>1.332068E-2</v>
      </c>
      <c r="R3934">
        <v>-8.6763440000000008E-3</v>
      </c>
      <c r="S3934">
        <v>-3.0036320000000001</v>
      </c>
      <c r="T3934">
        <v>-0.1649436</v>
      </c>
      <c r="U3934">
        <v>8.5006709999999999E-2</v>
      </c>
      <c r="V3934">
        <v>-5.9924549999999998E-3</v>
      </c>
      <c r="W3934">
        <v>2.6661879999999999E-2</v>
      </c>
      <c r="X3934">
        <v>0.99962660000000003</v>
      </c>
      <c r="Y3934">
        <v>3.077425E-2</v>
      </c>
      <c r="Z3934">
        <v>9.8328039999999992E-4</v>
      </c>
      <c r="AA3934">
        <v>0.99952589999999997</v>
      </c>
      <c r="AB3934">
        <v>29</v>
      </c>
      <c r="AC3934">
        <v>-19.906500000000001</v>
      </c>
      <c r="AD3934">
        <v>-1.1080803470609999</v>
      </c>
      <c r="AE3934">
        <v>0.56940000000000102</v>
      </c>
      <c r="AF3934">
        <v>0.61795818300140903</v>
      </c>
      <c r="AG3934">
        <v>-1.1080803470609999</v>
      </c>
      <c r="AH3934">
        <v>19.843557125556199</v>
      </c>
      <c r="AI3934">
        <v>93.194578120506193</v>
      </c>
      <c r="AJ3934">
        <v>88.216299799178103</v>
      </c>
      <c r="AK3934">
        <v>19.8840758841514</v>
      </c>
      <c r="AL3934">
        <v>88.472205838802296</v>
      </c>
      <c r="AM3934">
        <v>90.343466518084696</v>
      </c>
      <c r="AN3934">
        <v>1.0000000523948001</v>
      </c>
    </row>
    <row r="3935" spans="1:40" x14ac:dyDescent="0.3">
      <c r="A3935" t="str">
        <f>"20200111160534708"</f>
        <v>20200111160534708</v>
      </c>
      <c r="B3935" t="str">
        <f>"1578729934705093"</f>
        <v>1578729934705093</v>
      </c>
      <c r="C3935" t="s">
        <v>40</v>
      </c>
      <c r="D3935">
        <v>5.6639710000000001</v>
      </c>
      <c r="E3935">
        <v>0.47692000000000001</v>
      </c>
      <c r="F3935" t="s">
        <v>41</v>
      </c>
      <c r="G3935">
        <v>-273</v>
      </c>
      <c r="H3935" s="1">
        <v>-3.466016E-6</v>
      </c>
      <c r="I3935">
        <v>141.4229</v>
      </c>
      <c r="J3935">
        <v>-253.64689999999999</v>
      </c>
      <c r="K3935">
        <v>1.1080950000000001</v>
      </c>
      <c r="L3935">
        <v>140.83240000000001</v>
      </c>
      <c r="M3935">
        <v>-0.99990979999999996</v>
      </c>
      <c r="N3935">
        <v>0</v>
      </c>
      <c r="O3935">
        <v>3.5314580000000002E-4</v>
      </c>
      <c r="P3935">
        <v>-0.99989209999999995</v>
      </c>
      <c r="Q3935">
        <v>1.289446E-2</v>
      </c>
      <c r="R3935">
        <v>-7.0471149999999996E-3</v>
      </c>
      <c r="S3935">
        <v>-3.0034179999999999</v>
      </c>
      <c r="T3935">
        <v>-0.16941970000000001</v>
      </c>
      <c r="U3935">
        <v>9.0667719999999993E-2</v>
      </c>
      <c r="V3935">
        <v>-7.2542229999999997E-3</v>
      </c>
      <c r="W3935">
        <v>2.6366339999999999E-2</v>
      </c>
      <c r="X3935">
        <v>0.99962600000000001</v>
      </c>
      <c r="Y3935">
        <v>2.9774689999999999E-2</v>
      </c>
      <c r="Z3935">
        <v>8.1902009999999998E-4</v>
      </c>
      <c r="AA3935">
        <v>0.99955629999999995</v>
      </c>
      <c r="AB3935">
        <v>29</v>
      </c>
      <c r="AC3935">
        <v>-19.353100000000001</v>
      </c>
      <c r="AD3935">
        <v>-1.108098466016</v>
      </c>
      <c r="AE3935">
        <v>0.59049999999999103</v>
      </c>
      <c r="AF3935">
        <v>0.58175944258689904</v>
      </c>
      <c r="AG3935">
        <v>-1.108098466016</v>
      </c>
      <c r="AH3935">
        <v>19.290126333835001</v>
      </c>
      <c r="AI3935">
        <v>93.286184348392595</v>
      </c>
      <c r="AJ3935">
        <v>88.272574264191903</v>
      </c>
      <c r="AK3935">
        <v>19.330682870368001</v>
      </c>
      <c r="AL3935">
        <v>88.489144868955407</v>
      </c>
      <c r="AM3935">
        <v>90.415784568967993</v>
      </c>
      <c r="AN3935">
        <v>0.99999997375616401</v>
      </c>
    </row>
    <row r="3936" spans="1:40" x14ac:dyDescent="0.3">
      <c r="A3936" t="str">
        <f>"20200111160534732"</f>
        <v>20200111160534732</v>
      </c>
      <c r="B3936" t="str">
        <f>"1578729934725588"</f>
        <v>1578729934725588</v>
      </c>
      <c r="C3936" t="s">
        <v>40</v>
      </c>
      <c r="D3936">
        <v>5.6394580000000003</v>
      </c>
      <c r="E3936">
        <v>0.4758213</v>
      </c>
      <c r="F3936" t="s">
        <v>41</v>
      </c>
      <c r="G3936">
        <v>-268.58190000000002</v>
      </c>
      <c r="H3936" s="1">
        <v>-6.1370189999999995E-7</v>
      </c>
      <c r="I3936">
        <v>139.70269999999999</v>
      </c>
      <c r="J3936">
        <v>-253.95050000000001</v>
      </c>
      <c r="K3936">
        <v>1.1081179999999999</v>
      </c>
      <c r="L3936">
        <v>140.83590000000001</v>
      </c>
      <c r="M3936">
        <v>-0.99990259999999997</v>
      </c>
      <c r="N3936">
        <v>0</v>
      </c>
      <c r="O3936">
        <v>3.365294E-3</v>
      </c>
      <c r="P3936">
        <v>-0.99988370000000004</v>
      </c>
      <c r="Q3936">
        <v>1.3772059999999999E-2</v>
      </c>
      <c r="R3936">
        <v>-6.5583999999999998E-3</v>
      </c>
      <c r="S3936">
        <v>-3.0015869999999998</v>
      </c>
      <c r="T3936">
        <v>-0.22270209999999999</v>
      </c>
      <c r="U3936">
        <v>-0.2270355</v>
      </c>
      <c r="V3936">
        <v>-9.7725989999999999E-3</v>
      </c>
      <c r="W3936">
        <v>2.736924E-2</v>
      </c>
      <c r="X3936">
        <v>0.99957759999999996</v>
      </c>
      <c r="Y3936">
        <v>-7.8554730000000003E-2</v>
      </c>
      <c r="Z3936">
        <v>-3.155064E-3</v>
      </c>
      <c r="AA3936">
        <v>0.99690480000000004</v>
      </c>
      <c r="AB3936">
        <v>29</v>
      </c>
      <c r="AC3936">
        <v>-14.631399999999999</v>
      </c>
      <c r="AD3936">
        <v>-1.1081186137018999</v>
      </c>
      <c r="AE3936">
        <v>-1.13320000000001</v>
      </c>
      <c r="AF3936">
        <v>-1.1757333976454101</v>
      </c>
      <c r="AG3936">
        <v>-1.1081186137018999</v>
      </c>
      <c r="AH3936">
        <v>14.544574613016101</v>
      </c>
      <c r="AI3936">
        <v>94.342709222766402</v>
      </c>
      <c r="AJ3936">
        <v>94.621544704824501</v>
      </c>
      <c r="AK3936">
        <v>14.634033161024499</v>
      </c>
      <c r="AL3936">
        <v>88.431662184026493</v>
      </c>
      <c r="AM3936">
        <v>90.560147444724095</v>
      </c>
      <c r="AN3936">
        <v>0.999999978705575</v>
      </c>
    </row>
    <row r="3937" spans="1:40" x14ac:dyDescent="0.3">
      <c r="A3937" t="str">
        <f>"20200111160534754"</f>
        <v>20200111160534754</v>
      </c>
      <c r="B3937" t="str">
        <f>"1578729934745108"</f>
        <v>1578729934745108</v>
      </c>
      <c r="C3937" t="s">
        <v>40</v>
      </c>
      <c r="D3937">
        <v>5.6198750000000004</v>
      </c>
      <c r="E3937">
        <v>0.47554370000000001</v>
      </c>
      <c r="F3937" t="s">
        <v>41</v>
      </c>
      <c r="G3937">
        <v>-268.2253</v>
      </c>
      <c r="H3937" s="1">
        <v>-7.7017619999999895E-7</v>
      </c>
      <c r="I3937">
        <v>139.7159</v>
      </c>
      <c r="J3937">
        <v>-254.245</v>
      </c>
      <c r="K3937">
        <v>1.1081449999999999</v>
      </c>
      <c r="L3937">
        <v>140.84010000000001</v>
      </c>
      <c r="M3937">
        <v>-0.99988730000000003</v>
      </c>
      <c r="N3937">
        <v>0</v>
      </c>
      <c r="O3937">
        <v>6.2835950000000003E-3</v>
      </c>
      <c r="P3937">
        <v>-0.99985769999999996</v>
      </c>
      <c r="Q3937">
        <v>1.5751279999999999E-2</v>
      </c>
      <c r="R3937">
        <v>-6.0587879999999998E-3</v>
      </c>
      <c r="S3937">
        <v>-3.0020289999999998</v>
      </c>
      <c r="T3937">
        <v>-0.23303960000000001</v>
      </c>
      <c r="U3937">
        <v>-0.23551939999999999</v>
      </c>
      <c r="V3937">
        <v>-1.2180760000000001E-2</v>
      </c>
      <c r="W3937">
        <v>2.9453610000000002E-2</v>
      </c>
      <c r="X3937">
        <v>0.99949189999999999</v>
      </c>
      <c r="Y3937">
        <v>-8.4205870000000002E-2</v>
      </c>
      <c r="Z3937">
        <v>-3.7448210000000002E-3</v>
      </c>
      <c r="AA3937">
        <v>0.99644140000000003</v>
      </c>
      <c r="AB3937">
        <v>29</v>
      </c>
      <c r="AC3937">
        <v>-13.9803</v>
      </c>
      <c r="AD3937">
        <v>-1.1081457701761901</v>
      </c>
      <c r="AE3937">
        <v>-1.1242000000000001</v>
      </c>
      <c r="AF3937">
        <v>-1.20451328518142</v>
      </c>
      <c r="AG3937">
        <v>-1.1081457701761901</v>
      </c>
      <c r="AH3937">
        <v>13.886273608665</v>
      </c>
      <c r="AI3937">
        <v>94.545624676570498</v>
      </c>
      <c r="AJ3937">
        <v>94.957501173745101</v>
      </c>
      <c r="AK3937">
        <v>13.9823972921972</v>
      </c>
      <c r="AL3937">
        <v>88.312188314789097</v>
      </c>
      <c r="AM3937">
        <v>90.698226359727599</v>
      </c>
      <c r="AN3937">
        <v>0.99999997211090896</v>
      </c>
    </row>
    <row r="3938" spans="1:40" x14ac:dyDescent="0.3">
      <c r="A3938" t="str">
        <f>"20200111160534776"</f>
        <v>20200111160534776</v>
      </c>
      <c r="B3938" t="str">
        <f>"1578729934765604"</f>
        <v>1578729934765604</v>
      </c>
      <c r="C3938" t="s">
        <v>40</v>
      </c>
      <c r="D3938">
        <v>5.5805619999999996</v>
      </c>
      <c r="E3938">
        <v>0.47508030000000001</v>
      </c>
      <c r="F3938" t="s">
        <v>41</v>
      </c>
      <c r="G3938">
        <v>-268.78960000000001</v>
      </c>
      <c r="H3938" s="1">
        <v>-5.2294860000000001E-7</v>
      </c>
      <c r="I3938">
        <v>139.69640000000001</v>
      </c>
      <c r="J3938">
        <v>-254.51730000000001</v>
      </c>
      <c r="K3938">
        <v>1.1081639999999999</v>
      </c>
      <c r="L3938">
        <v>140.84479999999999</v>
      </c>
      <c r="M3938">
        <v>-0.99986569999999997</v>
      </c>
      <c r="N3938">
        <v>0</v>
      </c>
      <c r="O3938">
        <v>8.9797319999999903E-3</v>
      </c>
      <c r="P3938">
        <v>-0.99986240000000004</v>
      </c>
      <c r="Q3938">
        <v>1.5923779999999998E-2</v>
      </c>
      <c r="R3938">
        <v>-4.6700129999999998E-3</v>
      </c>
      <c r="S3938">
        <v>-3.0025629999999999</v>
      </c>
      <c r="T3938">
        <v>-0.22876450000000001</v>
      </c>
      <c r="U3938">
        <v>-0.23608399999999999</v>
      </c>
      <c r="V3938">
        <v>-1.3487000000000001E-2</v>
      </c>
      <c r="W3938">
        <v>2.9707649999999999E-2</v>
      </c>
      <c r="X3938">
        <v>0.99946760000000001</v>
      </c>
      <c r="Y3938">
        <v>-8.7058659999999996E-2</v>
      </c>
      <c r="Z3938">
        <v>-3.9888500000000004E-3</v>
      </c>
      <c r="AA3938">
        <v>0.99619519999999995</v>
      </c>
      <c r="AB3938">
        <v>29</v>
      </c>
      <c r="AC3938">
        <v>-14.2723</v>
      </c>
      <c r="AD3938">
        <v>-1.1081645229485999</v>
      </c>
      <c r="AE3938">
        <v>-1.1483999999999801</v>
      </c>
      <c r="AF3938">
        <v>-1.26892645185097</v>
      </c>
      <c r="AG3938">
        <v>-1.1081645229485999</v>
      </c>
      <c r="AH3938">
        <v>14.1764957086473</v>
      </c>
      <c r="AI3938">
        <v>94.451946229612304</v>
      </c>
      <c r="AJ3938">
        <v>95.114867162689904</v>
      </c>
      <c r="AK3938">
        <v>14.2762471794034</v>
      </c>
      <c r="AL3938">
        <v>88.297626507648999</v>
      </c>
      <c r="AM3938">
        <v>90.773112884702698</v>
      </c>
      <c r="AN3938">
        <v>0.99999996354363996</v>
      </c>
    </row>
    <row r="3939" spans="1:40" x14ac:dyDescent="0.3">
      <c r="A3939" t="str">
        <f>"20200111160534797"</f>
        <v>20200111160534797</v>
      </c>
      <c r="B3939" t="str">
        <f>"1578729934795860"</f>
        <v>1578729934795860</v>
      </c>
      <c r="C3939" t="s">
        <v>40</v>
      </c>
      <c r="D3939">
        <v>5.5941020000000004</v>
      </c>
      <c r="E3939">
        <v>0.47465039999999997</v>
      </c>
      <c r="F3939" t="s">
        <v>41</v>
      </c>
      <c r="G3939">
        <v>-268.86720000000003</v>
      </c>
      <c r="H3939" s="1">
        <v>-4.9579520000000004E-7</v>
      </c>
      <c r="I3939">
        <v>139.71950000000001</v>
      </c>
      <c r="J3939">
        <v>-254.79900000000001</v>
      </c>
      <c r="K3939">
        <v>1.1081719999999999</v>
      </c>
      <c r="L3939">
        <v>140.8503</v>
      </c>
      <c r="M3939">
        <v>-0.99983580000000005</v>
      </c>
      <c r="N3939">
        <v>0</v>
      </c>
      <c r="O3939">
        <v>1.1767629999999999E-2</v>
      </c>
      <c r="P3939">
        <v>-0.99988390000000005</v>
      </c>
      <c r="Q3939">
        <v>1.497822E-2</v>
      </c>
      <c r="R3939">
        <v>-2.8148520000000001E-3</v>
      </c>
      <c r="S3939">
        <v>-3.0029910000000002</v>
      </c>
      <c r="T3939">
        <v>-0.23190569999999999</v>
      </c>
      <c r="U3939">
        <v>-0.23547360000000001</v>
      </c>
      <c r="V3939">
        <v>-1.44248E-2</v>
      </c>
      <c r="W3939">
        <v>2.883399E-2</v>
      </c>
      <c r="X3939">
        <v>0.99948009999999998</v>
      </c>
      <c r="Y3939">
        <v>-8.9600360000000004E-2</v>
      </c>
      <c r="Z3939">
        <v>-4.3554709999999996E-3</v>
      </c>
      <c r="AA3939">
        <v>0.99596830000000003</v>
      </c>
      <c r="AB3939">
        <v>29</v>
      </c>
      <c r="AC3939">
        <v>-14.068199999999999</v>
      </c>
      <c r="AD3939">
        <v>-1.1081724957951999</v>
      </c>
      <c r="AE3939">
        <v>-1.13079999999999</v>
      </c>
      <c r="AF3939">
        <v>-1.2883439996386301</v>
      </c>
      <c r="AG3939">
        <v>-1.1081724957951999</v>
      </c>
      <c r="AH3939">
        <v>13.9678045840369</v>
      </c>
      <c r="AI3939">
        <v>94.517115183365505</v>
      </c>
      <c r="AJ3939">
        <v>95.269861917893707</v>
      </c>
      <c r="AK3939">
        <v>14.0708010233847</v>
      </c>
      <c r="AL3939">
        <v>88.347705013631199</v>
      </c>
      <c r="AM3939">
        <v>90.8268526652936</v>
      </c>
      <c r="AN3939">
        <v>0.99999997206518398</v>
      </c>
    </row>
    <row r="3940" spans="1:40" x14ac:dyDescent="0.3">
      <c r="A3940" t="str">
        <f>"20200111160534821"</f>
        <v>20200111160534821</v>
      </c>
      <c r="B3940" t="str">
        <f>"1578729934815380"</f>
        <v>1578729934815380</v>
      </c>
      <c r="C3940" t="s">
        <v>40</v>
      </c>
      <c r="D3940">
        <v>5.6197689999999998</v>
      </c>
      <c r="E3940">
        <v>0.47442899999999999</v>
      </c>
      <c r="F3940" t="s">
        <v>41</v>
      </c>
      <c r="G3940">
        <v>-268.64780000000002</v>
      </c>
      <c r="H3940" s="1">
        <v>-6.0388709999999995E-7</v>
      </c>
      <c r="I3940">
        <v>139.77209999999999</v>
      </c>
      <c r="J3940">
        <v>-255.09379999999999</v>
      </c>
      <c r="K3940">
        <v>1.1081890000000001</v>
      </c>
      <c r="L3940">
        <v>140.857</v>
      </c>
      <c r="M3940">
        <v>-0.99979660000000004</v>
      </c>
      <c r="N3940">
        <v>0</v>
      </c>
      <c r="O3940">
        <v>1.468094E-2</v>
      </c>
      <c r="P3940">
        <v>-0.99990559999999995</v>
      </c>
      <c r="Q3940">
        <v>1.3748069999999999E-2</v>
      </c>
      <c r="R3940">
        <v>1.5358710000000001E-4</v>
      </c>
      <c r="S3940">
        <v>-3.0032960000000002</v>
      </c>
      <c r="T3940">
        <v>-0.2403217</v>
      </c>
      <c r="U3940">
        <v>-0.2338104</v>
      </c>
      <c r="V3940">
        <v>-1.437714E-2</v>
      </c>
      <c r="W3940">
        <v>2.7662860000000001E-2</v>
      </c>
      <c r="X3940">
        <v>0.99951389999999996</v>
      </c>
      <c r="Y3940">
        <v>-9.1907359999999994E-2</v>
      </c>
      <c r="Z3940">
        <v>-4.8371630000000002E-3</v>
      </c>
      <c r="AA3940">
        <v>0.99575579999999997</v>
      </c>
      <c r="AB3940">
        <v>29</v>
      </c>
      <c r="AC3940">
        <v>-13.554</v>
      </c>
      <c r="AD3940">
        <v>-1.1081896038871</v>
      </c>
      <c r="AE3940">
        <v>-1.0849</v>
      </c>
      <c r="AF3940">
        <v>-1.2753164900507099</v>
      </c>
      <c r="AG3940">
        <v>-1.1081896038871</v>
      </c>
      <c r="AH3940">
        <v>13.4472889642713</v>
      </c>
      <c r="AI3940">
        <v>94.690142673860706</v>
      </c>
      <c r="AJ3940">
        <v>95.417624015933498</v>
      </c>
      <c r="AK3940">
        <v>13.553010618920499</v>
      </c>
      <c r="AL3940">
        <v>88.414832636293596</v>
      </c>
      <c r="AM3940">
        <v>90.824093230091904</v>
      </c>
      <c r="AN3940">
        <v>0.99999998613558405</v>
      </c>
    </row>
    <row r="3941" spans="1:40" x14ac:dyDescent="0.3">
      <c r="A3941" t="str">
        <f>"20200111160534844"</f>
        <v>20200111160534844</v>
      </c>
      <c r="B3941" t="str">
        <f>"1578729934835876"</f>
        <v>1578729934835876</v>
      </c>
      <c r="C3941" t="s">
        <v>40</v>
      </c>
      <c r="D3941">
        <v>5.7037250000000004</v>
      </c>
      <c r="E3941">
        <v>0.47419939999999999</v>
      </c>
      <c r="F3941" t="s">
        <v>41</v>
      </c>
      <c r="G3941">
        <v>-268.80099999999999</v>
      </c>
      <c r="H3941" s="1">
        <v>-5.5188209999999898E-7</v>
      </c>
      <c r="I3941">
        <v>139.8236</v>
      </c>
      <c r="J3941">
        <v>-255.39099999999999</v>
      </c>
      <c r="K3941">
        <v>1.108217</v>
      </c>
      <c r="L3941">
        <v>140.8646</v>
      </c>
      <c r="M3941">
        <v>-0.99974870000000005</v>
      </c>
      <c r="N3941">
        <v>0</v>
      </c>
      <c r="O3941">
        <v>1.759993E-2</v>
      </c>
      <c r="P3941">
        <v>-0.99990590000000001</v>
      </c>
      <c r="Q3941">
        <v>1.3387069999999999E-2</v>
      </c>
      <c r="R3941">
        <v>3.0518110000000002E-3</v>
      </c>
      <c r="S3941">
        <v>-3.0036619999999998</v>
      </c>
      <c r="T3941">
        <v>-0.24283930000000001</v>
      </c>
      <c r="U3941">
        <v>-0.22644039999999999</v>
      </c>
      <c r="V3941">
        <v>-1.440109E-2</v>
      </c>
      <c r="W3941">
        <v>2.7353039999999999E-2</v>
      </c>
      <c r="X3941">
        <v>0.99952209999999997</v>
      </c>
      <c r="Y3941">
        <v>-9.2358120000000002E-2</v>
      </c>
      <c r="Z3941">
        <v>-5.1410479999999996E-3</v>
      </c>
      <c r="AA3941">
        <v>0.99571259999999995</v>
      </c>
      <c r="AB3941">
        <v>29</v>
      </c>
      <c r="AC3941">
        <v>-13.409999999999901</v>
      </c>
      <c r="AD3941">
        <v>-1.1082175518821</v>
      </c>
      <c r="AE3941">
        <v>-1.0409999999999899</v>
      </c>
      <c r="AF3941">
        <v>-1.2682667270514301</v>
      </c>
      <c r="AG3941">
        <v>-1.1082175518821</v>
      </c>
      <c r="AH3941">
        <v>13.2993148725943</v>
      </c>
      <c r="AI3941">
        <v>94.741976022109597</v>
      </c>
      <c r="AJ3941">
        <v>95.447441907516406</v>
      </c>
      <c r="AK3941">
        <v>13.405537016981199</v>
      </c>
      <c r="AL3941">
        <v>88.432590763416897</v>
      </c>
      <c r="AM3941">
        <v>90.825459075787094</v>
      </c>
      <c r="AN3941">
        <v>1.0000000042894199</v>
      </c>
    </row>
    <row r="3942" spans="1:40" x14ac:dyDescent="0.3">
      <c r="A3942" t="str">
        <f>"20200111160534866"</f>
        <v>20200111160534866</v>
      </c>
      <c r="B3942" t="str">
        <f>"1578729934855396"</f>
        <v>1578729934855396</v>
      </c>
      <c r="C3942" t="s">
        <v>40</v>
      </c>
      <c r="D3942">
        <v>5.6590579999999999</v>
      </c>
      <c r="E3942">
        <v>0.47380119999999998</v>
      </c>
      <c r="F3942" t="s">
        <v>41</v>
      </c>
      <c r="G3942">
        <v>-269.00889999999998</v>
      </c>
      <c r="H3942" s="1">
        <v>-4.7503030000000002E-7</v>
      </c>
      <c r="I3942">
        <v>139.87</v>
      </c>
      <c r="J3942">
        <v>-255.6688</v>
      </c>
      <c r="K3942">
        <v>1.1082590000000001</v>
      </c>
      <c r="L3942">
        <v>140.8725</v>
      </c>
      <c r="M3942">
        <v>-0.99969710000000001</v>
      </c>
      <c r="N3942">
        <v>0</v>
      </c>
      <c r="O3942">
        <v>2.0291750000000001E-2</v>
      </c>
      <c r="P3942">
        <v>-0.99988339999999998</v>
      </c>
      <c r="Q3942">
        <v>1.409261E-2</v>
      </c>
      <c r="R3942">
        <v>5.9266259999999999E-3</v>
      </c>
      <c r="S3942">
        <v>-3.0042420000000001</v>
      </c>
      <c r="T3942">
        <v>-0.2444839</v>
      </c>
      <c r="U3942">
        <v>-0.2193909</v>
      </c>
      <c r="V3942">
        <v>-1.4216350000000001E-2</v>
      </c>
      <c r="W3942">
        <v>2.80971E-2</v>
      </c>
      <c r="X3942">
        <v>0.99950410000000001</v>
      </c>
      <c r="Y3942">
        <v>-9.2686240000000003E-2</v>
      </c>
      <c r="Z3942">
        <v>-5.4069829999999998E-3</v>
      </c>
      <c r="AA3942">
        <v>0.99568069999999997</v>
      </c>
      <c r="AB3942">
        <v>29</v>
      </c>
      <c r="AC3942">
        <v>-13.3400999999999</v>
      </c>
      <c r="AD3942">
        <v>-1.1082594750303001</v>
      </c>
      <c r="AE3942">
        <v>-1.00249999999999</v>
      </c>
      <c r="AF3942">
        <v>-1.2643365340800701</v>
      </c>
      <c r="AG3942">
        <v>-1.1082594750303001</v>
      </c>
      <c r="AH3942">
        <v>13.226235606737401</v>
      </c>
      <c r="AI3942">
        <v>94.7681328799315</v>
      </c>
      <c r="AJ3942">
        <v>95.460487383556497</v>
      </c>
      <c r="AK3942">
        <v>13.3326701849379</v>
      </c>
      <c r="AL3942">
        <v>88.389942861598399</v>
      </c>
      <c r="AM3942">
        <v>90.814886035383907</v>
      </c>
      <c r="AN3942">
        <v>0.99999999877627099</v>
      </c>
    </row>
    <row r="3943" spans="1:40" x14ac:dyDescent="0.3">
      <c r="A3943" t="str">
        <f>"20200111160534887"</f>
        <v>20200111160534887</v>
      </c>
      <c r="B3943" t="str">
        <f>"1578729934875892"</f>
        <v>1578729934875892</v>
      </c>
      <c r="C3943" t="s">
        <v>40</v>
      </c>
      <c r="D3943">
        <v>5.7884099999999998</v>
      </c>
      <c r="E3943">
        <v>0.47351199999999999</v>
      </c>
      <c r="F3943" t="s">
        <v>41</v>
      </c>
      <c r="G3943">
        <v>-269.36579999999998</v>
      </c>
      <c r="H3943" s="1">
        <v>-3.2975909999999997E-7</v>
      </c>
      <c r="I3943">
        <v>139.89949999999999</v>
      </c>
      <c r="J3943">
        <v>-255.94380000000001</v>
      </c>
      <c r="K3943">
        <v>1.108306</v>
      </c>
      <c r="L3943">
        <v>140.881</v>
      </c>
      <c r="M3943">
        <v>-0.99963990000000003</v>
      </c>
      <c r="N3943">
        <v>0</v>
      </c>
      <c r="O3943">
        <v>2.2917799999999999E-2</v>
      </c>
      <c r="P3943">
        <v>-0.99985179999999996</v>
      </c>
      <c r="Q3943">
        <v>1.493679E-2</v>
      </c>
      <c r="R3943">
        <v>8.5919480000000003E-3</v>
      </c>
      <c r="S3943">
        <v>-3.0050349999999999</v>
      </c>
      <c r="T3943">
        <v>-0.2431461</v>
      </c>
      <c r="U3943">
        <v>-0.21345520000000001</v>
      </c>
      <c r="V3943">
        <v>-1.4175490000000001E-2</v>
      </c>
      <c r="W3943">
        <v>2.8972689999999999E-2</v>
      </c>
      <c r="X3943">
        <v>0.99947969999999997</v>
      </c>
      <c r="Y3943">
        <v>-9.3319689999999997E-2</v>
      </c>
      <c r="Z3943">
        <v>-5.6139400000000004E-3</v>
      </c>
      <c r="AA3943">
        <v>0.99562039999999996</v>
      </c>
      <c r="AB3943">
        <v>29</v>
      </c>
      <c r="AC3943">
        <v>-13.421999999999899</v>
      </c>
      <c r="AD3943">
        <v>-1.1083063297591</v>
      </c>
      <c r="AE3943">
        <v>-0.98150000000001103</v>
      </c>
      <c r="AF3943">
        <v>-1.2801923564537701</v>
      </c>
      <c r="AG3943">
        <v>-1.1083063297591</v>
      </c>
      <c r="AH3943">
        <v>13.3057362195556</v>
      </c>
      <c r="AI3943">
        <v>94.739695149231494</v>
      </c>
      <c r="AJ3943">
        <v>95.495715000413597</v>
      </c>
      <c r="AK3943">
        <v>13.413047816752901</v>
      </c>
      <c r="AL3943">
        <v>88.339754840218802</v>
      </c>
      <c r="AM3943">
        <v>90.812564074440402</v>
      </c>
      <c r="AN3943">
        <v>1.0000000159973299</v>
      </c>
    </row>
    <row r="3944" spans="1:40" x14ac:dyDescent="0.3">
      <c r="A3944" t="str">
        <f>"20200111160534910"</f>
        <v>20200111160534910</v>
      </c>
      <c r="B3944" t="str">
        <f>"1578729934905172"</f>
        <v>1578729934905172</v>
      </c>
      <c r="C3944" t="s">
        <v>40</v>
      </c>
      <c r="D3944">
        <v>5.6804489999999896</v>
      </c>
      <c r="E3944">
        <v>0.47295229999999999</v>
      </c>
      <c r="F3944" t="s">
        <v>41</v>
      </c>
      <c r="G3944">
        <v>-269.80009999999999</v>
      </c>
      <c r="H3944" s="1">
        <v>-1.491491E-7</v>
      </c>
      <c r="I3944">
        <v>139.92080000000001</v>
      </c>
      <c r="J3944">
        <v>-256.23379999999997</v>
      </c>
      <c r="K3944">
        <v>1.108365</v>
      </c>
      <c r="L3944">
        <v>140.89070000000001</v>
      </c>
      <c r="M3944">
        <v>-0.99957390000000002</v>
      </c>
      <c r="N3944">
        <v>0</v>
      </c>
      <c r="O3944">
        <v>2.5614649999999999E-2</v>
      </c>
      <c r="P3944">
        <v>-0.99982709999999997</v>
      </c>
      <c r="Q3944">
        <v>1.4586429999999999E-2</v>
      </c>
      <c r="R3944">
        <v>1.152822E-2</v>
      </c>
      <c r="S3944">
        <v>-3.0058289999999999</v>
      </c>
      <c r="T3944">
        <v>-0.24042369999999999</v>
      </c>
      <c r="U3944">
        <v>-0.20826720000000001</v>
      </c>
      <c r="V3944">
        <v>-1.394257E-2</v>
      </c>
      <c r="W3944">
        <v>2.8649049999999999E-2</v>
      </c>
      <c r="X3944">
        <v>0.9994923</v>
      </c>
      <c r="Y3944">
        <v>-9.4274029999999995E-2</v>
      </c>
      <c r="Z3944">
        <v>-5.8033869999999897E-3</v>
      </c>
      <c r="AA3944">
        <v>0.99552940000000001</v>
      </c>
      <c r="AB3944">
        <v>29</v>
      </c>
      <c r="AC3944">
        <v>-13.5663</v>
      </c>
      <c r="AD3944">
        <v>-1.1083651491491</v>
      </c>
      <c r="AE3944">
        <v>-0.96989999999999499</v>
      </c>
      <c r="AF3944">
        <v>-1.3084226348936601</v>
      </c>
      <c r="AG3944">
        <v>-1.1083651491491</v>
      </c>
      <c r="AH3944">
        <v>13.4476966421644</v>
      </c>
      <c r="AI3944">
        <v>94.689647816064607</v>
      </c>
      <c r="AJ3944">
        <v>95.557224176481995</v>
      </c>
      <c r="AK3944">
        <v>13.5565846759068</v>
      </c>
      <c r="AL3944">
        <v>88.358305737964798</v>
      </c>
      <c r="AM3944">
        <v>90.799204361823399</v>
      </c>
      <c r="AN3944">
        <v>1.00000001054169</v>
      </c>
    </row>
    <row r="3945" spans="1:40" x14ac:dyDescent="0.3">
      <c r="A3945" t="str">
        <f>"20200111160534934"</f>
        <v>20200111160534934</v>
      </c>
      <c r="B3945" t="str">
        <f>"1578729934925669"</f>
        <v>1578729934925669</v>
      </c>
      <c r="C3945" t="s">
        <v>40</v>
      </c>
      <c r="D3945">
        <v>5.6691690000000001</v>
      </c>
      <c r="E3945">
        <v>0.47265689999999999</v>
      </c>
      <c r="F3945" t="s">
        <v>41</v>
      </c>
      <c r="G3945">
        <v>-270.05799999999999</v>
      </c>
      <c r="H3945" s="1">
        <v>-4.3154899999999997E-6</v>
      </c>
      <c r="I3945">
        <v>139.95009999999999</v>
      </c>
      <c r="J3945">
        <v>-256.541</v>
      </c>
      <c r="K3945">
        <v>1.1084480000000001</v>
      </c>
      <c r="L3945">
        <v>140.9016</v>
      </c>
      <c r="M3945">
        <v>-0.99950000000000006</v>
      </c>
      <c r="N3945">
        <v>0</v>
      </c>
      <c r="O3945">
        <v>2.8342559999999999E-2</v>
      </c>
      <c r="P3945">
        <v>-0.99980659999999999</v>
      </c>
      <c r="Q3945">
        <v>1.367226E-2</v>
      </c>
      <c r="R3945">
        <v>1.4145420000000001E-2</v>
      </c>
      <c r="S3945">
        <v>-3.0064090000000001</v>
      </c>
      <c r="T3945">
        <v>-0.24104120000000001</v>
      </c>
      <c r="U3945">
        <v>-0.20454410000000001</v>
      </c>
      <c r="V3945">
        <v>-1.406493E-2</v>
      </c>
      <c r="W3945">
        <v>2.775772E-2</v>
      </c>
      <c r="X3945">
        <v>0.99951570000000001</v>
      </c>
      <c r="Y3945">
        <v>-9.5735269999999997E-2</v>
      </c>
      <c r="Z3945">
        <v>-6.0939540000000004E-3</v>
      </c>
      <c r="AA3945">
        <v>0.99538819999999995</v>
      </c>
      <c r="AB3945">
        <v>29</v>
      </c>
      <c r="AC3945">
        <v>-13.5169999999999</v>
      </c>
      <c r="AD3945">
        <v>-1.1084523154899999</v>
      </c>
      <c r="AE3945">
        <v>-0.95150000000001</v>
      </c>
      <c r="AF3945">
        <v>-1.32539276550278</v>
      </c>
      <c r="AG3945">
        <v>-1.1084523154899999</v>
      </c>
      <c r="AH3945">
        <v>13.3949650618757</v>
      </c>
      <c r="AI3945">
        <v>94.707643644863296</v>
      </c>
      <c r="AJ3945">
        <v>95.650856729100099</v>
      </c>
      <c r="AK3945">
        <v>13.505940231151399</v>
      </c>
      <c r="AL3945">
        <v>88.409395451229699</v>
      </c>
      <c r="AM3945">
        <v>90.806198385746995</v>
      </c>
      <c r="AN3945">
        <v>0.99999997391099604</v>
      </c>
    </row>
    <row r="3946" spans="1:40" x14ac:dyDescent="0.3">
      <c r="A3946" t="str">
        <f>"20200111160535359"</f>
        <v>20200111160535359</v>
      </c>
      <c r="B3946" t="str">
        <f>"1578729935355108"</f>
        <v>1578729935355108</v>
      </c>
      <c r="C3946" t="s">
        <v>40</v>
      </c>
      <c r="D3946">
        <v>5.9099370000000002</v>
      </c>
      <c r="E3946">
        <v>0.415495</v>
      </c>
      <c r="F3946" t="s">
        <v>41</v>
      </c>
      <c r="G3946">
        <v>-270.1925</v>
      </c>
      <c r="H3946" s="1">
        <v>-4.277857E-6</v>
      </c>
      <c r="I3946">
        <v>139.9958</v>
      </c>
      <c r="J3946">
        <v>-261.8623</v>
      </c>
      <c r="K3946">
        <v>1.110633</v>
      </c>
      <c r="L3946">
        <v>141.12110000000001</v>
      </c>
      <c r="M3946">
        <v>-0.99908490000000005</v>
      </c>
      <c r="N3946">
        <v>0</v>
      </c>
      <c r="O3946">
        <v>4.0390160000000001E-2</v>
      </c>
      <c r="P3946">
        <v>-0.99939080000000002</v>
      </c>
      <c r="Q3946">
        <v>1.8851130000000001E-2</v>
      </c>
      <c r="R3946">
        <v>2.9374150000000002E-2</v>
      </c>
      <c r="S3946">
        <v>-3.0067439999999999</v>
      </c>
      <c r="T3946">
        <v>-0.2441381</v>
      </c>
      <c r="U3946">
        <v>-0.19949339999999999</v>
      </c>
      <c r="V3946">
        <v>-1.1022870000000001E-2</v>
      </c>
      <c r="W3946">
        <v>3.2922340000000001E-2</v>
      </c>
      <c r="X3946">
        <v>0.99939710000000004</v>
      </c>
      <c r="Y3946">
        <v>-0.10597470000000001</v>
      </c>
      <c r="Z3946">
        <v>-7.5619809999999997E-3</v>
      </c>
      <c r="AA3946">
        <v>0.99434009999999995</v>
      </c>
      <c r="AB3946">
        <v>28</v>
      </c>
      <c r="AC3946">
        <v>-8.3301999999999907</v>
      </c>
      <c r="AD3946">
        <v>-1.1106372778569999</v>
      </c>
      <c r="AE3946">
        <v>-1.12530000000001</v>
      </c>
      <c r="AF3946">
        <v>-1.4358074964482499</v>
      </c>
      <c r="AG3946">
        <v>-1.1106372778569999</v>
      </c>
      <c r="AH3946">
        <v>8.1359135330195507</v>
      </c>
      <c r="AI3946">
        <v>97.656545200398895</v>
      </c>
      <c r="AJ3946">
        <v>100.008376257835</v>
      </c>
      <c r="AK3946">
        <v>8.3359550950442003</v>
      </c>
      <c r="AL3946">
        <v>88.113347894601901</v>
      </c>
      <c r="AM3946">
        <v>90.631919305157993</v>
      </c>
      <c r="AN3946">
        <v>0.99999997381126005</v>
      </c>
    </row>
    <row r="3947" spans="1:40" x14ac:dyDescent="0.3">
      <c r="A3947" t="str">
        <f>"20200111160535380"</f>
        <v>20200111160535380</v>
      </c>
      <c r="B3947" t="str">
        <f>"1578729935375604"</f>
        <v>1578729935375604</v>
      </c>
      <c r="C3947" t="s">
        <v>40</v>
      </c>
      <c r="D3947">
        <v>5.4343810000000001</v>
      </c>
      <c r="E3947">
        <v>0.46375670000000002</v>
      </c>
      <c r="F3947" t="s">
        <v>75</v>
      </c>
      <c r="G3947">
        <v>-284.6644</v>
      </c>
      <c r="H3947" s="1">
        <v>-4.5293580000000003E-6</v>
      </c>
      <c r="I3947">
        <v>136.5684</v>
      </c>
      <c r="J3947">
        <v>-262.12939999999998</v>
      </c>
      <c r="K3947">
        <v>1.1106020000000001</v>
      </c>
      <c r="L3947">
        <v>141.1319</v>
      </c>
      <c r="M3947">
        <v>-0.99908600000000003</v>
      </c>
      <c r="N3947">
        <v>0</v>
      </c>
      <c r="O3947">
        <v>4.036501E-2</v>
      </c>
      <c r="P3947">
        <v>-0.99942279999999994</v>
      </c>
      <c r="Q3947">
        <v>1.7802099999999901E-2</v>
      </c>
      <c r="R3947">
        <v>2.893685E-2</v>
      </c>
      <c r="S3947">
        <v>-3.0223689999999999</v>
      </c>
      <c r="T3947">
        <v>-0.1472127</v>
      </c>
      <c r="U3947">
        <v>-0.60345459999999995</v>
      </c>
      <c r="V3947">
        <v>-1.1434039999999999E-2</v>
      </c>
      <c r="W3947">
        <v>3.1871950000000003E-2</v>
      </c>
      <c r="X3947">
        <v>0.9994265</v>
      </c>
      <c r="Y3947">
        <v>-0.2349117</v>
      </c>
      <c r="Z3947">
        <v>-7.6093330000000002E-3</v>
      </c>
      <c r="AA3947">
        <v>0.97198689999999999</v>
      </c>
      <c r="AB3947">
        <v>28</v>
      </c>
      <c r="AC3947">
        <v>-22.535</v>
      </c>
      <c r="AD3947">
        <v>-1.1106065293580001</v>
      </c>
      <c r="AE3947">
        <v>-4.5635000000000003</v>
      </c>
      <c r="AF3947">
        <v>-5.45676381874949</v>
      </c>
      <c r="AG3947">
        <v>-1.1106065293580001</v>
      </c>
      <c r="AH3947">
        <v>22.280421876181499</v>
      </c>
      <c r="AI3947">
        <v>92.771858966599893</v>
      </c>
      <c r="AJ3947">
        <v>103.761595347774</v>
      </c>
      <c r="AK3947">
        <v>22.965777087163701</v>
      </c>
      <c r="AL3947">
        <v>88.173562365885005</v>
      </c>
      <c r="AM3947">
        <v>90.655469566418901</v>
      </c>
      <c r="AN3947">
        <v>0.99999994368488498</v>
      </c>
    </row>
    <row r="3948" spans="1:40" x14ac:dyDescent="0.3">
      <c r="A3948" t="str">
        <f>"20200111160535401"</f>
        <v>20200111160535401</v>
      </c>
      <c r="B3948" t="str">
        <f>"1578729935395124"</f>
        <v>1578729935395124</v>
      </c>
      <c r="C3948" t="s">
        <v>40</v>
      </c>
      <c r="D3948">
        <v>5.457897</v>
      </c>
      <c r="E3948">
        <v>0.56048069999999905</v>
      </c>
      <c r="F3948" t="s">
        <v>46</v>
      </c>
      <c r="G3948">
        <v>0</v>
      </c>
      <c r="H3948">
        <v>0</v>
      </c>
      <c r="I3948">
        <v>0</v>
      </c>
      <c r="J3948">
        <v>-262.40859999999998</v>
      </c>
      <c r="K3948">
        <v>1.1105700000000001</v>
      </c>
      <c r="L3948">
        <v>141.1431</v>
      </c>
      <c r="M3948">
        <v>-0.99908509999999995</v>
      </c>
      <c r="N3948">
        <v>0</v>
      </c>
      <c r="O3948">
        <v>4.0384759999999999E-2</v>
      </c>
      <c r="P3948">
        <v>-0.99941919999999995</v>
      </c>
      <c r="Q3948">
        <v>1.7496749999999998E-2</v>
      </c>
      <c r="R3948">
        <v>2.9245630000000002E-2</v>
      </c>
      <c r="S3948">
        <v>-3.0060419999999999</v>
      </c>
      <c r="T3948">
        <v>8.3974480000000004E-2</v>
      </c>
      <c r="U3948">
        <v>-0.20060729999999999</v>
      </c>
      <c r="V3948">
        <v>-1.114297E-2</v>
      </c>
      <c r="W3948">
        <v>3.1565490000000002E-2</v>
      </c>
      <c r="X3948">
        <v>0.99943959999999998</v>
      </c>
      <c r="Y3948">
        <v>-0.1067742</v>
      </c>
      <c r="Z3948">
        <v>2.6163810000000001E-3</v>
      </c>
      <c r="AA3948">
        <v>0.99427989999999999</v>
      </c>
      <c r="AB3948">
        <v>28</v>
      </c>
      <c r="AC3948">
        <v>-3.0060419999999999</v>
      </c>
      <c r="AD3948">
        <v>8.3974480000000004E-2</v>
      </c>
      <c r="AE3948">
        <v>-0.20060729999999999</v>
      </c>
      <c r="AF3948">
        <v>-0.32160405999514102</v>
      </c>
      <c r="AG3948">
        <v>8.3974480000000004E-2</v>
      </c>
      <c r="AH3948">
        <v>2.9931614749911799</v>
      </c>
      <c r="AI3948">
        <v>88.402154949725897</v>
      </c>
      <c r="AJ3948">
        <v>96.132690444255999</v>
      </c>
      <c r="AK3948">
        <v>3.0115604759107901</v>
      </c>
      <c r="AL3948">
        <v>88.191130227164393</v>
      </c>
      <c r="AM3948">
        <v>90.638776670671803</v>
      </c>
      <c r="AN3948">
        <v>1.0000000299937599</v>
      </c>
    </row>
    <row r="3949" spans="1:40" x14ac:dyDescent="0.3">
      <c r="A3949" t="str">
        <f>"20200111160535446"</f>
        <v>20200111160535446</v>
      </c>
      <c r="B3949" t="str">
        <f>"1578729935435140"</f>
        <v>1578729935435140</v>
      </c>
      <c r="C3949" t="s">
        <v>40</v>
      </c>
      <c r="D3949">
        <v>5.3265560000000001</v>
      </c>
      <c r="E3949">
        <v>0.5650558</v>
      </c>
      <c r="F3949" t="s">
        <v>42</v>
      </c>
      <c r="G3949">
        <v>-263.15800000000002</v>
      </c>
      <c r="H3949">
        <v>1.0431220000000001</v>
      </c>
      <c r="I3949">
        <v>141.28030000000001</v>
      </c>
      <c r="J3949">
        <v>-262.95979999999997</v>
      </c>
      <c r="K3949">
        <v>1.110482</v>
      </c>
      <c r="L3949">
        <v>141.16560000000001</v>
      </c>
      <c r="M3949">
        <v>-0.99907699999999999</v>
      </c>
      <c r="N3949">
        <v>0</v>
      </c>
      <c r="O3949">
        <v>4.0586070000000002E-2</v>
      </c>
      <c r="P3949">
        <v>-0.99939480000000003</v>
      </c>
      <c r="Q3949">
        <v>1.5859370000000001E-2</v>
      </c>
      <c r="R3949">
        <v>3.0959770000000001E-2</v>
      </c>
      <c r="S3949">
        <v>-2.9904480000000002</v>
      </c>
      <c r="T3949">
        <v>-0.26921390000000001</v>
      </c>
      <c r="U3949">
        <v>0.54689030000000005</v>
      </c>
      <c r="V3949">
        <v>-9.6250899999999993E-3</v>
      </c>
      <c r="W3949">
        <v>2.992595E-2</v>
      </c>
      <c r="X3949">
        <v>0.9995058</v>
      </c>
      <c r="Y3949">
        <v>0.13943320000000001</v>
      </c>
      <c r="Z3949">
        <v>2.5994809999999998E-3</v>
      </c>
      <c r="AA3949">
        <v>0.99022809999999994</v>
      </c>
      <c r="AB3949">
        <v>28</v>
      </c>
      <c r="AC3949">
        <v>-0.19820000000004201</v>
      </c>
      <c r="AD3949">
        <v>-6.7360000000000003E-2</v>
      </c>
      <c r="AE3949">
        <v>0.114699999999999</v>
      </c>
      <c r="AF3949">
        <v>9.8074515284893707E-2</v>
      </c>
      <c r="AG3949">
        <v>-6.7360000000000003E-2</v>
      </c>
      <c r="AH3949">
        <v>0.186550831045833</v>
      </c>
      <c r="AI3949">
        <v>107.724143540545</v>
      </c>
      <c r="AJ3949">
        <v>62.267953756908597</v>
      </c>
      <c r="AK3949">
        <v>0.22126272327768601</v>
      </c>
      <c r="AL3949">
        <v>88.285113379499506</v>
      </c>
      <c r="AM3949">
        <v>90.551732654770802</v>
      </c>
      <c r="AN3949">
        <v>1.00000002453727</v>
      </c>
    </row>
    <row r="3950" spans="1:40" x14ac:dyDescent="0.3">
      <c r="A3950" t="str">
        <f>"20200111160535468"</f>
        <v>20200111160535468</v>
      </c>
      <c r="B3950" t="str">
        <f>"1578729935465396"</f>
        <v>1578729935465396</v>
      </c>
      <c r="C3950" t="s">
        <v>40</v>
      </c>
      <c r="D3950">
        <v>5.2218220000000004</v>
      </c>
      <c r="E3950">
        <v>0.56767650000000003</v>
      </c>
      <c r="F3950" t="s">
        <v>42</v>
      </c>
      <c r="G3950">
        <v>-263.89</v>
      </c>
      <c r="H3950">
        <v>1.0293810000000001</v>
      </c>
      <c r="I3950">
        <v>141.34950000000001</v>
      </c>
      <c r="J3950">
        <v>-263.21969999999999</v>
      </c>
      <c r="K3950">
        <v>1.110449</v>
      </c>
      <c r="L3950">
        <v>141.1763</v>
      </c>
      <c r="M3950">
        <v>-0.99907080000000004</v>
      </c>
      <c r="N3950">
        <v>0</v>
      </c>
      <c r="O3950">
        <v>4.0741340000000001E-2</v>
      </c>
      <c r="P3950">
        <v>-0.99937849999999995</v>
      </c>
      <c r="Q3950">
        <v>1.430967E-2</v>
      </c>
      <c r="R3950">
        <v>3.2220319999999997E-2</v>
      </c>
      <c r="S3950">
        <v>-2.9876710000000002</v>
      </c>
      <c r="T3950">
        <v>-0.26053720000000002</v>
      </c>
      <c r="U3950">
        <v>0.59027099999999999</v>
      </c>
      <c r="V3950">
        <v>-8.5183240000000007E-3</v>
      </c>
      <c r="W3950">
        <v>2.8374980000000001E-2</v>
      </c>
      <c r="X3950">
        <v>0.99956109999999998</v>
      </c>
      <c r="Y3950">
        <v>0.15327850000000001</v>
      </c>
      <c r="Z3950">
        <v>3.0986439999999998E-3</v>
      </c>
      <c r="AA3950">
        <v>0.98817820000000001</v>
      </c>
      <c r="AB3950">
        <v>28</v>
      </c>
      <c r="AC3950">
        <v>-0.67029999999999701</v>
      </c>
      <c r="AD3950">
        <v>-8.1068000000000098E-2</v>
      </c>
      <c r="AE3950">
        <v>0.17320000000000799</v>
      </c>
      <c r="AF3950">
        <v>0.143773174325556</v>
      </c>
      <c r="AG3950">
        <v>-8.1068000000000098E-2</v>
      </c>
      <c r="AH3950">
        <v>0.66764589765272497</v>
      </c>
      <c r="AI3950">
        <v>96.769479127373998</v>
      </c>
      <c r="AJ3950">
        <v>77.8473120842322</v>
      </c>
      <c r="AK3950">
        <v>0.68774544050263298</v>
      </c>
      <c r="AL3950">
        <v>88.374015238084596</v>
      </c>
      <c r="AM3950">
        <v>90.488266499095502</v>
      </c>
      <c r="AN3950">
        <v>1.00000004698348</v>
      </c>
    </row>
    <row r="3951" spans="1:40" x14ac:dyDescent="0.3">
      <c r="A3951" t="str">
        <f>"20200111160535504"</f>
        <v>20200111160535504</v>
      </c>
      <c r="B3951" t="str">
        <f>"1578729935495653"</f>
        <v>1578729935495653</v>
      </c>
      <c r="C3951" t="s">
        <v>40</v>
      </c>
      <c r="D3951">
        <v>5.2104439999999999</v>
      </c>
      <c r="E3951">
        <v>0.56850829999999997</v>
      </c>
      <c r="F3951" t="s">
        <v>42</v>
      </c>
      <c r="G3951">
        <v>-264.13810000000001</v>
      </c>
      <c r="H3951">
        <v>1.030707</v>
      </c>
      <c r="I3951">
        <v>141.36580000000001</v>
      </c>
      <c r="J3951">
        <v>-263.66019999999997</v>
      </c>
      <c r="K3951">
        <v>1.110406</v>
      </c>
      <c r="L3951">
        <v>141.19460000000001</v>
      </c>
      <c r="M3951">
        <v>-0.99905699999999997</v>
      </c>
      <c r="N3951">
        <v>0</v>
      </c>
      <c r="O3951">
        <v>4.107682E-2</v>
      </c>
      <c r="P3951">
        <v>-0.99933870000000002</v>
      </c>
      <c r="Q3951">
        <v>1.281915E-2</v>
      </c>
      <c r="R3951">
        <v>3.4029440000000001E-2</v>
      </c>
      <c r="S3951">
        <v>-2.9857480000000001</v>
      </c>
      <c r="T3951">
        <v>-0.25926129999999997</v>
      </c>
      <c r="U3951">
        <v>0.61550899999999997</v>
      </c>
      <c r="V3951">
        <v>-7.0415360000000001E-3</v>
      </c>
      <c r="W3951">
        <v>2.6881619999999998E-2</v>
      </c>
      <c r="X3951">
        <v>0.9996138</v>
      </c>
      <c r="Y3951">
        <v>0.16106589999999901</v>
      </c>
      <c r="Z3951">
        <v>3.3883469999999999E-3</v>
      </c>
      <c r="AA3951">
        <v>0.98693779999999998</v>
      </c>
      <c r="AB3951">
        <v>28</v>
      </c>
      <c r="AC3951">
        <v>-0.47790000000003302</v>
      </c>
      <c r="AD3951">
        <v>-7.9698999999999895E-2</v>
      </c>
      <c r="AE3951">
        <v>0.17119999999999799</v>
      </c>
      <c r="AF3951">
        <v>0.14778032237984601</v>
      </c>
      <c r="AG3951">
        <v>-7.9698999999999895E-2</v>
      </c>
      <c r="AH3951">
        <v>0.47287386459933001</v>
      </c>
      <c r="AI3951">
        <v>99.138820205600098</v>
      </c>
      <c r="AJ3951">
        <v>72.645176212095095</v>
      </c>
      <c r="AK3951">
        <v>0.50179741540266698</v>
      </c>
      <c r="AL3951">
        <v>88.459611034301005</v>
      </c>
      <c r="AM3951">
        <v>90.403599491135296</v>
      </c>
      <c r="AN3951">
        <v>0.99999997693675102</v>
      </c>
    </row>
    <row r="3952" spans="1:40" x14ac:dyDescent="0.3">
      <c r="A3952" t="str">
        <f>"20200111160535526"</f>
        <v>20200111160535526</v>
      </c>
      <c r="B3952" t="str">
        <f>"1578729935515172"</f>
        <v>1578729935515172</v>
      </c>
      <c r="C3952" t="s">
        <v>40</v>
      </c>
      <c r="D3952">
        <v>5.2192040000000004</v>
      </c>
      <c r="E3952">
        <v>0.56887529999999997</v>
      </c>
      <c r="F3952" t="s">
        <v>41</v>
      </c>
      <c r="G3952">
        <v>-276.46589999999998</v>
      </c>
      <c r="H3952" s="1">
        <v>-2.6345829999999999E-6</v>
      </c>
      <c r="I3952">
        <v>143.8862</v>
      </c>
      <c r="J3952">
        <v>-263.93079999999998</v>
      </c>
      <c r="K3952">
        <v>1.1103860000000001</v>
      </c>
      <c r="L3952">
        <v>141.20599999999999</v>
      </c>
      <c r="M3952">
        <v>-0.99904689999999996</v>
      </c>
      <c r="N3952">
        <v>0</v>
      </c>
      <c r="O3952">
        <v>4.1323819999999997E-2</v>
      </c>
      <c r="P3952">
        <v>-0.99930859999999999</v>
      </c>
      <c r="Q3952">
        <v>1.288854E-2</v>
      </c>
      <c r="R3952">
        <v>3.4879239999999999E-2</v>
      </c>
      <c r="S3952">
        <v>-2.9839479999999998</v>
      </c>
      <c r="T3952">
        <v>-0.25874340000000001</v>
      </c>
      <c r="U3952">
        <v>0.62721249999999995</v>
      </c>
      <c r="V3952">
        <v>-6.4371289999999998E-3</v>
      </c>
      <c r="W3952">
        <v>2.694788E-2</v>
      </c>
      <c r="X3952">
        <v>0.99961610000000001</v>
      </c>
      <c r="Y3952">
        <v>0.16463839999999999</v>
      </c>
      <c r="Z3952">
        <v>3.51418E-3</v>
      </c>
      <c r="AA3952">
        <v>0.98634770000000005</v>
      </c>
      <c r="AB3952">
        <v>28</v>
      </c>
      <c r="AC3952">
        <v>-12.5351</v>
      </c>
      <c r="AD3952">
        <v>-1.1103886345829901</v>
      </c>
      <c r="AE3952">
        <v>2.6801999999999802</v>
      </c>
      <c r="AF3952">
        <v>2.1437743116836998</v>
      </c>
      <c r="AG3952">
        <v>-1.1103886345829901</v>
      </c>
      <c r="AH3952">
        <v>12.5410522066501</v>
      </c>
      <c r="AI3952">
        <v>94.987815607981204</v>
      </c>
      <c r="AJ3952">
        <v>80.299587176526998</v>
      </c>
      <c r="AK3952">
        <v>12.771324194036</v>
      </c>
      <c r="AL3952">
        <v>88.455813254232993</v>
      </c>
      <c r="AM3952">
        <v>90.368956868412496</v>
      </c>
      <c r="AN3952">
        <v>0.999999986122733</v>
      </c>
    </row>
    <row r="3953" spans="1:40" x14ac:dyDescent="0.3">
      <c r="A3953" t="str">
        <f>"20200111160535546"</f>
        <v>20200111160535546</v>
      </c>
      <c r="B3953" t="str">
        <f>"1578729935535668"</f>
        <v>1578729935535668</v>
      </c>
      <c r="C3953" t="s">
        <v>40</v>
      </c>
      <c r="D3953">
        <v>5.2031260000000001</v>
      </c>
      <c r="E3953">
        <v>0.56930219999999998</v>
      </c>
      <c r="F3953" t="s">
        <v>42</v>
      </c>
      <c r="G3953">
        <v>-264.8793</v>
      </c>
      <c r="H3953">
        <v>1.0287710000000001</v>
      </c>
      <c r="I3953">
        <v>141.4074</v>
      </c>
      <c r="J3953">
        <v>-264.18430000000001</v>
      </c>
      <c r="K3953">
        <v>1.1103700000000001</v>
      </c>
      <c r="L3953">
        <v>141.2167</v>
      </c>
      <c r="M3953">
        <v>-0.99903679999999995</v>
      </c>
      <c r="N3953">
        <v>0</v>
      </c>
      <c r="O3953">
        <v>4.1570099999999999E-2</v>
      </c>
      <c r="P3953">
        <v>-0.99931599999999998</v>
      </c>
      <c r="Q3953">
        <v>1.3144619999999999E-2</v>
      </c>
      <c r="R3953">
        <v>3.4569759999999998E-2</v>
      </c>
      <c r="S3953">
        <v>-2.9833370000000001</v>
      </c>
      <c r="T3953">
        <v>-0.25670120000000002</v>
      </c>
      <c r="U3953">
        <v>0.63304139999999998</v>
      </c>
      <c r="V3953">
        <v>-6.9923809999999998E-3</v>
      </c>
      <c r="W3953">
        <v>2.7201940000000001E-2</v>
      </c>
      <c r="X3953">
        <v>0.99960550000000004</v>
      </c>
      <c r="Y3953">
        <v>0.1662826</v>
      </c>
      <c r="Z3953">
        <v>3.5355479999999999E-3</v>
      </c>
      <c r="AA3953">
        <v>0.98607180000000005</v>
      </c>
      <c r="AB3953">
        <v>27</v>
      </c>
      <c r="AC3953">
        <v>-0.69499999999999296</v>
      </c>
      <c r="AD3953">
        <v>-8.1599000000000199E-2</v>
      </c>
      <c r="AE3953">
        <v>0.19069999999999199</v>
      </c>
      <c r="AF3953">
        <v>0.159595105785065</v>
      </c>
      <c r="AG3953">
        <v>-8.1599000000000199E-2</v>
      </c>
      <c r="AH3953">
        <v>0.69343771517291997</v>
      </c>
      <c r="AI3953">
        <v>96.541829213553399</v>
      </c>
      <c r="AJ3953">
        <v>77.039040572199795</v>
      </c>
      <c r="AK3953">
        <v>0.716229613612692</v>
      </c>
      <c r="AL3953">
        <v>88.441251367359897</v>
      </c>
      <c r="AM3953">
        <v>90.400785495511997</v>
      </c>
      <c r="AN3953">
        <v>0.99999999728103095</v>
      </c>
    </row>
    <row r="3954" spans="1:40" x14ac:dyDescent="0.3">
      <c r="A3954" t="str">
        <f>"20200111160535568"</f>
        <v>20200111160535568</v>
      </c>
      <c r="B3954" t="str">
        <f>"1578729935565924"</f>
        <v>1578729935565924</v>
      </c>
      <c r="C3954" t="s">
        <v>40</v>
      </c>
      <c r="D3954">
        <v>5.1699199999999896</v>
      </c>
      <c r="E3954">
        <v>0.56947119999999996</v>
      </c>
      <c r="F3954" t="s">
        <v>41</v>
      </c>
      <c r="G3954">
        <v>-277.18990000000002</v>
      </c>
      <c r="H3954" s="1">
        <v>-2.351062E-6</v>
      </c>
      <c r="I3954">
        <v>143.988</v>
      </c>
      <c r="J3954">
        <v>-264.4581</v>
      </c>
      <c r="K3954">
        <v>1.11036</v>
      </c>
      <c r="L3954">
        <v>141.22829999999999</v>
      </c>
      <c r="M3954">
        <v>-0.99902539999999995</v>
      </c>
      <c r="N3954">
        <v>0</v>
      </c>
      <c r="O3954">
        <v>4.1844569999999998E-2</v>
      </c>
      <c r="P3954">
        <v>-0.99936460000000005</v>
      </c>
      <c r="Q3954">
        <v>1.2725999999999999E-2</v>
      </c>
      <c r="R3954">
        <v>3.329874E-2</v>
      </c>
      <c r="S3954">
        <v>-2.983368</v>
      </c>
      <c r="T3954">
        <v>-0.2547084</v>
      </c>
      <c r="U3954">
        <v>0.63572689999999998</v>
      </c>
      <c r="V3954">
        <v>-8.5387180000000007E-3</v>
      </c>
      <c r="W3954">
        <v>2.6782E-2</v>
      </c>
      <c r="X3954">
        <v>0.99960479999999996</v>
      </c>
      <c r="Y3954">
        <v>0.1668646</v>
      </c>
      <c r="Z3954">
        <v>3.5093170000000001E-3</v>
      </c>
      <c r="AA3954">
        <v>0.98597349999999995</v>
      </c>
      <c r="AB3954">
        <v>27</v>
      </c>
      <c r="AC3954">
        <v>-12.7318</v>
      </c>
      <c r="AD3954">
        <v>-1.110362351062</v>
      </c>
      <c r="AE3954">
        <v>2.7597</v>
      </c>
      <c r="AF3954">
        <v>2.2084298367646702</v>
      </c>
      <c r="AG3954">
        <v>-1.110362351062</v>
      </c>
      <c r="AH3954">
        <v>12.7435597671777</v>
      </c>
      <c r="AI3954">
        <v>94.9069047000485</v>
      </c>
      <c r="AJ3954">
        <v>80.168417091990904</v>
      </c>
      <c r="AK3954">
        <v>12.981077861032899</v>
      </c>
      <c r="AL3954">
        <v>88.465320886191904</v>
      </c>
      <c r="AM3954">
        <v>90.4894140214587</v>
      </c>
      <c r="AN3954">
        <v>0.99999997070606095</v>
      </c>
    </row>
    <row r="3955" spans="1:40" x14ac:dyDescent="0.3">
      <c r="A3955" t="str">
        <f>"20200111160535592"</f>
        <v>20200111160535592</v>
      </c>
      <c r="B3955" t="str">
        <f>"1578729935585444"</f>
        <v>1578729935585444</v>
      </c>
      <c r="C3955" t="s">
        <v>40</v>
      </c>
      <c r="D3955">
        <v>5.1634200000000003</v>
      </c>
      <c r="E3955">
        <v>0.56973419999999997</v>
      </c>
      <c r="F3955" t="s">
        <v>41</v>
      </c>
      <c r="G3955">
        <v>-277.63940000000002</v>
      </c>
      <c r="H3955" s="1">
        <v>-2.1691160000000001E-6</v>
      </c>
      <c r="I3955">
        <v>144.02889999999999</v>
      </c>
      <c r="J3955">
        <v>-264.7473</v>
      </c>
      <c r="K3955">
        <v>1.1103499999999999</v>
      </c>
      <c r="L3955">
        <v>141.24080000000001</v>
      </c>
      <c r="M3955">
        <v>-0.99901309999999999</v>
      </c>
      <c r="N3955">
        <v>0</v>
      </c>
      <c r="O3955">
        <v>4.213737E-2</v>
      </c>
      <c r="P3955">
        <v>-0.99944</v>
      </c>
      <c r="Q3955">
        <v>1.145724E-2</v>
      </c>
      <c r="R3955">
        <v>3.1445260000000003E-2</v>
      </c>
      <c r="S3955">
        <v>-2.983978</v>
      </c>
      <c r="T3955">
        <v>-0.25136389999999997</v>
      </c>
      <c r="U3955">
        <v>0.63400269999999903</v>
      </c>
      <c r="V3955">
        <v>-1.068683E-2</v>
      </c>
      <c r="W3955">
        <v>2.5511659999999999E-2</v>
      </c>
      <c r="X3955">
        <v>0.99961739999999999</v>
      </c>
      <c r="Y3955">
        <v>0.16600479999999901</v>
      </c>
      <c r="Z3955">
        <v>3.4028600000000002E-3</v>
      </c>
      <c r="AA3955">
        <v>0.98611910000000003</v>
      </c>
      <c r="AB3955">
        <v>27</v>
      </c>
      <c r="AC3955">
        <v>-12.892099999999999</v>
      </c>
      <c r="AD3955">
        <v>-1.1103521691160001</v>
      </c>
      <c r="AE3955">
        <v>2.78809999999998</v>
      </c>
      <c r="AF3955">
        <v>2.22655228116145</v>
      </c>
      <c r="AG3955">
        <v>-1.1103521691160001</v>
      </c>
      <c r="AH3955">
        <v>12.906680809681101</v>
      </c>
      <c r="AI3955">
        <v>94.845778133139902</v>
      </c>
      <c r="AJ3955">
        <v>80.212150376470206</v>
      </c>
      <c r="AK3955">
        <v>13.1443077612781</v>
      </c>
      <c r="AL3955">
        <v>88.538130949042795</v>
      </c>
      <c r="AM3955">
        <v>90.612521279455905</v>
      </c>
      <c r="AN3955">
        <v>0.99999999975708198</v>
      </c>
    </row>
    <row r="3956" spans="1:40" x14ac:dyDescent="0.3">
      <c r="A3956" t="str">
        <f>"20200111160535614"</f>
        <v>20200111160535614</v>
      </c>
      <c r="B3956" t="str">
        <f>"1578729935605940"</f>
        <v>1578729935605940</v>
      </c>
      <c r="C3956" t="s">
        <v>40</v>
      </c>
      <c r="D3956">
        <v>5.1877719999999998</v>
      </c>
      <c r="E3956">
        <v>0.56988050000000001</v>
      </c>
      <c r="F3956" t="s">
        <v>42</v>
      </c>
      <c r="G3956">
        <v>-265.61540000000002</v>
      </c>
      <c r="H3956">
        <v>1.0368980000000001</v>
      </c>
      <c r="I3956">
        <v>141.42449999999999</v>
      </c>
      <c r="J3956">
        <v>-265.02089999999998</v>
      </c>
      <c r="K3956">
        <v>1.110339</v>
      </c>
      <c r="L3956">
        <v>141.2526</v>
      </c>
      <c r="M3956">
        <v>-0.99900140000000004</v>
      </c>
      <c r="N3956">
        <v>0</v>
      </c>
      <c r="O3956">
        <v>4.2413600000000003E-2</v>
      </c>
      <c r="P3956">
        <v>-0.99950640000000002</v>
      </c>
      <c r="Q3956">
        <v>1.0678389999999999E-2</v>
      </c>
      <c r="R3956">
        <v>2.954565E-2</v>
      </c>
      <c r="S3956">
        <v>-2.9847109999999999</v>
      </c>
      <c r="T3956">
        <v>-0.252579</v>
      </c>
      <c r="U3956">
        <v>0.63111879999999998</v>
      </c>
      <c r="V3956">
        <v>-1.286489E-2</v>
      </c>
      <c r="W3956">
        <v>2.4730849999999999E-2</v>
      </c>
      <c r="X3956">
        <v>0.99961140000000004</v>
      </c>
      <c r="Y3956">
        <v>0.16477220000000001</v>
      </c>
      <c r="Z3956">
        <v>3.3442419999999999E-3</v>
      </c>
      <c r="AA3956">
        <v>0.98632600000000004</v>
      </c>
      <c r="AB3956">
        <v>27</v>
      </c>
      <c r="AC3956">
        <v>-0.594500000000039</v>
      </c>
      <c r="AD3956">
        <v>-7.3441000000000006E-2</v>
      </c>
      <c r="AE3956">
        <v>0.171899999999993</v>
      </c>
      <c r="AF3956">
        <v>0.14449298729086699</v>
      </c>
      <c r="AG3956">
        <v>-7.3441000000000006E-2</v>
      </c>
      <c r="AH3956">
        <v>0.59290652494132501</v>
      </c>
      <c r="AI3956">
        <v>96.862198783155605</v>
      </c>
      <c r="AJ3956">
        <v>76.303835074708303</v>
      </c>
      <c r="AK3956">
        <v>0.61466246930753599</v>
      </c>
      <c r="AL3956">
        <v>88.582882241680693</v>
      </c>
      <c r="AM3956">
        <v>90.737349742540104</v>
      </c>
      <c r="AN3956">
        <v>1.00000003567319</v>
      </c>
    </row>
    <row r="3957" spans="1:40" x14ac:dyDescent="0.3">
      <c r="A3957" t="str">
        <f>"20200111160535636"</f>
        <v>20200111160535636</v>
      </c>
      <c r="B3957" t="str">
        <f>"1578729935625460"</f>
        <v>1578729935625460</v>
      </c>
      <c r="C3957" t="s">
        <v>40</v>
      </c>
      <c r="D3957">
        <v>5.1342739999999996</v>
      </c>
      <c r="E3957">
        <v>0.57022289999999998</v>
      </c>
      <c r="F3957" t="s">
        <v>42</v>
      </c>
      <c r="G3957">
        <v>-265.85820000000001</v>
      </c>
      <c r="H3957">
        <v>1.0393190000000001</v>
      </c>
      <c r="I3957">
        <v>141.42869999999999</v>
      </c>
      <c r="J3957">
        <v>-265.28309999999999</v>
      </c>
      <c r="K3957">
        <v>1.1103339999999999</v>
      </c>
      <c r="L3957">
        <v>141.26400000000001</v>
      </c>
      <c r="M3957">
        <v>-0.99899039999999995</v>
      </c>
      <c r="N3957">
        <v>0</v>
      </c>
      <c r="O3957">
        <v>4.2675850000000001E-2</v>
      </c>
      <c r="P3957">
        <v>-0.99958670000000005</v>
      </c>
      <c r="Q3957">
        <v>1.027045E-2</v>
      </c>
      <c r="R3957">
        <v>2.685392E-2</v>
      </c>
      <c r="S3957">
        <v>-2.985687</v>
      </c>
      <c r="T3957">
        <v>-0.2532817</v>
      </c>
      <c r="U3957">
        <v>0.62721249999999995</v>
      </c>
      <c r="V3957">
        <v>-1.5819759999999999E-2</v>
      </c>
      <c r="W3957">
        <v>2.4321369999999998E-2</v>
      </c>
      <c r="X3957">
        <v>0.999579</v>
      </c>
      <c r="Y3957">
        <v>0.16321620000000001</v>
      </c>
      <c r="Z3957">
        <v>3.2657860000000001E-3</v>
      </c>
      <c r="AA3957">
        <v>0.98658489999999999</v>
      </c>
      <c r="AB3957">
        <v>27</v>
      </c>
      <c r="AC3957">
        <v>-0.57510000000002004</v>
      </c>
      <c r="AD3957">
        <v>-7.1014999999999801E-2</v>
      </c>
      <c r="AE3957">
        <v>0.164699999999982</v>
      </c>
      <c r="AF3957">
        <v>0.13805906569899001</v>
      </c>
      <c r="AG3957">
        <v>-7.1014999999999801E-2</v>
      </c>
      <c r="AH3957">
        <v>0.57352315040302604</v>
      </c>
      <c r="AI3957">
        <v>96.864438125693695</v>
      </c>
      <c r="AJ3957">
        <v>76.465212791547401</v>
      </c>
      <c r="AK3957">
        <v>0.59416516213498305</v>
      </c>
      <c r="AL3957">
        <v>88.606350706501402</v>
      </c>
      <c r="AM3957">
        <v>90.906711540334996</v>
      </c>
      <c r="AN3957">
        <v>0.99999998554306702</v>
      </c>
    </row>
    <row r="3958" spans="1:40" x14ac:dyDescent="0.3">
      <c r="A3958" t="str">
        <f>"20200111160535657"</f>
        <v>20200111160535657</v>
      </c>
      <c r="B3958" t="str">
        <f>"1578729935655716"</f>
        <v>1578729935655716</v>
      </c>
      <c r="C3958" t="s">
        <v>40</v>
      </c>
      <c r="D3958">
        <v>5.2181050000000004</v>
      </c>
      <c r="E3958">
        <v>0.57059519999999997</v>
      </c>
      <c r="F3958" t="s">
        <v>42</v>
      </c>
      <c r="G3958">
        <v>-266.1046</v>
      </c>
      <c r="H3958">
        <v>1.0408459999999999</v>
      </c>
      <c r="I3958">
        <v>141.43530000000001</v>
      </c>
      <c r="J3958">
        <v>-265.54430000000002</v>
      </c>
      <c r="K3958">
        <v>1.110333</v>
      </c>
      <c r="L3958">
        <v>141.27549999999999</v>
      </c>
      <c r="M3958">
        <v>-0.99897930000000001</v>
      </c>
      <c r="N3958">
        <v>0</v>
      </c>
      <c r="O3958">
        <v>4.2933249999999999E-2</v>
      </c>
      <c r="P3958">
        <v>-0.99964410000000004</v>
      </c>
      <c r="Q3958">
        <v>9.9782310000000006E-3</v>
      </c>
      <c r="R3958">
        <v>2.4740140000000001E-2</v>
      </c>
      <c r="S3958">
        <v>-2.9870909999999999</v>
      </c>
      <c r="T3958">
        <v>-0.25260959999999999</v>
      </c>
      <c r="U3958">
        <v>0.62226870000000001</v>
      </c>
      <c r="V3958">
        <v>-1.8192059999999999E-2</v>
      </c>
      <c r="W3958">
        <v>2.4026769999999999E-2</v>
      </c>
      <c r="X3958">
        <v>0.99954580000000004</v>
      </c>
      <c r="Y3958">
        <v>0.1613137</v>
      </c>
      <c r="Z3958">
        <v>3.1552759999999998E-3</v>
      </c>
      <c r="AA3958">
        <v>0.9868981</v>
      </c>
      <c r="AB3958">
        <v>27</v>
      </c>
      <c r="AC3958">
        <v>-0.56029999999998303</v>
      </c>
      <c r="AD3958">
        <v>-6.9486999999999993E-2</v>
      </c>
      <c r="AE3958">
        <v>0.15980000000001801</v>
      </c>
      <c r="AF3958">
        <v>0.13369318550060999</v>
      </c>
      <c r="AG3958">
        <v>-6.9486999999999993E-2</v>
      </c>
      <c r="AH3958">
        <v>0.55869810030235501</v>
      </c>
      <c r="AI3958">
        <v>96.896885651753706</v>
      </c>
      <c r="AJ3958">
        <v>76.5425126105186</v>
      </c>
      <c r="AK3958">
        <v>0.57865868895209804</v>
      </c>
      <c r="AL3958">
        <v>88.623235027163702</v>
      </c>
      <c r="AM3958">
        <v>91.042686778784898</v>
      </c>
      <c r="AN3958">
        <v>1.0000000215106499</v>
      </c>
    </row>
    <row r="3959" spans="1:40" x14ac:dyDescent="0.3">
      <c r="A3959" t="str">
        <f>"20200111160535681"</f>
        <v>20200111160535681</v>
      </c>
      <c r="B3959" t="str">
        <f>"1578729935675236"</f>
        <v>1578729935675236</v>
      </c>
      <c r="C3959" t="s">
        <v>40</v>
      </c>
      <c r="D3959">
        <v>5.1810109999999998</v>
      </c>
      <c r="E3959">
        <v>0.57094780000000001</v>
      </c>
      <c r="F3959" t="s">
        <v>41</v>
      </c>
      <c r="G3959">
        <v>-278.89830000000001</v>
      </c>
      <c r="H3959" s="1">
        <v>-1.633103E-6</v>
      </c>
      <c r="I3959">
        <v>144.04399999999899</v>
      </c>
      <c r="J3959">
        <v>-265.82600000000002</v>
      </c>
      <c r="K3959">
        <v>1.110325</v>
      </c>
      <c r="L3959">
        <v>141.28790000000001</v>
      </c>
      <c r="M3959">
        <v>-0.99896759999999996</v>
      </c>
      <c r="N3959">
        <v>0</v>
      </c>
      <c r="O3959">
        <v>4.320566E-2</v>
      </c>
      <c r="P3959">
        <v>-0.99972899999999998</v>
      </c>
      <c r="Q3959">
        <v>8.1453989999999993E-3</v>
      </c>
      <c r="R3959">
        <v>2.180853E-2</v>
      </c>
      <c r="S3959">
        <v>-2.9882200000000001</v>
      </c>
      <c r="T3959">
        <v>-0.24846019999999999</v>
      </c>
      <c r="U3959">
        <v>0.61952209999999996</v>
      </c>
      <c r="V3959">
        <v>-2.139862E-2</v>
      </c>
      <c r="W3959">
        <v>2.2192389999999999E-2</v>
      </c>
      <c r="X3959">
        <v>0.99952470000000004</v>
      </c>
      <c r="Y3959">
        <v>0.1601187</v>
      </c>
      <c r="Z3959">
        <v>3.0313570000000001E-3</v>
      </c>
      <c r="AA3959">
        <v>0.98709309999999995</v>
      </c>
      <c r="AB3959">
        <v>27</v>
      </c>
      <c r="AC3959">
        <v>-13.0723</v>
      </c>
      <c r="AD3959">
        <v>-1.1103266331029999</v>
      </c>
      <c r="AE3959">
        <v>2.7560999999999698</v>
      </c>
      <c r="AF3959">
        <v>2.1736587087830199</v>
      </c>
      <c r="AG3959">
        <v>-1.1103266331029999</v>
      </c>
      <c r="AH3959">
        <v>13.088773247576899</v>
      </c>
      <c r="AI3959">
        <v>94.783612770256497</v>
      </c>
      <c r="AJ3959">
        <v>80.5709173923305</v>
      </c>
      <c r="AK3959">
        <v>13.3144133382185</v>
      </c>
      <c r="AL3959">
        <v>88.728365339104101</v>
      </c>
      <c r="AM3959">
        <v>91.226446280222007</v>
      </c>
      <c r="AN3959">
        <v>1.00000001451095</v>
      </c>
    </row>
    <row r="3960" spans="1:40" x14ac:dyDescent="0.3">
      <c r="A3960" t="str">
        <f>"20200111160535704"</f>
        <v>20200111160535704</v>
      </c>
      <c r="B3960" t="str">
        <f>"1578729935695732"</f>
        <v>1578729935695732</v>
      </c>
      <c r="C3960" t="s">
        <v>40</v>
      </c>
      <c r="D3960">
        <v>5.68933</v>
      </c>
      <c r="E3960">
        <v>0.57096740000000001</v>
      </c>
      <c r="F3960" t="s">
        <v>41</v>
      </c>
      <c r="G3960">
        <v>-279.00959999999998</v>
      </c>
      <c r="H3960" s="1">
        <v>-1.5721529999999999E-6</v>
      </c>
      <c r="I3960">
        <v>143.99440000000001</v>
      </c>
      <c r="J3960">
        <v>-266.10520000000002</v>
      </c>
      <c r="K3960">
        <v>1.1103190000000001</v>
      </c>
      <c r="L3960">
        <v>141.30029999999999</v>
      </c>
      <c r="M3960">
        <v>-0.99895610000000001</v>
      </c>
      <c r="N3960">
        <v>0</v>
      </c>
      <c r="O3960">
        <v>4.3473060000000001E-2</v>
      </c>
      <c r="P3960">
        <v>-0.99979390000000001</v>
      </c>
      <c r="Q3960">
        <v>5.7707319999999998E-3</v>
      </c>
      <c r="R3960">
        <v>1.947813E-2</v>
      </c>
      <c r="S3960">
        <v>-2.9895019999999999</v>
      </c>
      <c r="T3960">
        <v>-0.25177820000000001</v>
      </c>
      <c r="U3960">
        <v>0.61375429999999997</v>
      </c>
      <c r="V3960">
        <v>-2.3998220000000001E-2</v>
      </c>
      <c r="W3960">
        <v>1.9815409999999999E-2</v>
      </c>
      <c r="X3960">
        <v>0.99951559999999995</v>
      </c>
      <c r="Y3960">
        <v>0.15794140000000001</v>
      </c>
      <c r="Z3960">
        <v>2.9581910000000002E-3</v>
      </c>
      <c r="AA3960">
        <v>0.98744399999999999</v>
      </c>
      <c r="AB3960">
        <v>27</v>
      </c>
      <c r="AC3960">
        <v>-12.9043999999999</v>
      </c>
      <c r="AD3960">
        <v>-1.1103205721529901</v>
      </c>
      <c r="AE3960">
        <v>2.6941000000000201</v>
      </c>
      <c r="AF3960">
        <v>2.1154961470306999</v>
      </c>
      <c r="AG3960">
        <v>-1.1103205721529901</v>
      </c>
      <c r="AH3960">
        <v>12.9176916468702</v>
      </c>
      <c r="AI3960">
        <v>94.848424593168403</v>
      </c>
      <c r="AJ3960">
        <v>80.699382228749201</v>
      </c>
      <c r="AK3960">
        <v>13.1367763627409</v>
      </c>
      <c r="AL3960">
        <v>88.864586325776102</v>
      </c>
      <c r="AM3960">
        <v>91.375398840252402</v>
      </c>
      <c r="AN3960">
        <v>0.99999999983999799</v>
      </c>
    </row>
    <row r="3961" spans="1:40" x14ac:dyDescent="0.3">
      <c r="A3961" t="str">
        <f>"20200111160535725"</f>
        <v>20200111160535725</v>
      </c>
      <c r="B3961" t="str">
        <f>"1578729935715252"</f>
        <v>1578729935715252</v>
      </c>
      <c r="C3961" t="s">
        <v>40</v>
      </c>
      <c r="D3961">
        <v>5.2503679999999999</v>
      </c>
      <c r="E3961">
        <v>0.52371659999999998</v>
      </c>
      <c r="F3961" t="s">
        <v>42</v>
      </c>
      <c r="G3961">
        <v>-267.06360000000001</v>
      </c>
      <c r="H3961">
        <v>1.0270790000000001</v>
      </c>
      <c r="I3961">
        <v>141.49469999999999</v>
      </c>
      <c r="J3961">
        <v>-266.3741</v>
      </c>
      <c r="K3961">
        <v>1.1103190000000001</v>
      </c>
      <c r="L3961">
        <v>141.31229999999999</v>
      </c>
      <c r="M3961">
        <v>-0.99894479999999997</v>
      </c>
      <c r="N3961">
        <v>0</v>
      </c>
      <c r="O3961">
        <v>4.3730600000000001E-2</v>
      </c>
      <c r="P3961">
        <v>-0.9997973</v>
      </c>
      <c r="Q3961">
        <v>4.5027959999999999E-3</v>
      </c>
      <c r="R3961">
        <v>1.9622259999999999E-2</v>
      </c>
      <c r="S3961">
        <v>-2.9902950000000001</v>
      </c>
      <c r="T3961">
        <v>-0.25976260000000001</v>
      </c>
      <c r="U3961">
        <v>0.60667419999999905</v>
      </c>
      <c r="V3961">
        <v>-2.4113200000000001E-2</v>
      </c>
      <c r="W3961">
        <v>1.8544870000000001E-2</v>
      </c>
      <c r="X3961">
        <v>0.99953720000000001</v>
      </c>
      <c r="Y3961">
        <v>0.15537529999999999</v>
      </c>
      <c r="Z3961">
        <v>2.9193660000000001E-3</v>
      </c>
      <c r="AA3961">
        <v>0.98785120000000004</v>
      </c>
      <c r="AB3961">
        <v>27</v>
      </c>
      <c r="AC3961">
        <v>-0.68950000000000899</v>
      </c>
      <c r="AD3961">
        <v>-8.3239999999999897E-2</v>
      </c>
      <c r="AE3961">
        <v>0.18240000000000101</v>
      </c>
      <c r="AF3961">
        <v>0.15002669358274701</v>
      </c>
      <c r="AG3961">
        <v>-8.3239999999999897E-2</v>
      </c>
      <c r="AH3961">
        <v>0.68745348363980596</v>
      </c>
      <c r="AI3961">
        <v>96.746745316312101</v>
      </c>
      <c r="AJ3961">
        <v>77.689053100640194</v>
      </c>
      <c r="AK3961">
        <v>0.70854018838445298</v>
      </c>
      <c r="AL3961">
        <v>88.937396289929893</v>
      </c>
      <c r="AM3961">
        <v>91.381956232959794</v>
      </c>
      <c r="AN3961">
        <v>0.99999998640069798</v>
      </c>
    </row>
    <row r="3962" spans="1:40" x14ac:dyDescent="0.3">
      <c r="A3962" t="str">
        <f>"20200111160535747"</f>
        <v>20200111160535747</v>
      </c>
      <c r="B3962" t="str">
        <f>"1578729935735748"</f>
        <v>1578729935735748</v>
      </c>
      <c r="C3962" t="s">
        <v>40</v>
      </c>
      <c r="D3962">
        <v>5.1016500000000002</v>
      </c>
      <c r="E3962">
        <v>0.51835629999999999</v>
      </c>
      <c r="F3962" t="s">
        <v>42</v>
      </c>
      <c r="G3962">
        <v>-267.32549999999998</v>
      </c>
      <c r="H3962">
        <v>1.0503389999999999</v>
      </c>
      <c r="I3962">
        <v>141.38679999999999</v>
      </c>
      <c r="J3962">
        <v>-266.62759999999997</v>
      </c>
      <c r="K3962">
        <v>1.110331</v>
      </c>
      <c r="L3962">
        <v>141.3237</v>
      </c>
      <c r="M3962">
        <v>-0.99893419999999999</v>
      </c>
      <c r="N3962">
        <v>0</v>
      </c>
      <c r="O3962">
        <v>4.3973419999999999E-2</v>
      </c>
      <c r="P3962">
        <v>-0.99977369999999999</v>
      </c>
      <c r="Q3962">
        <v>5.5434480000000003E-3</v>
      </c>
      <c r="R3962">
        <v>2.0540760000000002E-2</v>
      </c>
      <c r="S3962">
        <v>-2.9968569999999999</v>
      </c>
      <c r="T3962">
        <v>-0.18901490000000001</v>
      </c>
      <c r="U3962">
        <v>0.2341309</v>
      </c>
      <c r="V3962">
        <v>-2.343688E-2</v>
      </c>
      <c r="W3962">
        <v>1.9582749999999999E-2</v>
      </c>
      <c r="X3962">
        <v>0.99953349999999996</v>
      </c>
      <c r="Y3962">
        <v>3.3988310000000001E-2</v>
      </c>
      <c r="Z3962">
        <v>-1.6957610000000001E-3</v>
      </c>
      <c r="AA3962">
        <v>0.9994208</v>
      </c>
      <c r="AB3962">
        <v>27</v>
      </c>
      <c r="AC3962">
        <v>-0.69790000000000396</v>
      </c>
      <c r="AD3962">
        <v>-5.9991999999999997E-2</v>
      </c>
      <c r="AE3962">
        <v>6.3099999999991496E-2</v>
      </c>
      <c r="AF3962">
        <v>3.2111525251570197E-2</v>
      </c>
      <c r="AG3962">
        <v>-5.9991999999999997E-2</v>
      </c>
      <c r="AH3962">
        <v>0.69490658306520103</v>
      </c>
      <c r="AI3962">
        <v>94.928935899284198</v>
      </c>
      <c r="AJ3962">
        <v>87.354253056652198</v>
      </c>
      <c r="AK3962">
        <v>0.69823015496706797</v>
      </c>
      <c r="AL3962">
        <v>88.877919343128994</v>
      </c>
      <c r="AM3962">
        <v>91.343214903005503</v>
      </c>
      <c r="AN3962">
        <v>0.99999999453197297</v>
      </c>
    </row>
    <row r="3963" spans="1:40" x14ac:dyDescent="0.3">
      <c r="A3963" t="str">
        <f>"20200111160535814"</f>
        <v>20200111160535814</v>
      </c>
      <c r="B3963" t="str">
        <f>"1578729935806020"</f>
        <v>1578729935806020</v>
      </c>
      <c r="C3963" t="s">
        <v>40</v>
      </c>
      <c r="D3963">
        <v>5.1226859999999999</v>
      </c>
      <c r="E3963">
        <v>0.5169667</v>
      </c>
      <c r="F3963" t="s">
        <v>42</v>
      </c>
      <c r="G3963">
        <v>-267.56020000000001</v>
      </c>
      <c r="H3963">
        <v>1.04152</v>
      </c>
      <c r="I3963">
        <v>141.3828</v>
      </c>
      <c r="J3963">
        <v>-267.44819999999999</v>
      </c>
      <c r="K3963">
        <v>1.1103270000000001</v>
      </c>
      <c r="L3963">
        <v>141.36089999999999</v>
      </c>
      <c r="M3963">
        <v>-0.99889899999999998</v>
      </c>
      <c r="N3963">
        <v>0</v>
      </c>
      <c r="O3963">
        <v>4.47648E-2</v>
      </c>
      <c r="P3963">
        <v>-0.99965159999999997</v>
      </c>
      <c r="Q3963">
        <v>7.59902199999999E-3</v>
      </c>
      <c r="R3963">
        <v>2.5270620000000001E-2</v>
      </c>
      <c r="S3963">
        <v>-2.9979550000000001</v>
      </c>
      <c r="T3963">
        <v>-0.22111439999999999</v>
      </c>
      <c r="U3963">
        <v>0.19079589999999999</v>
      </c>
      <c r="V3963">
        <v>-1.949762E-2</v>
      </c>
      <c r="W3963">
        <v>2.1628430000000001E-2</v>
      </c>
      <c r="X3963">
        <v>0.99957589999999996</v>
      </c>
      <c r="Y3963">
        <v>1.8841050000000002E-2</v>
      </c>
      <c r="Z3963">
        <v>-2.5989910000000001E-3</v>
      </c>
      <c r="AA3963">
        <v>0.99981909999999896</v>
      </c>
      <c r="AB3963">
        <v>27</v>
      </c>
      <c r="AC3963">
        <v>-0.112000000000023</v>
      </c>
      <c r="AD3963">
        <v>-6.8806999999999993E-2</v>
      </c>
      <c r="AE3963">
        <v>2.1900000000016399E-2</v>
      </c>
      <c r="AF3963">
        <v>1.2367866509000999E-2</v>
      </c>
      <c r="AG3963">
        <v>-6.8806999999999993E-2</v>
      </c>
      <c r="AH3963">
        <v>8.2776757778311394E-2</v>
      </c>
      <c r="AI3963">
        <v>129.423965270895</v>
      </c>
      <c r="AJ3963">
        <v>81.5021684878771</v>
      </c>
      <c r="AK3963">
        <v>0.108348322549422</v>
      </c>
      <c r="AL3963">
        <v>88.760685561916802</v>
      </c>
      <c r="AM3963">
        <v>91.117463603215299</v>
      </c>
      <c r="AN3963">
        <v>0.99999996301536898</v>
      </c>
    </row>
    <row r="3964" spans="1:40" x14ac:dyDescent="0.3">
      <c r="A3964" t="str">
        <f>"20200111160535836"</f>
        <v>20200111160535836</v>
      </c>
      <c r="B3964" t="str">
        <f>"1578729935825543"</f>
        <v>1578729935825543</v>
      </c>
      <c r="C3964" t="s">
        <v>40</v>
      </c>
      <c r="D3964">
        <v>5.186877</v>
      </c>
      <c r="E3964">
        <v>0.51677580000000001</v>
      </c>
      <c r="F3964" t="s">
        <v>42</v>
      </c>
      <c r="G3964">
        <v>-268.28469999999999</v>
      </c>
      <c r="H3964">
        <v>1.042017</v>
      </c>
      <c r="I3964">
        <v>141.4145</v>
      </c>
      <c r="J3964">
        <v>-267.70389999999998</v>
      </c>
      <c r="K3964">
        <v>1.1103160000000001</v>
      </c>
      <c r="L3964">
        <v>141.37260000000001</v>
      </c>
      <c r="M3964">
        <v>-0.99888809999999995</v>
      </c>
      <c r="N3964">
        <v>0</v>
      </c>
      <c r="O3964">
        <v>4.5012879999999998E-2</v>
      </c>
      <c r="P3964">
        <v>-0.9996739</v>
      </c>
      <c r="Q3964">
        <v>5.9859419999999898E-3</v>
      </c>
      <c r="R3964">
        <v>2.4826440000000002E-2</v>
      </c>
      <c r="S3964">
        <v>-2.998138</v>
      </c>
      <c r="T3964">
        <v>-0.24482670000000001</v>
      </c>
      <c r="U3964">
        <v>0.1915588</v>
      </c>
      <c r="V3964">
        <v>-2.019085E-2</v>
      </c>
      <c r="W3964">
        <v>2.0012769999999999E-2</v>
      </c>
      <c r="X3964">
        <v>0.99959580000000003</v>
      </c>
      <c r="Y3964">
        <v>1.8858819999999998E-2</v>
      </c>
      <c r="Z3964">
        <v>-2.8960779999999998E-3</v>
      </c>
      <c r="AA3964">
        <v>0.99981799999999998</v>
      </c>
      <c r="AB3964">
        <v>27</v>
      </c>
      <c r="AC3964">
        <v>-0.58080000000000997</v>
      </c>
      <c r="AD3964">
        <v>-6.8299000000000096E-2</v>
      </c>
      <c r="AE3964">
        <v>4.1899999999998203E-2</v>
      </c>
      <c r="AF3964">
        <v>1.54982653345456E-2</v>
      </c>
      <c r="AG3964">
        <v>-6.8299000000000096E-2</v>
      </c>
      <c r="AH3964">
        <v>0.57419821777346802</v>
      </c>
      <c r="AI3964">
        <v>96.780828198487796</v>
      </c>
      <c r="AJ3964">
        <v>88.453896892501106</v>
      </c>
      <c r="AK3964">
        <v>0.57845357888391202</v>
      </c>
      <c r="AL3964">
        <v>88.8532761563619</v>
      </c>
      <c r="AM3964">
        <v>91.157160920991799</v>
      </c>
      <c r="AN3964">
        <v>0.99999997238221705</v>
      </c>
    </row>
    <row r="3965" spans="1:40" x14ac:dyDescent="0.3">
      <c r="A3965" t="str">
        <f>"20200111160535859"</f>
        <v>20200111160535859</v>
      </c>
      <c r="B3965" t="str">
        <f>"1578729935855796"</f>
        <v>1578729935855796</v>
      </c>
      <c r="C3965" t="s">
        <v>40</v>
      </c>
      <c r="D3965">
        <v>5.4019579999999996</v>
      </c>
      <c r="E3965">
        <v>0.51584479999999999</v>
      </c>
      <c r="F3965" t="s">
        <v>42</v>
      </c>
      <c r="G3965">
        <v>-268.52499999999998</v>
      </c>
      <c r="H3965">
        <v>1.04136299999999</v>
      </c>
      <c r="I3965">
        <v>141.42439999999999</v>
      </c>
      <c r="J3965">
        <v>-267.97800000000001</v>
      </c>
      <c r="K3965">
        <v>1.1103149999999999</v>
      </c>
      <c r="L3965">
        <v>141.3853</v>
      </c>
      <c r="M3965">
        <v>-0.99887619999999999</v>
      </c>
      <c r="N3965">
        <v>0</v>
      </c>
      <c r="O3965">
        <v>4.527979E-2</v>
      </c>
      <c r="P3965">
        <v>-0.99968959999999996</v>
      </c>
      <c r="Q3965">
        <v>5.2602660000000004E-3</v>
      </c>
      <c r="R3965">
        <v>2.4363599999999999E-2</v>
      </c>
      <c r="S3965">
        <v>-2.9977420000000001</v>
      </c>
      <c r="T3965">
        <v>-0.25169629999999998</v>
      </c>
      <c r="U3965">
        <v>0.1894989</v>
      </c>
      <c r="V3965">
        <v>-2.0921840000000001E-2</v>
      </c>
      <c r="W3965">
        <v>1.928479E-2</v>
      </c>
      <c r="X3965">
        <v>0.99959509999999996</v>
      </c>
      <c r="Y3965">
        <v>1.792496E-2</v>
      </c>
      <c r="Z3965">
        <v>-3.0389449999999999E-3</v>
      </c>
      <c r="AA3965">
        <v>0.99983469999999997</v>
      </c>
      <c r="AB3965">
        <v>27</v>
      </c>
      <c r="AC3965">
        <v>-0.54699999999996796</v>
      </c>
      <c r="AD3965">
        <v>-6.8952000000000097E-2</v>
      </c>
      <c r="AE3965">
        <v>3.9099999999990503E-2</v>
      </c>
      <c r="AF3965">
        <v>1.40670289485216E-2</v>
      </c>
      <c r="AG3965">
        <v>-6.8952000000000097E-2</v>
      </c>
      <c r="AH3965">
        <v>0.53967767961039004</v>
      </c>
      <c r="AI3965">
        <v>97.278511318858904</v>
      </c>
      <c r="AJ3965">
        <v>88.5068885343875</v>
      </c>
      <c r="AK3965">
        <v>0.54424650433153299</v>
      </c>
      <c r="AL3965">
        <v>88.894994419208302</v>
      </c>
      <c r="AM3965">
        <v>91.199043624173996</v>
      </c>
      <c r="AN3965">
        <v>0.99999999522916905</v>
      </c>
    </row>
    <row r="3966" spans="1:40" x14ac:dyDescent="0.3">
      <c r="A3966" t="str">
        <f>"20200111160536083"</f>
        <v>20200111160536083</v>
      </c>
      <c r="B3966" t="str">
        <f>"1578729936075276"</f>
        <v>1578729936075276</v>
      </c>
      <c r="C3966" t="s">
        <v>40</v>
      </c>
      <c r="D3966">
        <v>5.4067669999999897</v>
      </c>
      <c r="E3966">
        <v>0.46179769999999998</v>
      </c>
      <c r="F3966" t="s">
        <v>46</v>
      </c>
      <c r="G3966">
        <v>0</v>
      </c>
      <c r="H3966">
        <v>0</v>
      </c>
      <c r="I3966">
        <v>0</v>
      </c>
      <c r="J3966">
        <v>-270.649</v>
      </c>
      <c r="K3966">
        <v>1.110331</v>
      </c>
      <c r="L3966">
        <v>141.51240000000001</v>
      </c>
      <c r="M3966">
        <v>-0.99875499999999995</v>
      </c>
      <c r="N3966">
        <v>0</v>
      </c>
      <c r="O3966">
        <v>4.7881930000000003E-2</v>
      </c>
      <c r="P3966">
        <v>-0.99959799999999999</v>
      </c>
      <c r="Q3966">
        <v>3.814783E-3</v>
      </c>
      <c r="R3966">
        <v>2.8098020000000001E-2</v>
      </c>
      <c r="S3966">
        <v>-3.0007929999999998</v>
      </c>
      <c r="T3966">
        <v>0.17508789999999999</v>
      </c>
      <c r="U3966">
        <v>-1.901245E-2</v>
      </c>
      <c r="V3966">
        <v>-1.97932E-2</v>
      </c>
      <c r="W3966">
        <v>1.7811609999999999E-2</v>
      </c>
      <c r="X3966">
        <v>0.99964540000000002</v>
      </c>
      <c r="Y3966">
        <v>-5.4040749999999999E-2</v>
      </c>
      <c r="Z3966">
        <v>4.36616E-3</v>
      </c>
      <c r="AA3966">
        <v>0.99852920000000001</v>
      </c>
      <c r="AB3966">
        <v>27</v>
      </c>
      <c r="AC3966">
        <v>-3.0007929999999998</v>
      </c>
      <c r="AD3966">
        <v>0.17508789999999999</v>
      </c>
      <c r="AE3966">
        <v>-1.901245E-2</v>
      </c>
      <c r="AF3966">
        <v>-0.16213651058777101</v>
      </c>
      <c r="AG3966">
        <v>0.17508789999999999</v>
      </c>
      <c r="AH3966">
        <v>2.9862739281953701</v>
      </c>
      <c r="AI3966">
        <v>86.649462296895095</v>
      </c>
      <c r="AJ3966">
        <v>93.1077610119697</v>
      </c>
      <c r="AK3966">
        <v>2.99579304942971</v>
      </c>
      <c r="AL3966">
        <v>88.979415926308306</v>
      </c>
      <c r="AM3966">
        <v>91.134320884932905</v>
      </c>
      <c r="AN3966">
        <v>0.99999997497909499</v>
      </c>
    </row>
    <row r="3967" spans="1:40" x14ac:dyDescent="0.3">
      <c r="A3967" t="str">
        <f>"20200111160536105"</f>
        <v>20200111160536105</v>
      </c>
      <c r="B3967" t="str">
        <f>"1578729936095780"</f>
        <v>1578729936095780</v>
      </c>
      <c r="C3967" t="s">
        <v>40</v>
      </c>
      <c r="D3967">
        <v>5.3823270000000001</v>
      </c>
      <c r="E3967">
        <v>0.46197109999999902</v>
      </c>
      <c r="F3967" t="s">
        <v>75</v>
      </c>
      <c r="G3967">
        <v>-284.5609</v>
      </c>
      <c r="H3967" s="1">
        <v>-5.8963279999999997E-6</v>
      </c>
      <c r="I3967">
        <v>140.40799999999999</v>
      </c>
      <c r="J3967">
        <v>-270.91309999999999</v>
      </c>
      <c r="K3967">
        <v>1.110322</v>
      </c>
      <c r="L3967">
        <v>141.52539999999999</v>
      </c>
      <c r="M3967">
        <v>-0.99874280000000004</v>
      </c>
      <c r="N3967">
        <v>0</v>
      </c>
      <c r="O3967">
        <v>4.8139479999999998E-2</v>
      </c>
      <c r="P3967">
        <v>-0.99960009999999999</v>
      </c>
      <c r="Q3967">
        <v>2.5491300000000001E-3</v>
      </c>
      <c r="R3967">
        <v>2.816658E-2</v>
      </c>
      <c r="S3967">
        <v>-3.0088810000000001</v>
      </c>
      <c r="T3967">
        <v>-0.24014379999999999</v>
      </c>
      <c r="U3967">
        <v>-0.23886109999999999</v>
      </c>
      <c r="V3967">
        <v>-1.998287E-2</v>
      </c>
      <c r="W3967">
        <v>1.6543410000000001E-2</v>
      </c>
      <c r="X3967">
        <v>0.99966350000000004</v>
      </c>
      <c r="Y3967">
        <v>-0.1264856</v>
      </c>
      <c r="Z3967">
        <v>-8.8627059999999997E-3</v>
      </c>
      <c r="AA3967">
        <v>0.9919289</v>
      </c>
      <c r="AB3967">
        <v>27</v>
      </c>
      <c r="AC3967">
        <v>-13.6478</v>
      </c>
      <c r="AD3967">
        <v>-1.1103278963279899</v>
      </c>
      <c r="AE3967">
        <v>-1.1173999999999999</v>
      </c>
      <c r="AF3967">
        <v>-1.7615845721185099</v>
      </c>
      <c r="AG3967">
        <v>-1.1103278963279899</v>
      </c>
      <c r="AH3967">
        <v>13.489488363316701</v>
      </c>
      <c r="AI3967">
        <v>94.666001956698295</v>
      </c>
      <c r="AJ3967">
        <v>97.440120113548403</v>
      </c>
      <c r="AK3967">
        <v>13.649260219738901</v>
      </c>
      <c r="AL3967">
        <v>89.052089240261495</v>
      </c>
      <c r="AM3967">
        <v>91.145166999699796</v>
      </c>
      <c r="AN3967">
        <v>1.00000005637005</v>
      </c>
    </row>
    <row r="3968" spans="1:40" x14ac:dyDescent="0.3">
      <c r="A3968" t="str">
        <f>"20200111160536127"</f>
        <v>20200111160536127</v>
      </c>
      <c r="B3968" t="str">
        <f>"1578729936115293"</f>
        <v>1578729936115293</v>
      </c>
      <c r="C3968" t="s">
        <v>40</v>
      </c>
      <c r="D3968">
        <v>5.3847239999999896</v>
      </c>
      <c r="E3968">
        <v>0.46206009999999997</v>
      </c>
      <c r="F3968" t="s">
        <v>75</v>
      </c>
      <c r="G3968">
        <v>-284.53620000000001</v>
      </c>
      <c r="H3968" s="1">
        <v>-5.899624E-6</v>
      </c>
      <c r="I3968">
        <v>140.4521</v>
      </c>
      <c r="J3968">
        <v>-271.1739</v>
      </c>
      <c r="K3968">
        <v>1.11032</v>
      </c>
      <c r="L3968">
        <v>141.53819999999999</v>
      </c>
      <c r="M3968">
        <v>-0.99873049999999997</v>
      </c>
      <c r="N3968">
        <v>0</v>
      </c>
      <c r="O3968">
        <v>4.8393749999999999E-2</v>
      </c>
      <c r="P3968">
        <v>-0.99960720000000003</v>
      </c>
      <c r="Q3968">
        <v>1.3650100000000001E-3</v>
      </c>
      <c r="R3968">
        <v>2.8002490000000001E-2</v>
      </c>
      <c r="S3968">
        <v>-3.0084840000000002</v>
      </c>
      <c r="T3968">
        <v>-0.2452018</v>
      </c>
      <c r="U3968">
        <v>-0.2370148</v>
      </c>
      <c r="V3968">
        <v>-2.040225E-2</v>
      </c>
      <c r="W3968">
        <v>1.5356720000000001E-2</v>
      </c>
      <c r="X3968">
        <v>0.9996739</v>
      </c>
      <c r="Y3968">
        <v>-0.12612010000000001</v>
      </c>
      <c r="Z3968">
        <v>-9.0559760000000003E-3</v>
      </c>
      <c r="AA3968">
        <v>0.99197360000000001</v>
      </c>
      <c r="AB3968">
        <v>27</v>
      </c>
      <c r="AC3968">
        <v>-13.362299999999999</v>
      </c>
      <c r="AD3968">
        <v>-1.110325899624</v>
      </c>
      <c r="AE3968">
        <v>-1.0860999999999801</v>
      </c>
      <c r="AF3968">
        <v>-1.71974598565627</v>
      </c>
      <c r="AG3968">
        <v>-1.110325899624</v>
      </c>
      <c r="AH3968">
        <v>13.203508619065801</v>
      </c>
      <c r="AI3968">
        <v>94.766802382890106</v>
      </c>
      <c r="AJ3968">
        <v>97.420950582715093</v>
      </c>
      <c r="AK3968">
        <v>13.361249556545999</v>
      </c>
      <c r="AL3968">
        <v>89.120090164115695</v>
      </c>
      <c r="AM3968">
        <v>91.169181828184804</v>
      </c>
      <c r="AN3968">
        <v>0.99999999349771496</v>
      </c>
    </row>
    <row r="3969" spans="1:40" x14ac:dyDescent="0.3">
      <c r="A3969" t="str">
        <f>"20200111160536149"</f>
        <v>20200111160536149</v>
      </c>
      <c r="B3969" t="str">
        <f>"1578729936145549"</f>
        <v>1578729936145549</v>
      </c>
      <c r="C3969" t="s">
        <v>40</v>
      </c>
      <c r="D3969">
        <v>5.3753380000000002</v>
      </c>
      <c r="E3969">
        <v>0.46221830000000003</v>
      </c>
      <c r="F3969" t="s">
        <v>75</v>
      </c>
      <c r="G3969">
        <v>-284.51350000000002</v>
      </c>
      <c r="H3969" s="1">
        <v>-5.9010379999999997E-6</v>
      </c>
      <c r="I3969">
        <v>140.48759999999999</v>
      </c>
      <c r="J3969">
        <v>-271.43470000000002</v>
      </c>
      <c r="K3969">
        <v>1.110317</v>
      </c>
      <c r="L3969">
        <v>141.55119999999999</v>
      </c>
      <c r="M3969">
        <v>-0.99871810000000005</v>
      </c>
      <c r="N3969">
        <v>0</v>
      </c>
      <c r="O3969">
        <v>4.8648440000000001E-2</v>
      </c>
      <c r="P3969">
        <v>-0.99963299999999999</v>
      </c>
      <c r="Q3969">
        <v>2.437234E-4</v>
      </c>
      <c r="R3969">
        <v>2.7095560000000001E-2</v>
      </c>
      <c r="S3969">
        <v>-3.0081479999999998</v>
      </c>
      <c r="T3969">
        <v>-0.25038339999999998</v>
      </c>
      <c r="U3969">
        <v>-0.2369232</v>
      </c>
      <c r="V3969">
        <v>-2.156522E-2</v>
      </c>
      <c r="W3969">
        <v>1.423293E-2</v>
      </c>
      <c r="X3969">
        <v>0.99966619999999995</v>
      </c>
      <c r="Y3969">
        <v>-0.12632550000000001</v>
      </c>
      <c r="Z3969">
        <v>-9.2773830000000002E-3</v>
      </c>
      <c r="AA3969">
        <v>0.99194539999999998</v>
      </c>
      <c r="AB3969">
        <v>26</v>
      </c>
      <c r="AC3969">
        <v>-13.078799999999999</v>
      </c>
      <c r="AD3969">
        <v>-1.110322901038</v>
      </c>
      <c r="AE3969">
        <v>-1.0636000000000001</v>
      </c>
      <c r="AF3969">
        <v>-1.6865902020738699</v>
      </c>
      <c r="AG3969">
        <v>-1.110322901038</v>
      </c>
      <c r="AH3969">
        <v>12.919065894092499</v>
      </c>
      <c r="AI3969">
        <v>94.871054419676895</v>
      </c>
      <c r="AJ3969">
        <v>97.437925728263593</v>
      </c>
      <c r="AK3969">
        <v>13.075919356978501</v>
      </c>
      <c r="AL3969">
        <v>89.184485705047607</v>
      </c>
      <c r="AM3969">
        <v>91.235816989969507</v>
      </c>
      <c r="AN3969">
        <v>1.00000007321623</v>
      </c>
    </row>
    <row r="3970" spans="1:40" x14ac:dyDescent="0.3">
      <c r="A3970" t="str">
        <f>"20200111160536172"</f>
        <v>20200111160536172</v>
      </c>
      <c r="B3970" t="str">
        <f>"1578729936166045"</f>
        <v>1578729936166045</v>
      </c>
      <c r="C3970" t="s">
        <v>40</v>
      </c>
      <c r="D3970">
        <v>5.3937059999999999</v>
      </c>
      <c r="E3970">
        <v>0.46275129999999998</v>
      </c>
      <c r="F3970" t="s">
        <v>75</v>
      </c>
      <c r="G3970">
        <v>-284.61509999999998</v>
      </c>
      <c r="H3970" s="1">
        <v>-5.9520680000000001E-6</v>
      </c>
      <c r="I3970">
        <v>140.506</v>
      </c>
      <c r="J3970">
        <v>-271.70839999999998</v>
      </c>
      <c r="K3970">
        <v>1.1103179999999999</v>
      </c>
      <c r="L3970">
        <v>141.56479999999999</v>
      </c>
      <c r="M3970">
        <v>-0.99870519999999996</v>
      </c>
      <c r="N3970">
        <v>0</v>
      </c>
      <c r="O3970">
        <v>4.8915470000000003E-2</v>
      </c>
      <c r="P3970">
        <v>-0.9996718</v>
      </c>
      <c r="Q3970">
        <v>-3.6079809999999999E-4</v>
      </c>
      <c r="R3970">
        <v>2.5616469999999999E-2</v>
      </c>
      <c r="S3970">
        <v>-3.00766</v>
      </c>
      <c r="T3970">
        <v>-0.25336550000000002</v>
      </c>
      <c r="U3970">
        <v>-0.23849490000000001</v>
      </c>
      <c r="V3970">
        <v>-2.3311930000000002E-2</v>
      </c>
      <c r="W3970">
        <v>1.3625979999999999E-2</v>
      </c>
      <c r="X3970">
        <v>0.99963539999999995</v>
      </c>
      <c r="Y3970">
        <v>-0.1271002</v>
      </c>
      <c r="Z3970">
        <v>-9.4437730000000008E-3</v>
      </c>
      <c r="AA3970">
        <v>0.99184499999999998</v>
      </c>
      <c r="AB3970">
        <v>26</v>
      </c>
      <c r="AC3970">
        <v>-12.906700000000001</v>
      </c>
      <c r="AD3970">
        <v>-1.1103239520679999</v>
      </c>
      <c r="AE3970">
        <v>-1.05879999999999</v>
      </c>
      <c r="AF3970">
        <v>-1.67660620373581</v>
      </c>
      <c r="AG3970">
        <v>-1.1103239520679999</v>
      </c>
      <c r="AH3970">
        <v>12.745753776159599</v>
      </c>
      <c r="AI3970">
        <v>94.936341000340207</v>
      </c>
      <c r="AJ3970">
        <v>97.493795554652195</v>
      </c>
      <c r="AK3970">
        <v>12.9034129967008</v>
      </c>
      <c r="AL3970">
        <v>89.219264711584998</v>
      </c>
      <c r="AM3970">
        <v>91.335920224448301</v>
      </c>
      <c r="AN3970">
        <v>1.0000000231722199</v>
      </c>
    </row>
    <row r="3971" spans="1:40" x14ac:dyDescent="0.3">
      <c r="A3971" t="str">
        <f>"20200111160536194"</f>
        <v>20200111160536194</v>
      </c>
      <c r="B3971" t="str">
        <f>"1578729936185567"</f>
        <v>1578729936185567</v>
      </c>
      <c r="C3971" t="s">
        <v>40</v>
      </c>
      <c r="D3971">
        <v>5.4528939999999997</v>
      </c>
      <c r="E3971">
        <v>0.46305619999999997</v>
      </c>
      <c r="F3971" t="s">
        <v>75</v>
      </c>
      <c r="G3971">
        <v>-284.71260000000001</v>
      </c>
      <c r="H3971" s="1">
        <v>-6.00363E-6</v>
      </c>
      <c r="I3971">
        <v>140.5318</v>
      </c>
      <c r="J3971">
        <v>-271.97059999999999</v>
      </c>
      <c r="K3971">
        <v>1.110312</v>
      </c>
      <c r="L3971">
        <v>141.5779</v>
      </c>
      <c r="M3971">
        <v>-0.99869260000000004</v>
      </c>
      <c r="N3971">
        <v>0</v>
      </c>
      <c r="O3971">
        <v>4.9171470000000002E-2</v>
      </c>
      <c r="P3971">
        <v>-0.99971489999999996</v>
      </c>
      <c r="Q3971">
        <v>-1.2209149999999999E-3</v>
      </c>
      <c r="R3971">
        <v>2.3847799999999999E-2</v>
      </c>
      <c r="S3971">
        <v>-3.0069889999999999</v>
      </c>
      <c r="T3971">
        <v>-0.25674150000000001</v>
      </c>
      <c r="U3971">
        <v>-0.23887630000000001</v>
      </c>
      <c r="V3971">
        <v>-2.5337519999999999E-2</v>
      </c>
      <c r="W3971">
        <v>1.276393E-2</v>
      </c>
      <c r="X3971">
        <v>0.99959750000000003</v>
      </c>
      <c r="Y3971">
        <v>-0.1274777</v>
      </c>
      <c r="Z3971">
        <v>-9.6090840000000004E-3</v>
      </c>
      <c r="AA3971">
        <v>0.99179490000000003</v>
      </c>
      <c r="AB3971">
        <v>26</v>
      </c>
      <c r="AC3971">
        <v>-12.742000000000001</v>
      </c>
      <c r="AD3971">
        <v>-1.11031800363</v>
      </c>
      <c r="AE3971">
        <v>-1.04609999999999</v>
      </c>
      <c r="AF3971">
        <v>-1.65892631511196</v>
      </c>
      <c r="AG3971">
        <v>-1.11031800363</v>
      </c>
      <c r="AH3971">
        <v>12.580256640106301</v>
      </c>
      <c r="AI3971">
        <v>95.000716818096393</v>
      </c>
      <c r="AJ3971">
        <v>97.512105486128704</v>
      </c>
      <c r="AK3971">
        <v>12.737648908613201</v>
      </c>
      <c r="AL3971">
        <v>89.268660847579099</v>
      </c>
      <c r="AM3971">
        <v>91.452006595575</v>
      </c>
      <c r="AN3971">
        <v>1.00000003491752</v>
      </c>
    </row>
    <row r="3972" spans="1:40" x14ac:dyDescent="0.3">
      <c r="A3972" t="str">
        <f>"20200111160536216"</f>
        <v>20200111160536216</v>
      </c>
      <c r="B3972" t="str">
        <f>"1578729936206060"</f>
        <v>1578729936206060</v>
      </c>
      <c r="C3972" t="s">
        <v>40</v>
      </c>
      <c r="D3972">
        <v>5.495234</v>
      </c>
      <c r="E3972">
        <v>0.46329710000000002</v>
      </c>
      <c r="F3972" t="s">
        <v>75</v>
      </c>
      <c r="G3972">
        <v>-284.75740000000002</v>
      </c>
      <c r="H3972" s="1">
        <v>-6.0285709999999899E-6</v>
      </c>
      <c r="I3972">
        <v>140.54750000000001</v>
      </c>
      <c r="J3972">
        <v>-272.22320000000002</v>
      </c>
      <c r="K3972">
        <v>1.1103050000000001</v>
      </c>
      <c r="L3972">
        <v>141.5907</v>
      </c>
      <c r="M3972">
        <v>-0.99868049999999997</v>
      </c>
      <c r="N3972">
        <v>0</v>
      </c>
      <c r="O3972">
        <v>4.9417700000000002E-2</v>
      </c>
      <c r="P3972">
        <v>-0.99976160000000003</v>
      </c>
      <c r="Q3972">
        <v>-2.285615E-3</v>
      </c>
      <c r="R3972">
        <v>2.1715209999999999E-2</v>
      </c>
      <c r="S3972">
        <v>-3.006348</v>
      </c>
      <c r="T3972">
        <v>-0.26105030000000001</v>
      </c>
      <c r="U3972">
        <v>-0.2422638</v>
      </c>
      <c r="V3972">
        <v>-2.771674E-2</v>
      </c>
      <c r="W3972">
        <v>1.1696369999999999E-2</v>
      </c>
      <c r="X3972">
        <v>0.99954739999999997</v>
      </c>
      <c r="Y3972">
        <v>-0.1288214</v>
      </c>
      <c r="Z3972">
        <v>-9.8508629999999996E-3</v>
      </c>
      <c r="AA3972">
        <v>0.99161889999999997</v>
      </c>
      <c r="AB3972">
        <v>26</v>
      </c>
      <c r="AC3972">
        <v>-12.534199999999901</v>
      </c>
      <c r="AD3972">
        <v>-1.1103110285709901</v>
      </c>
      <c r="AE3972">
        <v>-1.0431999999999799</v>
      </c>
      <c r="AF3972">
        <v>-1.64854999585446</v>
      </c>
      <c r="AG3972">
        <v>-1.1103110285709901</v>
      </c>
      <c r="AH3972">
        <v>12.370920015547201</v>
      </c>
      <c r="AI3972">
        <v>95.083947941632999</v>
      </c>
      <c r="AJ3972">
        <v>97.590520466573494</v>
      </c>
      <c r="AK3972">
        <v>12.529571808328701</v>
      </c>
      <c r="AL3972">
        <v>89.329832091636007</v>
      </c>
      <c r="AM3972">
        <v>91.588364280259796</v>
      </c>
      <c r="AN3972">
        <v>1.0000000137970799</v>
      </c>
    </row>
    <row r="3973" spans="1:40" x14ac:dyDescent="0.3">
      <c r="A3973" t="str">
        <f>"20200111160536239"</f>
        <v>20200111160536239</v>
      </c>
      <c r="B3973" t="str">
        <f>"1578729936235341"</f>
        <v>1578729936235341</v>
      </c>
      <c r="C3973" t="s">
        <v>40</v>
      </c>
      <c r="D3973">
        <v>5.4398019999999896</v>
      </c>
      <c r="E3973">
        <v>0.4631595</v>
      </c>
      <c r="F3973" t="s">
        <v>75</v>
      </c>
      <c r="G3973">
        <v>-284.82479999999998</v>
      </c>
      <c r="H3973" s="1">
        <v>-6.0609330000000001E-6</v>
      </c>
      <c r="I3973">
        <v>140.55520000000001</v>
      </c>
      <c r="J3973">
        <v>-272.48540000000003</v>
      </c>
      <c r="K3973">
        <v>1.1103069999999999</v>
      </c>
      <c r="L3973">
        <v>141.60390000000001</v>
      </c>
      <c r="M3973">
        <v>-0.99866779999999999</v>
      </c>
      <c r="N3973">
        <v>0</v>
      </c>
      <c r="O3973">
        <v>4.9673580000000002E-2</v>
      </c>
      <c r="P3973">
        <v>-0.99980119999999895</v>
      </c>
      <c r="Q3973">
        <v>-1.815606E-3</v>
      </c>
      <c r="R3973">
        <v>1.9864699999999999E-2</v>
      </c>
      <c r="S3973">
        <v>-3.0054630000000002</v>
      </c>
      <c r="T3973">
        <v>-0.26480900000000002</v>
      </c>
      <c r="U3973">
        <v>-0.2469635</v>
      </c>
      <c r="V3973">
        <v>-2.982222E-2</v>
      </c>
      <c r="W3973">
        <v>1.216412E-2</v>
      </c>
      <c r="X3973">
        <v>0.99948119999999996</v>
      </c>
      <c r="Y3973">
        <v>-0.13061159999999999</v>
      </c>
      <c r="Z3973">
        <v>-1.009554E-2</v>
      </c>
      <c r="AA3973">
        <v>0.99138219999999999</v>
      </c>
      <c r="AB3973">
        <v>26</v>
      </c>
      <c r="AC3973">
        <v>-12.3393999999999</v>
      </c>
      <c r="AD3973">
        <v>-1.1103130609330001</v>
      </c>
      <c r="AE3973">
        <v>-1.04869999999999</v>
      </c>
      <c r="AF3973">
        <v>-1.6471663129322001</v>
      </c>
      <c r="AG3973">
        <v>-1.1103130609330001</v>
      </c>
      <c r="AH3973">
        <v>12.174203511855501</v>
      </c>
      <c r="AI3973">
        <v>95.164283220918094</v>
      </c>
      <c r="AJ3973">
        <v>97.705312357678594</v>
      </c>
      <c r="AK3973">
        <v>12.335200975412301</v>
      </c>
      <c r="AL3973">
        <v>89.303030073756204</v>
      </c>
      <c r="AM3973">
        <v>91.709067201668802</v>
      </c>
      <c r="AN3973">
        <v>0.99999999988727095</v>
      </c>
    </row>
    <row r="3974" spans="1:40" x14ac:dyDescent="0.3">
      <c r="A3974" t="str">
        <f>"20200111160536262"</f>
        <v>20200111160536262</v>
      </c>
      <c r="B3974" t="str">
        <f>"1578729936255837"</f>
        <v>1578729936255837</v>
      </c>
      <c r="C3974" t="s">
        <v>40</v>
      </c>
      <c r="D3974">
        <v>5.4527419999999998</v>
      </c>
      <c r="E3974">
        <v>0.46320650000000002</v>
      </c>
      <c r="F3974" t="s">
        <v>75</v>
      </c>
      <c r="G3974">
        <v>-285.37569999999999</v>
      </c>
      <c r="H3974" s="1">
        <v>-6.3680709999999999E-6</v>
      </c>
      <c r="I3974">
        <v>140.518</v>
      </c>
      <c r="J3974">
        <v>-272.7629</v>
      </c>
      <c r="K3974">
        <v>1.110309</v>
      </c>
      <c r="L3974">
        <v>141.61799999999999</v>
      </c>
      <c r="M3974">
        <v>-0.99865440000000005</v>
      </c>
      <c r="N3974">
        <v>0</v>
      </c>
      <c r="O3974">
        <v>4.9942559999999997E-2</v>
      </c>
      <c r="P3974">
        <v>-0.99983370000000005</v>
      </c>
      <c r="Q3974">
        <v>-1.3698339999999999E-3</v>
      </c>
      <c r="R3974">
        <v>1.8185280000000002E-2</v>
      </c>
      <c r="S3974">
        <v>-3.0051570000000001</v>
      </c>
      <c r="T3974">
        <v>-0.25885000000000002</v>
      </c>
      <c r="U3974">
        <v>-0.25315860000000001</v>
      </c>
      <c r="V3974">
        <v>-3.1770769999999997E-2</v>
      </c>
      <c r="W3974">
        <v>1.2606590000000001E-2</v>
      </c>
      <c r="X3974">
        <v>0.99941570000000002</v>
      </c>
      <c r="Y3974">
        <v>-0.13293740000000001</v>
      </c>
      <c r="Z3974">
        <v>-9.9923129999999992E-3</v>
      </c>
      <c r="AA3974">
        <v>0.99107409999999996</v>
      </c>
      <c r="AB3974">
        <v>26</v>
      </c>
      <c r="AC3974">
        <v>-12.612799999999901</v>
      </c>
      <c r="AD3974">
        <v>-1.1103153680710001</v>
      </c>
      <c r="AE3974">
        <v>-1.0999999999999901</v>
      </c>
      <c r="AF3974">
        <v>-1.7154109139906</v>
      </c>
      <c r="AG3974">
        <v>-1.1103153680710001</v>
      </c>
      <c r="AH3974">
        <v>12.446390803831401</v>
      </c>
      <c r="AI3974">
        <v>95.050247574977405</v>
      </c>
      <c r="AJ3974">
        <v>97.847293042759205</v>
      </c>
      <c r="AK3974">
        <v>12.6130122834362</v>
      </c>
      <c r="AL3974">
        <v>89.277676483230294</v>
      </c>
      <c r="AM3974">
        <v>91.820782101344705</v>
      </c>
      <c r="AN3974">
        <v>1.0000000246721501</v>
      </c>
    </row>
    <row r="3975" spans="1:40" x14ac:dyDescent="0.3">
      <c r="A3975" t="str">
        <f>"20200111160536284"</f>
        <v>20200111160536284</v>
      </c>
      <c r="B3975" t="str">
        <f>"1578729936275356"</f>
        <v>1578729936275356</v>
      </c>
      <c r="C3975" t="s">
        <v>40</v>
      </c>
      <c r="D3975">
        <v>5.5411900000000003</v>
      </c>
      <c r="E3975">
        <v>0.46329049999999999</v>
      </c>
      <c r="F3975" t="s">
        <v>75</v>
      </c>
      <c r="G3975">
        <v>-285.7439</v>
      </c>
      <c r="H3975" s="1">
        <v>-6.5926140000000002E-6</v>
      </c>
      <c r="I3975">
        <v>140.50360000000001</v>
      </c>
      <c r="J3975">
        <v>-273.01870000000002</v>
      </c>
      <c r="K3975">
        <v>1.110325</v>
      </c>
      <c r="L3975">
        <v>141.6311</v>
      </c>
      <c r="M3975">
        <v>-0.99864229999999998</v>
      </c>
      <c r="N3975">
        <v>0</v>
      </c>
      <c r="O3975">
        <v>5.0185220000000003E-2</v>
      </c>
      <c r="P3975">
        <v>-0.99985089999999999</v>
      </c>
      <c r="Q3975">
        <v>-3.3827500000000002E-4</v>
      </c>
      <c r="R3975">
        <v>1.726915E-2</v>
      </c>
      <c r="S3975">
        <v>-3.004883</v>
      </c>
      <c r="T3975">
        <v>-0.25701889999999999</v>
      </c>
      <c r="U3975">
        <v>-0.2579803</v>
      </c>
      <c r="V3975">
        <v>-3.2928810000000003E-2</v>
      </c>
      <c r="W3975">
        <v>1.3635039999999999E-2</v>
      </c>
      <c r="X3975">
        <v>0.99936469999999999</v>
      </c>
      <c r="Y3975">
        <v>-0.13476640000000001</v>
      </c>
      <c r="Z3975">
        <v>-1.002078E-2</v>
      </c>
      <c r="AA3975">
        <v>0.99082669999999995</v>
      </c>
      <c r="AB3975">
        <v>26</v>
      </c>
      <c r="AC3975">
        <v>-12.7251999999999</v>
      </c>
      <c r="AD3975">
        <v>-1.1103315926140001</v>
      </c>
      <c r="AE3975">
        <v>-1.12749999999999</v>
      </c>
      <c r="AF3975">
        <v>-1.75152709989286</v>
      </c>
      <c r="AG3975">
        <v>-1.1103315926140001</v>
      </c>
      <c r="AH3975">
        <v>12.557711239653701</v>
      </c>
      <c r="AI3975">
        <v>95.0046592155377</v>
      </c>
      <c r="AJ3975">
        <v>97.940286700536802</v>
      </c>
      <c r="AK3975">
        <v>12.7277961566699</v>
      </c>
      <c r="AL3975">
        <v>89.218745555052806</v>
      </c>
      <c r="AM3975">
        <v>91.887198437905496</v>
      </c>
      <c r="AN3975">
        <v>1.0000000122249499</v>
      </c>
    </row>
    <row r="3976" spans="1:40" x14ac:dyDescent="0.3">
      <c r="A3976" t="str">
        <f>"20200111160536305"</f>
        <v>20200111160536305</v>
      </c>
      <c r="B3976" t="str">
        <f>"1578729936295950"</f>
        <v>1578729936295950</v>
      </c>
      <c r="C3976" t="s">
        <v>40</v>
      </c>
      <c r="D3976">
        <v>5.4126409999999998</v>
      </c>
      <c r="E3976">
        <v>0.46341379999999999</v>
      </c>
      <c r="F3976" t="s">
        <v>75</v>
      </c>
      <c r="G3976">
        <v>-286.20819999999998</v>
      </c>
      <c r="H3976" s="1">
        <v>-6.877101E-6</v>
      </c>
      <c r="I3976">
        <v>140.48939999999999</v>
      </c>
      <c r="J3976">
        <v>-273.2697</v>
      </c>
      <c r="K3976">
        <v>1.1103339999999999</v>
      </c>
      <c r="L3976">
        <v>141.64400000000001</v>
      </c>
      <c r="M3976">
        <v>-0.99863080000000004</v>
      </c>
      <c r="N3976">
        <v>0</v>
      </c>
      <c r="O3976">
        <v>5.041317E-2</v>
      </c>
      <c r="P3976">
        <v>-0.99985489999999999</v>
      </c>
      <c r="Q3976">
        <v>1.0079329999999999E-3</v>
      </c>
      <c r="R3976">
        <v>1.7008410000000002E-2</v>
      </c>
      <c r="S3976">
        <v>-3.0048520000000001</v>
      </c>
      <c r="T3976">
        <v>-0.2529575</v>
      </c>
      <c r="U3976">
        <v>-0.26010129999999998</v>
      </c>
      <c r="V3976">
        <v>-3.3417090000000003E-2</v>
      </c>
      <c r="W3976">
        <v>1.4978150000000001E-2</v>
      </c>
      <c r="X3976">
        <v>0.99932929999999998</v>
      </c>
      <c r="Y3976">
        <v>-0.13570450000000001</v>
      </c>
      <c r="Z3976">
        <v>-9.9212769999999992E-3</v>
      </c>
      <c r="AA3976">
        <v>0.99069969999999996</v>
      </c>
      <c r="AB3976">
        <v>26</v>
      </c>
      <c r="AC3976">
        <v>-12.9384999999999</v>
      </c>
      <c r="AD3976">
        <v>-1.1103408771009999</v>
      </c>
      <c r="AE3976">
        <v>-1.1546000000000101</v>
      </c>
      <c r="AF3976">
        <v>-1.7923703246897</v>
      </c>
      <c r="AG3976">
        <v>-1.1103408771009999</v>
      </c>
      <c r="AH3976">
        <v>12.7705262404771</v>
      </c>
      <c r="AI3976">
        <v>94.921125599926796</v>
      </c>
      <c r="AJ3976">
        <v>97.989396129038099</v>
      </c>
      <c r="AK3976">
        <v>12.9434071520177</v>
      </c>
      <c r="AL3976">
        <v>89.141783170111793</v>
      </c>
      <c r="AM3976">
        <v>91.915229585711302</v>
      </c>
      <c r="AN3976">
        <v>1.00000004835998</v>
      </c>
    </row>
    <row r="3977" spans="1:40" x14ac:dyDescent="0.3">
      <c r="A3977" t="str">
        <f>"20200111160536328"</f>
        <v>20200111160536328</v>
      </c>
      <c r="B3977" t="str">
        <f>"1578729936326206"</f>
        <v>1578729936326206</v>
      </c>
      <c r="C3977" t="s">
        <v>40</v>
      </c>
      <c r="D3977">
        <v>5.5412800000000004</v>
      </c>
      <c r="E3977">
        <v>0.46333619999999998</v>
      </c>
      <c r="F3977" t="s">
        <v>75</v>
      </c>
      <c r="G3977">
        <v>-286.80540000000002</v>
      </c>
      <c r="H3977" s="1">
        <v>-7.2441330000000001E-6</v>
      </c>
      <c r="I3977">
        <v>140.47489999999999</v>
      </c>
      <c r="J3977">
        <v>-273.5258</v>
      </c>
      <c r="K3977">
        <v>1.1103430000000001</v>
      </c>
      <c r="L3977">
        <v>141.65719999999999</v>
      </c>
      <c r="M3977">
        <v>-0.99861960000000005</v>
      </c>
      <c r="N3977">
        <v>0</v>
      </c>
      <c r="O3977">
        <v>5.0635960000000001E-2</v>
      </c>
      <c r="P3977">
        <v>-0.99985279999999999</v>
      </c>
      <c r="Q3977">
        <v>2.4990360000000001E-3</v>
      </c>
      <c r="R3977">
        <v>1.69769E-2</v>
      </c>
      <c r="S3977">
        <v>-3.0050659999999998</v>
      </c>
      <c r="T3977">
        <v>-0.24650900000000001</v>
      </c>
      <c r="U3977">
        <v>-0.259552</v>
      </c>
      <c r="V3977">
        <v>-3.3671239999999998E-2</v>
      </c>
      <c r="W3977">
        <v>1.6465219999999999E-2</v>
      </c>
      <c r="X3977">
        <v>0.99929730000000005</v>
      </c>
      <c r="Y3977">
        <v>-0.1357717</v>
      </c>
      <c r="Z3977">
        <v>-9.6895639999999995E-3</v>
      </c>
      <c r="AA3977">
        <v>0.99069280000000004</v>
      </c>
      <c r="AB3977">
        <v>26</v>
      </c>
      <c r="AC3977">
        <v>-13.2796</v>
      </c>
      <c r="AD3977">
        <v>-1.110350244133</v>
      </c>
      <c r="AE3977">
        <v>-1.1822999999999899</v>
      </c>
      <c r="AF3977">
        <v>-1.8405077373762699</v>
      </c>
      <c r="AG3977">
        <v>-1.110350244133</v>
      </c>
      <c r="AH3977">
        <v>13.1117430038547</v>
      </c>
      <c r="AI3977">
        <v>94.793692032211993</v>
      </c>
      <c r="AJ3977">
        <v>97.990454272248598</v>
      </c>
      <c r="AK3977">
        <v>13.286766009647399</v>
      </c>
      <c r="AL3977">
        <v>89.056569730353701</v>
      </c>
      <c r="AM3977">
        <v>91.929846431360701</v>
      </c>
      <c r="AN3977">
        <v>0.999999974830037</v>
      </c>
    </row>
    <row r="3978" spans="1:40" x14ac:dyDescent="0.3">
      <c r="A3978" t="str">
        <f>"20200111160536350"</f>
        <v>20200111160536350</v>
      </c>
      <c r="B3978" t="str">
        <f>"1578729936345726"</f>
        <v>1578729936345726</v>
      </c>
      <c r="C3978" t="s">
        <v>40</v>
      </c>
      <c r="D3978">
        <v>5.4168200000000004</v>
      </c>
      <c r="E3978">
        <v>0.46345409999999998</v>
      </c>
      <c r="F3978" t="s">
        <v>75</v>
      </c>
      <c r="G3978">
        <v>-287.52719999999999</v>
      </c>
      <c r="H3978" s="1">
        <v>-7.6841259999999993E-6</v>
      </c>
      <c r="I3978">
        <v>140.446</v>
      </c>
      <c r="J3978">
        <v>-273.79149999999998</v>
      </c>
      <c r="K3978">
        <v>1.11036</v>
      </c>
      <c r="L3978">
        <v>141.67089999999999</v>
      </c>
      <c r="M3978">
        <v>-0.99860870000000002</v>
      </c>
      <c r="N3978">
        <v>0</v>
      </c>
      <c r="O3978">
        <v>5.0853059999999999E-2</v>
      </c>
      <c r="P3978">
        <v>-0.99984620000000002</v>
      </c>
      <c r="Q3978">
        <v>3.338307E-3</v>
      </c>
      <c r="R3978">
        <v>1.7234240000000001E-2</v>
      </c>
      <c r="S3978">
        <v>-3.0054319999999999</v>
      </c>
      <c r="T3978">
        <v>-0.2383401</v>
      </c>
      <c r="U3978">
        <v>-0.25999450000000002</v>
      </c>
      <c r="V3978">
        <v>-3.3630739999999999E-2</v>
      </c>
      <c r="W3978">
        <v>1.730052E-2</v>
      </c>
      <c r="X3978">
        <v>0.99928459999999997</v>
      </c>
      <c r="Y3978">
        <v>-0.13616020000000001</v>
      </c>
      <c r="Z3978">
        <v>-9.4008080000000001E-3</v>
      </c>
      <c r="AA3978">
        <v>0.99064220000000003</v>
      </c>
      <c r="AB3978">
        <v>26</v>
      </c>
      <c r="AC3978">
        <v>-13.7357</v>
      </c>
      <c r="AD3978">
        <v>-1.110367684126</v>
      </c>
      <c r="AE3978">
        <v>-1.2248999999999901</v>
      </c>
      <c r="AF3978">
        <v>-1.90950543163887</v>
      </c>
      <c r="AG3978">
        <v>-1.110367684126</v>
      </c>
      <c r="AH3978">
        <v>13.567666157782201</v>
      </c>
      <c r="AI3978">
        <v>94.633158093851705</v>
      </c>
      <c r="AJ3978">
        <v>98.011157268324297</v>
      </c>
      <c r="AK3978">
        <v>13.746297405353801</v>
      </c>
      <c r="AL3978">
        <v>89.008703788974401</v>
      </c>
      <c r="AM3978">
        <v>91.927551429431404</v>
      </c>
      <c r="AN3978">
        <v>1.0000000232311801</v>
      </c>
    </row>
    <row r="3979" spans="1:40" x14ac:dyDescent="0.3">
      <c r="A3979" t="str">
        <f>"20200111160536365"</f>
        <v>20200111160536365</v>
      </c>
      <c r="B3979" t="str">
        <f>"1578729936355487"</f>
        <v>1578729936355487</v>
      </c>
      <c r="C3979" t="s">
        <v>40</v>
      </c>
      <c r="D3979">
        <v>5.4470609999999997</v>
      </c>
      <c r="E3979">
        <v>0.46331309999999898</v>
      </c>
      <c r="F3979" t="s">
        <v>75</v>
      </c>
      <c r="G3979">
        <v>-288.04559999999998</v>
      </c>
      <c r="H3979" s="1">
        <v>-8.0069070000000003E-6</v>
      </c>
      <c r="I3979">
        <v>140.4461</v>
      </c>
      <c r="J3979">
        <v>-273.96660000000003</v>
      </c>
      <c r="K3979">
        <v>1.110368</v>
      </c>
      <c r="L3979">
        <v>141.68</v>
      </c>
      <c r="M3979">
        <v>-0.99860170000000004</v>
      </c>
      <c r="N3979">
        <v>0</v>
      </c>
      <c r="O3979">
        <v>5.098896E-2</v>
      </c>
      <c r="P3979">
        <v>-0.99983869999999997</v>
      </c>
      <c r="Q3979">
        <v>3.612634E-3</v>
      </c>
      <c r="R3979">
        <v>1.7590959999999999E-2</v>
      </c>
      <c r="S3979">
        <v>-3.0057070000000001</v>
      </c>
      <c r="T3979">
        <v>-0.23413999999999999</v>
      </c>
      <c r="U3979">
        <v>-0.25827030000000001</v>
      </c>
      <c r="V3979">
        <v>-3.3410919999999997E-2</v>
      </c>
      <c r="W3979">
        <v>1.7572279999999999E-2</v>
      </c>
      <c r="X3979">
        <v>0.99928720000000004</v>
      </c>
      <c r="Y3979">
        <v>-0.13574439999999999</v>
      </c>
      <c r="Z3979">
        <v>-9.2294349999999994E-3</v>
      </c>
      <c r="AA3979">
        <v>0.9907009</v>
      </c>
      <c r="AB3979">
        <v>26</v>
      </c>
      <c r="AC3979">
        <v>-14.078999999999899</v>
      </c>
      <c r="AD3979">
        <v>-1.1103760069069999</v>
      </c>
      <c r="AE3979">
        <v>-1.2339</v>
      </c>
      <c r="AF3979">
        <v>-1.9382738037337499</v>
      </c>
      <c r="AG3979">
        <v>-1.1103760069069999</v>
      </c>
      <c r="AH3979">
        <v>13.9118877284953</v>
      </c>
      <c r="AI3979">
        <v>94.519908785212905</v>
      </c>
      <c r="AJ3979">
        <v>97.931675869973105</v>
      </c>
      <c r="AK3979">
        <v>14.090083760759301</v>
      </c>
      <c r="AL3979">
        <v>88.993130688631297</v>
      </c>
      <c r="AM3979">
        <v>91.914956842272005</v>
      </c>
      <c r="AN3979">
        <v>0.999999991341742</v>
      </c>
    </row>
    <row r="3980" spans="1:40" x14ac:dyDescent="0.3">
      <c r="A3980" t="str">
        <f>"20200111160536385"</f>
        <v>20200111160536385</v>
      </c>
      <c r="B3980" t="str">
        <f>"1578729936375982"</f>
        <v>1578729936375982</v>
      </c>
      <c r="C3980" t="s">
        <v>40</v>
      </c>
      <c r="D3980">
        <v>5.4620329999999999</v>
      </c>
      <c r="E3980">
        <v>0.46339760000000002</v>
      </c>
      <c r="F3980" t="s">
        <v>75</v>
      </c>
      <c r="G3980">
        <v>-288.3852</v>
      </c>
      <c r="H3980" s="1">
        <v>-8.2168030000000006E-6</v>
      </c>
      <c r="I3980">
        <v>140.44139999999999</v>
      </c>
      <c r="J3980">
        <v>-274.20440000000002</v>
      </c>
      <c r="K3980">
        <v>1.110376</v>
      </c>
      <c r="L3980">
        <v>141.69239999999999</v>
      </c>
      <c r="M3980">
        <v>-0.99859299999999995</v>
      </c>
      <c r="N3980">
        <v>0</v>
      </c>
      <c r="O3980">
        <v>5.1158729999999999E-2</v>
      </c>
      <c r="P3980">
        <v>-0.99982870000000001</v>
      </c>
      <c r="Q3980">
        <v>3.991283E-3</v>
      </c>
      <c r="R3980">
        <v>1.8074659999999999E-2</v>
      </c>
      <c r="S3980">
        <v>-3.00589</v>
      </c>
      <c r="T3980">
        <v>-0.2314841</v>
      </c>
      <c r="U3980">
        <v>-0.25820920000000003</v>
      </c>
      <c r="V3980">
        <v>-3.309716E-2</v>
      </c>
      <c r="W3980">
        <v>1.7947020000000001E-2</v>
      </c>
      <c r="X3980">
        <v>0.99929100000000004</v>
      </c>
      <c r="Y3980">
        <v>-0.13589949999999901</v>
      </c>
      <c r="Z3980">
        <v>-9.1434900000000006E-3</v>
      </c>
      <c r="AA3980">
        <v>0.99068049999999996</v>
      </c>
      <c r="AB3980">
        <v>26</v>
      </c>
      <c r="AC3980">
        <v>-14.1807999999999</v>
      </c>
      <c r="AD3980">
        <v>-1.110384216803</v>
      </c>
      <c r="AE3980">
        <v>-1.2509999999999999</v>
      </c>
      <c r="AF3980">
        <v>-1.96296157189803</v>
      </c>
      <c r="AG3980">
        <v>-1.110384216803</v>
      </c>
      <c r="AH3980">
        <v>14.012968544243799</v>
      </c>
      <c r="AI3980">
        <v>94.487008245569697</v>
      </c>
      <c r="AJ3980">
        <v>97.974205898771601</v>
      </c>
      <c r="AK3980">
        <v>14.193289212287601</v>
      </c>
      <c r="AL3980">
        <v>88.971656300364202</v>
      </c>
      <c r="AM3980">
        <v>91.896979587208307</v>
      </c>
      <c r="AN3980">
        <v>1.0000000101039701</v>
      </c>
    </row>
    <row r="3981" spans="1:40" x14ac:dyDescent="0.3">
      <c r="A3981" t="str">
        <f>"20200111160536407"</f>
        <v>20200111160536407</v>
      </c>
      <c r="B3981" t="str">
        <f>"1578729936395502"</f>
        <v>1578729936395502</v>
      </c>
      <c r="C3981" t="s">
        <v>40</v>
      </c>
      <c r="D3981">
        <v>5.4651269999999998</v>
      </c>
      <c r="E3981">
        <v>0.46352290000000002</v>
      </c>
      <c r="F3981" t="s">
        <v>75</v>
      </c>
      <c r="G3981">
        <v>-288.7029</v>
      </c>
      <c r="H3981" s="1">
        <v>-8.4194269999999999E-6</v>
      </c>
      <c r="I3981">
        <v>140.4563</v>
      </c>
      <c r="J3981">
        <v>-274.44959999999998</v>
      </c>
      <c r="K3981">
        <v>1.1103909999999999</v>
      </c>
      <c r="L3981">
        <v>141.70509999999999</v>
      </c>
      <c r="M3981">
        <v>-0.99858499999999994</v>
      </c>
      <c r="N3981">
        <v>0</v>
      </c>
      <c r="O3981">
        <v>5.1318519999999999E-2</v>
      </c>
      <c r="P3981">
        <v>-0.99980290000000005</v>
      </c>
      <c r="Q3981">
        <v>4.2627419999999999E-3</v>
      </c>
      <c r="R3981">
        <v>1.9391599999999998E-2</v>
      </c>
      <c r="S3981">
        <v>-3.0061040000000001</v>
      </c>
      <c r="T3981">
        <v>-0.23022480000000001</v>
      </c>
      <c r="U3981">
        <v>-0.25628659999999998</v>
      </c>
      <c r="V3981">
        <v>-3.194147E-2</v>
      </c>
      <c r="W3981">
        <v>1.8214950000000001E-2</v>
      </c>
      <c r="X3981">
        <v>0.99932370000000004</v>
      </c>
      <c r="Y3981">
        <v>-0.13542989999999999</v>
      </c>
      <c r="Z3981">
        <v>-9.0877570000000001E-3</v>
      </c>
      <c r="AA3981">
        <v>0.99074519999999999</v>
      </c>
      <c r="AB3981">
        <v>26</v>
      </c>
      <c r="AC3981">
        <v>-14.253299999999999</v>
      </c>
      <c r="AD3981">
        <v>-1.1103994194269999</v>
      </c>
      <c r="AE3981">
        <v>-1.2487999999999799</v>
      </c>
      <c r="AF3981">
        <v>-1.9668374643365201</v>
      </c>
      <c r="AG3981">
        <v>-1.1103994194269999</v>
      </c>
      <c r="AH3981">
        <v>14.085586246980499</v>
      </c>
      <c r="AI3981">
        <v>94.464302890685005</v>
      </c>
      <c r="AJ3981">
        <v>97.949084971211704</v>
      </c>
      <c r="AK3981">
        <v>14.2655240493614</v>
      </c>
      <c r="AL3981">
        <v>88.956302469213597</v>
      </c>
      <c r="AM3981">
        <v>91.830726686979901</v>
      </c>
      <c r="AN3981">
        <v>0.99999994964547501</v>
      </c>
    </row>
    <row r="3982" spans="1:40" x14ac:dyDescent="0.3">
      <c r="A3982" t="str">
        <f>"20200111160536428"</f>
        <v>20200111160536428</v>
      </c>
      <c r="B3982" t="str">
        <f>"1578729936425758"</f>
        <v>1578729936425758</v>
      </c>
      <c r="C3982" t="s">
        <v>40</v>
      </c>
      <c r="D3982">
        <v>5.6431129999999996</v>
      </c>
      <c r="E3982">
        <v>0.46376000000000001</v>
      </c>
      <c r="F3982" t="s">
        <v>75</v>
      </c>
      <c r="G3982">
        <v>-288.99470000000002</v>
      </c>
      <c r="H3982" s="1">
        <v>-8.6111949999999995E-6</v>
      </c>
      <c r="I3982">
        <v>140.48759999999999</v>
      </c>
      <c r="J3982">
        <v>-274.69929999999999</v>
      </c>
      <c r="K3982">
        <v>1.1104080000000001</v>
      </c>
      <c r="L3982">
        <v>141.7182</v>
      </c>
      <c r="M3982">
        <v>-0.99857750000000001</v>
      </c>
      <c r="N3982">
        <v>0</v>
      </c>
      <c r="O3982">
        <v>5.1466100000000001E-2</v>
      </c>
      <c r="P3982">
        <v>-0.99977349999999998</v>
      </c>
      <c r="Q3982">
        <v>4.5703389999999997E-3</v>
      </c>
      <c r="R3982">
        <v>2.0791179999999999E-2</v>
      </c>
      <c r="S3982">
        <v>-3.0064389999999999</v>
      </c>
      <c r="T3982">
        <v>-0.229517</v>
      </c>
      <c r="U3982">
        <v>-0.25166319999999998</v>
      </c>
      <c r="V3982">
        <v>-3.0690430000000001E-2</v>
      </c>
      <c r="W3982">
        <v>1.851912E-2</v>
      </c>
      <c r="X3982">
        <v>0.9993573</v>
      </c>
      <c r="Y3982">
        <v>-0.13406089999999901</v>
      </c>
      <c r="Z3982">
        <v>-9.0185830000000002E-3</v>
      </c>
      <c r="AA3982">
        <v>0.99093200000000004</v>
      </c>
      <c r="AB3982">
        <v>26</v>
      </c>
      <c r="AC3982">
        <v>-14.295400000000001</v>
      </c>
      <c r="AD3982">
        <v>-1.110416611195</v>
      </c>
      <c r="AE3982">
        <v>-1.2305999999999999</v>
      </c>
      <c r="AF3982">
        <v>-1.95307131910945</v>
      </c>
      <c r="AG3982">
        <v>-1.110416611195</v>
      </c>
      <c r="AH3982">
        <v>14.1284917433922</v>
      </c>
      <c r="AI3982">
        <v>94.451713895635606</v>
      </c>
      <c r="AJ3982">
        <v>97.870480040827502</v>
      </c>
      <c r="AK3982">
        <v>14.3060054372647</v>
      </c>
      <c r="AL3982">
        <v>88.938871856919107</v>
      </c>
      <c r="AM3982">
        <v>91.759010137987602</v>
      </c>
      <c r="AN3982">
        <v>0.999999936681222</v>
      </c>
    </row>
    <row r="3983" spans="1:40" x14ac:dyDescent="0.3">
      <c r="A3983" t="str">
        <f>"20200111160536452"</f>
        <v>20200111160536452</v>
      </c>
      <c r="B3983" t="str">
        <f>"1578729936445278"</f>
        <v>1578729936445278</v>
      </c>
      <c r="C3983" t="s">
        <v>40</v>
      </c>
      <c r="D3983">
        <v>5.441154</v>
      </c>
      <c r="E3983">
        <v>0.49011130000000003</v>
      </c>
      <c r="F3983" t="s">
        <v>75</v>
      </c>
      <c r="G3983">
        <v>-289.32749999999999</v>
      </c>
      <c r="H3983" s="1">
        <v>-8.8298609999999999E-6</v>
      </c>
      <c r="I3983">
        <v>140.523</v>
      </c>
      <c r="J3983">
        <v>-274.97050000000002</v>
      </c>
      <c r="K3983">
        <v>1.1104259999999999</v>
      </c>
      <c r="L3983">
        <v>141.73230000000001</v>
      </c>
      <c r="M3983">
        <v>-0.99856990000000001</v>
      </c>
      <c r="N3983">
        <v>0</v>
      </c>
      <c r="O3983">
        <v>5.1611539999999997E-2</v>
      </c>
      <c r="P3983">
        <v>-0.99973400000000001</v>
      </c>
      <c r="Q3983">
        <v>5.1665569999999996E-3</v>
      </c>
      <c r="R3983">
        <v>2.248298E-2</v>
      </c>
      <c r="S3983">
        <v>-3.0068359999999998</v>
      </c>
      <c r="T3983">
        <v>-0.22824659999999999</v>
      </c>
      <c r="U3983">
        <v>-0.24566650000000001</v>
      </c>
      <c r="V3983">
        <v>-2.9144199999999999E-2</v>
      </c>
      <c r="W3983">
        <v>1.911125E-2</v>
      </c>
      <c r="X3983">
        <v>0.99939250000000002</v>
      </c>
      <c r="Y3983">
        <v>-0.132242</v>
      </c>
      <c r="Z3983">
        <v>-8.9105009999999995E-3</v>
      </c>
      <c r="AA3983">
        <v>0.99117739999999999</v>
      </c>
      <c r="AB3983">
        <v>26</v>
      </c>
      <c r="AC3983">
        <v>-14.3569999999999</v>
      </c>
      <c r="AD3983">
        <v>-1.1104348298609901</v>
      </c>
      <c r="AE3983">
        <v>-1.20930000000001</v>
      </c>
      <c r="AF3983">
        <v>-1.93723963586937</v>
      </c>
      <c r="AG3983">
        <v>-1.1104348298609901</v>
      </c>
      <c r="AH3983">
        <v>14.1911461002957</v>
      </c>
      <c r="AI3983">
        <v>94.433237753652193</v>
      </c>
      <c r="AJ3983">
        <v>97.773423682102901</v>
      </c>
      <c r="AK3983">
        <v>14.3657436479317</v>
      </c>
      <c r="AL3983">
        <v>88.904939363258194</v>
      </c>
      <c r="AM3983">
        <v>91.6703813017767</v>
      </c>
      <c r="AN3983">
        <v>0.99999999666322603</v>
      </c>
    </row>
    <row r="3984" spans="1:40" x14ac:dyDescent="0.3">
      <c r="A3984" t="str">
        <f>"20200111160536474"</f>
        <v>20200111160536474</v>
      </c>
      <c r="B3984" t="str">
        <f>"1578729936465774"</f>
        <v>1578729936465774</v>
      </c>
      <c r="C3984" t="s">
        <v>40</v>
      </c>
      <c r="D3984">
        <v>5.4785240000000002</v>
      </c>
      <c r="E3984">
        <v>0.49357990000000002</v>
      </c>
      <c r="F3984" t="s">
        <v>75</v>
      </c>
      <c r="G3984">
        <v>-287.74180000000001</v>
      </c>
      <c r="H3984" s="1">
        <v>-8.188976E-6</v>
      </c>
      <c r="I3984">
        <v>141.59309999999999</v>
      </c>
      <c r="J3984">
        <v>-275.23489999999998</v>
      </c>
      <c r="K3984">
        <v>1.110439</v>
      </c>
      <c r="L3984">
        <v>141.74619999999999</v>
      </c>
      <c r="M3984">
        <v>-0.9985636</v>
      </c>
      <c r="N3984">
        <v>0</v>
      </c>
      <c r="O3984">
        <v>5.1737379999999999E-2</v>
      </c>
      <c r="P3984">
        <v>-0.99970000000000003</v>
      </c>
      <c r="Q3984">
        <v>5.7623309999999999E-3</v>
      </c>
      <c r="R3984">
        <v>2.3807869999999998E-2</v>
      </c>
      <c r="S3984">
        <v>-3.0028990000000002</v>
      </c>
      <c r="T3984">
        <v>-0.26109399999999999</v>
      </c>
      <c r="U3984">
        <v>-3.2730099999999998E-2</v>
      </c>
      <c r="V3984">
        <v>-2.7946289999999999E-2</v>
      </c>
      <c r="W3984">
        <v>1.969479E-2</v>
      </c>
      <c r="X3984">
        <v>0.99941539999999995</v>
      </c>
      <c r="Y3984">
        <v>-6.2193850000000002E-2</v>
      </c>
      <c r="Z3984">
        <v>-7.1876919999999999E-3</v>
      </c>
      <c r="AA3984">
        <v>0.99803819999999999</v>
      </c>
      <c r="AB3984">
        <v>26</v>
      </c>
      <c r="AC3984">
        <v>-12.5069</v>
      </c>
      <c r="AD3984">
        <v>-1.1104471889759999</v>
      </c>
      <c r="AE3984">
        <v>-0.15309999999999399</v>
      </c>
      <c r="AF3984">
        <v>-0.79377545849909104</v>
      </c>
      <c r="AG3984">
        <v>-1.1104471889759999</v>
      </c>
      <c r="AH3984">
        <v>12.3846104407778</v>
      </c>
      <c r="AI3984">
        <v>95.113201386928907</v>
      </c>
      <c r="AJ3984">
        <v>93.6672820381539</v>
      </c>
      <c r="AK3984">
        <v>12.4596046569641</v>
      </c>
      <c r="AL3984">
        <v>88.871498704051405</v>
      </c>
      <c r="AM3984">
        <v>91.601723701307606</v>
      </c>
      <c r="AN3984">
        <v>1.00000001081753</v>
      </c>
    </row>
    <row r="3985" spans="1:40" x14ac:dyDescent="0.3">
      <c r="A3985" t="str">
        <f>"20200111160536497"</f>
        <v>20200111160536497</v>
      </c>
      <c r="B3985" t="str">
        <f>"1578729936485294"</f>
        <v>1578729936485294</v>
      </c>
      <c r="C3985" t="s">
        <v>40</v>
      </c>
      <c r="D3985">
        <v>5.4231410000000002</v>
      </c>
      <c r="E3985">
        <v>0.49457430000000002</v>
      </c>
      <c r="F3985" t="s">
        <v>75</v>
      </c>
      <c r="G3985">
        <v>-287.27730000000003</v>
      </c>
      <c r="H3985" s="1">
        <v>-7.9460009999999992E-6</v>
      </c>
      <c r="I3985">
        <v>141.73599999999999</v>
      </c>
      <c r="J3985">
        <v>-275.48919999999998</v>
      </c>
      <c r="K3985">
        <v>1.110441</v>
      </c>
      <c r="L3985">
        <v>141.7595</v>
      </c>
      <c r="M3985">
        <v>-0.99855870000000002</v>
      </c>
      <c r="N3985">
        <v>0</v>
      </c>
      <c r="O3985">
        <v>5.1842470000000002E-2</v>
      </c>
      <c r="P3985">
        <v>-0.99966480000000002</v>
      </c>
      <c r="Q3985">
        <v>5.5584010000000001E-3</v>
      </c>
      <c r="R3985">
        <v>2.5292309999999998E-2</v>
      </c>
      <c r="S3985">
        <v>-3.0025629999999999</v>
      </c>
      <c r="T3985">
        <v>-0.27687109999999998</v>
      </c>
      <c r="U3985">
        <v>-2.532959E-3</v>
      </c>
      <c r="V3985">
        <v>-2.6567230000000001E-2</v>
      </c>
      <c r="W3985">
        <v>1.9455940000000001E-2</v>
      </c>
      <c r="X3985">
        <v>0.9994577</v>
      </c>
      <c r="Y3985">
        <v>-5.224844E-2</v>
      </c>
      <c r="Z3985">
        <v>-7.17309E-3</v>
      </c>
      <c r="AA3985">
        <v>0.99860839999999995</v>
      </c>
      <c r="AB3985">
        <v>26</v>
      </c>
      <c r="AC3985">
        <v>-11.7881</v>
      </c>
      <c r="AD3985">
        <v>-1.1104489460009901</v>
      </c>
      <c r="AE3985">
        <v>-2.3500000000012702E-2</v>
      </c>
      <c r="AF3985">
        <v>-0.62906934658166103</v>
      </c>
      <c r="AG3985">
        <v>-1.1104489460009901</v>
      </c>
      <c r="AH3985">
        <v>11.667492206621301</v>
      </c>
      <c r="AI3985">
        <v>95.428889010017997</v>
      </c>
      <c r="AJ3985">
        <v>93.086194812992005</v>
      </c>
      <c r="AK3985">
        <v>11.7370864994705</v>
      </c>
      <c r="AL3985">
        <v>88.885186436904803</v>
      </c>
      <c r="AM3985">
        <v>91.522657523112699</v>
      </c>
      <c r="AN3985">
        <v>1.0000000227002199</v>
      </c>
    </row>
    <row r="3986" spans="1:40" x14ac:dyDescent="0.3">
      <c r="A3986" t="str">
        <f>"20200111160536529"</f>
        <v>20200111160536529</v>
      </c>
      <c r="B3986" t="str">
        <f>"1578729936525818"</f>
        <v>1578729936525818</v>
      </c>
      <c r="C3986" t="s">
        <v>40</v>
      </c>
      <c r="D3986">
        <v>5.4933360000000002</v>
      </c>
      <c r="E3986">
        <v>0.49527759999999998</v>
      </c>
      <c r="F3986" t="s">
        <v>75</v>
      </c>
      <c r="G3986">
        <v>-288.17590000000001</v>
      </c>
      <c r="H3986" s="1">
        <v>-8.5276710000000004E-6</v>
      </c>
      <c r="I3986">
        <v>141.8047</v>
      </c>
      <c r="J3986">
        <v>-275.86860000000001</v>
      </c>
      <c r="K3986">
        <v>1.110414</v>
      </c>
      <c r="L3986">
        <v>141.77940000000001</v>
      </c>
      <c r="M3986">
        <v>-0.99855419999999995</v>
      </c>
      <c r="N3986">
        <v>0</v>
      </c>
      <c r="O3986">
        <v>5.1963860000000001E-2</v>
      </c>
      <c r="P3986">
        <v>-0.99967479999999997</v>
      </c>
      <c r="Q3986">
        <v>4.660137E-3</v>
      </c>
      <c r="R3986">
        <v>2.5076919999999999E-2</v>
      </c>
      <c r="S3986">
        <v>-3.002167</v>
      </c>
      <c r="T3986">
        <v>-0.26277640000000002</v>
      </c>
      <c r="U3986">
        <v>1.071167E-2</v>
      </c>
      <c r="V3986">
        <v>-2.690565E-2</v>
      </c>
      <c r="W3986">
        <v>1.842044E-2</v>
      </c>
      <c r="X3986">
        <v>0.99946829999999998</v>
      </c>
      <c r="Y3986">
        <v>-4.8023160000000002E-2</v>
      </c>
      <c r="Z3986">
        <v>-6.6361249999999997E-3</v>
      </c>
      <c r="AA3986">
        <v>0.99882420000000005</v>
      </c>
      <c r="AB3986">
        <v>26</v>
      </c>
      <c r="AC3986">
        <v>-12.3072999999999</v>
      </c>
      <c r="AD3986">
        <v>-1.110422527671</v>
      </c>
      <c r="AE3986">
        <v>2.5299999999987201E-2</v>
      </c>
      <c r="AF3986">
        <v>-0.60936898597699696</v>
      </c>
      <c r="AG3986">
        <v>-1.110422527671</v>
      </c>
      <c r="AH3986">
        <v>12.192729612316599</v>
      </c>
      <c r="AI3986">
        <v>95.197264183629201</v>
      </c>
      <c r="AJ3986">
        <v>92.861151355089802</v>
      </c>
      <c r="AK3986">
        <v>12.2583450820285</v>
      </c>
      <c r="AL3986">
        <v>88.9445268939578</v>
      </c>
      <c r="AM3986">
        <v>91.542027861718694</v>
      </c>
      <c r="AN3986">
        <v>1.0000000546583001</v>
      </c>
    </row>
    <row r="3987" spans="1:40" x14ac:dyDescent="0.3">
      <c r="A3987" t="str">
        <f>"20200111160536552"</f>
        <v>20200111160536552</v>
      </c>
      <c r="B3987" t="str">
        <f>"1578729936545338"</f>
        <v>1578729936545338</v>
      </c>
      <c r="C3987" t="s">
        <v>40</v>
      </c>
      <c r="D3987">
        <v>5.5509219999999999</v>
      </c>
      <c r="E3987">
        <v>0.49507469999999998</v>
      </c>
      <c r="F3987" t="s">
        <v>75</v>
      </c>
      <c r="G3987">
        <v>-288.59140000000002</v>
      </c>
      <c r="H3987" s="1">
        <v>-8.7999390000000002E-6</v>
      </c>
      <c r="I3987">
        <v>141.8467</v>
      </c>
      <c r="J3987">
        <v>-276.13350000000003</v>
      </c>
      <c r="K3987">
        <v>1.1103940000000001</v>
      </c>
      <c r="L3987">
        <v>141.79329999999999</v>
      </c>
      <c r="M3987">
        <v>-0.99855340000000004</v>
      </c>
      <c r="N3987">
        <v>0</v>
      </c>
      <c r="O3987">
        <v>5.2019399999999903E-2</v>
      </c>
      <c r="P3987">
        <v>-0.99970190000000003</v>
      </c>
      <c r="Q3987">
        <v>4.5074410000000001E-3</v>
      </c>
      <c r="R3987">
        <v>2.3992340000000001E-2</v>
      </c>
      <c r="S3987">
        <v>-3.0018009999999999</v>
      </c>
      <c r="T3987">
        <v>-0.26199109999999998</v>
      </c>
      <c r="U3987">
        <v>1.5899659999999999E-2</v>
      </c>
      <c r="V3987">
        <v>-2.804626E-2</v>
      </c>
      <c r="W3987">
        <v>1.8112449999999999E-2</v>
      </c>
      <c r="X3987">
        <v>0.99944250000000001</v>
      </c>
      <c r="Y3987">
        <v>-4.6360190000000003E-2</v>
      </c>
      <c r="Z3987">
        <v>-6.5494899999999998E-3</v>
      </c>
      <c r="AA3987">
        <v>0.99890330000000005</v>
      </c>
      <c r="AB3987">
        <v>26</v>
      </c>
      <c r="AC3987">
        <v>-12.457899999999899</v>
      </c>
      <c r="AD3987">
        <v>-1.110402799939</v>
      </c>
      <c r="AE3987">
        <v>5.3400000000010502E-2</v>
      </c>
      <c r="AF3987">
        <v>-0.59009678830588796</v>
      </c>
      <c r="AG3987">
        <v>-1.110402799939</v>
      </c>
      <c r="AH3987">
        <v>12.3457279711646</v>
      </c>
      <c r="AI3987">
        <v>95.133653942658896</v>
      </c>
      <c r="AJ3987">
        <v>92.736520935188807</v>
      </c>
      <c r="AK3987">
        <v>12.4096014333933</v>
      </c>
      <c r="AL3987">
        <v>88.962176289696103</v>
      </c>
      <c r="AM3987">
        <v>91.607406853703594</v>
      </c>
      <c r="AN3987">
        <v>0.99999998217561903</v>
      </c>
    </row>
    <row r="3988" spans="1:40" x14ac:dyDescent="0.3">
      <c r="A3988" t="str">
        <f>"20200111160536574"</f>
        <v>20200111160536574</v>
      </c>
      <c r="B3988" t="str">
        <f>"1578729936565834"</f>
        <v>1578729936565834</v>
      </c>
      <c r="C3988" t="s">
        <v>40</v>
      </c>
      <c r="D3988">
        <v>5.4863030000000004</v>
      </c>
      <c r="E3988">
        <v>0.49500490000000003</v>
      </c>
      <c r="F3988" t="s">
        <v>75</v>
      </c>
      <c r="G3988">
        <v>-288.7577</v>
      </c>
      <c r="H3988" s="1">
        <v>-8.9007230000000006E-6</v>
      </c>
      <c r="I3988">
        <v>141.8383</v>
      </c>
      <c r="J3988">
        <v>-276.3913</v>
      </c>
      <c r="K3988">
        <v>1.1103749999999999</v>
      </c>
      <c r="L3988">
        <v>141.80680000000001</v>
      </c>
      <c r="M3988">
        <v>-0.99855360000000004</v>
      </c>
      <c r="N3988">
        <v>0</v>
      </c>
      <c r="O3988">
        <v>5.2062530000000003E-2</v>
      </c>
      <c r="P3988">
        <v>-0.99974940000000001</v>
      </c>
      <c r="Q3988">
        <v>4.6534719999999996E-3</v>
      </c>
      <c r="R3988">
        <v>2.1905790000000001E-2</v>
      </c>
      <c r="S3988">
        <v>-3.0018310000000001</v>
      </c>
      <c r="T3988">
        <v>-0.26403459999999901</v>
      </c>
      <c r="U3988">
        <v>1.069641E-2</v>
      </c>
      <c r="V3988">
        <v>-3.017601E-2</v>
      </c>
      <c r="W3988">
        <v>1.808003E-2</v>
      </c>
      <c r="X3988">
        <v>0.99938110000000002</v>
      </c>
      <c r="Y3988">
        <v>-4.8121799999999999E-2</v>
      </c>
      <c r="Z3988">
        <v>-6.6814839999999997E-3</v>
      </c>
      <c r="AA3988">
        <v>0.99881909999999896</v>
      </c>
      <c r="AB3988">
        <v>26</v>
      </c>
      <c r="AC3988">
        <v>-12.366400000000001</v>
      </c>
      <c r="AD3988">
        <v>-1.1103839007230001</v>
      </c>
      <c r="AE3988">
        <v>3.1499999999993998E-2</v>
      </c>
      <c r="AF3988">
        <v>-0.60752875889548796</v>
      </c>
      <c r="AG3988">
        <v>-1.1103839007230001</v>
      </c>
      <c r="AH3988">
        <v>12.2524833805795</v>
      </c>
      <c r="AI3988">
        <v>95.171977287474306</v>
      </c>
      <c r="AJ3988">
        <v>92.838636699636297</v>
      </c>
      <c r="AK3988">
        <v>12.3176861703506</v>
      </c>
      <c r="AL3988">
        <v>88.964034173760496</v>
      </c>
      <c r="AM3988">
        <v>91.729503250625399</v>
      </c>
      <c r="AN3988">
        <v>1.00000003105076</v>
      </c>
    </row>
    <row r="3989" spans="1:40" x14ac:dyDescent="0.3">
      <c r="A3989" t="str">
        <f>"20200111160536595"</f>
        <v>20200111160536595</v>
      </c>
      <c r="B3989" t="str">
        <f>"1578729936585354"</f>
        <v>1578729936585354</v>
      </c>
      <c r="C3989" t="s">
        <v>40</v>
      </c>
      <c r="D3989">
        <v>5.6736969999999998</v>
      </c>
      <c r="E3989">
        <v>0.49459310000000001</v>
      </c>
      <c r="F3989" t="s">
        <v>75</v>
      </c>
      <c r="G3989">
        <v>-288.81139999999999</v>
      </c>
      <c r="H3989" s="1">
        <v>-8.9285479999999905E-6</v>
      </c>
      <c r="I3989">
        <v>141.821</v>
      </c>
      <c r="J3989">
        <v>-276.63709999999998</v>
      </c>
      <c r="K3989">
        <v>1.110355</v>
      </c>
      <c r="L3989">
        <v>141.81960000000001</v>
      </c>
      <c r="M3989">
        <v>-0.99855479999999996</v>
      </c>
      <c r="N3989">
        <v>0</v>
      </c>
      <c r="O3989">
        <v>5.2090850000000001E-2</v>
      </c>
      <c r="P3989">
        <v>-0.99977249999999995</v>
      </c>
      <c r="Q3989">
        <v>5.4991689999999999E-3</v>
      </c>
      <c r="R3989">
        <v>2.061605E-2</v>
      </c>
      <c r="S3989">
        <v>-3.0019529999999999</v>
      </c>
      <c r="T3989">
        <v>-0.2683817</v>
      </c>
      <c r="U3989">
        <v>3.433228E-3</v>
      </c>
      <c r="V3989">
        <v>-3.1494210000000002E-2</v>
      </c>
      <c r="W3989">
        <v>1.871459E-2</v>
      </c>
      <c r="X3989">
        <v>0.99932869999999996</v>
      </c>
      <c r="Y3989">
        <v>-5.0544029999999997E-2</v>
      </c>
      <c r="Z3989">
        <v>-6.901445E-3</v>
      </c>
      <c r="AA3989">
        <v>0.99869799999999997</v>
      </c>
      <c r="AB3989">
        <v>26</v>
      </c>
      <c r="AC3989">
        <v>-12.174300000000001</v>
      </c>
      <c r="AD3989">
        <v>-1.110363928548</v>
      </c>
      <c r="AE3989">
        <v>1.39999999998963E-3</v>
      </c>
      <c r="AF3989">
        <v>-0.62760627255778501</v>
      </c>
      <c r="AG3989">
        <v>-1.110363928548</v>
      </c>
      <c r="AH3989">
        <v>12.0575414841114</v>
      </c>
      <c r="AI3989">
        <v>95.254384105678497</v>
      </c>
      <c r="AJ3989">
        <v>92.979609782789197</v>
      </c>
      <c r="AK3989">
        <v>12.124813579112899</v>
      </c>
      <c r="AL3989">
        <v>88.927670361622503</v>
      </c>
      <c r="AM3989">
        <v>91.805100015554203</v>
      </c>
      <c r="AN3989">
        <v>0.99999998589304095</v>
      </c>
    </row>
    <row r="3990" spans="1:40" x14ac:dyDescent="0.3">
      <c r="A3990" t="str">
        <f>"20200111160536618"</f>
        <v>20200111160536618</v>
      </c>
      <c r="B3990" t="str">
        <f>"1578729936616117"</f>
        <v>1578729936616117</v>
      </c>
      <c r="C3990" t="s">
        <v>40</v>
      </c>
      <c r="D3990">
        <v>5.550656</v>
      </c>
      <c r="E3990">
        <v>0.49446440000000003</v>
      </c>
      <c r="F3990" t="s">
        <v>75</v>
      </c>
      <c r="G3990">
        <v>-289.20179999999999</v>
      </c>
      <c r="H3990" s="1">
        <v>-9.1323409999999994E-6</v>
      </c>
      <c r="I3990">
        <v>141.80369999999999</v>
      </c>
      <c r="J3990">
        <v>-276.88979999999998</v>
      </c>
      <c r="K3990">
        <v>1.1103209999999999</v>
      </c>
      <c r="L3990">
        <v>141.8329</v>
      </c>
      <c r="M3990">
        <v>-0.99855740000000004</v>
      </c>
      <c r="N3990">
        <v>0</v>
      </c>
      <c r="O3990">
        <v>5.2106359999999997E-2</v>
      </c>
      <c r="P3990">
        <v>-0.99978279999999997</v>
      </c>
      <c r="Q3990">
        <v>4.6356469999999997E-3</v>
      </c>
      <c r="R3990">
        <v>2.0315320000000001E-2</v>
      </c>
      <c r="S3990">
        <v>-3.0022280000000001</v>
      </c>
      <c r="T3990">
        <v>-0.26531199999999999</v>
      </c>
      <c r="U3990">
        <v>-3.8146970000000001E-3</v>
      </c>
      <c r="V3990">
        <v>-3.1810789999999999E-2</v>
      </c>
      <c r="W3990">
        <v>1.7591349999999999E-2</v>
      </c>
      <c r="X3990">
        <v>0.99933910000000004</v>
      </c>
      <c r="Y3990">
        <v>-5.2970200000000002E-2</v>
      </c>
      <c r="Z3990">
        <v>-6.9306100000000002E-3</v>
      </c>
      <c r="AA3990">
        <v>0.99857209999999996</v>
      </c>
      <c r="AB3990">
        <v>26</v>
      </c>
      <c r="AC3990">
        <v>-12.311999999999999</v>
      </c>
      <c r="AD3990">
        <v>-1.110330132341</v>
      </c>
      <c r="AE3990">
        <v>-2.9200000000002901E-2</v>
      </c>
      <c r="AF3990">
        <v>-0.665336635164538</v>
      </c>
      <c r="AG3990">
        <v>-1.110330132341</v>
      </c>
      <c r="AH3990">
        <v>12.1945731523401</v>
      </c>
      <c r="AI3990">
        <v>95.194818657255297</v>
      </c>
      <c r="AJ3990">
        <v>93.122964773918994</v>
      </c>
      <c r="AK3990">
        <v>12.263079556483699</v>
      </c>
      <c r="AL3990">
        <v>88.992037907365898</v>
      </c>
      <c r="AM3990">
        <v>91.823213745405099</v>
      </c>
      <c r="AN3990">
        <v>1.00000000937202</v>
      </c>
    </row>
    <row r="3991" spans="1:40" x14ac:dyDescent="0.3">
      <c r="A3991" t="str">
        <f>"20200111160536641"</f>
        <v>20200111160536641</v>
      </c>
      <c r="B3991" t="str">
        <f>"1578729936635636"</f>
        <v>1578729936635636</v>
      </c>
      <c r="C3991" t="s">
        <v>40</v>
      </c>
      <c r="D3991">
        <v>5.5517669999999999</v>
      </c>
      <c r="E3991">
        <v>0.49438880000000002</v>
      </c>
      <c r="F3991" t="s">
        <v>75</v>
      </c>
      <c r="G3991">
        <v>-289.13929999999999</v>
      </c>
      <c r="H3991" s="1">
        <v>-9.1002290000000007E-6</v>
      </c>
      <c r="I3991">
        <v>141.8057</v>
      </c>
      <c r="J3991">
        <v>-277.16149999999999</v>
      </c>
      <c r="K3991">
        <v>1.110279</v>
      </c>
      <c r="L3991">
        <v>141.84710000000001</v>
      </c>
      <c r="M3991">
        <v>-0.99856180000000005</v>
      </c>
      <c r="N3991">
        <v>0</v>
      </c>
      <c r="O3991">
        <v>5.2098659999999998E-2</v>
      </c>
      <c r="P3991">
        <v>-0.99977709999999997</v>
      </c>
      <c r="Q3991">
        <v>2.8815870000000001E-3</v>
      </c>
      <c r="R3991">
        <v>2.0917850000000002E-2</v>
      </c>
      <c r="S3991">
        <v>-3.002014</v>
      </c>
      <c r="T3991">
        <v>-0.27211109999999999</v>
      </c>
      <c r="U3991">
        <v>-6.6680910000000001E-3</v>
      </c>
      <c r="V3991">
        <v>-3.1201900000000001E-2</v>
      </c>
      <c r="W3991">
        <v>1.5531690000000001E-2</v>
      </c>
      <c r="X3991">
        <v>0.99939239999999996</v>
      </c>
      <c r="Y3991">
        <v>-5.3886509999999999E-2</v>
      </c>
      <c r="Z3991">
        <v>-7.1487590000000002E-3</v>
      </c>
      <c r="AA3991">
        <v>0.9985214</v>
      </c>
      <c r="AB3991">
        <v>26</v>
      </c>
      <c r="AC3991">
        <v>-11.9778</v>
      </c>
      <c r="AD3991">
        <v>-1.1102881002289999</v>
      </c>
      <c r="AE3991">
        <v>-4.1400000000009998E-2</v>
      </c>
      <c r="AF3991">
        <v>-0.65975222103419195</v>
      </c>
      <c r="AG3991">
        <v>-1.1102881002289999</v>
      </c>
      <c r="AH3991">
        <v>11.857490067484299</v>
      </c>
      <c r="AI3991">
        <v>95.341137597360699</v>
      </c>
      <c r="AJ3991">
        <v>93.184660619345607</v>
      </c>
      <c r="AK3991">
        <v>11.927618511637499</v>
      </c>
      <c r="AL3991">
        <v>89.110063914170695</v>
      </c>
      <c r="AM3991">
        <v>91.788243197571106</v>
      </c>
      <c r="AN3991">
        <v>0.99999998056781203</v>
      </c>
    </row>
    <row r="3992" spans="1:40" x14ac:dyDescent="0.3">
      <c r="A3992" t="str">
        <f>"20200111160536664"</f>
        <v>20200111160536664</v>
      </c>
      <c r="B3992" t="str">
        <f>"1578729936656132"</f>
        <v>1578729936656132</v>
      </c>
      <c r="C3992" t="s">
        <v>40</v>
      </c>
      <c r="D3992">
        <v>5.5192459999999999</v>
      </c>
      <c r="E3992">
        <v>0.49446699999999999</v>
      </c>
      <c r="F3992" t="s">
        <v>75</v>
      </c>
      <c r="G3992">
        <v>-289.06830000000002</v>
      </c>
      <c r="H3992" s="1">
        <v>-9.0679369999999996E-6</v>
      </c>
      <c r="I3992">
        <v>141.82329999999999</v>
      </c>
      <c r="J3992">
        <v>-277.43060000000003</v>
      </c>
      <c r="K3992">
        <v>1.1102529999999999</v>
      </c>
      <c r="L3992">
        <v>141.86109999999999</v>
      </c>
      <c r="M3992">
        <v>-0.99856849999999997</v>
      </c>
      <c r="N3992">
        <v>0</v>
      </c>
      <c r="O3992">
        <v>5.2044550000000002E-2</v>
      </c>
      <c r="P3992">
        <v>-0.99975009999999997</v>
      </c>
      <c r="Q3992">
        <v>1.9192320000000001E-3</v>
      </c>
      <c r="R3992">
        <v>2.22744E-2</v>
      </c>
      <c r="S3992">
        <v>-3.0015869999999998</v>
      </c>
      <c r="T3992">
        <v>-0.27989180000000002</v>
      </c>
      <c r="U3992">
        <v>-5.9814450000000002E-3</v>
      </c>
      <c r="V3992">
        <v>-2.9791850000000002E-2</v>
      </c>
      <c r="W3992">
        <v>1.426059E-2</v>
      </c>
      <c r="X3992">
        <v>0.99945439999999997</v>
      </c>
      <c r="Y3992">
        <v>-5.3580379999999997E-2</v>
      </c>
      <c r="Z3992">
        <v>-7.3340480000000001E-3</v>
      </c>
      <c r="AA3992">
        <v>0.9985366</v>
      </c>
      <c r="AB3992">
        <v>26</v>
      </c>
      <c r="AC3992">
        <v>-11.637699999999899</v>
      </c>
      <c r="AD3992">
        <v>-1.1102620679369899</v>
      </c>
      <c r="AE3992">
        <v>-3.7800000000004198E-2</v>
      </c>
      <c r="AF3992">
        <v>-0.63767001418786395</v>
      </c>
      <c r="AG3992">
        <v>-1.1102620679369899</v>
      </c>
      <c r="AH3992">
        <v>11.515153373222599</v>
      </c>
      <c r="AI3992">
        <v>95.498917711655096</v>
      </c>
      <c r="AJ3992">
        <v>93.169608030134299</v>
      </c>
      <c r="AK3992">
        <v>11.5861150570557</v>
      </c>
      <c r="AL3992">
        <v>89.182900689929298</v>
      </c>
      <c r="AM3992">
        <v>91.707373526908796</v>
      </c>
      <c r="AN3992">
        <v>1.00000000821646</v>
      </c>
    </row>
    <row r="3993" spans="1:40" x14ac:dyDescent="0.3">
      <c r="A3993" t="str">
        <f>"20200111160536686"</f>
        <v>20200111160536686</v>
      </c>
      <c r="B3993" t="str">
        <f>"1578729936675652"</f>
        <v>1578729936675652</v>
      </c>
      <c r="C3993" t="s">
        <v>40</v>
      </c>
      <c r="D3993">
        <v>6.7867379999999997</v>
      </c>
      <c r="E3993">
        <v>0.4943613</v>
      </c>
      <c r="F3993" t="s">
        <v>75</v>
      </c>
      <c r="G3993">
        <v>-289.11759999999998</v>
      </c>
      <c r="H3993" s="1">
        <v>-9.1024180000000004E-6</v>
      </c>
      <c r="I3993">
        <v>141.8553</v>
      </c>
      <c r="J3993">
        <v>-277.6825</v>
      </c>
      <c r="K3993">
        <v>1.11025</v>
      </c>
      <c r="L3993">
        <v>141.8741</v>
      </c>
      <c r="M3993">
        <v>-0.99857810000000002</v>
      </c>
      <c r="N3993">
        <v>0</v>
      </c>
      <c r="O3993">
        <v>5.1927130000000002E-2</v>
      </c>
      <c r="P3993">
        <v>-0.99970939999999997</v>
      </c>
      <c r="Q3993">
        <v>1.44878E-3</v>
      </c>
      <c r="R3993">
        <v>2.4072389999999999E-2</v>
      </c>
      <c r="S3993">
        <v>-3.0013429999999999</v>
      </c>
      <c r="T3993">
        <v>-0.28512759999999998</v>
      </c>
      <c r="U3993">
        <v>-1.480103E-3</v>
      </c>
      <c r="V3993">
        <v>-2.7877679999999998E-2</v>
      </c>
      <c r="W3993">
        <v>1.350726E-2</v>
      </c>
      <c r="X3993">
        <v>0.99952010000000002</v>
      </c>
      <c r="Y3993">
        <v>-5.1955800000000003E-2</v>
      </c>
      <c r="Z3993">
        <v>-7.3830639999999999E-3</v>
      </c>
      <c r="AA3993">
        <v>0.99862209999999996</v>
      </c>
      <c r="AB3993">
        <v>26</v>
      </c>
      <c r="AC3993">
        <v>-11.435099999999901</v>
      </c>
      <c r="AD3993">
        <v>-1.110259102418</v>
      </c>
      <c r="AE3993">
        <v>-1.87999999999988E-2</v>
      </c>
      <c r="AF3993">
        <v>-0.60688865475943199</v>
      </c>
      <c r="AG3993">
        <v>-1.110259102418</v>
      </c>
      <c r="AH3993">
        <v>11.3120567895241</v>
      </c>
      <c r="AI3993">
        <v>95.597530990208696</v>
      </c>
      <c r="AJ3993">
        <v>93.070958289626006</v>
      </c>
      <c r="AK3993">
        <v>11.382601544602901</v>
      </c>
      <c r="AL3993">
        <v>89.226067490534504</v>
      </c>
      <c r="AM3993">
        <v>91.597626121482804</v>
      </c>
      <c r="AN3993">
        <v>1.0000000207094399</v>
      </c>
    </row>
    <row r="3994" spans="1:40" x14ac:dyDescent="0.3">
      <c r="A3994" t="str">
        <f>"20200111160536707"</f>
        <v>20200111160536707</v>
      </c>
      <c r="B3994" t="str">
        <f>"1578729936695680"</f>
        <v>1578729936695680</v>
      </c>
      <c r="C3994" t="s">
        <v>40</v>
      </c>
      <c r="D3994">
        <v>5.5531160000000002</v>
      </c>
      <c r="E3994">
        <v>0.49264659999999899</v>
      </c>
      <c r="F3994" t="s">
        <v>75</v>
      </c>
      <c r="G3994">
        <v>-289.28230000000002</v>
      </c>
      <c r="H3994" s="1">
        <v>-9.1970849999999994E-6</v>
      </c>
      <c r="I3994">
        <v>141.88650000000001</v>
      </c>
      <c r="J3994">
        <v>-277.93060000000003</v>
      </c>
      <c r="K3994">
        <v>1.110263</v>
      </c>
      <c r="L3994">
        <v>141.8869</v>
      </c>
      <c r="M3994">
        <v>-0.99858999999999998</v>
      </c>
      <c r="N3994">
        <v>0</v>
      </c>
      <c r="O3994">
        <v>5.1757369999999997E-2</v>
      </c>
      <c r="P3994">
        <v>-0.99965680000000001</v>
      </c>
      <c r="Q3994">
        <v>1.265172E-3</v>
      </c>
      <c r="R3994">
        <v>2.616773E-2</v>
      </c>
      <c r="S3994">
        <v>-3.0012210000000001</v>
      </c>
      <c r="T3994">
        <v>-0.28725820000000002</v>
      </c>
      <c r="U3994">
        <v>3.1890870000000002E-3</v>
      </c>
      <c r="V3994">
        <v>-2.5614350000000001E-2</v>
      </c>
      <c r="W3994">
        <v>1.3059070000000001E-2</v>
      </c>
      <c r="X3994">
        <v>0.99958659999999999</v>
      </c>
      <c r="Y3994">
        <v>-5.0233809999999997E-2</v>
      </c>
      <c r="Z3994">
        <v>-7.3397990000000001E-3</v>
      </c>
      <c r="AA3994">
        <v>0.99871049999999995</v>
      </c>
      <c r="AB3994">
        <v>26</v>
      </c>
      <c r="AC3994">
        <v>-11.3516999999999</v>
      </c>
      <c r="AD3994">
        <v>-1.110272197085</v>
      </c>
      <c r="AE3994">
        <v>-3.9999999998485599E-4</v>
      </c>
      <c r="AF3994">
        <v>-0.58240313861456405</v>
      </c>
      <c r="AG3994">
        <v>-1.110272197085</v>
      </c>
      <c r="AH3994">
        <v>11.229043669827</v>
      </c>
      <c r="AI3994">
        <v>95.639238151727099</v>
      </c>
      <c r="AJ3994">
        <v>92.969030066367694</v>
      </c>
      <c r="AK3994">
        <v>11.298819385509701</v>
      </c>
      <c r="AL3994">
        <v>89.251749137829904</v>
      </c>
      <c r="AM3994">
        <v>91.467879872115105</v>
      </c>
      <c r="AN3994">
        <v>1.0000000025673701</v>
      </c>
    </row>
    <row r="3995" spans="1:40" x14ac:dyDescent="0.3">
      <c r="A3995" t="str">
        <f>"20200111160536730"</f>
        <v>20200111160536730</v>
      </c>
      <c r="B3995" t="str">
        <f>"1578729936725936"</f>
        <v>1578729936725936</v>
      </c>
      <c r="C3995" t="s">
        <v>40</v>
      </c>
      <c r="D3995">
        <v>5.7136779999999998</v>
      </c>
      <c r="E3995">
        <v>0.49289749999999999</v>
      </c>
      <c r="F3995" t="s">
        <v>75</v>
      </c>
      <c r="G3995">
        <v>-290.6148</v>
      </c>
      <c r="H3995" s="1">
        <v>-9.4834930000000008E-6</v>
      </c>
      <c r="I3995">
        <v>141.87729999999999</v>
      </c>
      <c r="J3995">
        <v>-278.19819999999999</v>
      </c>
      <c r="K3995">
        <v>1.110293</v>
      </c>
      <c r="L3995">
        <v>141.90049999999999</v>
      </c>
      <c r="M3995">
        <v>-0.99860649999999995</v>
      </c>
      <c r="N3995">
        <v>0</v>
      </c>
      <c r="O3995">
        <v>5.1496550000000002E-2</v>
      </c>
      <c r="P3995">
        <v>-0.9996313</v>
      </c>
      <c r="Q3995">
        <v>2.1472010000000001E-3</v>
      </c>
      <c r="R3995">
        <v>2.7071910000000001E-2</v>
      </c>
      <c r="S3995">
        <v>-3.0014340000000002</v>
      </c>
      <c r="T3995">
        <v>-0.26272240000000002</v>
      </c>
      <c r="U3995">
        <v>-2.27356E-3</v>
      </c>
      <c r="V3995">
        <v>-2.445017E-2</v>
      </c>
      <c r="W3995">
        <v>1.367175E-2</v>
      </c>
      <c r="X3995">
        <v>0.99960760000000004</v>
      </c>
      <c r="Y3995">
        <v>-5.1861360000000002E-2</v>
      </c>
      <c r="Z3995">
        <v>-6.7632739999999997E-3</v>
      </c>
      <c r="AA3995">
        <v>0.99863139999999995</v>
      </c>
      <c r="AB3995">
        <v>26</v>
      </c>
      <c r="AC3995">
        <v>-12.416600000000001</v>
      </c>
      <c r="AD3995">
        <v>-1.110302483493</v>
      </c>
      <c r="AE3995">
        <v>-2.3200000000002701E-2</v>
      </c>
      <c r="AF3995">
        <v>-0.65736750748406603</v>
      </c>
      <c r="AG3995">
        <v>-1.110302483493</v>
      </c>
      <c r="AH3995">
        <v>12.3005722760695</v>
      </c>
      <c r="AI3995">
        <v>95.150475363810898</v>
      </c>
      <c r="AJ3995">
        <v>93.059092465032805</v>
      </c>
      <c r="AK3995">
        <v>12.3680629834892</v>
      </c>
      <c r="AL3995">
        <v>89.216642053300802</v>
      </c>
      <c r="AM3995">
        <v>91.401162090376204</v>
      </c>
      <c r="AN3995">
        <v>1.0000000407694201</v>
      </c>
    </row>
    <row r="3996" spans="1:40" x14ac:dyDescent="0.3">
      <c r="A3996" t="str">
        <f>"20200111160536754"</f>
        <v>20200111160536754</v>
      </c>
      <c r="B3996" t="str">
        <f>"1578729936745456"</f>
        <v>1578729936745456</v>
      </c>
      <c r="C3996" t="s">
        <v>40</v>
      </c>
      <c r="D3996">
        <v>5.6808149999999999</v>
      </c>
      <c r="E3996">
        <v>0.49288340000000003</v>
      </c>
      <c r="F3996" t="s">
        <v>75</v>
      </c>
      <c r="G3996">
        <v>-290.87950000000001</v>
      </c>
      <c r="H3996" s="1">
        <v>-9.4664630000000004E-6</v>
      </c>
      <c r="I3996">
        <v>141.90979999999999</v>
      </c>
      <c r="J3996">
        <v>-278.47480000000002</v>
      </c>
      <c r="K3996">
        <v>1.1103419999999999</v>
      </c>
      <c r="L3996">
        <v>141.9144</v>
      </c>
      <c r="M3996">
        <v>-0.99862890000000004</v>
      </c>
      <c r="N3996">
        <v>0</v>
      </c>
      <c r="O3996">
        <v>5.1120829999999999E-2</v>
      </c>
      <c r="P3996">
        <v>-0.99961960000000005</v>
      </c>
      <c r="Q3996">
        <v>4.1897999999999996E-3</v>
      </c>
      <c r="R3996">
        <v>2.726048E-2</v>
      </c>
      <c r="S3996">
        <v>-3.001617</v>
      </c>
      <c r="T3996">
        <v>-0.26280429999999999</v>
      </c>
      <c r="U3996">
        <v>2.1972659999999998E-3</v>
      </c>
      <c r="V3996">
        <v>-2.3888050000000001E-2</v>
      </c>
      <c r="W3996">
        <v>1.5452550000000001E-2</v>
      </c>
      <c r="X3996">
        <v>0.99959520000000002</v>
      </c>
      <c r="Y3996">
        <v>-5.0006250000000002E-2</v>
      </c>
      <c r="Z3996">
        <v>-6.651049E-3</v>
      </c>
      <c r="AA3996">
        <v>0.99872680000000003</v>
      </c>
      <c r="AB3996">
        <v>26</v>
      </c>
      <c r="AC3996">
        <v>-12.404699999999901</v>
      </c>
      <c r="AD3996">
        <v>-1.1103514664630001</v>
      </c>
      <c r="AE3996">
        <v>-4.6000000000105904E-3</v>
      </c>
      <c r="AF3996">
        <v>-0.63369555467201399</v>
      </c>
      <c r="AG3996">
        <v>-1.1103514664630001</v>
      </c>
      <c r="AH3996">
        <v>12.2897759547854</v>
      </c>
      <c r="AI3996">
        <v>95.155706300118894</v>
      </c>
      <c r="AJ3996">
        <v>92.951718112216597</v>
      </c>
      <c r="AK3996">
        <v>12.356093373469999</v>
      </c>
      <c r="AL3996">
        <v>89.114598856654297</v>
      </c>
      <c r="AM3996">
        <v>91.368978144950802</v>
      </c>
      <c r="AN3996">
        <v>0.99999999204867196</v>
      </c>
    </row>
    <row r="3997" spans="1:40" x14ac:dyDescent="0.3">
      <c r="A3997" t="str">
        <f>"20200111160536776"</f>
        <v>20200111160536776</v>
      </c>
      <c r="B3997" t="str">
        <f>"1578729936765952"</f>
        <v>1578729936765952</v>
      </c>
      <c r="C3997" t="s">
        <v>40</v>
      </c>
      <c r="D3997">
        <v>6.031803</v>
      </c>
      <c r="E3997">
        <v>0.4920832</v>
      </c>
      <c r="F3997" t="s">
        <v>75</v>
      </c>
      <c r="G3997">
        <v>-291.35379999999998</v>
      </c>
      <c r="H3997" s="1">
        <v>-9.4242360000000005E-6</v>
      </c>
      <c r="I3997">
        <v>141.92509999999999</v>
      </c>
      <c r="J3997">
        <v>-278.73910000000001</v>
      </c>
      <c r="K3997">
        <v>1.1104000000000001</v>
      </c>
      <c r="L3997">
        <v>141.92750000000001</v>
      </c>
      <c r="M3997">
        <v>-0.99865539999999997</v>
      </c>
      <c r="N3997">
        <v>0</v>
      </c>
      <c r="O3997">
        <v>5.0648609999999997E-2</v>
      </c>
      <c r="P3997">
        <v>-0.99963219999999997</v>
      </c>
      <c r="Q3997">
        <v>6.3457449999999999E-3</v>
      </c>
      <c r="R3997">
        <v>2.6369389999999999E-2</v>
      </c>
      <c r="S3997">
        <v>-3.0021969999999998</v>
      </c>
      <c r="T3997">
        <v>-0.2588316</v>
      </c>
      <c r="U3997">
        <v>2.5024410000000002E-3</v>
      </c>
      <c r="V3997">
        <v>-2.431007E-2</v>
      </c>
      <c r="W3997">
        <v>1.737967E-2</v>
      </c>
      <c r="X3997">
        <v>0.99955340000000004</v>
      </c>
      <c r="Y3997">
        <v>-4.9448020000000002E-2</v>
      </c>
      <c r="Z3997">
        <v>-6.484989E-3</v>
      </c>
      <c r="AA3997">
        <v>0.99875559999999997</v>
      </c>
      <c r="AB3997">
        <v>26</v>
      </c>
      <c r="AC3997">
        <v>-12.6146999999999</v>
      </c>
      <c r="AD3997">
        <v>-1.1104094242360001</v>
      </c>
      <c r="AE3997">
        <v>-2.4000000000228201E-3</v>
      </c>
      <c r="AF3997">
        <v>-0.63642169847673202</v>
      </c>
      <c r="AG3997">
        <v>-1.1104094242360001</v>
      </c>
      <c r="AH3997">
        <v>12.5015190834342</v>
      </c>
      <c r="AI3997">
        <v>95.069272949971506</v>
      </c>
      <c r="AJ3997">
        <v>92.914271933454799</v>
      </c>
      <c r="AK3997">
        <v>12.5668620212523</v>
      </c>
      <c r="AL3997">
        <v>89.004168138933494</v>
      </c>
      <c r="AM3997">
        <v>91.393212086594403</v>
      </c>
      <c r="AN3997">
        <v>1.0000000159421301</v>
      </c>
    </row>
    <row r="3998" spans="1:40" x14ac:dyDescent="0.3">
      <c r="A3998" t="str">
        <f>"20200111160536796"</f>
        <v>20200111160536796</v>
      </c>
      <c r="B3998" t="str">
        <f>"1578729936785471"</f>
        <v>1578729936785471</v>
      </c>
      <c r="C3998" t="s">
        <v>40</v>
      </c>
      <c r="D3998">
        <v>5.6023339999999999</v>
      </c>
      <c r="E3998">
        <v>0.49203530000000001</v>
      </c>
      <c r="F3998" t="s">
        <v>75</v>
      </c>
      <c r="G3998">
        <v>-292.29390000000001</v>
      </c>
      <c r="H3998" s="1">
        <v>-9.325886E-6</v>
      </c>
      <c r="I3998">
        <v>141.90020000000001</v>
      </c>
      <c r="J3998">
        <v>-278.97629999999998</v>
      </c>
      <c r="K3998">
        <v>1.110465</v>
      </c>
      <c r="L3998">
        <v>141.93899999999999</v>
      </c>
      <c r="M3998">
        <v>-0.99868349999999995</v>
      </c>
      <c r="N3998">
        <v>0</v>
      </c>
      <c r="O3998">
        <v>5.0127959999999999E-2</v>
      </c>
      <c r="P3998">
        <v>-0.99964980000000003</v>
      </c>
      <c r="Q3998">
        <v>8.5782779999999999E-3</v>
      </c>
      <c r="R3998">
        <v>2.50341E-2</v>
      </c>
      <c r="S3998">
        <v>-3.0028079999999999</v>
      </c>
      <c r="T3998">
        <v>-0.2459905</v>
      </c>
      <c r="U3998">
        <v>-6.0424800000000002E-3</v>
      </c>
      <c r="V3998">
        <v>-2.512843E-2</v>
      </c>
      <c r="W3998">
        <v>1.942638E-2</v>
      </c>
      <c r="X3998">
        <v>0.99949540000000003</v>
      </c>
      <c r="Y3998">
        <v>-5.1799230000000002E-2</v>
      </c>
      <c r="Z3998">
        <v>-6.2167749999999999E-3</v>
      </c>
      <c r="AA3998">
        <v>0.99863820000000003</v>
      </c>
      <c r="AB3998">
        <v>26</v>
      </c>
      <c r="AC3998">
        <v>-13.317600000000001</v>
      </c>
      <c r="AD3998">
        <v>-1.1104743258859999</v>
      </c>
      <c r="AE3998">
        <v>-3.87999999999806E-2</v>
      </c>
      <c r="AF3998">
        <v>-0.701497487075186</v>
      </c>
      <c r="AG3998">
        <v>-1.1104743258859999</v>
      </c>
      <c r="AH3998">
        <v>13.2070835283884</v>
      </c>
      <c r="AI3998">
        <v>94.799489046980597</v>
      </c>
      <c r="AJ3998">
        <v>93.040422313558196</v>
      </c>
      <c r="AK3998">
        <v>13.2722382166179</v>
      </c>
      <c r="AL3998">
        <v>88.886880326449699</v>
      </c>
      <c r="AM3998">
        <v>91.440176468522495</v>
      </c>
      <c r="AN3998">
        <v>0.99999993842766199</v>
      </c>
    </row>
    <row r="3999" spans="1:40" x14ac:dyDescent="0.3">
      <c r="A3999" t="str">
        <f>"20200111160536821"</f>
        <v>20200111160536821</v>
      </c>
      <c r="B3999" t="str">
        <f>"1578729936815259"</f>
        <v>1578729936815259</v>
      </c>
      <c r="C3999" t="s">
        <v>40</v>
      </c>
      <c r="D3999">
        <v>5.7535590000000001</v>
      </c>
      <c r="E3999">
        <v>0.49208730000000001</v>
      </c>
      <c r="F3999" t="s">
        <v>75</v>
      </c>
      <c r="G3999">
        <v>-292.82479999999998</v>
      </c>
      <c r="H3999" s="1">
        <v>-9.2767670000000004E-6</v>
      </c>
      <c r="I3999">
        <v>141.89080000000001</v>
      </c>
      <c r="J3999">
        <v>-279.25799999999998</v>
      </c>
      <c r="K3999">
        <v>1.110547</v>
      </c>
      <c r="L3999">
        <v>141.95240000000001</v>
      </c>
      <c r="M3999">
        <v>-0.99872179999999999</v>
      </c>
      <c r="N3999">
        <v>0</v>
      </c>
      <c r="O3999">
        <v>4.9403610000000001E-2</v>
      </c>
      <c r="P3999">
        <v>-0.99965760000000004</v>
      </c>
      <c r="Q3999">
        <v>9.9639629999999993E-3</v>
      </c>
      <c r="R3999">
        <v>2.4194859999999999E-2</v>
      </c>
      <c r="S3999">
        <v>-3.0034179999999999</v>
      </c>
      <c r="T3999">
        <v>-0.2408371</v>
      </c>
      <c r="U3999">
        <v>-1.045227E-2</v>
      </c>
      <c r="V3999">
        <v>-2.5247450000000001E-2</v>
      </c>
      <c r="W3999">
        <v>2.0617280000000002E-2</v>
      </c>
      <c r="X3999">
        <v>0.99946860000000004</v>
      </c>
      <c r="Y3999">
        <v>-5.2554789999999997E-2</v>
      </c>
      <c r="Z3999">
        <v>-6.0580419999999996E-3</v>
      </c>
      <c r="AA3999">
        <v>0.99859960000000003</v>
      </c>
      <c r="AB3999">
        <v>26</v>
      </c>
      <c r="AC3999">
        <v>-13.566800000000001</v>
      </c>
      <c r="AD3999">
        <v>-1.1105562767670001</v>
      </c>
      <c r="AE3999">
        <v>-6.1599999999998503E-2</v>
      </c>
      <c r="AF3999">
        <v>-0.72694091041183495</v>
      </c>
      <c r="AG3999">
        <v>-1.1105562767670001</v>
      </c>
      <c r="AH3999">
        <v>13.457017352712599</v>
      </c>
      <c r="AI3999">
        <v>94.710873844969001</v>
      </c>
      <c r="AJ3999">
        <v>93.0920821601417</v>
      </c>
      <c r="AK3999">
        <v>13.5223183797122</v>
      </c>
      <c r="AL3999">
        <v>88.818633159623801</v>
      </c>
      <c r="AM3999">
        <v>91.447033708337997</v>
      </c>
      <c r="AN3999">
        <v>0.99999999417603003</v>
      </c>
    </row>
    <row r="4000" spans="1:40" x14ac:dyDescent="0.3">
      <c r="A4000" t="str">
        <f>"20200111160536842"</f>
        <v>20200111160536842</v>
      </c>
      <c r="B4000" t="str">
        <f>"1578729936835756"</f>
        <v>1578729936835756</v>
      </c>
      <c r="C4000" t="s">
        <v>40</v>
      </c>
      <c r="D4000">
        <v>6.147475</v>
      </c>
      <c r="E4000">
        <v>0.4918304</v>
      </c>
      <c r="F4000" t="s">
        <v>75</v>
      </c>
      <c r="G4000">
        <v>-293.20260000000002</v>
      </c>
      <c r="H4000" s="1">
        <v>-9.2444219999999993E-6</v>
      </c>
      <c r="I4000">
        <v>141.89400000000001</v>
      </c>
      <c r="J4000">
        <v>-279.52109999999999</v>
      </c>
      <c r="K4000">
        <v>1.1106119999999999</v>
      </c>
      <c r="L4000">
        <v>141.96459999999999</v>
      </c>
      <c r="M4000">
        <v>-0.99876109999999896</v>
      </c>
      <c r="N4000">
        <v>0</v>
      </c>
      <c r="O4000">
        <v>4.863605E-2</v>
      </c>
      <c r="P4000">
        <v>-0.99966900000000003</v>
      </c>
      <c r="Q4000">
        <v>1.0377020000000001E-2</v>
      </c>
      <c r="R4000">
        <v>2.3545239999999999E-2</v>
      </c>
      <c r="S4000">
        <v>-3.0037229999999999</v>
      </c>
      <c r="T4000">
        <v>-0.2392167</v>
      </c>
      <c r="U4000">
        <v>-1.2573239999999999E-2</v>
      </c>
      <c r="V4000">
        <v>-2.5131509999999999E-2</v>
      </c>
      <c r="W4000">
        <v>2.0871379999999998E-2</v>
      </c>
      <c r="X4000">
        <v>0.99946619999999997</v>
      </c>
      <c r="Y4000">
        <v>-5.249906E-2</v>
      </c>
      <c r="Z4000">
        <v>-5.9536060000000002E-3</v>
      </c>
      <c r="AA4000">
        <v>0.99860320000000002</v>
      </c>
      <c r="AB4000">
        <v>26</v>
      </c>
      <c r="AC4000">
        <v>-13.6815</v>
      </c>
      <c r="AD4000">
        <v>-1.1106212444220001</v>
      </c>
      <c r="AE4000">
        <v>-7.0599999999984606E-2</v>
      </c>
      <c r="AF4000">
        <v>-0.73114951016399099</v>
      </c>
      <c r="AG4000">
        <v>-1.1106212444220001</v>
      </c>
      <c r="AH4000">
        <v>13.5724374924758</v>
      </c>
      <c r="AI4000">
        <v>94.671299941378194</v>
      </c>
      <c r="AJ4000">
        <v>93.083552848392898</v>
      </c>
      <c r="AK4000">
        <v>13.6374161277691</v>
      </c>
      <c r="AL4000">
        <v>88.804071110897993</v>
      </c>
      <c r="AM4000">
        <v>91.440394980113396</v>
      </c>
      <c r="AN4000">
        <v>0.99999994612021004</v>
      </c>
    </row>
    <row r="4001" spans="1:40" x14ac:dyDescent="0.3">
      <c r="A4001" t="str">
        <f>"20200111160536865"</f>
        <v>20200111160536865</v>
      </c>
      <c r="B4001" t="str">
        <f>"1578729936855275"</f>
        <v>1578729936855275</v>
      </c>
      <c r="C4001" t="s">
        <v>40</v>
      </c>
      <c r="D4001">
        <v>5.6098089999999896</v>
      </c>
      <c r="E4001">
        <v>0.49167359999999999</v>
      </c>
      <c r="F4001" t="s">
        <v>75</v>
      </c>
      <c r="G4001">
        <v>-293.86770000000001</v>
      </c>
      <c r="H4001" s="1">
        <v>-9.1845149999999993E-6</v>
      </c>
      <c r="I4001">
        <v>141.88839999999999</v>
      </c>
      <c r="J4001">
        <v>-279.78250000000003</v>
      </c>
      <c r="K4001">
        <v>1.1106549999999999</v>
      </c>
      <c r="L4001">
        <v>141.97649999999999</v>
      </c>
      <c r="M4001">
        <v>-0.99880250000000004</v>
      </c>
      <c r="N4001">
        <v>0</v>
      </c>
      <c r="O4001">
        <v>4.7807280000000001E-2</v>
      </c>
      <c r="P4001">
        <v>-0.9996853</v>
      </c>
      <c r="Q4001">
        <v>1.061668E-2</v>
      </c>
      <c r="R4001">
        <v>2.2731210000000002E-2</v>
      </c>
      <c r="S4001">
        <v>-3.003784</v>
      </c>
      <c r="T4001">
        <v>-0.23253270000000001</v>
      </c>
      <c r="U4001">
        <v>-1.596069E-2</v>
      </c>
      <c r="V4001">
        <v>-2.511859E-2</v>
      </c>
      <c r="W4001">
        <v>2.0972930000000001E-2</v>
      </c>
      <c r="X4001">
        <v>0.99946449999999998</v>
      </c>
      <c r="Y4001">
        <v>-5.2815580000000001E-2</v>
      </c>
      <c r="Z4001">
        <v>-5.7358679999999999E-3</v>
      </c>
      <c r="AA4001">
        <v>0.99858780000000003</v>
      </c>
      <c r="AB4001">
        <v>26</v>
      </c>
      <c r="AC4001">
        <v>-14.085199999999899</v>
      </c>
      <c r="AD4001">
        <v>-1.110664184515</v>
      </c>
      <c r="AE4001">
        <v>-8.8099999999997097E-2</v>
      </c>
      <c r="AF4001">
        <v>-0.75670583791902402</v>
      </c>
      <c r="AG4001">
        <v>-1.110664184515</v>
      </c>
      <c r="AH4001">
        <v>13.9779715049925</v>
      </c>
      <c r="AI4001">
        <v>94.536458622670906</v>
      </c>
      <c r="AJ4001">
        <v>93.098716516901007</v>
      </c>
      <c r="AK4001">
        <v>14.0424309166998</v>
      </c>
      <c r="AL4001">
        <v>88.798251571613804</v>
      </c>
      <c r="AM4001">
        <v>91.439657238730405</v>
      </c>
      <c r="AN4001">
        <v>1.0000000470583099</v>
      </c>
    </row>
    <row r="4002" spans="1:40" x14ac:dyDescent="0.3">
      <c r="A4002" t="str">
        <f>"20200111160536908"</f>
        <v>20200111160536908</v>
      </c>
      <c r="B4002" t="str">
        <f>"1578729936905559"</f>
        <v>1578729936905559</v>
      </c>
      <c r="C4002" t="s">
        <v>40</v>
      </c>
      <c r="D4002">
        <v>5.6661789999999996</v>
      </c>
      <c r="E4002">
        <v>0.49215530000000002</v>
      </c>
      <c r="F4002" t="s">
        <v>75</v>
      </c>
      <c r="G4002">
        <v>-294.90499999999997</v>
      </c>
      <c r="H4002" s="1">
        <v>-9.0919160000000006E-6</v>
      </c>
      <c r="I4002">
        <v>141.8827</v>
      </c>
      <c r="J4002">
        <v>-280.29239999999999</v>
      </c>
      <c r="K4002">
        <v>1.110684</v>
      </c>
      <c r="L4002">
        <v>141.99879999999999</v>
      </c>
      <c r="M4002">
        <v>-0.99888520000000003</v>
      </c>
      <c r="N4002">
        <v>0</v>
      </c>
      <c r="O4002">
        <v>4.609274E-2</v>
      </c>
      <c r="P4002">
        <v>-0.9997047</v>
      </c>
      <c r="Q4002">
        <v>1.326345E-2</v>
      </c>
      <c r="R4002">
        <v>2.0364279999999998E-2</v>
      </c>
      <c r="S4002">
        <v>-3.0036930000000002</v>
      </c>
      <c r="T4002">
        <v>-0.2206051</v>
      </c>
      <c r="U4002">
        <v>-1.8615719999999999E-2</v>
      </c>
      <c r="V4002">
        <v>-2.5773919999999999E-2</v>
      </c>
      <c r="W4002">
        <v>2.3402289999999999E-2</v>
      </c>
      <c r="X4002">
        <v>0.9993938</v>
      </c>
      <c r="Y4002">
        <v>-5.2020959999999998E-2</v>
      </c>
      <c r="Z4002">
        <v>-5.2878200000000004E-3</v>
      </c>
      <c r="AA4002">
        <v>0.99863199999999996</v>
      </c>
      <c r="AB4002">
        <v>26</v>
      </c>
      <c r="AC4002">
        <v>-14.612599999999899</v>
      </c>
      <c r="AD4002">
        <v>-1.1106930919159901</v>
      </c>
      <c r="AE4002">
        <v>-0.116099999999988</v>
      </c>
      <c r="AF4002">
        <v>-0.78501128394567299</v>
      </c>
      <c r="AG4002">
        <v>-1.1106930919159901</v>
      </c>
      <c r="AH4002">
        <v>14.507903150522599</v>
      </c>
      <c r="AI4002">
        <v>94.371528862768599</v>
      </c>
      <c r="AJ4002">
        <v>93.097209462032495</v>
      </c>
      <c r="AK4002">
        <v>14.5715179609159</v>
      </c>
      <c r="AL4002">
        <v>88.659025084534306</v>
      </c>
      <c r="AM4002">
        <v>91.477305117370904</v>
      </c>
      <c r="AN4002">
        <v>0.99999996480392395</v>
      </c>
    </row>
    <row r="4003" spans="1:40" x14ac:dyDescent="0.3">
      <c r="A4003" t="str">
        <f>"20200111160537044"</f>
        <v>20200111160537044</v>
      </c>
      <c r="B4003" t="str">
        <f>"1578729937035366"</f>
        <v>1578729937035366</v>
      </c>
      <c r="C4003" t="s">
        <v>40</v>
      </c>
      <c r="D4003">
        <v>5.6243530000000002</v>
      </c>
      <c r="E4003">
        <v>0.49316349999999998</v>
      </c>
      <c r="F4003" t="s">
        <v>75</v>
      </c>
      <c r="G4003">
        <v>-296.4323</v>
      </c>
      <c r="H4003" s="1">
        <v>-8.9578560000000007E-6</v>
      </c>
      <c r="I4003">
        <v>141.88310000000001</v>
      </c>
      <c r="J4003">
        <v>-281.90469999999999</v>
      </c>
      <c r="K4003">
        <v>1.110665</v>
      </c>
      <c r="L4003">
        <v>142.06370000000001</v>
      </c>
      <c r="M4003">
        <v>-0.99912179999999995</v>
      </c>
      <c r="N4003">
        <v>0</v>
      </c>
      <c r="O4003">
        <v>4.0716700000000002E-2</v>
      </c>
      <c r="P4003">
        <v>-0.99989280000000003</v>
      </c>
      <c r="Q4003">
        <v>9.7224939999999999E-3</v>
      </c>
      <c r="R4003">
        <v>1.0957639999999999E-2</v>
      </c>
      <c r="S4003">
        <v>-3.0040279999999999</v>
      </c>
      <c r="T4003">
        <v>-0.20672599999999999</v>
      </c>
      <c r="U4003">
        <v>-2.1530150000000001E-2</v>
      </c>
      <c r="V4003">
        <v>-2.9795370000000002E-2</v>
      </c>
      <c r="W4003">
        <v>1.9556529999999999E-2</v>
      </c>
      <c r="X4003">
        <v>0.99936469999999999</v>
      </c>
      <c r="Y4003">
        <v>-4.7669610000000001E-2</v>
      </c>
      <c r="Z4003">
        <v>-4.4365480000000002E-3</v>
      </c>
      <c r="AA4003">
        <v>0.99885330000000006</v>
      </c>
      <c r="AB4003">
        <v>27</v>
      </c>
      <c r="AC4003">
        <v>-14.5276</v>
      </c>
      <c r="AD4003">
        <v>-1.1106739578560001</v>
      </c>
      <c r="AE4003">
        <v>-0.18059999999999801</v>
      </c>
      <c r="AF4003">
        <v>-0.76750966117738995</v>
      </c>
      <c r="AG4003">
        <v>-1.1106739578560001</v>
      </c>
      <c r="AH4003">
        <v>14.423902879400099</v>
      </c>
      <c r="AI4003">
        <v>94.397022774236106</v>
      </c>
      <c r="AJ4003">
        <v>93.0458906513133</v>
      </c>
      <c r="AK4003">
        <v>14.4869472973096</v>
      </c>
      <c r="AL4003">
        <v>88.879421946668998</v>
      </c>
      <c r="AM4003">
        <v>91.707728315100795</v>
      </c>
      <c r="AN4003">
        <v>1.0000000127725801</v>
      </c>
    </row>
    <row r="4004" spans="1:40" x14ac:dyDescent="0.3">
      <c r="A4004" t="str">
        <f>"20200111160537065"</f>
        <v>20200111160537065</v>
      </c>
      <c r="B4004" t="str">
        <f>"1578729937055862"</f>
        <v>1578729937055862</v>
      </c>
      <c r="C4004" t="s">
        <v>40</v>
      </c>
      <c r="D4004">
        <v>5.6499420000000002</v>
      </c>
      <c r="E4004">
        <v>0.49423400000000001</v>
      </c>
      <c r="F4004" t="s">
        <v>75</v>
      </c>
      <c r="G4004">
        <v>-297.53030000000001</v>
      </c>
      <c r="H4004" s="1">
        <v>-8.8527999999999993E-6</v>
      </c>
      <c r="I4004">
        <v>141.85050000000001</v>
      </c>
      <c r="J4004">
        <v>-282.16230000000002</v>
      </c>
      <c r="K4004">
        <v>1.110657</v>
      </c>
      <c r="L4004">
        <v>142.07320000000001</v>
      </c>
      <c r="M4004">
        <v>-0.99915580000000004</v>
      </c>
      <c r="N4004">
        <v>0</v>
      </c>
      <c r="O4004">
        <v>3.9880840000000001E-2</v>
      </c>
      <c r="P4004">
        <v>-0.99991079999999999</v>
      </c>
      <c r="Q4004">
        <v>8.9676229999999992E-3</v>
      </c>
      <c r="R4004">
        <v>9.9012370000000002E-3</v>
      </c>
      <c r="S4004">
        <v>-3.0028380000000001</v>
      </c>
      <c r="T4004">
        <v>-0.2134432</v>
      </c>
      <c r="U4004">
        <v>-4.0969850000000002E-2</v>
      </c>
      <c r="V4004">
        <v>-3.001407E-2</v>
      </c>
      <c r="W4004">
        <v>1.878229E-2</v>
      </c>
      <c r="X4004">
        <v>0.99937299999999996</v>
      </c>
      <c r="Y4004">
        <v>-5.3275660000000002E-2</v>
      </c>
      <c r="Z4004">
        <v>-4.7217680000000003E-3</v>
      </c>
      <c r="AA4004">
        <v>0.99856869999999998</v>
      </c>
      <c r="AB4004">
        <v>27</v>
      </c>
      <c r="AC4004">
        <v>-15.367999999999901</v>
      </c>
      <c r="AD4004">
        <v>-1.1106658528</v>
      </c>
      <c r="AE4004">
        <v>-0.22270000000000301</v>
      </c>
      <c r="AF4004">
        <v>-0.83110129994211901</v>
      </c>
      <c r="AG4004">
        <v>-1.1106658528</v>
      </c>
      <c r="AH4004">
        <v>15.2671649098848</v>
      </c>
      <c r="AI4004">
        <v>94.154731547686794</v>
      </c>
      <c r="AJ4004">
        <v>93.115944763253097</v>
      </c>
      <c r="AK4004">
        <v>15.330056503253999</v>
      </c>
      <c r="AL4004">
        <v>88.923790776997507</v>
      </c>
      <c r="AM4004">
        <v>91.720241371930101</v>
      </c>
      <c r="AN4004">
        <v>1.0000000059723</v>
      </c>
    </row>
    <row r="4005" spans="1:40" x14ac:dyDescent="0.3">
      <c r="A4005" t="str">
        <f>"20200111160537087"</f>
        <v>20200111160537087</v>
      </c>
      <c r="B4005" t="str">
        <f>"1578729937075382"</f>
        <v>1578729937075382</v>
      </c>
      <c r="C4005" t="s">
        <v>40</v>
      </c>
      <c r="D4005">
        <v>6.5374290000000004</v>
      </c>
      <c r="E4005">
        <v>0.4951855</v>
      </c>
      <c r="F4005" t="s">
        <v>75</v>
      </c>
      <c r="G4005">
        <v>-297.67880000000002</v>
      </c>
      <c r="H4005" s="1">
        <v>-8.8504969999999995E-6</v>
      </c>
      <c r="I4005">
        <v>141.8912</v>
      </c>
      <c r="J4005">
        <v>-282.42160000000001</v>
      </c>
      <c r="K4005">
        <v>1.110641</v>
      </c>
      <c r="L4005">
        <v>142.08260000000001</v>
      </c>
      <c r="M4005">
        <v>-0.99918910000000005</v>
      </c>
      <c r="N4005">
        <v>0</v>
      </c>
      <c r="O4005">
        <v>3.9040480000000002E-2</v>
      </c>
      <c r="P4005">
        <v>-0.99992769999999997</v>
      </c>
      <c r="Q4005">
        <v>8.0845729999999994E-3</v>
      </c>
      <c r="R4005">
        <v>8.9093509999999994E-3</v>
      </c>
      <c r="S4005">
        <v>-3.0025330000000001</v>
      </c>
      <c r="T4005">
        <v>-0.21492059999999999</v>
      </c>
      <c r="U4005">
        <v>-3.5217289999999998E-2</v>
      </c>
      <c r="V4005">
        <v>-3.016373E-2</v>
      </c>
      <c r="W4005">
        <v>1.7883130000000001E-2</v>
      </c>
      <c r="X4005">
        <v>0.99938499999999997</v>
      </c>
      <c r="Y4005">
        <v>-5.0529999999999999E-2</v>
      </c>
      <c r="Z4005">
        <v>-4.5966940000000001E-3</v>
      </c>
      <c r="AA4005">
        <v>0.99871189999999999</v>
      </c>
      <c r="AB4005">
        <v>27</v>
      </c>
      <c r="AC4005">
        <v>-15.257199999999999</v>
      </c>
      <c r="AD4005">
        <v>-1.1106498504969999</v>
      </c>
      <c r="AE4005">
        <v>-0.191400000000015</v>
      </c>
      <c r="AF4005">
        <v>-0.78278394387078998</v>
      </c>
      <c r="AG4005">
        <v>-1.1106498504969999</v>
      </c>
      <c r="AH4005">
        <v>15.157784084400999</v>
      </c>
      <c r="AI4005">
        <v>94.185162914167506</v>
      </c>
      <c r="AJ4005">
        <v>92.956263845501098</v>
      </c>
      <c r="AK4005">
        <v>15.2185647201867</v>
      </c>
      <c r="AL4005">
        <v>88.975317522928506</v>
      </c>
      <c r="AM4005">
        <v>91.728793121386303</v>
      </c>
      <c r="AN4005">
        <v>1.0000000175855499</v>
      </c>
    </row>
    <row r="4006" spans="1:40" x14ac:dyDescent="0.3">
      <c r="A4006" t="str">
        <f>"20200111160537109"</f>
        <v>20200111160537109</v>
      </c>
      <c r="B4006" t="str">
        <f>"1578729937105639"</f>
        <v>1578729937105639</v>
      </c>
      <c r="C4006" t="s">
        <v>40</v>
      </c>
      <c r="D4006">
        <v>7.0416290000000004</v>
      </c>
      <c r="E4006">
        <v>0.49563970000000002</v>
      </c>
      <c r="F4006" t="s">
        <v>75</v>
      </c>
      <c r="G4006">
        <v>-297.93939999999998</v>
      </c>
      <c r="H4006" s="1">
        <v>-8.8369979999999998E-6</v>
      </c>
      <c r="I4006">
        <v>141.92689999999999</v>
      </c>
      <c r="J4006">
        <v>-282.69200000000001</v>
      </c>
      <c r="K4006">
        <v>1.1106370000000001</v>
      </c>
      <c r="L4006">
        <v>142.09219999999999</v>
      </c>
      <c r="M4006">
        <v>-0.99922319999999998</v>
      </c>
      <c r="N4006">
        <v>0</v>
      </c>
      <c r="O4006">
        <v>3.8163320000000001E-2</v>
      </c>
      <c r="P4006">
        <v>-0.99993980000000005</v>
      </c>
      <c r="Q4006">
        <v>7.5219980000000002E-3</v>
      </c>
      <c r="R4006">
        <v>8.0150659999999995E-3</v>
      </c>
      <c r="S4006">
        <v>-3.0022579999999999</v>
      </c>
      <c r="T4006">
        <v>-0.21487919999999999</v>
      </c>
      <c r="U4006">
        <v>-3.0136110000000001E-2</v>
      </c>
      <c r="V4006">
        <v>-3.0179279999999999E-2</v>
      </c>
      <c r="W4006">
        <v>1.73090999999999E-2</v>
      </c>
      <c r="X4006">
        <v>0.99939460000000002</v>
      </c>
      <c r="Y4006">
        <v>-4.7972929999999997E-2</v>
      </c>
      <c r="Z4006">
        <v>-4.4421870000000002E-3</v>
      </c>
      <c r="AA4006">
        <v>0.99883880000000003</v>
      </c>
      <c r="AB4006">
        <v>27</v>
      </c>
      <c r="AC4006">
        <v>-15.247399999999899</v>
      </c>
      <c r="AD4006">
        <v>-1.1106458369979999</v>
      </c>
      <c r="AE4006">
        <v>-0.165300000000001</v>
      </c>
      <c r="AF4006">
        <v>-0.74315641511800401</v>
      </c>
      <c r="AG4006">
        <v>-1.1106458369979999</v>
      </c>
      <c r="AH4006">
        <v>15.1496097581682</v>
      </c>
      <c r="AI4006">
        <v>94.187940327011603</v>
      </c>
      <c r="AJ4006">
        <v>92.808364188827696</v>
      </c>
      <c r="AK4006">
        <v>15.2084348786244</v>
      </c>
      <c r="AL4006">
        <v>89.008212074889599</v>
      </c>
      <c r="AM4006">
        <v>91.729667202291196</v>
      </c>
      <c r="AN4006">
        <v>0.99999998019664404</v>
      </c>
    </row>
    <row r="4007" spans="1:40" x14ac:dyDescent="0.3">
      <c r="A4007" t="str">
        <f>"20200111160537132"</f>
        <v>20200111160537132</v>
      </c>
      <c r="B4007" t="str">
        <f>"1578729937126134"</f>
        <v>1578729937126134</v>
      </c>
      <c r="C4007" t="s">
        <v>40</v>
      </c>
      <c r="D4007">
        <v>6.7747190000000002</v>
      </c>
      <c r="E4007">
        <v>0.49643949999999998</v>
      </c>
      <c r="F4007" t="s">
        <v>75</v>
      </c>
      <c r="G4007">
        <v>-298.98439999999999</v>
      </c>
      <c r="H4007" s="1">
        <v>-8.7488100000000007E-6</v>
      </c>
      <c r="I4007">
        <v>141.94059999999999</v>
      </c>
      <c r="J4007">
        <v>-282.97059999999999</v>
      </c>
      <c r="K4007">
        <v>1.11063</v>
      </c>
      <c r="L4007">
        <v>142.1018</v>
      </c>
      <c r="M4007">
        <v>-0.99925730000000001</v>
      </c>
      <c r="N4007">
        <v>0</v>
      </c>
      <c r="O4007">
        <v>3.7259750000000001E-2</v>
      </c>
      <c r="P4007">
        <v>-0.99994899999999998</v>
      </c>
      <c r="Q4007">
        <v>7.74185699999999E-3</v>
      </c>
      <c r="R4007">
        <v>6.4895430000000004E-3</v>
      </c>
      <c r="S4007">
        <v>-3.0019230000000001</v>
      </c>
      <c r="T4007">
        <v>-0.2046393</v>
      </c>
      <c r="U4007">
        <v>-2.793884E-2</v>
      </c>
      <c r="V4007">
        <v>-3.080105E-2</v>
      </c>
      <c r="W4007">
        <v>1.7524120000000001E-2</v>
      </c>
      <c r="X4007">
        <v>0.99937189999999998</v>
      </c>
      <c r="Y4007">
        <v>-4.6365999999999997E-2</v>
      </c>
      <c r="Z4007">
        <v>-4.115273E-3</v>
      </c>
      <c r="AA4007">
        <v>0.99891600000000003</v>
      </c>
      <c r="AB4007">
        <v>27</v>
      </c>
      <c r="AC4007">
        <v>-16.0138</v>
      </c>
      <c r="AD4007">
        <v>-1.11063874881</v>
      </c>
      <c r="AE4007">
        <v>-0.161200000000008</v>
      </c>
      <c r="AF4007">
        <v>-0.75415980852782805</v>
      </c>
      <c r="AG4007">
        <v>-1.11063874881</v>
      </c>
      <c r="AH4007">
        <v>15.9201026031915</v>
      </c>
      <c r="AI4007">
        <v>93.986220693215301</v>
      </c>
      <c r="AJ4007">
        <v>92.712161882109598</v>
      </c>
      <c r="AK4007">
        <v>15.976606095892199</v>
      </c>
      <c r="AL4007">
        <v>88.9958904840217</v>
      </c>
      <c r="AM4007">
        <v>91.765320502004599</v>
      </c>
      <c r="AN4007">
        <v>0.99999999698624298</v>
      </c>
    </row>
    <row r="4008" spans="1:40" x14ac:dyDescent="0.3">
      <c r="A4008" t="str">
        <f>"20200111160537155"</f>
        <v>20200111160537155</v>
      </c>
      <c r="B4008" t="str">
        <f>"1578729937145657"</f>
        <v>1578729937145657</v>
      </c>
      <c r="C4008" t="s">
        <v>40</v>
      </c>
      <c r="D4008">
        <v>5.5925750000000001</v>
      </c>
      <c r="E4008">
        <v>0.49715690000000001</v>
      </c>
      <c r="F4008" t="s">
        <v>75</v>
      </c>
      <c r="G4008">
        <v>-299.98829999999998</v>
      </c>
      <c r="H4008" s="1">
        <v>-8.6733889999999904E-6</v>
      </c>
      <c r="I4008">
        <v>141.95820000000001</v>
      </c>
      <c r="J4008">
        <v>-283.24689999999998</v>
      </c>
      <c r="K4008">
        <v>1.1106279999999999</v>
      </c>
      <c r="L4008">
        <v>142.11109999999999</v>
      </c>
      <c r="M4008">
        <v>-0.99929040000000002</v>
      </c>
      <c r="N4008">
        <v>0</v>
      </c>
      <c r="O4008">
        <v>3.6363180000000002E-2</v>
      </c>
      <c r="P4008">
        <v>-0.99996019999999997</v>
      </c>
      <c r="Q4008">
        <v>7.0864630000000003E-3</v>
      </c>
      <c r="R4008">
        <v>5.4415499999999999E-3</v>
      </c>
      <c r="S4008">
        <v>-3.0018009999999999</v>
      </c>
      <c r="T4008">
        <v>-0.19590879999999999</v>
      </c>
      <c r="U4008">
        <v>-2.5329589999999999E-2</v>
      </c>
      <c r="V4008">
        <v>-3.0951039999999999E-2</v>
      </c>
      <c r="W4008">
        <v>1.687048E-2</v>
      </c>
      <c r="X4008">
        <v>0.99937849999999995</v>
      </c>
      <c r="Y4008">
        <v>-4.4623629999999997E-2</v>
      </c>
      <c r="Z4008">
        <v>-3.8250269999999999E-3</v>
      </c>
      <c r="AA4008">
        <v>0.99899660000000001</v>
      </c>
      <c r="AB4008">
        <v>27</v>
      </c>
      <c r="AC4008">
        <v>-16.741399999999999</v>
      </c>
      <c r="AD4008">
        <v>-1.1106366733890001</v>
      </c>
      <c r="AE4008">
        <v>-0.15289999999998799</v>
      </c>
      <c r="AF4008">
        <v>-0.75826185764149301</v>
      </c>
      <c r="AG4008">
        <v>-1.1106366733890001</v>
      </c>
      <c r="AH4008">
        <v>16.651488033169901</v>
      </c>
      <c r="AI4008">
        <v>93.811977408048193</v>
      </c>
      <c r="AJ4008">
        <v>92.607287204417204</v>
      </c>
      <c r="AK4008">
        <v>16.705703474676799</v>
      </c>
      <c r="AL4008">
        <v>89.033346823929406</v>
      </c>
      <c r="AM4008">
        <v>91.773899789147805</v>
      </c>
      <c r="AN4008">
        <v>0.99999998311738003</v>
      </c>
    </row>
    <row r="4009" spans="1:40" x14ac:dyDescent="0.3">
      <c r="A4009" t="str">
        <f>"20200111160537170"</f>
        <v>20200111160537170</v>
      </c>
      <c r="B4009" t="str">
        <f>"1578729937166151"</f>
        <v>1578729937166151</v>
      </c>
      <c r="C4009" t="s">
        <v>40</v>
      </c>
      <c r="D4009">
        <v>6.7281760000000004</v>
      </c>
      <c r="E4009">
        <v>0.49792979999999998</v>
      </c>
      <c r="F4009" t="s">
        <v>75</v>
      </c>
      <c r="G4009">
        <v>-300.57479999999998</v>
      </c>
      <c r="H4009" s="1">
        <v>-8.7842479999999993E-6</v>
      </c>
      <c r="I4009">
        <v>141.98410000000001</v>
      </c>
      <c r="J4009">
        <v>-283.42079999999999</v>
      </c>
      <c r="K4009">
        <v>1.1106259999999999</v>
      </c>
      <c r="L4009">
        <v>142.11689999999999</v>
      </c>
      <c r="M4009">
        <v>-0.99931060000000005</v>
      </c>
      <c r="N4009">
        <v>0</v>
      </c>
      <c r="O4009">
        <v>3.5798780000000002E-2</v>
      </c>
      <c r="P4009">
        <v>-0.99996390000000002</v>
      </c>
      <c r="Q4009">
        <v>7.20798599999999E-3</v>
      </c>
      <c r="R4009">
        <v>4.4748720000000004E-3</v>
      </c>
      <c r="S4009">
        <v>-3.0016479999999999</v>
      </c>
      <c r="T4009">
        <v>-0.19239210000000001</v>
      </c>
      <c r="U4009">
        <v>-2.2003169999999999E-2</v>
      </c>
      <c r="V4009">
        <v>-3.1352690000000003E-2</v>
      </c>
      <c r="W4009">
        <v>1.6993479999999998E-2</v>
      </c>
      <c r="X4009">
        <v>0.99936389999999997</v>
      </c>
      <c r="Y4009">
        <v>-4.2963429999999997E-2</v>
      </c>
      <c r="Z4009">
        <v>-3.667427E-3</v>
      </c>
      <c r="AA4009">
        <v>0.99906989999999996</v>
      </c>
      <c r="AB4009">
        <v>27</v>
      </c>
      <c r="AC4009">
        <v>-17.1539999999999</v>
      </c>
      <c r="AD4009">
        <v>-1.110634784248</v>
      </c>
      <c r="AE4009">
        <v>-0.13279999999997399</v>
      </c>
      <c r="AF4009">
        <v>-0.74371944059956296</v>
      </c>
      <c r="AG4009">
        <v>-1.110634784248</v>
      </c>
      <c r="AH4009">
        <v>17.066711431708001</v>
      </c>
      <c r="AI4009">
        <v>93.719814717453104</v>
      </c>
      <c r="AJ4009">
        <v>92.495210806117896</v>
      </c>
      <c r="AK4009">
        <v>17.118973898090399</v>
      </c>
      <c r="AL4009">
        <v>89.026298436351695</v>
      </c>
      <c r="AM4009">
        <v>91.796930831824994</v>
      </c>
      <c r="AN4009">
        <v>0.99999998707797799</v>
      </c>
    </row>
    <row r="4010" spans="1:40" x14ac:dyDescent="0.3">
      <c r="A4010" t="str">
        <f>"20200111160537188"</f>
        <v>20200111160537188</v>
      </c>
      <c r="B4010" t="str">
        <f>"1578729937185671"</f>
        <v>1578729937185671</v>
      </c>
      <c r="C4010" t="s">
        <v>40</v>
      </c>
      <c r="D4010">
        <v>6.4743009999999996</v>
      </c>
      <c r="E4010">
        <v>0.49856980000000001</v>
      </c>
      <c r="F4010" t="s">
        <v>75</v>
      </c>
      <c r="G4010">
        <v>-301.0299</v>
      </c>
      <c r="H4010" s="1">
        <v>-8.8714589999999992E-6</v>
      </c>
      <c r="I4010">
        <v>142.0087</v>
      </c>
      <c r="J4010">
        <v>-283.64</v>
      </c>
      <c r="K4010">
        <v>1.1106259999999999</v>
      </c>
      <c r="L4010">
        <v>142.12389999999999</v>
      </c>
      <c r="M4010">
        <v>-0.99933590000000005</v>
      </c>
      <c r="N4010">
        <v>0</v>
      </c>
      <c r="O4010">
        <v>3.5087439999999998E-2</v>
      </c>
      <c r="P4010">
        <v>-0.99997000000000003</v>
      </c>
      <c r="Q4010">
        <v>6.7188289999999999E-3</v>
      </c>
      <c r="R4010">
        <v>3.885838E-3</v>
      </c>
      <c r="S4010">
        <v>-3.0015559999999999</v>
      </c>
      <c r="T4010">
        <v>-0.1893138</v>
      </c>
      <c r="U4010">
        <v>-1.843262E-2</v>
      </c>
      <c r="V4010">
        <v>-3.122952E-2</v>
      </c>
      <c r="W4010">
        <v>1.650718E-2</v>
      </c>
      <c r="X4010">
        <v>0.99937589999999998</v>
      </c>
      <c r="Y4010">
        <v>-4.1074270000000003E-2</v>
      </c>
      <c r="Z4010">
        <v>-3.5046560000000001E-3</v>
      </c>
      <c r="AA4010">
        <v>0.99914999999999998</v>
      </c>
      <c r="AB4010">
        <v>27</v>
      </c>
      <c r="AC4010">
        <v>-17.389900000000001</v>
      </c>
      <c r="AD4010">
        <v>-1.110634871459</v>
      </c>
      <c r="AE4010">
        <v>-0.11519999999998699</v>
      </c>
      <c r="AF4010">
        <v>-0.72237919396543104</v>
      </c>
      <c r="AG4010">
        <v>-1.110634871459</v>
      </c>
      <c r="AH4010">
        <v>17.304567421954101</v>
      </c>
      <c r="AI4010">
        <v>93.669111232172099</v>
      </c>
      <c r="AJ4010">
        <v>92.390424495750594</v>
      </c>
      <c r="AK4010">
        <v>17.355212334584898</v>
      </c>
      <c r="AL4010">
        <v>89.054165277215006</v>
      </c>
      <c r="AM4010">
        <v>91.789854657116294</v>
      </c>
      <c r="AN4010">
        <v>0.99999997970589605</v>
      </c>
    </row>
    <row r="4011" spans="1:40" x14ac:dyDescent="0.3">
      <c r="A4011" t="str">
        <f>"20200111160537211"</f>
        <v>20200111160537211</v>
      </c>
      <c r="B4011" t="str">
        <f>"1578729937206167"</f>
        <v>1578729937206167</v>
      </c>
      <c r="C4011" t="s">
        <v>40</v>
      </c>
      <c r="D4011">
        <v>5.591818</v>
      </c>
      <c r="E4011">
        <v>0.49933660000000002</v>
      </c>
      <c r="F4011" t="s">
        <v>75</v>
      </c>
      <c r="G4011">
        <v>-301.75560000000002</v>
      </c>
      <c r="H4011" s="1">
        <v>-9.0071819999999998E-6</v>
      </c>
      <c r="I4011">
        <v>142.03530000000001</v>
      </c>
      <c r="J4011">
        <v>-283.91390000000001</v>
      </c>
      <c r="K4011">
        <v>1.1106240000000001</v>
      </c>
      <c r="L4011">
        <v>142.1326</v>
      </c>
      <c r="M4011">
        <v>-0.99936659999999999</v>
      </c>
      <c r="N4011">
        <v>0</v>
      </c>
      <c r="O4011">
        <v>3.4198590000000001E-2</v>
      </c>
      <c r="P4011">
        <v>-0.9999806</v>
      </c>
      <c r="Q4011">
        <v>5.7062249999999997E-3</v>
      </c>
      <c r="R4011">
        <v>2.5139630000000001E-3</v>
      </c>
      <c r="S4011">
        <v>-3.0013429999999999</v>
      </c>
      <c r="T4011">
        <v>-0.18400730000000001</v>
      </c>
      <c r="U4011">
        <v>-1.4694209999999999E-2</v>
      </c>
      <c r="V4011">
        <v>-3.1710849999999999E-2</v>
      </c>
      <c r="W4011">
        <v>1.5497840000000001E-2</v>
      </c>
      <c r="X4011">
        <v>0.99937699999999996</v>
      </c>
      <c r="Y4011">
        <v>-3.8955459999999997E-2</v>
      </c>
      <c r="Z4011">
        <v>-3.287538E-3</v>
      </c>
      <c r="AA4011">
        <v>0.99923550000000005</v>
      </c>
      <c r="AB4011">
        <v>27</v>
      </c>
      <c r="AC4011">
        <v>-17.841699999999999</v>
      </c>
      <c r="AD4011">
        <v>-1.1106330071820001</v>
      </c>
      <c r="AE4011">
        <v>-9.7299999999989895E-2</v>
      </c>
      <c r="AF4011">
        <v>-0.70470298965378397</v>
      </c>
      <c r="AG4011">
        <v>-1.1106330071820001</v>
      </c>
      <c r="AH4011">
        <v>17.759120861562501</v>
      </c>
      <c r="AI4011">
        <v>93.575738503189498</v>
      </c>
      <c r="AJ4011">
        <v>92.272372331628603</v>
      </c>
      <c r="AK4011">
        <v>17.807764760234701</v>
      </c>
      <c r="AL4011">
        <v>89.112003693307699</v>
      </c>
      <c r="AM4011">
        <v>91.817420720594498</v>
      </c>
      <c r="AN4011">
        <v>1.0000000745906901</v>
      </c>
    </row>
    <row r="4012" spans="1:40" x14ac:dyDescent="0.3">
      <c r="A4012" t="str">
        <f>"20200111160537224"</f>
        <v>20200111160537224</v>
      </c>
      <c r="B4012" t="str">
        <f>"1578729937215927"</f>
        <v>1578729937215927</v>
      </c>
      <c r="C4012" t="s">
        <v>40</v>
      </c>
      <c r="D4012">
        <v>6.350155</v>
      </c>
      <c r="E4012">
        <v>0.499579</v>
      </c>
      <c r="F4012" t="s">
        <v>75</v>
      </c>
      <c r="G4012">
        <v>-301.25119999999998</v>
      </c>
      <c r="H4012" s="1">
        <v>-8.9234869999999996E-6</v>
      </c>
      <c r="I4012">
        <v>142.05709999999999</v>
      </c>
      <c r="J4012">
        <v>-284.08670000000001</v>
      </c>
      <c r="K4012">
        <v>1.1106199999999999</v>
      </c>
      <c r="L4012">
        <v>142.1379</v>
      </c>
      <c r="M4012">
        <v>-0.99938550000000004</v>
      </c>
      <c r="N4012">
        <v>0</v>
      </c>
      <c r="O4012">
        <v>3.3637689999999998E-2</v>
      </c>
      <c r="P4012">
        <v>-0.99998489999999995</v>
      </c>
      <c r="Q4012">
        <v>5.1764139999999998E-3</v>
      </c>
      <c r="R4012">
        <v>1.8651379999999999E-3</v>
      </c>
      <c r="S4012">
        <v>-3.0011899999999998</v>
      </c>
      <c r="T4012">
        <v>-0.19225729999999999</v>
      </c>
      <c r="U4012">
        <v>-1.306152E-2</v>
      </c>
      <c r="V4012">
        <v>-3.1797850000000003E-2</v>
      </c>
      <c r="W4012">
        <v>1.4971480000000001E-2</v>
      </c>
      <c r="X4012">
        <v>0.9993822</v>
      </c>
      <c r="Y4012">
        <v>-3.784212E-2</v>
      </c>
      <c r="Z4012">
        <v>-3.3633090000000001E-3</v>
      </c>
      <c r="AA4012">
        <v>0.99927809999999995</v>
      </c>
      <c r="AB4012">
        <v>27</v>
      </c>
      <c r="AC4012">
        <v>-17.164499999999901</v>
      </c>
      <c r="AD4012">
        <v>-1.1106289234869999</v>
      </c>
      <c r="AE4012">
        <v>-8.0800000000010599E-2</v>
      </c>
      <c r="AF4012">
        <v>-0.65541246337721304</v>
      </c>
      <c r="AG4012">
        <v>-1.1106289234869999</v>
      </c>
      <c r="AH4012">
        <v>17.080557273754401</v>
      </c>
      <c r="AI4012">
        <v>93.7175775314319</v>
      </c>
      <c r="AJ4012">
        <v>92.197466568218601</v>
      </c>
      <c r="AK4012">
        <v>17.129170992340601</v>
      </c>
      <c r="AL4012">
        <v>89.142165347245907</v>
      </c>
      <c r="AM4012">
        <v>91.822394054244796</v>
      </c>
      <c r="AN4012">
        <v>1.00000001507742</v>
      </c>
    </row>
    <row r="4013" spans="1:40" x14ac:dyDescent="0.3">
      <c r="A4013" t="str">
        <f>"20200111160537255"</f>
        <v>20200111160537255</v>
      </c>
      <c r="B4013" t="str">
        <f>"1578729937245206"</f>
        <v>1578729937245206</v>
      </c>
      <c r="C4013" t="s">
        <v>40</v>
      </c>
      <c r="D4013">
        <v>5.4602649999999997</v>
      </c>
      <c r="E4013">
        <v>0.49949450000000001</v>
      </c>
      <c r="F4013" t="s">
        <v>75</v>
      </c>
      <c r="G4013">
        <v>-301.57819999999998</v>
      </c>
      <c r="H4013" s="1">
        <v>-8.9832529999999905E-6</v>
      </c>
      <c r="I4013">
        <v>142.06379999999999</v>
      </c>
      <c r="J4013">
        <v>-284.45600000000002</v>
      </c>
      <c r="K4013">
        <v>1.1106149999999999</v>
      </c>
      <c r="L4013">
        <v>142.1489</v>
      </c>
      <c r="M4013">
        <v>-0.99942520000000001</v>
      </c>
      <c r="N4013">
        <v>0</v>
      </c>
      <c r="O4013">
        <v>3.2439059999999999E-2</v>
      </c>
      <c r="P4013">
        <v>-0.9999924</v>
      </c>
      <c r="Q4013">
        <v>3.8766709999999999E-3</v>
      </c>
      <c r="R4013">
        <v>-7.8395519999999998E-4</v>
      </c>
      <c r="S4013">
        <v>-3.0010680000000001</v>
      </c>
      <c r="T4013">
        <v>-0.19055440000000001</v>
      </c>
      <c r="U4013">
        <v>-1.2710569999999999E-2</v>
      </c>
      <c r="V4013">
        <v>-3.324473E-2</v>
      </c>
      <c r="W4013">
        <v>1.3685579999999999E-2</v>
      </c>
      <c r="X4013">
        <v>0.99935350000000001</v>
      </c>
      <c r="Y4013">
        <v>-3.6534530000000003E-2</v>
      </c>
      <c r="Z4013">
        <v>-3.216235E-3</v>
      </c>
      <c r="AA4013">
        <v>0.99932719999999997</v>
      </c>
      <c r="AB4013">
        <v>27</v>
      </c>
      <c r="AC4013">
        <v>-17.122199999999999</v>
      </c>
      <c r="AD4013">
        <v>-1.1106239832529901</v>
      </c>
      <c r="AE4013">
        <v>-8.5100000000011194E-2</v>
      </c>
      <c r="AF4013">
        <v>-0.637826682910274</v>
      </c>
      <c r="AG4013">
        <v>-1.1106239832529901</v>
      </c>
      <c r="AH4013">
        <v>17.038740058664899</v>
      </c>
      <c r="AI4013">
        <v>93.726791085234296</v>
      </c>
      <c r="AJ4013">
        <v>92.143804129070205</v>
      </c>
      <c r="AK4013">
        <v>17.086806936825798</v>
      </c>
      <c r="AL4013">
        <v>89.215849517234702</v>
      </c>
      <c r="AM4013">
        <v>91.905312332811505</v>
      </c>
      <c r="AN4013">
        <v>0.99999996256747903</v>
      </c>
    </row>
    <row r="4014" spans="1:40" x14ac:dyDescent="0.3">
      <c r="A4014" t="str">
        <f>"20200111160537691"</f>
        <v>20200111160537691</v>
      </c>
      <c r="B4014" t="str">
        <f>"1578729937685383"</f>
        <v>1578729937685383</v>
      </c>
      <c r="C4014" t="s">
        <v>40</v>
      </c>
      <c r="D4014">
        <v>5.5554309999999996</v>
      </c>
      <c r="E4014">
        <v>0.5003301</v>
      </c>
      <c r="F4014" t="s">
        <v>75</v>
      </c>
      <c r="G4014">
        <v>-301.74400000000003</v>
      </c>
      <c r="H4014" s="1">
        <v>-9.0033849999999999E-6</v>
      </c>
      <c r="I4014">
        <v>142.02860000000001</v>
      </c>
      <c r="J4014">
        <v>-289.80329999999998</v>
      </c>
      <c r="K4014">
        <v>1.1105860000000001</v>
      </c>
      <c r="L4014">
        <v>142.25980000000001</v>
      </c>
      <c r="M4014">
        <v>-0.99983350000000004</v>
      </c>
      <c r="N4014">
        <v>0</v>
      </c>
      <c r="O4014">
        <v>1.5236359999999999E-2</v>
      </c>
      <c r="P4014">
        <v>-0.99982329999999997</v>
      </c>
      <c r="Q4014">
        <v>1.4852960000000001E-3</v>
      </c>
      <c r="R4014">
        <v>-1.8734049999999999E-2</v>
      </c>
      <c r="S4014">
        <v>-3.0007630000000001</v>
      </c>
      <c r="T4014">
        <v>-0.19277630000000001</v>
      </c>
      <c r="U4014">
        <v>-2.088928E-2</v>
      </c>
      <c r="V4014">
        <v>-3.398429E-2</v>
      </c>
      <c r="W4014">
        <v>1.146989E-2</v>
      </c>
      <c r="X4014">
        <v>0.99935660000000004</v>
      </c>
      <c r="Y4014">
        <v>-2.21201E-2</v>
      </c>
      <c r="Z4014">
        <v>-1.687619E-3</v>
      </c>
      <c r="AA4014">
        <v>0.99975389999999997</v>
      </c>
      <c r="AB4014">
        <v>28</v>
      </c>
      <c r="AC4014">
        <v>-11.9407</v>
      </c>
      <c r="AD4014">
        <v>-1.1105950033849901</v>
      </c>
      <c r="AE4014">
        <v>-0.23120000000000099</v>
      </c>
      <c r="AF4014">
        <v>-0.40957336246210901</v>
      </c>
      <c r="AG4014">
        <v>-1.1105950033849901</v>
      </c>
      <c r="AH4014">
        <v>11.833461454720601</v>
      </c>
      <c r="AI4014">
        <v>95.358433016876504</v>
      </c>
      <c r="AJ4014">
        <v>91.982299192088504</v>
      </c>
      <c r="AK4014">
        <v>11.892517883154101</v>
      </c>
      <c r="AL4014">
        <v>89.342809335436201</v>
      </c>
      <c r="AM4014">
        <v>91.947659454617707</v>
      </c>
      <c r="AN4014">
        <v>1.00000005215348</v>
      </c>
    </row>
    <row r="4015" spans="1:40" x14ac:dyDescent="0.3">
      <c r="A4015" t="str">
        <f>"20200111160537713"</f>
        <v>20200111160537713</v>
      </c>
      <c r="B4015" t="str">
        <f>"1578729937705878"</f>
        <v>1578729937705878</v>
      </c>
      <c r="C4015" t="s">
        <v>40</v>
      </c>
      <c r="D4015">
        <v>5.5800879999999999</v>
      </c>
      <c r="E4015">
        <v>0.50114329999999996</v>
      </c>
      <c r="F4015" t="s">
        <v>75</v>
      </c>
      <c r="G4015">
        <v>-306.60169999999999</v>
      </c>
      <c r="H4015" s="1">
        <v>-9.6780299999999999E-6</v>
      </c>
      <c r="I4015">
        <v>141.88040000000001</v>
      </c>
      <c r="J4015">
        <v>-290.09809999999999</v>
      </c>
      <c r="K4015">
        <v>1.1105830000000001</v>
      </c>
      <c r="L4015">
        <v>142.26329999999999</v>
      </c>
      <c r="M4015">
        <v>-0.99984700000000004</v>
      </c>
      <c r="N4015">
        <v>0</v>
      </c>
      <c r="O4015">
        <v>1.4328769999999999E-2</v>
      </c>
      <c r="P4015">
        <v>-0.99980950000000002</v>
      </c>
      <c r="Q4015">
        <v>1.9647520000000002E-3</v>
      </c>
      <c r="R4015">
        <v>-1.942791E-2</v>
      </c>
      <c r="S4015">
        <v>-2.9995120000000002</v>
      </c>
      <c r="T4015">
        <v>-0.19830809999999999</v>
      </c>
      <c r="U4015">
        <v>-6.7749019999999993E-2</v>
      </c>
      <c r="V4015">
        <v>-3.377061E-2</v>
      </c>
      <c r="W4015">
        <v>1.1954799999999899E-2</v>
      </c>
      <c r="X4015">
        <v>0.99935810000000003</v>
      </c>
      <c r="Y4015">
        <v>-3.6792890000000002E-2</v>
      </c>
      <c r="Z4015">
        <v>-2.161006E-3</v>
      </c>
      <c r="AA4015">
        <v>0.9993206</v>
      </c>
      <c r="AB4015">
        <v>28</v>
      </c>
      <c r="AC4015">
        <v>-16.503599999999999</v>
      </c>
      <c r="AD4015">
        <v>-1.1105926780299999</v>
      </c>
      <c r="AE4015">
        <v>-0.38289999999997798</v>
      </c>
      <c r="AF4015">
        <v>-0.61655830996195804</v>
      </c>
      <c r="AG4015">
        <v>-1.1105926780299999</v>
      </c>
      <c r="AH4015">
        <v>16.422091706195602</v>
      </c>
      <c r="AI4015">
        <v>93.866190434767006</v>
      </c>
      <c r="AJ4015">
        <v>92.150128328022703</v>
      </c>
      <c r="AK4015">
        <v>16.471146173013398</v>
      </c>
      <c r="AL4015">
        <v>89.315024092912097</v>
      </c>
      <c r="AM4015">
        <v>91.935419769534406</v>
      </c>
      <c r="AN4015">
        <v>0.99999999168921105</v>
      </c>
    </row>
    <row r="4016" spans="1:40" x14ac:dyDescent="0.3">
      <c r="A4016" t="str">
        <f>"20200111160537736"</f>
        <v>20200111160537736</v>
      </c>
      <c r="B4016" t="str">
        <f>"1578729937725398"</f>
        <v>1578729937725398</v>
      </c>
      <c r="C4016" t="s">
        <v>40</v>
      </c>
      <c r="D4016">
        <v>5.6382770000000004</v>
      </c>
      <c r="E4016">
        <v>0.50171109999999997</v>
      </c>
      <c r="F4016" t="s">
        <v>75</v>
      </c>
      <c r="G4016">
        <v>-306.89190000000002</v>
      </c>
      <c r="H4016" s="1">
        <v>-9.7280500000000008E-6</v>
      </c>
      <c r="I4016">
        <v>141.9084</v>
      </c>
      <c r="J4016">
        <v>-290.37049999999999</v>
      </c>
      <c r="K4016">
        <v>1.110584</v>
      </c>
      <c r="L4016">
        <v>142.2663</v>
      </c>
      <c r="M4016">
        <v>-0.99985829999999998</v>
      </c>
      <c r="N4016">
        <v>0</v>
      </c>
      <c r="O4016">
        <v>1.350203E-2</v>
      </c>
      <c r="P4016">
        <v>-0.99979750000000001</v>
      </c>
      <c r="Q4016">
        <v>2.848003E-3</v>
      </c>
      <c r="R4016">
        <v>-1.9926010000000001E-2</v>
      </c>
      <c r="S4016">
        <v>-2.9997250000000002</v>
      </c>
      <c r="T4016">
        <v>-0.198376</v>
      </c>
      <c r="U4016">
        <v>-6.3385010000000006E-2</v>
      </c>
      <c r="V4016">
        <v>-3.3443340000000002E-2</v>
      </c>
      <c r="W4016">
        <v>1.284308E-2</v>
      </c>
      <c r="X4016">
        <v>0.99935810000000003</v>
      </c>
      <c r="Y4016">
        <v>-3.4518479999999997E-2</v>
      </c>
      <c r="Z4016">
        <v>-2.031897E-3</v>
      </c>
      <c r="AA4016">
        <v>0.99940200000000001</v>
      </c>
      <c r="AB4016">
        <v>28</v>
      </c>
      <c r="AC4016">
        <v>-16.5214</v>
      </c>
      <c r="AD4016">
        <v>-1.11059372805</v>
      </c>
      <c r="AE4016">
        <v>-0.3579</v>
      </c>
      <c r="AF4016">
        <v>-0.57833895075197606</v>
      </c>
      <c r="AG4016">
        <v>-1.11059372805</v>
      </c>
      <c r="AH4016">
        <v>16.4408044242</v>
      </c>
      <c r="AI4016">
        <v>93.862137943798203</v>
      </c>
      <c r="AJ4016">
        <v>92.014665606717102</v>
      </c>
      <c r="AK4016">
        <v>16.488418495584501</v>
      </c>
      <c r="AL4016">
        <v>89.264125494390399</v>
      </c>
      <c r="AM4016">
        <v>91.916677730819202</v>
      </c>
      <c r="AN4016">
        <v>1.00000000686492</v>
      </c>
    </row>
    <row r="4017" spans="1:40" x14ac:dyDescent="0.3">
      <c r="A4017" t="str">
        <f>"20200111160537758"</f>
        <v>20200111160537758</v>
      </c>
      <c r="B4017" t="str">
        <f>"1578729937755655"</f>
        <v>1578729937755655</v>
      </c>
      <c r="C4017" t="s">
        <v>40</v>
      </c>
      <c r="D4017">
        <v>5.9104229999999998</v>
      </c>
      <c r="E4017">
        <v>0.50251880000000004</v>
      </c>
      <c r="F4017" t="s">
        <v>75</v>
      </c>
      <c r="G4017">
        <v>-307.4991</v>
      </c>
      <c r="H4017" s="1">
        <v>-9.8195509999999993E-6</v>
      </c>
      <c r="I4017">
        <v>141.9229</v>
      </c>
      <c r="J4017">
        <v>-290.64749999999998</v>
      </c>
      <c r="K4017">
        <v>1.110582</v>
      </c>
      <c r="L4017">
        <v>142.26910000000001</v>
      </c>
      <c r="M4017">
        <v>-0.99986909999999896</v>
      </c>
      <c r="N4017">
        <v>0</v>
      </c>
      <c r="O4017">
        <v>1.267566E-2</v>
      </c>
      <c r="P4017">
        <v>-0.99978080000000003</v>
      </c>
      <c r="Q4017">
        <v>3.9508420000000004E-3</v>
      </c>
      <c r="R4017">
        <v>-2.0569279999999999E-2</v>
      </c>
      <c r="S4017">
        <v>-2.9999389999999999</v>
      </c>
      <c r="T4017">
        <v>-0.19451170000000001</v>
      </c>
      <c r="U4017">
        <v>-6.0150149999999999E-2</v>
      </c>
      <c r="V4017">
        <v>-3.3262239999999998E-2</v>
      </c>
      <c r="W4017">
        <v>1.395067E-2</v>
      </c>
      <c r="X4017">
        <v>0.9993493</v>
      </c>
      <c r="Y4017">
        <v>-3.2623489999999998E-2</v>
      </c>
      <c r="Z4017">
        <v>-1.877393E-3</v>
      </c>
      <c r="AA4017">
        <v>0.99946590000000002</v>
      </c>
      <c r="AB4017">
        <v>28</v>
      </c>
      <c r="AC4017">
        <v>-16.851600000000001</v>
      </c>
      <c r="AD4017">
        <v>-1.1105918195510001</v>
      </c>
      <c r="AE4017">
        <v>-0.34620000000001</v>
      </c>
      <c r="AF4017">
        <v>-0.55736830092714496</v>
      </c>
      <c r="AG4017">
        <v>-1.1105918195510001</v>
      </c>
      <c r="AH4017">
        <v>16.773036738816899</v>
      </c>
      <c r="AI4017">
        <v>93.786107878716294</v>
      </c>
      <c r="AJ4017">
        <v>91.903239409749503</v>
      </c>
      <c r="AK4017">
        <v>16.8190022015051</v>
      </c>
      <c r="AL4017">
        <v>89.200659566570906</v>
      </c>
      <c r="AM4017">
        <v>91.906323126444093</v>
      </c>
      <c r="AN4017">
        <v>1.00000001060687</v>
      </c>
    </row>
    <row r="4018" spans="1:40" x14ac:dyDescent="0.3">
      <c r="A4018" t="str">
        <f>"20200111160537780"</f>
        <v>20200111160537780</v>
      </c>
      <c r="B4018" t="str">
        <f>"1578729937776151"</f>
        <v>1578729937776151</v>
      </c>
      <c r="C4018" t="s">
        <v>40</v>
      </c>
      <c r="D4018">
        <v>5.5685099999999998</v>
      </c>
      <c r="E4018">
        <v>0.50315319999999997</v>
      </c>
      <c r="F4018" t="s">
        <v>75</v>
      </c>
      <c r="G4018">
        <v>-308.2885</v>
      </c>
      <c r="H4018" s="1">
        <v>-9.9385869999999994E-6</v>
      </c>
      <c r="I4018">
        <v>141.9419</v>
      </c>
      <c r="J4018">
        <v>-290.9171</v>
      </c>
      <c r="K4018">
        <v>1.110573</v>
      </c>
      <c r="L4018">
        <v>142.27170000000001</v>
      </c>
      <c r="M4018">
        <v>-0.99987870000000001</v>
      </c>
      <c r="N4018">
        <v>0</v>
      </c>
      <c r="O4018">
        <v>1.188734E-2</v>
      </c>
      <c r="P4018">
        <v>-0.99976659999999995</v>
      </c>
      <c r="Q4018">
        <v>3.9632690000000002E-3</v>
      </c>
      <c r="R4018">
        <v>-2.1236499999999998E-2</v>
      </c>
      <c r="S4018">
        <v>-3.0002749999999998</v>
      </c>
      <c r="T4018">
        <v>-0.18888179999999999</v>
      </c>
      <c r="U4018">
        <v>-5.5648799999999998E-2</v>
      </c>
      <c r="V4018">
        <v>-3.3140719999999999E-2</v>
      </c>
      <c r="W4018">
        <v>1.396784E-2</v>
      </c>
      <c r="X4018">
        <v>0.99935309999999999</v>
      </c>
      <c r="Y4018">
        <v>-3.034572E-2</v>
      </c>
      <c r="Z4018">
        <v>-1.7017849999999999E-3</v>
      </c>
      <c r="AA4018">
        <v>0.99953800000000004</v>
      </c>
      <c r="AB4018">
        <v>28</v>
      </c>
      <c r="AC4018">
        <v>-17.371399999999898</v>
      </c>
      <c r="AD4018">
        <v>-1.1105829385870001</v>
      </c>
      <c r="AE4018">
        <v>-0.32980000000000498</v>
      </c>
      <c r="AF4018">
        <v>-0.53410465217467096</v>
      </c>
      <c r="AG4018">
        <v>-1.1105829385870001</v>
      </c>
      <c r="AH4018">
        <v>17.295585723476101</v>
      </c>
      <c r="AI4018">
        <v>93.672282771326095</v>
      </c>
      <c r="AJ4018">
        <v>91.768787755730898</v>
      </c>
      <c r="AK4018">
        <v>17.339433317183801</v>
      </c>
      <c r="AL4018">
        <v>89.199675704241997</v>
      </c>
      <c r="AM4018">
        <v>91.899356474504501</v>
      </c>
      <c r="AN4018">
        <v>1.00000001317799</v>
      </c>
    </row>
    <row r="4019" spans="1:40" x14ac:dyDescent="0.3">
      <c r="A4019" t="str">
        <f>"20200111160537802"</f>
        <v>20200111160537802</v>
      </c>
      <c r="B4019" t="str">
        <f>"1578729937795671"</f>
        <v>1578729937795671</v>
      </c>
      <c r="C4019" t="s">
        <v>40</v>
      </c>
      <c r="D4019">
        <v>5.5873189999999999</v>
      </c>
      <c r="E4019">
        <v>0.50369120000000001</v>
      </c>
      <c r="F4019" t="s">
        <v>75</v>
      </c>
      <c r="G4019">
        <v>-308.43810000000002</v>
      </c>
      <c r="H4019" s="1">
        <v>-9.9664240000000007E-6</v>
      </c>
      <c r="I4019">
        <v>141.9633</v>
      </c>
      <c r="J4019">
        <v>-291.20819999999998</v>
      </c>
      <c r="K4019">
        <v>1.1105590000000001</v>
      </c>
      <c r="L4019">
        <v>142.27430000000001</v>
      </c>
      <c r="M4019">
        <v>-0.99988829999999995</v>
      </c>
      <c r="N4019">
        <v>0</v>
      </c>
      <c r="O4019">
        <v>1.105682E-2</v>
      </c>
      <c r="P4019">
        <v>-0.99975539999999996</v>
      </c>
      <c r="Q4019">
        <v>3.8033839999999999E-3</v>
      </c>
      <c r="R4019">
        <v>-2.1793949999999999E-2</v>
      </c>
      <c r="S4019">
        <v>-3.0003660000000001</v>
      </c>
      <c r="T4019">
        <v>-0.19018019999999999</v>
      </c>
      <c r="U4019">
        <v>-5.2810669999999997E-2</v>
      </c>
      <c r="V4019">
        <v>-3.2867260000000002E-2</v>
      </c>
      <c r="W4019">
        <v>1.381336E-2</v>
      </c>
      <c r="X4019">
        <v>0.99936429999999998</v>
      </c>
      <c r="Y4019">
        <v>-2.857376E-2</v>
      </c>
      <c r="Z4019">
        <v>-1.604734E-3</v>
      </c>
      <c r="AA4019">
        <v>0.99959039999999999</v>
      </c>
      <c r="AB4019">
        <v>28</v>
      </c>
      <c r="AC4019">
        <v>-17.229900000000001</v>
      </c>
      <c r="AD4019">
        <v>-1.1105689664239999</v>
      </c>
      <c r="AE4019">
        <v>-0.31100000000000699</v>
      </c>
      <c r="AF4019">
        <v>-0.49942430925287401</v>
      </c>
      <c r="AG4019">
        <v>-1.1105689664239999</v>
      </c>
      <c r="AH4019">
        <v>17.154162938229</v>
      </c>
      <c r="AI4019">
        <v>93.702623121297194</v>
      </c>
      <c r="AJ4019">
        <v>91.667631611065303</v>
      </c>
      <c r="AK4019">
        <v>17.197328111691299</v>
      </c>
      <c r="AL4019">
        <v>89.208527627373599</v>
      </c>
      <c r="AM4019">
        <v>91.883674214105199</v>
      </c>
      <c r="AN4019">
        <v>1.00000003490444</v>
      </c>
    </row>
    <row r="4020" spans="1:40" x14ac:dyDescent="0.3">
      <c r="A4020" t="str">
        <f>"20200111160537816"</f>
        <v>20200111160537816</v>
      </c>
      <c r="B4020" t="str">
        <f>"1578729937805431"</f>
        <v>1578729937805431</v>
      </c>
      <c r="C4020" t="s">
        <v>40</v>
      </c>
      <c r="D4020">
        <v>5.7156000000000002</v>
      </c>
      <c r="E4020">
        <v>0.50392139999999996</v>
      </c>
      <c r="F4020" t="s">
        <v>75</v>
      </c>
      <c r="G4020">
        <v>-308.76589999999999</v>
      </c>
      <c r="H4020" s="1">
        <v>-1.0018740000000001E-5</v>
      </c>
      <c r="I4020">
        <v>141.98099999999999</v>
      </c>
      <c r="J4020">
        <v>-291.38010000000003</v>
      </c>
      <c r="K4020">
        <v>1.110552</v>
      </c>
      <c r="L4020">
        <v>142.2757</v>
      </c>
      <c r="M4020">
        <v>-0.99989340000000004</v>
      </c>
      <c r="N4020">
        <v>0</v>
      </c>
      <c r="O4020">
        <v>1.058125E-2</v>
      </c>
      <c r="P4020">
        <v>-0.99974640000000004</v>
      </c>
      <c r="Q4020">
        <v>4.0318849999999998E-3</v>
      </c>
      <c r="R4020">
        <v>-2.2166060000000001E-2</v>
      </c>
      <c r="S4020">
        <v>-3.000397</v>
      </c>
      <c r="T4020">
        <v>-0.18978339999999999</v>
      </c>
      <c r="U4020">
        <v>-5.0125120000000002E-2</v>
      </c>
      <c r="V4020">
        <v>-3.2763750000000001E-2</v>
      </c>
      <c r="W4020">
        <v>1.404508E-2</v>
      </c>
      <c r="X4020">
        <v>0.99936440000000004</v>
      </c>
      <c r="Y4020">
        <v>-2.7207700000000001E-2</v>
      </c>
      <c r="Z4020">
        <v>-1.5281800000000001E-3</v>
      </c>
      <c r="AA4020">
        <v>0.99962870000000004</v>
      </c>
      <c r="AB4020">
        <v>28</v>
      </c>
      <c r="AC4020">
        <v>-17.3857999999999</v>
      </c>
      <c r="AD4020">
        <v>-1.11056201874</v>
      </c>
      <c r="AE4020">
        <v>-0.29470000000000601</v>
      </c>
      <c r="AF4020">
        <v>-0.47671172119558203</v>
      </c>
      <c r="AG4020">
        <v>-1.11056201874</v>
      </c>
      <c r="AH4020">
        <v>17.3110932957728</v>
      </c>
      <c r="AI4020">
        <v>93.669290143563003</v>
      </c>
      <c r="AJ4020">
        <v>91.577408661523094</v>
      </c>
      <c r="AK4020">
        <v>17.3532288971691</v>
      </c>
      <c r="AL4020">
        <v>89.195249705983301</v>
      </c>
      <c r="AM4020">
        <v>91.877745959484599</v>
      </c>
      <c r="AN4020">
        <v>0.99999996578681305</v>
      </c>
    </row>
    <row r="4021" spans="1:40" x14ac:dyDescent="0.3">
      <c r="A4021" t="str">
        <f>"20200111160537835"</f>
        <v>20200111160537835</v>
      </c>
      <c r="B4021" t="str">
        <f>"1578729937825926"</f>
        <v>1578729937825926</v>
      </c>
      <c r="C4021" t="s">
        <v>40</v>
      </c>
      <c r="D4021">
        <v>5.6581849999999996</v>
      </c>
      <c r="E4021">
        <v>0.50445180000000001</v>
      </c>
      <c r="F4021" t="s">
        <v>75</v>
      </c>
      <c r="G4021">
        <v>-308.98880000000003</v>
      </c>
      <c r="H4021" s="1">
        <v>-1.0052280000000001E-5</v>
      </c>
      <c r="I4021">
        <v>141.98609999999999</v>
      </c>
      <c r="J4021">
        <v>-291.62259999999998</v>
      </c>
      <c r="K4021">
        <v>1.1105370000000001</v>
      </c>
      <c r="L4021">
        <v>142.2775</v>
      </c>
      <c r="M4021">
        <v>-0.99990020000000002</v>
      </c>
      <c r="N4021">
        <v>0</v>
      </c>
      <c r="O4021">
        <v>9.9250280000000007E-3</v>
      </c>
      <c r="P4021">
        <v>-0.99975290000000006</v>
      </c>
      <c r="Q4021">
        <v>4.0174980000000004E-3</v>
      </c>
      <c r="R4021">
        <v>-2.1873210000000001E-2</v>
      </c>
      <c r="S4021">
        <v>-3.000397</v>
      </c>
      <c r="T4021">
        <v>-0.1892316</v>
      </c>
      <c r="U4021">
        <v>-4.9346920000000002E-2</v>
      </c>
      <c r="V4021">
        <v>-3.1814960000000003E-2</v>
      </c>
      <c r="W4021">
        <v>1.40365E-2</v>
      </c>
      <c r="X4021">
        <v>0.99939520000000004</v>
      </c>
      <c r="Y4021">
        <v>-2.6296E-2</v>
      </c>
      <c r="Z4021">
        <v>-1.4536849999999999E-3</v>
      </c>
      <c r="AA4021">
        <v>0.99965320000000002</v>
      </c>
      <c r="AB4021">
        <v>28</v>
      </c>
      <c r="AC4021">
        <v>-17.366199999999999</v>
      </c>
      <c r="AD4021">
        <v>-1.1105470522799901</v>
      </c>
      <c r="AE4021">
        <v>-0.29140000000000998</v>
      </c>
      <c r="AF4021">
        <v>-0.46186613484132899</v>
      </c>
      <c r="AG4021">
        <v>-1.1105470522799901</v>
      </c>
      <c r="AH4021">
        <v>17.291758470008599</v>
      </c>
      <c r="AI4021">
        <v>93.673414561436203</v>
      </c>
      <c r="AJ4021">
        <v>91.530017306598594</v>
      </c>
      <c r="AK4021">
        <v>17.333538186618298</v>
      </c>
      <c r="AL4021">
        <v>89.195741372047905</v>
      </c>
      <c r="AM4021">
        <v>91.823350296274498</v>
      </c>
      <c r="AN4021">
        <v>0.99999999039754495</v>
      </c>
    </row>
    <row r="4022" spans="1:40" x14ac:dyDescent="0.3">
      <c r="A4022" t="str">
        <f>"20200111160537858"</f>
        <v>20200111160537858</v>
      </c>
      <c r="B4022" t="str">
        <f>"1578729937856184"</f>
        <v>1578729937856184</v>
      </c>
      <c r="C4022" t="s">
        <v>40</v>
      </c>
      <c r="D4022">
        <v>7.8529789999999897</v>
      </c>
      <c r="E4022">
        <v>0.50504599999999999</v>
      </c>
      <c r="F4022" t="s">
        <v>75</v>
      </c>
      <c r="G4022">
        <v>-309.2079</v>
      </c>
      <c r="H4022" s="1">
        <v>-1.009368E-5</v>
      </c>
      <c r="I4022">
        <v>142.01949999999999</v>
      </c>
      <c r="J4022">
        <v>-291.90010000000001</v>
      </c>
      <c r="K4022">
        <v>1.110519</v>
      </c>
      <c r="L4022">
        <v>142.27950000000001</v>
      </c>
      <c r="M4022">
        <v>-0.99990699999999999</v>
      </c>
      <c r="N4022">
        <v>0</v>
      </c>
      <c r="O4022">
        <v>9.2008039999999999E-3</v>
      </c>
      <c r="P4022">
        <v>-0.99976310000000002</v>
      </c>
      <c r="Q4022">
        <v>3.778946E-3</v>
      </c>
      <c r="R4022">
        <v>-2.1431740000000001E-2</v>
      </c>
      <c r="S4022">
        <v>-3.0005799999999998</v>
      </c>
      <c r="T4022">
        <v>-0.18949279999999999</v>
      </c>
      <c r="U4022">
        <v>-4.4036869999999999E-2</v>
      </c>
      <c r="V4022">
        <v>-3.0648439999999999E-2</v>
      </c>
      <c r="W4022">
        <v>1.3804779999999999E-2</v>
      </c>
      <c r="X4022">
        <v>0.99943490000000001</v>
      </c>
      <c r="Y4022">
        <v>-2.3808449999999998E-2</v>
      </c>
      <c r="Z4022">
        <v>-1.3314609999999999E-3</v>
      </c>
      <c r="AA4022">
        <v>0.99971560000000004</v>
      </c>
      <c r="AB4022">
        <v>28</v>
      </c>
      <c r="AC4022">
        <v>-17.307799999999901</v>
      </c>
      <c r="AD4022">
        <v>-1.1105290936799901</v>
      </c>
      <c r="AE4022">
        <v>-0.26000000000001899</v>
      </c>
      <c r="AF4022">
        <v>-0.41752419769730698</v>
      </c>
      <c r="AG4022">
        <v>-1.1105290936799901</v>
      </c>
      <c r="AH4022">
        <v>17.233740455199399</v>
      </c>
      <c r="AI4022">
        <v>93.685920072660593</v>
      </c>
      <c r="AJ4022">
        <v>91.387841231363893</v>
      </c>
      <c r="AK4022">
        <v>17.274530714342099</v>
      </c>
      <c r="AL4022">
        <v>89.209019251596303</v>
      </c>
      <c r="AM4022">
        <v>91.756468702001897</v>
      </c>
      <c r="AN4022">
        <v>1.0000000090816401</v>
      </c>
    </row>
    <row r="4023" spans="1:40" x14ac:dyDescent="0.3">
      <c r="A4023" t="str">
        <f>"20200111160537871"</f>
        <v>20200111160537871</v>
      </c>
      <c r="B4023" t="str">
        <f>"1578729937865943"</f>
        <v>1578729937865943</v>
      </c>
      <c r="C4023" t="s">
        <v>40</v>
      </c>
      <c r="D4023">
        <v>5.6699789999999997</v>
      </c>
      <c r="E4023">
        <v>0.50529799999999903</v>
      </c>
      <c r="F4023" t="s">
        <v>75</v>
      </c>
      <c r="G4023">
        <v>-309.42270000000002</v>
      </c>
      <c r="H4023" s="1">
        <v>-1.013609E-5</v>
      </c>
      <c r="I4023">
        <v>142.0583</v>
      </c>
      <c r="J4023">
        <v>-292.07769999999999</v>
      </c>
      <c r="K4023">
        <v>1.1105069999999999</v>
      </c>
      <c r="L4023">
        <v>142.2807</v>
      </c>
      <c r="M4023">
        <v>-0.99991099999999999</v>
      </c>
      <c r="N4023">
        <v>0</v>
      </c>
      <c r="O4023">
        <v>8.7554580000000007E-3</v>
      </c>
      <c r="P4023">
        <v>-0.99976410000000004</v>
      </c>
      <c r="Q4023">
        <v>3.8852510000000002E-3</v>
      </c>
      <c r="R4023">
        <v>-2.1373329999999999E-2</v>
      </c>
      <c r="S4023">
        <v>-3.0005489999999999</v>
      </c>
      <c r="T4023">
        <v>-0.190165</v>
      </c>
      <c r="U4023">
        <v>-3.7872309999999999E-2</v>
      </c>
      <c r="V4023">
        <v>-3.014418E-2</v>
      </c>
      <c r="W4023">
        <v>1.3914920000000001E-2</v>
      </c>
      <c r="X4023">
        <v>0.99944869999999997</v>
      </c>
      <c r="Y4023">
        <v>-2.1315190000000001E-2</v>
      </c>
      <c r="Z4023">
        <v>-1.229085E-3</v>
      </c>
      <c r="AA4023">
        <v>0.99977210000000005</v>
      </c>
      <c r="AB4023">
        <v>28</v>
      </c>
      <c r="AC4023">
        <v>-17.344999999999999</v>
      </c>
      <c r="AD4023">
        <v>-1.1105171360899999</v>
      </c>
      <c r="AE4023">
        <v>-0.22239999999999299</v>
      </c>
      <c r="AF4023">
        <v>-0.37273491496207101</v>
      </c>
      <c r="AG4023">
        <v>-1.1105171360899999</v>
      </c>
      <c r="AH4023">
        <v>17.271599230559399</v>
      </c>
      <c r="AI4023">
        <v>93.678045561677095</v>
      </c>
      <c r="AJ4023">
        <v>91.236296809650199</v>
      </c>
      <c r="AK4023">
        <v>17.3112772379002</v>
      </c>
      <c r="AL4023">
        <v>89.202708081258294</v>
      </c>
      <c r="AM4023">
        <v>91.727563272269407</v>
      </c>
      <c r="AN4023">
        <v>1.0000000002590801</v>
      </c>
    </row>
    <row r="4024" spans="1:40" x14ac:dyDescent="0.3">
      <c r="A4024" t="str">
        <f>"20200111160537892"</f>
        <v>20200111160537892</v>
      </c>
      <c r="B4024" t="str">
        <f>"1578729937885463"</f>
        <v>1578729937885463</v>
      </c>
      <c r="C4024" t="s">
        <v>40</v>
      </c>
      <c r="D4024">
        <v>6.0934629999999999</v>
      </c>
      <c r="E4024">
        <v>0.50518039999999997</v>
      </c>
      <c r="F4024" t="s">
        <v>75</v>
      </c>
      <c r="G4024">
        <v>-309.55650000000003</v>
      </c>
      <c r="H4024" s="1">
        <v>-1.0159630000000001E-5</v>
      </c>
      <c r="I4024">
        <v>142.0729</v>
      </c>
      <c r="J4024">
        <v>-292.32940000000002</v>
      </c>
      <c r="K4024">
        <v>1.110484</v>
      </c>
      <c r="L4024">
        <v>142.28219999999999</v>
      </c>
      <c r="M4024">
        <v>-0.99991600000000003</v>
      </c>
      <c r="N4024">
        <v>0</v>
      </c>
      <c r="O4024">
        <v>8.1548039999999999E-3</v>
      </c>
      <c r="P4024">
        <v>-0.99977990000000005</v>
      </c>
      <c r="Q4024">
        <v>3.8080100000000001E-3</v>
      </c>
      <c r="R4024">
        <v>-2.063535E-2</v>
      </c>
      <c r="S4024">
        <v>-3.0006409999999999</v>
      </c>
      <c r="T4024">
        <v>-0.19064519999999999</v>
      </c>
      <c r="U4024">
        <v>-3.567505E-2</v>
      </c>
      <c r="V4024">
        <v>-2.8805009999999999E-2</v>
      </c>
      <c r="W4024">
        <v>1.3844830000000001E-2</v>
      </c>
      <c r="X4024">
        <v>0.99948919999999997</v>
      </c>
      <c r="Y4024">
        <v>-1.9985820000000001E-2</v>
      </c>
      <c r="Z4024">
        <v>-1.1518380000000001E-3</v>
      </c>
      <c r="AA4024">
        <v>0.99979960000000001</v>
      </c>
      <c r="AB4024">
        <v>28</v>
      </c>
      <c r="AC4024">
        <v>-17.2271</v>
      </c>
      <c r="AD4024">
        <v>-1.11049415963</v>
      </c>
      <c r="AE4024">
        <v>-0.209299999999984</v>
      </c>
      <c r="AF4024">
        <v>-0.348336544759066</v>
      </c>
      <c r="AG4024">
        <v>-1.11049415963</v>
      </c>
      <c r="AH4024">
        <v>17.153551647879201</v>
      </c>
      <c r="AI4024">
        <v>93.703309071247006</v>
      </c>
      <c r="AJ4024">
        <v>91.1633434022975</v>
      </c>
      <c r="AK4024">
        <v>17.1929889711896</v>
      </c>
      <c r="AL4024">
        <v>89.206724356428694</v>
      </c>
      <c r="AM4024">
        <v>91.650792024409498</v>
      </c>
      <c r="AN4024">
        <v>1.00000003441773</v>
      </c>
    </row>
    <row r="4025" spans="1:40" x14ac:dyDescent="0.3">
      <c r="A4025" t="str">
        <f>"20200111160537914"</f>
        <v>20200111160537914</v>
      </c>
      <c r="B4025" t="str">
        <f>"1578729937905959"</f>
        <v>1578729937905959</v>
      </c>
      <c r="C4025" t="s">
        <v>40</v>
      </c>
      <c r="D4025">
        <v>5.7653610000000004</v>
      </c>
      <c r="E4025">
        <v>0.50476809999999905</v>
      </c>
      <c r="F4025" t="s">
        <v>75</v>
      </c>
      <c r="G4025">
        <v>-309.88690000000003</v>
      </c>
      <c r="H4025" s="1">
        <v>-1.020973E-5</v>
      </c>
      <c r="I4025">
        <v>142.08179999999999</v>
      </c>
      <c r="J4025">
        <v>-292.61790000000002</v>
      </c>
      <c r="K4025">
        <v>1.110449</v>
      </c>
      <c r="L4025">
        <v>142.28389999999999</v>
      </c>
      <c r="M4025">
        <v>-0.99992099999999995</v>
      </c>
      <c r="N4025">
        <v>0</v>
      </c>
      <c r="O4025">
        <v>7.521415E-3</v>
      </c>
      <c r="P4025">
        <v>-0.99978279999999997</v>
      </c>
      <c r="Q4025">
        <v>4.7860180000000004E-3</v>
      </c>
      <c r="R4025">
        <v>-2.0282399999999999E-2</v>
      </c>
      <c r="S4025">
        <v>-3.0006409999999999</v>
      </c>
      <c r="T4025">
        <v>-0.18978739999999999</v>
      </c>
      <c r="U4025">
        <v>-3.4255979999999998E-2</v>
      </c>
      <c r="V4025">
        <v>-2.7819010000000002E-2</v>
      </c>
      <c r="W4025">
        <v>1.4830350000000001E-2</v>
      </c>
      <c r="X4025">
        <v>0.99950300000000003</v>
      </c>
      <c r="Y4025">
        <v>-1.88837E-2</v>
      </c>
      <c r="Z4025">
        <v>-1.0718289999999901E-3</v>
      </c>
      <c r="AA4025">
        <v>0.99982110000000002</v>
      </c>
      <c r="AB4025">
        <v>28</v>
      </c>
      <c r="AC4025">
        <v>-17.268999999999998</v>
      </c>
      <c r="AD4025">
        <v>-1.1104592097299999</v>
      </c>
      <c r="AE4025">
        <v>-0.202100000000001</v>
      </c>
      <c r="AF4025">
        <v>-0.33062126860421498</v>
      </c>
      <c r="AG4025">
        <v>-1.1104592097299999</v>
      </c>
      <c r="AH4025">
        <v>17.1958967892242</v>
      </c>
      <c r="AI4025">
        <v>93.694177589538896</v>
      </c>
      <c r="AJ4025">
        <v>91.101476115244395</v>
      </c>
      <c r="AK4025">
        <v>17.234886029950399</v>
      </c>
      <c r="AL4025">
        <v>89.150252421068799</v>
      </c>
      <c r="AM4025">
        <v>91.594292834251704</v>
      </c>
      <c r="AN4025">
        <v>1.00000004180375</v>
      </c>
    </row>
    <row r="4026" spans="1:40" x14ac:dyDescent="0.3">
      <c r="A4026" t="str">
        <f>"20200111160537937"</f>
        <v>20200111160537937</v>
      </c>
      <c r="B4026" t="str">
        <f>"1578729937925478"</f>
        <v>1578729937925478</v>
      </c>
      <c r="C4026" t="s">
        <v>40</v>
      </c>
      <c r="D4026">
        <v>5.7462949999999999</v>
      </c>
      <c r="E4026">
        <v>0.46041100000000001</v>
      </c>
      <c r="F4026" t="s">
        <v>75</v>
      </c>
      <c r="G4026">
        <v>-310.34309999999999</v>
      </c>
      <c r="H4026" s="1">
        <v>-1.004506E-5</v>
      </c>
      <c r="I4026">
        <v>142.0685</v>
      </c>
      <c r="J4026">
        <v>-292.89760000000001</v>
      </c>
      <c r="K4026">
        <v>1.1104039999999999</v>
      </c>
      <c r="L4026">
        <v>142.28540000000001</v>
      </c>
      <c r="M4026">
        <v>-0.99992479999999995</v>
      </c>
      <c r="N4026">
        <v>0</v>
      </c>
      <c r="O4026">
        <v>6.9748120000000004E-3</v>
      </c>
      <c r="P4026">
        <v>-0.99978239999999996</v>
      </c>
      <c r="Q4026">
        <v>5.285161E-3</v>
      </c>
      <c r="R4026">
        <v>-2.0175820000000001E-2</v>
      </c>
      <c r="S4026">
        <v>-3.0007929999999998</v>
      </c>
      <c r="T4026">
        <v>-0.18799479999999999</v>
      </c>
      <c r="U4026">
        <v>-3.645325E-2</v>
      </c>
      <c r="V4026">
        <v>-2.7164899999999999E-2</v>
      </c>
      <c r="W4026">
        <v>1.533669E-2</v>
      </c>
      <c r="X4026">
        <v>0.99951330000000005</v>
      </c>
      <c r="Y4026">
        <v>-1.907027E-2</v>
      </c>
      <c r="Z4026">
        <v>-1.0332939999999999E-3</v>
      </c>
      <c r="AA4026">
        <v>0.99981759999999997</v>
      </c>
      <c r="AB4026">
        <v>28</v>
      </c>
      <c r="AC4026">
        <v>-17.4454999999999</v>
      </c>
      <c r="AD4026">
        <v>-1.11041404506</v>
      </c>
      <c r="AE4026">
        <v>-0.216900000000009</v>
      </c>
      <c r="AF4026">
        <v>-0.33721402571234699</v>
      </c>
      <c r="AG4026">
        <v>-1.11041404506</v>
      </c>
      <c r="AH4026">
        <v>17.3731881735395</v>
      </c>
      <c r="AI4026">
        <v>93.6564205136021</v>
      </c>
      <c r="AJ4026">
        <v>91.111972911307205</v>
      </c>
      <c r="AK4026">
        <v>17.411903972966801</v>
      </c>
      <c r="AL4026">
        <v>89.121237931882206</v>
      </c>
      <c r="AM4026">
        <v>91.556808769130299</v>
      </c>
      <c r="AN4026">
        <v>0.999999991364528</v>
      </c>
    </row>
    <row r="4027" spans="1:40" x14ac:dyDescent="0.3">
      <c r="A4027" t="str">
        <f>"20200111160537959"</f>
        <v>20200111160537959</v>
      </c>
      <c r="B4027" t="str">
        <f>"1578729937955735"</f>
        <v>1578729937955735</v>
      </c>
      <c r="C4027" t="s">
        <v>40</v>
      </c>
      <c r="D4027">
        <v>5.686331</v>
      </c>
      <c r="E4027">
        <v>0.46413939999999998</v>
      </c>
      <c r="F4027" t="s">
        <v>75</v>
      </c>
      <c r="G4027">
        <v>-308.79079999999999</v>
      </c>
      <c r="H4027" s="1">
        <v>-9.4938250000000005E-6</v>
      </c>
      <c r="I4027">
        <v>140.2045</v>
      </c>
      <c r="J4027">
        <v>-293.17759999999998</v>
      </c>
      <c r="K4027">
        <v>1.1103529999999999</v>
      </c>
      <c r="L4027">
        <v>142.2868</v>
      </c>
      <c r="M4027">
        <v>-0.99992809999999999</v>
      </c>
      <c r="N4027">
        <v>0</v>
      </c>
      <c r="O4027">
        <v>6.5093089999999996E-3</v>
      </c>
      <c r="P4027">
        <v>-0.99976069999999995</v>
      </c>
      <c r="Q4027">
        <v>6.6065169999999897E-3</v>
      </c>
      <c r="R4027">
        <v>-2.0863699999999999E-2</v>
      </c>
      <c r="S4027">
        <v>-2.9938349999999998</v>
      </c>
      <c r="T4027">
        <v>-0.20917069999999999</v>
      </c>
      <c r="U4027">
        <v>-0.39198300000000003</v>
      </c>
      <c r="V4027">
        <v>-2.7385940000000001E-2</v>
      </c>
      <c r="W4027">
        <v>1.6664040000000001E-2</v>
      </c>
      <c r="X4027">
        <v>0.99948599999999999</v>
      </c>
      <c r="Y4027">
        <v>-0.13593239999999901</v>
      </c>
      <c r="Z4027">
        <v>-5.1751180000000003E-3</v>
      </c>
      <c r="AA4027">
        <v>0.99070460000000005</v>
      </c>
      <c r="AB4027">
        <v>28</v>
      </c>
      <c r="AC4027">
        <v>-15.613200000000001</v>
      </c>
      <c r="AD4027">
        <v>-1.1103624938249901</v>
      </c>
      <c r="AE4027">
        <v>-2.0823</v>
      </c>
      <c r="AF4027">
        <v>-2.1730935830278799</v>
      </c>
      <c r="AG4027">
        <v>-1.1103624938249901</v>
      </c>
      <c r="AH4027">
        <v>15.5221809292459</v>
      </c>
      <c r="AI4027">
        <v>94.052237070182898</v>
      </c>
      <c r="AJ4027">
        <v>97.969567866852103</v>
      </c>
      <c r="AK4027">
        <v>15.712840016640399</v>
      </c>
      <c r="AL4027">
        <v>89.045176617359502</v>
      </c>
      <c r="AM4027">
        <v>91.569513013597998</v>
      </c>
      <c r="AN4027">
        <v>0.99999997206740199</v>
      </c>
    </row>
    <row r="4028" spans="1:40" x14ac:dyDescent="0.3">
      <c r="A4028" t="str">
        <f>"20200111160537981"</f>
        <v>20200111160537981</v>
      </c>
      <c r="B4028" t="str">
        <f>"1578729937976231"</f>
        <v>1578729937976231</v>
      </c>
      <c r="C4028" t="s">
        <v>40</v>
      </c>
      <c r="D4028">
        <v>5.6743290000000002</v>
      </c>
      <c r="E4028">
        <v>0.46490670000000001</v>
      </c>
      <c r="F4028" t="s">
        <v>75</v>
      </c>
      <c r="G4028">
        <v>-309.70870000000002</v>
      </c>
      <c r="H4028" s="1">
        <v>-9.6475659999999992E-6</v>
      </c>
      <c r="I4028">
        <v>140.27809999999999</v>
      </c>
      <c r="J4028">
        <v>-293.45370000000003</v>
      </c>
      <c r="K4028">
        <v>1.1102909999999999</v>
      </c>
      <c r="L4028">
        <v>142.28809999999999</v>
      </c>
      <c r="M4028">
        <v>-0.99993030000000005</v>
      </c>
      <c r="N4028">
        <v>0</v>
      </c>
      <c r="O4028">
        <v>6.1469360000000004E-3</v>
      </c>
      <c r="P4028">
        <v>-0.99972209999999995</v>
      </c>
      <c r="Q4028">
        <v>8.7940819999999999E-3</v>
      </c>
      <c r="R4028">
        <v>-2.187965E-2</v>
      </c>
      <c r="S4028">
        <v>-2.9944760000000001</v>
      </c>
      <c r="T4028">
        <v>-0.2011329</v>
      </c>
      <c r="U4028">
        <v>-0.3638458</v>
      </c>
      <c r="V4028">
        <v>-2.8038250000000001E-2</v>
      </c>
      <c r="W4028">
        <v>1.8858570000000002E-2</v>
      </c>
      <c r="X4028">
        <v>0.99942889999999995</v>
      </c>
      <c r="Y4028">
        <v>-0.12642419999999999</v>
      </c>
      <c r="Z4028">
        <v>-4.6365260000000002E-3</v>
      </c>
      <c r="AA4028">
        <v>0.9919654</v>
      </c>
      <c r="AB4028">
        <v>28</v>
      </c>
      <c r="AC4028">
        <v>-16.2549999999999</v>
      </c>
      <c r="AD4028">
        <v>-1.110300647566</v>
      </c>
      <c r="AE4028">
        <v>-2.00999999999999</v>
      </c>
      <c r="AF4028">
        <v>-2.1002342680559298</v>
      </c>
      <c r="AG4028">
        <v>-1.110300647566</v>
      </c>
      <c r="AH4028">
        <v>16.168039378957399</v>
      </c>
      <c r="AI4028">
        <v>93.895850186165006</v>
      </c>
      <c r="AJ4028">
        <v>97.401298444208805</v>
      </c>
      <c r="AK4028">
        <v>16.341641559776701</v>
      </c>
      <c r="AL4028">
        <v>88.919419428484701</v>
      </c>
      <c r="AM4028">
        <v>91.606969875239102</v>
      </c>
      <c r="AN4028">
        <v>0.99999995764035698</v>
      </c>
    </row>
    <row r="4029" spans="1:40" x14ac:dyDescent="0.3">
      <c r="A4029" t="str">
        <f>"20200111160538006"</f>
        <v>20200111160538006</v>
      </c>
      <c r="B4029" t="str">
        <f>"1578729937995750"</f>
        <v>1578729937995750</v>
      </c>
      <c r="C4029" t="s">
        <v>40</v>
      </c>
      <c r="D4029">
        <v>5.6843019999999997</v>
      </c>
      <c r="E4029">
        <v>0.46442270000000002</v>
      </c>
      <c r="F4029" t="s">
        <v>75</v>
      </c>
      <c r="G4029">
        <v>-309.95940000000002</v>
      </c>
      <c r="H4029" s="1">
        <v>-9.688498E-6</v>
      </c>
      <c r="I4029">
        <v>140.2979</v>
      </c>
      <c r="J4029">
        <v>-293.76920000000001</v>
      </c>
      <c r="K4029">
        <v>1.1102080000000001</v>
      </c>
      <c r="L4029">
        <v>142.28970000000001</v>
      </c>
      <c r="M4029">
        <v>-0.99993200000000004</v>
      </c>
      <c r="N4029">
        <v>0</v>
      </c>
      <c r="O4029">
        <v>5.8640280000000003E-3</v>
      </c>
      <c r="P4029">
        <v>-0.99967289999999998</v>
      </c>
      <c r="Q4029">
        <v>1.0691910000000001E-2</v>
      </c>
      <c r="R4029">
        <v>-2.3233589999999998E-2</v>
      </c>
      <c r="S4029">
        <v>-2.994659</v>
      </c>
      <c r="T4029">
        <v>-0.2014436</v>
      </c>
      <c r="U4029">
        <v>-0.36108400000000002</v>
      </c>
      <c r="V4029">
        <v>-2.910606E-2</v>
      </c>
      <c r="W4029">
        <v>2.0765539999999999E-2</v>
      </c>
      <c r="X4029">
        <v>0.99936060000000004</v>
      </c>
      <c r="Y4029">
        <v>-0.12523699999999999</v>
      </c>
      <c r="Z4029">
        <v>-4.5849599999999999E-3</v>
      </c>
      <c r="AA4029">
        <v>0.99211629999999995</v>
      </c>
      <c r="AB4029">
        <v>28</v>
      </c>
      <c r="AC4029">
        <v>-16.190200000000001</v>
      </c>
      <c r="AD4029">
        <v>-1.110217688498</v>
      </c>
      <c r="AE4029">
        <v>-1.99180000000001</v>
      </c>
      <c r="AF4029">
        <v>-2.07708885406426</v>
      </c>
      <c r="AG4029">
        <v>-1.110217688498</v>
      </c>
      <c r="AH4029">
        <v>16.1036456152714</v>
      </c>
      <c r="AI4029">
        <v>93.911544564989001</v>
      </c>
      <c r="AJ4029">
        <v>97.349576445879194</v>
      </c>
      <c r="AK4029">
        <v>16.2749587872222</v>
      </c>
      <c r="AL4029">
        <v>88.810136662842794</v>
      </c>
      <c r="AM4029">
        <v>91.668249787326602</v>
      </c>
      <c r="AN4029">
        <v>0.999999989606287</v>
      </c>
    </row>
    <row r="4030" spans="1:40" x14ac:dyDescent="0.3">
      <c r="A4030" t="str">
        <f>"20200111160538026"</f>
        <v>20200111160538026</v>
      </c>
      <c r="B4030" t="str">
        <f>"1578729938015270"</f>
        <v>1578729938015270</v>
      </c>
      <c r="C4030" t="s">
        <v>40</v>
      </c>
      <c r="D4030">
        <v>5.732259</v>
      </c>
      <c r="E4030">
        <v>0.46427000000000002</v>
      </c>
      <c r="F4030" t="s">
        <v>75</v>
      </c>
      <c r="G4030">
        <v>-310.50740000000002</v>
      </c>
      <c r="H4030" s="1">
        <v>-9.4405629999999995E-6</v>
      </c>
      <c r="I4030">
        <v>140.22640000000001</v>
      </c>
      <c r="J4030">
        <v>-294.03309999999999</v>
      </c>
      <c r="K4030">
        <v>1.1101369999999999</v>
      </c>
      <c r="L4030">
        <v>142.2911</v>
      </c>
      <c r="M4030">
        <v>-0.99993259999999995</v>
      </c>
      <c r="N4030">
        <v>0</v>
      </c>
      <c r="O4030">
        <v>5.728655E-3</v>
      </c>
      <c r="P4030">
        <v>-0.99960959999999999</v>
      </c>
      <c r="Q4030">
        <v>1.208161E-2</v>
      </c>
      <c r="R4030">
        <v>-2.5193119999999999E-2</v>
      </c>
      <c r="S4030">
        <v>-2.9945369999999998</v>
      </c>
      <c r="T4030">
        <v>-0.1986222</v>
      </c>
      <c r="U4030">
        <v>-0.36914059999999999</v>
      </c>
      <c r="V4030">
        <v>-3.09264E-2</v>
      </c>
      <c r="W4030">
        <v>2.2161409999999999E-2</v>
      </c>
      <c r="X4030">
        <v>0.99927600000000005</v>
      </c>
      <c r="Y4030">
        <v>-0.1277402</v>
      </c>
      <c r="Z4030">
        <v>-4.5940140000000004E-3</v>
      </c>
      <c r="AA4030">
        <v>0.99179700000000004</v>
      </c>
      <c r="AB4030">
        <v>28</v>
      </c>
      <c r="AC4030">
        <v>-16.474299999999999</v>
      </c>
      <c r="AD4030">
        <v>-1.1101464405629999</v>
      </c>
      <c r="AE4030">
        <v>-2.0646999999999802</v>
      </c>
      <c r="AF4030">
        <v>-2.1494369670025599</v>
      </c>
      <c r="AG4030">
        <v>-1.1101464405629999</v>
      </c>
      <c r="AH4030">
        <v>16.388930672460699</v>
      </c>
      <c r="AI4030">
        <v>93.842352559553305</v>
      </c>
      <c r="AJ4030">
        <v>97.471796356191703</v>
      </c>
      <c r="AK4030">
        <v>16.5665190363375</v>
      </c>
      <c r="AL4030">
        <v>88.730140840552195</v>
      </c>
      <c r="AM4030">
        <v>91.772670191466602</v>
      </c>
      <c r="AN4030">
        <v>1.0000000472430699</v>
      </c>
    </row>
    <row r="4031" spans="1:40" x14ac:dyDescent="0.3">
      <c r="A4031" t="str">
        <f>"20200111160538047"</f>
        <v>20200111160538047</v>
      </c>
      <c r="B4031" t="str">
        <f>"1578729938035767"</f>
        <v>1578729938035767</v>
      </c>
      <c r="C4031" t="s">
        <v>40</v>
      </c>
      <c r="D4031">
        <v>5.7372399999999999</v>
      </c>
      <c r="E4031">
        <v>0.46396199999999999</v>
      </c>
      <c r="F4031" t="s">
        <v>75</v>
      </c>
      <c r="G4031">
        <v>-310.91840000000002</v>
      </c>
      <c r="H4031" s="1">
        <v>-9.2707540000000002E-6</v>
      </c>
      <c r="I4031">
        <v>140.16909999999999</v>
      </c>
      <c r="J4031">
        <v>-294.29759999999999</v>
      </c>
      <c r="K4031">
        <v>1.1100669999999999</v>
      </c>
      <c r="L4031">
        <v>142.29249999999999</v>
      </c>
      <c r="M4031">
        <v>-0.99993310000000002</v>
      </c>
      <c r="N4031">
        <v>0</v>
      </c>
      <c r="O4031">
        <v>5.6632119999999999E-3</v>
      </c>
      <c r="P4031">
        <v>-0.99952609999999997</v>
      </c>
      <c r="Q4031">
        <v>1.2978689999999999E-2</v>
      </c>
      <c r="R4031">
        <v>-2.792004E-2</v>
      </c>
      <c r="S4031">
        <v>-2.9940799999999999</v>
      </c>
      <c r="T4031">
        <v>-0.19684989999999999</v>
      </c>
      <c r="U4031">
        <v>-0.3762665</v>
      </c>
      <c r="V4031">
        <v>-3.3584419999999997E-2</v>
      </c>
      <c r="W4031">
        <v>2.3065260000000001E-2</v>
      </c>
      <c r="X4031">
        <v>0.99916970000000005</v>
      </c>
      <c r="Y4031">
        <v>-0.1300183</v>
      </c>
      <c r="Z4031">
        <v>-4.6233669999999998E-3</v>
      </c>
      <c r="AA4031">
        <v>0.99150079999999996</v>
      </c>
      <c r="AB4031">
        <v>28</v>
      </c>
      <c r="AC4031">
        <v>-16.620799999999999</v>
      </c>
      <c r="AD4031">
        <v>-1.1100762707539999</v>
      </c>
      <c r="AE4031">
        <v>-2.1234000000000002</v>
      </c>
      <c r="AF4031">
        <v>-2.20780766561984</v>
      </c>
      <c r="AG4031">
        <v>-1.1100762707539999</v>
      </c>
      <c r="AH4031">
        <v>16.5359305121987</v>
      </c>
      <c r="AI4031">
        <v>93.806888879869305</v>
      </c>
      <c r="AJ4031">
        <v>97.604913972327395</v>
      </c>
      <c r="AK4031">
        <v>16.719559860221299</v>
      </c>
      <c r="AL4031">
        <v>88.678340748339707</v>
      </c>
      <c r="AM4031">
        <v>91.925119777618505</v>
      </c>
      <c r="AN4031">
        <v>1.00000000444184</v>
      </c>
    </row>
    <row r="4032" spans="1:40" x14ac:dyDescent="0.3">
      <c r="A4032" t="str">
        <f>"20200111160538081"</f>
        <v>20200111160538081</v>
      </c>
      <c r="B4032" t="str">
        <f>"1578729938075782"</f>
        <v>1578729938075782</v>
      </c>
      <c r="C4032" t="s">
        <v>40</v>
      </c>
      <c r="D4032">
        <v>5.7074040000000004</v>
      </c>
      <c r="E4032">
        <v>0.46401999999999999</v>
      </c>
      <c r="F4032" t="s">
        <v>75</v>
      </c>
      <c r="G4032">
        <v>-311.1155</v>
      </c>
      <c r="H4032" s="1">
        <v>-9.1824280000000003E-6</v>
      </c>
      <c r="I4032">
        <v>140.1156</v>
      </c>
      <c r="J4032">
        <v>-294.7278</v>
      </c>
      <c r="K4032">
        <v>1.1099810000000001</v>
      </c>
      <c r="L4032">
        <v>142.29490000000001</v>
      </c>
      <c r="M4032">
        <v>-0.99993279999999995</v>
      </c>
      <c r="N4032">
        <v>0</v>
      </c>
      <c r="O4032">
        <v>5.6951079999999999E-3</v>
      </c>
      <c r="P4032">
        <v>-0.99945740000000005</v>
      </c>
      <c r="Q4032">
        <v>1.26845E-2</v>
      </c>
      <c r="R4032">
        <v>-3.0400739999999999E-2</v>
      </c>
      <c r="S4032">
        <v>-2.9931640000000002</v>
      </c>
      <c r="T4032">
        <v>-0.1975662</v>
      </c>
      <c r="U4032">
        <v>-0.3874359</v>
      </c>
      <c r="V4032">
        <v>-3.6092060000000002E-2</v>
      </c>
      <c r="W4032">
        <v>2.2781619999999999E-2</v>
      </c>
      <c r="X4032">
        <v>0.9990888</v>
      </c>
      <c r="Y4032">
        <v>-0.13371710000000001</v>
      </c>
      <c r="Z4032">
        <v>-4.7640010000000003E-3</v>
      </c>
      <c r="AA4032">
        <v>0.99100809999999995</v>
      </c>
      <c r="AB4032">
        <v>28</v>
      </c>
      <c r="AC4032">
        <v>-16.387699999999899</v>
      </c>
      <c r="AD4032">
        <v>-1.1099901824279901</v>
      </c>
      <c r="AE4032">
        <v>-2.1793000000000098</v>
      </c>
      <c r="AF4032">
        <v>-2.2624001142236101</v>
      </c>
      <c r="AG4032">
        <v>-1.1099901824279901</v>
      </c>
      <c r="AH4032">
        <v>16.301534048060301</v>
      </c>
      <c r="AI4032">
        <v>93.858454221070602</v>
      </c>
      <c r="AJ4032">
        <v>97.9012942929064</v>
      </c>
      <c r="AK4032">
        <v>16.495167316580702</v>
      </c>
      <c r="AL4032">
        <v>88.694596434260703</v>
      </c>
      <c r="AM4032">
        <v>92.068909049554193</v>
      </c>
      <c r="AN4032">
        <v>1.0000000346451501</v>
      </c>
    </row>
    <row r="4033" spans="1:40" x14ac:dyDescent="0.3">
      <c r="A4033" t="str">
        <f>"20200111160538105"</f>
        <v>20200111160538105</v>
      </c>
      <c r="B4033" t="str">
        <f>"1578729938095302"</f>
        <v>1578729938095302</v>
      </c>
      <c r="C4033" t="s">
        <v>40</v>
      </c>
      <c r="D4033">
        <v>5.6876899999999999</v>
      </c>
      <c r="E4033">
        <v>0.46411479999999999</v>
      </c>
      <c r="F4033" t="s">
        <v>75</v>
      </c>
      <c r="G4033">
        <v>-311.18060000000003</v>
      </c>
      <c r="H4033" s="1">
        <v>-9.1593489999999996E-6</v>
      </c>
      <c r="I4033">
        <v>140.12100000000001</v>
      </c>
      <c r="J4033">
        <v>-295.02289999999999</v>
      </c>
      <c r="K4033">
        <v>1.109936</v>
      </c>
      <c r="L4033">
        <v>142.29660000000001</v>
      </c>
      <c r="M4033">
        <v>-0.99993209999999999</v>
      </c>
      <c r="N4033">
        <v>0</v>
      </c>
      <c r="O4033">
        <v>5.8088100000000002E-3</v>
      </c>
      <c r="P4033">
        <v>-0.99943389999999999</v>
      </c>
      <c r="Q4033">
        <v>1.2679360000000001E-2</v>
      </c>
      <c r="R4033">
        <v>-3.1167899999999998E-2</v>
      </c>
      <c r="S4033">
        <v>-2.9921259999999998</v>
      </c>
      <c r="T4033">
        <v>-0.2018645</v>
      </c>
      <c r="U4033">
        <v>-0.39534000000000002</v>
      </c>
      <c r="V4033">
        <v>-3.6970049999999997E-2</v>
      </c>
      <c r="W4033">
        <v>2.2783520000000002E-2</v>
      </c>
      <c r="X4033">
        <v>0.99905659999999996</v>
      </c>
      <c r="Y4033">
        <v>-0.13642739999999901</v>
      </c>
      <c r="Z4033">
        <v>-4.9668200000000003E-3</v>
      </c>
      <c r="AA4033">
        <v>0.99063760000000001</v>
      </c>
      <c r="AB4033">
        <v>28</v>
      </c>
      <c r="AC4033">
        <v>-16.157699999999998</v>
      </c>
      <c r="AD4033">
        <v>-1.109945159349</v>
      </c>
      <c r="AE4033">
        <v>-2.1756000000000002</v>
      </c>
      <c r="AF4033">
        <v>-2.2589550510932699</v>
      </c>
      <c r="AG4033">
        <v>-1.109945159349</v>
      </c>
      <c r="AH4033">
        <v>16.070304765681399</v>
      </c>
      <c r="AI4033">
        <v>93.912689742310405</v>
      </c>
      <c r="AJ4033">
        <v>98.001471940215694</v>
      </c>
      <c r="AK4033">
        <v>16.266208883495398</v>
      </c>
      <c r="AL4033">
        <v>88.694487474877306</v>
      </c>
      <c r="AM4033">
        <v>92.119261060733393</v>
      </c>
      <c r="AN4033">
        <v>0.99999998169207605</v>
      </c>
    </row>
    <row r="4034" spans="1:40" x14ac:dyDescent="0.3">
      <c r="A4034" t="str">
        <f>"20200111160538126"</f>
        <v>20200111160538126</v>
      </c>
      <c r="B4034" t="str">
        <f>"1578729938115798"</f>
        <v>1578729938115798</v>
      </c>
      <c r="C4034" t="s">
        <v>40</v>
      </c>
      <c r="D4034">
        <v>5.6933980000000002</v>
      </c>
      <c r="E4034">
        <v>0.46447860000000002</v>
      </c>
      <c r="F4034" t="s">
        <v>75</v>
      </c>
      <c r="G4034">
        <v>-311.44690000000003</v>
      </c>
      <c r="H4034" s="1">
        <v>-9.0575980000000007E-6</v>
      </c>
      <c r="I4034">
        <v>140.11529999999999</v>
      </c>
      <c r="J4034">
        <v>-295.30349999999999</v>
      </c>
      <c r="K4034">
        <v>1.109888</v>
      </c>
      <c r="L4034">
        <v>142.29839999999999</v>
      </c>
      <c r="M4034">
        <v>-0.99993100000000001</v>
      </c>
      <c r="N4034">
        <v>0</v>
      </c>
      <c r="O4034">
        <v>5.9814339999999999E-3</v>
      </c>
      <c r="P4034">
        <v>-0.99945099999999998</v>
      </c>
      <c r="Q4034">
        <v>1.3012370000000001E-2</v>
      </c>
      <c r="R4034">
        <v>-3.0478809999999999E-2</v>
      </c>
      <c r="S4034">
        <v>-2.9918819999999999</v>
      </c>
      <c r="T4034">
        <v>-0.2021925</v>
      </c>
      <c r="U4034">
        <v>-0.39735409999999999</v>
      </c>
      <c r="V4034">
        <v>-3.6450509999999998E-2</v>
      </c>
      <c r="W4034">
        <v>2.3124370000000002E-2</v>
      </c>
      <c r="X4034">
        <v>0.99906790000000001</v>
      </c>
      <c r="Y4034">
        <v>-0.13726089999999999</v>
      </c>
      <c r="Z4034">
        <v>-5.0146710000000001E-3</v>
      </c>
      <c r="AA4034">
        <v>0.99052220000000002</v>
      </c>
      <c r="AB4034">
        <v>29</v>
      </c>
      <c r="AC4034">
        <v>-16.1434</v>
      </c>
      <c r="AD4034">
        <v>-1.1098970575980001</v>
      </c>
      <c r="AE4034">
        <v>-2.1830999999999898</v>
      </c>
      <c r="AF4034">
        <v>-2.2690934333207098</v>
      </c>
      <c r="AG4034">
        <v>-1.1098970575980001</v>
      </c>
      <c r="AH4034">
        <v>16.0555227467718</v>
      </c>
      <c r="AI4034">
        <v>93.915701192363301</v>
      </c>
      <c r="AJ4034">
        <v>98.044217672906399</v>
      </c>
      <c r="AK4034">
        <v>16.2530140946137</v>
      </c>
      <c r="AL4034">
        <v>88.6749531151859</v>
      </c>
      <c r="AM4034">
        <v>92.089482065937304</v>
      </c>
      <c r="AN4034">
        <v>1.0000000224887799</v>
      </c>
    </row>
    <row r="4035" spans="1:40" x14ac:dyDescent="0.3">
      <c r="A4035" t="str">
        <f>"20200111160538148"</f>
        <v>20200111160538148</v>
      </c>
      <c r="B4035" t="str">
        <f>"1578729938136295"</f>
        <v>1578729938136295</v>
      </c>
      <c r="C4035" t="s">
        <v>40</v>
      </c>
      <c r="D4035">
        <v>5.7817970000000001</v>
      </c>
      <c r="E4035">
        <v>0.46495330000000001</v>
      </c>
      <c r="F4035" t="s">
        <v>75</v>
      </c>
      <c r="G4035">
        <v>-311.54219999999998</v>
      </c>
      <c r="H4035" s="1">
        <v>-9.034795E-6</v>
      </c>
      <c r="I4035">
        <v>140.16480000000001</v>
      </c>
      <c r="J4035">
        <v>-295.57729999999998</v>
      </c>
      <c r="K4035">
        <v>1.1098440000000001</v>
      </c>
      <c r="L4035">
        <v>142.30019999999999</v>
      </c>
      <c r="M4035">
        <v>-0.99992970000000003</v>
      </c>
      <c r="N4035">
        <v>0</v>
      </c>
      <c r="O4035">
        <v>6.1885059999999999E-3</v>
      </c>
      <c r="P4035">
        <v>-0.9995214</v>
      </c>
      <c r="Q4035">
        <v>1.241279E-2</v>
      </c>
      <c r="R4035">
        <v>-2.833712E-2</v>
      </c>
      <c r="S4035">
        <v>-2.99234</v>
      </c>
      <c r="T4035">
        <v>-0.20452300000000001</v>
      </c>
      <c r="U4035">
        <v>-0.39315800000000001</v>
      </c>
      <c r="V4035">
        <v>-3.4514360000000001E-2</v>
      </c>
      <c r="W4035">
        <v>2.2531809999999999E-2</v>
      </c>
      <c r="X4035">
        <v>0.99915019999999999</v>
      </c>
      <c r="Y4035">
        <v>-0.136075799999999</v>
      </c>
      <c r="Z4035">
        <v>-5.0458329999999996E-3</v>
      </c>
      <c r="AA4035">
        <v>0.99068560000000006</v>
      </c>
      <c r="AB4035">
        <v>29</v>
      </c>
      <c r="AC4035">
        <v>-15.9649</v>
      </c>
      <c r="AD4035">
        <v>-1.109853034795</v>
      </c>
      <c r="AE4035">
        <v>-2.13539999999997</v>
      </c>
      <c r="AF4035">
        <v>-2.22360568167728</v>
      </c>
      <c r="AG4035">
        <v>-1.109853034795</v>
      </c>
      <c r="AH4035">
        <v>15.876001696315299</v>
      </c>
      <c r="AI4035">
        <v>93.960372184936801</v>
      </c>
      <c r="AJ4035">
        <v>97.973027632240701</v>
      </c>
      <c r="AK4035">
        <v>16.069338065018002</v>
      </c>
      <c r="AL4035">
        <v>88.708913152282904</v>
      </c>
      <c r="AM4035">
        <v>91.978422413171401</v>
      </c>
      <c r="AN4035">
        <v>1.00000002283406</v>
      </c>
    </row>
    <row r="4036" spans="1:40" x14ac:dyDescent="0.3">
      <c r="A4036" t="str">
        <f>"20200111160538170"</f>
        <v>20200111160538170</v>
      </c>
      <c r="B4036" t="str">
        <f>"1578729938165574"</f>
        <v>1578729938165574</v>
      </c>
      <c r="C4036" t="s">
        <v>40</v>
      </c>
      <c r="D4036">
        <v>5.922504</v>
      </c>
      <c r="E4036">
        <v>0.46559089999999997</v>
      </c>
      <c r="F4036" t="s">
        <v>75</v>
      </c>
      <c r="G4036">
        <v>-311.43329999999997</v>
      </c>
      <c r="H4036" s="1">
        <v>-9.1031409999999998E-6</v>
      </c>
      <c r="I4036">
        <v>140.26849999999999</v>
      </c>
      <c r="J4036">
        <v>-295.87220000000002</v>
      </c>
      <c r="K4036">
        <v>1.109802</v>
      </c>
      <c r="L4036">
        <v>142.3023</v>
      </c>
      <c r="M4036">
        <v>-0.99992800000000004</v>
      </c>
      <c r="N4036">
        <v>0</v>
      </c>
      <c r="O4036">
        <v>6.4452279999999999E-3</v>
      </c>
      <c r="P4036">
        <v>-0.99959679999999995</v>
      </c>
      <c r="Q4036">
        <v>1.1930980000000001E-2</v>
      </c>
      <c r="R4036">
        <v>-2.576726E-2</v>
      </c>
      <c r="S4036">
        <v>-2.9931640000000002</v>
      </c>
      <c r="T4036">
        <v>-0.20950769999999999</v>
      </c>
      <c r="U4036">
        <v>-0.38352969999999997</v>
      </c>
      <c r="V4036">
        <v>-3.2199159999999998E-2</v>
      </c>
      <c r="W4036">
        <v>2.2056050000000001E-2</v>
      </c>
      <c r="X4036">
        <v>0.99923810000000002</v>
      </c>
      <c r="Y4036">
        <v>-0.13315060000000001</v>
      </c>
      <c r="Z4036">
        <v>-5.0842159999999999E-3</v>
      </c>
      <c r="AA4036">
        <v>0.99108280000000004</v>
      </c>
      <c r="AB4036">
        <v>29</v>
      </c>
      <c r="AC4036">
        <v>-15.5610999999999</v>
      </c>
      <c r="AD4036">
        <v>-1.1098111031410001</v>
      </c>
      <c r="AE4036">
        <v>-2.03380000000001</v>
      </c>
      <c r="AF4036">
        <v>-2.1234382963410301</v>
      </c>
      <c r="AG4036">
        <v>-1.1098111031410001</v>
      </c>
      <c r="AH4036">
        <v>15.4702999562437</v>
      </c>
      <c r="AI4036">
        <v>94.065278664034395</v>
      </c>
      <c r="AJ4036">
        <v>97.815525439985805</v>
      </c>
      <c r="AK4036">
        <v>15.6547389508473</v>
      </c>
      <c r="AL4036">
        <v>88.736178962363695</v>
      </c>
      <c r="AM4036">
        <v>91.845644012451999</v>
      </c>
      <c r="AN4036">
        <v>1.0000000178689501</v>
      </c>
    </row>
    <row r="4037" spans="1:40" x14ac:dyDescent="0.3">
      <c r="A4037" t="str">
        <f>"20200111160538194"</f>
        <v>20200111160538194</v>
      </c>
      <c r="B4037" t="str">
        <f>"1578729938186070"</f>
        <v>1578729938186070</v>
      </c>
      <c r="C4037" t="s">
        <v>40</v>
      </c>
      <c r="D4037">
        <v>5.6768020000000003</v>
      </c>
      <c r="E4037">
        <v>0.4658273</v>
      </c>
      <c r="F4037" t="s">
        <v>75</v>
      </c>
      <c r="G4037">
        <v>-311.36320000000001</v>
      </c>
      <c r="H4037" s="1">
        <v>-9.1592229999999999E-6</v>
      </c>
      <c r="I4037">
        <v>140.3809</v>
      </c>
      <c r="J4037">
        <v>-296.17630000000003</v>
      </c>
      <c r="K4037">
        <v>1.1097680000000001</v>
      </c>
      <c r="L4037">
        <v>142.30459999999999</v>
      </c>
      <c r="M4037">
        <v>-0.99992610000000004</v>
      </c>
      <c r="N4037">
        <v>0</v>
      </c>
      <c r="O4037">
        <v>6.7378890000000004E-3</v>
      </c>
      <c r="P4037">
        <v>-0.99969169999999996</v>
      </c>
      <c r="Q4037">
        <v>1.08136E-2</v>
      </c>
      <c r="R4037">
        <v>-2.2362050000000001E-2</v>
      </c>
      <c r="S4037">
        <v>-2.9941710000000001</v>
      </c>
      <c r="T4037">
        <v>-0.21450910000000001</v>
      </c>
      <c r="U4037">
        <v>-0.37138369999999998</v>
      </c>
      <c r="V4037">
        <v>-2.9086420000000002E-2</v>
      </c>
      <c r="W4037">
        <v>2.0943839999999998E-2</v>
      </c>
      <c r="X4037">
        <v>0.99935750000000001</v>
      </c>
      <c r="Y4037">
        <v>-0.12943270000000001</v>
      </c>
      <c r="Z4037">
        <v>-5.0932219999999997E-3</v>
      </c>
      <c r="AA4037">
        <v>0.99157510000000004</v>
      </c>
      <c r="AB4037">
        <v>29</v>
      </c>
      <c r="AC4037">
        <v>-15.1868999999999</v>
      </c>
      <c r="AD4037">
        <v>-1.1097771592229999</v>
      </c>
      <c r="AE4037">
        <v>-1.92369999999999</v>
      </c>
      <c r="AF4037">
        <v>-2.0153971387247598</v>
      </c>
      <c r="AG4037">
        <v>-1.1097771592229999</v>
      </c>
      <c r="AH4037">
        <v>15.094263817505199</v>
      </c>
      <c r="AI4037">
        <v>94.168139541258</v>
      </c>
      <c r="AJ4037">
        <v>97.605192657005205</v>
      </c>
      <c r="AK4037">
        <v>15.268602790116701</v>
      </c>
      <c r="AL4037">
        <v>88.799918661710805</v>
      </c>
      <c r="AM4037">
        <v>91.6671299004189</v>
      </c>
      <c r="AN4037">
        <v>1.0000000385343</v>
      </c>
    </row>
    <row r="4038" spans="1:40" x14ac:dyDescent="0.3">
      <c r="A4038" t="str">
        <f>"20200111160538214"</f>
        <v>20200111160538214</v>
      </c>
      <c r="B4038" t="str">
        <f>"1578729938205815"</f>
        <v>1578729938205815</v>
      </c>
      <c r="C4038" t="s">
        <v>40</v>
      </c>
      <c r="D4038">
        <v>5.693378</v>
      </c>
      <c r="E4038">
        <v>0.46598800000000001</v>
      </c>
      <c r="F4038" t="s">
        <v>75</v>
      </c>
      <c r="G4038">
        <v>-311.31720000000001</v>
      </c>
      <c r="H4038" s="1">
        <v>-9.2041250000000006E-6</v>
      </c>
      <c r="I4038">
        <v>140.4855</v>
      </c>
      <c r="J4038">
        <v>-296.44139999999999</v>
      </c>
      <c r="K4038">
        <v>1.10975</v>
      </c>
      <c r="L4038">
        <v>142.3066</v>
      </c>
      <c r="M4038">
        <v>-0.99992429999999999</v>
      </c>
      <c r="N4038">
        <v>0</v>
      </c>
      <c r="O4038">
        <v>7.0090040000000001E-3</v>
      </c>
      <c r="P4038">
        <v>-0.99976739999999997</v>
      </c>
      <c r="Q4038">
        <v>9.6672700000000004E-3</v>
      </c>
      <c r="R4038">
        <v>-1.928794E-2</v>
      </c>
      <c r="S4038">
        <v>-2.9952390000000002</v>
      </c>
      <c r="T4038">
        <v>-0.21954019999999999</v>
      </c>
      <c r="U4038">
        <v>-0.3598633</v>
      </c>
      <c r="V4038">
        <v>-2.628397E-2</v>
      </c>
      <c r="W4038">
        <v>1.9801099999999999E-2</v>
      </c>
      <c r="X4038">
        <v>0.99945839999999997</v>
      </c>
      <c r="Y4038">
        <v>-0.12589210000000001</v>
      </c>
      <c r="Z4038">
        <v>-5.1023860000000004E-3</v>
      </c>
      <c r="AA4038">
        <v>0.99203079999999999</v>
      </c>
      <c r="AB4038">
        <v>29</v>
      </c>
      <c r="AC4038">
        <v>-14.8758</v>
      </c>
      <c r="AD4038">
        <v>-1.109759204125</v>
      </c>
      <c r="AE4038">
        <v>-1.8210999999999999</v>
      </c>
      <c r="AF4038">
        <v>-1.9148257063733101</v>
      </c>
      <c r="AG4038">
        <v>-1.109759204125</v>
      </c>
      <c r="AH4038">
        <v>14.781618793282901</v>
      </c>
      <c r="AI4038">
        <v>94.258092779972401</v>
      </c>
      <c r="AJ4038">
        <v>97.381049012731907</v>
      </c>
      <c r="AK4038">
        <v>14.946383412948499</v>
      </c>
      <c r="AL4038">
        <v>88.865406403061698</v>
      </c>
      <c r="AM4038">
        <v>91.506429403900199</v>
      </c>
      <c r="AN4038">
        <v>1.00000001198536</v>
      </c>
    </row>
    <row r="4039" spans="1:40" x14ac:dyDescent="0.3">
      <c r="A4039" t="str">
        <f>"20200111160538237"</f>
        <v>20200111160538237</v>
      </c>
      <c r="B4039" t="str">
        <f>"1578729938225332"</f>
        <v>1578729938225332</v>
      </c>
      <c r="C4039" t="s">
        <v>40</v>
      </c>
      <c r="D4039">
        <v>5.6640629999999996</v>
      </c>
      <c r="E4039">
        <v>0.46607660000000001</v>
      </c>
      <c r="F4039" t="s">
        <v>75</v>
      </c>
      <c r="G4039">
        <v>-311.27249999999998</v>
      </c>
      <c r="H4039" s="1">
        <v>-9.2448630000000007E-6</v>
      </c>
      <c r="I4039">
        <v>140.57589999999999</v>
      </c>
      <c r="J4039">
        <v>-296.7208</v>
      </c>
      <c r="K4039">
        <v>1.109737</v>
      </c>
      <c r="L4039">
        <v>142.30889999999999</v>
      </c>
      <c r="M4039">
        <v>-0.99992199999999998</v>
      </c>
      <c r="N4039">
        <v>0</v>
      </c>
      <c r="O4039">
        <v>7.3034069999999996E-3</v>
      </c>
      <c r="P4039">
        <v>-0.99980970000000002</v>
      </c>
      <c r="Q4039">
        <v>8.8405350000000001E-3</v>
      </c>
      <c r="R4039">
        <v>-1.739073E-2</v>
      </c>
      <c r="S4039">
        <v>-2.996124</v>
      </c>
      <c r="T4039">
        <v>-0.22418950000000001</v>
      </c>
      <c r="U4039">
        <v>-0.34962459999999901</v>
      </c>
      <c r="V4039">
        <v>-2.468159E-2</v>
      </c>
      <c r="W4039">
        <v>1.897776E-2</v>
      </c>
      <c r="X4039">
        <v>0.99951520000000005</v>
      </c>
      <c r="Y4039">
        <v>-0.1227984</v>
      </c>
      <c r="Z4039">
        <v>-5.1163959999999996E-3</v>
      </c>
      <c r="AA4039">
        <v>0.99241849999999998</v>
      </c>
      <c r="AB4039">
        <v>29</v>
      </c>
      <c r="AC4039">
        <v>-14.551699999999901</v>
      </c>
      <c r="AD4039">
        <v>-1.109746244863</v>
      </c>
      <c r="AE4039">
        <v>-1.7330000000000001</v>
      </c>
      <c r="AF4039">
        <v>-1.8287490640630499</v>
      </c>
      <c r="AG4039">
        <v>-1.109746244863</v>
      </c>
      <c r="AH4039">
        <v>14.455756347576299</v>
      </c>
      <c r="AI4039">
        <v>94.355321195462196</v>
      </c>
      <c r="AJ4039">
        <v>97.209996187827798</v>
      </c>
      <c r="AK4039">
        <v>14.613170478981999</v>
      </c>
      <c r="AL4039">
        <v>88.912589152305202</v>
      </c>
      <c r="AM4039">
        <v>91.414549380791101</v>
      </c>
      <c r="AN4039">
        <v>0.99999998564529202</v>
      </c>
    </row>
    <row r="4040" spans="1:40" x14ac:dyDescent="0.3">
      <c r="A4040" t="str">
        <f>"20200111160538259"</f>
        <v>20200111160538259</v>
      </c>
      <c r="B4040" t="str">
        <f>"1578729938255589"</f>
        <v>1578729938255589</v>
      </c>
      <c r="C4040" t="s">
        <v>40</v>
      </c>
      <c r="D4040">
        <v>5.7411300000000001</v>
      </c>
      <c r="E4040">
        <v>0.46623520000000002</v>
      </c>
      <c r="F4040" t="s">
        <v>75</v>
      </c>
      <c r="G4040">
        <v>-311.3338</v>
      </c>
      <c r="H4040" s="1">
        <v>-9.2373580000000008E-6</v>
      </c>
      <c r="I4040">
        <v>140.63499999999999</v>
      </c>
      <c r="J4040">
        <v>-297.01549999999997</v>
      </c>
      <c r="K4040">
        <v>1.1097319999999999</v>
      </c>
      <c r="L4040">
        <v>142.31129999999999</v>
      </c>
      <c r="M4040">
        <v>-0.99991969999999997</v>
      </c>
      <c r="N4040">
        <v>0</v>
      </c>
      <c r="O4040">
        <v>7.6164709999999997E-3</v>
      </c>
      <c r="P4040">
        <v>-0.99983120000000003</v>
      </c>
      <c r="Q4040">
        <v>8.6523369999999995E-3</v>
      </c>
      <c r="R4040">
        <v>-1.621707E-2</v>
      </c>
      <c r="S4040">
        <v>-2.996613</v>
      </c>
      <c r="T4040">
        <v>-0.22756950000000001</v>
      </c>
      <c r="U4040">
        <v>-0.3432617</v>
      </c>
      <c r="V4040">
        <v>-2.3820919999999999E-2</v>
      </c>
      <c r="W4040">
        <v>1.879231E-2</v>
      </c>
      <c r="X4040">
        <v>0.99953959999999997</v>
      </c>
      <c r="Y4040">
        <v>-0.1210041</v>
      </c>
      <c r="Z4040">
        <v>-5.1489630000000003E-3</v>
      </c>
      <c r="AA4040">
        <v>0.99263860000000004</v>
      </c>
      <c r="AB4040">
        <v>29</v>
      </c>
      <c r="AC4040">
        <v>-14.318300000000001</v>
      </c>
      <c r="AD4040">
        <v>-1.109741237358</v>
      </c>
      <c r="AE4040">
        <v>-1.6762999999999899</v>
      </c>
      <c r="AF4040">
        <v>-1.7747947708235201</v>
      </c>
      <c r="AG4040">
        <v>-1.109741237358</v>
      </c>
      <c r="AH4040">
        <v>14.220846337611</v>
      </c>
      <c r="AI4040">
        <v>94.427891592079902</v>
      </c>
      <c r="AJ4040">
        <v>97.1138647147081</v>
      </c>
      <c r="AK4040">
        <v>14.3740701490698</v>
      </c>
      <c r="AL4040">
        <v>88.923216565035602</v>
      </c>
      <c r="AM4040">
        <v>91.3652084193441</v>
      </c>
      <c r="AN4040">
        <v>0.99999999955647101</v>
      </c>
    </row>
    <row r="4041" spans="1:40" x14ac:dyDescent="0.3">
      <c r="A4041" t="str">
        <f>"20200111160538282"</f>
        <v>20200111160538282</v>
      </c>
      <c r="B4041" t="str">
        <f>"1578729938276084"</f>
        <v>1578729938276084</v>
      </c>
      <c r="C4041" t="s">
        <v>40</v>
      </c>
      <c r="D4041">
        <v>5.6980919999999999</v>
      </c>
      <c r="E4041">
        <v>0.4832882</v>
      </c>
      <c r="F4041" t="s">
        <v>75</v>
      </c>
      <c r="G4041">
        <v>-311.7638</v>
      </c>
      <c r="H4041" s="1">
        <v>-9.0791340000000005E-6</v>
      </c>
      <c r="I4041">
        <v>140.64869999999999</v>
      </c>
      <c r="J4041">
        <v>-297.3116</v>
      </c>
      <c r="K4041">
        <v>1.1097330000000001</v>
      </c>
      <c r="L4041">
        <v>142.31389999999999</v>
      </c>
      <c r="M4041">
        <v>-0.99991730000000001</v>
      </c>
      <c r="N4041">
        <v>0</v>
      </c>
      <c r="O4041">
        <v>7.928315E-3</v>
      </c>
      <c r="P4041">
        <v>-0.9998437</v>
      </c>
      <c r="Q4041">
        <v>8.5185839999999992E-3</v>
      </c>
      <c r="R4041">
        <v>-1.5500899999999899E-2</v>
      </c>
      <c r="S4041">
        <v>-2.9969790000000001</v>
      </c>
      <c r="T4041">
        <v>-0.22550890000000001</v>
      </c>
      <c r="U4041">
        <v>-0.337860099999999</v>
      </c>
      <c r="V4041">
        <v>-2.3416800000000002E-2</v>
      </c>
      <c r="W4041">
        <v>1.8662629999999999E-2</v>
      </c>
      <c r="X4041">
        <v>0.99955159999999998</v>
      </c>
      <c r="Y4041">
        <v>-0.11954330000000001</v>
      </c>
      <c r="Z4041">
        <v>-5.071023E-3</v>
      </c>
      <c r="AA4041">
        <v>0.99281600000000003</v>
      </c>
      <c r="AB4041">
        <v>29</v>
      </c>
      <c r="AC4041">
        <v>-14.452199999999999</v>
      </c>
      <c r="AD4041">
        <v>-1.109742079134</v>
      </c>
      <c r="AE4041">
        <v>-1.66519999999999</v>
      </c>
      <c r="AF4041">
        <v>-1.7694387603958499</v>
      </c>
      <c r="AG4041">
        <v>-1.109742079134</v>
      </c>
      <c r="AH4041">
        <v>14.355010991703599</v>
      </c>
      <c r="AI4041">
        <v>94.387495092389301</v>
      </c>
      <c r="AJ4041">
        <v>97.026992205936097</v>
      </c>
      <c r="AK4041">
        <v>14.5061635721139</v>
      </c>
      <c r="AL4041">
        <v>88.930648007594698</v>
      </c>
      <c r="AM4041">
        <v>91.342040205368505</v>
      </c>
      <c r="AN4041">
        <v>1.0000000206716499</v>
      </c>
    </row>
    <row r="4042" spans="1:40" x14ac:dyDescent="0.3">
      <c r="A4042" t="str">
        <f>"20200111160538304"</f>
        <v>20200111160538304</v>
      </c>
      <c r="B4042" t="str">
        <f>"1578729938295606"</f>
        <v>1578729938295606</v>
      </c>
      <c r="C4042" t="s">
        <v>40</v>
      </c>
      <c r="D4042">
        <v>5.7874499999999998</v>
      </c>
      <c r="E4042">
        <v>0.4834986</v>
      </c>
      <c r="F4042" t="s">
        <v>75</v>
      </c>
      <c r="G4042">
        <v>-308.53390000000002</v>
      </c>
      <c r="H4042" s="1">
        <v>-9.8572570000000003E-6</v>
      </c>
      <c r="I4042">
        <v>141.55009999999999</v>
      </c>
      <c r="J4042">
        <v>-297.59300000000002</v>
      </c>
      <c r="K4042">
        <v>1.109731</v>
      </c>
      <c r="L4042">
        <v>142.31649999999999</v>
      </c>
      <c r="M4042">
        <v>-0.99991479999999999</v>
      </c>
      <c r="N4042">
        <v>0</v>
      </c>
      <c r="O4042">
        <v>8.2203009999999993E-3</v>
      </c>
      <c r="P4042">
        <v>-0.99983180000000005</v>
      </c>
      <c r="Q4042">
        <v>8.6127259999999994E-3</v>
      </c>
      <c r="R4042">
        <v>-1.6183759999999998E-2</v>
      </c>
      <c r="S4042">
        <v>-2.9997859999999998</v>
      </c>
      <c r="T4042">
        <v>-0.29663970000000001</v>
      </c>
      <c r="U4042">
        <v>-0.2041626</v>
      </c>
      <c r="V4042">
        <v>-2.439144E-2</v>
      </c>
      <c r="W4042">
        <v>1.875988E-2</v>
      </c>
      <c r="X4042">
        <v>0.99952640000000004</v>
      </c>
      <c r="Y4042">
        <v>-7.5693960000000005E-2</v>
      </c>
      <c r="Z4042">
        <v>-4.5392490000000004E-3</v>
      </c>
      <c r="AA4042">
        <v>0.99712069999999997</v>
      </c>
      <c r="AB4042">
        <v>29</v>
      </c>
      <c r="AC4042">
        <v>-10.940899999999999</v>
      </c>
      <c r="AD4042">
        <v>-1.109740857257</v>
      </c>
      <c r="AE4042">
        <v>-0.76640000000000397</v>
      </c>
      <c r="AF4042">
        <v>-0.84763817606081604</v>
      </c>
      <c r="AG4042">
        <v>-1.109740857257</v>
      </c>
      <c r="AH4042">
        <v>10.823420746909401</v>
      </c>
      <c r="AI4042">
        <v>95.836414473749201</v>
      </c>
      <c r="AJ4042">
        <v>94.477989477740294</v>
      </c>
      <c r="AK4042">
        <v>10.913132085355199</v>
      </c>
      <c r="AL4042">
        <v>88.925074941366404</v>
      </c>
      <c r="AM4042">
        <v>91.397911306172304</v>
      </c>
      <c r="AN4042">
        <v>0.99999994986992202</v>
      </c>
    </row>
    <row r="4043" spans="1:40" x14ac:dyDescent="0.3">
      <c r="A4043" t="str">
        <f>"20200111160538326"</f>
        <v>20200111160538326</v>
      </c>
      <c r="B4043" t="str">
        <f>"1578729938316100"</f>
        <v>1578729938316100</v>
      </c>
      <c r="C4043" t="s">
        <v>40</v>
      </c>
      <c r="D4043">
        <v>5.7243849999999998</v>
      </c>
      <c r="E4043">
        <v>0.46769169999999999</v>
      </c>
      <c r="F4043" t="s">
        <v>75</v>
      </c>
      <c r="G4043">
        <v>-309.39350000000002</v>
      </c>
      <c r="H4043" s="1">
        <v>-9.9710630000000006E-6</v>
      </c>
      <c r="I4043">
        <v>141.51769999999999</v>
      </c>
      <c r="J4043">
        <v>-297.87799999999999</v>
      </c>
      <c r="K4043">
        <v>1.1097330000000001</v>
      </c>
      <c r="L4043">
        <v>142.31909999999999</v>
      </c>
      <c r="M4043">
        <v>-0.99991240000000003</v>
      </c>
      <c r="N4043">
        <v>0</v>
      </c>
      <c r="O4043">
        <v>8.5113910000000001E-3</v>
      </c>
      <c r="P4043">
        <v>-0.99982070000000001</v>
      </c>
      <c r="Q4043">
        <v>9.2177279999999997E-3</v>
      </c>
      <c r="R4043">
        <v>-1.65427E-2</v>
      </c>
      <c r="S4043">
        <v>-2.9996640000000001</v>
      </c>
      <c r="T4043">
        <v>-0.28209519999999999</v>
      </c>
      <c r="U4043">
        <v>-0.2030334</v>
      </c>
      <c r="V4043">
        <v>-2.5040759999999999E-2</v>
      </c>
      <c r="W4043">
        <v>1.9368690000000001E-2</v>
      </c>
      <c r="X4043">
        <v>0.99949880000000002</v>
      </c>
      <c r="Y4043">
        <v>-7.5651120000000002E-2</v>
      </c>
      <c r="Z4043">
        <v>-4.3431939999999999E-3</v>
      </c>
      <c r="AA4043">
        <v>0.99712489999999998</v>
      </c>
      <c r="AB4043">
        <v>29</v>
      </c>
      <c r="AC4043">
        <v>-11.515499999999999</v>
      </c>
      <c r="AD4043">
        <v>-1.109742971063</v>
      </c>
      <c r="AE4043">
        <v>-0.801400000000001</v>
      </c>
      <c r="AF4043">
        <v>-0.89115261127437995</v>
      </c>
      <c r="AG4043">
        <v>-1.109742971063</v>
      </c>
      <c r="AH4043">
        <v>11.4028724840378</v>
      </c>
      <c r="AI4043">
        <v>95.541805207984495</v>
      </c>
      <c r="AJ4043">
        <v>94.468673291196396</v>
      </c>
      <c r="AK4043">
        <v>11.4913525455288</v>
      </c>
      <c r="AL4043">
        <v>88.890186431085198</v>
      </c>
      <c r="AM4043">
        <v>91.435149095190695</v>
      </c>
      <c r="AN4043">
        <v>1.0000000185075599</v>
      </c>
    </row>
    <row r="4044" spans="1:40" x14ac:dyDescent="0.3">
      <c r="A4044" t="str">
        <f>"20200111160538349"</f>
        <v>20200111160538349</v>
      </c>
      <c r="B4044" t="str">
        <f>"1578729938345380"</f>
        <v>1578729938345380</v>
      </c>
      <c r="C4044" t="s">
        <v>40</v>
      </c>
      <c r="D4044">
        <v>5.6582249999999998</v>
      </c>
      <c r="E4044">
        <v>0.4778231</v>
      </c>
      <c r="F4044" t="s">
        <v>75</v>
      </c>
      <c r="G4044">
        <v>-430.7876</v>
      </c>
      <c r="H4044">
        <v>6.4463049999999994E-2</v>
      </c>
      <c r="I4044">
        <v>128.49870000000001</v>
      </c>
      <c r="J4044">
        <v>-298.17200000000003</v>
      </c>
      <c r="K4044">
        <v>1.109737</v>
      </c>
      <c r="L4044">
        <v>142.3219</v>
      </c>
      <c r="M4044">
        <v>-0.99990979999999996</v>
      </c>
      <c r="N4044">
        <v>0</v>
      </c>
      <c r="O4044">
        <v>8.8084389999999995E-3</v>
      </c>
      <c r="P4044">
        <v>-0.99980500000000005</v>
      </c>
      <c r="Q4044">
        <v>9.0675909999999998E-3</v>
      </c>
      <c r="R4044">
        <v>-1.7541499999999901E-2</v>
      </c>
      <c r="S4044">
        <v>-2.9956049999999999</v>
      </c>
      <c r="T4044">
        <v>-2.3558969999999999E-2</v>
      </c>
      <c r="U4044">
        <v>-0.31149290000000002</v>
      </c>
      <c r="V4044">
        <v>-2.6336689999999999E-2</v>
      </c>
      <c r="W4044">
        <v>1.9222340000000001E-2</v>
      </c>
      <c r="X4044">
        <v>0.99946829999999998</v>
      </c>
      <c r="Y4044">
        <v>-0.1121796</v>
      </c>
      <c r="Z4044">
        <v>-5.0902369999999996E-4</v>
      </c>
      <c r="AA4044">
        <v>0.99368780000000001</v>
      </c>
      <c r="AB4044">
        <v>29</v>
      </c>
      <c r="AC4044">
        <v>-132.61559999999901</v>
      </c>
      <c r="AD4044">
        <v>-1.0452739499999999</v>
      </c>
      <c r="AE4044">
        <v>-13.8231999999999</v>
      </c>
      <c r="AF4044">
        <v>-14.9899388943853</v>
      </c>
      <c r="AG4044">
        <v>-1.0452739499999999</v>
      </c>
      <c r="AH4044">
        <v>132.48054558957401</v>
      </c>
      <c r="AI4044">
        <v>90.449189263137498</v>
      </c>
      <c r="AJ4044">
        <v>96.455460589600406</v>
      </c>
      <c r="AK4044">
        <v>133.32998846995801</v>
      </c>
      <c r="AL4044">
        <v>88.898573210567605</v>
      </c>
      <c r="AM4044">
        <v>91.509434636739201</v>
      </c>
      <c r="AN4044">
        <v>1.00000000115006</v>
      </c>
    </row>
    <row r="4045" spans="1:40" x14ac:dyDescent="0.3">
      <c r="A4045" t="str">
        <f>"20200111160538371"</f>
        <v>20200111160538371</v>
      </c>
      <c r="B4045" t="str">
        <f>"1578729938365876"</f>
        <v>1578729938365876</v>
      </c>
      <c r="C4045" t="s">
        <v>40</v>
      </c>
      <c r="D4045">
        <v>5.8987379999999998</v>
      </c>
      <c r="E4045">
        <v>0.47569850000000002</v>
      </c>
      <c r="F4045" t="s">
        <v>41</v>
      </c>
      <c r="G4045">
        <v>-320.85579999999999</v>
      </c>
      <c r="H4045" s="1">
        <v>-4.1367389999999997E-6</v>
      </c>
      <c r="I4045">
        <v>140.48679999999999</v>
      </c>
      <c r="J4045">
        <v>-298.46409999999997</v>
      </c>
      <c r="K4045">
        <v>1.109737</v>
      </c>
      <c r="L4045">
        <v>142.32480000000001</v>
      </c>
      <c r="M4045">
        <v>-0.99990710000000005</v>
      </c>
      <c r="N4045">
        <v>0</v>
      </c>
      <c r="O4045">
        <v>9.1021450000000007E-3</v>
      </c>
      <c r="P4045">
        <v>-0.99979169999999995</v>
      </c>
      <c r="Q4045">
        <v>8.0743099999999995E-3</v>
      </c>
      <c r="R4045">
        <v>-1.8750490000000002E-2</v>
      </c>
      <c r="S4045">
        <v>-2.99762</v>
      </c>
      <c r="T4045">
        <v>-0.14665039999999999</v>
      </c>
      <c r="U4045">
        <v>-0.24249270000000001</v>
      </c>
      <c r="V4045">
        <v>-2.7839369999999999E-2</v>
      </c>
      <c r="W4045">
        <v>1.823259E-2</v>
      </c>
      <c r="X4045">
        <v>0.9994461</v>
      </c>
      <c r="Y4045">
        <v>-8.9584029999999995E-2</v>
      </c>
      <c r="Z4045">
        <v>-2.630819E-3</v>
      </c>
      <c r="AA4045">
        <v>0.99597579999999997</v>
      </c>
      <c r="AB4045">
        <v>29</v>
      </c>
      <c r="AC4045">
        <v>-22.3917</v>
      </c>
      <c r="AD4045">
        <v>-1.109741136739</v>
      </c>
      <c r="AE4045">
        <v>-1.8380000000000201</v>
      </c>
      <c r="AF4045">
        <v>-2.0367775295043802</v>
      </c>
      <c r="AG4045">
        <v>-1.109741136739</v>
      </c>
      <c r="AH4045">
        <v>22.319586559097502</v>
      </c>
      <c r="AI4045">
        <v>92.834672038202996</v>
      </c>
      <c r="AJ4045">
        <v>95.214094285931694</v>
      </c>
      <c r="AK4045">
        <v>22.439784585960499</v>
      </c>
      <c r="AL4045">
        <v>88.955291637893296</v>
      </c>
      <c r="AM4045">
        <v>91.595549837271193</v>
      </c>
      <c r="AN4045">
        <v>0.99999998233265697</v>
      </c>
    </row>
    <row r="4046" spans="1:40" x14ac:dyDescent="0.3">
      <c r="A4046" t="str">
        <f>"20200111160538394"</f>
        <v>20200111160538394</v>
      </c>
      <c r="B4046" t="str">
        <f>"1578729938385395"</f>
        <v>1578729938385395</v>
      </c>
      <c r="C4046" t="s">
        <v>40</v>
      </c>
      <c r="D4046">
        <v>5.5954300000000003</v>
      </c>
      <c r="E4046">
        <v>0.47646840000000001</v>
      </c>
      <c r="F4046" t="s">
        <v>75</v>
      </c>
      <c r="G4046">
        <v>-318.15769999999998</v>
      </c>
      <c r="H4046" s="1">
        <v>-6.4419650000000004E-6</v>
      </c>
      <c r="I4046">
        <v>140.589</v>
      </c>
      <c r="J4046">
        <v>-298.75689999999997</v>
      </c>
      <c r="K4046">
        <v>1.1097330000000001</v>
      </c>
      <c r="L4046">
        <v>142.32769999999999</v>
      </c>
      <c r="M4046">
        <v>-0.99990429999999997</v>
      </c>
      <c r="N4046">
        <v>0</v>
      </c>
      <c r="O4046">
        <v>9.3960899999999993E-3</v>
      </c>
      <c r="P4046">
        <v>-0.99976750000000003</v>
      </c>
      <c r="Q4046">
        <v>7.739503E-3</v>
      </c>
      <c r="R4046">
        <v>-2.0122859999999999E-2</v>
      </c>
      <c r="S4046">
        <v>-2.9970699999999999</v>
      </c>
      <c r="T4046">
        <v>-0.1688856</v>
      </c>
      <c r="U4046">
        <v>-0.26416020000000001</v>
      </c>
      <c r="V4046">
        <v>-2.95056E-2</v>
      </c>
      <c r="W4046">
        <v>1.7901719999999999E-2</v>
      </c>
      <c r="X4046">
        <v>0.99940430000000002</v>
      </c>
      <c r="Y4046">
        <v>-9.6987989999999996E-2</v>
      </c>
      <c r="Z4046">
        <v>-3.2533200000000001E-3</v>
      </c>
      <c r="AA4046">
        <v>0.99528019999999995</v>
      </c>
      <c r="AB4046">
        <v>29</v>
      </c>
      <c r="AC4046">
        <v>-19.4008</v>
      </c>
      <c r="AD4046">
        <v>-1.109739441965</v>
      </c>
      <c r="AE4046">
        <v>-1.7386999999999899</v>
      </c>
      <c r="AF4046">
        <v>-1.91470943843452</v>
      </c>
      <c r="AG4046">
        <v>-1.109739441965</v>
      </c>
      <c r="AH4046">
        <v>19.320892918172401</v>
      </c>
      <c r="AI4046">
        <v>93.271312331230405</v>
      </c>
      <c r="AJ4046">
        <v>95.659559239654797</v>
      </c>
      <c r="AK4046">
        <v>19.447224403964899</v>
      </c>
      <c r="AL4046">
        <v>88.974252209353494</v>
      </c>
      <c r="AM4046">
        <v>91.691062804291505</v>
      </c>
      <c r="AN4046">
        <v>1.0000000034344001</v>
      </c>
    </row>
    <row r="4047" spans="1:40" x14ac:dyDescent="0.3">
      <c r="A4047" t="str">
        <f>"20200111160538415"</f>
        <v>20200111160538415</v>
      </c>
      <c r="B4047" t="str">
        <f>"1578729938405895"</f>
        <v>1578729938405895</v>
      </c>
      <c r="C4047" t="s">
        <v>40</v>
      </c>
      <c r="D4047">
        <v>5.6900779999999997</v>
      </c>
      <c r="E4047">
        <v>0.47674519999999998</v>
      </c>
      <c r="F4047" t="s">
        <v>75</v>
      </c>
      <c r="G4047">
        <v>-315.80059999999997</v>
      </c>
      <c r="H4047" s="1">
        <v>-7.5503439999999999E-6</v>
      </c>
      <c r="I4047">
        <v>140.828</v>
      </c>
      <c r="J4047">
        <v>-299.03250000000003</v>
      </c>
      <c r="K4047">
        <v>1.1097349999999999</v>
      </c>
      <c r="L4047">
        <v>142.3306</v>
      </c>
      <c r="M4047">
        <v>-0.9999017</v>
      </c>
      <c r="N4047">
        <v>0</v>
      </c>
      <c r="O4047">
        <v>9.6725700000000001E-3</v>
      </c>
      <c r="P4047">
        <v>-0.99974830000000003</v>
      </c>
      <c r="Q4047">
        <v>7.5413850000000003E-3</v>
      </c>
      <c r="R4047">
        <v>-2.1124850000000001E-2</v>
      </c>
      <c r="S4047">
        <v>-2.9968569999999999</v>
      </c>
      <c r="T4047">
        <v>-0.1951299</v>
      </c>
      <c r="U4047">
        <v>-0.2637024</v>
      </c>
      <c r="V4047">
        <v>-3.07838E-2</v>
      </c>
      <c r="W4047">
        <v>1.7707199999999999E-2</v>
      </c>
      <c r="X4047">
        <v>0.99936919999999996</v>
      </c>
      <c r="Y4047">
        <v>-9.7061720000000004E-2</v>
      </c>
      <c r="Z4047">
        <v>-3.7785219999999999E-3</v>
      </c>
      <c r="AA4047">
        <v>0.99527120000000002</v>
      </c>
      <c r="AB4047">
        <v>29</v>
      </c>
      <c r="AC4047">
        <v>-16.768099999999901</v>
      </c>
      <c r="AD4047">
        <v>-1.1097425503439999</v>
      </c>
      <c r="AE4047">
        <v>-1.5025999999999999</v>
      </c>
      <c r="AF4047">
        <v>-1.6575265010608899</v>
      </c>
      <c r="AG4047">
        <v>-1.1097425503439999</v>
      </c>
      <c r="AH4047">
        <v>16.680302580651301</v>
      </c>
      <c r="AI4047">
        <v>93.787685870458006</v>
      </c>
      <c r="AJ4047">
        <v>95.674868401996903</v>
      </c>
      <c r="AK4047">
        <v>16.799149288337301</v>
      </c>
      <c r="AL4047">
        <v>88.985399140284898</v>
      </c>
      <c r="AM4047">
        <v>91.764337230332401</v>
      </c>
      <c r="AN4047">
        <v>0.99999999259146</v>
      </c>
    </row>
    <row r="4048" spans="1:40" x14ac:dyDescent="0.3">
      <c r="A4048" t="str">
        <f>"20200111160538438"</f>
        <v>20200111160538438</v>
      </c>
      <c r="B4048" t="str">
        <f>"1578729938436148"</f>
        <v>1578729938436148</v>
      </c>
      <c r="C4048" t="s">
        <v>40</v>
      </c>
      <c r="D4048">
        <v>5.5670710000000003</v>
      </c>
      <c r="E4048">
        <v>0.47734860000000001</v>
      </c>
      <c r="F4048" t="s">
        <v>75</v>
      </c>
      <c r="G4048">
        <v>-315.11579999999998</v>
      </c>
      <c r="H4048" s="1">
        <v>-7.8753670000000006E-6</v>
      </c>
      <c r="I4048">
        <v>140.90880000000001</v>
      </c>
      <c r="J4048">
        <v>-299.32369999999997</v>
      </c>
      <c r="K4048">
        <v>1.109731</v>
      </c>
      <c r="L4048">
        <v>142.33369999999999</v>
      </c>
      <c r="M4048">
        <v>-0.99989870000000003</v>
      </c>
      <c r="N4048">
        <v>0</v>
      </c>
      <c r="O4048">
        <v>9.9646070000000003E-3</v>
      </c>
      <c r="P4048">
        <v>-0.99972030000000001</v>
      </c>
      <c r="Q4048">
        <v>7.5585189999999997E-3</v>
      </c>
      <c r="R4048">
        <v>-2.241665E-2</v>
      </c>
      <c r="S4048">
        <v>-2.9967039999999998</v>
      </c>
      <c r="T4048">
        <v>-0.2067715</v>
      </c>
      <c r="U4048">
        <v>-0.26490780000000003</v>
      </c>
      <c r="V4048">
        <v>-3.2366800000000001E-2</v>
      </c>
      <c r="W4048">
        <v>1.772818E-2</v>
      </c>
      <c r="X4048">
        <v>0.99931879999999995</v>
      </c>
      <c r="Y4048">
        <v>-9.7724270000000002E-2</v>
      </c>
      <c r="Z4048">
        <v>-4.0464450000000001E-3</v>
      </c>
      <c r="AA4048">
        <v>0.99520529999999996</v>
      </c>
      <c r="AB4048">
        <v>29</v>
      </c>
      <c r="AC4048">
        <v>-15.7921</v>
      </c>
      <c r="AD4048">
        <v>-1.1097388753669899</v>
      </c>
      <c r="AE4048">
        <v>-1.4248999999999701</v>
      </c>
      <c r="AF4048">
        <v>-1.5744872242391299</v>
      </c>
      <c r="AG4048">
        <v>-1.1097388753669899</v>
      </c>
      <c r="AH4048">
        <v>15.700213089330299</v>
      </c>
      <c r="AI4048">
        <v>94.023003621874906</v>
      </c>
      <c r="AJ4048">
        <v>95.726729065669502</v>
      </c>
      <c r="AK4048">
        <v>15.8179398608406</v>
      </c>
      <c r="AL4048">
        <v>88.984196874399402</v>
      </c>
      <c r="AM4048">
        <v>91.855096662068902</v>
      </c>
      <c r="AN4048">
        <v>0.99999998107089505</v>
      </c>
    </row>
    <row r="4049" spans="1:40" x14ac:dyDescent="0.3">
      <c r="A4049" t="str">
        <f>"20200111160538461"</f>
        <v>20200111160538461</v>
      </c>
      <c r="B4049" t="str">
        <f>"1578729938455669"</f>
        <v>1578729938455669</v>
      </c>
      <c r="C4049" t="s">
        <v>40</v>
      </c>
      <c r="D4049">
        <v>5.8055320000000004</v>
      </c>
      <c r="E4049">
        <v>0.47814420000000002</v>
      </c>
      <c r="F4049" t="s">
        <v>75</v>
      </c>
      <c r="G4049">
        <v>-314.27600000000001</v>
      </c>
      <c r="H4049" s="1">
        <v>-8.22931E-6</v>
      </c>
      <c r="I4049">
        <v>141.012</v>
      </c>
      <c r="J4049">
        <v>-299.62630000000001</v>
      </c>
      <c r="K4049">
        <v>1.1097300000000001</v>
      </c>
      <c r="L4049">
        <v>142.33699999999999</v>
      </c>
      <c r="M4049">
        <v>-0.99989570000000005</v>
      </c>
      <c r="N4049">
        <v>0</v>
      </c>
      <c r="O4049">
        <v>1.0268859999999999E-2</v>
      </c>
      <c r="P4049">
        <v>-0.99969889999999995</v>
      </c>
      <c r="Q4049">
        <v>7.6143649999999997E-3</v>
      </c>
      <c r="R4049">
        <v>-2.3328850000000002E-2</v>
      </c>
      <c r="S4049">
        <v>-2.9965519999999999</v>
      </c>
      <c r="T4049">
        <v>-0.2223994</v>
      </c>
      <c r="U4049">
        <v>-0.26487729999999998</v>
      </c>
      <c r="V4049">
        <v>-3.3583290000000002E-2</v>
      </c>
      <c r="W4049">
        <v>1.778778E-2</v>
      </c>
      <c r="X4049">
        <v>0.99927759999999999</v>
      </c>
      <c r="Y4049">
        <v>-9.7980100000000001E-2</v>
      </c>
      <c r="Z4049">
        <v>-4.3836689999999998E-3</v>
      </c>
      <c r="AA4049">
        <v>0.99517869999999997</v>
      </c>
      <c r="AB4049">
        <v>29</v>
      </c>
      <c r="AC4049">
        <v>-14.6496999999999</v>
      </c>
      <c r="AD4049">
        <v>-1.10973822931</v>
      </c>
      <c r="AE4049">
        <v>-1.3250000000000099</v>
      </c>
      <c r="AF4049">
        <v>-1.4670236838084001</v>
      </c>
      <c r="AG4049">
        <v>-1.10973822931</v>
      </c>
      <c r="AH4049">
        <v>14.5524914960135</v>
      </c>
      <c r="AI4049">
        <v>94.338892701878706</v>
      </c>
      <c r="AJ4049">
        <v>95.756488917753003</v>
      </c>
      <c r="AK4049">
        <v>14.6682884539401</v>
      </c>
      <c r="AL4049">
        <v>88.980781508445403</v>
      </c>
      <c r="AM4049">
        <v>91.924847345480302</v>
      </c>
      <c r="AN4049">
        <v>0.999999982173156</v>
      </c>
    </row>
    <row r="4050" spans="1:40" x14ac:dyDescent="0.3">
      <c r="A4050" t="str">
        <f>"20200111160538484"</f>
        <v>20200111160538484</v>
      </c>
      <c r="B4050" t="str">
        <f>"1578729938476164"</f>
        <v>1578729938476164</v>
      </c>
      <c r="C4050" t="s">
        <v>40</v>
      </c>
      <c r="D4050">
        <v>5.6110749999999996</v>
      </c>
      <c r="E4050">
        <v>0.4782303</v>
      </c>
      <c r="F4050" t="s">
        <v>75</v>
      </c>
      <c r="G4050">
        <v>-314.00150000000002</v>
      </c>
      <c r="H4050" s="1">
        <v>-8.3511329999999905E-6</v>
      </c>
      <c r="I4050">
        <v>141.08199999999999</v>
      </c>
      <c r="J4050">
        <v>-299.9323</v>
      </c>
      <c r="K4050">
        <v>1.1097349999999999</v>
      </c>
      <c r="L4050">
        <v>142.34049999999999</v>
      </c>
      <c r="M4050">
        <v>-0.99989260000000002</v>
      </c>
      <c r="N4050">
        <v>0</v>
      </c>
      <c r="O4050">
        <v>1.0575859999999999E-2</v>
      </c>
      <c r="P4050">
        <v>-0.99966840000000001</v>
      </c>
      <c r="Q4050">
        <v>7.9947509999999996E-3</v>
      </c>
      <c r="R4050">
        <v>-2.4484160000000001E-2</v>
      </c>
      <c r="S4050">
        <v>-2.9965519999999999</v>
      </c>
      <c r="T4050">
        <v>-0.23132820000000001</v>
      </c>
      <c r="U4050">
        <v>-0.26161190000000001</v>
      </c>
      <c r="V4050">
        <v>-3.5044869999999999E-2</v>
      </c>
      <c r="W4050">
        <v>1.817204E-2</v>
      </c>
      <c r="X4050">
        <v>0.99922049999999996</v>
      </c>
      <c r="Y4050">
        <v>-9.7186700000000001E-2</v>
      </c>
      <c r="Z4050">
        <v>-4.5524739999999999E-3</v>
      </c>
      <c r="AA4050">
        <v>0.99525580000000002</v>
      </c>
      <c r="AB4050">
        <v>29</v>
      </c>
      <c r="AC4050">
        <v>-14.0692</v>
      </c>
      <c r="AD4050">
        <v>-1.1097433511329999</v>
      </c>
      <c r="AE4050">
        <v>-1.25849999999999</v>
      </c>
      <c r="AF4050">
        <v>-1.3985986254557501</v>
      </c>
      <c r="AG4050">
        <v>-1.1097433511329999</v>
      </c>
      <c r="AH4050">
        <v>13.9688829172577</v>
      </c>
      <c r="AI4050">
        <v>94.519760264916698</v>
      </c>
      <c r="AJ4050">
        <v>95.717538823967601</v>
      </c>
      <c r="AK4050">
        <v>14.0825174729721</v>
      </c>
      <c r="AL4050">
        <v>88.958761476909601</v>
      </c>
      <c r="AM4050">
        <v>92.008666218451594</v>
      </c>
      <c r="AN4050">
        <v>0.99999998678566404</v>
      </c>
    </row>
    <row r="4051" spans="1:40" x14ac:dyDescent="0.3">
      <c r="A4051" t="str">
        <f>"20200111160538505"</f>
        <v>20200111160538505</v>
      </c>
      <c r="B4051" t="str">
        <f>"1578729938495687"</f>
        <v>1578729938495687</v>
      </c>
      <c r="C4051" t="s">
        <v>40</v>
      </c>
      <c r="D4051">
        <v>5.9341169999999996</v>
      </c>
      <c r="E4051">
        <v>0.4781493</v>
      </c>
      <c r="F4051" t="s">
        <v>75</v>
      </c>
      <c r="G4051">
        <v>-314.05959999999999</v>
      </c>
      <c r="H4051" s="1">
        <v>-8.332308E-6</v>
      </c>
      <c r="I4051">
        <v>141.09360000000001</v>
      </c>
      <c r="J4051">
        <v>-300.20060000000001</v>
      </c>
      <c r="K4051">
        <v>1.1097379999999999</v>
      </c>
      <c r="L4051">
        <v>142.34360000000001</v>
      </c>
      <c r="M4051">
        <v>-0.99988960000000005</v>
      </c>
      <c r="N4051">
        <v>0</v>
      </c>
      <c r="O4051">
        <v>1.0845499999999999E-2</v>
      </c>
      <c r="P4051">
        <v>-0.99964929999999996</v>
      </c>
      <c r="Q4051">
        <v>8.0756000000000005E-3</v>
      </c>
      <c r="R4051">
        <v>-2.5229959999999999E-2</v>
      </c>
      <c r="S4051">
        <v>-2.9963989999999998</v>
      </c>
      <c r="T4051">
        <v>-0.235375</v>
      </c>
      <c r="U4051">
        <v>-0.26446530000000001</v>
      </c>
      <c r="V4051">
        <v>-3.6059689999999998E-2</v>
      </c>
      <c r="W4051">
        <v>1.8255960000000002E-2</v>
      </c>
      <c r="X4051">
        <v>0.99918289999999998</v>
      </c>
      <c r="Y4051">
        <v>-9.8384189999999996E-2</v>
      </c>
      <c r="Z4051">
        <v>-4.6998969999999998E-3</v>
      </c>
      <c r="AA4051">
        <v>0.99513739999999995</v>
      </c>
      <c r="AB4051">
        <v>29</v>
      </c>
      <c r="AC4051">
        <v>-13.858999999999901</v>
      </c>
      <c r="AD4051">
        <v>-1.1097463323079999</v>
      </c>
      <c r="AE4051">
        <v>-1.25</v>
      </c>
      <c r="AF4051">
        <v>-1.3913925960493201</v>
      </c>
      <c r="AG4051">
        <v>-1.1097463323079999</v>
      </c>
      <c r="AH4051">
        <v>13.7571303058812</v>
      </c>
      <c r="AI4051">
        <v>94.588583653004804</v>
      </c>
      <c r="AJ4051">
        <v>95.775241605928102</v>
      </c>
      <c r="AK4051">
        <v>13.8717751038361</v>
      </c>
      <c r="AL4051">
        <v>88.953952456699596</v>
      </c>
      <c r="AM4051">
        <v>92.066860610802195</v>
      </c>
      <c r="AN4051">
        <v>1.0000000244854099</v>
      </c>
    </row>
    <row r="4052" spans="1:40" x14ac:dyDescent="0.3">
      <c r="A4052" t="str">
        <f>"20200111160538526"</f>
        <v>20200111160538526</v>
      </c>
      <c r="B4052" t="str">
        <f>"1578729938516180"</f>
        <v>1578729938516180</v>
      </c>
      <c r="C4052" t="s">
        <v>40</v>
      </c>
      <c r="D4052">
        <v>5.7769380000000004</v>
      </c>
      <c r="E4052">
        <v>0.4787903</v>
      </c>
      <c r="F4052" t="s">
        <v>75</v>
      </c>
      <c r="G4052">
        <v>-314.21370000000002</v>
      </c>
      <c r="H4052" s="1">
        <v>-8.2743749999999999E-6</v>
      </c>
      <c r="I4052">
        <v>141.09370000000001</v>
      </c>
      <c r="J4052">
        <v>-300.48660000000001</v>
      </c>
      <c r="K4052">
        <v>1.1097399999999999</v>
      </c>
      <c r="L4052">
        <v>142.34690000000001</v>
      </c>
      <c r="M4052">
        <v>-0.99988639999999995</v>
      </c>
      <c r="N4052">
        <v>0</v>
      </c>
      <c r="O4052">
        <v>1.113301E-2</v>
      </c>
      <c r="P4052">
        <v>-0.99965490000000001</v>
      </c>
      <c r="Q4052">
        <v>8.7347759999999997E-3</v>
      </c>
      <c r="R4052">
        <v>-2.477497E-2</v>
      </c>
      <c r="S4052">
        <v>-2.9961850000000001</v>
      </c>
      <c r="T4052">
        <v>-0.2372785</v>
      </c>
      <c r="U4052">
        <v>-0.2672272</v>
      </c>
      <c r="V4052">
        <v>-3.5891529999999998E-2</v>
      </c>
      <c r="W4052">
        <v>1.891864E-2</v>
      </c>
      <c r="X4052">
        <v>0.99917659999999997</v>
      </c>
      <c r="Y4052">
        <v>-9.9576590000000006E-2</v>
      </c>
      <c r="Z4052">
        <v>-4.807675E-3</v>
      </c>
      <c r="AA4052">
        <v>0.99501830000000002</v>
      </c>
      <c r="AB4052">
        <v>29</v>
      </c>
      <c r="AC4052">
        <v>-13.7271</v>
      </c>
      <c r="AD4052">
        <v>-1.109748274375</v>
      </c>
      <c r="AE4052">
        <v>-1.2531999999999901</v>
      </c>
      <c r="AF4052">
        <v>-1.39689991762597</v>
      </c>
      <c r="AG4052">
        <v>-1.109748274375</v>
      </c>
      <c r="AH4052">
        <v>13.623990415106199</v>
      </c>
      <c r="AI4052">
        <v>94.632591720487198</v>
      </c>
      <c r="AJ4052">
        <v>95.854213912777894</v>
      </c>
      <c r="AK4052">
        <v>13.7403051437458</v>
      </c>
      <c r="AL4052">
        <v>88.915977099858594</v>
      </c>
      <c r="AM4052">
        <v>92.057243317843103</v>
      </c>
      <c r="AN4052">
        <v>0.99999999742637502</v>
      </c>
    </row>
    <row r="4053" spans="1:40" x14ac:dyDescent="0.3">
      <c r="A4053" t="str">
        <f>"20200111160538550"</f>
        <v>20200111160538550</v>
      </c>
      <c r="B4053" t="str">
        <f>"1578729938545462"</f>
        <v>1578729938545462</v>
      </c>
      <c r="C4053" t="s">
        <v>40</v>
      </c>
      <c r="D4053">
        <v>7.2165530000000002</v>
      </c>
      <c r="E4053">
        <v>0.47907850000000002</v>
      </c>
      <c r="F4053" t="s">
        <v>75</v>
      </c>
      <c r="G4053">
        <v>-314.44290000000001</v>
      </c>
      <c r="H4053" s="1">
        <v>-8.198463E-6</v>
      </c>
      <c r="I4053">
        <v>141.13299999999899</v>
      </c>
      <c r="J4053">
        <v>-300.7921</v>
      </c>
      <c r="K4053">
        <v>1.109745</v>
      </c>
      <c r="L4053">
        <v>142.35069999999999</v>
      </c>
      <c r="M4053">
        <v>-0.99988290000000002</v>
      </c>
      <c r="N4053">
        <v>0</v>
      </c>
      <c r="O4053">
        <v>1.143978E-2</v>
      </c>
      <c r="P4053">
        <v>-0.99966200000000005</v>
      </c>
      <c r="Q4053">
        <v>9.7592400000000006E-3</v>
      </c>
      <c r="R4053">
        <v>-2.4103699999999999E-2</v>
      </c>
      <c r="S4053">
        <v>-2.9966430000000002</v>
      </c>
      <c r="T4053">
        <v>-0.2382821</v>
      </c>
      <c r="U4053">
        <v>-0.26065060000000001</v>
      </c>
      <c r="V4053">
        <v>-3.5526809999999999E-2</v>
      </c>
      <c r="W4053">
        <v>1.9946510000000001E-2</v>
      </c>
      <c r="X4053">
        <v>0.99916959999999999</v>
      </c>
      <c r="Y4053">
        <v>-9.7703360000000003E-2</v>
      </c>
      <c r="Z4053">
        <v>-4.7777690000000003E-3</v>
      </c>
      <c r="AA4053">
        <v>0.99520410000000004</v>
      </c>
      <c r="AB4053">
        <v>29</v>
      </c>
      <c r="AC4053">
        <v>-13.6508</v>
      </c>
      <c r="AD4053">
        <v>-1.109753198463</v>
      </c>
      <c r="AE4053">
        <v>-1.2177</v>
      </c>
      <c r="AF4053">
        <v>-1.3648414814255601</v>
      </c>
      <c r="AG4053">
        <v>-1.109753198463</v>
      </c>
      <c r="AH4053">
        <v>13.5471492402317</v>
      </c>
      <c r="AI4053">
        <v>94.659606527681703</v>
      </c>
      <c r="AJ4053">
        <v>95.752994806542105</v>
      </c>
      <c r="AK4053">
        <v>13.6608783380875</v>
      </c>
      <c r="AL4053">
        <v>88.857073311230593</v>
      </c>
      <c r="AM4053">
        <v>92.036370113446694</v>
      </c>
      <c r="AN4053">
        <v>0.99999995352705695</v>
      </c>
    </row>
    <row r="4054" spans="1:40" x14ac:dyDescent="0.3">
      <c r="A4054" t="str">
        <f>"20200111160538573"</f>
        <v>20200111160538573</v>
      </c>
      <c r="B4054" t="str">
        <f>"1578729938565956"</f>
        <v>1578729938565956</v>
      </c>
      <c r="C4054" t="s">
        <v>40</v>
      </c>
      <c r="D4054">
        <v>5.7244029999999997</v>
      </c>
      <c r="E4054">
        <v>0.47949039999999998</v>
      </c>
      <c r="F4054" t="s">
        <v>75</v>
      </c>
      <c r="G4054">
        <v>-315.85579999999999</v>
      </c>
      <c r="H4054" s="1">
        <v>-7.5891269999999996E-6</v>
      </c>
      <c r="I4054">
        <v>141.0676</v>
      </c>
      <c r="J4054">
        <v>-301.09339999999997</v>
      </c>
      <c r="K4054">
        <v>1.109748</v>
      </c>
      <c r="L4054">
        <v>142.3544</v>
      </c>
      <c r="M4054">
        <v>-0.99987919999999997</v>
      </c>
      <c r="N4054">
        <v>0</v>
      </c>
      <c r="O4054">
        <v>1.1742610000000001E-2</v>
      </c>
      <c r="P4054">
        <v>-0.99967709999999999</v>
      </c>
      <c r="Q4054">
        <v>1.0204649999999999E-2</v>
      </c>
      <c r="R4054">
        <v>-2.3269379999999999E-2</v>
      </c>
      <c r="S4054">
        <v>-2.9969790000000001</v>
      </c>
      <c r="T4054">
        <v>-0.22078929999999999</v>
      </c>
      <c r="U4054">
        <v>-0.2552643</v>
      </c>
      <c r="V4054">
        <v>-3.4994780000000003E-2</v>
      </c>
      <c r="W4054">
        <v>2.0395119999999999E-2</v>
      </c>
      <c r="X4054">
        <v>0.99917940000000005</v>
      </c>
      <c r="Y4054">
        <v>-9.6270900000000006E-2</v>
      </c>
      <c r="Z4054">
        <v>-4.3974940000000001E-3</v>
      </c>
      <c r="AA4054">
        <v>0.99534549999999999</v>
      </c>
      <c r="AB4054">
        <v>29</v>
      </c>
      <c r="AC4054">
        <v>-14.7624</v>
      </c>
      <c r="AD4054">
        <v>-1.1097555891269999</v>
      </c>
      <c r="AE4054">
        <v>-1.28679999999999</v>
      </c>
      <c r="AF4054">
        <v>-1.45192611202938</v>
      </c>
      <c r="AG4054">
        <v>-1.1097555891269999</v>
      </c>
      <c r="AH4054">
        <v>14.6640264469298</v>
      </c>
      <c r="AI4054">
        <v>94.306845052577401</v>
      </c>
      <c r="AJ4054">
        <v>95.654584515022407</v>
      </c>
      <c r="AK4054">
        <v>14.777459813467599</v>
      </c>
      <c r="AL4054">
        <v>88.831364714299198</v>
      </c>
      <c r="AM4054">
        <v>92.005879996158001</v>
      </c>
      <c r="AN4054">
        <v>1.0000000344657101</v>
      </c>
    </row>
    <row r="4055" spans="1:40" x14ac:dyDescent="0.3">
      <c r="A4055" t="str">
        <f>"20200111160538595"</f>
        <v>20200111160538595</v>
      </c>
      <c r="B4055" t="str">
        <f>"1578729938585492"</f>
        <v>1578729938585492</v>
      </c>
      <c r="C4055" t="s">
        <v>40</v>
      </c>
      <c r="D4055">
        <v>5.6284869999999998</v>
      </c>
      <c r="E4055">
        <v>0.479738</v>
      </c>
      <c r="F4055" t="s">
        <v>75</v>
      </c>
      <c r="G4055">
        <v>-315.98829999999998</v>
      </c>
      <c r="H4055" s="1">
        <v>-7.5424540000000002E-6</v>
      </c>
      <c r="I4055">
        <v>141.11330000000001</v>
      </c>
      <c r="J4055">
        <v>-301.37560000000002</v>
      </c>
      <c r="K4055">
        <v>1.1097490000000001</v>
      </c>
      <c r="L4055">
        <v>142.358</v>
      </c>
      <c r="M4055">
        <v>-0.99987599999999999</v>
      </c>
      <c r="N4055">
        <v>0</v>
      </c>
      <c r="O4055">
        <v>1.202577E-2</v>
      </c>
      <c r="P4055">
        <v>-0.99969609999999998</v>
      </c>
      <c r="Q4055">
        <v>1.019158E-2</v>
      </c>
      <c r="R4055">
        <v>-2.2456230000000001E-2</v>
      </c>
      <c r="S4055">
        <v>-2.9974059999999998</v>
      </c>
      <c r="T4055">
        <v>-0.2233251</v>
      </c>
      <c r="U4055">
        <v>-0.2497559</v>
      </c>
      <c r="V4055">
        <v>-3.4464979999999999E-2</v>
      </c>
      <c r="W4055">
        <v>2.0385110000000001E-2</v>
      </c>
      <c r="X4055">
        <v>0.99919800000000003</v>
      </c>
      <c r="Y4055">
        <v>-9.4721180000000002E-2</v>
      </c>
      <c r="Z4055">
        <v>-4.411056E-3</v>
      </c>
      <c r="AA4055">
        <v>0.99549410000000005</v>
      </c>
      <c r="AB4055">
        <v>29</v>
      </c>
      <c r="AC4055">
        <v>-14.612699999999901</v>
      </c>
      <c r="AD4055">
        <v>-1.1097565424539999</v>
      </c>
      <c r="AE4055">
        <v>-1.2446999999999899</v>
      </c>
      <c r="AF4055">
        <v>-1.41226136226358</v>
      </c>
      <c r="AG4055">
        <v>-1.1097565424539999</v>
      </c>
      <c r="AH4055">
        <v>14.513568602756401</v>
      </c>
      <c r="AI4055">
        <v>94.352045174027893</v>
      </c>
      <c r="AJ4055">
        <v>95.557742022218505</v>
      </c>
      <c r="AK4055">
        <v>14.624285121871001</v>
      </c>
      <c r="AL4055">
        <v>88.831938341997898</v>
      </c>
      <c r="AM4055">
        <v>91.975499677011598</v>
      </c>
      <c r="AN4055">
        <v>1.0000000153800499</v>
      </c>
    </row>
    <row r="4056" spans="1:40" x14ac:dyDescent="0.3">
      <c r="A4056" t="str">
        <f>"20200111160538607"</f>
        <v>20200111160538607</v>
      </c>
      <c r="B4056" t="str">
        <f>"1578729938605973"</f>
        <v>1578729938605973</v>
      </c>
      <c r="C4056" t="s">
        <v>40</v>
      </c>
      <c r="D4056">
        <v>5.6354480000000002</v>
      </c>
      <c r="E4056">
        <v>0.4799506</v>
      </c>
      <c r="F4056" t="s">
        <v>75</v>
      </c>
      <c r="G4056">
        <v>-315.98200000000003</v>
      </c>
      <c r="H4056" s="1">
        <v>-7.5583470000000004E-6</v>
      </c>
      <c r="I4056">
        <v>141.16299999999899</v>
      </c>
      <c r="J4056">
        <v>-301.54860000000002</v>
      </c>
      <c r="K4056">
        <v>1.109747</v>
      </c>
      <c r="L4056">
        <v>142.3603</v>
      </c>
      <c r="M4056">
        <v>-0.99987369999999998</v>
      </c>
      <c r="N4056">
        <v>0</v>
      </c>
      <c r="O4056">
        <v>1.219987E-2</v>
      </c>
      <c r="P4056">
        <v>-0.99969920000000001</v>
      </c>
      <c r="Q4056">
        <v>1.042156E-2</v>
      </c>
      <c r="R4056">
        <v>-2.2196259999999999E-2</v>
      </c>
      <c r="S4056">
        <v>-2.997681</v>
      </c>
      <c r="T4056">
        <v>-0.22775599999999999</v>
      </c>
      <c r="U4056">
        <v>-0.24525449999999999</v>
      </c>
      <c r="V4056">
        <v>-3.4379050000000001E-2</v>
      </c>
      <c r="W4056">
        <v>2.0617280000000002E-2</v>
      </c>
      <c r="X4056">
        <v>0.99919619999999998</v>
      </c>
      <c r="Y4056">
        <v>-9.339372E-2</v>
      </c>
      <c r="Z4056">
        <v>-4.4611069999999997E-3</v>
      </c>
      <c r="AA4056">
        <v>0.99561920000000004</v>
      </c>
      <c r="AB4056">
        <v>29</v>
      </c>
      <c r="AC4056">
        <v>-14.433400000000001</v>
      </c>
      <c r="AD4056">
        <v>-1.1097545583470001</v>
      </c>
      <c r="AE4056">
        <v>-1.19730000000001</v>
      </c>
      <c r="AF4056">
        <v>-1.36528952577133</v>
      </c>
      <c r="AG4056">
        <v>-1.1097545583470001</v>
      </c>
      <c r="AH4056">
        <v>14.3335606570769</v>
      </c>
      <c r="AI4056">
        <v>94.407339049522093</v>
      </c>
      <c r="AJ4056">
        <v>95.441078794099496</v>
      </c>
      <c r="AK4056">
        <v>14.441140252038799</v>
      </c>
      <c r="AL4056">
        <v>88.818633188604494</v>
      </c>
      <c r="AM4056">
        <v>91.970581686790993</v>
      </c>
      <c r="AN4056">
        <v>1.0000000187039699</v>
      </c>
    </row>
    <row r="4057" spans="1:40" x14ac:dyDescent="0.3">
      <c r="A4057" t="str">
        <f>"20200111160538628"</f>
        <v>20200111160538628</v>
      </c>
      <c r="B4057" t="str">
        <f>"1578729938625492"</f>
        <v>1578729938625492</v>
      </c>
      <c r="C4057" t="s">
        <v>40</v>
      </c>
      <c r="D4057">
        <v>7.210521</v>
      </c>
      <c r="E4057">
        <v>0.48002400000000001</v>
      </c>
      <c r="F4057" t="s">
        <v>75</v>
      </c>
      <c r="G4057">
        <v>-315.99489999999997</v>
      </c>
      <c r="H4057" s="1">
        <v>-7.5596810000000003E-6</v>
      </c>
      <c r="I4057">
        <v>141.18979999999999</v>
      </c>
      <c r="J4057">
        <v>-301.80919999999998</v>
      </c>
      <c r="K4057">
        <v>1.1097459999999999</v>
      </c>
      <c r="L4057">
        <v>142.3638</v>
      </c>
      <c r="M4057">
        <v>-0.9998707</v>
      </c>
      <c r="N4057">
        <v>0</v>
      </c>
      <c r="O4057">
        <v>1.2460560000000001E-2</v>
      </c>
      <c r="P4057">
        <v>-0.99971620000000005</v>
      </c>
      <c r="Q4057">
        <v>1.052383E-2</v>
      </c>
      <c r="R4057">
        <v>-2.137607E-2</v>
      </c>
      <c r="S4057">
        <v>-2.9978940000000001</v>
      </c>
      <c r="T4057">
        <v>-0.23029640000000001</v>
      </c>
      <c r="U4057">
        <v>-0.2429047</v>
      </c>
      <c r="V4057">
        <v>-3.381961E-2</v>
      </c>
      <c r="W4057">
        <v>2.072216E-2</v>
      </c>
      <c r="X4057">
        <v>0.99921309999999997</v>
      </c>
      <c r="Y4057">
        <v>-9.2866290000000004E-2</v>
      </c>
      <c r="Z4057">
        <v>-4.5103169999999998E-3</v>
      </c>
      <c r="AA4057">
        <v>0.99566840000000001</v>
      </c>
      <c r="AB4057">
        <v>29</v>
      </c>
      <c r="AC4057">
        <v>-14.185699999999899</v>
      </c>
      <c r="AD4057">
        <v>-1.109753559681</v>
      </c>
      <c r="AE4057">
        <v>-1.1739999999999999</v>
      </c>
      <c r="AF4057">
        <v>-1.3425194139826899</v>
      </c>
      <c r="AG4057">
        <v>-1.109753559681</v>
      </c>
      <c r="AH4057">
        <v>14.084359163902599</v>
      </c>
      <c r="AI4057">
        <v>94.484971886337206</v>
      </c>
      <c r="AJ4057">
        <v>95.4449757502436</v>
      </c>
      <c r="AK4057">
        <v>14.1916554495222</v>
      </c>
      <c r="AL4057">
        <v>88.812622696993202</v>
      </c>
      <c r="AM4057">
        <v>91.9385069065397</v>
      </c>
      <c r="AN4057">
        <v>0.99999999657361305</v>
      </c>
    </row>
    <row r="4058" spans="1:40" x14ac:dyDescent="0.3">
      <c r="A4058" t="str">
        <f>"20200111160538921"</f>
        <v>20200111160538921</v>
      </c>
      <c r="B4058" t="str">
        <f>"1578729938915407"</f>
        <v>1578729938915407</v>
      </c>
      <c r="C4058" t="s">
        <v>40</v>
      </c>
      <c r="D4058">
        <v>5.4695330000000002</v>
      </c>
      <c r="E4058">
        <v>0.48002400000000001</v>
      </c>
      <c r="F4058" t="s">
        <v>75</v>
      </c>
      <c r="G4058">
        <v>-316.23649999999998</v>
      </c>
      <c r="H4058" s="1">
        <v>-7.4579670000000001E-6</v>
      </c>
      <c r="I4058">
        <v>141.21039999999999</v>
      </c>
      <c r="J4058">
        <v>-305.69189999999998</v>
      </c>
      <c r="K4058">
        <v>1.110255</v>
      </c>
      <c r="L4058">
        <v>142.41650000000001</v>
      </c>
      <c r="M4058">
        <v>-0.99986620000000004</v>
      </c>
      <c r="N4058">
        <v>0</v>
      </c>
      <c r="O4058">
        <v>1.2762259999999999E-2</v>
      </c>
      <c r="P4058">
        <v>-0.99975809999999998</v>
      </c>
      <c r="Q4058">
        <v>1.131129E-2</v>
      </c>
      <c r="R4058">
        <v>-1.8866049999999999E-2</v>
      </c>
      <c r="S4058">
        <v>-2.9981689999999999</v>
      </c>
      <c r="T4058">
        <v>-0.23061999999999999</v>
      </c>
      <c r="U4058">
        <v>-0.23968510000000001</v>
      </c>
      <c r="V4058">
        <v>-3.1638230000000003E-2</v>
      </c>
      <c r="W4058">
        <v>2.151401E-2</v>
      </c>
      <c r="X4058">
        <v>0.99926780000000004</v>
      </c>
      <c r="Y4058">
        <v>-9.2097559999999995E-2</v>
      </c>
      <c r="Z4058">
        <v>-4.5100840000000001E-3</v>
      </c>
      <c r="AA4058">
        <v>0.99573979999999995</v>
      </c>
      <c r="AB4058">
        <v>30</v>
      </c>
      <c r="AC4058">
        <v>-10.544600000000001</v>
      </c>
      <c r="AD4058">
        <v>-1.110262457967</v>
      </c>
      <c r="AE4058">
        <v>-1.2061000000000199</v>
      </c>
      <c r="AF4058">
        <v>-1.32607022669882</v>
      </c>
      <c r="AG4058">
        <v>-1.110262457967</v>
      </c>
      <c r="AH4058">
        <v>10.4143806733906</v>
      </c>
      <c r="AI4058">
        <v>96.036861026200398</v>
      </c>
      <c r="AJ4058">
        <v>97.256462398434294</v>
      </c>
      <c r="AK4058">
        <v>10.557010456658601</v>
      </c>
      <c r="AL4058">
        <v>88.767242895897795</v>
      </c>
      <c r="AM4058">
        <v>91.813459506287799</v>
      </c>
      <c r="AN4058">
        <v>0.99999998317032601</v>
      </c>
    </row>
    <row r="4059" spans="1:40" x14ac:dyDescent="0.3">
      <c r="A4059" t="str">
        <f>"20200111160538998"</f>
        <v>20200111160538998</v>
      </c>
      <c r="B4059" t="str">
        <f>"1578729938985679"</f>
        <v>1578729938985679</v>
      </c>
      <c r="C4059" t="s">
        <v>40</v>
      </c>
      <c r="D4059">
        <v>5.794791</v>
      </c>
      <c r="E4059">
        <v>0.48228759999999998</v>
      </c>
      <c r="F4059" t="s">
        <v>41</v>
      </c>
      <c r="G4059">
        <v>-320.25720000000001</v>
      </c>
      <c r="H4059" s="1">
        <v>-4.4856150000000001E-6</v>
      </c>
      <c r="I4059">
        <v>141.29140000000001</v>
      </c>
      <c r="J4059">
        <v>-306.70929999999998</v>
      </c>
      <c r="K4059">
        <v>1.1103670000000001</v>
      </c>
      <c r="L4059">
        <v>142.4272</v>
      </c>
      <c r="M4059">
        <v>-0.99988619999999995</v>
      </c>
      <c r="N4059">
        <v>0</v>
      </c>
      <c r="O4059">
        <v>1.1088499999999999E-2</v>
      </c>
      <c r="P4059">
        <v>-0.99963089999999999</v>
      </c>
      <c r="Q4059">
        <v>1.0207829999999999E-2</v>
      </c>
      <c r="R4059">
        <v>-2.518432E-2</v>
      </c>
      <c r="S4059">
        <v>-2.9988709999999998</v>
      </c>
      <c r="T4059">
        <v>-0.2285942</v>
      </c>
      <c r="U4059">
        <v>-0.23162840000000001</v>
      </c>
      <c r="V4059">
        <v>-3.628638E-2</v>
      </c>
      <c r="W4059">
        <v>2.0407999999999999E-2</v>
      </c>
      <c r="X4059">
        <v>0.9991331</v>
      </c>
      <c r="Y4059">
        <v>-8.7775420000000007E-2</v>
      </c>
      <c r="Z4059">
        <v>-4.1785149999999998E-3</v>
      </c>
      <c r="AA4059">
        <v>0.99613149999999995</v>
      </c>
      <c r="AB4059">
        <v>30</v>
      </c>
      <c r="AC4059">
        <v>-13.5479</v>
      </c>
      <c r="AD4059">
        <v>-1.110371485615</v>
      </c>
      <c r="AE4059">
        <v>-1.1357999999999799</v>
      </c>
      <c r="AF4059">
        <v>-1.2774428778123501</v>
      </c>
      <c r="AG4059">
        <v>-1.110371485615</v>
      </c>
      <c r="AH4059">
        <v>13.4447900952491</v>
      </c>
      <c r="AI4059">
        <v>94.700127772004393</v>
      </c>
      <c r="AJ4059">
        <v>95.427605739449405</v>
      </c>
      <c r="AK4059">
        <v>13.5509101483054</v>
      </c>
      <c r="AL4059">
        <v>88.830626632236701</v>
      </c>
      <c r="AM4059">
        <v>92.079946172894495</v>
      </c>
      <c r="AN4059">
        <v>1.0000000696765501</v>
      </c>
    </row>
    <row r="4060" spans="1:40" x14ac:dyDescent="0.3">
      <c r="A4060" t="str">
        <f>"20200111160539014"</f>
        <v>20200111160539014</v>
      </c>
      <c r="B4060" t="str">
        <f>"1578729939005708"</f>
        <v>1578729939005708</v>
      </c>
      <c r="C4060" t="s">
        <v>40</v>
      </c>
      <c r="D4060">
        <v>5.7707439999999997</v>
      </c>
      <c r="E4060">
        <v>0.48432209999999998</v>
      </c>
      <c r="F4060" t="s">
        <v>41</v>
      </c>
      <c r="G4060">
        <v>-320.80700000000002</v>
      </c>
      <c r="H4060" s="1">
        <v>-4.3069110000000003E-6</v>
      </c>
      <c r="I4060">
        <v>141.33869999999999</v>
      </c>
      <c r="J4060">
        <v>-306.94060000000002</v>
      </c>
      <c r="K4060">
        <v>1.110379</v>
      </c>
      <c r="L4060">
        <v>142.42930000000001</v>
      </c>
      <c r="M4060">
        <v>-0.99989039999999996</v>
      </c>
      <c r="N4060">
        <v>0</v>
      </c>
      <c r="O4060">
        <v>1.068008E-2</v>
      </c>
      <c r="P4060">
        <v>-0.99961580000000005</v>
      </c>
      <c r="Q4060">
        <v>9.9986290000000002E-3</v>
      </c>
      <c r="R4060">
        <v>-2.5855309999999999E-2</v>
      </c>
      <c r="S4060">
        <v>-2.997681</v>
      </c>
      <c r="T4060">
        <v>-0.23610600000000001</v>
      </c>
      <c r="U4060">
        <v>-0.23144529999999999</v>
      </c>
      <c r="V4060">
        <v>-3.654905E-2</v>
      </c>
      <c r="W4060">
        <v>2.0199660000000001E-2</v>
      </c>
      <c r="X4060">
        <v>0.99912769999999995</v>
      </c>
      <c r="Y4060">
        <v>-8.7321819999999994E-2</v>
      </c>
      <c r="Z4060">
        <v>-4.2672350000000003E-3</v>
      </c>
      <c r="AA4060">
        <v>0.99617100000000003</v>
      </c>
      <c r="AB4060">
        <v>30</v>
      </c>
      <c r="AC4060">
        <v>-13.866400000000001</v>
      </c>
      <c r="AD4060">
        <v>-1.1103833069110001</v>
      </c>
      <c r="AE4060">
        <v>-1.09060000000002</v>
      </c>
      <c r="AF4060">
        <v>-1.23079604310923</v>
      </c>
      <c r="AG4060">
        <v>-1.1103833069110001</v>
      </c>
      <c r="AH4060">
        <v>13.766229335341</v>
      </c>
      <c r="AI4060">
        <v>94.593248036576398</v>
      </c>
      <c r="AJ4060">
        <v>95.109054327529506</v>
      </c>
      <c r="AK4060">
        <v>13.865672724437299</v>
      </c>
      <c r="AL4060">
        <v>88.842566026429296</v>
      </c>
      <c r="AM4060">
        <v>92.095000440650594</v>
      </c>
      <c r="AN4060">
        <v>1.0000000101136499</v>
      </c>
    </row>
    <row r="4061" spans="1:40" x14ac:dyDescent="0.3">
      <c r="A4061" t="str">
        <f>"20200111160539031"</f>
        <v>20200111160539031</v>
      </c>
      <c r="B4061" t="str">
        <f>"1578729939026205"</f>
        <v>1578729939026205</v>
      </c>
      <c r="C4061" t="s">
        <v>40</v>
      </c>
      <c r="D4061">
        <v>5.7129729999999999</v>
      </c>
      <c r="E4061">
        <v>0.48616179999999898</v>
      </c>
      <c r="F4061" t="s">
        <v>41</v>
      </c>
      <c r="G4061">
        <v>-320.8732</v>
      </c>
      <c r="H4061" s="1">
        <v>-4.2986900000000002E-6</v>
      </c>
      <c r="I4061">
        <v>141.4194</v>
      </c>
      <c r="J4061">
        <v>-307.15690000000001</v>
      </c>
      <c r="K4061">
        <v>1.1103769999999999</v>
      </c>
      <c r="L4061">
        <v>142.43129999999999</v>
      </c>
      <c r="M4061">
        <v>-0.99989459999999997</v>
      </c>
      <c r="N4061">
        <v>0</v>
      </c>
      <c r="O4061">
        <v>1.0297819999999999E-2</v>
      </c>
      <c r="P4061">
        <v>-0.99959390000000004</v>
      </c>
      <c r="Q4061">
        <v>9.6347150000000003E-3</v>
      </c>
      <c r="R4061">
        <v>-2.6830199999999998E-2</v>
      </c>
      <c r="S4061">
        <v>-2.997925</v>
      </c>
      <c r="T4061">
        <v>-0.2389249</v>
      </c>
      <c r="U4061">
        <v>-0.21728520000000001</v>
      </c>
      <c r="V4061">
        <v>-3.7141500000000001E-2</v>
      </c>
      <c r="W4061">
        <v>1.983733E-2</v>
      </c>
      <c r="X4061">
        <v>0.99911309999999998</v>
      </c>
      <c r="Y4061">
        <v>-8.2264480000000001E-2</v>
      </c>
      <c r="Z4061">
        <v>-4.0870949999999998E-3</v>
      </c>
      <c r="AA4061">
        <v>0.99660219999999999</v>
      </c>
      <c r="AB4061">
        <v>30</v>
      </c>
      <c r="AC4061">
        <v>-13.716299999999899</v>
      </c>
      <c r="AD4061">
        <v>-1.1103812986899999</v>
      </c>
      <c r="AE4061">
        <v>-1.01189999999999</v>
      </c>
      <c r="AF4061">
        <v>-1.14563450229505</v>
      </c>
      <c r="AG4061">
        <v>-1.1103812986899999</v>
      </c>
      <c r="AH4061">
        <v>13.616400286740999</v>
      </c>
      <c r="AI4061">
        <v>94.645661002004402</v>
      </c>
      <c r="AJ4061">
        <v>94.809331982314802</v>
      </c>
      <c r="AK4061">
        <v>13.709550751577799</v>
      </c>
      <c r="AL4061">
        <v>88.863330154007102</v>
      </c>
      <c r="AM4061">
        <v>92.128959900777105</v>
      </c>
      <c r="AN4061">
        <v>0.99999999863769395</v>
      </c>
    </row>
    <row r="4062" spans="1:40" x14ac:dyDescent="0.3">
      <c r="A4062" t="str">
        <f>"20200111160539053"</f>
        <v>20200111160539053</v>
      </c>
      <c r="B4062" t="str">
        <f>"1578729939045726"</f>
        <v>1578729939045726</v>
      </c>
      <c r="C4062" t="s">
        <v>40</v>
      </c>
      <c r="D4062">
        <v>5.7120389999999999</v>
      </c>
      <c r="E4062">
        <v>0.48803750000000001</v>
      </c>
      <c r="F4062" t="s">
        <v>41</v>
      </c>
      <c r="G4062">
        <v>-321.4049</v>
      </c>
      <c r="H4062" s="1">
        <v>-4.1240429999999999E-6</v>
      </c>
      <c r="I4062">
        <v>141.45490000000001</v>
      </c>
      <c r="J4062">
        <v>-307.45780000000002</v>
      </c>
      <c r="K4062">
        <v>1.1103749999999999</v>
      </c>
      <c r="L4062">
        <v>142.43379999999999</v>
      </c>
      <c r="M4062">
        <v>-0.99989989999999995</v>
      </c>
      <c r="N4062">
        <v>0</v>
      </c>
      <c r="O4062">
        <v>9.7688689999999995E-3</v>
      </c>
      <c r="P4062">
        <v>-0.99956900000000004</v>
      </c>
      <c r="Q4062">
        <v>9.7167620000000003E-3</v>
      </c>
      <c r="R4062">
        <v>-2.770707E-2</v>
      </c>
      <c r="S4062">
        <v>-2.997925</v>
      </c>
      <c r="T4062">
        <v>-0.2336357</v>
      </c>
      <c r="U4062">
        <v>-0.2054291</v>
      </c>
      <c r="V4062">
        <v>-3.7489700000000001E-2</v>
      </c>
      <c r="W4062">
        <v>1.992124E-2</v>
      </c>
      <c r="X4062">
        <v>0.99909840000000005</v>
      </c>
      <c r="Y4062">
        <v>-7.7842259999999996E-2</v>
      </c>
      <c r="Z4062">
        <v>-3.784464E-3</v>
      </c>
      <c r="AA4062">
        <v>0.99695849999999997</v>
      </c>
      <c r="AB4062">
        <v>30</v>
      </c>
      <c r="AC4062">
        <v>-13.947099999999899</v>
      </c>
      <c r="AD4062">
        <v>-1.1103791240430001</v>
      </c>
      <c r="AE4062">
        <v>-0.97889999999998101</v>
      </c>
      <c r="AF4062">
        <v>-1.1081186253419699</v>
      </c>
      <c r="AG4062">
        <v>-1.1103791240430001</v>
      </c>
      <c r="AH4062">
        <v>13.8495186891796</v>
      </c>
      <c r="AI4062">
        <v>94.569318801859097</v>
      </c>
      <c r="AJ4062">
        <v>94.574567176754002</v>
      </c>
      <c r="AK4062">
        <v>13.9380786555706</v>
      </c>
      <c r="AL4062">
        <v>88.858521485790703</v>
      </c>
      <c r="AM4062">
        <v>92.148931773161607</v>
      </c>
      <c r="AN4062">
        <v>0.99999997314589295</v>
      </c>
    </row>
    <row r="4063" spans="1:40" x14ac:dyDescent="0.3">
      <c r="A4063" t="str">
        <f>"20200111160539067"</f>
        <v>20200111160539067</v>
      </c>
      <c r="B4063" t="str">
        <f>"1578729939055485"</f>
        <v>1578729939055485</v>
      </c>
      <c r="C4063" t="s">
        <v>40</v>
      </c>
      <c r="D4063">
        <v>5.7523819999999999</v>
      </c>
      <c r="E4063">
        <v>0.48889909999999998</v>
      </c>
      <c r="F4063" t="s">
        <v>41</v>
      </c>
      <c r="G4063">
        <v>-321.55070000000001</v>
      </c>
      <c r="H4063" s="1">
        <v>-4.0868810000000003E-6</v>
      </c>
      <c r="I4063">
        <v>141.52500000000001</v>
      </c>
      <c r="J4063">
        <v>-307.64080000000001</v>
      </c>
      <c r="K4063">
        <v>1.110376</v>
      </c>
      <c r="L4063">
        <v>142.43530000000001</v>
      </c>
      <c r="M4063">
        <v>-0.99990290000000004</v>
      </c>
      <c r="N4063">
        <v>0</v>
      </c>
      <c r="O4063">
        <v>9.4494139999999997E-3</v>
      </c>
      <c r="P4063">
        <v>-0.99956599999999995</v>
      </c>
      <c r="Q4063">
        <v>9.6019230000000001E-3</v>
      </c>
      <c r="R4063">
        <v>-2.7851859999999999E-2</v>
      </c>
      <c r="S4063">
        <v>-2.99823</v>
      </c>
      <c r="T4063">
        <v>-0.23623189999999999</v>
      </c>
      <c r="U4063">
        <v>-0.1933289</v>
      </c>
      <c r="V4063">
        <v>-3.7315889999999997E-2</v>
      </c>
      <c r="W4063">
        <v>1.9808249999999999E-2</v>
      </c>
      <c r="X4063">
        <v>0.99910719999999997</v>
      </c>
      <c r="Y4063">
        <v>-7.3518710000000001E-2</v>
      </c>
      <c r="Z4063">
        <v>-3.631511E-3</v>
      </c>
      <c r="AA4063">
        <v>0.99728720000000004</v>
      </c>
      <c r="AB4063">
        <v>30</v>
      </c>
      <c r="AC4063">
        <v>-13.909899999999899</v>
      </c>
      <c r="AD4063">
        <v>-1.1103800868809901</v>
      </c>
      <c r="AE4063">
        <v>-0.91030000000000599</v>
      </c>
      <c r="AF4063">
        <v>-1.0351385815521299</v>
      </c>
      <c r="AG4063">
        <v>-1.1103800868809901</v>
      </c>
      <c r="AH4063">
        <v>13.813031414327099</v>
      </c>
      <c r="AI4063">
        <v>94.583123607760896</v>
      </c>
      <c r="AJ4063">
        <v>94.285693578419497</v>
      </c>
      <c r="AK4063">
        <v>13.896197057956</v>
      </c>
      <c r="AL4063">
        <v>88.864996666696698</v>
      </c>
      <c r="AM4063">
        <v>92.138959334607804</v>
      </c>
      <c r="AN4063">
        <v>1.00000001975319</v>
      </c>
    </row>
    <row r="4064" spans="1:40" x14ac:dyDescent="0.3">
      <c r="A4064" t="str">
        <f>"20200111160539086"</f>
        <v>20200111160539086</v>
      </c>
      <c r="B4064" t="str">
        <f>"1578729939075980"</f>
        <v>1578729939075980</v>
      </c>
      <c r="C4064" t="s">
        <v>40</v>
      </c>
      <c r="D4064">
        <v>5.7531480000000004</v>
      </c>
      <c r="E4064">
        <v>0.49035190000000001</v>
      </c>
      <c r="F4064" t="s">
        <v>41</v>
      </c>
      <c r="G4064">
        <v>-321.61869999999999</v>
      </c>
      <c r="H4064" s="1">
        <v>-4.0705859999999997E-6</v>
      </c>
      <c r="I4064">
        <v>141.56360000000001</v>
      </c>
      <c r="J4064">
        <v>-307.89479999999998</v>
      </c>
      <c r="K4064">
        <v>1.1103809999999901</v>
      </c>
      <c r="L4064">
        <v>142.43729999999999</v>
      </c>
      <c r="M4064">
        <v>-0.99990699999999999</v>
      </c>
      <c r="N4064">
        <v>0</v>
      </c>
      <c r="O4064">
        <v>9.009553E-3</v>
      </c>
      <c r="P4064">
        <v>-0.99955689999999997</v>
      </c>
      <c r="Q4064">
        <v>9.6627810000000005E-3</v>
      </c>
      <c r="R4064">
        <v>-2.815577E-2</v>
      </c>
      <c r="S4064">
        <v>-2.998383</v>
      </c>
      <c r="T4064">
        <v>-0.23818800000000001</v>
      </c>
      <c r="U4064">
        <v>-0.18698119999999999</v>
      </c>
      <c r="V4064">
        <v>-3.7180060000000001E-2</v>
      </c>
      <c r="W4064">
        <v>1.9871659999999999E-2</v>
      </c>
      <c r="X4064">
        <v>0.99911099999999997</v>
      </c>
      <c r="Y4064">
        <v>-7.0978769999999997E-2</v>
      </c>
      <c r="Z4064">
        <v>-3.5260560000000001E-3</v>
      </c>
      <c r="AA4064">
        <v>0.99747160000000001</v>
      </c>
      <c r="AB4064">
        <v>30</v>
      </c>
      <c r="AC4064">
        <v>-13.7239</v>
      </c>
      <c r="AD4064">
        <v>-1.1103850705859999</v>
      </c>
      <c r="AE4064">
        <v>-0.87369999999998504</v>
      </c>
      <c r="AF4064">
        <v>-0.990857012520861</v>
      </c>
      <c r="AG4064">
        <v>-1.1103850705859999</v>
      </c>
      <c r="AH4064">
        <v>13.6266277286001</v>
      </c>
      <c r="AI4064">
        <v>94.646321584910993</v>
      </c>
      <c r="AJ4064">
        <v>94.158929337861395</v>
      </c>
      <c r="AK4064">
        <v>13.7076524568613</v>
      </c>
      <c r="AL4064">
        <v>88.8613628207532</v>
      </c>
      <c r="AM4064">
        <v>92.131172607714305</v>
      </c>
      <c r="AN4064">
        <v>1.00000001502687</v>
      </c>
    </row>
    <row r="4065" spans="1:40" x14ac:dyDescent="0.3">
      <c r="A4065" t="str">
        <f>"20200111160539100"</f>
        <v>20200111160539100</v>
      </c>
      <c r="B4065" t="str">
        <f>"1578729939095500"</f>
        <v>1578729939095500</v>
      </c>
      <c r="C4065" t="s">
        <v>40</v>
      </c>
      <c r="D4065">
        <v>5.7550569999999999</v>
      </c>
      <c r="E4065">
        <v>0.49192770000000002</v>
      </c>
      <c r="F4065" t="s">
        <v>41</v>
      </c>
      <c r="G4065">
        <v>-321.86369999999999</v>
      </c>
      <c r="H4065" s="1">
        <v>-3.9964630000000002E-6</v>
      </c>
      <c r="I4065">
        <v>141.61590000000001</v>
      </c>
      <c r="J4065">
        <v>-308.09789999999998</v>
      </c>
      <c r="K4065">
        <v>1.110384</v>
      </c>
      <c r="L4065">
        <v>142.43879999999999</v>
      </c>
      <c r="M4065">
        <v>-0.99990990000000002</v>
      </c>
      <c r="N4065">
        <v>0</v>
      </c>
      <c r="O4065">
        <v>8.6606019999999999E-3</v>
      </c>
      <c r="P4065">
        <v>-0.99954770000000004</v>
      </c>
      <c r="Q4065">
        <v>1.0233900000000001E-2</v>
      </c>
      <c r="R4065">
        <v>-2.8278020000000001E-2</v>
      </c>
      <c r="S4065">
        <v>-2.998688</v>
      </c>
      <c r="T4065">
        <v>-0.23836550000000001</v>
      </c>
      <c r="U4065">
        <v>-0.17631529999999901</v>
      </c>
      <c r="V4065">
        <v>-3.6953809999999997E-2</v>
      </c>
      <c r="W4065">
        <v>2.044518E-2</v>
      </c>
      <c r="X4065">
        <v>0.99910779999999999</v>
      </c>
      <c r="Y4065">
        <v>-6.7101839999999996E-2</v>
      </c>
      <c r="Z4065">
        <v>-3.3473040000000002E-3</v>
      </c>
      <c r="AA4065">
        <v>0.99774050000000003</v>
      </c>
      <c r="AB4065">
        <v>30</v>
      </c>
      <c r="AC4065">
        <v>-13.7658</v>
      </c>
      <c r="AD4065">
        <v>-1.1103879964629999</v>
      </c>
      <c r="AE4065">
        <v>-0.82289999999997498</v>
      </c>
      <c r="AF4065">
        <v>-0.93602695867510799</v>
      </c>
      <c r="AG4065">
        <v>-1.1103879964629999</v>
      </c>
      <c r="AH4065">
        <v>13.6695325447595</v>
      </c>
      <c r="AI4065">
        <v>94.633187308862503</v>
      </c>
      <c r="AJ4065">
        <v>93.917237614879994</v>
      </c>
      <c r="AK4065">
        <v>13.746462379910501</v>
      </c>
      <c r="AL4065">
        <v>88.828495840599302</v>
      </c>
      <c r="AM4065">
        <v>92.118222515191704</v>
      </c>
      <c r="AN4065">
        <v>0.99999999273979401</v>
      </c>
    </row>
    <row r="4066" spans="1:40" x14ac:dyDescent="0.3">
      <c r="A4066" t="str">
        <f>"20200111160539115"</f>
        <v>20200111160539115</v>
      </c>
      <c r="B4066" t="str">
        <f>"1578729939105769"</f>
        <v>1578729939105769</v>
      </c>
      <c r="C4066" t="s">
        <v>40</v>
      </c>
      <c r="D4066">
        <v>5.7473390000000002</v>
      </c>
      <c r="E4066">
        <v>0.49271979999999999</v>
      </c>
      <c r="F4066" t="s">
        <v>41</v>
      </c>
      <c r="G4066">
        <v>-322.1524</v>
      </c>
      <c r="H4066" s="1">
        <v>-3.8952600000000004E-6</v>
      </c>
      <c r="I4066">
        <v>141.66980000000001</v>
      </c>
      <c r="J4066">
        <v>-308.28449999999998</v>
      </c>
      <c r="K4066">
        <v>1.1103860000000001</v>
      </c>
      <c r="L4066">
        <v>142.44</v>
      </c>
      <c r="M4066">
        <v>-0.99991260000000004</v>
      </c>
      <c r="N4066">
        <v>0</v>
      </c>
      <c r="O4066">
        <v>8.3411030000000008E-3</v>
      </c>
      <c r="P4066">
        <v>-0.99953840000000005</v>
      </c>
      <c r="Q4066">
        <v>1.092136E-2</v>
      </c>
      <c r="R4066">
        <v>-2.8354339999999999E-2</v>
      </c>
      <c r="S4066">
        <v>-2.9991759999999998</v>
      </c>
      <c r="T4066">
        <v>-0.2369532</v>
      </c>
      <c r="U4066">
        <v>-0.164077799999999</v>
      </c>
      <c r="V4066">
        <v>-3.6711750000000001E-2</v>
      </c>
      <c r="W4066">
        <v>2.113454E-2</v>
      </c>
      <c r="X4066">
        <v>0.99910239999999995</v>
      </c>
      <c r="Y4066">
        <v>-6.2732280000000001E-2</v>
      </c>
      <c r="Z4066">
        <v>-3.129972E-3</v>
      </c>
      <c r="AA4066">
        <v>0.99802550000000001</v>
      </c>
      <c r="AB4066">
        <v>30</v>
      </c>
      <c r="AC4066">
        <v>-13.867900000000001</v>
      </c>
      <c r="AD4066">
        <v>-1.11038989526</v>
      </c>
      <c r="AE4066">
        <v>-0.77019999999998801</v>
      </c>
      <c r="AF4066">
        <v>-0.88022703972835303</v>
      </c>
      <c r="AG4066">
        <v>-1.11038989526</v>
      </c>
      <c r="AH4066">
        <v>13.7729651281676</v>
      </c>
      <c r="AI4066">
        <v>94.599928432358794</v>
      </c>
      <c r="AJ4066">
        <v>93.656786862408694</v>
      </c>
      <c r="AK4066">
        <v>13.8456611897982</v>
      </c>
      <c r="AL4066">
        <v>88.788989907620206</v>
      </c>
      <c r="AM4066">
        <v>92.104371317709095</v>
      </c>
      <c r="AN4066">
        <v>1.0000000135274101</v>
      </c>
    </row>
    <row r="4067" spans="1:40" x14ac:dyDescent="0.3">
      <c r="A4067" t="str">
        <f>"20200111160539154"</f>
        <v>20200111160539154</v>
      </c>
      <c r="B4067" t="str">
        <f>"1578729939145788"</f>
        <v>1578729939145788</v>
      </c>
      <c r="C4067" t="s">
        <v>40</v>
      </c>
      <c r="D4067">
        <v>5.1380080000000001</v>
      </c>
      <c r="E4067">
        <v>0.49254609999999899</v>
      </c>
      <c r="F4067" t="s">
        <v>41</v>
      </c>
      <c r="G4067">
        <v>-322.4701</v>
      </c>
      <c r="H4067" s="1">
        <v>-3.765062E-6</v>
      </c>
      <c r="I4067">
        <v>141.6926</v>
      </c>
      <c r="J4067">
        <v>-308.81119999999999</v>
      </c>
      <c r="K4067">
        <v>1.110398</v>
      </c>
      <c r="L4067">
        <v>142.4434</v>
      </c>
      <c r="M4067">
        <v>-0.99991969999999997</v>
      </c>
      <c r="N4067">
        <v>0</v>
      </c>
      <c r="O4067">
        <v>7.4469649999999998E-3</v>
      </c>
      <c r="P4067">
        <v>-0.99955369999999999</v>
      </c>
      <c r="Q4067">
        <v>1.347868E-2</v>
      </c>
      <c r="R4067">
        <v>-2.6658850000000001E-2</v>
      </c>
      <c r="S4067">
        <v>-2.9994809999999998</v>
      </c>
      <c r="T4067">
        <v>-0.234789</v>
      </c>
      <c r="U4067">
        <v>-0.15801999999999999</v>
      </c>
      <c r="V4067">
        <v>-3.4125629999999997E-2</v>
      </c>
      <c r="W4067">
        <v>2.370071E-2</v>
      </c>
      <c r="X4067">
        <v>0.99913649999999998</v>
      </c>
      <c r="Y4067">
        <v>-5.983981E-2</v>
      </c>
      <c r="Z4067">
        <v>-2.9185230000000001E-3</v>
      </c>
      <c r="AA4067">
        <v>0.99820379999999997</v>
      </c>
      <c r="AB4067">
        <v>30</v>
      </c>
      <c r="AC4067">
        <v>-13.658899999999999</v>
      </c>
      <c r="AD4067">
        <v>-1.1104017650619999</v>
      </c>
      <c r="AE4067">
        <v>-0.75079999999999802</v>
      </c>
      <c r="AF4067">
        <v>-0.84692152222700201</v>
      </c>
      <c r="AG4067">
        <v>-1.1104017650619999</v>
      </c>
      <c r="AH4067">
        <v>13.563559627146001</v>
      </c>
      <c r="AI4067">
        <v>94.671113624788404</v>
      </c>
      <c r="AJ4067">
        <v>93.572964100928999</v>
      </c>
      <c r="AK4067">
        <v>13.6352637636318</v>
      </c>
      <c r="AL4067">
        <v>88.641922200177703</v>
      </c>
      <c r="AM4067">
        <v>91.956183953448402</v>
      </c>
      <c r="AN4067">
        <v>1.00000001395482</v>
      </c>
    </row>
    <row r="4068" spans="1:40" x14ac:dyDescent="0.3">
      <c r="A4068" t="str">
        <f>"20200111160539170"</f>
        <v>20200111160539170</v>
      </c>
      <c r="B4068" t="str">
        <f>"1578729939166281"</f>
        <v>1578729939166281</v>
      </c>
      <c r="C4068" t="s">
        <v>40</v>
      </c>
      <c r="D4068">
        <v>5.3738599999999996</v>
      </c>
      <c r="E4068">
        <v>0.41615649999999998</v>
      </c>
      <c r="F4068" t="s">
        <v>41</v>
      </c>
      <c r="G4068">
        <v>-324.40210000000002</v>
      </c>
      <c r="H4068" s="1">
        <v>-2.9231640000000001E-6</v>
      </c>
      <c r="I4068">
        <v>141.64349999999999</v>
      </c>
      <c r="J4068">
        <v>-309.01389999999998</v>
      </c>
      <c r="K4068">
        <v>1.1103989999999999</v>
      </c>
      <c r="L4068">
        <v>142.44460000000001</v>
      </c>
      <c r="M4068">
        <v>-0.99992210000000004</v>
      </c>
      <c r="N4068">
        <v>0</v>
      </c>
      <c r="O4068">
        <v>7.1061609999999997E-3</v>
      </c>
      <c r="P4068">
        <v>-0.99955079999999996</v>
      </c>
      <c r="Q4068">
        <v>1.3746619999999999E-2</v>
      </c>
      <c r="R4068">
        <v>-2.663285E-2</v>
      </c>
      <c r="S4068">
        <v>-3.0001530000000001</v>
      </c>
      <c r="T4068">
        <v>-0.213675</v>
      </c>
      <c r="U4068">
        <v>-0.15391540000000001</v>
      </c>
      <c r="V4068">
        <v>-3.3758549999999998E-2</v>
      </c>
      <c r="W4068">
        <v>2.3970999999999999E-2</v>
      </c>
      <c r="X4068">
        <v>0.99914250000000004</v>
      </c>
      <c r="Y4068">
        <v>-5.8166139999999998E-2</v>
      </c>
      <c r="Z4068">
        <v>-2.5725489999999999E-3</v>
      </c>
      <c r="AA4068">
        <v>0.99830359999999996</v>
      </c>
      <c r="AB4068">
        <v>30</v>
      </c>
      <c r="AC4068">
        <v>-15.388199999999999</v>
      </c>
      <c r="AD4068">
        <v>-1.1104019231640001</v>
      </c>
      <c r="AE4068">
        <v>-0.80110000000001902</v>
      </c>
      <c r="AF4068">
        <v>-0.90573317996776004</v>
      </c>
      <c r="AG4068">
        <v>-1.1104019231640001</v>
      </c>
      <c r="AH4068">
        <v>15.3026533401394</v>
      </c>
      <c r="AI4068">
        <v>94.143037445941303</v>
      </c>
      <c r="AJ4068">
        <v>93.387269843094302</v>
      </c>
      <c r="AK4068">
        <v>15.3695980517625</v>
      </c>
      <c r="AL4068">
        <v>88.626431292653095</v>
      </c>
      <c r="AM4068">
        <v>91.935146295189099</v>
      </c>
      <c r="AN4068">
        <v>0.99999999192267597</v>
      </c>
    </row>
    <row r="4069" spans="1:40" x14ac:dyDescent="0.3">
      <c r="A4069" t="str">
        <f>"20200111160539186"</f>
        <v>20200111160539186</v>
      </c>
      <c r="B4069" t="str">
        <f>"1578729939176042"</f>
        <v>1578729939176042</v>
      </c>
      <c r="C4069" t="s">
        <v>40</v>
      </c>
      <c r="D4069">
        <v>5.6263839999999998</v>
      </c>
      <c r="E4069">
        <v>0.41705829999999999</v>
      </c>
      <c r="F4069" t="s">
        <v>41</v>
      </c>
      <c r="G4069">
        <v>-346.6653</v>
      </c>
      <c r="H4069" s="1">
        <v>-2.9108050000000001E-6</v>
      </c>
      <c r="I4069">
        <v>132.88910000000001</v>
      </c>
      <c r="J4069">
        <v>-309.24549999999999</v>
      </c>
      <c r="K4069">
        <v>1.1104019999999999</v>
      </c>
      <c r="L4069">
        <v>142.44579999999999</v>
      </c>
      <c r="M4069">
        <v>-0.99992479999999995</v>
      </c>
      <c r="N4069">
        <v>0</v>
      </c>
      <c r="O4069">
        <v>6.7194150000000003E-3</v>
      </c>
      <c r="P4069">
        <v>-0.99952129999999995</v>
      </c>
      <c r="Q4069">
        <v>1.5187030000000001E-2</v>
      </c>
      <c r="R4069">
        <v>-2.6959919999999998E-2</v>
      </c>
      <c r="S4069">
        <v>-2.9824220000000001</v>
      </c>
      <c r="T4069">
        <v>-8.7956790000000007E-2</v>
      </c>
      <c r="U4069">
        <v>-0.75689700000000004</v>
      </c>
      <c r="V4069">
        <v>-3.370066E-2</v>
      </c>
      <c r="W4069">
        <v>2.5413939999999999E-2</v>
      </c>
      <c r="X4069">
        <v>0.99910880000000002</v>
      </c>
      <c r="Y4069">
        <v>-0.252389799999999</v>
      </c>
      <c r="Z4069">
        <v>-3.8579600000000001E-3</v>
      </c>
      <c r="AA4069">
        <v>0.96761799999999998</v>
      </c>
      <c r="AB4069">
        <v>30</v>
      </c>
      <c r="AC4069">
        <v>-37.419800000000002</v>
      </c>
      <c r="AD4069">
        <v>-1.110404910805</v>
      </c>
      <c r="AE4069">
        <v>-9.5566999999999709</v>
      </c>
      <c r="AF4069">
        <v>-9.7998356516795102</v>
      </c>
      <c r="AG4069">
        <v>-1.110404910805</v>
      </c>
      <c r="AH4069">
        <v>37.323882761382599</v>
      </c>
      <c r="AI4069">
        <v>91.648241852300202</v>
      </c>
      <c r="AJ4069">
        <v>104.71163055774799</v>
      </c>
      <c r="AK4069">
        <v>38.604947898570003</v>
      </c>
      <c r="AL4069">
        <v>88.543731706771297</v>
      </c>
      <c r="AM4069">
        <v>91.9318954862065</v>
      </c>
      <c r="AN4069">
        <v>0.99999999853409904</v>
      </c>
    </row>
    <row r="4070" spans="1:40" x14ac:dyDescent="0.3">
      <c r="A4070" t="str">
        <f>"20200111160539201"</f>
        <v>20200111160539201</v>
      </c>
      <c r="B4070" t="str">
        <f>"1578729939195561"</f>
        <v>1578729939195561</v>
      </c>
      <c r="C4070" t="s">
        <v>40</v>
      </c>
      <c r="D4070">
        <v>5.6416170000000001</v>
      </c>
      <c r="E4070">
        <v>0.41991400000000001</v>
      </c>
      <c r="F4070" t="s">
        <v>41</v>
      </c>
      <c r="G4070">
        <v>-371.27820000000003</v>
      </c>
      <c r="H4070">
        <v>7.9986580000000002E-2</v>
      </c>
      <c r="I4070">
        <v>126.8676</v>
      </c>
      <c r="J4070">
        <v>-309.45429999999999</v>
      </c>
      <c r="K4070">
        <v>1.1104019999999999</v>
      </c>
      <c r="L4070">
        <v>142.4469</v>
      </c>
      <c r="M4070">
        <v>-0.99992700000000001</v>
      </c>
      <c r="N4070">
        <v>0</v>
      </c>
      <c r="O4070">
        <v>6.3734990000000004E-3</v>
      </c>
      <c r="P4070">
        <v>-0.9995134</v>
      </c>
      <c r="Q4070">
        <v>1.5919630000000001E-2</v>
      </c>
      <c r="R4070">
        <v>-2.6833340000000001E-2</v>
      </c>
      <c r="S4070">
        <v>-2.9819640000000001</v>
      </c>
      <c r="T4070">
        <v>-4.9532890000000003E-2</v>
      </c>
      <c r="U4070">
        <v>-0.74885559999999995</v>
      </c>
      <c r="V4070">
        <v>-3.3228380000000002E-2</v>
      </c>
      <c r="W4070">
        <v>2.6149459999999999E-2</v>
      </c>
      <c r="X4070">
        <v>0.99910560000000004</v>
      </c>
      <c r="Y4070">
        <v>-0.24970919999999999</v>
      </c>
      <c r="Z4070">
        <v>-2.1463670000000002E-3</v>
      </c>
      <c r="AA4070">
        <v>0.96831849999999997</v>
      </c>
      <c r="AB4070">
        <v>30</v>
      </c>
      <c r="AC4070">
        <v>-61.823900000000002</v>
      </c>
      <c r="AD4070">
        <v>-1.03041542</v>
      </c>
      <c r="AE4070">
        <v>-15.5793</v>
      </c>
      <c r="AF4070">
        <v>-15.968867788291201</v>
      </c>
      <c r="AG4070">
        <v>-1.03041542</v>
      </c>
      <c r="AH4070">
        <v>61.707226327944099</v>
      </c>
      <c r="AI4070">
        <v>90.926158148605793</v>
      </c>
      <c r="AJ4070">
        <v>104.508958503386</v>
      </c>
      <c r="AK4070">
        <v>63.748319785432898</v>
      </c>
      <c r="AL4070">
        <v>88.501575442980894</v>
      </c>
      <c r="AM4070">
        <v>91.904848145860399</v>
      </c>
      <c r="AN4070">
        <v>0.99999995972353695</v>
      </c>
    </row>
    <row r="4071" spans="1:40" x14ac:dyDescent="0.3">
      <c r="A4071" t="str">
        <f>"20200111160539220"</f>
        <v>20200111160539220</v>
      </c>
      <c r="B4071" t="str">
        <f>"1578729939215589"</f>
        <v>1578729939215589</v>
      </c>
      <c r="C4071" t="s">
        <v>40</v>
      </c>
      <c r="D4071">
        <v>5.598147</v>
      </c>
      <c r="E4071">
        <v>0.42116520000000002</v>
      </c>
      <c r="F4071" t="s">
        <v>41</v>
      </c>
      <c r="G4071">
        <v>-354.71190000000001</v>
      </c>
      <c r="H4071" s="1">
        <v>-3.9676589999999996E-6</v>
      </c>
      <c r="I4071">
        <v>131.41540000000001</v>
      </c>
      <c r="J4071">
        <v>-309.70429999999999</v>
      </c>
      <c r="K4071">
        <v>1.1104019999999999</v>
      </c>
      <c r="L4071">
        <v>142.44799999999901</v>
      </c>
      <c r="M4071">
        <v>-0.99992970000000003</v>
      </c>
      <c r="N4071">
        <v>0</v>
      </c>
      <c r="O4071">
        <v>5.9619620000000003E-3</v>
      </c>
      <c r="P4071">
        <v>-0.9995153</v>
      </c>
      <c r="Q4071">
        <v>1.7299470000000001E-2</v>
      </c>
      <c r="R4071">
        <v>-2.5886139999999998E-2</v>
      </c>
      <c r="S4071">
        <v>-2.9831240000000001</v>
      </c>
      <c r="T4071">
        <v>-7.3191640000000002E-2</v>
      </c>
      <c r="U4071">
        <v>-0.72712710000000003</v>
      </c>
      <c r="V4071">
        <v>-3.1871299999999998E-2</v>
      </c>
      <c r="W4071">
        <v>2.753369E-2</v>
      </c>
      <c r="X4071">
        <v>0.99911269999999996</v>
      </c>
      <c r="Y4071">
        <v>-0.24253140000000001</v>
      </c>
      <c r="Z4071">
        <v>-3.0761130000000001E-3</v>
      </c>
      <c r="AA4071">
        <v>0.97013870000000002</v>
      </c>
      <c r="AB4071">
        <v>30</v>
      </c>
      <c r="AC4071">
        <v>-45.007599999999996</v>
      </c>
      <c r="AD4071">
        <v>-1.1104059676589999</v>
      </c>
      <c r="AE4071">
        <v>-11.032599999999899</v>
      </c>
      <c r="AF4071">
        <v>-11.294266623780199</v>
      </c>
      <c r="AG4071">
        <v>-1.1104059676589999</v>
      </c>
      <c r="AH4071">
        <v>44.915231062575998</v>
      </c>
      <c r="AI4071">
        <v>91.373453015238198</v>
      </c>
      <c r="AJ4071">
        <v>104.114806693891</v>
      </c>
      <c r="AK4071">
        <v>46.326789672786902</v>
      </c>
      <c r="AL4071">
        <v>88.4222364303766</v>
      </c>
      <c r="AM4071">
        <v>91.827093134446301</v>
      </c>
      <c r="AN4071">
        <v>1.0000000355749901</v>
      </c>
    </row>
    <row r="4072" spans="1:40" x14ac:dyDescent="0.3">
      <c r="A4072" t="str">
        <f>"20200111160539244"</f>
        <v>20200111160539244</v>
      </c>
      <c r="B4072" t="str">
        <f>"1578729939236085"</f>
        <v>1578729939236085</v>
      </c>
      <c r="C4072" t="s">
        <v>40</v>
      </c>
      <c r="D4072">
        <v>5.563752</v>
      </c>
      <c r="E4072">
        <v>0.421852</v>
      </c>
      <c r="F4072" t="s">
        <v>41</v>
      </c>
      <c r="G4072">
        <v>-354.67570000000001</v>
      </c>
      <c r="H4072" s="1">
        <v>-3.9094100000000001E-6</v>
      </c>
      <c r="I4072">
        <v>131.6806</v>
      </c>
      <c r="J4072">
        <v>-310.02749999999997</v>
      </c>
      <c r="K4072">
        <v>1.110401</v>
      </c>
      <c r="L4072">
        <v>142.4494</v>
      </c>
      <c r="M4072">
        <v>-0.99993240000000005</v>
      </c>
      <c r="N4072">
        <v>0</v>
      </c>
      <c r="O4072">
        <v>5.4347989999999997E-3</v>
      </c>
      <c r="P4072">
        <v>-0.99952459999999999</v>
      </c>
      <c r="Q4072">
        <v>1.7630170000000001E-2</v>
      </c>
      <c r="R4072">
        <v>-2.5298399999999999E-2</v>
      </c>
      <c r="S4072">
        <v>-2.9842529999999998</v>
      </c>
      <c r="T4072">
        <v>-7.3685290000000001E-2</v>
      </c>
      <c r="U4072">
        <v>-0.71450809999999998</v>
      </c>
      <c r="V4072">
        <v>-3.0756660000000002E-2</v>
      </c>
      <c r="W4072">
        <v>2.786926E-2</v>
      </c>
      <c r="X4072">
        <v>0.99913830000000003</v>
      </c>
      <c r="Y4072">
        <v>-0.2380573</v>
      </c>
      <c r="Z4072">
        <v>-3.0299340000000002E-3</v>
      </c>
      <c r="AA4072">
        <v>0.97124639999999995</v>
      </c>
      <c r="AB4072">
        <v>30</v>
      </c>
      <c r="AC4072">
        <v>-44.648200000000003</v>
      </c>
      <c r="AD4072">
        <v>-1.1104049094099999</v>
      </c>
      <c r="AE4072">
        <v>-10.768800000000001</v>
      </c>
      <c r="AF4072">
        <v>-11.004875208338399</v>
      </c>
      <c r="AG4072">
        <v>-1.1104049094099999</v>
      </c>
      <c r="AH4072">
        <v>44.562963328864498</v>
      </c>
      <c r="AI4072">
        <v>91.385768394377706</v>
      </c>
      <c r="AJ4072">
        <v>103.87171551706901</v>
      </c>
      <c r="AK4072">
        <v>45.915117097353303</v>
      </c>
      <c r="AL4072">
        <v>88.403002256371295</v>
      </c>
      <c r="AM4072">
        <v>91.763189835495098</v>
      </c>
      <c r="AN4072">
        <v>1.0000000051570901</v>
      </c>
    </row>
    <row r="4073" spans="1:40" x14ac:dyDescent="0.3">
      <c r="A4073" t="str">
        <f>"20200111160539265"</f>
        <v>20200111160539265</v>
      </c>
      <c r="B4073" t="str">
        <f>"1578729939255605"</f>
        <v>1578729939255605</v>
      </c>
      <c r="C4073" t="s">
        <v>40</v>
      </c>
      <c r="D4073">
        <v>5.680917</v>
      </c>
      <c r="E4073">
        <v>0.4222921</v>
      </c>
      <c r="F4073" t="s">
        <v>41</v>
      </c>
      <c r="G4073">
        <v>-352.57060000000001</v>
      </c>
      <c r="H4073" s="1">
        <v>-4.4558279999999997E-6</v>
      </c>
      <c r="I4073">
        <v>132.3646</v>
      </c>
      <c r="J4073">
        <v>-310.31279999999998</v>
      </c>
      <c r="K4073">
        <v>1.1103970000000001</v>
      </c>
      <c r="L4073">
        <v>142.45050000000001</v>
      </c>
      <c r="M4073">
        <v>-0.99993489999999996</v>
      </c>
      <c r="N4073">
        <v>0</v>
      </c>
      <c r="O4073">
        <v>4.9741439999999998E-3</v>
      </c>
      <c r="P4073">
        <v>-0.99953510000000001</v>
      </c>
      <c r="Q4073">
        <v>1.7146599999999901E-2</v>
      </c>
      <c r="R4073">
        <v>-2.520973E-2</v>
      </c>
      <c r="S4073">
        <v>-2.9848940000000002</v>
      </c>
      <c r="T4073">
        <v>-7.7907920000000006E-2</v>
      </c>
      <c r="U4073">
        <v>-0.70756529999999995</v>
      </c>
      <c r="V4073">
        <v>-3.020726E-2</v>
      </c>
      <c r="W4073">
        <v>2.738927E-2</v>
      </c>
      <c r="X4073">
        <v>0.99916830000000001</v>
      </c>
      <c r="Y4073">
        <v>-0.23541670000000001</v>
      </c>
      <c r="Z4073">
        <v>-3.1578489999999999E-3</v>
      </c>
      <c r="AA4073">
        <v>0.97188940000000001</v>
      </c>
      <c r="AB4073">
        <v>30</v>
      </c>
      <c r="AC4073">
        <v>-42.257800000000003</v>
      </c>
      <c r="AD4073">
        <v>-1.11040145582799</v>
      </c>
      <c r="AE4073">
        <v>-10.085900000000001</v>
      </c>
      <c r="AF4073">
        <v>-10.289261128636101</v>
      </c>
      <c r="AG4073">
        <v>-1.11040145582799</v>
      </c>
      <c r="AH4073">
        <v>42.1795516402793</v>
      </c>
      <c r="AI4073">
        <v>91.465055968562396</v>
      </c>
      <c r="AJ4073">
        <v>103.708968263036</v>
      </c>
      <c r="AK4073">
        <v>43.430593624095799</v>
      </c>
      <c r="AL4073">
        <v>88.430514107360807</v>
      </c>
      <c r="AM4073">
        <v>91.731661720309006</v>
      </c>
      <c r="AN4073">
        <v>0.99999997119636397</v>
      </c>
    </row>
    <row r="4074" spans="1:40" x14ac:dyDescent="0.3">
      <c r="A4074" t="str">
        <f>"20200111160539280"</f>
        <v>20200111160539280</v>
      </c>
      <c r="B4074" t="str">
        <f>"1578729939276101"</f>
        <v>1578729939276101</v>
      </c>
      <c r="C4074" t="s">
        <v>40</v>
      </c>
      <c r="D4074">
        <v>5.5080739999999997</v>
      </c>
      <c r="E4074">
        <v>0.4229154</v>
      </c>
      <c r="F4074" t="s">
        <v>41</v>
      </c>
      <c r="G4074">
        <v>-349.28050000000002</v>
      </c>
      <c r="H4074" s="1">
        <v>-1.922124E-6</v>
      </c>
      <c r="I4074">
        <v>133.26009999999999</v>
      </c>
      <c r="J4074">
        <v>-310.51549999999997</v>
      </c>
      <c r="K4074">
        <v>1.11039</v>
      </c>
      <c r="L4074">
        <v>142.4512</v>
      </c>
      <c r="M4074">
        <v>-0.9999363</v>
      </c>
      <c r="N4074">
        <v>0</v>
      </c>
      <c r="O4074">
        <v>4.6488950000000001E-3</v>
      </c>
      <c r="P4074">
        <v>-0.99953570000000003</v>
      </c>
      <c r="Q4074">
        <v>1.701751E-2</v>
      </c>
      <c r="R4074">
        <v>-2.527225E-2</v>
      </c>
      <c r="S4074">
        <v>-2.985077</v>
      </c>
      <c r="T4074">
        <v>-8.5061070000000003E-2</v>
      </c>
      <c r="U4074">
        <v>-0.70401000000000002</v>
      </c>
      <c r="V4074">
        <v>-2.9944370000000001E-2</v>
      </c>
      <c r="W4074">
        <v>2.7262950000000001E-2</v>
      </c>
      <c r="X4074">
        <v>0.9991797</v>
      </c>
      <c r="Y4074">
        <v>-0.2339764</v>
      </c>
      <c r="Z4074">
        <v>-3.4185579999999999E-3</v>
      </c>
      <c r="AA4074">
        <v>0.97223630000000005</v>
      </c>
      <c r="AB4074">
        <v>30</v>
      </c>
      <c r="AC4074">
        <v>-38.765000000000001</v>
      </c>
      <c r="AD4074">
        <v>-1.110391922124</v>
      </c>
      <c r="AE4074">
        <v>-9.1911000000000005</v>
      </c>
      <c r="AF4074">
        <v>-9.3639505102966005</v>
      </c>
      <c r="AG4074">
        <v>-1.110391922124</v>
      </c>
      <c r="AH4074">
        <v>38.691793768505299</v>
      </c>
      <c r="AI4074">
        <v>91.597745239148097</v>
      </c>
      <c r="AJ4074">
        <v>103.604784957942</v>
      </c>
      <c r="AK4074">
        <v>39.824256984965203</v>
      </c>
      <c r="AL4074">
        <v>88.437754464364005</v>
      </c>
      <c r="AM4074">
        <v>91.716580767959201</v>
      </c>
      <c r="AN4074">
        <v>1.00000000331474</v>
      </c>
    </row>
    <row r="4075" spans="1:40" x14ac:dyDescent="0.3">
      <c r="A4075" t="str">
        <f>"20200111160539298"</f>
        <v>20200111160539298</v>
      </c>
      <c r="B4075" t="str">
        <f>"1578729939295621"</f>
        <v>1578729939295621</v>
      </c>
      <c r="C4075" t="s">
        <v>40</v>
      </c>
      <c r="D4075">
        <v>5.4202620000000001</v>
      </c>
      <c r="E4075">
        <v>0.4230527</v>
      </c>
      <c r="F4075" t="s">
        <v>41</v>
      </c>
      <c r="G4075">
        <v>-346.30829999999997</v>
      </c>
      <c r="H4075" s="1">
        <v>-2.720291E-6</v>
      </c>
      <c r="I4075">
        <v>134.0617</v>
      </c>
      <c r="J4075">
        <v>-310.75760000000002</v>
      </c>
      <c r="K4075">
        <v>1.1103879999999999</v>
      </c>
      <c r="L4075">
        <v>142.45189999999999</v>
      </c>
      <c r="M4075">
        <v>-0.99993799999999999</v>
      </c>
      <c r="N4075">
        <v>0</v>
      </c>
      <c r="O4075">
        <v>4.2616520000000003E-3</v>
      </c>
      <c r="P4075">
        <v>-0.99953720000000001</v>
      </c>
      <c r="Q4075">
        <v>1.6689639999999999E-2</v>
      </c>
      <c r="R4075">
        <v>-2.5436070000000002E-2</v>
      </c>
      <c r="S4075">
        <v>-2.9852599999999998</v>
      </c>
      <c r="T4075">
        <v>-9.2611310000000002E-2</v>
      </c>
      <c r="U4075">
        <v>-0.69970699999999997</v>
      </c>
      <c r="V4075">
        <v>-2.9720699999999999E-2</v>
      </c>
      <c r="W4075">
        <v>2.693835E-2</v>
      </c>
      <c r="X4075">
        <v>0.99919519999999995</v>
      </c>
      <c r="Y4075">
        <v>-0.23224220000000001</v>
      </c>
      <c r="Z4075">
        <v>-3.6838589999999998E-3</v>
      </c>
      <c r="AA4075">
        <v>0.97265100000000004</v>
      </c>
      <c r="AB4075">
        <v>30</v>
      </c>
      <c r="AC4075">
        <v>-35.5506999999999</v>
      </c>
      <c r="AD4075">
        <v>-1.1103907202909999</v>
      </c>
      <c r="AE4075">
        <v>-8.3901999999999894</v>
      </c>
      <c r="AF4075">
        <v>-8.5337505611448492</v>
      </c>
      <c r="AG4075">
        <v>-1.1103907202909999</v>
      </c>
      <c r="AH4075">
        <v>35.481830656071402</v>
      </c>
      <c r="AI4075">
        <v>91.742799366554394</v>
      </c>
      <c r="AJ4075">
        <v>103.523383090715</v>
      </c>
      <c r="AK4075">
        <v>36.510521399970102</v>
      </c>
      <c r="AL4075">
        <v>88.4563595354863</v>
      </c>
      <c r="AM4075">
        <v>91.703739909212601</v>
      </c>
      <c r="AN4075">
        <v>1.00000002120612</v>
      </c>
    </row>
    <row r="4076" spans="1:40" x14ac:dyDescent="0.3">
      <c r="A4076" t="str">
        <f>"20200111160539321"</f>
        <v>20200111160539321</v>
      </c>
      <c r="B4076" t="str">
        <f>"1578729939315649"</f>
        <v>1578729939315649</v>
      </c>
      <c r="C4076" t="s">
        <v>40</v>
      </c>
      <c r="D4076">
        <v>5.2472560000000001</v>
      </c>
      <c r="E4076">
        <v>0.4228693</v>
      </c>
      <c r="F4076" t="s">
        <v>41</v>
      </c>
      <c r="G4076">
        <v>-344.1696</v>
      </c>
      <c r="H4076" s="1">
        <v>-3.3689699999999999E-6</v>
      </c>
      <c r="I4076">
        <v>134.62450000000001</v>
      </c>
      <c r="J4076">
        <v>-311.06849999999997</v>
      </c>
      <c r="K4076">
        <v>1.110379</v>
      </c>
      <c r="L4076">
        <v>142.45269999999999</v>
      </c>
      <c r="M4076">
        <v>-0.9999401</v>
      </c>
      <c r="N4076">
        <v>0</v>
      </c>
      <c r="O4076">
        <v>3.7651500000000001E-3</v>
      </c>
      <c r="P4076">
        <v>-0.99952660000000004</v>
      </c>
      <c r="Q4076">
        <v>1.585982E-2</v>
      </c>
      <c r="R4076">
        <v>-2.637198E-2</v>
      </c>
      <c r="S4076">
        <v>-2.9852599999999998</v>
      </c>
      <c r="T4076">
        <v>-9.9210019999999996E-2</v>
      </c>
      <c r="U4076">
        <v>-0.69934079999999998</v>
      </c>
      <c r="V4076">
        <v>-3.0159700000000001E-2</v>
      </c>
      <c r="W4076">
        <v>2.6110850000000001E-2</v>
      </c>
      <c r="X4076">
        <v>0.99920399999999998</v>
      </c>
      <c r="Y4076">
        <v>-0.23163069999999999</v>
      </c>
      <c r="Z4076">
        <v>-3.919957E-3</v>
      </c>
      <c r="AA4076">
        <v>0.97279590000000005</v>
      </c>
      <c r="AB4076">
        <v>30</v>
      </c>
      <c r="AC4076">
        <v>-33.101100000000002</v>
      </c>
      <c r="AD4076">
        <v>-1.1103823689700001</v>
      </c>
      <c r="AE4076">
        <v>-7.8281999999999803</v>
      </c>
      <c r="AF4076">
        <v>-7.9443156236846804</v>
      </c>
      <c r="AG4076">
        <v>-1.1103823689700001</v>
      </c>
      <c r="AH4076">
        <v>33.036183555187598</v>
      </c>
      <c r="AI4076">
        <v>91.871730834681202</v>
      </c>
      <c r="AJ4076">
        <v>103.521364382447</v>
      </c>
      <c r="AK4076">
        <v>33.996095711509099</v>
      </c>
      <c r="AL4076">
        <v>88.503788462180594</v>
      </c>
      <c r="AM4076">
        <v>91.728875216562002</v>
      </c>
      <c r="AN4076">
        <v>1.0000000088039001</v>
      </c>
    </row>
    <row r="4077" spans="1:40" x14ac:dyDescent="0.3">
      <c r="A4077" t="str">
        <f>"20200111160539335"</f>
        <v>20200111160539335</v>
      </c>
      <c r="B4077" t="str">
        <f>"1578729939325410"</f>
        <v>1578729939325410</v>
      </c>
      <c r="C4077" t="s">
        <v>40</v>
      </c>
      <c r="D4077">
        <v>5.2090100000000001</v>
      </c>
      <c r="E4077">
        <v>0.42272270000000001</v>
      </c>
      <c r="F4077" t="s">
        <v>41</v>
      </c>
      <c r="G4077">
        <v>-342.20139999999998</v>
      </c>
      <c r="H4077" s="1">
        <v>-4.1270459999999996E-6</v>
      </c>
      <c r="I4077">
        <v>135.11089999999999</v>
      </c>
      <c r="J4077">
        <v>-311.2629</v>
      </c>
      <c r="K4077">
        <v>1.1103769999999999</v>
      </c>
      <c r="L4077">
        <v>142.45310000000001</v>
      </c>
      <c r="M4077">
        <v>-0.99994110000000003</v>
      </c>
      <c r="N4077">
        <v>0</v>
      </c>
      <c r="O4077">
        <v>3.4553819999999999E-3</v>
      </c>
      <c r="P4077">
        <v>-0.99950950000000005</v>
      </c>
      <c r="Q4077">
        <v>1.56975E-2</v>
      </c>
      <c r="R4077">
        <v>-2.709895E-2</v>
      </c>
      <c r="S4077">
        <v>-2.9844970000000002</v>
      </c>
      <c r="T4077">
        <v>-0.106445</v>
      </c>
      <c r="U4077">
        <v>-0.70379639999999999</v>
      </c>
      <c r="V4077">
        <v>-3.0576720000000002E-2</v>
      </c>
      <c r="W4077">
        <v>2.5950210000000001E-2</v>
      </c>
      <c r="X4077">
        <v>0.99919550000000001</v>
      </c>
      <c r="Y4077">
        <v>-0.23274149999999999</v>
      </c>
      <c r="Z4077">
        <v>-4.2146279999999998E-3</v>
      </c>
      <c r="AA4077">
        <v>0.97252950000000005</v>
      </c>
      <c r="AB4077">
        <v>30</v>
      </c>
      <c r="AC4077">
        <v>-30.938499999999902</v>
      </c>
      <c r="AD4077">
        <v>-1.110381127046</v>
      </c>
      <c r="AE4077">
        <v>-7.3422000000000098</v>
      </c>
      <c r="AF4077">
        <v>-7.4399937378210401</v>
      </c>
      <c r="AG4077">
        <v>-1.110381127046</v>
      </c>
      <c r="AH4077">
        <v>30.8752941178555</v>
      </c>
      <c r="AI4077">
        <v>92.002397654458306</v>
      </c>
      <c r="AJ4077">
        <v>103.54822632557099</v>
      </c>
      <c r="AK4077">
        <v>31.778455593848399</v>
      </c>
      <c r="AL4077">
        <v>88.512995560223303</v>
      </c>
      <c r="AM4077">
        <v>91.752780570191902</v>
      </c>
      <c r="AN4077">
        <v>0.99999999821262597</v>
      </c>
    </row>
    <row r="4078" spans="1:40" x14ac:dyDescent="0.3">
      <c r="A4078" t="str">
        <f>"20200111160539348"</f>
        <v>20200111160539348</v>
      </c>
      <c r="B4078" t="str">
        <f>"1578729939345905"</f>
        <v>1578729939345905</v>
      </c>
      <c r="C4078" t="s">
        <v>40</v>
      </c>
      <c r="D4078">
        <v>5.1600999999999999</v>
      </c>
      <c r="E4078">
        <v>0.42217159999999898</v>
      </c>
      <c r="F4078" t="s">
        <v>41</v>
      </c>
      <c r="G4078">
        <v>-341.03969999999998</v>
      </c>
      <c r="H4078" s="1">
        <v>-4.5751639999999997E-6</v>
      </c>
      <c r="I4078">
        <v>135.39420000000001</v>
      </c>
      <c r="J4078">
        <v>-311.44549999999998</v>
      </c>
      <c r="K4078">
        <v>1.1103780000000001</v>
      </c>
      <c r="L4078">
        <v>142.45339999999999</v>
      </c>
      <c r="M4078">
        <v>-0.9999422</v>
      </c>
      <c r="N4078">
        <v>0</v>
      </c>
      <c r="O4078">
        <v>3.1643880000000002E-3</v>
      </c>
      <c r="P4078">
        <v>-0.99949330000000003</v>
      </c>
      <c r="Q4078">
        <v>1.541494E-2</v>
      </c>
      <c r="R4078">
        <v>-2.7851649999999999E-2</v>
      </c>
      <c r="S4078">
        <v>-2.9840390000000001</v>
      </c>
      <c r="T4078">
        <v>-0.1112754</v>
      </c>
      <c r="U4078">
        <v>-0.70738219999999996</v>
      </c>
      <c r="V4078">
        <v>-3.103815E-2</v>
      </c>
      <c r="W4078">
        <v>2.5668969999999999E-2</v>
      </c>
      <c r="X4078">
        <v>0.99918850000000003</v>
      </c>
      <c r="Y4078">
        <v>-0.23358499999999999</v>
      </c>
      <c r="Z4078">
        <v>-4.4106240000000001E-3</v>
      </c>
      <c r="AA4078">
        <v>0.97232640000000004</v>
      </c>
      <c r="AB4078">
        <v>30</v>
      </c>
      <c r="AC4078">
        <v>-29.594200000000001</v>
      </c>
      <c r="AD4078">
        <v>-1.110382575164</v>
      </c>
      <c r="AE4078">
        <v>-7.0591999999999704</v>
      </c>
      <c r="AF4078">
        <v>-7.1433023654224099</v>
      </c>
      <c r="AG4078">
        <v>-1.110382575164</v>
      </c>
      <c r="AH4078">
        <v>29.532375941338501</v>
      </c>
      <c r="AI4078">
        <v>92.092940919144993</v>
      </c>
      <c r="AJ4078">
        <v>103.597559934326</v>
      </c>
      <c r="AK4078">
        <v>30.404291586676099</v>
      </c>
      <c r="AL4078">
        <v>88.529114739766598</v>
      </c>
      <c r="AM4078">
        <v>91.779227175345099</v>
      </c>
      <c r="AN4078">
        <v>0.999999960654265</v>
      </c>
    </row>
    <row r="4079" spans="1:40" x14ac:dyDescent="0.3">
      <c r="A4079" t="str">
        <f>"20200111160539365"</f>
        <v>20200111160539365</v>
      </c>
      <c r="B4079" t="str">
        <f>"1578729939355668"</f>
        <v>1578729939355668</v>
      </c>
      <c r="C4079" t="s">
        <v>40</v>
      </c>
      <c r="D4079">
        <v>5.1213949999999997</v>
      </c>
      <c r="E4079">
        <v>0.42182560000000002</v>
      </c>
      <c r="F4079" t="s">
        <v>41</v>
      </c>
      <c r="G4079">
        <v>-339.32490000000001</v>
      </c>
      <c r="H4079" s="1">
        <v>-1.264842E-6</v>
      </c>
      <c r="I4079">
        <v>135.77760000000001</v>
      </c>
      <c r="J4079">
        <v>-311.67070000000001</v>
      </c>
      <c r="K4079">
        <v>1.110374</v>
      </c>
      <c r="L4079">
        <v>142.4538</v>
      </c>
      <c r="M4079">
        <v>-0.99994329999999998</v>
      </c>
      <c r="N4079">
        <v>0</v>
      </c>
      <c r="O4079">
        <v>2.805798E-3</v>
      </c>
      <c r="P4079">
        <v>-0.99945969999999995</v>
      </c>
      <c r="Q4079">
        <v>1.4739540000000001E-2</v>
      </c>
      <c r="R4079">
        <v>-2.9386679999999998E-2</v>
      </c>
      <c r="S4079">
        <v>-2.9834900000000002</v>
      </c>
      <c r="T4079">
        <v>-0.11882620000000001</v>
      </c>
      <c r="U4079">
        <v>-0.71440119999999996</v>
      </c>
      <c r="V4079">
        <v>-3.2214079999999999E-2</v>
      </c>
      <c r="W4079">
        <v>2.499494E-2</v>
      </c>
      <c r="X4079">
        <v>0.99916839999999996</v>
      </c>
      <c r="Y4079">
        <v>-0.23541780000000001</v>
      </c>
      <c r="Z4079">
        <v>-4.7311669999999997E-3</v>
      </c>
      <c r="AA4079">
        <v>0.97188280000000005</v>
      </c>
      <c r="AB4079">
        <v>30</v>
      </c>
      <c r="AC4079">
        <v>-27.654199999999999</v>
      </c>
      <c r="AD4079">
        <v>-1.110375264842</v>
      </c>
      <c r="AE4079">
        <v>-6.6761999999999899</v>
      </c>
      <c r="AF4079">
        <v>-6.7434968236008901</v>
      </c>
      <c r="AG4079">
        <v>-1.110375264842</v>
      </c>
      <c r="AH4079">
        <v>27.593322227756399</v>
      </c>
      <c r="AI4079">
        <v>92.238569554662504</v>
      </c>
      <c r="AJ4079">
        <v>103.73325575537299</v>
      </c>
      <c r="AK4079">
        <v>28.427084166398199</v>
      </c>
      <c r="AL4079">
        <v>88.567746259339501</v>
      </c>
      <c r="AM4079">
        <v>91.846627348366397</v>
      </c>
      <c r="AN4079">
        <v>0.99999999276720397</v>
      </c>
    </row>
    <row r="4080" spans="1:40" x14ac:dyDescent="0.3">
      <c r="A4080" t="str">
        <f>"20200111160539387"</f>
        <v>20200111160539387</v>
      </c>
      <c r="B4080" t="str">
        <f>"1578729939376161"</f>
        <v>1578729939376161</v>
      </c>
      <c r="C4080" t="s">
        <v>40</v>
      </c>
      <c r="D4080">
        <v>5.084282</v>
      </c>
      <c r="E4080">
        <v>0.42111939999999998</v>
      </c>
      <c r="F4080" t="s">
        <v>41</v>
      </c>
      <c r="G4080">
        <v>-338.7373</v>
      </c>
      <c r="H4080" s="1">
        <v>-1.457277E-6</v>
      </c>
      <c r="I4080">
        <v>135.9024</v>
      </c>
      <c r="J4080">
        <v>-311.97059999999999</v>
      </c>
      <c r="K4080">
        <v>1.1103780000000001</v>
      </c>
      <c r="L4080">
        <v>142.45410000000001</v>
      </c>
      <c r="M4080">
        <v>-0.99994439999999996</v>
      </c>
      <c r="N4080">
        <v>0</v>
      </c>
      <c r="O4080">
        <v>2.3282899999999998E-3</v>
      </c>
      <c r="P4080">
        <v>-0.99941340000000001</v>
      </c>
      <c r="Q4080">
        <v>1.409471E-2</v>
      </c>
      <c r="R4080">
        <v>-3.121904E-2</v>
      </c>
      <c r="S4080">
        <v>-2.982208</v>
      </c>
      <c r="T4080">
        <v>-0.1223412</v>
      </c>
      <c r="U4080">
        <v>-0.72183229999999998</v>
      </c>
      <c r="V4080">
        <v>-3.3569099999999998E-2</v>
      </c>
      <c r="W4080">
        <v>2.4351879999999999E-2</v>
      </c>
      <c r="X4080">
        <v>0.99913969999999996</v>
      </c>
      <c r="Y4080">
        <v>-0.23732500000000001</v>
      </c>
      <c r="Z4080">
        <v>-4.8908850000000002E-3</v>
      </c>
      <c r="AA4080">
        <v>0.971418</v>
      </c>
      <c r="AB4080">
        <v>30</v>
      </c>
      <c r="AC4080">
        <v>-26.7667</v>
      </c>
      <c r="AD4080">
        <v>-1.110379457277</v>
      </c>
      <c r="AE4080">
        <v>-6.5517000000000101</v>
      </c>
      <c r="AF4080">
        <v>-6.6032849822622897</v>
      </c>
      <c r="AG4080">
        <v>-1.110379457277</v>
      </c>
      <c r="AH4080">
        <v>26.708008848340999</v>
      </c>
      <c r="AI4080">
        <v>92.311176443593993</v>
      </c>
      <c r="AJ4080">
        <v>103.887306554133</v>
      </c>
      <c r="AK4080">
        <v>27.534597359307298</v>
      </c>
      <c r="AL4080">
        <v>88.604602141488897</v>
      </c>
      <c r="AM4080">
        <v>91.924300001342203</v>
      </c>
      <c r="AN4080">
        <v>1.0000000193252101</v>
      </c>
    </row>
    <row r="4081" spans="1:40" x14ac:dyDescent="0.3">
      <c r="A4081" t="str">
        <f>"20200111160539402"</f>
        <v>20200111160539402</v>
      </c>
      <c r="B4081" t="str">
        <f>"1578729939395682"</f>
        <v>1578729939395682</v>
      </c>
      <c r="C4081" t="s">
        <v>40</v>
      </c>
      <c r="D4081">
        <v>5.3028909999999998</v>
      </c>
      <c r="E4081">
        <v>0.42100120000000002</v>
      </c>
      <c r="F4081" t="s">
        <v>41</v>
      </c>
      <c r="G4081">
        <v>-337.80529999999999</v>
      </c>
      <c r="H4081" s="1">
        <v>-1.762704E-6</v>
      </c>
      <c r="I4081">
        <v>136.09970000000001</v>
      </c>
      <c r="J4081">
        <v>-312.17070000000001</v>
      </c>
      <c r="K4081">
        <v>1.1103780000000001</v>
      </c>
      <c r="L4081">
        <v>142.45419999999999</v>
      </c>
      <c r="M4081">
        <v>-0.99994510000000003</v>
      </c>
      <c r="N4081">
        <v>0</v>
      </c>
      <c r="O4081">
        <v>2.0095149999999999E-3</v>
      </c>
      <c r="P4081">
        <v>-0.99939429999999996</v>
      </c>
      <c r="Q4081">
        <v>1.399646E-2</v>
      </c>
      <c r="R4081">
        <v>-3.186804E-2</v>
      </c>
      <c r="S4081">
        <v>-2.9806819999999998</v>
      </c>
      <c r="T4081">
        <v>-0.1281101</v>
      </c>
      <c r="U4081">
        <v>-0.73313899999999999</v>
      </c>
      <c r="V4081">
        <v>-3.3898869999999998E-2</v>
      </c>
      <c r="W4081">
        <v>2.425511E-2</v>
      </c>
      <c r="X4081">
        <v>0.99913090000000004</v>
      </c>
      <c r="Y4081">
        <v>-0.24058450000000001</v>
      </c>
      <c r="Z4081">
        <v>-5.1770820000000004E-3</v>
      </c>
      <c r="AA4081">
        <v>0.97061439999999999</v>
      </c>
      <c r="AB4081">
        <v>30</v>
      </c>
      <c r="AC4081">
        <v>-25.634599999999899</v>
      </c>
      <c r="AD4081">
        <v>-1.110379762704</v>
      </c>
      <c r="AE4081">
        <v>-6.3544999999999696</v>
      </c>
      <c r="AF4081">
        <v>-6.3946995486083704</v>
      </c>
      <c r="AG4081">
        <v>-1.110379762704</v>
      </c>
      <c r="AH4081">
        <v>25.5765682108023</v>
      </c>
      <c r="AI4081">
        <v>92.411729540954099</v>
      </c>
      <c r="AJ4081">
        <v>104.037418881978</v>
      </c>
      <c r="AK4081">
        <v>26.387231135081599</v>
      </c>
      <c r="AL4081">
        <v>88.610148264651897</v>
      </c>
      <c r="AM4081">
        <v>91.9432062685148</v>
      </c>
      <c r="AN4081">
        <v>0.99999999954159902</v>
      </c>
    </row>
    <row r="4082" spans="1:40" x14ac:dyDescent="0.3">
      <c r="A4082" t="str">
        <f>"20200111160539422"</f>
        <v>20200111160539422</v>
      </c>
      <c r="B4082" t="str">
        <f>"1578729939415710"</f>
        <v>1578729939415710</v>
      </c>
      <c r="C4082" t="s">
        <v>40</v>
      </c>
      <c r="D4082">
        <v>5.2542350000000004</v>
      </c>
      <c r="E4082">
        <v>0.42114960000000001</v>
      </c>
      <c r="F4082" t="s">
        <v>41</v>
      </c>
      <c r="G4082">
        <v>-337.4615</v>
      </c>
      <c r="H4082" s="1">
        <v>-1.866144E-6</v>
      </c>
      <c r="I4082">
        <v>136.20699999999999</v>
      </c>
      <c r="J4082">
        <v>-312.4495</v>
      </c>
      <c r="K4082">
        <v>1.1103749999999999</v>
      </c>
      <c r="L4082">
        <v>142.45429999999999</v>
      </c>
      <c r="M4082">
        <v>-0.9999458</v>
      </c>
      <c r="N4082">
        <v>0</v>
      </c>
      <c r="O4082">
        <v>1.5651489999999901E-3</v>
      </c>
      <c r="P4082">
        <v>-0.99935350000000001</v>
      </c>
      <c r="Q4082">
        <v>1.404478E-2</v>
      </c>
      <c r="R4082">
        <v>-3.3095369999999999E-2</v>
      </c>
      <c r="S4082">
        <v>-2.9801639999999998</v>
      </c>
      <c r="T4082">
        <v>-0.13084219999999999</v>
      </c>
      <c r="U4082">
        <v>-0.73614499999999905</v>
      </c>
      <c r="V4082">
        <v>-3.4682060000000001E-2</v>
      </c>
      <c r="W4082">
        <v>2.4305159999999999E-2</v>
      </c>
      <c r="X4082">
        <v>0.99910279999999996</v>
      </c>
      <c r="Y4082">
        <v>-0.24110609999999999</v>
      </c>
      <c r="Z4082">
        <v>-5.2797159999999899E-3</v>
      </c>
      <c r="AA4082">
        <v>0.97048440000000002</v>
      </c>
      <c r="AB4082">
        <v>30</v>
      </c>
      <c r="AC4082">
        <v>-25.011999999999901</v>
      </c>
      <c r="AD4082">
        <v>-1.1103768661440001</v>
      </c>
      <c r="AE4082">
        <v>-6.2472999999999903</v>
      </c>
      <c r="AF4082">
        <v>-6.2748016971122702</v>
      </c>
      <c r="AG4082">
        <v>-1.1103768661440001</v>
      </c>
      <c r="AH4082">
        <v>24.955895816865201</v>
      </c>
      <c r="AI4082">
        <v>92.470808001528397</v>
      </c>
      <c r="AJ4082">
        <v>104.11363492717101</v>
      </c>
      <c r="AK4082">
        <v>25.7566070969214</v>
      </c>
      <c r="AL4082">
        <v>88.6072797596443</v>
      </c>
      <c r="AM4082">
        <v>91.988121811777006</v>
      </c>
      <c r="AN4082">
        <v>0.999999995528154</v>
      </c>
    </row>
    <row r="4083" spans="1:40" x14ac:dyDescent="0.3">
      <c r="A4083" t="str">
        <f>"20200111160539436"</f>
        <v>20200111160539436</v>
      </c>
      <c r="B4083" t="str">
        <f>"1578729939425470"</f>
        <v>1578729939425470</v>
      </c>
      <c r="C4083" t="s">
        <v>40</v>
      </c>
      <c r="D4083">
        <v>5.4057890000000004</v>
      </c>
      <c r="E4083">
        <v>0.42131459999999998</v>
      </c>
      <c r="F4083" t="s">
        <v>41</v>
      </c>
      <c r="G4083">
        <v>-337.6952</v>
      </c>
      <c r="H4083" s="1">
        <v>-1.779236E-6</v>
      </c>
      <c r="I4083">
        <v>136.19649999999999</v>
      </c>
      <c r="J4083">
        <v>-312.64359999999999</v>
      </c>
      <c r="K4083">
        <v>1.1103719999999999</v>
      </c>
      <c r="L4083">
        <v>142.45429999999999</v>
      </c>
      <c r="M4083">
        <v>-0.99994620000000001</v>
      </c>
      <c r="N4083">
        <v>0</v>
      </c>
      <c r="O4083">
        <v>1.255316E-3</v>
      </c>
      <c r="P4083">
        <v>-0.99933369999999999</v>
      </c>
      <c r="Q4083">
        <v>1.407972E-2</v>
      </c>
      <c r="R4083">
        <v>-3.3675820000000002E-2</v>
      </c>
      <c r="S4083">
        <v>-2.9793400000000001</v>
      </c>
      <c r="T4083">
        <v>-0.13103969999999901</v>
      </c>
      <c r="U4083">
        <v>-0.73851009999999995</v>
      </c>
      <c r="V4083">
        <v>-3.4953100000000001E-2</v>
      </c>
      <c r="W4083">
        <v>2.4342340000000001E-2</v>
      </c>
      <c r="X4083">
        <v>0.99909250000000005</v>
      </c>
      <c r="Y4083">
        <v>-0.2415929</v>
      </c>
      <c r="Z4083">
        <v>-5.2857240000000003E-3</v>
      </c>
      <c r="AA4083">
        <v>0.97036330000000004</v>
      </c>
      <c r="AB4083">
        <v>31</v>
      </c>
      <c r="AC4083">
        <v>-25.051600000000001</v>
      </c>
      <c r="AD4083">
        <v>-1.110373779236</v>
      </c>
      <c r="AE4083">
        <v>-6.2577999999999996</v>
      </c>
      <c r="AF4083">
        <v>-6.2776359069590297</v>
      </c>
      <c r="AG4083">
        <v>-1.110373779236</v>
      </c>
      <c r="AH4083">
        <v>24.997499352496</v>
      </c>
      <c r="AI4083">
        <v>92.466871710365098</v>
      </c>
      <c r="AJ4083">
        <v>104.097192952071</v>
      </c>
      <c r="AK4083">
        <v>25.797608733911598</v>
      </c>
      <c r="AL4083">
        <v>88.6051489426995</v>
      </c>
      <c r="AM4083">
        <v>92.003666991105803</v>
      </c>
      <c r="AN4083">
        <v>1.0000000461362599</v>
      </c>
    </row>
    <row r="4084" spans="1:40" x14ac:dyDescent="0.3">
      <c r="A4084" t="str">
        <f>"20200111160539450"</f>
        <v>20200111160539450</v>
      </c>
      <c r="B4084" t="str">
        <f>"1578729939445965"</f>
        <v>1578729939445965</v>
      </c>
      <c r="C4084" t="s">
        <v>40</v>
      </c>
      <c r="D4084">
        <v>5.2020429999999998</v>
      </c>
      <c r="E4084">
        <v>0.42150969999999999</v>
      </c>
      <c r="F4084" t="s">
        <v>41</v>
      </c>
      <c r="G4084">
        <v>-338.00920000000002</v>
      </c>
      <c r="H4084" s="1">
        <v>-1.6677050000000001E-6</v>
      </c>
      <c r="I4084">
        <v>136.16249999999999</v>
      </c>
      <c r="J4084">
        <v>-312.839</v>
      </c>
      <c r="K4084">
        <v>1.1103719999999999</v>
      </c>
      <c r="L4084">
        <v>142.45429999999999</v>
      </c>
      <c r="M4084">
        <v>-0.99994649999999996</v>
      </c>
      <c r="N4084">
        <v>0</v>
      </c>
      <c r="O4084">
        <v>9.4345509999999998E-4</v>
      </c>
      <c r="P4084">
        <v>-0.99931729999999996</v>
      </c>
      <c r="Q4084">
        <v>1.416866E-2</v>
      </c>
      <c r="R4084">
        <v>-3.4121449999999998E-2</v>
      </c>
      <c r="S4084">
        <v>-2.9789729999999999</v>
      </c>
      <c r="T4084">
        <v>-0.13040399999999999</v>
      </c>
      <c r="U4084">
        <v>-0.73892209999999903</v>
      </c>
      <c r="V4084">
        <v>-3.5086890000000003E-2</v>
      </c>
      <c r="W4084">
        <v>2.4433389999999999E-2</v>
      </c>
      <c r="X4084">
        <v>0.99908549999999996</v>
      </c>
      <c r="Y4084">
        <v>-0.2414471</v>
      </c>
      <c r="Z4084">
        <v>-5.2440569999999999E-3</v>
      </c>
      <c r="AA4084">
        <v>0.97039980000000003</v>
      </c>
      <c r="AB4084">
        <v>31</v>
      </c>
      <c r="AC4084">
        <v>-25.170200000000001</v>
      </c>
      <c r="AD4084">
        <v>-1.110373667705</v>
      </c>
      <c r="AE4084">
        <v>-6.2917999999999896</v>
      </c>
      <c r="AF4084">
        <v>-6.3039987034933302</v>
      </c>
      <c r="AG4084">
        <v>-1.110373667705</v>
      </c>
      <c r="AH4084">
        <v>25.118244656742199</v>
      </c>
      <c r="AI4084">
        <v>92.455118867266293</v>
      </c>
      <c r="AJ4084">
        <v>104.088695504231</v>
      </c>
      <c r="AK4084">
        <v>25.921025133499899</v>
      </c>
      <c r="AL4084">
        <v>88.599930487208098</v>
      </c>
      <c r="AM4084">
        <v>92.011344221743798</v>
      </c>
      <c r="AN4084">
        <v>0.99999995835350597</v>
      </c>
    </row>
    <row r="4085" spans="1:40" x14ac:dyDescent="0.3">
      <c r="A4085" t="str">
        <f>"20200111160539465"</f>
        <v>20200111160539465</v>
      </c>
      <c r="B4085" t="str">
        <f>"1578729939455726"</f>
        <v>1578729939455726</v>
      </c>
      <c r="C4085" t="s">
        <v>40</v>
      </c>
      <c r="D4085">
        <v>5.2744530000000003</v>
      </c>
      <c r="E4085">
        <v>0.42159209999999903</v>
      </c>
      <c r="F4085" t="s">
        <v>41</v>
      </c>
      <c r="G4085">
        <v>-338.22050000000002</v>
      </c>
      <c r="H4085" s="1">
        <v>-1.5870659999999999E-6</v>
      </c>
      <c r="I4085">
        <v>136.16050000000001</v>
      </c>
      <c r="J4085">
        <v>-313.03960000000001</v>
      </c>
      <c r="K4085">
        <v>1.1103780000000001</v>
      </c>
      <c r="L4085">
        <v>142.45419999999999</v>
      </c>
      <c r="M4085">
        <v>-0.99994669999999997</v>
      </c>
      <c r="N4085">
        <v>0</v>
      </c>
      <c r="O4085">
        <v>6.2378399999999995E-4</v>
      </c>
      <c r="P4085">
        <v>-0.99928530000000004</v>
      </c>
      <c r="Q4085">
        <v>1.4719329999999999E-2</v>
      </c>
      <c r="R4085">
        <v>-3.4817790000000001E-2</v>
      </c>
      <c r="S4085">
        <v>-2.9786380000000001</v>
      </c>
      <c r="T4085">
        <v>-0.1303076</v>
      </c>
      <c r="U4085">
        <v>-0.73860170000000003</v>
      </c>
      <c r="V4085">
        <v>-3.5465139999999999E-2</v>
      </c>
      <c r="W4085">
        <v>2.4985400000000001E-2</v>
      </c>
      <c r="X4085">
        <v>0.99905849999999996</v>
      </c>
      <c r="Y4085">
        <v>-0.241065</v>
      </c>
      <c r="Z4085">
        <v>-5.2188219999999997E-3</v>
      </c>
      <c r="AA4085">
        <v>0.97049490000000005</v>
      </c>
      <c r="AB4085">
        <v>31</v>
      </c>
      <c r="AC4085">
        <v>-25.180900000000001</v>
      </c>
      <c r="AD4085">
        <v>-1.110379587066</v>
      </c>
      <c r="AE4085">
        <v>-6.2936999999999701</v>
      </c>
      <c r="AF4085">
        <v>-6.2978810596112398</v>
      </c>
      <c r="AG4085">
        <v>-1.110379587066</v>
      </c>
      <c r="AH4085">
        <v>25.1309758244807</v>
      </c>
      <c r="AI4085">
        <v>92.454104012522095</v>
      </c>
      <c r="AJ4085">
        <v>104.068719692</v>
      </c>
      <c r="AK4085">
        <v>25.931876032385698</v>
      </c>
      <c r="AL4085">
        <v>88.568292994074099</v>
      </c>
      <c r="AM4085">
        <v>92.033064075070897</v>
      </c>
      <c r="AN4085">
        <v>0.99999996639531397</v>
      </c>
    </row>
    <row r="4086" spans="1:40" x14ac:dyDescent="0.3">
      <c r="A4086" t="str">
        <f>"20200111160539480"</f>
        <v>20200111160539480</v>
      </c>
      <c r="B4086" t="str">
        <f>"1578729939476222"</f>
        <v>1578729939476222</v>
      </c>
      <c r="C4086" t="s">
        <v>40</v>
      </c>
      <c r="D4086">
        <v>5.2376649999999998</v>
      </c>
      <c r="E4086">
        <v>0.42178749999999998</v>
      </c>
      <c r="F4086" t="s">
        <v>41</v>
      </c>
      <c r="G4086">
        <v>-339.01139999999998</v>
      </c>
      <c r="H4086" s="1">
        <v>-1.3253550000000001E-6</v>
      </c>
      <c r="I4086">
        <v>136.0026</v>
      </c>
      <c r="J4086">
        <v>-313.23770000000002</v>
      </c>
      <c r="K4086">
        <v>1.1103809999999901</v>
      </c>
      <c r="L4086">
        <v>142.45400000000001</v>
      </c>
      <c r="M4086">
        <v>-0.99994700000000003</v>
      </c>
      <c r="N4086">
        <v>0</v>
      </c>
      <c r="O4086">
        <v>3.0774980000000001E-4</v>
      </c>
      <c r="P4086">
        <v>-0.99926729999999997</v>
      </c>
      <c r="Q4086">
        <v>1.515998E-2</v>
      </c>
      <c r="R4086">
        <v>-3.5146959999999998E-2</v>
      </c>
      <c r="S4086">
        <v>-2.9782410000000001</v>
      </c>
      <c r="T4086">
        <v>-0.1273292</v>
      </c>
      <c r="U4086">
        <v>-0.73980709999999905</v>
      </c>
      <c r="V4086">
        <v>-3.5478570000000001E-2</v>
      </c>
      <c r="W4086">
        <v>2.5427769999999999E-2</v>
      </c>
      <c r="X4086">
        <v>0.99904689999999996</v>
      </c>
      <c r="Y4086">
        <v>-0.24116850000000001</v>
      </c>
      <c r="Z4086">
        <v>-5.088932E-3</v>
      </c>
      <c r="AA4086">
        <v>0.97047000000000005</v>
      </c>
      <c r="AB4086">
        <v>31</v>
      </c>
      <c r="AC4086">
        <v>-25.773699999999899</v>
      </c>
      <c r="AD4086">
        <v>-1.11038232535499</v>
      </c>
      <c r="AE4086">
        <v>-6.4513999999999996</v>
      </c>
      <c r="AF4086">
        <v>-6.4480696147757097</v>
      </c>
      <c r="AG4086">
        <v>-1.11038232535499</v>
      </c>
      <c r="AH4086">
        <v>25.726778258393399</v>
      </c>
      <c r="AI4086">
        <v>92.397323507247094</v>
      </c>
      <c r="AJ4086">
        <v>104.07056177381899</v>
      </c>
      <c r="AK4086">
        <v>26.545765579881099</v>
      </c>
      <c r="AL4086">
        <v>88.542939058543297</v>
      </c>
      <c r="AM4086">
        <v>92.033856907960896</v>
      </c>
      <c r="AN4086">
        <v>1.00000000440801</v>
      </c>
    </row>
    <row r="4087" spans="1:40" x14ac:dyDescent="0.3">
      <c r="A4087" t="str">
        <f>"20200111160539500"</f>
        <v>20200111160539500</v>
      </c>
      <c r="B4087" t="str">
        <f>"1578729939495742"</f>
        <v>1578729939495742</v>
      </c>
      <c r="C4087" t="s">
        <v>40</v>
      </c>
      <c r="D4087">
        <v>5.2266949999999897</v>
      </c>
      <c r="E4087">
        <v>0.42188720000000002</v>
      </c>
      <c r="F4087" t="s">
        <v>41</v>
      </c>
      <c r="G4087">
        <v>-340.25909999999999</v>
      </c>
      <c r="H4087" s="1">
        <v>-4.8472360000000001E-6</v>
      </c>
      <c r="I4087">
        <v>135.7484</v>
      </c>
      <c r="J4087">
        <v>-313.50560000000002</v>
      </c>
      <c r="K4087">
        <v>1.110384</v>
      </c>
      <c r="L4087">
        <v>142.45359999999999</v>
      </c>
      <c r="M4087">
        <v>-0.99994689999999997</v>
      </c>
      <c r="N4087">
        <v>0</v>
      </c>
      <c r="O4087">
        <v>-1.196299E-4</v>
      </c>
      <c r="P4087">
        <v>-0.99925280000000005</v>
      </c>
      <c r="Q4087">
        <v>1.5330760000000001E-2</v>
      </c>
      <c r="R4087">
        <v>-3.5485740000000002E-2</v>
      </c>
      <c r="S4087">
        <v>-2.9780880000000001</v>
      </c>
      <c r="T4087">
        <v>-0.1223783</v>
      </c>
      <c r="U4087">
        <v>-0.73902889999999999</v>
      </c>
      <c r="V4087">
        <v>-3.5389799999999999E-2</v>
      </c>
      <c r="W4087">
        <v>2.5601280000000001E-2</v>
      </c>
      <c r="X4087">
        <v>0.99904559999999998</v>
      </c>
      <c r="Y4087">
        <v>-0.24054310000000001</v>
      </c>
      <c r="Z4087">
        <v>-4.8616709999999997E-3</v>
      </c>
      <c r="AA4087">
        <v>0.97062630000000005</v>
      </c>
      <c r="AB4087">
        <v>31</v>
      </c>
      <c r="AC4087">
        <v>-26.753499999999899</v>
      </c>
      <c r="AD4087">
        <v>-1.110388847236</v>
      </c>
      <c r="AE4087">
        <v>-6.7051999999999898</v>
      </c>
      <c r="AF4087">
        <v>-6.6911541925970699</v>
      </c>
      <c r="AG4087">
        <v>-1.110388847236</v>
      </c>
      <c r="AH4087">
        <v>26.711008598230801</v>
      </c>
      <c r="AI4087">
        <v>92.309172722606206</v>
      </c>
      <c r="AJ4087">
        <v>104.06329694642901</v>
      </c>
      <c r="AK4087">
        <v>27.558709842007001</v>
      </c>
      <c r="AL4087">
        <v>88.532994405134403</v>
      </c>
      <c r="AM4087">
        <v>92.028774943422803</v>
      </c>
      <c r="AN4087">
        <v>0.99999998718051897</v>
      </c>
    </row>
    <row r="4088" spans="1:40" x14ac:dyDescent="0.3">
      <c r="A4088" t="str">
        <f>"20200111160539522"</f>
        <v>20200111160539522</v>
      </c>
      <c r="B4088" t="str">
        <f>"1578729939515771"</f>
        <v>1578729939515771</v>
      </c>
      <c r="C4088" t="s">
        <v>40</v>
      </c>
      <c r="D4088">
        <v>5.1270689999999997</v>
      </c>
      <c r="E4088">
        <v>0.42205749999999997</v>
      </c>
      <c r="F4088" t="s">
        <v>41</v>
      </c>
      <c r="G4088">
        <v>-341.54919999999998</v>
      </c>
      <c r="H4088" s="1">
        <v>-4.3392680000000001E-6</v>
      </c>
      <c r="I4088">
        <v>135.49189999999999</v>
      </c>
      <c r="J4088">
        <v>-313.82870000000003</v>
      </c>
      <c r="K4088">
        <v>1.110387</v>
      </c>
      <c r="L4088">
        <v>142.453</v>
      </c>
      <c r="M4088">
        <v>-0.99994669999999997</v>
      </c>
      <c r="N4088">
        <v>0</v>
      </c>
      <c r="O4088">
        <v>-6.3463349999999996E-4</v>
      </c>
      <c r="P4088">
        <v>-0.99924329999999995</v>
      </c>
      <c r="Q4088">
        <v>1.5118639999999999E-2</v>
      </c>
      <c r="R4088">
        <v>-3.584217E-2</v>
      </c>
      <c r="S4088">
        <v>-2.977814</v>
      </c>
      <c r="T4088">
        <v>-0.117907</v>
      </c>
      <c r="U4088">
        <v>-0.73922730000000003</v>
      </c>
      <c r="V4088">
        <v>-3.5231819999999997E-2</v>
      </c>
      <c r="W4088">
        <v>2.5393450000000001E-2</v>
      </c>
      <c r="X4088">
        <v>0.99905650000000001</v>
      </c>
      <c r="Y4088">
        <v>-0.2401394</v>
      </c>
      <c r="Z4088">
        <v>-4.6566109999999997E-3</v>
      </c>
      <c r="AA4088">
        <v>0.97072729999999996</v>
      </c>
      <c r="AB4088">
        <v>31</v>
      </c>
      <c r="AC4088">
        <v>-27.720499999999902</v>
      </c>
      <c r="AD4088">
        <v>-1.110391339268</v>
      </c>
      <c r="AE4088">
        <v>-6.9611000000000098</v>
      </c>
      <c r="AF4088">
        <v>-6.9330408653450704</v>
      </c>
      <c r="AG4088">
        <v>-1.110391339268</v>
      </c>
      <c r="AH4088">
        <v>27.683128647730999</v>
      </c>
      <c r="AI4088">
        <v>92.228202993993094</v>
      </c>
      <c r="AJ4088">
        <v>104.060120359492</v>
      </c>
      <c r="AK4088">
        <v>28.5596855076118</v>
      </c>
      <c r="AL4088">
        <v>88.5449060774354</v>
      </c>
      <c r="AM4088">
        <v>92.019703995807603</v>
      </c>
      <c r="AN4088">
        <v>0.99999999931783201</v>
      </c>
    </row>
    <row r="4089" spans="1:40" x14ac:dyDescent="0.3">
      <c r="A4089" t="str">
        <f>"20200111160539545"</f>
        <v>20200111160539545</v>
      </c>
      <c r="B4089" t="str">
        <f>"1578729939536266"</f>
        <v>1578729939536266</v>
      </c>
      <c r="C4089" t="s">
        <v>40</v>
      </c>
      <c r="D4089">
        <v>5.0548190000000002</v>
      </c>
      <c r="E4089">
        <v>0.42221579999999898</v>
      </c>
      <c r="F4089" t="s">
        <v>41</v>
      </c>
      <c r="G4089">
        <v>-342.48390000000001</v>
      </c>
      <c r="H4089" s="1">
        <v>-3.9648440000000001E-6</v>
      </c>
      <c r="I4089">
        <v>135.34219999999999</v>
      </c>
      <c r="J4089">
        <v>-314.12310000000002</v>
      </c>
      <c r="K4089">
        <v>1.1103879999999999</v>
      </c>
      <c r="L4089">
        <v>142.45240000000001</v>
      </c>
      <c r="M4089">
        <v>-0.99994620000000001</v>
      </c>
      <c r="N4089">
        <v>0</v>
      </c>
      <c r="O4089">
        <v>-1.103857E-3</v>
      </c>
      <c r="P4089">
        <v>-0.99924139999999995</v>
      </c>
      <c r="Q4089">
        <v>1.49742E-2</v>
      </c>
      <c r="R4089">
        <v>-3.595164E-2</v>
      </c>
      <c r="S4089">
        <v>-2.977509</v>
      </c>
      <c r="T4089">
        <v>-0.11537890000000001</v>
      </c>
      <c r="U4089">
        <v>-0.73886109999999905</v>
      </c>
      <c r="V4089">
        <v>-3.4872269999999997E-2</v>
      </c>
      <c r="W4089">
        <v>2.525235E-2</v>
      </c>
      <c r="X4089">
        <v>0.99907270000000004</v>
      </c>
      <c r="Y4089">
        <v>-0.2396028</v>
      </c>
      <c r="Z4089">
        <v>-4.5292129999999998E-3</v>
      </c>
      <c r="AA4089">
        <v>0.97086039999999996</v>
      </c>
      <c r="AB4089">
        <v>31</v>
      </c>
      <c r="AC4089">
        <v>-28.360799999999902</v>
      </c>
      <c r="AD4089">
        <v>-1.1103919648439999</v>
      </c>
      <c r="AE4089">
        <v>-7.1102000000000096</v>
      </c>
      <c r="AF4089">
        <v>-7.0686928684104497</v>
      </c>
      <c r="AG4089">
        <v>-1.1103919648439999</v>
      </c>
      <c r="AH4089">
        <v>28.3277758695932</v>
      </c>
      <c r="AI4089">
        <v>92.178013150466796</v>
      </c>
      <c r="AJ4089">
        <v>104.011015580194</v>
      </c>
      <c r="AK4089">
        <v>29.217499463530601</v>
      </c>
      <c r="AL4089">
        <v>88.552993118022101</v>
      </c>
      <c r="AM4089">
        <v>91.999076805596701</v>
      </c>
      <c r="AN4089">
        <v>1.0000000081403799</v>
      </c>
    </row>
    <row r="4090" spans="1:40" x14ac:dyDescent="0.3">
      <c r="A4090" t="str">
        <f>"20200111160539558"</f>
        <v>20200111160539558</v>
      </c>
      <c r="B4090" t="str">
        <f>"1578729939555787"</f>
        <v>1578729939555787</v>
      </c>
      <c r="C4090" t="s">
        <v>40</v>
      </c>
      <c r="D4090">
        <v>5.0295180000000004</v>
      </c>
      <c r="E4090">
        <v>0.4222842</v>
      </c>
      <c r="F4090" t="s">
        <v>41</v>
      </c>
      <c r="G4090">
        <v>-343.44450000000001</v>
      </c>
      <c r="H4090" s="1">
        <v>-3.580069E-6</v>
      </c>
      <c r="I4090">
        <v>135.18819999999999</v>
      </c>
      <c r="J4090">
        <v>-314.32049999999998</v>
      </c>
      <c r="K4090">
        <v>1.110385</v>
      </c>
      <c r="L4090">
        <v>142.45179999999999</v>
      </c>
      <c r="M4090">
        <v>-0.9999458</v>
      </c>
      <c r="N4090">
        <v>0</v>
      </c>
      <c r="O4090">
        <v>-1.4182229999999999E-3</v>
      </c>
      <c r="P4090">
        <v>-0.99923689999999998</v>
      </c>
      <c r="Q4090">
        <v>1.490173E-2</v>
      </c>
      <c r="R4090">
        <v>-3.6106840000000001E-2</v>
      </c>
      <c r="S4090">
        <v>-2.977417</v>
      </c>
      <c r="T4090">
        <v>-0.1127539</v>
      </c>
      <c r="U4090">
        <v>-0.73762510000000003</v>
      </c>
      <c r="V4090">
        <v>-3.4713220000000003E-2</v>
      </c>
      <c r="W4090">
        <v>2.518227E-2</v>
      </c>
      <c r="X4090">
        <v>0.99907999999999997</v>
      </c>
      <c r="Y4090">
        <v>-0.23893310000000001</v>
      </c>
      <c r="Z4090">
        <v>-4.4023810000000003E-3</v>
      </c>
      <c r="AA4090">
        <v>0.9710261</v>
      </c>
      <c r="AB4090">
        <v>31</v>
      </c>
      <c r="AC4090">
        <v>-29.123999999999999</v>
      </c>
      <c r="AD4090">
        <v>-1.1103885800690001</v>
      </c>
      <c r="AE4090">
        <v>-7.2635999999999896</v>
      </c>
      <c r="AF4090">
        <v>-7.2124160663052104</v>
      </c>
      <c r="AG4090">
        <v>-1.1103885800690001</v>
      </c>
      <c r="AH4090">
        <v>29.094457247259999</v>
      </c>
      <c r="AI4090">
        <v>92.121477846183396</v>
      </c>
      <c r="AJ4090">
        <v>103.922758893332</v>
      </c>
      <c r="AK4090">
        <v>29.995655532508099</v>
      </c>
      <c r="AL4090">
        <v>88.557009672317307</v>
      </c>
      <c r="AM4090">
        <v>91.989951974035606</v>
      </c>
      <c r="AN4090">
        <v>1.00000000038256</v>
      </c>
    </row>
    <row r="4091" spans="1:40" x14ac:dyDescent="0.3">
      <c r="A4091" t="str">
        <f>"20200111160539571"</f>
        <v>20200111160539571</v>
      </c>
      <c r="B4091" t="str">
        <f>"1578729939565547"</f>
        <v>1578729939565547</v>
      </c>
      <c r="C4091" t="s">
        <v>40</v>
      </c>
      <c r="D4091">
        <v>4.9783619999999997</v>
      </c>
      <c r="E4091">
        <v>0.42233559999999998</v>
      </c>
      <c r="F4091" t="s">
        <v>41</v>
      </c>
      <c r="G4091">
        <v>-343.99680000000001</v>
      </c>
      <c r="H4091" s="1">
        <v>-3.3584080000000001E-6</v>
      </c>
      <c r="I4091">
        <v>135.10210000000001</v>
      </c>
      <c r="J4091">
        <v>-314.4991</v>
      </c>
      <c r="K4091">
        <v>1.110385</v>
      </c>
      <c r="L4091">
        <v>142.4513</v>
      </c>
      <c r="M4091">
        <v>-0.99994550000000004</v>
      </c>
      <c r="N4091">
        <v>0</v>
      </c>
      <c r="O4091">
        <v>-1.7030229999999999E-3</v>
      </c>
      <c r="P4091">
        <v>-0.99923790000000001</v>
      </c>
      <c r="Q4091">
        <v>1.461878E-2</v>
      </c>
      <c r="R4091">
        <v>-3.6196989999999998E-2</v>
      </c>
      <c r="S4091">
        <v>-2.977325</v>
      </c>
      <c r="T4091">
        <v>-0.1114019</v>
      </c>
      <c r="U4091">
        <v>-0.73736569999999901</v>
      </c>
      <c r="V4091">
        <v>-3.4519090000000002E-2</v>
      </c>
      <c r="W4091">
        <v>2.4901980000000001E-2</v>
      </c>
      <c r="X4091">
        <v>0.99909380000000003</v>
      </c>
      <c r="Y4091">
        <v>-0.23858799999999999</v>
      </c>
      <c r="Z4091">
        <v>-4.3329479999999997E-3</v>
      </c>
      <c r="AA4091">
        <v>0.97111119999999995</v>
      </c>
      <c r="AB4091">
        <v>31</v>
      </c>
      <c r="AC4091">
        <v>-29.497699999999998</v>
      </c>
      <c r="AD4091">
        <v>-1.1103883584080001</v>
      </c>
      <c r="AE4091">
        <v>-7.34919999999999</v>
      </c>
      <c r="AF4091">
        <v>-7.2892261712896902</v>
      </c>
      <c r="AG4091">
        <v>-1.1103883584080001</v>
      </c>
      <c r="AH4091">
        <v>29.470853896858198</v>
      </c>
      <c r="AI4091">
        <v>92.0946798787175</v>
      </c>
      <c r="AJ4091">
        <v>103.892538526972</v>
      </c>
      <c r="AK4091">
        <v>30.379220034304101</v>
      </c>
      <c r="AL4091">
        <v>88.573074213219101</v>
      </c>
      <c r="AM4091">
        <v>91.978804940115296</v>
      </c>
      <c r="AN4091">
        <v>1.0000000486903899</v>
      </c>
    </row>
    <row r="4092" spans="1:40" x14ac:dyDescent="0.3">
      <c r="A4092" t="str">
        <f>"20200111160539589"</f>
        <v>20200111160539589</v>
      </c>
      <c r="B4092" t="str">
        <f>"1578729939586043"</f>
        <v>1578729939586043</v>
      </c>
      <c r="C4092" t="s">
        <v>40</v>
      </c>
      <c r="D4092">
        <v>4.9508720000000004</v>
      </c>
      <c r="E4092">
        <v>0.42228949999999998</v>
      </c>
      <c r="F4092" t="s">
        <v>41</v>
      </c>
      <c r="G4092">
        <v>-344.33600000000001</v>
      </c>
      <c r="H4092" s="1">
        <v>-3.2197950000000001E-6</v>
      </c>
      <c r="I4092">
        <v>135.06319999999999</v>
      </c>
      <c r="J4092">
        <v>-314.74009999999998</v>
      </c>
      <c r="K4092">
        <v>1.110385</v>
      </c>
      <c r="L4092">
        <v>142.45050000000001</v>
      </c>
      <c r="M4092">
        <v>-0.99994459999999996</v>
      </c>
      <c r="N4092">
        <v>0</v>
      </c>
      <c r="O4092">
        <v>-2.087125E-3</v>
      </c>
      <c r="P4092">
        <v>-0.99924959999999996</v>
      </c>
      <c r="Q4092">
        <v>1.42801E-2</v>
      </c>
      <c r="R4092">
        <v>-3.601273E-2</v>
      </c>
      <c r="S4092">
        <v>-2.9772029999999998</v>
      </c>
      <c r="T4092">
        <v>-0.1107976</v>
      </c>
      <c r="U4092">
        <v>-0.73719789999999996</v>
      </c>
      <c r="V4092">
        <v>-3.3950069999999999E-2</v>
      </c>
      <c r="W4092">
        <v>2.456639E-2</v>
      </c>
      <c r="X4092">
        <v>0.9991215</v>
      </c>
      <c r="Y4092">
        <v>-0.23817479999999999</v>
      </c>
      <c r="Z4092">
        <v>-4.2880160000000004E-3</v>
      </c>
      <c r="AA4092">
        <v>0.97121279999999999</v>
      </c>
      <c r="AB4092">
        <v>31</v>
      </c>
      <c r="AC4092">
        <v>-29.5959</v>
      </c>
      <c r="AD4092">
        <v>-1.1103882197949999</v>
      </c>
      <c r="AE4092">
        <v>-7.3872999999999998</v>
      </c>
      <c r="AF4092">
        <v>-7.31581632269459</v>
      </c>
      <c r="AG4092">
        <v>-1.1103882197949999</v>
      </c>
      <c r="AH4092">
        <v>29.572069563462399</v>
      </c>
      <c r="AI4092">
        <v>92.0874909804743</v>
      </c>
      <c r="AJ4092">
        <v>103.89537906432901</v>
      </c>
      <c r="AK4092">
        <v>30.4837896058269</v>
      </c>
      <c r="AL4092">
        <v>88.592307838903594</v>
      </c>
      <c r="AM4092">
        <v>91.946157278851004</v>
      </c>
      <c r="AN4092">
        <v>0.99999994326644104</v>
      </c>
    </row>
    <row r="4093" spans="1:40" x14ac:dyDescent="0.3">
      <c r="A4093" t="str">
        <f>"20200111160539611"</f>
        <v>20200111160539611</v>
      </c>
      <c r="B4093" t="str">
        <f>"1578729939606069"</f>
        <v>1578729939606069</v>
      </c>
      <c r="C4093" t="s">
        <v>40</v>
      </c>
      <c r="D4093">
        <v>4.849564</v>
      </c>
      <c r="E4093">
        <v>0.42228460000000001</v>
      </c>
      <c r="F4093" t="s">
        <v>41</v>
      </c>
      <c r="G4093">
        <v>-344.57920000000001</v>
      </c>
      <c r="H4093" s="1">
        <v>-3.1153539999999999E-6</v>
      </c>
      <c r="I4093">
        <v>135.06379999999999</v>
      </c>
      <c r="J4093">
        <v>-315.05759999999998</v>
      </c>
      <c r="K4093">
        <v>1.1103809999999901</v>
      </c>
      <c r="L4093">
        <v>142.44929999999999</v>
      </c>
      <c r="M4093">
        <v>-0.99994329999999998</v>
      </c>
      <c r="N4093">
        <v>0</v>
      </c>
      <c r="O4093">
        <v>-2.5931840000000001E-3</v>
      </c>
      <c r="P4093">
        <v>-0.99924080000000004</v>
      </c>
      <c r="Q4093">
        <v>1.42585E-2</v>
      </c>
      <c r="R4093">
        <v>-3.6260390000000003E-2</v>
      </c>
      <c r="S4093">
        <v>-2.9772949999999998</v>
      </c>
      <c r="T4093">
        <v>-0.1107928</v>
      </c>
      <c r="U4093">
        <v>-0.73702999999999996</v>
      </c>
      <c r="V4093">
        <v>-3.3692340000000001E-2</v>
      </c>
      <c r="W4093">
        <v>2.4548279999999999E-2</v>
      </c>
      <c r="X4093">
        <v>0.99913070000000004</v>
      </c>
      <c r="Y4093">
        <v>-0.23762549999999999</v>
      </c>
      <c r="Z4093">
        <v>-4.2591169999999998E-3</v>
      </c>
      <c r="AA4093">
        <v>0.97134750000000003</v>
      </c>
      <c r="AB4093">
        <v>31</v>
      </c>
      <c r="AC4093">
        <v>-29.521599999999999</v>
      </c>
      <c r="AD4093">
        <v>-1.1103841153539999</v>
      </c>
      <c r="AE4093">
        <v>-7.3855000000000004</v>
      </c>
      <c r="AF4093">
        <v>-7.2991981251488403</v>
      </c>
      <c r="AG4093">
        <v>-1.1103841153539999</v>
      </c>
      <c r="AH4093">
        <v>29.501376131228</v>
      </c>
      <c r="AI4093">
        <v>92.092466631966701</v>
      </c>
      <c r="AJ4093">
        <v>103.89697238069201</v>
      </c>
      <c r="AK4093">
        <v>30.411222267281399</v>
      </c>
      <c r="AL4093">
        <v>88.593345821442199</v>
      </c>
      <c r="AM4093">
        <v>91.931376599398405</v>
      </c>
      <c r="AN4093">
        <v>0.99999997375406102</v>
      </c>
    </row>
    <row r="4094" spans="1:40" x14ac:dyDescent="0.3">
      <c r="A4094" t="str">
        <f>"20200111160539625"</f>
        <v>20200111160539625</v>
      </c>
      <c r="B4094" t="str">
        <f>"1578729939615829"</f>
        <v>1578729939615829</v>
      </c>
      <c r="C4094" t="s">
        <v>40</v>
      </c>
      <c r="D4094">
        <v>4.8793089999999903</v>
      </c>
      <c r="E4094">
        <v>0.4222148</v>
      </c>
      <c r="F4094" t="s">
        <v>41</v>
      </c>
      <c r="G4094">
        <v>-345.03039999999999</v>
      </c>
      <c r="H4094" s="1">
        <v>-2.9294089999999999E-6</v>
      </c>
      <c r="I4094">
        <v>135.02080000000001</v>
      </c>
      <c r="J4094">
        <v>-315.24290000000002</v>
      </c>
      <c r="K4094">
        <v>1.1103780000000001</v>
      </c>
      <c r="L4094">
        <v>142.4486</v>
      </c>
      <c r="M4094">
        <v>-0.99994260000000001</v>
      </c>
      <c r="N4094">
        <v>0</v>
      </c>
      <c r="O4094">
        <v>-2.8884760000000001E-3</v>
      </c>
      <c r="P4094">
        <v>-0.99922670000000002</v>
      </c>
      <c r="Q4094">
        <v>1.427287E-2</v>
      </c>
      <c r="R4094">
        <v>-3.6642590000000003E-2</v>
      </c>
      <c r="S4094">
        <v>-2.97702</v>
      </c>
      <c r="T4094">
        <v>-0.11028830000000001</v>
      </c>
      <c r="U4094">
        <v>-0.73782349999999997</v>
      </c>
      <c r="V4094">
        <v>-3.3779509999999999E-2</v>
      </c>
      <c r="W4094">
        <v>2.456448E-2</v>
      </c>
      <c r="X4094">
        <v>0.9991274</v>
      </c>
      <c r="Y4094">
        <v>-0.23760510000000001</v>
      </c>
      <c r="Z4094">
        <v>-4.2288400000000002E-3</v>
      </c>
      <c r="AA4094">
        <v>0.97135260000000001</v>
      </c>
      <c r="AB4094">
        <v>31</v>
      </c>
      <c r="AC4094">
        <v>-29.787499999999898</v>
      </c>
      <c r="AD4094">
        <v>-1.1103809294089999</v>
      </c>
      <c r="AE4094">
        <v>-7.4277999999999897</v>
      </c>
      <c r="AF4094">
        <v>-7.3321319787894597</v>
      </c>
      <c r="AG4094">
        <v>-1.1103809294089999</v>
      </c>
      <c r="AH4094">
        <v>29.769886606277499</v>
      </c>
      <c r="AI4094">
        <v>92.074146709272895</v>
      </c>
      <c r="AJ4094">
        <v>103.836199549375</v>
      </c>
      <c r="AK4094">
        <v>30.679622776582601</v>
      </c>
      <c r="AL4094">
        <v>88.592417408159307</v>
      </c>
      <c r="AM4094">
        <v>91.936376116067805</v>
      </c>
      <c r="AN4094">
        <v>1.00000001520213</v>
      </c>
    </row>
    <row r="4095" spans="1:40" x14ac:dyDescent="0.3">
      <c r="A4095" t="str">
        <f>"20200111160539639"</f>
        <v>20200111160539639</v>
      </c>
      <c r="B4095" t="str">
        <f>"1578729939636325"</f>
        <v>1578729939636325</v>
      </c>
      <c r="C4095" t="s">
        <v>40</v>
      </c>
      <c r="D4095">
        <v>4.8261289999999999</v>
      </c>
      <c r="E4095">
        <v>0.42222589999999999</v>
      </c>
      <c r="F4095" t="s">
        <v>41</v>
      </c>
      <c r="G4095">
        <v>-345.42849999999999</v>
      </c>
      <c r="H4095" s="1">
        <v>-2.7831429999999998E-6</v>
      </c>
      <c r="I4095">
        <v>134.95079999999999</v>
      </c>
      <c r="J4095">
        <v>-315.43549999999999</v>
      </c>
      <c r="K4095">
        <v>1.1103780000000001</v>
      </c>
      <c r="L4095">
        <v>142.4477</v>
      </c>
      <c r="M4095">
        <v>-0.99994159999999999</v>
      </c>
      <c r="N4095">
        <v>0</v>
      </c>
      <c r="O4095">
        <v>-3.1952109999999999E-3</v>
      </c>
      <c r="P4095">
        <v>-0.99921769999999999</v>
      </c>
      <c r="Q4095">
        <v>1.408381E-2</v>
      </c>
      <c r="R4095">
        <v>-3.695623E-2</v>
      </c>
      <c r="S4095">
        <v>-2.9767760000000001</v>
      </c>
      <c r="T4095">
        <v>-0.109501399999999</v>
      </c>
      <c r="U4095">
        <v>-0.73939509999999997</v>
      </c>
      <c r="V4095">
        <v>-3.3786330000000003E-2</v>
      </c>
      <c r="W4095">
        <v>2.4377619999999999E-2</v>
      </c>
      <c r="X4095">
        <v>0.99913169999999996</v>
      </c>
      <c r="Y4095">
        <v>-0.23781099999999999</v>
      </c>
      <c r="Z4095">
        <v>-4.1913769999999996E-3</v>
      </c>
      <c r="AA4095">
        <v>0.97130240000000001</v>
      </c>
      <c r="AB4095">
        <v>31</v>
      </c>
      <c r="AC4095">
        <v>-29.992999999999899</v>
      </c>
      <c r="AD4095">
        <v>-1.1103807831429999</v>
      </c>
      <c r="AE4095">
        <v>-7.4969000000000099</v>
      </c>
      <c r="AF4095">
        <v>-7.3914877544011004</v>
      </c>
      <c r="AG4095">
        <v>-1.1103807831429999</v>
      </c>
      <c r="AH4095">
        <v>29.978131023557999</v>
      </c>
      <c r="AI4095">
        <v>92.059622094302497</v>
      </c>
      <c r="AJ4095">
        <v>103.85073405722601</v>
      </c>
      <c r="AK4095">
        <v>30.895879601860301</v>
      </c>
      <c r="AL4095">
        <v>88.6031268401739</v>
      </c>
      <c r="AM4095">
        <v>91.936758438945503</v>
      </c>
      <c r="AN4095">
        <v>0.99999996919831102</v>
      </c>
    </row>
    <row r="4096" spans="1:40" x14ac:dyDescent="0.3">
      <c r="A4096" t="str">
        <f>"20200111160539655"</f>
        <v>20200111160539655</v>
      </c>
      <c r="B4096" t="str">
        <f>"1578729939646085"</f>
        <v>1578729939646085</v>
      </c>
      <c r="C4096" t="s">
        <v>40</v>
      </c>
      <c r="D4096">
        <v>4.7799040000000002</v>
      </c>
      <c r="E4096">
        <v>0.42224279999999997</v>
      </c>
      <c r="F4096" t="s">
        <v>41</v>
      </c>
      <c r="G4096">
        <v>-345.66820000000001</v>
      </c>
      <c r="H4096" s="1">
        <v>-2.7076289999999999E-6</v>
      </c>
      <c r="I4096">
        <v>134.928</v>
      </c>
      <c r="J4096">
        <v>-315.64749999999998</v>
      </c>
      <c r="K4096">
        <v>1.1103769999999999</v>
      </c>
      <c r="L4096">
        <v>142.44669999999999</v>
      </c>
      <c r="M4096">
        <v>-0.99994050000000001</v>
      </c>
      <c r="N4096">
        <v>0</v>
      </c>
      <c r="O4096">
        <v>-3.5328239999999999E-3</v>
      </c>
      <c r="P4096">
        <v>-0.99920520000000002</v>
      </c>
      <c r="Q4096">
        <v>1.3853499999999999E-2</v>
      </c>
      <c r="R4096">
        <v>-3.7384359999999998E-2</v>
      </c>
      <c r="S4096">
        <v>-2.9765320000000002</v>
      </c>
      <c r="T4096">
        <v>-0.1093218</v>
      </c>
      <c r="U4096">
        <v>-0.74034119999999903</v>
      </c>
      <c r="V4096">
        <v>-3.3876570000000002E-2</v>
      </c>
      <c r="W4096">
        <v>2.4149279999999999E-2</v>
      </c>
      <c r="X4096">
        <v>0.99913419999999997</v>
      </c>
      <c r="Y4096">
        <v>-0.23779320000000001</v>
      </c>
      <c r="Z4096">
        <v>-4.1721550000000003E-3</v>
      </c>
      <c r="AA4096">
        <v>0.97130689999999997</v>
      </c>
      <c r="AB4096">
        <v>31</v>
      </c>
      <c r="AC4096">
        <v>-30.020700000000001</v>
      </c>
      <c r="AD4096">
        <v>-1.1103797076289901</v>
      </c>
      <c r="AE4096">
        <v>-7.5186999999999902</v>
      </c>
      <c r="AF4096">
        <v>-7.4030596060292702</v>
      </c>
      <c r="AG4096">
        <v>-1.1103797076289901</v>
      </c>
      <c r="AH4096">
        <v>30.0084463744586</v>
      </c>
      <c r="AI4096">
        <v>92.057475950481802</v>
      </c>
      <c r="AJ4096">
        <v>103.858108406581</v>
      </c>
      <c r="AK4096">
        <v>30.928063121286598</v>
      </c>
      <c r="AL4096">
        <v>88.616213626141999</v>
      </c>
      <c r="AM4096">
        <v>91.941922521631696</v>
      </c>
      <c r="AN4096">
        <v>0.999999979664561</v>
      </c>
    </row>
    <row r="4097" spans="1:40" x14ac:dyDescent="0.3">
      <c r="A4097" t="str">
        <f>"20200111160539670"</f>
        <v>20200111160539670</v>
      </c>
      <c r="B4097" t="str">
        <f>"1578729939665605"</f>
        <v>1578729939665605</v>
      </c>
      <c r="C4097" t="s">
        <v>40</v>
      </c>
      <c r="D4097">
        <v>5.0100980000000002</v>
      </c>
      <c r="E4097">
        <v>0.42233680000000001</v>
      </c>
      <c r="F4097" t="s">
        <v>41</v>
      </c>
      <c r="G4097">
        <v>-345.875</v>
      </c>
      <c r="H4097" s="1">
        <v>-2.640279E-6</v>
      </c>
      <c r="I4097">
        <v>134.91659999999999</v>
      </c>
      <c r="J4097">
        <v>-315.8562</v>
      </c>
      <c r="K4097">
        <v>1.110379</v>
      </c>
      <c r="L4097">
        <v>142.44560000000001</v>
      </c>
      <c r="M4097">
        <v>-0.99993900000000002</v>
      </c>
      <c r="N4097">
        <v>0</v>
      </c>
      <c r="O4097">
        <v>-3.8650720000000002E-3</v>
      </c>
      <c r="P4097">
        <v>-0.99919550000000001</v>
      </c>
      <c r="Q4097">
        <v>1.3680060000000001E-2</v>
      </c>
      <c r="R4097">
        <v>-3.7699290000000003E-2</v>
      </c>
      <c r="S4097">
        <v>-2.9761660000000001</v>
      </c>
      <c r="T4097">
        <v>-0.10932699999999999</v>
      </c>
      <c r="U4097">
        <v>-0.741394</v>
      </c>
      <c r="V4097">
        <v>-3.3859550000000002E-2</v>
      </c>
      <c r="W4097">
        <v>2.3978619999999999E-2</v>
      </c>
      <c r="X4097">
        <v>0.99913890000000005</v>
      </c>
      <c r="Y4097">
        <v>-0.23782220000000001</v>
      </c>
      <c r="Z4097">
        <v>-4.1611820000000002E-3</v>
      </c>
      <c r="AA4097">
        <v>0.97129980000000005</v>
      </c>
      <c r="AB4097">
        <v>31</v>
      </c>
      <c r="AC4097">
        <v>-30.018799999999999</v>
      </c>
      <c r="AD4097">
        <v>-1.1103816402789899</v>
      </c>
      <c r="AE4097">
        <v>-7.5290000000000203</v>
      </c>
      <c r="AF4097">
        <v>-7.4033827095826599</v>
      </c>
      <c r="AG4097">
        <v>-1.1103816402789899</v>
      </c>
      <c r="AH4097">
        <v>30.009048257168601</v>
      </c>
      <c r="AI4097">
        <v>92.057435516019794</v>
      </c>
      <c r="AJ4097">
        <v>103.85842267769701</v>
      </c>
      <c r="AK4097">
        <v>30.928724516744801</v>
      </c>
      <c r="AL4097">
        <v>88.625994573961407</v>
      </c>
      <c r="AM4097">
        <v>91.940938499286901</v>
      </c>
      <c r="AN4097">
        <v>0.99999999241825799</v>
      </c>
    </row>
    <row r="4098" spans="1:40" x14ac:dyDescent="0.3">
      <c r="A4098" t="str">
        <f>"20200111160539690"</f>
        <v>20200111160539690</v>
      </c>
      <c r="B4098" t="str">
        <f>"1578729939686102"</f>
        <v>1578729939686102</v>
      </c>
      <c r="C4098" t="s">
        <v>40</v>
      </c>
      <c r="D4098">
        <v>4.9179690000000003</v>
      </c>
      <c r="E4098">
        <v>0.45208320000000002</v>
      </c>
      <c r="F4098" t="s">
        <v>41</v>
      </c>
      <c r="G4098">
        <v>-346.12689999999998</v>
      </c>
      <c r="H4098" s="1">
        <v>-2.5586739999999999E-6</v>
      </c>
      <c r="I4098">
        <v>134.90119999999999</v>
      </c>
      <c r="J4098">
        <v>-316.11950000000002</v>
      </c>
      <c r="K4098">
        <v>1.1103809999999901</v>
      </c>
      <c r="L4098">
        <v>142.4442</v>
      </c>
      <c r="M4098">
        <v>-0.99993739999999998</v>
      </c>
      <c r="N4098">
        <v>0</v>
      </c>
      <c r="O4098">
        <v>-4.2844620000000002E-3</v>
      </c>
      <c r="P4098">
        <v>-0.99918750000000001</v>
      </c>
      <c r="Q4098">
        <v>1.423527E-2</v>
      </c>
      <c r="R4098">
        <v>-3.7706709999999997E-2</v>
      </c>
      <c r="S4098">
        <v>-2.9758909999999998</v>
      </c>
      <c r="T4098">
        <v>-0.1091611</v>
      </c>
      <c r="U4098">
        <v>-0.74168400000000001</v>
      </c>
      <c r="V4098">
        <v>-3.344842E-2</v>
      </c>
      <c r="W4098">
        <v>2.453636E-2</v>
      </c>
      <c r="X4098">
        <v>0.99913920000000001</v>
      </c>
      <c r="Y4098">
        <v>-0.23752580000000001</v>
      </c>
      <c r="Z4098">
        <v>-4.1347010000000002E-3</v>
      </c>
      <c r="AA4098">
        <v>0.97137240000000002</v>
      </c>
      <c r="AB4098">
        <v>31</v>
      </c>
      <c r="AC4098">
        <v>-30.007399999999901</v>
      </c>
      <c r="AD4098">
        <v>-1.1103835586739901</v>
      </c>
      <c r="AE4098">
        <v>-7.5430000000000001</v>
      </c>
      <c r="AF4098">
        <v>-7.4048217164943599</v>
      </c>
      <c r="AG4098">
        <v>-1.1103835586739901</v>
      </c>
      <c r="AH4098">
        <v>30.000806178678499</v>
      </c>
      <c r="AI4098">
        <v>92.057948462416306</v>
      </c>
      <c r="AJ4098">
        <v>103.864673604825</v>
      </c>
      <c r="AK4098">
        <v>30.921072227060201</v>
      </c>
      <c r="AL4098">
        <v>88.594029009263096</v>
      </c>
      <c r="AM4098">
        <v>91.917388326987506</v>
      </c>
      <c r="AN4098">
        <v>0.999999985369593</v>
      </c>
    </row>
    <row r="4099" spans="1:40" x14ac:dyDescent="0.3">
      <c r="A4099" t="str">
        <f>"20200111160539703"</f>
        <v>20200111160539703</v>
      </c>
      <c r="B4099" t="str">
        <f>"1578729939695861"</f>
        <v>1578729939695861</v>
      </c>
      <c r="C4099" t="s">
        <v>40</v>
      </c>
      <c r="D4099">
        <v>4.9918690000000003</v>
      </c>
      <c r="E4099">
        <v>0.45208320000000002</v>
      </c>
      <c r="F4099" t="s">
        <v>68</v>
      </c>
      <c r="G4099">
        <v>-452.25540000000001</v>
      </c>
      <c r="H4099">
        <v>2.8373569999999999</v>
      </c>
      <c r="I4099">
        <v>119.8177</v>
      </c>
      <c r="J4099">
        <v>-316.31869999999998</v>
      </c>
      <c r="K4099">
        <v>1.110379</v>
      </c>
      <c r="L4099">
        <v>142.44299999999899</v>
      </c>
      <c r="M4099">
        <v>-0.99993600000000005</v>
      </c>
      <c r="N4099">
        <v>0</v>
      </c>
      <c r="O4099">
        <v>-4.601806E-3</v>
      </c>
      <c r="P4099">
        <v>-0.99917140000000004</v>
      </c>
      <c r="Q4099">
        <v>1.461147E-2</v>
      </c>
      <c r="R4099">
        <v>-3.7990219999999998E-2</v>
      </c>
      <c r="S4099">
        <v>-2.9831850000000002</v>
      </c>
      <c r="T4099">
        <v>3.7844299999999997E-2</v>
      </c>
      <c r="U4099">
        <v>-0.49581910000000001</v>
      </c>
      <c r="V4099">
        <v>-3.3415229999999997E-2</v>
      </c>
      <c r="W4099">
        <v>2.4914849999999999E-2</v>
      </c>
      <c r="X4099">
        <v>0.99913099999999999</v>
      </c>
      <c r="Y4099">
        <v>-0.15940190000000001</v>
      </c>
      <c r="Z4099">
        <v>9.4617360000000001E-4</v>
      </c>
      <c r="AA4099">
        <v>0.98721329999999996</v>
      </c>
      <c r="AB4099">
        <v>31</v>
      </c>
      <c r="AC4099">
        <v>-135.9367</v>
      </c>
      <c r="AD4099">
        <v>1.7269779999999999</v>
      </c>
      <c r="AE4099">
        <v>-22.6252999999999</v>
      </c>
      <c r="AF4099">
        <v>-21.996018240289001</v>
      </c>
      <c r="AG4099">
        <v>1.7269779999999999</v>
      </c>
      <c r="AH4099">
        <v>136.018021921361</v>
      </c>
      <c r="AI4099">
        <v>89.281900676673303</v>
      </c>
      <c r="AJ4099">
        <v>99.186004842322603</v>
      </c>
      <c r="AK4099">
        <v>137.795898193087</v>
      </c>
      <c r="AL4099">
        <v>88.572336577095797</v>
      </c>
      <c r="AM4099">
        <v>91.915502879223496</v>
      </c>
      <c r="AN4099">
        <v>1.00000004125373</v>
      </c>
    </row>
    <row r="4100" spans="1:40" x14ac:dyDescent="0.3">
      <c r="A4100" t="str">
        <f>"20200111160539716"</f>
        <v>20200111160539716</v>
      </c>
      <c r="B4100" t="str">
        <f>"1578729939706131"</f>
        <v>1578729939706131</v>
      </c>
      <c r="C4100" t="s">
        <v>40</v>
      </c>
      <c r="D4100">
        <v>4.948143</v>
      </c>
      <c r="E4100">
        <v>0.52147129999999997</v>
      </c>
      <c r="F4100" t="s">
        <v>68</v>
      </c>
      <c r="G4100">
        <v>-452.16079999999999</v>
      </c>
      <c r="H4100">
        <v>2.8888370000000001</v>
      </c>
      <c r="I4100">
        <v>119.8177</v>
      </c>
      <c r="J4100">
        <v>-316.49299999999999</v>
      </c>
      <c r="K4100">
        <v>1.110379</v>
      </c>
      <c r="L4100">
        <v>142.4419</v>
      </c>
      <c r="M4100">
        <v>-0.99993469999999995</v>
      </c>
      <c r="N4100">
        <v>0</v>
      </c>
      <c r="O4100">
        <v>-4.8794529999999997E-3</v>
      </c>
      <c r="P4100">
        <v>-0.99916450000000001</v>
      </c>
      <c r="Q4100">
        <v>1.476301E-2</v>
      </c>
      <c r="R4100">
        <v>-3.8113729999999998E-2</v>
      </c>
      <c r="S4100">
        <v>-2.9830320000000001</v>
      </c>
      <c r="T4100">
        <v>3.9054749999999999E-2</v>
      </c>
      <c r="U4100">
        <v>-0.49684139999999999</v>
      </c>
      <c r="V4100">
        <v>-3.3261689999999997E-2</v>
      </c>
      <c r="W4100">
        <v>2.5068340000000001E-2</v>
      </c>
      <c r="X4100">
        <v>0.99913220000000003</v>
      </c>
      <c r="Y4100">
        <v>-0.15946440000000001</v>
      </c>
      <c r="Z4100">
        <v>9.7325319999999995E-4</v>
      </c>
      <c r="AA4100">
        <v>0.98720319999999995</v>
      </c>
      <c r="AB4100">
        <v>31</v>
      </c>
      <c r="AC4100">
        <v>-135.6678</v>
      </c>
      <c r="AD4100">
        <v>1.7784580000000001</v>
      </c>
      <c r="AE4100">
        <v>-22.624199999999998</v>
      </c>
      <c r="AF4100">
        <v>-21.9582393481728</v>
      </c>
      <c r="AG4100">
        <v>1.7784580000000001</v>
      </c>
      <c r="AH4100">
        <v>135.75388711783</v>
      </c>
      <c r="AI4100">
        <v>89.259062546201207</v>
      </c>
      <c r="AJ4100">
        <v>99.1880347629602</v>
      </c>
      <c r="AK4100">
        <v>137.529796974074</v>
      </c>
      <c r="AL4100">
        <v>88.563539380085203</v>
      </c>
      <c r="AM4100">
        <v>91.906705537796299</v>
      </c>
      <c r="AN4100">
        <v>0.99999995738442404</v>
      </c>
    </row>
    <row r="4101" spans="1:40" x14ac:dyDescent="0.3">
      <c r="A4101" t="str">
        <f>"20200111160539734"</f>
        <v>20200111160539734</v>
      </c>
      <c r="B4101" t="str">
        <f>"1578729939725653"</f>
        <v>1578729939725653</v>
      </c>
      <c r="C4101" t="s">
        <v>40</v>
      </c>
      <c r="D4101">
        <v>5.0172420000000004</v>
      </c>
      <c r="E4101">
        <v>0.53297740000000005</v>
      </c>
      <c r="F4101" t="s">
        <v>42</v>
      </c>
      <c r="G4101">
        <v>-317.3356</v>
      </c>
      <c r="H4101">
        <v>1.0484659999999999</v>
      </c>
      <c r="I4101">
        <v>142.4537</v>
      </c>
      <c r="J4101">
        <v>-316.74040000000002</v>
      </c>
      <c r="K4101">
        <v>1.110376</v>
      </c>
      <c r="L4101">
        <v>142.44030000000001</v>
      </c>
      <c r="M4101">
        <v>-0.99993259999999995</v>
      </c>
      <c r="N4101">
        <v>0</v>
      </c>
      <c r="O4101">
        <v>-5.2733329999999998E-3</v>
      </c>
      <c r="P4101">
        <v>-0.99918770000000001</v>
      </c>
      <c r="Q4101">
        <v>1.5023770000000001E-2</v>
      </c>
      <c r="R4101">
        <v>-3.7402299999999999E-2</v>
      </c>
      <c r="S4101">
        <v>-3.0073240000000001</v>
      </c>
      <c r="T4101">
        <v>-0.2209951</v>
      </c>
      <c r="U4101">
        <v>4.1458130000000003E-2</v>
      </c>
      <c r="V4101">
        <v>-3.215664E-2</v>
      </c>
      <c r="W4101">
        <v>2.533291E-2</v>
      </c>
      <c r="X4101">
        <v>0.99916170000000004</v>
      </c>
      <c r="Y4101">
        <v>1.8991910000000001E-2</v>
      </c>
      <c r="Z4101">
        <v>1.0838410000000001E-3</v>
      </c>
      <c r="AA4101">
        <v>0.99981900000000001</v>
      </c>
      <c r="AB4101">
        <v>31</v>
      </c>
      <c r="AC4101">
        <v>-0.59519999999997697</v>
      </c>
      <c r="AD4101">
        <v>-6.1910000000000097E-2</v>
      </c>
      <c r="AE4101">
        <v>1.339999999999E-2</v>
      </c>
      <c r="AF4101">
        <v>1.6361737893784201E-2</v>
      </c>
      <c r="AG4101">
        <v>-6.1910000000000097E-2</v>
      </c>
      <c r="AH4101">
        <v>0.58875442304436298</v>
      </c>
      <c r="AI4101">
        <v>96.000531671187005</v>
      </c>
      <c r="AJ4101">
        <v>88.408135435851904</v>
      </c>
      <c r="AK4101">
        <v>0.59222658267018502</v>
      </c>
      <c r="AL4101">
        <v>88.548375814772598</v>
      </c>
      <c r="AM4101">
        <v>91.843349306039897</v>
      </c>
      <c r="AN4101">
        <v>0.99999995428602295</v>
      </c>
    </row>
    <row r="4102" spans="1:40" x14ac:dyDescent="0.3">
      <c r="A4102" t="str">
        <f>"20200111160539749"</f>
        <v>20200111160539749</v>
      </c>
      <c r="B4102" t="str">
        <f>"1578729939746146"</f>
        <v>1578729939746146</v>
      </c>
      <c r="C4102" t="s">
        <v>40</v>
      </c>
      <c r="D4102">
        <v>4.8579049999999997</v>
      </c>
      <c r="E4102">
        <v>0.5392768</v>
      </c>
      <c r="F4102" t="s">
        <v>42</v>
      </c>
      <c r="G4102">
        <v>-317.60480000000001</v>
      </c>
      <c r="H4102">
        <v>1.044762</v>
      </c>
      <c r="I4102">
        <v>142.4794</v>
      </c>
      <c r="J4102">
        <v>-316.94040000000001</v>
      </c>
      <c r="K4102">
        <v>1.1103769999999999</v>
      </c>
      <c r="L4102">
        <v>142.43899999999999</v>
      </c>
      <c r="M4102">
        <v>-0.99993089999999996</v>
      </c>
      <c r="N4102">
        <v>0</v>
      </c>
      <c r="O4102">
        <v>-5.5917509999999998E-3</v>
      </c>
      <c r="P4102">
        <v>-0.99919559999999996</v>
      </c>
      <c r="Q4102">
        <v>1.5092309999999999E-2</v>
      </c>
      <c r="R4102">
        <v>-3.7157009999999997E-2</v>
      </c>
      <c r="S4102">
        <v>-3.0109249999999999</v>
      </c>
      <c r="T4102">
        <v>-0.22876579999999999</v>
      </c>
      <c r="U4102">
        <v>0.1348724</v>
      </c>
      <c r="V4102">
        <v>-3.1592950000000002E-2</v>
      </c>
      <c r="W4102">
        <v>2.5404409999999999E-2</v>
      </c>
      <c r="X4102">
        <v>0.99917789999999995</v>
      </c>
      <c r="Y4102">
        <v>5.017481E-2</v>
      </c>
      <c r="Z4102">
        <v>2.326477E-3</v>
      </c>
      <c r="AA4102">
        <v>0.99873780000000001</v>
      </c>
      <c r="AB4102">
        <v>31</v>
      </c>
      <c r="AC4102">
        <v>-0.66439999999999999</v>
      </c>
      <c r="AD4102">
        <v>-6.5614999999999701E-2</v>
      </c>
      <c r="AE4102">
        <v>4.04000000000053E-2</v>
      </c>
      <c r="AF4102">
        <v>4.3690177154055203E-2</v>
      </c>
      <c r="AG4102">
        <v>-6.5614999999999701E-2</v>
      </c>
      <c r="AH4102">
        <v>0.65777194638799896</v>
      </c>
      <c r="AI4102">
        <v>95.684161940942005</v>
      </c>
      <c r="AJ4102">
        <v>86.199912177119103</v>
      </c>
      <c r="AK4102">
        <v>0.66247874928922001</v>
      </c>
      <c r="AL4102">
        <v>88.544277895388106</v>
      </c>
      <c r="AM4102">
        <v>91.811028670984101</v>
      </c>
      <c r="AN4102">
        <v>0.99999998719278005</v>
      </c>
    </row>
    <row r="4103" spans="1:40" x14ac:dyDescent="0.3">
      <c r="A4103" t="str">
        <f>"20200111160539761"</f>
        <v>20200111160539761</v>
      </c>
      <c r="B4103" t="str">
        <f>"1578729939755906"</f>
        <v>1578729939755906</v>
      </c>
      <c r="C4103" t="s">
        <v>40</v>
      </c>
      <c r="D4103">
        <v>4.8800230000000004</v>
      </c>
      <c r="E4103">
        <v>0.53969730000000005</v>
      </c>
      <c r="F4103" t="s">
        <v>42</v>
      </c>
      <c r="G4103">
        <v>-317.87990000000002</v>
      </c>
      <c r="H4103">
        <v>1.0401860000000001</v>
      </c>
      <c r="I4103">
        <v>142.49719999999999</v>
      </c>
      <c r="J4103">
        <v>-317.13490000000002</v>
      </c>
      <c r="K4103">
        <v>1.1103769999999999</v>
      </c>
      <c r="L4103">
        <v>142.4376</v>
      </c>
      <c r="M4103">
        <v>-0.99992899999999996</v>
      </c>
      <c r="N4103">
        <v>0</v>
      </c>
      <c r="O4103">
        <v>-5.9011100000000002E-3</v>
      </c>
      <c r="P4103">
        <v>-0.99920059999999999</v>
      </c>
      <c r="Q4103">
        <v>1.5223570000000001E-2</v>
      </c>
      <c r="R4103">
        <v>-3.6967659999999999E-2</v>
      </c>
      <c r="S4103">
        <v>-3.0127259999999998</v>
      </c>
      <c r="T4103">
        <v>-0.225159</v>
      </c>
      <c r="U4103">
        <v>0.18617249999999999</v>
      </c>
      <c r="V4103">
        <v>-3.1094960000000001E-2</v>
      </c>
      <c r="W4103">
        <v>2.553836E-2</v>
      </c>
      <c r="X4103">
        <v>0.99919009999999997</v>
      </c>
      <c r="Y4103">
        <v>6.7363270000000003E-2</v>
      </c>
      <c r="Z4103">
        <v>2.9513740000000001E-3</v>
      </c>
      <c r="AA4103">
        <v>0.99772419999999995</v>
      </c>
      <c r="AB4103">
        <v>31</v>
      </c>
      <c r="AC4103">
        <v>-0.74500000000000399</v>
      </c>
      <c r="AD4103">
        <v>-7.0190999999999795E-2</v>
      </c>
      <c r="AE4103">
        <v>5.9599999999989002E-2</v>
      </c>
      <c r="AF4103">
        <v>6.3436004837421497E-2</v>
      </c>
      <c r="AG4103">
        <v>-7.0190999999999795E-2</v>
      </c>
      <c r="AH4103">
        <v>0.73812487409037697</v>
      </c>
      <c r="AI4103">
        <v>95.412299250025399</v>
      </c>
      <c r="AJ4103">
        <v>85.087949960653802</v>
      </c>
      <c r="AK4103">
        <v>0.74416344504528598</v>
      </c>
      <c r="AL4103">
        <v>88.536600624440098</v>
      </c>
      <c r="AM4103">
        <v>91.782478793599296</v>
      </c>
      <c r="AN4103">
        <v>0.99999998015345004</v>
      </c>
    </row>
    <row r="4104" spans="1:40" x14ac:dyDescent="0.3">
      <c r="A4104" t="str">
        <f>"20200111160539778"</f>
        <v>20200111160539778</v>
      </c>
      <c r="B4104" t="str">
        <f>"1578729939775425"</f>
        <v>1578729939775425</v>
      </c>
      <c r="C4104" t="s">
        <v>40</v>
      </c>
      <c r="D4104">
        <v>4.9796579999999997</v>
      </c>
      <c r="E4104">
        <v>0.54037729999999995</v>
      </c>
      <c r="F4104" t="s">
        <v>42</v>
      </c>
      <c r="G4104">
        <v>-317.89019999999999</v>
      </c>
      <c r="H4104">
        <v>1.0541480000000001</v>
      </c>
      <c r="I4104">
        <v>142.4855</v>
      </c>
      <c r="J4104">
        <v>-317.35270000000003</v>
      </c>
      <c r="K4104">
        <v>1.110387</v>
      </c>
      <c r="L4104">
        <v>142.43600000000001</v>
      </c>
      <c r="M4104">
        <v>-0.99992700000000001</v>
      </c>
      <c r="N4104">
        <v>0</v>
      </c>
      <c r="O4104">
        <v>-6.2476619999999898E-3</v>
      </c>
      <c r="P4104">
        <v>-0.99922639999999996</v>
      </c>
      <c r="Q4104">
        <v>1.555138E-2</v>
      </c>
      <c r="R4104">
        <v>-3.6124919999999998E-2</v>
      </c>
      <c r="S4104">
        <v>-3.012848</v>
      </c>
      <c r="T4104">
        <v>-0.22437260000000001</v>
      </c>
      <c r="U4104">
        <v>0.19017029999999999</v>
      </c>
      <c r="V4104">
        <v>-2.990545E-2</v>
      </c>
      <c r="W4104">
        <v>2.587012E-2</v>
      </c>
      <c r="X4104">
        <v>0.99921789999999999</v>
      </c>
      <c r="Y4104">
        <v>6.9021150000000003E-2</v>
      </c>
      <c r="Z4104">
        <v>3.0281919999999999E-3</v>
      </c>
      <c r="AA4104">
        <v>0.99761060000000001</v>
      </c>
      <c r="AB4104">
        <v>31</v>
      </c>
      <c r="AC4104">
        <v>-0.53749999999996501</v>
      </c>
      <c r="AD4104">
        <v>-5.6239000000000101E-2</v>
      </c>
      <c r="AE4104">
        <v>4.9499999999994701E-2</v>
      </c>
      <c r="AF4104">
        <v>5.2289700076374498E-2</v>
      </c>
      <c r="AG4104">
        <v>-5.6239000000000101E-2</v>
      </c>
      <c r="AH4104">
        <v>0.53141148692095097</v>
      </c>
      <c r="AI4104">
        <v>96.012274730556896</v>
      </c>
      <c r="AJ4104">
        <v>84.3803138572802</v>
      </c>
      <c r="AK4104">
        <v>0.53693128637341803</v>
      </c>
      <c r="AL4104">
        <v>88.517585930915502</v>
      </c>
      <c r="AM4104">
        <v>91.714285485182003</v>
      </c>
      <c r="AN4104">
        <v>1.00000000536446</v>
      </c>
    </row>
    <row r="4105" spans="1:40" x14ac:dyDescent="0.3">
      <c r="A4105" t="str">
        <f>"20200111160539793"</f>
        <v>20200111160539793</v>
      </c>
      <c r="B4105" t="str">
        <f>"1578729939786162"</f>
        <v>1578729939786162</v>
      </c>
      <c r="C4105" t="s">
        <v>40</v>
      </c>
      <c r="D4105">
        <v>4.9143879999999998</v>
      </c>
      <c r="E4105">
        <v>0.54055779999999998</v>
      </c>
      <c r="F4105" t="s">
        <v>42</v>
      </c>
      <c r="G4105">
        <v>-318.16300000000001</v>
      </c>
      <c r="H4105">
        <v>1.049107</v>
      </c>
      <c r="I4105">
        <v>142.4896</v>
      </c>
      <c r="J4105">
        <v>-317.5711</v>
      </c>
      <c r="K4105">
        <v>1.1103889999999901</v>
      </c>
      <c r="L4105">
        <v>142.43430000000001</v>
      </c>
      <c r="M4105">
        <v>-0.9999247</v>
      </c>
      <c r="N4105">
        <v>0</v>
      </c>
      <c r="O4105">
        <v>-6.5951689999999997E-3</v>
      </c>
      <c r="P4105">
        <v>-0.9992297</v>
      </c>
      <c r="Q4105">
        <v>1.591273E-2</v>
      </c>
      <c r="R4105">
        <v>-3.5876180000000001E-2</v>
      </c>
      <c r="S4105">
        <v>-3.0129999999999999</v>
      </c>
      <c r="T4105">
        <v>-0.22803989999999999</v>
      </c>
      <c r="U4105">
        <v>0.1980133</v>
      </c>
      <c r="V4105">
        <v>-2.931054E-2</v>
      </c>
      <c r="W4105">
        <v>2.623431E-2</v>
      </c>
      <c r="X4105">
        <v>0.99922599999999995</v>
      </c>
      <c r="Y4105">
        <v>7.1934429999999994E-2</v>
      </c>
      <c r="Z4105">
        <v>3.2133470000000001E-3</v>
      </c>
      <c r="AA4105">
        <v>0.99740419999999996</v>
      </c>
      <c r="AB4105">
        <v>31</v>
      </c>
      <c r="AC4105">
        <v>-0.59190000000000897</v>
      </c>
      <c r="AD4105">
        <v>-6.1281999999999802E-2</v>
      </c>
      <c r="AE4105">
        <v>5.5299999999988303E-2</v>
      </c>
      <c r="AF4105">
        <v>5.8580178028867801E-2</v>
      </c>
      <c r="AG4105">
        <v>-6.1281999999999802E-2</v>
      </c>
      <c r="AH4105">
        <v>0.58530261043099296</v>
      </c>
      <c r="AI4105">
        <v>95.947669930414193</v>
      </c>
      <c r="AJ4105">
        <v>84.284568866755805</v>
      </c>
      <c r="AK4105">
        <v>0.59141040450708005</v>
      </c>
      <c r="AL4105">
        <v>88.496712247338493</v>
      </c>
      <c r="AM4105">
        <v>91.680189286943403</v>
      </c>
      <c r="AN4105">
        <v>0.99999997292613296</v>
      </c>
    </row>
    <row r="4106" spans="1:40" x14ac:dyDescent="0.3">
      <c r="A4106" t="str">
        <f>"20200111160539812"</f>
        <v>20200111160539812</v>
      </c>
      <c r="B4106" t="str">
        <f>"1578729939806189"</f>
        <v>1578729939806189</v>
      </c>
      <c r="C4106" t="s">
        <v>40</v>
      </c>
      <c r="D4106">
        <v>4.940747</v>
      </c>
      <c r="E4106">
        <v>0.54084379999999999</v>
      </c>
      <c r="F4106" t="s">
        <v>42</v>
      </c>
      <c r="G4106">
        <v>-318.43770000000001</v>
      </c>
      <c r="H4106">
        <v>1.04461</v>
      </c>
      <c r="I4106">
        <v>142.49199999999999</v>
      </c>
      <c r="J4106">
        <v>-317.82069999999999</v>
      </c>
      <c r="K4106">
        <v>1.11039</v>
      </c>
      <c r="L4106">
        <v>142.43219999999999</v>
      </c>
      <c r="M4106">
        <v>-0.99992190000000003</v>
      </c>
      <c r="N4106">
        <v>0</v>
      </c>
      <c r="O4106">
        <v>-6.991911E-3</v>
      </c>
      <c r="P4106">
        <v>-0.9992415</v>
      </c>
      <c r="Q4106">
        <v>1.6251959999999999E-2</v>
      </c>
      <c r="R4106">
        <v>-3.5388549999999998E-2</v>
      </c>
      <c r="S4106">
        <v>-3.0131230000000002</v>
      </c>
      <c r="T4106">
        <v>-0.22877900000000001</v>
      </c>
      <c r="U4106">
        <v>0.2000885</v>
      </c>
      <c r="V4106">
        <v>-2.8426420000000001E-2</v>
      </c>
      <c r="W4106">
        <v>2.6577509999999999E-2</v>
      </c>
      <c r="X4106">
        <v>0.99924250000000003</v>
      </c>
      <c r="Y4106">
        <v>7.3005780000000006E-2</v>
      </c>
      <c r="Z4106">
        <v>3.2941509999999999E-3</v>
      </c>
      <c r="AA4106">
        <v>0.99732609999999999</v>
      </c>
      <c r="AB4106">
        <v>31</v>
      </c>
      <c r="AC4106">
        <v>-0.61700000000001798</v>
      </c>
      <c r="AD4106">
        <v>-6.5779999999999894E-2</v>
      </c>
      <c r="AE4106">
        <v>5.9800000000024001E-2</v>
      </c>
      <c r="AF4106">
        <v>6.3398876956486994E-2</v>
      </c>
      <c r="AG4106">
        <v>-6.5779999999999894E-2</v>
      </c>
      <c r="AH4106">
        <v>0.60970124980182006</v>
      </c>
      <c r="AI4106">
        <v>96.124989092709896</v>
      </c>
      <c r="AJ4106">
        <v>84.063518511432207</v>
      </c>
      <c r="AK4106">
        <v>0.61650793994014796</v>
      </c>
      <c r="AL4106">
        <v>88.477041516675598</v>
      </c>
      <c r="AM4106">
        <v>91.629509093387</v>
      </c>
      <c r="AN4106">
        <v>0.99999999959903296</v>
      </c>
    </row>
    <row r="4107" spans="1:40" x14ac:dyDescent="0.3">
      <c r="A4107" t="str">
        <f>"20200111160539825"</f>
        <v>20200111160539825</v>
      </c>
      <c r="B4107" t="str">
        <f>"1578729939815949"</f>
        <v>1578729939815949</v>
      </c>
      <c r="C4107" t="s">
        <v>40</v>
      </c>
      <c r="D4107">
        <v>5.0281269999999996</v>
      </c>
      <c r="E4107">
        <v>0.54062619999999995</v>
      </c>
      <c r="F4107" t="s">
        <v>42</v>
      </c>
      <c r="G4107">
        <v>-318.71469999999999</v>
      </c>
      <c r="H4107">
        <v>1.0420180000000001</v>
      </c>
      <c r="I4107">
        <v>142.4931</v>
      </c>
      <c r="J4107">
        <v>-318.01299999999998</v>
      </c>
      <c r="K4107">
        <v>1.1103879999999999</v>
      </c>
      <c r="L4107">
        <v>142.4306</v>
      </c>
      <c r="M4107">
        <v>-0.99991969999999997</v>
      </c>
      <c r="N4107">
        <v>0</v>
      </c>
      <c r="O4107">
        <v>-7.2975740000000002E-3</v>
      </c>
      <c r="P4107">
        <v>-0.9992415</v>
      </c>
      <c r="Q4107">
        <v>1.6216769999999998E-2</v>
      </c>
      <c r="R4107">
        <v>-3.5406279999999998E-2</v>
      </c>
      <c r="S4107">
        <v>-3.013245</v>
      </c>
      <c r="T4107">
        <v>-0.23065840000000001</v>
      </c>
      <c r="U4107">
        <v>0.20370479999999999</v>
      </c>
      <c r="V4107">
        <v>-2.8138659999999999E-2</v>
      </c>
      <c r="W4107">
        <v>2.6544620000000001E-2</v>
      </c>
      <c r="X4107">
        <v>0.99925149999999996</v>
      </c>
      <c r="Y4107">
        <v>7.4490539999999994E-2</v>
      </c>
      <c r="Z4107">
        <v>3.4008889999999998E-3</v>
      </c>
      <c r="AA4107">
        <v>0.99721590000000004</v>
      </c>
      <c r="AB4107">
        <v>31</v>
      </c>
      <c r="AC4107">
        <v>-0.70170000000001598</v>
      </c>
      <c r="AD4107">
        <v>-6.8369999999999806E-2</v>
      </c>
      <c r="AE4107">
        <v>6.25E-2</v>
      </c>
      <c r="AF4107">
        <v>6.6988366905993801E-2</v>
      </c>
      <c r="AG4107">
        <v>-6.8369999999999806E-2</v>
      </c>
      <c r="AH4107">
        <v>0.69468210644879802</v>
      </c>
      <c r="AI4107">
        <v>95.595110231862606</v>
      </c>
      <c r="AJ4107">
        <v>84.491984348278095</v>
      </c>
      <c r="AK4107">
        <v>0.70124541155067099</v>
      </c>
      <c r="AL4107">
        <v>88.478926611112499</v>
      </c>
      <c r="AM4107">
        <v>91.613007848655698</v>
      </c>
      <c r="AN4107">
        <v>0.99999998064489404</v>
      </c>
    </row>
    <row r="4108" spans="1:40" x14ac:dyDescent="0.3">
      <c r="A4108" t="str">
        <f>"20200111160539839"</f>
        <v>20200111160539839</v>
      </c>
      <c r="B4108" t="str">
        <f>"1578729939835469"</f>
        <v>1578729939835469</v>
      </c>
      <c r="C4108" t="s">
        <v>40</v>
      </c>
      <c r="D4108">
        <v>4.9222190000000001</v>
      </c>
      <c r="E4108">
        <v>0.54010880000000006</v>
      </c>
      <c r="F4108" t="s">
        <v>42</v>
      </c>
      <c r="G4108">
        <v>-318.98989999999998</v>
      </c>
      <c r="H4108">
        <v>1.0352859999999999</v>
      </c>
      <c r="I4108">
        <v>142.49610000000001</v>
      </c>
      <c r="J4108">
        <v>-318.20490000000001</v>
      </c>
      <c r="K4108">
        <v>1.110384</v>
      </c>
      <c r="L4108">
        <v>142.4289</v>
      </c>
      <c r="M4108">
        <v>-0.99991739999999996</v>
      </c>
      <c r="N4108">
        <v>0</v>
      </c>
      <c r="O4108">
        <v>-7.6024040000000001E-3</v>
      </c>
      <c r="P4108">
        <v>-0.99924539999999995</v>
      </c>
      <c r="Q4108">
        <v>1.5797559999999999E-2</v>
      </c>
      <c r="R4108">
        <v>-3.5482319999999998E-2</v>
      </c>
      <c r="S4108">
        <v>-3.0132140000000001</v>
      </c>
      <c r="T4108">
        <v>-0.23171749999999999</v>
      </c>
      <c r="U4108">
        <v>0.2018585</v>
      </c>
      <c r="V4108">
        <v>-2.790977E-2</v>
      </c>
      <c r="W4108">
        <v>2.612753E-2</v>
      </c>
      <c r="X4108">
        <v>0.99926890000000002</v>
      </c>
      <c r="Y4108">
        <v>7.4184719999999996E-2</v>
      </c>
      <c r="Z4108">
        <v>3.4282200000000001E-3</v>
      </c>
      <c r="AA4108">
        <v>0.99723859999999998</v>
      </c>
      <c r="AB4108">
        <v>31</v>
      </c>
      <c r="AC4108">
        <v>-0.78499999999996795</v>
      </c>
      <c r="AD4108">
        <v>-7.5097999999999804E-2</v>
      </c>
      <c r="AE4108">
        <v>6.7200000000013901E-2</v>
      </c>
      <c r="AF4108">
        <v>7.25075021755201E-2</v>
      </c>
      <c r="AG4108">
        <v>-7.5097999999999804E-2</v>
      </c>
      <c r="AH4108">
        <v>0.77740334421937096</v>
      </c>
      <c r="AI4108">
        <v>95.494015304829205</v>
      </c>
      <c r="AJ4108">
        <v>84.671504859607793</v>
      </c>
      <c r="AK4108">
        <v>0.78438065190262996</v>
      </c>
      <c r="AL4108">
        <v>88.502832382515194</v>
      </c>
      <c r="AM4108">
        <v>91.599866064747502</v>
      </c>
      <c r="AN4108">
        <v>0.99999996879628095</v>
      </c>
    </row>
    <row r="4109" spans="1:40" x14ac:dyDescent="0.3">
      <c r="A4109" t="str">
        <f>"20200111160539856"</f>
        <v>20200111160539856</v>
      </c>
      <c r="B4109" t="str">
        <f>"1578729939846205"</f>
        <v>1578729939846205</v>
      </c>
      <c r="C4109" t="s">
        <v>40</v>
      </c>
      <c r="D4109">
        <v>4.8846220000000002</v>
      </c>
      <c r="E4109">
        <v>0.54009280000000004</v>
      </c>
      <c r="F4109" t="s">
        <v>42</v>
      </c>
      <c r="G4109">
        <v>-318.99720000000002</v>
      </c>
      <c r="H4109">
        <v>1.0485880000000001</v>
      </c>
      <c r="I4109">
        <v>142.48089999999999</v>
      </c>
      <c r="J4109">
        <v>-318.43729999999999</v>
      </c>
      <c r="K4109">
        <v>1.1103799999999999</v>
      </c>
      <c r="L4109">
        <v>142.42670000000001</v>
      </c>
      <c r="M4109">
        <v>-0.99991450000000004</v>
      </c>
      <c r="N4109">
        <v>0</v>
      </c>
      <c r="O4109">
        <v>-7.9720829999999996E-3</v>
      </c>
      <c r="P4109">
        <v>-0.99925529999999996</v>
      </c>
      <c r="Q4109">
        <v>1.520411E-2</v>
      </c>
      <c r="R4109">
        <v>-3.5465549999999998E-2</v>
      </c>
      <c r="S4109">
        <v>-3.0129999999999999</v>
      </c>
      <c r="T4109">
        <v>-0.2351347</v>
      </c>
      <c r="U4109">
        <v>0.19749449999999999</v>
      </c>
      <c r="V4109">
        <v>-2.7522330000000001E-2</v>
      </c>
      <c r="W4109">
        <v>2.5536929999999999E-2</v>
      </c>
      <c r="X4109">
        <v>0.99929489999999999</v>
      </c>
      <c r="Y4109">
        <v>7.3114949999999998E-2</v>
      </c>
      <c r="Z4109">
        <v>3.466181E-3</v>
      </c>
      <c r="AA4109">
        <v>0.99731749999999997</v>
      </c>
      <c r="AB4109">
        <v>31</v>
      </c>
      <c r="AC4109">
        <v>-0.55990000000002704</v>
      </c>
      <c r="AD4109">
        <v>-6.1792E-2</v>
      </c>
      <c r="AE4109">
        <v>5.4199999999980202E-2</v>
      </c>
      <c r="AF4109">
        <v>5.7962661556255603E-2</v>
      </c>
      <c r="AG4109">
        <v>-6.1792E-2</v>
      </c>
      <c r="AH4109">
        <v>0.55277980152770601</v>
      </c>
      <c r="AI4109">
        <v>96.3437853374909</v>
      </c>
      <c r="AJ4109">
        <v>84.014028560013998</v>
      </c>
      <c r="AK4109">
        <v>0.55923468273676902</v>
      </c>
      <c r="AL4109">
        <v>88.536682547766404</v>
      </c>
      <c r="AM4109">
        <v>91.577627196196701</v>
      </c>
      <c r="AN4109">
        <v>0.99999995530423003</v>
      </c>
    </row>
    <row r="4110" spans="1:40" x14ac:dyDescent="0.3">
      <c r="A4110" t="str">
        <f>"20200111160539878"</f>
        <v>20200111160539878</v>
      </c>
      <c r="B4110" t="str">
        <f>"1578729939875485"</f>
        <v>1578729939875485</v>
      </c>
      <c r="C4110" t="s">
        <v>40</v>
      </c>
      <c r="D4110">
        <v>5.1374550000000001</v>
      </c>
      <c r="E4110">
        <v>0.53977839999999999</v>
      </c>
      <c r="F4110" t="s">
        <v>42</v>
      </c>
      <c r="G4110">
        <v>-319.27300000000002</v>
      </c>
      <c r="H4110">
        <v>1.044559</v>
      </c>
      <c r="I4110">
        <v>142.48179999999999</v>
      </c>
      <c r="J4110">
        <v>-318.74720000000002</v>
      </c>
      <c r="K4110">
        <v>1.1103730000000001</v>
      </c>
      <c r="L4110">
        <v>142.4237</v>
      </c>
      <c r="M4110">
        <v>-0.99991039999999998</v>
      </c>
      <c r="N4110">
        <v>0</v>
      </c>
      <c r="O4110">
        <v>-8.464671E-3</v>
      </c>
      <c r="P4110">
        <v>-0.99926700000000002</v>
      </c>
      <c r="Q4110">
        <v>1.435312E-2</v>
      </c>
      <c r="R4110">
        <v>-3.5489039999999999E-2</v>
      </c>
      <c r="S4110">
        <v>-3.012848</v>
      </c>
      <c r="T4110">
        <v>-0.2374474</v>
      </c>
      <c r="U4110">
        <v>0.19735720000000001</v>
      </c>
      <c r="V4110">
        <v>-2.7052590000000001E-2</v>
      </c>
      <c r="W4110">
        <v>2.469033E-2</v>
      </c>
      <c r="X4110">
        <v>0.99932900000000002</v>
      </c>
      <c r="Y4110">
        <v>7.3556510000000006E-2</v>
      </c>
      <c r="Z4110">
        <v>3.556432E-3</v>
      </c>
      <c r="AA4110">
        <v>0.99728470000000002</v>
      </c>
      <c r="AB4110">
        <v>31</v>
      </c>
      <c r="AC4110">
        <v>-0.52579999999994698</v>
      </c>
      <c r="AD4110">
        <v>-6.5813999999999998E-2</v>
      </c>
      <c r="AE4110">
        <v>5.8099999999996002E-2</v>
      </c>
      <c r="AF4110">
        <v>6.1595484772354402E-2</v>
      </c>
      <c r="AG4110">
        <v>-6.5813999999999998E-2</v>
      </c>
      <c r="AH4110">
        <v>0.51728265161922804</v>
      </c>
      <c r="AI4110">
        <v>97.200471367321299</v>
      </c>
      <c r="AJ4110">
        <v>83.209472748836703</v>
      </c>
      <c r="AK4110">
        <v>0.52507792565157496</v>
      </c>
      <c r="AL4110">
        <v>88.585204458204601</v>
      </c>
      <c r="AM4110">
        <v>91.550661265551398</v>
      </c>
      <c r="AN4110">
        <v>0.99999995263110697</v>
      </c>
    </row>
    <row r="4111" spans="1:40" x14ac:dyDescent="0.3">
      <c r="A4111" t="str">
        <f>"20200111160539894"</f>
        <v>20200111160539894</v>
      </c>
      <c r="B4111" t="str">
        <f>"1578729939886222"</f>
        <v>1578729939886222</v>
      </c>
      <c r="C4111" t="s">
        <v>40</v>
      </c>
      <c r="D4111">
        <v>4.9875030000000002</v>
      </c>
      <c r="E4111">
        <v>0.53972259999999905</v>
      </c>
      <c r="F4111" t="s">
        <v>42</v>
      </c>
      <c r="G4111">
        <v>-319.55220000000003</v>
      </c>
      <c r="H4111">
        <v>1.0450429999999999</v>
      </c>
      <c r="I4111">
        <v>142.4759</v>
      </c>
      <c r="J4111">
        <v>-318.95760000000001</v>
      </c>
      <c r="K4111">
        <v>1.110374</v>
      </c>
      <c r="L4111">
        <v>142.42160000000001</v>
      </c>
      <c r="M4111">
        <v>-0.99990760000000001</v>
      </c>
      <c r="N4111">
        <v>0</v>
      </c>
      <c r="O4111">
        <v>-8.799065E-3</v>
      </c>
      <c r="P4111">
        <v>-0.99926689999999996</v>
      </c>
      <c r="Q4111">
        <v>1.3892089999999999E-2</v>
      </c>
      <c r="R4111">
        <v>-3.567944E-2</v>
      </c>
      <c r="S4111">
        <v>-3.0126339999999998</v>
      </c>
      <c r="T4111">
        <v>-0.24453839999999999</v>
      </c>
      <c r="U4111">
        <v>0.1947479</v>
      </c>
      <c r="V4111">
        <v>-2.690851E-2</v>
      </c>
      <c r="W4111">
        <v>2.423175E-2</v>
      </c>
      <c r="X4111">
        <v>0.99934420000000002</v>
      </c>
      <c r="Y4111">
        <v>7.3019799999999996E-2</v>
      </c>
      <c r="Z4111">
        <v>3.668007E-3</v>
      </c>
      <c r="AA4111">
        <v>0.99732379999999998</v>
      </c>
      <c r="AB4111">
        <v>31</v>
      </c>
      <c r="AC4111">
        <v>-0.59460000000001401</v>
      </c>
      <c r="AD4111">
        <v>-6.5331E-2</v>
      </c>
      <c r="AE4111">
        <v>5.42999999999835E-2</v>
      </c>
      <c r="AF4111">
        <v>5.8825815264727702E-2</v>
      </c>
      <c r="AG4111">
        <v>-6.5331E-2</v>
      </c>
      <c r="AH4111">
        <v>0.58707050952763395</v>
      </c>
      <c r="AI4111">
        <v>96.318539495319897</v>
      </c>
      <c r="AJ4111">
        <v>84.277930923097998</v>
      </c>
      <c r="AK4111">
        <v>0.59361637381359</v>
      </c>
      <c r="AL4111">
        <v>88.611487140758896</v>
      </c>
      <c r="AM4111">
        <v>91.542383115161499</v>
      </c>
      <c r="AN4111">
        <v>1.0000000378460601</v>
      </c>
    </row>
    <row r="4112" spans="1:40" x14ac:dyDescent="0.3">
      <c r="A4112" t="str">
        <f>"20200111160539906"</f>
        <v>20200111160539906</v>
      </c>
      <c r="B4112" t="str">
        <f>"1578729939895981"</f>
        <v>1578729939895981</v>
      </c>
      <c r="C4112" t="s">
        <v>40</v>
      </c>
      <c r="D4112">
        <v>4.9860910000000001</v>
      </c>
      <c r="E4112">
        <v>0.53973439999999995</v>
      </c>
      <c r="F4112" t="s">
        <v>42</v>
      </c>
      <c r="G4112">
        <v>-319.82850000000002</v>
      </c>
      <c r="H4112">
        <v>1.038994</v>
      </c>
      <c r="I4112">
        <v>142.47790000000001</v>
      </c>
      <c r="J4112">
        <v>-319.13799999999998</v>
      </c>
      <c r="K4112">
        <v>1.110379</v>
      </c>
      <c r="L4112">
        <v>142.41980000000001</v>
      </c>
      <c r="M4112">
        <v>-0.99990500000000004</v>
      </c>
      <c r="N4112">
        <v>0</v>
      </c>
      <c r="O4112">
        <v>-9.0857730000000001E-3</v>
      </c>
      <c r="P4112">
        <v>-0.9992588</v>
      </c>
      <c r="Q4112">
        <v>1.3729089999999999E-2</v>
      </c>
      <c r="R4112">
        <v>-3.5961449999999999E-2</v>
      </c>
      <c r="S4112">
        <v>-3.0125730000000002</v>
      </c>
      <c r="T4112">
        <v>-0.24707750000000001</v>
      </c>
      <c r="U4112">
        <v>0.19361880000000001</v>
      </c>
      <c r="V4112">
        <v>-2.690385E-2</v>
      </c>
      <c r="W4112">
        <v>2.4070620000000001E-2</v>
      </c>
      <c r="X4112">
        <v>0.99934820000000002</v>
      </c>
      <c r="Y4112">
        <v>7.2928519999999997E-2</v>
      </c>
      <c r="Z4112">
        <v>3.7258059999999999E-3</v>
      </c>
      <c r="AA4112">
        <v>0.99733019999999994</v>
      </c>
      <c r="AB4112">
        <v>31</v>
      </c>
      <c r="AC4112">
        <v>-0.69050000000004197</v>
      </c>
      <c r="AD4112">
        <v>-7.1385000000000004E-2</v>
      </c>
      <c r="AE4112">
        <v>5.8099999999996002E-2</v>
      </c>
      <c r="AF4112">
        <v>6.3695686711819396E-2</v>
      </c>
      <c r="AG4112">
        <v>-7.1385000000000004E-2</v>
      </c>
      <c r="AH4112">
        <v>0.68269836483961499</v>
      </c>
      <c r="AI4112">
        <v>95.9436999847333</v>
      </c>
      <c r="AJ4112">
        <v>84.669740374806594</v>
      </c>
      <c r="AK4112">
        <v>0.68936928861487201</v>
      </c>
      <c r="AL4112">
        <v>88.620721876118594</v>
      </c>
      <c r="AM4112">
        <v>91.542109965641203</v>
      </c>
      <c r="AN4112">
        <v>1.0000000183676201</v>
      </c>
    </row>
    <row r="4113" spans="1:40" x14ac:dyDescent="0.3">
      <c r="A4113" t="str">
        <f>"20200111160539925"</f>
        <v>20200111160539925</v>
      </c>
      <c r="B4113" t="str">
        <f>"1578729939915500"</f>
        <v>1578729939915500</v>
      </c>
      <c r="C4113" t="s">
        <v>40</v>
      </c>
      <c r="D4113">
        <v>5.0086769999999996</v>
      </c>
      <c r="E4113">
        <v>0.54001949999999999</v>
      </c>
      <c r="F4113" t="s">
        <v>42</v>
      </c>
      <c r="G4113">
        <v>-320.10390000000001</v>
      </c>
      <c r="H4113">
        <v>1.030608</v>
      </c>
      <c r="I4113">
        <v>142.48179999999999</v>
      </c>
      <c r="J4113">
        <v>-319.38990000000001</v>
      </c>
      <c r="K4113">
        <v>1.1103749999999999</v>
      </c>
      <c r="L4113">
        <v>142.4171</v>
      </c>
      <c r="M4113">
        <v>-0.99990120000000005</v>
      </c>
      <c r="N4113">
        <v>0</v>
      </c>
      <c r="O4113">
        <v>-9.4860919999999998E-3</v>
      </c>
      <c r="P4113">
        <v>-0.99924279999999999</v>
      </c>
      <c r="Q4113">
        <v>1.348705E-2</v>
      </c>
      <c r="R4113">
        <v>-3.6495989999999999E-2</v>
      </c>
      <c r="S4113">
        <v>-3.0126040000000001</v>
      </c>
      <c r="T4113">
        <v>-0.2488765</v>
      </c>
      <c r="U4113">
        <v>0.19302369999999999</v>
      </c>
      <c r="V4113">
        <v>-2.7038389999999999E-2</v>
      </c>
      <c r="W4113">
        <v>2.383132E-2</v>
      </c>
      <c r="X4113">
        <v>0.99935030000000002</v>
      </c>
      <c r="Y4113">
        <v>7.3124919999999996E-2</v>
      </c>
      <c r="Z4113">
        <v>3.7939050000000002E-3</v>
      </c>
      <c r="AA4113">
        <v>0.99731559999999997</v>
      </c>
      <c r="AB4113">
        <v>31</v>
      </c>
      <c r="AC4113">
        <v>-0.71399999999999797</v>
      </c>
      <c r="AD4113">
        <v>-7.9766999999999894E-2</v>
      </c>
      <c r="AE4113">
        <v>6.4699999999987698E-2</v>
      </c>
      <c r="AF4113">
        <v>7.0596581519984603E-2</v>
      </c>
      <c r="AG4113">
        <v>-7.9766999999999894E-2</v>
      </c>
      <c r="AH4113">
        <v>0.70463119759607995</v>
      </c>
      <c r="AI4113">
        <v>96.426706449558907</v>
      </c>
      <c r="AJ4113">
        <v>84.278662315981904</v>
      </c>
      <c r="AK4113">
        <v>0.71263719818501903</v>
      </c>
      <c r="AL4113">
        <v>88.634436684592202</v>
      </c>
      <c r="AM4113">
        <v>91.549814697960699</v>
      </c>
      <c r="AN4113">
        <v>1.00000001422841</v>
      </c>
    </row>
    <row r="4114" spans="1:40" x14ac:dyDescent="0.3">
      <c r="A4114" t="str">
        <f>"20200111160539946"</f>
        <v>20200111160539946</v>
      </c>
      <c r="B4114" t="str">
        <f>"1578729939935997"</f>
        <v>1578729939935997</v>
      </c>
      <c r="C4114" t="s">
        <v>40</v>
      </c>
      <c r="D4114">
        <v>4.974081</v>
      </c>
      <c r="E4114">
        <v>0.54006739999999998</v>
      </c>
      <c r="F4114" t="s">
        <v>42</v>
      </c>
      <c r="G4114">
        <v>-320.38229999999999</v>
      </c>
      <c r="H4114">
        <v>1.027857</v>
      </c>
      <c r="I4114">
        <v>142.4811</v>
      </c>
      <c r="J4114">
        <v>-319.6943</v>
      </c>
      <c r="K4114">
        <v>1.1103700000000001</v>
      </c>
      <c r="L4114">
        <v>142.41370000000001</v>
      </c>
      <c r="M4114">
        <v>-0.99989649999999997</v>
      </c>
      <c r="N4114">
        <v>0</v>
      </c>
      <c r="O4114">
        <v>-9.969739E-3</v>
      </c>
      <c r="P4114">
        <v>-0.99922659999999996</v>
      </c>
      <c r="Q4114">
        <v>1.2674950000000001E-2</v>
      </c>
      <c r="R4114">
        <v>-3.722607E-2</v>
      </c>
      <c r="S4114">
        <v>-3.0127259999999998</v>
      </c>
      <c r="T4114">
        <v>-0.2505887</v>
      </c>
      <c r="U4114">
        <v>0.19384770000000001</v>
      </c>
      <c r="V4114">
        <v>-2.7284320000000001E-2</v>
      </c>
      <c r="W4114">
        <v>2.3021880000000002E-2</v>
      </c>
      <c r="X4114">
        <v>0.99936259999999999</v>
      </c>
      <c r="Y4114">
        <v>7.3868320000000001E-2</v>
      </c>
      <c r="Z4114">
        <v>3.8906869999999999E-3</v>
      </c>
      <c r="AA4114">
        <v>0.99726040000000005</v>
      </c>
      <c r="AB4114">
        <v>31</v>
      </c>
      <c r="AC4114">
        <v>-0.68799999999998795</v>
      </c>
      <c r="AD4114">
        <v>-8.2513000000000003E-2</v>
      </c>
      <c r="AE4114">
        <v>6.7399999999992105E-2</v>
      </c>
      <c r="AF4114">
        <v>7.3213140580428701E-2</v>
      </c>
      <c r="AG4114">
        <v>-8.2513000000000003E-2</v>
      </c>
      <c r="AH4114">
        <v>0.67763955754985405</v>
      </c>
      <c r="AI4114">
        <v>96.902682736177994</v>
      </c>
      <c r="AJ4114">
        <v>83.833601693434701</v>
      </c>
      <c r="AK4114">
        <v>0.68655948691938695</v>
      </c>
      <c r="AL4114">
        <v>88.680826924792399</v>
      </c>
      <c r="AM4114">
        <v>91.563884963027405</v>
      </c>
      <c r="AN4114">
        <v>1.00000002367767</v>
      </c>
    </row>
    <row r="4115" spans="1:40" x14ac:dyDescent="0.3">
      <c r="A4115" t="str">
        <f>"20200111160539968"</f>
        <v>20200111160539968</v>
      </c>
      <c r="B4115" t="str">
        <f>"1578729939955517"</f>
        <v>1578729939955517</v>
      </c>
      <c r="C4115" t="s">
        <v>40</v>
      </c>
      <c r="D4115">
        <v>5.0132450000000004</v>
      </c>
      <c r="E4115">
        <v>0.53991089999999997</v>
      </c>
      <c r="F4115" t="s">
        <v>42</v>
      </c>
      <c r="G4115">
        <v>-320.66269999999997</v>
      </c>
      <c r="H4115">
        <v>1.0285850000000001</v>
      </c>
      <c r="I4115">
        <v>142.47550000000001</v>
      </c>
      <c r="J4115">
        <v>-319.99619999999999</v>
      </c>
      <c r="K4115">
        <v>1.1103639999999999</v>
      </c>
      <c r="L4115">
        <v>142.4101</v>
      </c>
      <c r="M4115">
        <v>-0.99989159999999999</v>
      </c>
      <c r="N4115">
        <v>0</v>
      </c>
      <c r="O4115">
        <v>-1.0449450000000001E-2</v>
      </c>
      <c r="P4115">
        <v>-0.99920149999999996</v>
      </c>
      <c r="Q4115">
        <v>1.163399E-2</v>
      </c>
      <c r="R4115">
        <v>-3.8225240000000001E-2</v>
      </c>
      <c r="S4115">
        <v>-3.0127259999999998</v>
      </c>
      <c r="T4115">
        <v>-0.25448280000000001</v>
      </c>
      <c r="U4115">
        <v>0.1921234</v>
      </c>
      <c r="V4115">
        <v>-2.7803430000000001E-2</v>
      </c>
      <c r="W4115">
        <v>2.1983590000000001E-2</v>
      </c>
      <c r="X4115">
        <v>0.99937160000000003</v>
      </c>
      <c r="Y4115">
        <v>7.3767959999999994E-2</v>
      </c>
      <c r="Z4115">
        <v>3.9871949999999998E-3</v>
      </c>
      <c r="AA4115">
        <v>0.99726749999999997</v>
      </c>
      <c r="AB4115">
        <v>31</v>
      </c>
      <c r="AC4115">
        <v>-0.66649999999998499</v>
      </c>
      <c r="AD4115">
        <v>-8.1778999999999796E-2</v>
      </c>
      <c r="AE4115">
        <v>6.5400000000010894E-2</v>
      </c>
      <c r="AF4115">
        <v>7.1298198094280202E-2</v>
      </c>
      <c r="AG4115">
        <v>-8.1778999999999796E-2</v>
      </c>
      <c r="AH4115">
        <v>0.65599824987338096</v>
      </c>
      <c r="AI4115">
        <v>97.064847800890405</v>
      </c>
      <c r="AJ4115">
        <v>83.797066531809406</v>
      </c>
      <c r="AK4115">
        <v>0.664909724496063</v>
      </c>
      <c r="AL4115">
        <v>88.740331538261003</v>
      </c>
      <c r="AM4115">
        <v>91.593609809514106</v>
      </c>
      <c r="AN4115">
        <v>0.999999951917805</v>
      </c>
    </row>
    <row r="4116" spans="1:40" x14ac:dyDescent="0.3">
      <c r="A4116" t="str">
        <f>"20200111160539982"</f>
        <v>20200111160539982</v>
      </c>
      <c r="B4116" t="str">
        <f>"1578729939976013"</f>
        <v>1578729939976013</v>
      </c>
      <c r="C4116" t="s">
        <v>40</v>
      </c>
      <c r="D4116">
        <v>5.0180099999999896</v>
      </c>
      <c r="E4116">
        <v>0.5399832</v>
      </c>
      <c r="F4116" t="s">
        <v>42</v>
      </c>
      <c r="G4116">
        <v>-320.94310000000002</v>
      </c>
      <c r="H4116">
        <v>1.029142</v>
      </c>
      <c r="I4116">
        <v>142.46950000000001</v>
      </c>
      <c r="J4116">
        <v>-320.21940000000001</v>
      </c>
      <c r="K4116">
        <v>1.110363</v>
      </c>
      <c r="L4116">
        <v>142.4075</v>
      </c>
      <c r="M4116">
        <v>-0.99988779999999999</v>
      </c>
      <c r="N4116">
        <v>0</v>
      </c>
      <c r="O4116">
        <v>-1.080352E-2</v>
      </c>
      <c r="P4116">
        <v>-0.99918180000000001</v>
      </c>
      <c r="Q4116">
        <v>1.128288E-2</v>
      </c>
      <c r="R4116">
        <v>-3.8840619999999999E-2</v>
      </c>
      <c r="S4116">
        <v>-3.0126040000000001</v>
      </c>
      <c r="T4116">
        <v>-0.25853100000000001</v>
      </c>
      <c r="U4116">
        <v>0.187912</v>
      </c>
      <c r="V4116">
        <v>-2.8064309999999999E-2</v>
      </c>
      <c r="W4116">
        <v>2.1635100000000001E-2</v>
      </c>
      <c r="X4116">
        <v>0.99937189999999998</v>
      </c>
      <c r="Y4116">
        <v>7.2727920000000001E-2</v>
      </c>
      <c r="Z4116">
        <v>4.0365349999999999E-3</v>
      </c>
      <c r="AA4116">
        <v>0.99734370000000006</v>
      </c>
      <c r="AB4116">
        <v>31</v>
      </c>
      <c r="AC4116">
        <v>-0.723700000000007</v>
      </c>
      <c r="AD4116">
        <v>-8.1220999999999904E-2</v>
      </c>
      <c r="AE4116">
        <v>6.2000000000011803E-2</v>
      </c>
      <c r="AF4116">
        <v>6.8953130276680305E-2</v>
      </c>
      <c r="AG4116">
        <v>-8.1220999999999904E-2</v>
      </c>
      <c r="AH4116">
        <v>0.71405941639722303</v>
      </c>
      <c r="AI4116">
        <v>96.459452415040701</v>
      </c>
      <c r="AJ4116">
        <v>84.484336157071994</v>
      </c>
      <c r="AK4116">
        <v>0.72196415088388899</v>
      </c>
      <c r="AL4116">
        <v>88.760303279557704</v>
      </c>
      <c r="AM4116">
        <v>91.6085543722713</v>
      </c>
      <c r="AN4116">
        <v>0.99999993877869597</v>
      </c>
    </row>
    <row r="4117" spans="1:40" x14ac:dyDescent="0.3">
      <c r="A4117" t="str">
        <f>"20200111160540053"</f>
        <v>20200111160540053</v>
      </c>
      <c r="B4117" t="str">
        <f>"1578729940046286"</f>
        <v>1578729940046286</v>
      </c>
      <c r="C4117" t="s">
        <v>40</v>
      </c>
      <c r="D4117">
        <v>4.9539960000000001</v>
      </c>
      <c r="E4117">
        <v>0.54060980000000003</v>
      </c>
      <c r="F4117" t="s">
        <v>42</v>
      </c>
      <c r="G4117">
        <v>-321.791</v>
      </c>
      <c r="H4117">
        <v>1.041099</v>
      </c>
      <c r="I4117">
        <v>142.44640000000001</v>
      </c>
      <c r="J4117">
        <v>-321.1995</v>
      </c>
      <c r="K4117">
        <v>1.1103670000000001</v>
      </c>
      <c r="L4117">
        <v>142.3947</v>
      </c>
      <c r="M4117">
        <v>-0.99986980000000003</v>
      </c>
      <c r="N4117">
        <v>0</v>
      </c>
      <c r="O4117">
        <v>-1.2360080000000001E-2</v>
      </c>
      <c r="P4117">
        <v>-0.99906640000000002</v>
      </c>
      <c r="Q4117">
        <v>1.1005320000000001E-2</v>
      </c>
      <c r="R4117">
        <v>-4.1779190000000001E-2</v>
      </c>
      <c r="S4117">
        <v>-3.0129700000000001</v>
      </c>
      <c r="T4117">
        <v>-0.26355899999999999</v>
      </c>
      <c r="U4117">
        <v>0.18548580000000001</v>
      </c>
      <c r="V4117">
        <v>-2.9447839999999999E-2</v>
      </c>
      <c r="W4117">
        <v>2.1365269999999999E-2</v>
      </c>
      <c r="X4117">
        <v>0.99933799999999995</v>
      </c>
      <c r="Y4117">
        <v>7.3452320000000001E-2</v>
      </c>
      <c r="Z4117">
        <v>4.2817369999999999E-3</v>
      </c>
      <c r="AA4117">
        <v>0.99728950000000005</v>
      </c>
      <c r="AB4117">
        <v>31</v>
      </c>
      <c r="AC4117">
        <v>-0.59149999999999603</v>
      </c>
      <c r="AD4117">
        <v>-6.9268000000000093E-2</v>
      </c>
      <c r="AE4117">
        <v>5.1700000000010897E-2</v>
      </c>
      <c r="AF4117">
        <v>5.8215136785375397E-2</v>
      </c>
      <c r="AG4117">
        <v>-6.9268000000000093E-2</v>
      </c>
      <c r="AH4117">
        <v>0.58288286303688897</v>
      </c>
      <c r="AI4117">
        <v>96.743830596171307</v>
      </c>
      <c r="AJ4117">
        <v>84.296526154995803</v>
      </c>
      <c r="AK4117">
        <v>0.58986395888969201</v>
      </c>
      <c r="AL4117">
        <v>88.775767104269605</v>
      </c>
      <c r="AM4117">
        <v>91.687866213055202</v>
      </c>
      <c r="AN4117">
        <v>1.00000004414341</v>
      </c>
    </row>
    <row r="4118" spans="1:40" x14ac:dyDescent="0.3">
      <c r="A4118" t="str">
        <f>"20200111160540068"</f>
        <v>20200111160540068</v>
      </c>
      <c r="B4118" t="str">
        <f>"1578729940065805"</f>
        <v>1578729940065805</v>
      </c>
      <c r="C4118" t="s">
        <v>40</v>
      </c>
      <c r="D4118">
        <v>4.9981619999999998</v>
      </c>
      <c r="E4118">
        <v>0.54086290000000004</v>
      </c>
      <c r="F4118" t="s">
        <v>42</v>
      </c>
      <c r="G4118">
        <v>-322.06920000000002</v>
      </c>
      <c r="H4118">
        <v>1.0347309999999901</v>
      </c>
      <c r="I4118">
        <v>142.4479</v>
      </c>
      <c r="J4118">
        <v>-321.41000000000003</v>
      </c>
      <c r="K4118">
        <v>1.1103700000000001</v>
      </c>
      <c r="L4118">
        <v>142.39179999999999</v>
      </c>
      <c r="M4118">
        <v>-0.99986549999999996</v>
      </c>
      <c r="N4118">
        <v>0</v>
      </c>
      <c r="O4118">
        <v>-1.2694469999999999E-2</v>
      </c>
      <c r="P4118">
        <v>-0.99904280000000001</v>
      </c>
      <c r="Q4118">
        <v>1.137093E-2</v>
      </c>
      <c r="R4118">
        <v>-4.2243120000000002E-2</v>
      </c>
      <c r="S4118">
        <v>-3.0133670000000001</v>
      </c>
      <c r="T4118">
        <v>-0.26215060000000001</v>
      </c>
      <c r="U4118">
        <v>0.18331910000000001</v>
      </c>
      <c r="V4118">
        <v>-2.9578179999999999E-2</v>
      </c>
      <c r="W4118">
        <v>2.1732830000000002E-2</v>
      </c>
      <c r="X4118">
        <v>0.99932619999999905</v>
      </c>
      <c r="Y4118">
        <v>7.3067090000000001E-2</v>
      </c>
      <c r="Z4118">
        <v>4.2707810000000004E-3</v>
      </c>
      <c r="AA4118">
        <v>0.99731789999999998</v>
      </c>
      <c r="AB4118">
        <v>31</v>
      </c>
      <c r="AC4118">
        <v>-0.65919999999999801</v>
      </c>
      <c r="AD4118">
        <v>-7.5639000000000206E-2</v>
      </c>
      <c r="AE4118">
        <v>5.6100000000014902E-2</v>
      </c>
      <c r="AF4118">
        <v>6.3632359008369999E-2</v>
      </c>
      <c r="AG4118">
        <v>-7.5639000000000206E-2</v>
      </c>
      <c r="AH4118">
        <v>0.64993904640311495</v>
      </c>
      <c r="AI4118">
        <v>96.606833624803002</v>
      </c>
      <c r="AJ4118">
        <v>84.408270850197695</v>
      </c>
      <c r="AK4118">
        <v>0.65741242722765802</v>
      </c>
      <c r="AL4118">
        <v>88.7547025460984</v>
      </c>
      <c r="AM4118">
        <v>91.695352586765395</v>
      </c>
      <c r="AN4118">
        <v>1.00000001931918</v>
      </c>
    </row>
    <row r="4119" spans="1:40" x14ac:dyDescent="0.3">
      <c r="A4119" t="str">
        <f>"20200111160540084"</f>
        <v>20200111160540084</v>
      </c>
      <c r="B4119" t="str">
        <f>"1578729940075565"</f>
        <v>1578729940075565</v>
      </c>
      <c r="C4119" t="s">
        <v>40</v>
      </c>
      <c r="D4119">
        <v>4.9662259999999998</v>
      </c>
      <c r="E4119">
        <v>0.54097720000000005</v>
      </c>
      <c r="F4119" t="s">
        <v>42</v>
      </c>
      <c r="G4119">
        <v>-322.34789999999998</v>
      </c>
      <c r="H4119">
        <v>1.0290709999999901</v>
      </c>
      <c r="I4119">
        <v>142.44909999999999</v>
      </c>
      <c r="J4119">
        <v>-321.62509999999997</v>
      </c>
      <c r="K4119">
        <v>1.1103700000000001</v>
      </c>
      <c r="L4119">
        <v>142.3887</v>
      </c>
      <c r="M4119">
        <v>-0.999861</v>
      </c>
      <c r="N4119">
        <v>0</v>
      </c>
      <c r="O4119">
        <v>-1.3035659999999999E-2</v>
      </c>
      <c r="P4119">
        <v>-0.99902639999999998</v>
      </c>
      <c r="Q4119">
        <v>1.125667E-2</v>
      </c>
      <c r="R4119">
        <v>-4.2659889999999999E-2</v>
      </c>
      <c r="S4119">
        <v>-3.013611</v>
      </c>
      <c r="T4119">
        <v>-0.26125589999999999</v>
      </c>
      <c r="U4119">
        <v>0.18373110000000001</v>
      </c>
      <c r="V4119">
        <v>-2.9653530000000001E-2</v>
      </c>
      <c r="W4119">
        <v>2.1621270000000001E-2</v>
      </c>
      <c r="X4119">
        <v>0.9993263</v>
      </c>
      <c r="Y4119">
        <v>7.3537560000000002E-2</v>
      </c>
      <c r="Z4119">
        <v>4.3057360000000001E-3</v>
      </c>
      <c r="AA4119">
        <v>0.99728320000000004</v>
      </c>
      <c r="AB4119">
        <v>31</v>
      </c>
      <c r="AC4119">
        <v>-0.72280000000000599</v>
      </c>
      <c r="AD4119">
        <v>-8.1299000000000204E-2</v>
      </c>
      <c r="AE4119">
        <v>6.0399999999987103E-2</v>
      </c>
      <c r="AF4119">
        <v>6.8951279395041004E-2</v>
      </c>
      <c r="AG4119">
        <v>-8.1299000000000204E-2</v>
      </c>
      <c r="AH4119">
        <v>0.71299346066318703</v>
      </c>
      <c r="AI4119">
        <v>96.475100373074099</v>
      </c>
      <c r="AJ4119">
        <v>84.476288326272098</v>
      </c>
      <c r="AK4119">
        <v>0.72091849836141697</v>
      </c>
      <c r="AL4119">
        <v>88.761095857874395</v>
      </c>
      <c r="AM4119">
        <v>91.699668773704801</v>
      </c>
      <c r="AN4119">
        <v>0.99999993251477903</v>
      </c>
    </row>
    <row r="4120" spans="1:40" x14ac:dyDescent="0.3">
      <c r="A4120" t="str">
        <f>"20200111160540098"</f>
        <v>20200111160540098</v>
      </c>
      <c r="B4120" t="str">
        <f>"1578729940086303"</f>
        <v>1578729940086303</v>
      </c>
      <c r="C4120" t="s">
        <v>40</v>
      </c>
      <c r="D4120">
        <v>5.1926310000000004</v>
      </c>
      <c r="E4120">
        <v>0.54093239999999998</v>
      </c>
      <c r="F4120" t="s">
        <v>42</v>
      </c>
      <c r="G4120">
        <v>-322.62700000000001</v>
      </c>
      <c r="H4120">
        <v>1.0234430000000001</v>
      </c>
      <c r="I4120">
        <v>142.44999999999999</v>
      </c>
      <c r="J4120">
        <v>-321.82389999999998</v>
      </c>
      <c r="K4120">
        <v>1.1103700000000001</v>
      </c>
      <c r="L4120">
        <v>142.38579999999999</v>
      </c>
      <c r="M4120">
        <v>-0.99985679999999999</v>
      </c>
      <c r="N4120">
        <v>0</v>
      </c>
      <c r="O4120">
        <v>-1.335098E-2</v>
      </c>
      <c r="P4120">
        <v>-0.99902089999999999</v>
      </c>
      <c r="Q4120">
        <v>1.085731E-2</v>
      </c>
      <c r="R4120">
        <v>-4.2890770000000002E-2</v>
      </c>
      <c r="S4120">
        <v>-3.0136720000000001</v>
      </c>
      <c r="T4120">
        <v>-0.26157740000000002</v>
      </c>
      <c r="U4120">
        <v>0.1833649</v>
      </c>
      <c r="V4120">
        <v>-2.9569439999999999E-2</v>
      </c>
      <c r="W4120">
        <v>2.122369E-2</v>
      </c>
      <c r="X4120">
        <v>0.99933740000000004</v>
      </c>
      <c r="Y4120">
        <v>7.3727409999999993E-2</v>
      </c>
      <c r="Z4120">
        <v>4.3464580000000001E-3</v>
      </c>
      <c r="AA4120">
        <v>0.99726899999999996</v>
      </c>
      <c r="AB4120">
        <v>32</v>
      </c>
      <c r="AC4120">
        <v>-0.80310000000002901</v>
      </c>
      <c r="AD4120">
        <v>-8.6926999999999893E-2</v>
      </c>
      <c r="AE4120">
        <v>6.4199999999999494E-2</v>
      </c>
      <c r="AF4120">
        <v>7.4054929217696797E-2</v>
      </c>
      <c r="AG4120">
        <v>-8.6926999999999893E-2</v>
      </c>
      <c r="AH4120">
        <v>0.79294033212744897</v>
      </c>
      <c r="AI4120">
        <v>96.229241055599005</v>
      </c>
      <c r="AJ4120">
        <v>84.664462557718593</v>
      </c>
      <c r="AK4120">
        <v>0.80112096850901804</v>
      </c>
      <c r="AL4120">
        <v>88.783880848308897</v>
      </c>
      <c r="AM4120">
        <v>91.694832938637106</v>
      </c>
      <c r="AN4120">
        <v>1.0000000179189401</v>
      </c>
    </row>
    <row r="4121" spans="1:40" x14ac:dyDescent="0.3">
      <c r="A4121" t="str">
        <f>"20200111160540115"</f>
        <v>20200111160540115</v>
      </c>
      <c r="B4121" t="str">
        <f>"1578729940105821"</f>
        <v>1578729940105821</v>
      </c>
      <c r="C4121" t="s">
        <v>40</v>
      </c>
      <c r="D4121">
        <v>5.1670780000000001</v>
      </c>
      <c r="E4121">
        <v>0.54103829999999997</v>
      </c>
      <c r="F4121" t="s">
        <v>42</v>
      </c>
      <c r="G4121">
        <v>-322.63479999999998</v>
      </c>
      <c r="H4121">
        <v>1.0398510000000001</v>
      </c>
      <c r="I4121">
        <v>142.43520000000001</v>
      </c>
      <c r="J4121">
        <v>-322.06169999999997</v>
      </c>
      <c r="K4121">
        <v>1.1103689999999999</v>
      </c>
      <c r="L4121">
        <v>142.38220000000001</v>
      </c>
      <c r="M4121">
        <v>-0.99985179999999996</v>
      </c>
      <c r="N4121">
        <v>0</v>
      </c>
      <c r="O4121">
        <v>-1.372817E-2</v>
      </c>
      <c r="P4121">
        <v>-0.99901260000000003</v>
      </c>
      <c r="Q4121">
        <v>1.0405360000000001E-2</v>
      </c>
      <c r="R4121">
        <v>-4.3193469999999998E-2</v>
      </c>
      <c r="S4121">
        <v>-3.0136409999999998</v>
      </c>
      <c r="T4121">
        <v>-0.26222319999999999</v>
      </c>
      <c r="U4121">
        <v>0.18249509999999999</v>
      </c>
      <c r="V4121">
        <v>-2.9494429999999999E-2</v>
      </c>
      <c r="W4121">
        <v>2.0774600000000001E-2</v>
      </c>
      <c r="X4121">
        <v>0.99934909999999999</v>
      </c>
      <c r="Y4121">
        <v>7.3814099999999994E-2</v>
      </c>
      <c r="Z4121">
        <v>4.393727E-3</v>
      </c>
      <c r="AA4121">
        <v>0.99726239999999999</v>
      </c>
      <c r="AB4121">
        <v>32</v>
      </c>
      <c r="AC4121">
        <v>-0.57310000000001005</v>
      </c>
      <c r="AD4121">
        <v>-7.0517999999999997E-2</v>
      </c>
      <c r="AE4121">
        <v>5.2999999999997202E-2</v>
      </c>
      <c r="AF4121">
        <v>5.9962876670160897E-2</v>
      </c>
      <c r="AG4121">
        <v>-7.0517999999999997E-2</v>
      </c>
      <c r="AH4121">
        <v>0.56385374191214999</v>
      </c>
      <c r="AI4121">
        <v>97.089083279399901</v>
      </c>
      <c r="AJ4121">
        <v>83.929710293637598</v>
      </c>
      <c r="AK4121">
        <v>0.571401240085192</v>
      </c>
      <c r="AL4121">
        <v>88.809617540280797</v>
      </c>
      <c r="AM4121">
        <v>91.690516304374398</v>
      </c>
      <c r="AN4121">
        <v>1.0000000645384901</v>
      </c>
    </row>
    <row r="4122" spans="1:40" x14ac:dyDescent="0.3">
      <c r="A4122" t="str">
        <f>"20200111160540135"</f>
        <v>20200111160540135</v>
      </c>
      <c r="B4122" t="str">
        <f>"1578729940125341"</f>
        <v>1578729940125341</v>
      </c>
      <c r="C4122" t="s">
        <v>40</v>
      </c>
      <c r="D4122">
        <v>5.2159849999999999</v>
      </c>
      <c r="E4122">
        <v>0.54118849999999996</v>
      </c>
      <c r="F4122" t="s">
        <v>42</v>
      </c>
      <c r="G4122">
        <v>-322.91489999999999</v>
      </c>
      <c r="H4122">
        <v>1.0360849999999999</v>
      </c>
      <c r="I4122">
        <v>142.4341</v>
      </c>
      <c r="J4122">
        <v>-322.34870000000001</v>
      </c>
      <c r="K4122">
        <v>1.110366</v>
      </c>
      <c r="L4122">
        <v>142.37780000000001</v>
      </c>
      <c r="M4122">
        <v>-0.9998454</v>
      </c>
      <c r="N4122">
        <v>0</v>
      </c>
      <c r="O4122">
        <v>-1.418344E-2</v>
      </c>
      <c r="P4122">
        <v>-0.99900469999999997</v>
      </c>
      <c r="Q4122">
        <v>1.0099449999999999E-2</v>
      </c>
      <c r="R4122">
        <v>-4.3452459999999998E-2</v>
      </c>
      <c r="S4122">
        <v>-3.013611</v>
      </c>
      <c r="T4122">
        <v>-0.26243929999999999</v>
      </c>
      <c r="U4122">
        <v>0.18276980000000001</v>
      </c>
      <c r="V4122">
        <v>-2.9298279999999999E-2</v>
      </c>
      <c r="W4122">
        <v>2.0471880000000001E-2</v>
      </c>
      <c r="X4122">
        <v>0.99936100000000005</v>
      </c>
      <c r="Y4122">
        <v>7.4355030000000003E-2</v>
      </c>
      <c r="Z4122">
        <v>4.4603969999999996E-3</v>
      </c>
      <c r="AA4122">
        <v>0.99722189999999999</v>
      </c>
      <c r="AB4122">
        <v>32</v>
      </c>
      <c r="AC4122">
        <v>-0.56619999999998005</v>
      </c>
      <c r="AD4122">
        <v>-7.4280999999999806E-2</v>
      </c>
      <c r="AE4122">
        <v>5.6299999999993099E-2</v>
      </c>
      <c r="AF4122">
        <v>6.3247514158213794E-2</v>
      </c>
      <c r="AG4122">
        <v>-7.4280999999999806E-2</v>
      </c>
      <c r="AH4122">
        <v>0.555870832067762</v>
      </c>
      <c r="AI4122">
        <v>97.563112901109506</v>
      </c>
      <c r="AJ4122">
        <v>83.508747577434505</v>
      </c>
      <c r="AK4122">
        <v>0.56436716501927997</v>
      </c>
      <c r="AL4122">
        <v>88.826965670186098</v>
      </c>
      <c r="AM4122">
        <v>91.679260154884602</v>
      </c>
      <c r="AN4122">
        <v>0.99999994770134504</v>
      </c>
    </row>
    <row r="4123" spans="1:40" x14ac:dyDescent="0.3">
      <c r="A4123" t="str">
        <f>"20200111160540150"</f>
        <v>20200111160540150</v>
      </c>
      <c r="B4123" t="str">
        <f>"1578729940145837"</f>
        <v>1578729940145837</v>
      </c>
      <c r="C4123" t="s">
        <v>40</v>
      </c>
      <c r="D4123">
        <v>6.1019809999999897</v>
      </c>
      <c r="E4123">
        <v>0.54133350000000002</v>
      </c>
      <c r="F4123" t="s">
        <v>42</v>
      </c>
      <c r="G4123">
        <v>-323.19729999999998</v>
      </c>
      <c r="H4123">
        <v>1.0364610000000001</v>
      </c>
      <c r="I4123">
        <v>142.4298</v>
      </c>
      <c r="J4123">
        <v>-322.56849999999997</v>
      </c>
      <c r="K4123">
        <v>1.110366</v>
      </c>
      <c r="L4123">
        <v>142.37430000000001</v>
      </c>
      <c r="M4123">
        <v>-0.99984039999999996</v>
      </c>
      <c r="N4123">
        <v>0</v>
      </c>
      <c r="O4123">
        <v>-1.453202E-2</v>
      </c>
      <c r="P4123">
        <v>-0.9989981</v>
      </c>
      <c r="Q4123">
        <v>9.9197380000000009E-3</v>
      </c>
      <c r="R4123">
        <v>-4.3643170000000002E-2</v>
      </c>
      <c r="S4123">
        <v>-3.0136409999999998</v>
      </c>
      <c r="T4123">
        <v>-0.26255260000000002</v>
      </c>
      <c r="U4123">
        <v>0.18357850000000001</v>
      </c>
      <c r="V4123">
        <v>-2.9140180000000002E-2</v>
      </c>
      <c r="W4123">
        <v>2.0294530000000002E-2</v>
      </c>
      <c r="X4123">
        <v>0.99936930000000002</v>
      </c>
      <c r="Y4123">
        <v>7.4964820000000001E-2</v>
      </c>
      <c r="Z4123">
        <v>4.5190129999999997E-3</v>
      </c>
      <c r="AA4123">
        <v>0.9971759</v>
      </c>
      <c r="AB4123">
        <v>32</v>
      </c>
      <c r="AC4123">
        <v>-0.62880000000001202</v>
      </c>
      <c r="AD4123">
        <v>-7.3904999999999804E-2</v>
      </c>
      <c r="AE4123">
        <v>5.5499999999994998E-2</v>
      </c>
      <c r="AF4123">
        <v>6.3758409930523105E-2</v>
      </c>
      <c r="AG4123">
        <v>-7.3904999999999804E-2</v>
      </c>
      <c r="AH4123">
        <v>0.61943621726793197</v>
      </c>
      <c r="AI4123">
        <v>96.768378198799397</v>
      </c>
      <c r="AJ4123">
        <v>84.123255680297305</v>
      </c>
      <c r="AK4123">
        <v>0.62707919047363803</v>
      </c>
      <c r="AL4123">
        <v>88.837129258816205</v>
      </c>
      <c r="AM4123">
        <v>91.670189778531693</v>
      </c>
      <c r="AN4123">
        <v>1.0000000079104201</v>
      </c>
    </row>
    <row r="4124" spans="1:40" x14ac:dyDescent="0.3">
      <c r="A4124" t="str">
        <f>"20200111160540164"</f>
        <v>20200111160540164</v>
      </c>
      <c r="B4124" t="str">
        <f>"1578729940155598"</f>
        <v>1578729940155598</v>
      </c>
      <c r="C4124" t="s">
        <v>40</v>
      </c>
      <c r="D4124">
        <v>5.0212879999999904</v>
      </c>
      <c r="E4124">
        <v>0.55565830000000005</v>
      </c>
      <c r="F4124" t="s">
        <v>42</v>
      </c>
      <c r="G4124">
        <v>-323.47730000000001</v>
      </c>
      <c r="H4124">
        <v>1.0311760000000001</v>
      </c>
      <c r="I4124">
        <v>142.43020000000001</v>
      </c>
      <c r="J4124">
        <v>-322.76830000000001</v>
      </c>
      <c r="K4124">
        <v>1.1103639999999999</v>
      </c>
      <c r="L4124">
        <v>142.37110000000001</v>
      </c>
      <c r="M4124">
        <v>-0.99983569999999999</v>
      </c>
      <c r="N4124">
        <v>0</v>
      </c>
      <c r="O4124">
        <v>-1.4848770000000001E-2</v>
      </c>
      <c r="P4124">
        <v>-0.99898770000000003</v>
      </c>
      <c r="Q4124">
        <v>9.9321600000000006E-3</v>
      </c>
      <c r="R4124">
        <v>-4.3879550000000003E-2</v>
      </c>
      <c r="S4124">
        <v>-3.0136720000000001</v>
      </c>
      <c r="T4124">
        <v>-0.26265670000000002</v>
      </c>
      <c r="U4124">
        <v>0.18429570000000001</v>
      </c>
      <c r="V4124">
        <v>-2.9060590000000001E-2</v>
      </c>
      <c r="W4124">
        <v>2.030883E-2</v>
      </c>
      <c r="X4124">
        <v>0.99937129999999996</v>
      </c>
      <c r="Y4124">
        <v>7.5512969999999999E-2</v>
      </c>
      <c r="Z4124">
        <v>4.5720739999999998E-3</v>
      </c>
      <c r="AA4124">
        <v>0.99713430000000003</v>
      </c>
      <c r="AB4124">
        <v>32</v>
      </c>
      <c r="AC4124">
        <v>-0.70900000000000296</v>
      </c>
      <c r="AD4124">
        <v>-7.91879999999998E-2</v>
      </c>
      <c r="AE4124">
        <v>5.9100000000000798E-2</v>
      </c>
      <c r="AF4124">
        <v>6.8769874230651604E-2</v>
      </c>
      <c r="AG4124">
        <v>-7.91879999999998E-2</v>
      </c>
      <c r="AH4124">
        <v>0.69937993979777402</v>
      </c>
      <c r="AI4124">
        <v>96.429116321309095</v>
      </c>
      <c r="AJ4124">
        <v>84.384171625835094</v>
      </c>
      <c r="AK4124">
        <v>0.707200350068661</v>
      </c>
      <c r="AL4124">
        <v>88.836309728800401</v>
      </c>
      <c r="AM4124">
        <v>91.6656272637874</v>
      </c>
      <c r="AN4124">
        <v>0.99999998086540298</v>
      </c>
    </row>
    <row r="4125" spans="1:40" x14ac:dyDescent="0.3">
      <c r="A4125" t="str">
        <f>"20200111160540179"</f>
        <v>20200111160540179</v>
      </c>
      <c r="B4125" t="str">
        <f>"1578729940176095"</f>
        <v>1578729940176095</v>
      </c>
      <c r="C4125" t="s">
        <v>40</v>
      </c>
      <c r="D4125">
        <v>5.2344689999999998</v>
      </c>
      <c r="E4125">
        <v>0.55330900000000005</v>
      </c>
      <c r="F4125" t="s">
        <v>66</v>
      </c>
      <c r="G4125">
        <v>-511.93150000000003</v>
      </c>
      <c r="H4125">
        <v>19.109940000000002</v>
      </c>
      <c r="I4125">
        <v>162.7672</v>
      </c>
      <c r="J4125">
        <v>-322.98649999999998</v>
      </c>
      <c r="K4125">
        <v>1.1103609999999999</v>
      </c>
      <c r="L4125">
        <v>142.36750000000001</v>
      </c>
      <c r="M4125">
        <v>-0.99983040000000001</v>
      </c>
      <c r="N4125">
        <v>0</v>
      </c>
      <c r="O4125">
        <v>-1.519473E-2</v>
      </c>
      <c r="P4125">
        <v>-0.99896470000000004</v>
      </c>
      <c r="Q4125">
        <v>9.6973800000000002E-3</v>
      </c>
      <c r="R4125">
        <v>-4.445151E-2</v>
      </c>
      <c r="S4125">
        <v>-3.014465</v>
      </c>
      <c r="T4125">
        <v>0.28683779999999998</v>
      </c>
      <c r="U4125">
        <v>0.32502750000000002</v>
      </c>
      <c r="V4125">
        <v>-2.928613E-2</v>
      </c>
      <c r="W4125">
        <v>2.0076179999999999E-2</v>
      </c>
      <c r="X4125">
        <v>0.99936939999999996</v>
      </c>
      <c r="Y4125">
        <v>0.1216854</v>
      </c>
      <c r="Z4125">
        <v>-7.1985560000000001E-3</v>
      </c>
      <c r="AA4125">
        <v>0.99254260000000005</v>
      </c>
      <c r="AB4125">
        <v>32</v>
      </c>
      <c r="AC4125">
        <v>-188.94499999999999</v>
      </c>
      <c r="AD4125">
        <v>17.999578999999901</v>
      </c>
      <c r="AE4125">
        <v>20.399699999999999</v>
      </c>
      <c r="AF4125">
        <v>23.061592442920301</v>
      </c>
      <c r="AG4125">
        <v>17.999578999999901</v>
      </c>
      <c r="AH4125">
        <v>186.93627235318399</v>
      </c>
      <c r="AI4125">
        <v>84.541231619189602</v>
      </c>
      <c r="AJ4125">
        <v>82.967179385822206</v>
      </c>
      <c r="AK4125">
        <v>189.21150020938001</v>
      </c>
      <c r="AL4125">
        <v>88.849642291198194</v>
      </c>
      <c r="AM4125">
        <v>91.678550063225998</v>
      </c>
      <c r="AN4125">
        <v>0.99999996403506297</v>
      </c>
    </row>
    <row r="4126" spans="1:40" x14ac:dyDescent="0.3">
      <c r="A4126" t="str">
        <f>"20200111160540195"</f>
        <v>20200111160540195</v>
      </c>
      <c r="B4126" t="str">
        <f>"1578729940185853"</f>
        <v>1578729940185853</v>
      </c>
      <c r="C4126" t="s">
        <v>40</v>
      </c>
      <c r="D4126">
        <v>4.9938039999999999</v>
      </c>
      <c r="E4126">
        <v>0.54220519999999905</v>
      </c>
      <c r="F4126" t="s">
        <v>66</v>
      </c>
      <c r="G4126">
        <v>-511.93060000000003</v>
      </c>
      <c r="H4126">
        <v>16.280609999999999</v>
      </c>
      <c r="I4126">
        <v>161.3194</v>
      </c>
      <c r="J4126">
        <v>-323.19650000000001</v>
      </c>
      <c r="K4126">
        <v>1.11036</v>
      </c>
      <c r="L4126">
        <v>142.364</v>
      </c>
      <c r="M4126">
        <v>-0.99982530000000003</v>
      </c>
      <c r="N4126">
        <v>0</v>
      </c>
      <c r="O4126">
        <v>-1.552769E-2</v>
      </c>
      <c r="P4126">
        <v>-0.9989325</v>
      </c>
      <c r="Q4126">
        <v>9.516867E-3</v>
      </c>
      <c r="R4126">
        <v>-4.5209579999999999E-2</v>
      </c>
      <c r="S4126">
        <v>-3.014221</v>
      </c>
      <c r="T4126">
        <v>0.24201120000000001</v>
      </c>
      <c r="U4126">
        <v>0.30233759999999998</v>
      </c>
      <c r="V4126">
        <v>-2.9712260000000001E-2</v>
      </c>
      <c r="W4126">
        <v>1.989788E-2</v>
      </c>
      <c r="X4126">
        <v>0.99936040000000004</v>
      </c>
      <c r="Y4126">
        <v>0.1148265</v>
      </c>
      <c r="Z4126">
        <v>-5.832711E-3</v>
      </c>
      <c r="AA4126">
        <v>0.99336840000000004</v>
      </c>
      <c r="AB4126">
        <v>32</v>
      </c>
      <c r="AC4126">
        <v>-188.73410000000001</v>
      </c>
      <c r="AD4126">
        <v>15.170249999999999</v>
      </c>
      <c r="AE4126">
        <v>18.955400000000001</v>
      </c>
      <c r="AF4126">
        <v>21.744792415340498</v>
      </c>
      <c r="AG4126">
        <v>15.170249999999999</v>
      </c>
      <c r="AH4126">
        <v>187.21948989996801</v>
      </c>
      <c r="AI4126">
        <v>85.398288490991504</v>
      </c>
      <c r="AJ4126">
        <v>83.375008866059005</v>
      </c>
      <c r="AK4126">
        <v>189.08757198888799</v>
      </c>
      <c r="AL4126">
        <v>88.859860184473405</v>
      </c>
      <c r="AM4126">
        <v>91.702974978795197</v>
      </c>
      <c r="AN4126">
        <v>0.99999997655548001</v>
      </c>
    </row>
    <row r="4127" spans="1:40" x14ac:dyDescent="0.3">
      <c r="A4127" t="str">
        <f>"20200111160540215"</f>
        <v>20200111160540215</v>
      </c>
      <c r="B4127" t="str">
        <f>"1578729940205373"</f>
        <v>1578729940205373</v>
      </c>
      <c r="C4127" t="s">
        <v>40</v>
      </c>
      <c r="D4127">
        <v>4.9918259999999997</v>
      </c>
      <c r="E4127">
        <v>0.54453090000000004</v>
      </c>
      <c r="F4127" t="s">
        <v>42</v>
      </c>
      <c r="G4127">
        <v>-324.05520000000001</v>
      </c>
      <c r="H4127">
        <v>1.0518379999999901</v>
      </c>
      <c r="I4127">
        <v>142.41820000000001</v>
      </c>
      <c r="J4127">
        <v>-323.47329999999999</v>
      </c>
      <c r="K4127">
        <v>1.110365</v>
      </c>
      <c r="L4127">
        <v>142.35929999999999</v>
      </c>
      <c r="M4127">
        <v>-0.99981830000000005</v>
      </c>
      <c r="N4127">
        <v>0</v>
      </c>
      <c r="O4127">
        <v>-1.596639E-2</v>
      </c>
      <c r="P4127">
        <v>-0.99890889999999999</v>
      </c>
      <c r="Q4127">
        <v>8.9754180000000006E-3</v>
      </c>
      <c r="R4127">
        <v>-4.5835000000000001E-2</v>
      </c>
      <c r="S4127">
        <v>-3.013763</v>
      </c>
      <c r="T4127">
        <v>-0.20544979999999999</v>
      </c>
      <c r="U4127">
        <v>0.1895905</v>
      </c>
      <c r="V4127">
        <v>-2.9898419999999998E-2</v>
      </c>
      <c r="W4127">
        <v>1.935916E-2</v>
      </c>
      <c r="X4127">
        <v>0.99936539999999996</v>
      </c>
      <c r="Y4127">
        <v>7.8493439999999998E-2</v>
      </c>
      <c r="Z4127">
        <v>3.7560039999999999E-3</v>
      </c>
      <c r="AA4127">
        <v>0.99690749999999995</v>
      </c>
      <c r="AB4127">
        <v>32</v>
      </c>
      <c r="AC4127">
        <v>-0.58190000000001796</v>
      </c>
      <c r="AD4127">
        <v>-5.8527000000000197E-2</v>
      </c>
      <c r="AE4127">
        <v>5.8900000000022601E-2</v>
      </c>
      <c r="AF4127">
        <v>6.7507842865211595E-2</v>
      </c>
      <c r="AG4127">
        <v>-5.8527000000000197E-2</v>
      </c>
      <c r="AH4127">
        <v>0.575126278766948</v>
      </c>
      <c r="AI4127">
        <v>95.771278027695104</v>
      </c>
      <c r="AJ4127">
        <v>83.305303254254198</v>
      </c>
      <c r="AK4127">
        <v>0.58202487498871702</v>
      </c>
      <c r="AL4127">
        <v>88.890732483649202</v>
      </c>
      <c r="AM4127">
        <v>91.713629933854506</v>
      </c>
      <c r="AN4127">
        <v>0.99999994765577904</v>
      </c>
    </row>
    <row r="4128" spans="1:40" x14ac:dyDescent="0.3">
      <c r="A4128" t="str">
        <f>"20200111160540229"</f>
        <v>20200111160540229</v>
      </c>
      <c r="B4128" t="str">
        <f>"1578729940225869"</f>
        <v>1578729940225869</v>
      </c>
      <c r="C4128" t="s">
        <v>40</v>
      </c>
      <c r="D4128">
        <v>4.9890270000000001</v>
      </c>
      <c r="E4128">
        <v>0.54592890000000005</v>
      </c>
      <c r="F4128" t="s">
        <v>42</v>
      </c>
      <c r="G4128">
        <v>-324.33280000000002</v>
      </c>
      <c r="H4128">
        <v>1.044586</v>
      </c>
      <c r="I4128">
        <v>142.41800000000001</v>
      </c>
      <c r="J4128">
        <v>-323.67860000000002</v>
      </c>
      <c r="K4128">
        <v>1.1103639999999999</v>
      </c>
      <c r="L4128">
        <v>142.35570000000001</v>
      </c>
      <c r="M4128">
        <v>-0.99981310000000001</v>
      </c>
      <c r="N4128">
        <v>0</v>
      </c>
      <c r="O4128">
        <v>-1.629185E-2</v>
      </c>
      <c r="P4128">
        <v>-0.99887749999999997</v>
      </c>
      <c r="Q4128">
        <v>8.9971010000000004E-3</v>
      </c>
      <c r="R4128">
        <v>-4.6509330000000002E-2</v>
      </c>
      <c r="S4128">
        <v>-3.0147710000000001</v>
      </c>
      <c r="T4128">
        <v>-0.23078650000000001</v>
      </c>
      <c r="U4128">
        <v>0.20529169999999999</v>
      </c>
      <c r="V4128">
        <v>-3.024818E-2</v>
      </c>
      <c r="W4128">
        <v>1.938252E-2</v>
      </c>
      <c r="X4128">
        <v>0.99935450000000003</v>
      </c>
      <c r="Y4128">
        <v>8.3892179999999997E-2</v>
      </c>
      <c r="Z4128">
        <v>4.446785E-3</v>
      </c>
      <c r="AA4128">
        <v>0.99646489999999999</v>
      </c>
      <c r="AB4128">
        <v>32</v>
      </c>
      <c r="AC4128">
        <v>-0.654200000000002</v>
      </c>
      <c r="AD4128">
        <v>-6.5777999999999795E-2</v>
      </c>
      <c r="AE4128">
        <v>6.2299999999993298E-2</v>
      </c>
      <c r="AF4128">
        <v>7.2226804157755994E-2</v>
      </c>
      <c r="AG4128">
        <v>-6.5777999999999795E-2</v>
      </c>
      <c r="AH4128">
        <v>0.64661971818827102</v>
      </c>
      <c r="AI4128">
        <v>95.772829903225499</v>
      </c>
      <c r="AJ4128">
        <v>83.626535154621706</v>
      </c>
      <c r="AK4128">
        <v>0.65395758002543403</v>
      </c>
      <c r="AL4128">
        <v>88.889393889535597</v>
      </c>
      <c r="AM4128">
        <v>91.733683186258105</v>
      </c>
      <c r="AN4128">
        <v>1.0000000255725501</v>
      </c>
    </row>
    <row r="4129" spans="1:40" x14ac:dyDescent="0.3">
      <c r="A4129" t="str">
        <f>"20200111160540247"</f>
        <v>20200111160540247</v>
      </c>
      <c r="B4129" t="str">
        <f>"1578729940235629"</f>
        <v>1578729940235629</v>
      </c>
      <c r="C4129" t="s">
        <v>40</v>
      </c>
      <c r="D4129">
        <v>5.3197330000000003</v>
      </c>
      <c r="E4129">
        <v>0.54639910000000003</v>
      </c>
      <c r="F4129" t="s">
        <v>42</v>
      </c>
      <c r="G4129">
        <v>-324.61250000000001</v>
      </c>
      <c r="H4129">
        <v>1.0366</v>
      </c>
      <c r="I4129">
        <v>142.4221</v>
      </c>
      <c r="J4129">
        <v>-323.93150000000003</v>
      </c>
      <c r="K4129">
        <v>1.11036</v>
      </c>
      <c r="L4129">
        <v>142.3511</v>
      </c>
      <c r="M4129">
        <v>-0.99980639999999998</v>
      </c>
      <c r="N4129">
        <v>0</v>
      </c>
      <c r="O4129">
        <v>-1.6692640000000002E-2</v>
      </c>
      <c r="P4129">
        <v>-0.99884879999999998</v>
      </c>
      <c r="Q4129">
        <v>8.8654400000000005E-3</v>
      </c>
      <c r="R4129">
        <v>-4.714409E-2</v>
      </c>
      <c r="S4129">
        <v>-3.015533</v>
      </c>
      <c r="T4129">
        <v>-0.23820849999999999</v>
      </c>
      <c r="U4129">
        <v>0.21408079999999999</v>
      </c>
      <c r="V4129">
        <v>-3.0482229999999999E-2</v>
      </c>
      <c r="W4129">
        <v>1.925284E-2</v>
      </c>
      <c r="X4129">
        <v>0.99934990000000001</v>
      </c>
      <c r="Y4129">
        <v>8.7134329999999996E-2</v>
      </c>
      <c r="Z4129">
        <v>4.7470250000000002E-3</v>
      </c>
      <c r="AA4129">
        <v>0.99618519999999999</v>
      </c>
      <c r="AB4129">
        <v>32</v>
      </c>
      <c r="AC4129">
        <v>-0.68099999999998295</v>
      </c>
      <c r="AD4129">
        <v>-7.3760000000000006E-2</v>
      </c>
      <c r="AE4129">
        <v>7.0999999999997898E-2</v>
      </c>
      <c r="AF4129">
        <v>8.1413590641361902E-2</v>
      </c>
      <c r="AG4129">
        <v>-7.3760000000000006E-2</v>
      </c>
      <c r="AH4129">
        <v>0.67192207771325496</v>
      </c>
      <c r="AI4129">
        <v>96.219413077187198</v>
      </c>
      <c r="AJ4129">
        <v>83.0914208679947</v>
      </c>
      <c r="AK4129">
        <v>0.68084358619261198</v>
      </c>
      <c r="AL4129">
        <v>88.896825398123994</v>
      </c>
      <c r="AM4129">
        <v>91.7470975847924</v>
      </c>
      <c r="AN4129">
        <v>1.0000000304119201</v>
      </c>
    </row>
    <row r="4130" spans="1:40" x14ac:dyDescent="0.3">
      <c r="A4130" t="str">
        <f>"20200111160540270"</f>
        <v>20200111160540270</v>
      </c>
      <c r="B4130" t="str">
        <f>"1578729940265885"</f>
        <v>1578729940265885</v>
      </c>
      <c r="C4130" t="s">
        <v>40</v>
      </c>
      <c r="D4130">
        <v>5.4143280000000003</v>
      </c>
      <c r="E4130">
        <v>0.54801800000000001</v>
      </c>
      <c r="F4130" t="s">
        <v>42</v>
      </c>
      <c r="G4130">
        <v>-324.8947</v>
      </c>
      <c r="H4130">
        <v>1.0333000000000001</v>
      </c>
      <c r="I4130">
        <v>142.4205</v>
      </c>
      <c r="J4130">
        <v>-324.25490000000002</v>
      </c>
      <c r="K4130">
        <v>1.110365</v>
      </c>
      <c r="L4130">
        <v>142.34520000000001</v>
      </c>
      <c r="M4130">
        <v>-0.99979779999999996</v>
      </c>
      <c r="N4130">
        <v>0</v>
      </c>
      <c r="O4130">
        <v>-1.720526E-2</v>
      </c>
      <c r="P4130">
        <v>-0.99881350000000002</v>
      </c>
      <c r="Q4130">
        <v>9.302009E-3</v>
      </c>
      <c r="R4130">
        <v>-4.7804930000000002E-2</v>
      </c>
      <c r="S4130">
        <v>-3.015717</v>
      </c>
      <c r="T4130">
        <v>-0.2414811</v>
      </c>
      <c r="U4130">
        <v>0.21575929999999999</v>
      </c>
      <c r="V4130">
        <v>-3.0631599999999998E-2</v>
      </c>
      <c r="W4130">
        <v>1.9692879999999999E-2</v>
      </c>
      <c r="X4130">
        <v>0.99933669999999997</v>
      </c>
      <c r="Y4130">
        <v>8.8178599999999996E-2</v>
      </c>
      <c r="Z4130">
        <v>4.8942789999999996E-3</v>
      </c>
      <c r="AA4130">
        <v>0.99609270000000005</v>
      </c>
      <c r="AB4130">
        <v>32</v>
      </c>
      <c r="AC4130">
        <v>-0.63979999999997905</v>
      </c>
      <c r="AD4130">
        <v>-7.7064999999999897E-2</v>
      </c>
      <c r="AE4130">
        <v>7.5299999999998493E-2</v>
      </c>
      <c r="AF4130">
        <v>8.50798486137955E-2</v>
      </c>
      <c r="AG4130">
        <v>-7.7064999999999897E-2</v>
      </c>
      <c r="AH4130">
        <v>0.62940266154694502</v>
      </c>
      <c r="AI4130">
        <v>96.918331482484007</v>
      </c>
      <c r="AJ4130">
        <v>82.301674425495506</v>
      </c>
      <c r="AK4130">
        <v>0.63978535871612796</v>
      </c>
      <c r="AL4130">
        <v>88.871608116640502</v>
      </c>
      <c r="AM4130">
        <v>91.755676599009007</v>
      </c>
      <c r="AN4130">
        <v>0.999999972204071</v>
      </c>
    </row>
    <row r="4131" spans="1:40" x14ac:dyDescent="0.3">
      <c r="A4131" t="str">
        <f>"20200111160540292"</f>
        <v>20200111160540292</v>
      </c>
      <c r="B4131" t="str">
        <f>"1578729940285404"</f>
        <v>1578729940285404</v>
      </c>
      <c r="C4131" t="s">
        <v>40</v>
      </c>
      <c r="D4131">
        <v>5.0588249999999997</v>
      </c>
      <c r="E4131">
        <v>0.49479289999999998</v>
      </c>
      <c r="F4131" t="s">
        <v>42</v>
      </c>
      <c r="G4131">
        <v>-325.18150000000003</v>
      </c>
      <c r="H4131">
        <v>1.039056</v>
      </c>
      <c r="I4131">
        <v>142.41499999999999</v>
      </c>
      <c r="J4131">
        <v>-324.57769999999999</v>
      </c>
      <c r="K4131">
        <v>1.110368</v>
      </c>
      <c r="L4131">
        <v>142.3391</v>
      </c>
      <c r="M4131">
        <v>-0.99978880000000003</v>
      </c>
      <c r="N4131">
        <v>0</v>
      </c>
      <c r="O4131">
        <v>-1.7716559999999999E-2</v>
      </c>
      <c r="P4131">
        <v>-0.99877360000000004</v>
      </c>
      <c r="Q4131">
        <v>9.7154939999999999E-3</v>
      </c>
      <c r="R4131">
        <v>-4.8551619999999997E-2</v>
      </c>
      <c r="S4131">
        <v>-3.016632</v>
      </c>
      <c r="T4131">
        <v>-0.23223440000000001</v>
      </c>
      <c r="U4131">
        <v>0.22715759999999999</v>
      </c>
      <c r="V4131">
        <v>-3.086817E-2</v>
      </c>
      <c r="W4131">
        <v>2.0109080000000001E-2</v>
      </c>
      <c r="X4131">
        <v>0.99932120000000002</v>
      </c>
      <c r="Y4131">
        <v>9.2420699999999995E-2</v>
      </c>
      <c r="Z4131">
        <v>4.907453E-3</v>
      </c>
      <c r="AA4131">
        <v>0.99570789999999998</v>
      </c>
      <c r="AB4131">
        <v>32</v>
      </c>
      <c r="AC4131">
        <v>-0.60380000000003498</v>
      </c>
      <c r="AD4131">
        <v>-7.1312E-2</v>
      </c>
      <c r="AE4131">
        <v>7.5899999999990003E-2</v>
      </c>
      <c r="AF4131">
        <v>8.5413043197014704E-2</v>
      </c>
      <c r="AG4131">
        <v>-7.1312E-2</v>
      </c>
      <c r="AH4131">
        <v>0.59420096337672501</v>
      </c>
      <c r="AI4131">
        <v>96.774548422496395</v>
      </c>
      <c r="AJ4131">
        <v>81.820086156273902</v>
      </c>
      <c r="AK4131">
        <v>0.60452921696970396</v>
      </c>
      <c r="AL4131">
        <v>88.847756966781603</v>
      </c>
      <c r="AM4131">
        <v>91.769254652470906</v>
      </c>
      <c r="AN4131">
        <v>1.0000000398935101</v>
      </c>
    </row>
    <row r="4132" spans="1:40" x14ac:dyDescent="0.3">
      <c r="A4132" t="str">
        <f>"20200111160540307"</f>
        <v>20200111160540307</v>
      </c>
      <c r="B4132" t="str">
        <f>"1578729940296141"</f>
        <v>1578729940296141</v>
      </c>
      <c r="C4132" t="s">
        <v>40</v>
      </c>
      <c r="D4132">
        <v>5.1562330000000003</v>
      </c>
      <c r="E4132">
        <v>0.49503469999999999</v>
      </c>
      <c r="F4132" t="s">
        <v>41</v>
      </c>
      <c r="G4132">
        <v>-337.5967</v>
      </c>
      <c r="H4132" s="1">
        <v>-1.608947E-6</v>
      </c>
      <c r="I4132">
        <v>141.46709999999999</v>
      </c>
      <c r="J4132">
        <v>-324.78930000000003</v>
      </c>
      <c r="K4132">
        <v>1.1103670000000001</v>
      </c>
      <c r="L4132">
        <v>142.33500000000001</v>
      </c>
      <c r="M4132">
        <v>-0.99978270000000002</v>
      </c>
      <c r="N4132">
        <v>0</v>
      </c>
      <c r="O4132">
        <v>-1.805155E-2</v>
      </c>
      <c r="P4132">
        <v>-0.99876620000000005</v>
      </c>
      <c r="Q4132">
        <v>9.5477979999999997E-3</v>
      </c>
      <c r="R4132">
        <v>-4.8736149999999999E-2</v>
      </c>
      <c r="S4132">
        <v>-2.996429</v>
      </c>
      <c r="T4132">
        <v>-0.25556060000000003</v>
      </c>
      <c r="U4132">
        <v>-0.20071410000000001</v>
      </c>
      <c r="V4132">
        <v>-3.071817E-2</v>
      </c>
      <c r="W4132">
        <v>1.994365E-2</v>
      </c>
      <c r="X4132">
        <v>0.99932909999999997</v>
      </c>
      <c r="Y4132">
        <v>-4.8700849999999997E-2</v>
      </c>
      <c r="Z4132">
        <v>-5.3586019999999897E-4</v>
      </c>
      <c r="AA4132">
        <v>0.99881330000000002</v>
      </c>
      <c r="AB4132">
        <v>32</v>
      </c>
      <c r="AC4132">
        <v>-12.8073999999999</v>
      </c>
      <c r="AD4132">
        <v>-1.110368608947</v>
      </c>
      <c r="AE4132">
        <v>-0.86790000000001999</v>
      </c>
      <c r="AF4132">
        <v>-0.63182520992329705</v>
      </c>
      <c r="AG4132">
        <v>-1.110368608947</v>
      </c>
      <c r="AH4132">
        <v>12.725765440843601</v>
      </c>
      <c r="AI4132">
        <v>94.980528880910498</v>
      </c>
      <c r="AJ4132">
        <v>92.842360743647902</v>
      </c>
      <c r="AK4132">
        <v>12.7897313341211</v>
      </c>
      <c r="AL4132">
        <v>88.8572372658858</v>
      </c>
      <c r="AM4132">
        <v>91.760648696145196</v>
      </c>
      <c r="AN4132">
        <v>1.0000000026251401</v>
      </c>
    </row>
    <row r="4133" spans="1:40" x14ac:dyDescent="0.3">
      <c r="A4133" t="str">
        <f>"20200111160540320"</f>
        <v>20200111160540320</v>
      </c>
      <c r="B4133" t="str">
        <f>"1578729940315662"</f>
        <v>1578729940315662</v>
      </c>
      <c r="C4133" t="s">
        <v>40</v>
      </c>
      <c r="D4133">
        <v>5.075482</v>
      </c>
      <c r="E4133">
        <v>0.49509520000000001</v>
      </c>
      <c r="F4133" t="s">
        <v>41</v>
      </c>
      <c r="G4133">
        <v>-337.6891</v>
      </c>
      <c r="H4133" s="1">
        <v>-1.5678269999999999E-6</v>
      </c>
      <c r="I4133">
        <v>141.47669999999999</v>
      </c>
      <c r="J4133">
        <v>-324.97449999999998</v>
      </c>
      <c r="K4133">
        <v>1.1103689999999999</v>
      </c>
      <c r="L4133">
        <v>142.3314</v>
      </c>
      <c r="M4133">
        <v>-0.99977740000000004</v>
      </c>
      <c r="N4133">
        <v>0</v>
      </c>
      <c r="O4133">
        <v>-1.8344940000000001E-2</v>
      </c>
      <c r="P4133">
        <v>-0.99875259999999999</v>
      </c>
      <c r="Q4133">
        <v>9.4346929999999992E-3</v>
      </c>
      <c r="R4133">
        <v>-4.90359E-2</v>
      </c>
      <c r="S4133">
        <v>-2.9964599999999999</v>
      </c>
      <c r="T4133">
        <v>-0.25792320000000002</v>
      </c>
      <c r="U4133">
        <v>-0.1993866</v>
      </c>
      <c r="V4133">
        <v>-3.0724910000000001E-2</v>
      </c>
      <c r="W4133">
        <v>1.9832570000000001E-2</v>
      </c>
      <c r="X4133">
        <v>0.99933110000000003</v>
      </c>
      <c r="Y4133">
        <v>-4.7968249999999997E-2</v>
      </c>
      <c r="Z4133">
        <v>-4.8419080000000001E-4</v>
      </c>
      <c r="AA4133">
        <v>0.99884870000000003</v>
      </c>
      <c r="AB4133">
        <v>32</v>
      </c>
      <c r="AC4133">
        <v>-12.714600000000001</v>
      </c>
      <c r="AD4133">
        <v>-1.1103705678269999</v>
      </c>
      <c r="AE4133">
        <v>-0.85470000000000801</v>
      </c>
      <c r="AF4133">
        <v>-0.61661340733354697</v>
      </c>
      <c r="AG4133">
        <v>-1.1103705678269999</v>
      </c>
      <c r="AH4133">
        <v>12.632232900618</v>
      </c>
      <c r="AI4133">
        <v>95.017432449461097</v>
      </c>
      <c r="AJ4133">
        <v>92.794543660579507</v>
      </c>
      <c r="AK4133">
        <v>12.6959222960545</v>
      </c>
      <c r="AL4133">
        <v>88.863602936196003</v>
      </c>
      <c r="AM4133">
        <v>91.7610312418837</v>
      </c>
      <c r="AN4133">
        <v>0.99999999917726101</v>
      </c>
    </row>
    <row r="4134" spans="1:40" x14ac:dyDescent="0.3">
      <c r="A4134" t="str">
        <f>"20200111160540337"</f>
        <v>20200111160540337</v>
      </c>
      <c r="B4134" t="str">
        <f>"1578729940325422"</f>
        <v>1578729940325422</v>
      </c>
      <c r="C4134" t="s">
        <v>40</v>
      </c>
      <c r="D4134">
        <v>5.04915</v>
      </c>
      <c r="E4134">
        <v>0.49512149999999999</v>
      </c>
      <c r="F4134" t="s">
        <v>41</v>
      </c>
      <c r="G4134">
        <v>-337.90750000000003</v>
      </c>
      <c r="H4134" s="1">
        <v>-1.462579E-6</v>
      </c>
      <c r="I4134">
        <v>141.46899999999999</v>
      </c>
      <c r="J4134">
        <v>-325.19990000000001</v>
      </c>
      <c r="K4134">
        <v>1.1103749999999999</v>
      </c>
      <c r="L4134">
        <v>142.32689999999999</v>
      </c>
      <c r="M4134">
        <v>-0.99977059999999995</v>
      </c>
      <c r="N4134">
        <v>0</v>
      </c>
      <c r="O4134">
        <v>-1.8701619999999999E-2</v>
      </c>
      <c r="P4134">
        <v>-0.99873400000000001</v>
      </c>
      <c r="Q4134">
        <v>9.995716E-3</v>
      </c>
      <c r="R4134">
        <v>-4.9299820000000001E-2</v>
      </c>
      <c r="S4134">
        <v>-2.9963679999999999</v>
      </c>
      <c r="T4134">
        <v>-0.25725559999999997</v>
      </c>
      <c r="U4134">
        <v>-0.19981380000000001</v>
      </c>
      <c r="V4134">
        <v>-3.0632599999999999E-2</v>
      </c>
      <c r="W4134">
        <v>2.03956E-2</v>
      </c>
      <c r="X4134">
        <v>0.99932259999999995</v>
      </c>
      <c r="Y4134">
        <v>-4.7758340000000003E-2</v>
      </c>
      <c r="Z4134">
        <v>-4.4344829999999998E-4</v>
      </c>
      <c r="AA4134">
        <v>0.99885880000000005</v>
      </c>
      <c r="AB4134">
        <v>32</v>
      </c>
      <c r="AC4134">
        <v>-12.707599999999999</v>
      </c>
      <c r="AD4134">
        <v>-1.11037646257899</v>
      </c>
      <c r="AE4134">
        <v>-0.8579</v>
      </c>
      <c r="AF4134">
        <v>-0.61540692471277503</v>
      </c>
      <c r="AG4134">
        <v>-1.11037646257899</v>
      </c>
      <c r="AH4134">
        <v>12.625463280779201</v>
      </c>
      <c r="AI4134">
        <v>95.020152370531605</v>
      </c>
      <c r="AJ4134">
        <v>92.790577532289205</v>
      </c>
      <c r="AK4134">
        <v>12.6891285999448</v>
      </c>
      <c r="AL4134">
        <v>88.831337163720903</v>
      </c>
      <c r="AM4134">
        <v>91.755758636122707</v>
      </c>
      <c r="AN4134">
        <v>0.999999997776439</v>
      </c>
    </row>
    <row r="4135" spans="1:40" x14ac:dyDescent="0.3">
      <c r="A4135" t="str">
        <f>"20200111160540351"</f>
        <v>20200111160540351</v>
      </c>
      <c r="B4135" t="str">
        <f>"1578729940345917"</f>
        <v>1578729940345917</v>
      </c>
      <c r="C4135" t="s">
        <v>40</v>
      </c>
      <c r="D4135">
        <v>5.198137</v>
      </c>
      <c r="E4135">
        <v>0.49475039999999998</v>
      </c>
      <c r="F4135" t="s">
        <v>41</v>
      </c>
      <c r="G4135">
        <v>-338.18619999999999</v>
      </c>
      <c r="H4135" s="1">
        <v>-1.328098E-6</v>
      </c>
      <c r="I4135">
        <v>141.45869999999999</v>
      </c>
      <c r="J4135">
        <v>-325.41019999999997</v>
      </c>
      <c r="K4135">
        <v>1.1103769999999999</v>
      </c>
      <c r="L4135">
        <v>142.3227</v>
      </c>
      <c r="M4135">
        <v>-0.9997644</v>
      </c>
      <c r="N4135">
        <v>0</v>
      </c>
      <c r="O4135">
        <v>-1.9034820000000001E-2</v>
      </c>
      <c r="P4135">
        <v>-0.99871569999999998</v>
      </c>
      <c r="Q4135">
        <v>1.034001E-2</v>
      </c>
      <c r="R4135">
        <v>-4.9601680000000002E-2</v>
      </c>
      <c r="S4135">
        <v>-2.9964599999999999</v>
      </c>
      <c r="T4135">
        <v>-0.25620939999999998</v>
      </c>
      <c r="U4135">
        <v>-0.2003326</v>
      </c>
      <c r="V4135">
        <v>-3.060235E-2</v>
      </c>
      <c r="W4135">
        <v>2.074266E-2</v>
      </c>
      <c r="X4135">
        <v>0.99931639999999999</v>
      </c>
      <c r="Y4135">
        <v>-4.7598250000000002E-2</v>
      </c>
      <c r="Z4135">
        <v>-4.0641689999999997E-4</v>
      </c>
      <c r="AA4135">
        <v>0.99886649999999999</v>
      </c>
      <c r="AB4135">
        <v>32</v>
      </c>
      <c r="AC4135">
        <v>-12.776</v>
      </c>
      <c r="AD4135">
        <v>-1.110378328098</v>
      </c>
      <c r="AE4135">
        <v>-0.86400000000000399</v>
      </c>
      <c r="AF4135">
        <v>-0.61600946529700296</v>
      </c>
      <c r="AG4135">
        <v>-1.110378328098</v>
      </c>
      <c r="AH4135">
        <v>12.694678417933</v>
      </c>
      <c r="AI4135">
        <v>94.992980715275493</v>
      </c>
      <c r="AJ4135">
        <v>92.778099439707503</v>
      </c>
      <c r="AK4135">
        <v>12.7580275837442</v>
      </c>
      <c r="AL4135">
        <v>88.811447902350807</v>
      </c>
      <c r="AM4135">
        <v>91.754036766060807</v>
      </c>
      <c r="AN4135">
        <v>1.0000000145391701</v>
      </c>
    </row>
    <row r="4136" spans="1:40" x14ac:dyDescent="0.3">
      <c r="A4136" t="str">
        <f>"20200111160540364"</f>
        <v>20200111160540364</v>
      </c>
      <c r="B4136" t="str">
        <f>"1578729940355677"</f>
        <v>1578729940355677</v>
      </c>
      <c r="C4136" t="s">
        <v>40</v>
      </c>
      <c r="D4136">
        <v>5.1143280000000004</v>
      </c>
      <c r="E4136">
        <v>0.4948169</v>
      </c>
      <c r="F4136" t="s">
        <v>41</v>
      </c>
      <c r="G4136">
        <v>-338.45940000000002</v>
      </c>
      <c r="H4136" s="1">
        <v>-1.192238E-6</v>
      </c>
      <c r="I4136">
        <v>141.43360000000001</v>
      </c>
      <c r="J4136">
        <v>-325.60079999999999</v>
      </c>
      <c r="K4136">
        <v>1.110379</v>
      </c>
      <c r="L4136">
        <v>142.31880000000001</v>
      </c>
      <c r="M4136">
        <v>-0.99975849999999999</v>
      </c>
      <c r="N4136">
        <v>0</v>
      </c>
      <c r="O4136">
        <v>-1.9336430000000002E-2</v>
      </c>
      <c r="P4136">
        <v>-0.99871100000000002</v>
      </c>
      <c r="Q4136">
        <v>1.0621149999999999E-2</v>
      </c>
      <c r="R4136">
        <v>-4.9632879999999997E-2</v>
      </c>
      <c r="S4136">
        <v>-2.9963380000000002</v>
      </c>
      <c r="T4136">
        <v>-0.2549633</v>
      </c>
      <c r="U4136">
        <v>-0.2041473</v>
      </c>
      <c r="V4136">
        <v>-3.0332000000000001E-2</v>
      </c>
      <c r="W4136">
        <v>2.1025840000000001E-2</v>
      </c>
      <c r="X4136">
        <v>0.9993187</v>
      </c>
      <c r="Y4136">
        <v>-4.8564120000000002E-2</v>
      </c>
      <c r="Z4136">
        <v>-4.198456E-4</v>
      </c>
      <c r="AA4136">
        <v>0.99882000000000004</v>
      </c>
      <c r="AB4136">
        <v>32</v>
      </c>
      <c r="AC4136">
        <v>-12.858599999999999</v>
      </c>
      <c r="AD4136">
        <v>-1.1103801922380001</v>
      </c>
      <c r="AE4136">
        <v>-0.88519999999999699</v>
      </c>
      <c r="AF4136">
        <v>-0.63169327233457095</v>
      </c>
      <c r="AG4136">
        <v>-1.1103801922380001</v>
      </c>
      <c r="AH4136">
        <v>12.7784752885121</v>
      </c>
      <c r="AI4136">
        <v>94.960191386462697</v>
      </c>
      <c r="AJ4136">
        <v>92.830065280930199</v>
      </c>
      <c r="AK4136">
        <v>12.8421731517972</v>
      </c>
      <c r="AL4136">
        <v>88.7952193148828</v>
      </c>
      <c r="AM4136">
        <v>91.738546651718806</v>
      </c>
      <c r="AN4136">
        <v>0.99999999017069696</v>
      </c>
    </row>
    <row r="4137" spans="1:40" x14ac:dyDescent="0.3">
      <c r="A4137" t="str">
        <f>"20200111160540382"</f>
        <v>20200111160540382</v>
      </c>
      <c r="B4137" t="str">
        <f>"1578729940376173"</f>
        <v>1578729940376173</v>
      </c>
      <c r="C4137" t="s">
        <v>40</v>
      </c>
      <c r="D4137">
        <v>5.1972500000000004</v>
      </c>
      <c r="E4137">
        <v>0.49455090000000002</v>
      </c>
      <c r="F4137" t="s">
        <v>41</v>
      </c>
      <c r="G4137">
        <v>-338.65320000000003</v>
      </c>
      <c r="H4137" s="1">
        <v>-1.1000109999999999E-6</v>
      </c>
      <c r="I4137">
        <v>141.43119999999999</v>
      </c>
      <c r="J4137">
        <v>-325.85160000000002</v>
      </c>
      <c r="K4137">
        <v>1.1103829999999999</v>
      </c>
      <c r="L4137">
        <v>142.3135</v>
      </c>
      <c r="M4137">
        <v>-0.99975069999999999</v>
      </c>
      <c r="N4137">
        <v>0</v>
      </c>
      <c r="O4137">
        <v>-1.9733170000000001E-2</v>
      </c>
      <c r="P4137">
        <v>-0.99872349999999999</v>
      </c>
      <c r="Q4137">
        <v>1.0766059999999999E-2</v>
      </c>
      <c r="R4137">
        <v>-4.9348860000000001E-2</v>
      </c>
      <c r="S4137">
        <v>-2.9964599999999999</v>
      </c>
      <c r="T4137">
        <v>-0.25491059999999999</v>
      </c>
      <c r="U4137">
        <v>-0.2037506</v>
      </c>
      <c r="V4137">
        <v>-2.965191E-2</v>
      </c>
      <c r="W4137">
        <v>2.1174100000000001E-2</v>
      </c>
      <c r="X4137">
        <v>0.999336</v>
      </c>
      <c r="Y4137">
        <v>-4.8036719999999998E-2</v>
      </c>
      <c r="Z4137">
        <v>-3.6373900000000002E-4</v>
      </c>
      <c r="AA4137">
        <v>0.99884550000000005</v>
      </c>
      <c r="AB4137">
        <v>32</v>
      </c>
      <c r="AC4137">
        <v>-12.801600000000001</v>
      </c>
      <c r="AD4137">
        <v>-1.110384100011</v>
      </c>
      <c r="AE4137">
        <v>-0.88230000000001496</v>
      </c>
      <c r="AF4137">
        <v>-0.624819660493384</v>
      </c>
      <c r="AG4137">
        <v>-1.110384100011</v>
      </c>
      <c r="AH4137">
        <v>12.7212630372233</v>
      </c>
      <c r="AI4137">
        <v>94.982482109674606</v>
      </c>
      <c r="AJ4137">
        <v>92.8118893090478</v>
      </c>
      <c r="AK4137">
        <v>12.7849085143352</v>
      </c>
      <c r="AL4137">
        <v>88.786722774498699</v>
      </c>
      <c r="AM4137">
        <v>91.6995594865096</v>
      </c>
      <c r="AN4137">
        <v>1.0000000095867201</v>
      </c>
    </row>
    <row r="4138" spans="1:40" x14ac:dyDescent="0.3">
      <c r="A4138" t="str">
        <f>"20200111160540395"</f>
        <v>20200111160540395</v>
      </c>
      <c r="B4138" t="str">
        <f>"1578729940385933"</f>
        <v>1578729940385933</v>
      </c>
      <c r="C4138" t="s">
        <v>40</v>
      </c>
      <c r="D4138">
        <v>5.1627809999999998</v>
      </c>
      <c r="E4138">
        <v>0.49442700000000001</v>
      </c>
      <c r="F4138" t="s">
        <v>41</v>
      </c>
      <c r="G4138">
        <v>-338.8639</v>
      </c>
      <c r="H4138" s="1">
        <v>-9.982133E-7</v>
      </c>
      <c r="I4138">
        <v>141.4229</v>
      </c>
      <c r="J4138">
        <v>-326.0478</v>
      </c>
      <c r="K4138">
        <v>1.1103809999999901</v>
      </c>
      <c r="L4138">
        <v>142.30930000000001</v>
      </c>
      <c r="M4138">
        <v>-0.99974470000000004</v>
      </c>
      <c r="N4138">
        <v>0</v>
      </c>
      <c r="O4138">
        <v>-2.004396E-2</v>
      </c>
      <c r="P4138">
        <v>-0.99872760000000005</v>
      </c>
      <c r="Q4138">
        <v>1.0919079999999999E-2</v>
      </c>
      <c r="R4138">
        <v>-4.9236219999999997E-2</v>
      </c>
      <c r="S4138">
        <v>-2.9964599999999999</v>
      </c>
      <c r="T4138">
        <v>-0.25569839999999999</v>
      </c>
      <c r="U4138">
        <v>-0.20509340000000001</v>
      </c>
      <c r="V4138">
        <v>-2.922866E-2</v>
      </c>
      <c r="W4138">
        <v>2.1329999999999998E-2</v>
      </c>
      <c r="X4138">
        <v>0.99934509999999999</v>
      </c>
      <c r="Y4138">
        <v>-4.8171770000000003E-2</v>
      </c>
      <c r="Z4138">
        <v>-3.4416999999999998E-4</v>
      </c>
      <c r="AA4138">
        <v>0.99883900000000003</v>
      </c>
      <c r="AB4138">
        <v>32</v>
      </c>
      <c r="AC4138">
        <v>-12.8161</v>
      </c>
      <c r="AD4138">
        <v>-1.1103819982133001</v>
      </c>
      <c r="AE4138">
        <v>-0.88640000000000896</v>
      </c>
      <c r="AF4138">
        <v>-0.62465592542195902</v>
      </c>
      <c r="AG4138">
        <v>-1.1103819982133001</v>
      </c>
      <c r="AH4138">
        <v>12.7361451385226</v>
      </c>
      <c r="AI4138">
        <v>94.976697026946397</v>
      </c>
      <c r="AJ4138">
        <v>92.807874076177001</v>
      </c>
      <c r="AK4138">
        <v>12.799708441860499</v>
      </c>
      <c r="AL4138">
        <v>88.777788279420804</v>
      </c>
      <c r="AM4138">
        <v>91.675298730801302</v>
      </c>
      <c r="AN4138">
        <v>0.99999995617970105</v>
      </c>
    </row>
    <row r="4139" spans="1:40" x14ac:dyDescent="0.3">
      <c r="A4139" t="str">
        <f>"20200111160540410"</f>
        <v>20200111160540410</v>
      </c>
      <c r="B4139" t="str">
        <f>"1578729940405453"</f>
        <v>1578729940405453</v>
      </c>
      <c r="C4139" t="s">
        <v>40</v>
      </c>
      <c r="D4139">
        <v>5.0915100000000004</v>
      </c>
      <c r="E4139">
        <v>0.49450040000000001</v>
      </c>
      <c r="F4139" t="s">
        <v>41</v>
      </c>
      <c r="G4139">
        <v>-339.03699999999998</v>
      </c>
      <c r="H4139" s="1">
        <v>-9.1485249999999998E-7</v>
      </c>
      <c r="I4139">
        <v>141.41720000000001</v>
      </c>
      <c r="J4139">
        <v>-326.2491</v>
      </c>
      <c r="K4139">
        <v>1.110376</v>
      </c>
      <c r="L4139">
        <v>142.30500000000001</v>
      </c>
      <c r="M4139">
        <v>-0.99973820000000002</v>
      </c>
      <c r="N4139">
        <v>0</v>
      </c>
      <c r="O4139">
        <v>-2.0362379999999999E-2</v>
      </c>
      <c r="P4139">
        <v>-0.99873069999999997</v>
      </c>
      <c r="Q4139">
        <v>1.0966709999999999E-2</v>
      </c>
      <c r="R4139">
        <v>-4.9160330000000002E-2</v>
      </c>
      <c r="S4139">
        <v>-2.996521</v>
      </c>
      <c r="T4139">
        <v>-0.25615729999999998</v>
      </c>
      <c r="U4139">
        <v>-0.20581050000000001</v>
      </c>
      <c r="V4139">
        <v>-2.8834539999999999E-2</v>
      </c>
      <c r="W4139">
        <v>2.1380050000000001E-2</v>
      </c>
      <c r="X4139">
        <v>0.99935549999999995</v>
      </c>
      <c r="Y4139">
        <v>-4.8091269999999998E-2</v>
      </c>
      <c r="Z4139">
        <v>-3.142199E-4</v>
      </c>
      <c r="AA4139">
        <v>0.99884289999999998</v>
      </c>
      <c r="AB4139">
        <v>32</v>
      </c>
      <c r="AC4139">
        <v>-12.787899999999899</v>
      </c>
      <c r="AD4139">
        <v>-1.1103769148525</v>
      </c>
      <c r="AE4139">
        <v>-0.88779999999999804</v>
      </c>
      <c r="AF4139">
        <v>-0.62253853522829605</v>
      </c>
      <c r="AG4139">
        <v>-1.1103769148525</v>
      </c>
      <c r="AH4139">
        <v>12.707974880591401</v>
      </c>
      <c r="AI4139">
        <v>94.987664806215903</v>
      </c>
      <c r="AJ4139">
        <v>92.804564771673995</v>
      </c>
      <c r="AK4139">
        <v>12.771574557846099</v>
      </c>
      <c r="AL4139">
        <v>88.774919996090205</v>
      </c>
      <c r="AM4139">
        <v>91.652704384101597</v>
      </c>
      <c r="AN4139">
        <v>0.99999997630763104</v>
      </c>
    </row>
    <row r="4140" spans="1:40" x14ac:dyDescent="0.3">
      <c r="A4140" t="str">
        <f>"20200111160540425"</f>
        <v>20200111160540425</v>
      </c>
      <c r="B4140" t="str">
        <f>"1578729940416189"</f>
        <v>1578729940416189</v>
      </c>
      <c r="C4140" t="s">
        <v>40</v>
      </c>
      <c r="D4140">
        <v>5.1390719999999996</v>
      </c>
      <c r="E4140">
        <v>0.4945908</v>
      </c>
      <c r="F4140" t="s">
        <v>41</v>
      </c>
      <c r="G4140">
        <v>-339.16730000000001</v>
      </c>
      <c r="H4140" s="1">
        <v>-8.5417069999999897E-7</v>
      </c>
      <c r="I4140">
        <v>141.42070000000001</v>
      </c>
      <c r="J4140">
        <v>-326.4778</v>
      </c>
      <c r="K4140">
        <v>1.1103769999999999</v>
      </c>
      <c r="L4140">
        <v>142.30000000000001</v>
      </c>
      <c r="M4140">
        <v>-0.99973060000000002</v>
      </c>
      <c r="N4140">
        <v>0</v>
      </c>
      <c r="O4140">
        <v>-2.0724429999999999E-2</v>
      </c>
      <c r="P4140">
        <v>-0.99875720000000001</v>
      </c>
      <c r="Q4140">
        <v>1.1061909999999999E-2</v>
      </c>
      <c r="R4140">
        <v>-4.8599539999999997E-2</v>
      </c>
      <c r="S4140">
        <v>-2.9965820000000001</v>
      </c>
      <c r="T4140">
        <v>-0.2575694</v>
      </c>
      <c r="U4140">
        <v>-0.20513919999999999</v>
      </c>
      <c r="V4140">
        <v>-2.7910959999999999E-2</v>
      </c>
      <c r="W4140">
        <v>2.1478730000000001E-2</v>
      </c>
      <c r="X4140">
        <v>0.99937960000000003</v>
      </c>
      <c r="Y4140">
        <v>-4.7507769999999998E-2</v>
      </c>
      <c r="Z4140">
        <v>-2.5992609999999998E-4</v>
      </c>
      <c r="AA4140">
        <v>0.99887079999999995</v>
      </c>
      <c r="AB4140">
        <v>32</v>
      </c>
      <c r="AC4140">
        <v>-12.689500000000001</v>
      </c>
      <c r="AD4140">
        <v>-1.1103778541706999</v>
      </c>
      <c r="AE4140">
        <v>-0.87929999999999997</v>
      </c>
      <c r="AF4140">
        <v>-0.61145464094856405</v>
      </c>
      <c r="AG4140">
        <v>-1.1103778541706999</v>
      </c>
      <c r="AH4140">
        <v>12.608914561979701</v>
      </c>
      <c r="AI4140">
        <v>95.026774176319705</v>
      </c>
      <c r="AJ4140">
        <v>92.776317214949003</v>
      </c>
      <c r="AK4140">
        <v>12.672471826296301</v>
      </c>
      <c r="AL4140">
        <v>88.769264743514199</v>
      </c>
      <c r="AM4140">
        <v>91.599757112848906</v>
      </c>
      <c r="AN4140">
        <v>0.99999997121334605</v>
      </c>
    </row>
    <row r="4141" spans="1:40" x14ac:dyDescent="0.3">
      <c r="A4141" t="str">
        <f>"20200111160540440"</f>
        <v>20200111160540440</v>
      </c>
      <c r="B4141" t="str">
        <f>"1578729940435709"</f>
        <v>1578729940435709</v>
      </c>
      <c r="C4141" t="s">
        <v>40</v>
      </c>
      <c r="D4141">
        <v>5.3483489999999998</v>
      </c>
      <c r="E4141">
        <v>0.49425010000000003</v>
      </c>
      <c r="F4141" t="s">
        <v>41</v>
      </c>
      <c r="G4141">
        <v>-339.38319999999999</v>
      </c>
      <c r="H4141" s="1">
        <v>-7.5363589999999997E-7</v>
      </c>
      <c r="I4141">
        <v>141.4263</v>
      </c>
      <c r="J4141">
        <v>-326.69709999999998</v>
      </c>
      <c r="K4141">
        <v>1.110374</v>
      </c>
      <c r="L4141">
        <v>142.29509999999999</v>
      </c>
      <c r="M4141">
        <v>-0.99972349999999999</v>
      </c>
      <c r="N4141">
        <v>0</v>
      </c>
      <c r="O4141">
        <v>-2.107146E-2</v>
      </c>
      <c r="P4141">
        <v>-0.99874810000000003</v>
      </c>
      <c r="Q4141">
        <v>1.1081239999999999E-2</v>
      </c>
      <c r="R4141">
        <v>-4.8782350000000002E-2</v>
      </c>
      <c r="S4141">
        <v>-2.9967350000000001</v>
      </c>
      <c r="T4141">
        <v>-0.25783800000000001</v>
      </c>
      <c r="U4141">
        <v>-0.2028809</v>
      </c>
      <c r="V4141">
        <v>-2.7747009999999999E-2</v>
      </c>
      <c r="W4141">
        <v>2.1500660000000001E-2</v>
      </c>
      <c r="X4141">
        <v>0.99938369999999999</v>
      </c>
      <c r="Y4141">
        <v>-4.6413379999999997E-2</v>
      </c>
      <c r="Z4141">
        <v>-1.8349060000000001E-4</v>
      </c>
      <c r="AA4141">
        <v>0.99892230000000004</v>
      </c>
      <c r="AB4141">
        <v>32</v>
      </c>
      <c r="AC4141">
        <v>-12.6861</v>
      </c>
      <c r="AD4141">
        <v>-1.1103747536359001</v>
      </c>
      <c r="AE4141">
        <v>-0.86879999999999302</v>
      </c>
      <c r="AF4141">
        <v>-0.59672771051320705</v>
      </c>
      <c r="AG4141">
        <v>-1.1103747536359001</v>
      </c>
      <c r="AH4141">
        <v>12.6054717679835</v>
      </c>
      <c r="AI4141">
        <v>95.028402311080796</v>
      </c>
      <c r="AJ4141">
        <v>92.710289212503994</v>
      </c>
      <c r="AK4141">
        <v>12.668343796544001</v>
      </c>
      <c r="AL4141">
        <v>88.7680079644079</v>
      </c>
      <c r="AM4141">
        <v>91.590358400057397</v>
      </c>
      <c r="AN4141">
        <v>0.99999997738503199</v>
      </c>
    </row>
    <row r="4142" spans="1:40" x14ac:dyDescent="0.3">
      <c r="A4142" t="str">
        <f>"20200111160540455"</f>
        <v>20200111160540455</v>
      </c>
      <c r="B4142" t="str">
        <f>"1578729940445469"</f>
        <v>1578729940445469</v>
      </c>
      <c r="C4142" t="s">
        <v>40</v>
      </c>
      <c r="D4142">
        <v>5.3161949999999996</v>
      </c>
      <c r="E4142">
        <v>0.49403900000000001</v>
      </c>
      <c r="F4142" t="s">
        <v>41</v>
      </c>
      <c r="G4142">
        <v>-339.61399999999998</v>
      </c>
      <c r="H4142" s="1">
        <v>-6.3943009999999999E-7</v>
      </c>
      <c r="I4142">
        <v>141.40710000000001</v>
      </c>
      <c r="J4142">
        <v>-326.89030000000002</v>
      </c>
      <c r="K4142">
        <v>1.1103749999999999</v>
      </c>
      <c r="L4142">
        <v>142.29069999999999</v>
      </c>
      <c r="M4142">
        <v>-0.99971679999999996</v>
      </c>
      <c r="N4142">
        <v>0</v>
      </c>
      <c r="O4142">
        <v>-2.1376880000000001E-2</v>
      </c>
      <c r="P4142">
        <v>-0.99873840000000003</v>
      </c>
      <c r="Q4142">
        <v>1.0967070000000001E-2</v>
      </c>
      <c r="R4142">
        <v>-4.9002270000000001E-2</v>
      </c>
      <c r="S4142">
        <v>-2.9965519999999999</v>
      </c>
      <c r="T4142">
        <v>-0.25759199999999999</v>
      </c>
      <c r="U4142">
        <v>-0.20600889999999999</v>
      </c>
      <c r="V4142">
        <v>-2.7662260000000001E-2</v>
      </c>
      <c r="W4142">
        <v>2.138864E-2</v>
      </c>
      <c r="X4142">
        <v>0.99938850000000001</v>
      </c>
      <c r="Y4142">
        <v>-4.7148820000000001E-2</v>
      </c>
      <c r="Z4142">
        <v>-1.8867720000000001E-4</v>
      </c>
      <c r="AA4142">
        <v>0.99888779999999999</v>
      </c>
      <c r="AB4142">
        <v>32</v>
      </c>
      <c r="AC4142">
        <v>-12.723699999999999</v>
      </c>
      <c r="AD4142">
        <v>-1.1103756394301001</v>
      </c>
      <c r="AE4142">
        <v>-0.88359999999997196</v>
      </c>
      <c r="AF4142">
        <v>-0.60679119049064401</v>
      </c>
      <c r="AG4142">
        <v>-1.1103756394301001</v>
      </c>
      <c r="AH4142">
        <v>12.643851482668101</v>
      </c>
      <c r="AI4142">
        <v>95.013066048017805</v>
      </c>
      <c r="AJ4142">
        <v>92.747574218512398</v>
      </c>
      <c r="AK4142">
        <v>12.707010266985099</v>
      </c>
      <c r="AL4142">
        <v>88.774427771516002</v>
      </c>
      <c r="AM4142">
        <v>91.585495708174406</v>
      </c>
      <c r="AN4142">
        <v>1.0000000242408</v>
      </c>
    </row>
    <row r="4143" spans="1:40" x14ac:dyDescent="0.3">
      <c r="A4143" t="str">
        <f>"20200111160540470"</f>
        <v>20200111160540470</v>
      </c>
      <c r="B4143" t="str">
        <f>"1578729940465965"</f>
        <v>1578729940465965</v>
      </c>
      <c r="C4143" t="s">
        <v>40</v>
      </c>
      <c r="D4143">
        <v>5.2003629999999896</v>
      </c>
      <c r="E4143">
        <v>0.49407849999999998</v>
      </c>
      <c r="F4143" t="s">
        <v>41</v>
      </c>
      <c r="G4143">
        <v>-339.82990000000001</v>
      </c>
      <c r="H4143" s="1">
        <v>-5.3303669999999995E-7</v>
      </c>
      <c r="I4143">
        <v>141.39080000000001</v>
      </c>
      <c r="J4143">
        <v>-327.12</v>
      </c>
      <c r="K4143">
        <v>1.1103749999999999</v>
      </c>
      <c r="L4143">
        <v>142.28550000000001</v>
      </c>
      <c r="M4143">
        <v>-0.99970899999999996</v>
      </c>
      <c r="N4143">
        <v>0</v>
      </c>
      <c r="O4143">
        <v>-2.1740369999999998E-2</v>
      </c>
      <c r="P4143">
        <v>-0.99872289999999997</v>
      </c>
      <c r="Q4143">
        <v>1.0964649999999999E-2</v>
      </c>
      <c r="R4143">
        <v>-4.9324640000000003E-2</v>
      </c>
      <c r="S4143">
        <v>-2.9963679999999999</v>
      </c>
      <c r="T4143">
        <v>-0.25712489999999999</v>
      </c>
      <c r="U4143">
        <v>-0.2083893</v>
      </c>
      <c r="V4143">
        <v>-2.762127E-2</v>
      </c>
      <c r="W4143">
        <v>2.1390059999999999E-2</v>
      </c>
      <c r="X4143">
        <v>0.99938959999999999</v>
      </c>
      <c r="Y4143">
        <v>-4.7579650000000001E-2</v>
      </c>
      <c r="Z4143">
        <v>-1.75694E-4</v>
      </c>
      <c r="AA4143">
        <v>0.99886750000000002</v>
      </c>
      <c r="AB4143">
        <v>32</v>
      </c>
      <c r="AC4143">
        <v>-12.709899999999999</v>
      </c>
      <c r="AD4143">
        <v>-1.11037553303669</v>
      </c>
      <c r="AE4143">
        <v>-0.89470000000000005</v>
      </c>
      <c r="AF4143">
        <v>-0.61349618856422805</v>
      </c>
      <c r="AG4143">
        <v>-1.11037553303669</v>
      </c>
      <c r="AH4143">
        <v>12.630423993794301</v>
      </c>
      <c r="AI4143">
        <v>95.018227854104595</v>
      </c>
      <c r="AJ4143">
        <v>92.780835973593199</v>
      </c>
      <c r="AK4143">
        <v>12.693971863083799</v>
      </c>
      <c r="AL4143">
        <v>88.7743463888051</v>
      </c>
      <c r="AM4143">
        <v>91.583145771888596</v>
      </c>
      <c r="AN4143">
        <v>1.0000000209056801</v>
      </c>
    </row>
    <row r="4144" spans="1:40" x14ac:dyDescent="0.3">
      <c r="A4144" t="str">
        <f>"20200111160540486"</f>
        <v>20200111160540486</v>
      </c>
      <c r="B4144" t="str">
        <f>"1578729940475725"</f>
        <v>1578729940475725</v>
      </c>
      <c r="C4144" t="s">
        <v>40</v>
      </c>
      <c r="D4144">
        <v>5.2161350000000004</v>
      </c>
      <c r="E4144">
        <v>0.49403829999999999</v>
      </c>
      <c r="F4144" t="s">
        <v>41</v>
      </c>
      <c r="G4144">
        <v>-340.0958</v>
      </c>
      <c r="H4144" s="1">
        <v>-4.5563020000000004E-6</v>
      </c>
      <c r="I4144">
        <v>141.3802</v>
      </c>
      <c r="J4144">
        <v>-327.33999999999997</v>
      </c>
      <c r="K4144">
        <v>1.1103780000000001</v>
      </c>
      <c r="L4144">
        <v>142.28039999999999</v>
      </c>
      <c r="M4144">
        <v>-0.99970130000000001</v>
      </c>
      <c r="N4144">
        <v>0</v>
      </c>
      <c r="O4144">
        <v>-2.208802E-2</v>
      </c>
      <c r="P4144">
        <v>-0.99869399999999997</v>
      </c>
      <c r="Q4144">
        <v>1.076964E-2</v>
      </c>
      <c r="R4144">
        <v>-4.99449E-2</v>
      </c>
      <c r="S4144">
        <v>-2.9963380000000002</v>
      </c>
      <c r="T4144">
        <v>-0.25640659999999998</v>
      </c>
      <c r="U4144">
        <v>-0.2090149</v>
      </c>
      <c r="V4144">
        <v>-2.789349E-2</v>
      </c>
      <c r="W4144">
        <v>2.1201279999999999E-2</v>
      </c>
      <c r="X4144">
        <v>0.999386</v>
      </c>
      <c r="Y4144">
        <v>-4.744284E-2</v>
      </c>
      <c r="Z4144">
        <v>-1.3972600000000001E-4</v>
      </c>
      <c r="AA4144">
        <v>0.99887389999999998</v>
      </c>
      <c r="AB4144">
        <v>32</v>
      </c>
      <c r="AC4144">
        <v>-12.755800000000001</v>
      </c>
      <c r="AD4144">
        <v>-1.110382556302</v>
      </c>
      <c r="AE4144">
        <v>-0.90019999999998301</v>
      </c>
      <c r="AF4144">
        <v>-0.61358810710380496</v>
      </c>
      <c r="AG4144">
        <v>-1.110382556302</v>
      </c>
      <c r="AH4144">
        <v>12.6769876581471</v>
      </c>
      <c r="AI4144">
        <v>94.999961729681701</v>
      </c>
      <c r="AJ4144">
        <v>92.771052139697204</v>
      </c>
      <c r="AK4144">
        <v>12.7403083114708</v>
      </c>
      <c r="AL4144">
        <v>88.785165064127696</v>
      </c>
      <c r="AM4144">
        <v>91.598746081311802</v>
      </c>
      <c r="AN4144">
        <v>0.999999959027008</v>
      </c>
    </row>
    <row r="4145" spans="1:40" x14ac:dyDescent="0.3">
      <c r="A4145" t="str">
        <f>"20200111160540502"</f>
        <v>20200111160540502</v>
      </c>
      <c r="B4145" t="str">
        <f>"1578729940496222"</f>
        <v>1578729940496222</v>
      </c>
      <c r="C4145" t="s">
        <v>40</v>
      </c>
      <c r="D4145">
        <v>5.3818489999999999</v>
      </c>
      <c r="E4145">
        <v>0.49424180000000001</v>
      </c>
      <c r="F4145" t="s">
        <v>41</v>
      </c>
      <c r="G4145">
        <v>-340.30110000000002</v>
      </c>
      <c r="H4145" s="1">
        <v>-4.4840639999999998E-6</v>
      </c>
      <c r="I4145">
        <v>141.36680000000001</v>
      </c>
      <c r="J4145">
        <v>-327.56869999999998</v>
      </c>
      <c r="K4145">
        <v>1.1103809999999901</v>
      </c>
      <c r="L4145">
        <v>142.27500000000001</v>
      </c>
      <c r="M4145">
        <v>-0.99969319999999895</v>
      </c>
      <c r="N4145">
        <v>0</v>
      </c>
      <c r="O4145">
        <v>-2.2448449999999998E-2</v>
      </c>
      <c r="P4145">
        <v>-0.99865170000000003</v>
      </c>
      <c r="Q4145">
        <v>1.0960350000000001E-2</v>
      </c>
      <c r="R4145">
        <v>-5.074145E-2</v>
      </c>
      <c r="S4145">
        <v>-2.9961549999999999</v>
      </c>
      <c r="T4145">
        <v>-0.2566832</v>
      </c>
      <c r="U4145">
        <v>-0.2111664</v>
      </c>
      <c r="V4145">
        <v>-2.8331309999999998E-2</v>
      </c>
      <c r="W4145">
        <v>2.1403889999999998E-2</v>
      </c>
      <c r="X4145">
        <v>0.99936939999999996</v>
      </c>
      <c r="Y4145">
        <v>-4.7800509999999997E-2</v>
      </c>
      <c r="Z4145">
        <v>-1.2439109999999999E-4</v>
      </c>
      <c r="AA4145">
        <v>0.99885690000000005</v>
      </c>
      <c r="AB4145">
        <v>32</v>
      </c>
      <c r="AC4145">
        <v>-12.7324</v>
      </c>
      <c r="AD4145">
        <v>-1.110385484064</v>
      </c>
      <c r="AE4145">
        <v>-0.90819999999999301</v>
      </c>
      <c r="AF4145">
        <v>-0.61746048988573499</v>
      </c>
      <c r="AG4145">
        <v>-1.110385484064</v>
      </c>
      <c r="AH4145">
        <v>12.653828560263699</v>
      </c>
      <c r="AI4145">
        <v>95.008983962208106</v>
      </c>
      <c r="AJ4145">
        <v>92.793608333452894</v>
      </c>
      <c r="AK4145">
        <v>12.717452206017301</v>
      </c>
      <c r="AL4145">
        <v>88.773553773297095</v>
      </c>
      <c r="AM4145">
        <v>91.623853843092505</v>
      </c>
      <c r="AN4145">
        <v>0.999999993644904</v>
      </c>
    </row>
    <row r="4146" spans="1:40" x14ac:dyDescent="0.3">
      <c r="A4146" t="str">
        <f>"20200111160540515"</f>
        <v>20200111160540515</v>
      </c>
      <c r="B4146" t="str">
        <f>"1578729940505981"</f>
        <v>1578729940505981</v>
      </c>
      <c r="C4146" t="s">
        <v>40</v>
      </c>
      <c r="D4146">
        <v>5.5599970000000001</v>
      </c>
      <c r="E4146">
        <v>0.49455909999999897</v>
      </c>
      <c r="F4146" t="s">
        <v>41</v>
      </c>
      <c r="G4146">
        <v>-340.56420000000003</v>
      </c>
      <c r="H4146" s="1">
        <v>-4.3924919999999997E-6</v>
      </c>
      <c r="I4146">
        <v>141.3553</v>
      </c>
      <c r="J4146">
        <v>-327.75689999999997</v>
      </c>
      <c r="K4146">
        <v>1.1103889999999901</v>
      </c>
      <c r="L4146">
        <v>142.2704</v>
      </c>
      <c r="M4146">
        <v>-0.99968630000000003</v>
      </c>
      <c r="N4146">
        <v>0</v>
      </c>
      <c r="O4146">
        <v>-2.2743820000000001E-2</v>
      </c>
      <c r="P4146">
        <v>-0.99857779999999996</v>
      </c>
      <c r="Q4146">
        <v>1.112286E-2</v>
      </c>
      <c r="R4146">
        <v>-5.2142109999999998E-2</v>
      </c>
      <c r="S4146">
        <v>-2.9960939999999998</v>
      </c>
      <c r="T4146">
        <v>-0.25599850000000002</v>
      </c>
      <c r="U4146">
        <v>-0.21200559999999999</v>
      </c>
      <c r="V4146">
        <v>-2.9438180000000001E-2</v>
      </c>
      <c r="W4146">
        <v>2.1582190000000001E-2</v>
      </c>
      <c r="X4146">
        <v>0.99933360000000004</v>
      </c>
      <c r="Y4146">
        <v>-4.7786820000000001E-2</v>
      </c>
      <c r="Z4146" s="1">
        <v>-9.8332530000000003E-5</v>
      </c>
      <c r="AA4146">
        <v>0.99885760000000001</v>
      </c>
      <c r="AB4146">
        <v>32</v>
      </c>
      <c r="AC4146">
        <v>-12.8073</v>
      </c>
      <c r="AD4146">
        <v>-1.11039339249199</v>
      </c>
      <c r="AE4146">
        <v>-0.91509999999999503</v>
      </c>
      <c r="AF4146">
        <v>-0.61893149780005496</v>
      </c>
      <c r="AG4146">
        <v>-1.11039339249199</v>
      </c>
      <c r="AH4146">
        <v>12.7295996799315</v>
      </c>
      <c r="AI4146">
        <v>94.979396433499801</v>
      </c>
      <c r="AJ4146">
        <v>92.7836112981729</v>
      </c>
      <c r="AK4146">
        <v>12.7929182634914</v>
      </c>
      <c r="AL4146">
        <v>88.763335608804397</v>
      </c>
      <c r="AM4146">
        <v>91.687320274354704</v>
      </c>
      <c r="AN4146">
        <v>1.00000002072793</v>
      </c>
    </row>
    <row r="4147" spans="1:40" x14ac:dyDescent="0.3">
      <c r="A4147" t="str">
        <f>"20200111160540534"</f>
        <v>20200111160540534</v>
      </c>
      <c r="B4147" t="str">
        <f>"1578729940525501"</f>
        <v>1578729940525501</v>
      </c>
      <c r="C4147" t="s">
        <v>40</v>
      </c>
      <c r="D4147">
        <v>5.2210910000000004</v>
      </c>
      <c r="E4147">
        <v>0.49474489999999999</v>
      </c>
      <c r="F4147" t="s">
        <v>41</v>
      </c>
      <c r="G4147">
        <v>-340.80220000000003</v>
      </c>
      <c r="H4147" s="1">
        <v>-4.3088390000000002E-6</v>
      </c>
      <c r="I4147">
        <v>141.34039999999999</v>
      </c>
      <c r="J4147">
        <v>-328.01920000000001</v>
      </c>
      <c r="K4147">
        <v>1.1104039999999999</v>
      </c>
      <c r="L4147">
        <v>142.26400000000001</v>
      </c>
      <c r="M4147">
        <v>-0.99967620000000001</v>
      </c>
      <c r="N4147">
        <v>0</v>
      </c>
      <c r="O4147">
        <v>-2.3154330000000001E-2</v>
      </c>
      <c r="P4147">
        <v>-0.99852549999999995</v>
      </c>
      <c r="Q4147">
        <v>1.1314569999999999E-2</v>
      </c>
      <c r="R4147">
        <v>-5.3094660000000002E-2</v>
      </c>
      <c r="S4147">
        <v>-2.9959410000000002</v>
      </c>
      <c r="T4147">
        <v>-0.2550095</v>
      </c>
      <c r="U4147">
        <v>-0.213562</v>
      </c>
      <c r="V4147">
        <v>-2.9981239999999999E-2</v>
      </c>
      <c r="W4147">
        <v>2.1831039999999999E-2</v>
      </c>
      <c r="X4147">
        <v>0.99931199999999998</v>
      </c>
      <c r="Y4147">
        <v>-4.7898299999999998E-2</v>
      </c>
      <c r="Z4147" s="1">
        <v>-6.7872230000000006E-5</v>
      </c>
      <c r="AA4147">
        <v>0.99885219999999997</v>
      </c>
      <c r="AB4147">
        <v>32</v>
      </c>
      <c r="AC4147">
        <v>-12.782999999999999</v>
      </c>
      <c r="AD4147">
        <v>-1.110408308839</v>
      </c>
      <c r="AE4147">
        <v>-0.92360000000002096</v>
      </c>
      <c r="AF4147">
        <v>-0.62267991566962599</v>
      </c>
      <c r="AG4147">
        <v>-1.110408308839</v>
      </c>
      <c r="AH4147">
        <v>12.7055843585857</v>
      </c>
      <c r="AI4147">
        <v>94.988733883369306</v>
      </c>
      <c r="AJ4147">
        <v>92.805727627633104</v>
      </c>
      <c r="AK4147">
        <v>12.769205565846899</v>
      </c>
      <c r="AL4147">
        <v>88.749074132145793</v>
      </c>
      <c r="AM4147">
        <v>91.718465694950496</v>
      </c>
      <c r="AN4147">
        <v>0.99999997120170903</v>
      </c>
    </row>
    <row r="4148" spans="1:40" x14ac:dyDescent="0.3">
      <c r="A4148" t="str">
        <f>"20200111160540549"</f>
        <v>20200111160540549</v>
      </c>
      <c r="B4148" t="str">
        <f>"1578729940545998"</f>
        <v>1578729940545998</v>
      </c>
      <c r="C4148" t="s">
        <v>40</v>
      </c>
      <c r="D4148">
        <v>5.2137120000000001</v>
      </c>
      <c r="E4148">
        <v>0.49470579999999997</v>
      </c>
      <c r="F4148" t="s">
        <v>41</v>
      </c>
      <c r="G4148">
        <v>-341.10079999999999</v>
      </c>
      <c r="H4148" s="1">
        <v>-4.2046780000000004E-6</v>
      </c>
      <c r="I4148">
        <v>141.32599999999999</v>
      </c>
      <c r="J4148">
        <v>-328.24459999999999</v>
      </c>
      <c r="K4148">
        <v>1.1104290000000001</v>
      </c>
      <c r="L4148">
        <v>142.2585</v>
      </c>
      <c r="M4148">
        <v>-0.99966690000000002</v>
      </c>
      <c r="N4148">
        <v>0</v>
      </c>
      <c r="O4148">
        <v>-2.350203E-2</v>
      </c>
      <c r="P4148">
        <v>-0.9984421</v>
      </c>
      <c r="Q4148">
        <v>1.159806E-2</v>
      </c>
      <c r="R4148">
        <v>-5.4578870000000002E-2</v>
      </c>
      <c r="S4148">
        <v>-2.9958499999999999</v>
      </c>
      <c r="T4148">
        <v>-0.25429800000000002</v>
      </c>
      <c r="U4148">
        <v>-0.21481320000000001</v>
      </c>
      <c r="V4148">
        <v>-3.1119819999999999E-2</v>
      </c>
      <c r="W4148">
        <v>2.2213839999999999E-2</v>
      </c>
      <c r="X4148">
        <v>0.99926879999999996</v>
      </c>
      <c r="Y4148">
        <v>-4.796955E-2</v>
      </c>
      <c r="Z4148" s="1">
        <v>-4.1293449999999997E-5</v>
      </c>
      <c r="AA4148">
        <v>0.99884879999999998</v>
      </c>
      <c r="AB4148">
        <v>32</v>
      </c>
      <c r="AC4148">
        <v>-12.856199999999999</v>
      </c>
      <c r="AD4148">
        <v>-1.1104332046780001</v>
      </c>
      <c r="AE4148">
        <v>-0.93250000000000399</v>
      </c>
      <c r="AF4148">
        <v>-0.62543685782708702</v>
      </c>
      <c r="AG4148">
        <v>-1.1104332046780001</v>
      </c>
      <c r="AH4148">
        <v>12.7797231304022</v>
      </c>
      <c r="AI4148">
        <v>94.960064808543905</v>
      </c>
      <c r="AJ4148">
        <v>92.801807486230203</v>
      </c>
      <c r="AK4148">
        <v>12.8431131917039</v>
      </c>
      <c r="AL4148">
        <v>88.727136043843501</v>
      </c>
      <c r="AM4148">
        <v>91.783762535749801</v>
      </c>
      <c r="AN4148">
        <v>1.0000000162689</v>
      </c>
    </row>
    <row r="4149" spans="1:40" x14ac:dyDescent="0.3">
      <c r="A4149" t="str">
        <f>"20200111160540572"</f>
        <v>20200111160540572</v>
      </c>
      <c r="B4149" t="str">
        <f>"1578729940565517"</f>
        <v>1578729940565517</v>
      </c>
      <c r="C4149" t="s">
        <v>40</v>
      </c>
      <c r="D4149">
        <v>5.3638250000000003</v>
      </c>
      <c r="E4149">
        <v>0.4947279</v>
      </c>
      <c r="F4149" t="s">
        <v>41</v>
      </c>
      <c r="G4149">
        <v>-341.3578</v>
      </c>
      <c r="H4149" s="1">
        <v>-4.1122810000000001E-6</v>
      </c>
      <c r="I4149">
        <v>141.29820000000001</v>
      </c>
      <c r="J4149">
        <v>-328.56569999999999</v>
      </c>
      <c r="K4149">
        <v>1.1104849999999999</v>
      </c>
      <c r="L4149">
        <v>142.25040000000001</v>
      </c>
      <c r="M4149">
        <v>-0.99965320000000002</v>
      </c>
      <c r="N4149">
        <v>0</v>
      </c>
      <c r="O4149">
        <v>-2.397985E-2</v>
      </c>
      <c r="P4149">
        <v>-0.99837849999999995</v>
      </c>
      <c r="Q4149">
        <v>1.191212E-2</v>
      </c>
      <c r="R4149">
        <v>-5.5667109999999999E-2</v>
      </c>
      <c r="S4149">
        <v>-2.9956360000000002</v>
      </c>
      <c r="T4149">
        <v>-0.25367299999999998</v>
      </c>
      <c r="U4149">
        <v>-0.21936040000000001</v>
      </c>
      <c r="V4149">
        <v>-3.173169E-2</v>
      </c>
      <c r="W4149">
        <v>2.277351E-2</v>
      </c>
      <c r="X4149">
        <v>0.99923689999999998</v>
      </c>
      <c r="Y4149">
        <v>-4.9003819999999997E-2</v>
      </c>
      <c r="Z4149" s="1">
        <v>-4.4539799999999997E-5</v>
      </c>
      <c r="AA4149">
        <v>0.99879859999999998</v>
      </c>
      <c r="AB4149">
        <v>32</v>
      </c>
      <c r="AC4149">
        <v>-12.7921</v>
      </c>
      <c r="AD4149">
        <v>-1.1104891122809999</v>
      </c>
      <c r="AE4149">
        <v>-0.95220000000000404</v>
      </c>
      <c r="AF4149">
        <v>-0.64035616962785202</v>
      </c>
      <c r="AG4149">
        <v>-1.1104891122809999</v>
      </c>
      <c r="AH4149">
        <v>12.715955768259001</v>
      </c>
      <c r="AI4149">
        <v>94.9847145031422</v>
      </c>
      <c r="AJ4149">
        <v>92.882892873997207</v>
      </c>
      <c r="AK4149">
        <v>12.7804058305202</v>
      </c>
      <c r="AL4149">
        <v>88.695061123065202</v>
      </c>
      <c r="AM4149">
        <v>91.818869117642507</v>
      </c>
      <c r="AN4149">
        <v>0.99999995761479199</v>
      </c>
    </row>
    <row r="4150" spans="1:40" x14ac:dyDescent="0.3">
      <c r="A4150" t="str">
        <f>"20200111160540586"</f>
        <v>20200111160540586</v>
      </c>
      <c r="B4150" t="str">
        <f>"1578729940576254"</f>
        <v>1578729940576254</v>
      </c>
      <c r="C4150" t="s">
        <v>40</v>
      </c>
      <c r="D4150">
        <v>5.2611290000000004</v>
      </c>
      <c r="E4150">
        <v>0.49475839999999999</v>
      </c>
      <c r="F4150" t="s">
        <v>41</v>
      </c>
      <c r="G4150">
        <v>-341.69299999999998</v>
      </c>
      <c r="H4150" s="1">
        <v>-3.9874759999999997E-6</v>
      </c>
      <c r="I4150">
        <v>141.2756</v>
      </c>
      <c r="J4150">
        <v>-328.77609999999999</v>
      </c>
      <c r="K4150">
        <v>1.1105229999999999</v>
      </c>
      <c r="L4150">
        <v>142.245</v>
      </c>
      <c r="M4150">
        <v>-0.99964339999999996</v>
      </c>
      <c r="N4150">
        <v>0</v>
      </c>
      <c r="O4150">
        <v>-2.428551E-2</v>
      </c>
      <c r="P4150">
        <v>-0.998367</v>
      </c>
      <c r="Q4150">
        <v>1.1997610000000001E-2</v>
      </c>
      <c r="R4150">
        <v>-5.5853659999999999E-2</v>
      </c>
      <c r="S4150">
        <v>-2.9954830000000001</v>
      </c>
      <c r="T4150">
        <v>-0.25340099999999999</v>
      </c>
      <c r="U4150">
        <v>-0.2224121</v>
      </c>
      <c r="V4150">
        <v>-3.1612849999999998E-2</v>
      </c>
      <c r="W4150">
        <v>2.3061439999999999E-2</v>
      </c>
      <c r="X4150">
        <v>0.99923410000000001</v>
      </c>
      <c r="Y4150">
        <v>-4.9712869999999999E-2</v>
      </c>
      <c r="Z4150" s="1">
        <v>-4.8630169999999999E-5</v>
      </c>
      <c r="AA4150">
        <v>0.99876359999999997</v>
      </c>
      <c r="AB4150">
        <v>32</v>
      </c>
      <c r="AC4150">
        <v>-12.9169</v>
      </c>
      <c r="AD4150">
        <v>-1.110526987476</v>
      </c>
      <c r="AE4150">
        <v>-0.96940000000000703</v>
      </c>
      <c r="AF4150">
        <v>-0.65061899475479401</v>
      </c>
      <c r="AG4150">
        <v>-1.110526987476</v>
      </c>
      <c r="AH4150">
        <v>12.842239951672299</v>
      </c>
      <c r="AI4150">
        <v>94.936032964869199</v>
      </c>
      <c r="AJ4150">
        <v>92.900263372640097</v>
      </c>
      <c r="AK4150">
        <v>12.906575930221701</v>
      </c>
      <c r="AL4150">
        <v>88.678559663246006</v>
      </c>
      <c r="AM4150">
        <v>91.812066800701203</v>
      </c>
      <c r="AN4150">
        <v>0.99999999445140297</v>
      </c>
    </row>
    <row r="4151" spans="1:40" x14ac:dyDescent="0.3">
      <c r="A4151" t="str">
        <f>"20200111160540600"</f>
        <v>20200111160540600</v>
      </c>
      <c r="B4151" t="str">
        <f>"1578729940595773"</f>
        <v>1578729940595773</v>
      </c>
      <c r="C4151" t="s">
        <v>40</v>
      </c>
      <c r="D4151">
        <v>5.361961</v>
      </c>
      <c r="E4151">
        <v>0.49493999999999999</v>
      </c>
      <c r="F4151" t="s">
        <v>41</v>
      </c>
      <c r="G4151">
        <v>-341.89699999999999</v>
      </c>
      <c r="H4151" s="1">
        <v>-3.8981769999999998E-6</v>
      </c>
      <c r="I4151">
        <v>141.2689</v>
      </c>
      <c r="J4151">
        <v>-328.98579999999998</v>
      </c>
      <c r="K4151">
        <v>1.110557</v>
      </c>
      <c r="L4151">
        <v>142.2396</v>
      </c>
      <c r="M4151">
        <v>-0.99963369999999996</v>
      </c>
      <c r="N4151">
        <v>0</v>
      </c>
      <c r="O4151">
        <v>-2.4587299999999999E-2</v>
      </c>
      <c r="P4151">
        <v>-0.99833830000000001</v>
      </c>
      <c r="Q4151">
        <v>1.1948739999999999E-2</v>
      </c>
      <c r="R4151">
        <v>-5.637259E-2</v>
      </c>
      <c r="S4151">
        <v>-2.9954529999999999</v>
      </c>
      <c r="T4151">
        <v>-0.25353019999999998</v>
      </c>
      <c r="U4151">
        <v>-0.22283939999999999</v>
      </c>
      <c r="V4151">
        <v>-3.1829990000000002E-2</v>
      </c>
      <c r="W4151">
        <v>2.3229719999999999E-2</v>
      </c>
      <c r="X4151">
        <v>0.99922330000000004</v>
      </c>
      <c r="Y4151">
        <v>-4.955524E-2</v>
      </c>
      <c r="Z4151" s="1">
        <v>-1.655496E-5</v>
      </c>
      <c r="AA4151">
        <v>0.99877139999999998</v>
      </c>
      <c r="AB4151">
        <v>32</v>
      </c>
      <c r="AC4151">
        <v>-12.911199999999999</v>
      </c>
      <c r="AD4151">
        <v>-1.1105608981769901</v>
      </c>
      <c r="AE4151">
        <v>-0.97069999999999301</v>
      </c>
      <c r="AF4151">
        <v>-0.64816606209888905</v>
      </c>
      <c r="AG4151">
        <v>-1.1105608981769901</v>
      </c>
      <c r="AH4151">
        <v>12.836724287229099</v>
      </c>
      <c r="AI4151">
        <v>94.938335404897401</v>
      </c>
      <c r="AJ4151">
        <v>92.890586887037401</v>
      </c>
      <c r="AK4151">
        <v>12.900967218738</v>
      </c>
      <c r="AL4151">
        <v>88.668915334102707</v>
      </c>
      <c r="AM4151">
        <v>91.824524713760695</v>
      </c>
      <c r="AN4151">
        <v>0.99999998570878401</v>
      </c>
    </row>
    <row r="4152" spans="1:40" x14ac:dyDescent="0.3">
      <c r="A4152" t="str">
        <f>"20200111160540616"</f>
        <v>20200111160540616</v>
      </c>
      <c r="B4152" t="str">
        <f>"1578729940605533"</f>
        <v>1578729940605533</v>
      </c>
      <c r="C4152" t="s">
        <v>40</v>
      </c>
      <c r="D4152">
        <v>5.2969879999999998</v>
      </c>
      <c r="E4152">
        <v>0.4950734</v>
      </c>
      <c r="F4152" t="s">
        <v>41</v>
      </c>
      <c r="G4152">
        <v>-342.01420000000002</v>
      </c>
      <c r="H4152" s="1">
        <v>-3.8481709999999997E-6</v>
      </c>
      <c r="I4152">
        <v>141.26990000000001</v>
      </c>
      <c r="J4152">
        <v>-329.19779999999997</v>
      </c>
      <c r="K4152">
        <v>1.110581</v>
      </c>
      <c r="L4152">
        <v>142.23410000000001</v>
      </c>
      <c r="M4152">
        <v>-0.99962379999999995</v>
      </c>
      <c r="N4152">
        <v>0</v>
      </c>
      <c r="O4152">
        <v>-2.4886100000000001E-2</v>
      </c>
      <c r="P4152">
        <v>-0.99832920000000003</v>
      </c>
      <c r="Q4152">
        <v>1.1520229999999999E-2</v>
      </c>
      <c r="R4152">
        <v>-5.66235E-2</v>
      </c>
      <c r="S4152">
        <v>-2.9954529999999999</v>
      </c>
      <c r="T4152">
        <v>-0.25533840000000002</v>
      </c>
      <c r="U4152">
        <v>-0.22294620000000001</v>
      </c>
      <c r="V4152">
        <v>-3.1781549999999999E-2</v>
      </c>
      <c r="W4152">
        <v>2.301806E-2</v>
      </c>
      <c r="X4152">
        <v>0.9992297</v>
      </c>
      <c r="Y4152">
        <v>-4.9292830000000003E-2</v>
      </c>
      <c r="Z4152" s="1">
        <v>1.985463E-5</v>
      </c>
      <c r="AA4152">
        <v>0.99878440000000002</v>
      </c>
      <c r="AB4152">
        <v>32</v>
      </c>
      <c r="AC4152">
        <v>-12.8164</v>
      </c>
      <c r="AD4152">
        <v>-1.1105848481709999</v>
      </c>
      <c r="AE4152">
        <v>-0.96420000000000505</v>
      </c>
      <c r="AF4152">
        <v>-0.64015020906796105</v>
      </c>
      <c r="AG4152">
        <v>-1.1105848481709999</v>
      </c>
      <c r="AH4152">
        <v>12.7412933455672</v>
      </c>
      <c r="AI4152">
        <v>94.975307221126698</v>
      </c>
      <c r="AJ4152">
        <v>92.876245698563494</v>
      </c>
      <c r="AK4152">
        <v>12.805613890515099</v>
      </c>
      <c r="AL4152">
        <v>88.681045749791807</v>
      </c>
      <c r="AM4152">
        <v>91.821738299867107</v>
      </c>
      <c r="AN4152">
        <v>0.99999994568432604</v>
      </c>
    </row>
    <row r="4153" spans="1:40" x14ac:dyDescent="0.3">
      <c r="A4153" t="str">
        <f>"20200111160540631"</f>
        <v>20200111160540631</v>
      </c>
      <c r="B4153" t="str">
        <f>"1578729940626030"</f>
        <v>1578729940626030</v>
      </c>
      <c r="C4153" t="s">
        <v>40</v>
      </c>
      <c r="D4153">
        <v>5.4055260000000001</v>
      </c>
      <c r="E4153">
        <v>0.49522959999999999</v>
      </c>
      <c r="F4153" t="s">
        <v>41</v>
      </c>
      <c r="G4153">
        <v>-342.12920000000003</v>
      </c>
      <c r="H4153" s="1">
        <v>-3.7995889999999999E-6</v>
      </c>
      <c r="I4153">
        <v>141.27279999999999</v>
      </c>
      <c r="J4153">
        <v>-329.42939999999999</v>
      </c>
      <c r="K4153">
        <v>1.110603</v>
      </c>
      <c r="L4153">
        <v>142.22799999999901</v>
      </c>
      <c r="M4153">
        <v>-0.99961319999999998</v>
      </c>
      <c r="N4153">
        <v>0</v>
      </c>
      <c r="O4153">
        <v>-2.5203920000000001E-2</v>
      </c>
      <c r="P4153">
        <v>-0.99832149999999997</v>
      </c>
      <c r="Q4153">
        <v>1.124617E-2</v>
      </c>
      <c r="R4153">
        <v>-5.6812750000000002E-2</v>
      </c>
      <c r="S4153">
        <v>-2.9953919999999998</v>
      </c>
      <c r="T4153">
        <v>-0.25725239999999999</v>
      </c>
      <c r="U4153">
        <v>-0.2226563</v>
      </c>
      <c r="V4153">
        <v>-3.165246E-2</v>
      </c>
      <c r="W4153">
        <v>2.2973250000000001E-2</v>
      </c>
      <c r="X4153">
        <v>0.99923490000000004</v>
      </c>
      <c r="Y4153">
        <v>-4.8881899999999999E-2</v>
      </c>
      <c r="Z4153" s="1">
        <v>6.4790249999999999E-5</v>
      </c>
      <c r="AA4153">
        <v>0.99880460000000004</v>
      </c>
      <c r="AB4153">
        <v>32</v>
      </c>
      <c r="AC4153">
        <v>-12.6998</v>
      </c>
      <c r="AD4153">
        <v>-1.1106067995890001</v>
      </c>
      <c r="AE4153">
        <v>-0.95519999999998995</v>
      </c>
      <c r="AF4153">
        <v>-0.62999875991313203</v>
      </c>
      <c r="AG4153">
        <v>-1.1106067995890001</v>
      </c>
      <c r="AH4153">
        <v>12.6238421545847</v>
      </c>
      <c r="AI4153">
        <v>95.021544254097805</v>
      </c>
      <c r="AJ4153">
        <v>92.857002464759901</v>
      </c>
      <c r="AK4153">
        <v>12.688251914454399</v>
      </c>
      <c r="AL4153">
        <v>88.683613946683394</v>
      </c>
      <c r="AM4153">
        <v>91.814334300598702</v>
      </c>
      <c r="AN4153">
        <v>1.0000000169088099</v>
      </c>
    </row>
    <row r="4154" spans="1:40" x14ac:dyDescent="0.3">
      <c r="A4154" t="str">
        <f>"20200111160540645"</f>
        <v>20200111160540645</v>
      </c>
      <c r="B4154" t="str">
        <f>"1578729940635789"</f>
        <v>1578729940635789</v>
      </c>
      <c r="C4154" t="s">
        <v>40</v>
      </c>
      <c r="D4154">
        <v>5.3202339999999904</v>
      </c>
      <c r="E4154">
        <v>0.49529020000000001</v>
      </c>
      <c r="F4154" t="s">
        <v>41</v>
      </c>
      <c r="G4154">
        <v>-342.26769999999999</v>
      </c>
      <c r="H4154" s="1">
        <v>-3.7411769999999999E-6</v>
      </c>
      <c r="I4154">
        <v>141.2765</v>
      </c>
      <c r="J4154">
        <v>-329.6198</v>
      </c>
      <c r="K4154">
        <v>1.1106210000000001</v>
      </c>
      <c r="L4154">
        <v>142.22299999999899</v>
      </c>
      <c r="M4154">
        <v>-0.99960459999999995</v>
      </c>
      <c r="N4154">
        <v>0</v>
      </c>
      <c r="O4154">
        <v>-2.5457730000000001E-2</v>
      </c>
      <c r="P4154">
        <v>-0.99831930000000002</v>
      </c>
      <c r="Q4154">
        <v>1.076916E-2</v>
      </c>
      <c r="R4154">
        <v>-5.6944880000000003E-2</v>
      </c>
      <c r="S4154">
        <v>-2.9953310000000002</v>
      </c>
      <c r="T4154">
        <v>-0.25912059999999998</v>
      </c>
      <c r="U4154">
        <v>-0.22198490000000001</v>
      </c>
      <c r="V4154">
        <v>-3.1530219999999998E-2</v>
      </c>
      <c r="W4154">
        <v>2.2679120000000001E-2</v>
      </c>
      <c r="X4154">
        <v>0.99924550000000001</v>
      </c>
      <c r="Y4154">
        <v>-4.8408519999999997E-2</v>
      </c>
      <c r="Z4154">
        <v>1.075487E-4</v>
      </c>
      <c r="AA4154">
        <v>0.99882760000000004</v>
      </c>
      <c r="AB4154">
        <v>32</v>
      </c>
      <c r="AC4154">
        <v>-12.6478999999999</v>
      </c>
      <c r="AD4154">
        <v>-1.1106247411769901</v>
      </c>
      <c r="AE4154">
        <v>-0.94649999999998602</v>
      </c>
      <c r="AF4154">
        <v>-0.61943370768094397</v>
      </c>
      <c r="AG4154">
        <v>-1.1106247411769901</v>
      </c>
      <c r="AH4154">
        <v>12.5715015445519</v>
      </c>
      <c r="AI4154">
        <v>95.042581584291</v>
      </c>
      <c r="AJ4154">
        <v>92.820844986897001</v>
      </c>
      <c r="AK4154">
        <v>12.6356573441431</v>
      </c>
      <c r="AL4154">
        <v>88.700470767405804</v>
      </c>
      <c r="AM4154">
        <v>91.807312941301603</v>
      </c>
      <c r="AN4154">
        <v>1.00000003326373</v>
      </c>
    </row>
    <row r="4155" spans="1:40" x14ac:dyDescent="0.3">
      <c r="A4155" t="str">
        <f>"20200111160540660"</f>
        <v>20200111160540660</v>
      </c>
      <c r="B4155" t="str">
        <f>"1578729940656286"</f>
        <v>1578729940656286</v>
      </c>
      <c r="C4155" t="s">
        <v>40</v>
      </c>
      <c r="D4155">
        <v>5.7500159999999996</v>
      </c>
      <c r="E4155">
        <v>0.49526819999999999</v>
      </c>
      <c r="F4155" t="s">
        <v>41</v>
      </c>
      <c r="G4155">
        <v>-342.32679999999999</v>
      </c>
      <c r="H4155" s="1">
        <v>-3.7171119999999999E-6</v>
      </c>
      <c r="I4155">
        <v>141.28129999999999</v>
      </c>
      <c r="J4155">
        <v>-329.82889999999998</v>
      </c>
      <c r="K4155">
        <v>1.110635</v>
      </c>
      <c r="L4155">
        <v>142.2174</v>
      </c>
      <c r="M4155">
        <v>-0.99959560000000003</v>
      </c>
      <c r="N4155">
        <v>0</v>
      </c>
      <c r="O4155">
        <v>-2.5722910000000002E-2</v>
      </c>
      <c r="P4155">
        <v>-0.99834120000000004</v>
      </c>
      <c r="Q4155">
        <v>1.0555470000000001E-2</v>
      </c>
      <c r="R4155">
        <v>-5.6603720000000003E-2</v>
      </c>
      <c r="S4155">
        <v>-2.995209</v>
      </c>
      <c r="T4155">
        <v>-0.26179180000000002</v>
      </c>
      <c r="U4155">
        <v>-0.2219391</v>
      </c>
      <c r="V4155">
        <v>-3.092176E-2</v>
      </c>
      <c r="W4155">
        <v>2.265671E-2</v>
      </c>
      <c r="X4155">
        <v>0.99926499999999996</v>
      </c>
      <c r="Y4155">
        <v>-4.8131599999999997E-2</v>
      </c>
      <c r="Z4155">
        <v>1.43812E-4</v>
      </c>
      <c r="AA4155">
        <v>0.99884099999999998</v>
      </c>
      <c r="AB4155">
        <v>32</v>
      </c>
      <c r="AC4155">
        <v>-12.4979</v>
      </c>
      <c r="AD4155">
        <v>-1.110638717112</v>
      </c>
      <c r="AE4155">
        <v>-0.93610000000001004</v>
      </c>
      <c r="AF4155">
        <v>-0.60949777062985699</v>
      </c>
      <c r="AG4155">
        <v>-1.110638717112</v>
      </c>
      <c r="AH4155">
        <v>12.420306876906199</v>
      </c>
      <c r="AI4155">
        <v>95.103757334682001</v>
      </c>
      <c r="AJ4155">
        <v>92.809403883731804</v>
      </c>
      <c r="AK4155">
        <v>12.484751852114499</v>
      </c>
      <c r="AL4155">
        <v>88.701755066865204</v>
      </c>
      <c r="AM4155">
        <v>91.7724238993206</v>
      </c>
      <c r="AN4155">
        <v>1.00000001098726</v>
      </c>
    </row>
    <row r="4156" spans="1:40" x14ac:dyDescent="0.3">
      <c r="A4156" t="str">
        <f>"20200111160540675"</f>
        <v>20200111160540675</v>
      </c>
      <c r="B4156" t="str">
        <f>"1578729940666045"</f>
        <v>1578729940666045</v>
      </c>
      <c r="C4156" t="s">
        <v>40</v>
      </c>
      <c r="D4156">
        <v>5.3182479999999996</v>
      </c>
      <c r="E4156">
        <v>0.4464224</v>
      </c>
      <c r="F4156" t="s">
        <v>41</v>
      </c>
      <c r="G4156">
        <v>-342.49220000000003</v>
      </c>
      <c r="H4156" s="1">
        <v>-3.6460879999999998E-6</v>
      </c>
      <c r="I4156">
        <v>141.28110000000001</v>
      </c>
      <c r="J4156">
        <v>-330.05160000000001</v>
      </c>
      <c r="K4156">
        <v>1.110643</v>
      </c>
      <c r="L4156">
        <v>142.21129999999999</v>
      </c>
      <c r="M4156">
        <v>-0.99958619999999998</v>
      </c>
      <c r="N4156">
        <v>0</v>
      </c>
      <c r="O4156">
        <v>-2.599286E-2</v>
      </c>
      <c r="P4156">
        <v>-0.99835439999999998</v>
      </c>
      <c r="Q4156">
        <v>1.048777E-2</v>
      </c>
      <c r="R4156">
        <v>-5.6380909999999999E-2</v>
      </c>
      <c r="S4156">
        <v>-2.995209</v>
      </c>
      <c r="T4156">
        <v>-0.26269700000000001</v>
      </c>
      <c r="U4156">
        <v>-0.22142029999999999</v>
      </c>
      <c r="V4156">
        <v>-3.0428980000000001E-2</v>
      </c>
      <c r="W4156">
        <v>2.2782090000000001E-2</v>
      </c>
      <c r="X4156">
        <v>0.99927730000000003</v>
      </c>
      <c r="Y4156">
        <v>-4.7691829999999998E-2</v>
      </c>
      <c r="Z4156">
        <v>1.8712040000000001E-4</v>
      </c>
      <c r="AA4156">
        <v>0.99886209999999997</v>
      </c>
      <c r="AB4156">
        <v>32</v>
      </c>
      <c r="AC4156">
        <v>-12.4406</v>
      </c>
      <c r="AD4156">
        <v>-1.110646646088</v>
      </c>
      <c r="AE4156">
        <v>-0.93019999999998404</v>
      </c>
      <c r="AF4156">
        <v>-0.60172513812070005</v>
      </c>
      <c r="AG4156">
        <v>-1.110646646088</v>
      </c>
      <c r="AH4156">
        <v>12.362591920601799</v>
      </c>
      <c r="AI4156">
        <v>95.127593372804</v>
      </c>
      <c r="AJ4156">
        <v>92.786561599660203</v>
      </c>
      <c r="AK4156">
        <v>12.426958119734801</v>
      </c>
      <c r="AL4156">
        <v>88.694569497897504</v>
      </c>
      <c r="AM4156">
        <v>91.744174063774096</v>
      </c>
      <c r="AN4156">
        <v>1.00000003437194</v>
      </c>
    </row>
    <row r="4157" spans="1:40" x14ac:dyDescent="0.3">
      <c r="A4157" t="str">
        <f>"20200111160540694"</f>
        <v>20200111160540694</v>
      </c>
      <c r="B4157" t="str">
        <f>"1578729940685566"</f>
        <v>1578729940685566</v>
      </c>
      <c r="C4157" t="s">
        <v>40</v>
      </c>
      <c r="D4157">
        <v>5.1870570000000003</v>
      </c>
      <c r="E4157">
        <v>0.43297350000000001</v>
      </c>
      <c r="F4157" t="s">
        <v>41</v>
      </c>
      <c r="G4157">
        <v>-348.20310000000001</v>
      </c>
      <c r="H4157" s="1">
        <v>-9.4967920000000003E-7</v>
      </c>
      <c r="I4157">
        <v>138.5086</v>
      </c>
      <c r="J4157">
        <v>-330.3175</v>
      </c>
      <c r="K4157">
        <v>1.1106480000000001</v>
      </c>
      <c r="L4157">
        <v>142.20410000000001</v>
      </c>
      <c r="M4157">
        <v>-0.9995754</v>
      </c>
      <c r="N4157">
        <v>0</v>
      </c>
      <c r="O4157">
        <v>-2.6299759999999998E-2</v>
      </c>
      <c r="P4157">
        <v>-0.99840359999999995</v>
      </c>
      <c r="Q4157">
        <v>1.006521E-2</v>
      </c>
      <c r="R4157">
        <v>-5.5578530000000001E-2</v>
      </c>
      <c r="S4157">
        <v>-2.9725950000000001</v>
      </c>
      <c r="T4157">
        <v>-0.18188679999999999</v>
      </c>
      <c r="U4157">
        <v>-0.60636899999999905</v>
      </c>
      <c r="V4157">
        <v>-2.9317929999999999E-2</v>
      </c>
      <c r="W4157">
        <v>2.25752E-2</v>
      </c>
      <c r="X4157">
        <v>0.99931519999999996</v>
      </c>
      <c r="Y4157">
        <v>-0.1737658</v>
      </c>
      <c r="Z4157">
        <v>-3.6669150000000002E-3</v>
      </c>
      <c r="AA4157">
        <v>0.98478019999999999</v>
      </c>
      <c r="AB4157">
        <v>32</v>
      </c>
      <c r="AC4157">
        <v>-17.8856</v>
      </c>
      <c r="AD4157">
        <v>-1.11064894967919</v>
      </c>
      <c r="AE4157">
        <v>-3.6955</v>
      </c>
      <c r="AF4157">
        <v>-3.21191920128669</v>
      </c>
      <c r="AG4157">
        <v>-1.11064894967919</v>
      </c>
      <c r="AH4157">
        <v>17.910374618139599</v>
      </c>
      <c r="AI4157">
        <v>93.492872496602402</v>
      </c>
      <c r="AJ4157">
        <v>100.166946255371</v>
      </c>
      <c r="AK4157">
        <v>18.229961190499399</v>
      </c>
      <c r="AL4157">
        <v>88.706426458503799</v>
      </c>
      <c r="AM4157">
        <v>91.680462738987899</v>
      </c>
      <c r="AN4157">
        <v>1.0000000248127801</v>
      </c>
    </row>
    <row r="4158" spans="1:40" x14ac:dyDescent="0.3">
      <c r="A4158" t="str">
        <f>"20200111160540709"</f>
        <v>20200111160540709</v>
      </c>
      <c r="B4158" t="str">
        <f>"1578729940706062"</f>
        <v>1578729940706062</v>
      </c>
      <c r="C4158" t="s">
        <v>40</v>
      </c>
      <c r="D4158">
        <v>5.0299110000000002</v>
      </c>
      <c r="E4158">
        <v>0.42164430000000003</v>
      </c>
      <c r="F4158" t="s">
        <v>41</v>
      </c>
      <c r="G4158">
        <v>-350.12299999999999</v>
      </c>
      <c r="H4158" s="1">
        <v>-4.601748E-6</v>
      </c>
      <c r="I4158">
        <v>137.4614</v>
      </c>
      <c r="J4158">
        <v>-330.5249</v>
      </c>
      <c r="K4158">
        <v>1.1106510000000001</v>
      </c>
      <c r="L4158">
        <v>142.19839999999999</v>
      </c>
      <c r="M4158">
        <v>-0.9995676</v>
      </c>
      <c r="N4158">
        <v>0</v>
      </c>
      <c r="O4158">
        <v>-2.6528360000000001E-2</v>
      </c>
      <c r="P4158">
        <v>-0.99842889999999995</v>
      </c>
      <c r="Q4158">
        <v>1.028076E-2</v>
      </c>
      <c r="R4158">
        <v>-5.5085019999999998E-2</v>
      </c>
      <c r="S4158">
        <v>-2.9669189999999999</v>
      </c>
      <c r="T4158">
        <v>-0.1663791</v>
      </c>
      <c r="U4158">
        <v>-0.710449199999999</v>
      </c>
      <c r="V4158">
        <v>-2.8594330000000001E-2</v>
      </c>
      <c r="W4158">
        <v>2.2947510000000001E-2</v>
      </c>
      <c r="X4158">
        <v>0.99932770000000004</v>
      </c>
      <c r="Y4158">
        <v>-0.20672309999999999</v>
      </c>
      <c r="Z4158">
        <v>-4.2465619999999997E-3</v>
      </c>
      <c r="AA4158">
        <v>0.97839030000000005</v>
      </c>
      <c r="AB4158">
        <v>32</v>
      </c>
      <c r="AC4158">
        <v>-19.598099999999999</v>
      </c>
      <c r="AD4158">
        <v>-1.110655601748</v>
      </c>
      <c r="AE4158">
        <v>-4.7369999999999903</v>
      </c>
      <c r="AF4158">
        <v>-4.2026328826570998</v>
      </c>
      <c r="AG4158">
        <v>-1.110655601748</v>
      </c>
      <c r="AH4158">
        <v>19.6572287404245</v>
      </c>
      <c r="AI4158">
        <v>93.162518275733007</v>
      </c>
      <c r="AJ4158">
        <v>102.067916534484</v>
      </c>
      <c r="AK4158">
        <v>20.132121616100299</v>
      </c>
      <c r="AL4158">
        <v>88.685089156596206</v>
      </c>
      <c r="AM4158">
        <v>91.638989417865901</v>
      </c>
      <c r="AN4158">
        <v>1.00000003795531</v>
      </c>
    </row>
    <row r="4159" spans="1:40" x14ac:dyDescent="0.3">
      <c r="A4159" t="str">
        <f>"20200111160540722"</f>
        <v>20200111160540722</v>
      </c>
      <c r="B4159" t="str">
        <f>"1578729940706062"</f>
        <v>1578729940706062</v>
      </c>
      <c r="C4159" t="s">
        <v>40</v>
      </c>
      <c r="D4159">
        <v>5.0299110000000002</v>
      </c>
      <c r="E4159">
        <v>0.42164430000000003</v>
      </c>
      <c r="F4159" t="s">
        <v>41</v>
      </c>
      <c r="G4159">
        <v>-350.964</v>
      </c>
      <c r="H4159" s="1">
        <v>-4.3785919999999997E-6</v>
      </c>
      <c r="I4159">
        <v>136.68549999999999</v>
      </c>
      <c r="J4159">
        <v>-330.71379999999999</v>
      </c>
      <c r="K4159">
        <v>1.110649</v>
      </c>
      <c r="L4159">
        <v>142.19319999999999</v>
      </c>
      <c r="M4159">
        <v>-0.99956049999999996</v>
      </c>
      <c r="N4159">
        <v>0</v>
      </c>
      <c r="O4159">
        <v>-2.672919E-2</v>
      </c>
      <c r="P4159">
        <v>-0.99844189999999999</v>
      </c>
      <c r="Q4159">
        <v>1.022896E-2</v>
      </c>
      <c r="R4159">
        <v>-5.4858919999999999E-2</v>
      </c>
      <c r="S4159">
        <v>-2.9623110000000001</v>
      </c>
      <c r="T4159">
        <v>-0.16097120000000001</v>
      </c>
      <c r="U4159">
        <v>-0.79899600000000004</v>
      </c>
      <c r="V4159">
        <v>-2.8166839999999999E-2</v>
      </c>
      <c r="W4159">
        <v>2.3029979999999999E-2</v>
      </c>
      <c r="X4159">
        <v>0.9993379</v>
      </c>
      <c r="Y4159">
        <v>-0.2342273</v>
      </c>
      <c r="Z4159">
        <v>-4.8231460000000004E-3</v>
      </c>
      <c r="AA4159">
        <v>0.97216990000000003</v>
      </c>
      <c r="AB4159">
        <v>32</v>
      </c>
      <c r="AC4159">
        <v>-20.2502</v>
      </c>
      <c r="AD4159">
        <v>-1.1106533785920001</v>
      </c>
      <c r="AE4159">
        <v>-5.5076999999999998</v>
      </c>
      <c r="AF4159">
        <v>-4.9505496936604496</v>
      </c>
      <c r="AG4159">
        <v>-1.1106533785920001</v>
      </c>
      <c r="AH4159">
        <v>20.3332398292394</v>
      </c>
      <c r="AI4159">
        <v>93.0379621248115</v>
      </c>
      <c r="AJ4159">
        <v>103.68361493718599</v>
      </c>
      <c r="AK4159">
        <v>20.956672807250399</v>
      </c>
      <c r="AL4159">
        <v>88.680362667551705</v>
      </c>
      <c r="AM4159">
        <v>91.614482849685004</v>
      </c>
      <c r="AN4159">
        <v>0.99999999461539701</v>
      </c>
    </row>
    <row r="4160" spans="1:40" x14ac:dyDescent="0.3">
      <c r="A4160" t="str">
        <f>"20200111160540923"</f>
        <v>20200111160540923</v>
      </c>
      <c r="B4160" t="str">
        <f>"1578729940915901"</f>
        <v>1578729940915901</v>
      </c>
      <c r="C4160" t="s">
        <v>40</v>
      </c>
      <c r="D4160">
        <v>5.0631259999999996</v>
      </c>
      <c r="E4160">
        <v>0.41845209999999999</v>
      </c>
      <c r="F4160" t="s">
        <v>41</v>
      </c>
      <c r="G4160">
        <v>-351.09429999999998</v>
      </c>
      <c r="H4160" s="1">
        <v>-4.3198209999999996E-6</v>
      </c>
      <c r="I4160">
        <v>136.70169999999999</v>
      </c>
      <c r="J4160">
        <v>-333.5453</v>
      </c>
      <c r="K4160">
        <v>1.110463</v>
      </c>
      <c r="L4160">
        <v>142.11199999999999</v>
      </c>
      <c r="M4160">
        <v>-0.99949219999999905</v>
      </c>
      <c r="N4160">
        <v>0</v>
      </c>
      <c r="O4160">
        <v>-2.8656170000000002E-2</v>
      </c>
      <c r="P4160">
        <v>-0.99712469999999997</v>
      </c>
      <c r="Q4160">
        <v>3.0965540000000001E-3</v>
      </c>
      <c r="R4160">
        <v>-7.5719030000000007E-2</v>
      </c>
      <c r="S4160">
        <v>-2.9624630000000001</v>
      </c>
      <c r="T4160">
        <v>-0.16144259999999999</v>
      </c>
      <c r="U4160">
        <v>-0.79821779999999998</v>
      </c>
      <c r="V4160">
        <v>-4.7114709999999997E-2</v>
      </c>
      <c r="W4160">
        <v>1.7014459999999999E-2</v>
      </c>
      <c r="X4160">
        <v>0.99874450000000004</v>
      </c>
      <c r="Y4160">
        <v>-0.23210549999999999</v>
      </c>
      <c r="Z4160">
        <v>-4.6774980000000004E-3</v>
      </c>
      <c r="AA4160">
        <v>0.97267939999999997</v>
      </c>
      <c r="AB4160">
        <v>31</v>
      </c>
      <c r="AC4160">
        <v>-17.5489999999999</v>
      </c>
      <c r="AD4160">
        <v>-1.110467319821</v>
      </c>
      <c r="AE4160">
        <v>-5.4103000000000003</v>
      </c>
      <c r="AF4160">
        <v>-4.8872710941592503</v>
      </c>
      <c r="AG4160">
        <v>-1.110467319821</v>
      </c>
      <c r="AH4160">
        <v>17.632371211036599</v>
      </c>
      <c r="AI4160">
        <v>93.473061242427207</v>
      </c>
      <c r="AJ4160">
        <v>105.49209950207</v>
      </c>
      <c r="AK4160">
        <v>18.330822974978201</v>
      </c>
      <c r="AL4160">
        <v>89.025096143377198</v>
      </c>
      <c r="AM4160">
        <v>92.700865189584306</v>
      </c>
      <c r="AN4160">
        <v>0.99999993201385995</v>
      </c>
    </row>
    <row r="4161" spans="1:40" x14ac:dyDescent="0.3">
      <c r="A4161" t="str">
        <f>"20200111160540941"</f>
        <v>20200111160540941</v>
      </c>
      <c r="B4161" t="str">
        <f>"1578729940935421"</f>
        <v>1578729940935421</v>
      </c>
      <c r="C4161" t="s">
        <v>40</v>
      </c>
      <c r="D4161">
        <v>5.0477670000000003</v>
      </c>
      <c r="E4161">
        <v>0.41614489999999998</v>
      </c>
      <c r="F4161" t="s">
        <v>41</v>
      </c>
      <c r="G4161">
        <v>-351.8827</v>
      </c>
      <c r="H4161" s="1">
        <v>-3.998635E-6</v>
      </c>
      <c r="I4161">
        <v>136.60579999999999</v>
      </c>
      <c r="J4161">
        <v>-333.77670000000001</v>
      </c>
      <c r="K4161">
        <v>1.1104449999999999</v>
      </c>
      <c r="L4161">
        <v>142.1053</v>
      </c>
      <c r="M4161">
        <v>-0.99949060000000001</v>
      </c>
      <c r="N4161">
        <v>0</v>
      </c>
      <c r="O4161">
        <v>-2.8690259999999999E-2</v>
      </c>
      <c r="P4161">
        <v>-0.9970291</v>
      </c>
      <c r="Q4161">
        <v>4.3998550000000003E-3</v>
      </c>
      <c r="R4161">
        <v>-7.6902369999999998E-2</v>
      </c>
      <c r="S4161">
        <v>-2.9421390000000001</v>
      </c>
      <c r="T4161">
        <v>-0.17816940000000001</v>
      </c>
      <c r="U4161">
        <v>-0.883438099999999</v>
      </c>
      <c r="V4161">
        <v>-4.8265080000000002E-2</v>
      </c>
      <c r="W4161">
        <v>1.836084E-2</v>
      </c>
      <c r="X4161">
        <v>0.99866580000000005</v>
      </c>
      <c r="Y4161">
        <v>-0.25959919999999997</v>
      </c>
      <c r="Z4161">
        <v>-5.9874899999999998E-3</v>
      </c>
      <c r="AA4161">
        <v>0.9656979</v>
      </c>
      <c r="AB4161">
        <v>31</v>
      </c>
      <c r="AC4161">
        <v>-18.105999999999899</v>
      </c>
      <c r="AD4161">
        <v>-1.1104489986349999</v>
      </c>
      <c r="AE4161">
        <v>-5.49950000000001</v>
      </c>
      <c r="AF4161">
        <v>-4.9606360612921296</v>
      </c>
      <c r="AG4161">
        <v>-1.1104489986349999</v>
      </c>
      <c r="AH4161">
        <v>18.193688829381401</v>
      </c>
      <c r="AI4161">
        <v>93.369985479590497</v>
      </c>
      <c r="AJ4161">
        <v>105.251369427965</v>
      </c>
      <c r="AK4161">
        <v>18.8905087367047</v>
      </c>
      <c r="AL4161">
        <v>88.947942252064607</v>
      </c>
      <c r="AM4161">
        <v>92.766926948461702</v>
      </c>
      <c r="AN4161">
        <v>1.00000000924127</v>
      </c>
    </row>
    <row r="4162" spans="1:40" x14ac:dyDescent="0.3">
      <c r="A4162" t="str">
        <f>"20200111160540962"</f>
        <v>20200111160540962</v>
      </c>
      <c r="B4162" t="str">
        <f>"1578729940955917"</f>
        <v>1578729940955917</v>
      </c>
      <c r="C4162" t="s">
        <v>40</v>
      </c>
      <c r="D4162">
        <v>5.0686220000000004</v>
      </c>
      <c r="E4162">
        <v>0.4130683</v>
      </c>
      <c r="F4162" t="s">
        <v>41</v>
      </c>
      <c r="G4162">
        <v>-353.45839999999998</v>
      </c>
      <c r="H4162" s="1">
        <v>-3.4215720000000001E-6</v>
      </c>
      <c r="I4162">
        <v>136.04810000000001</v>
      </c>
      <c r="J4162">
        <v>-334.09539999999998</v>
      </c>
      <c r="K4162">
        <v>1.110425</v>
      </c>
      <c r="L4162">
        <v>142.09610000000001</v>
      </c>
      <c r="M4162">
        <v>-0.99948910000000002</v>
      </c>
      <c r="N4162">
        <v>0</v>
      </c>
      <c r="O4162">
        <v>-2.8716970000000001E-2</v>
      </c>
      <c r="P4162">
        <v>-0.99692950000000002</v>
      </c>
      <c r="Q4162">
        <v>5.4197069999999898E-3</v>
      </c>
      <c r="R4162">
        <v>-7.8116720000000001E-2</v>
      </c>
      <c r="S4162">
        <v>-2.93988</v>
      </c>
      <c r="T4162">
        <v>-0.16586979999999901</v>
      </c>
      <c r="U4162">
        <v>-0.90475459999999996</v>
      </c>
      <c r="V4162">
        <v>-4.9454070000000003E-2</v>
      </c>
      <c r="W4162">
        <v>1.9433530000000001E-2</v>
      </c>
      <c r="X4162">
        <v>0.99858729999999996</v>
      </c>
      <c r="Y4162">
        <v>-0.26622309999999999</v>
      </c>
      <c r="Z4162">
        <v>-5.75422E-3</v>
      </c>
      <c r="AA4162">
        <v>0.96389420000000003</v>
      </c>
      <c r="AB4162">
        <v>31</v>
      </c>
      <c r="AC4162">
        <v>-19.363</v>
      </c>
      <c r="AD4162">
        <v>-1.1104284215719999</v>
      </c>
      <c r="AE4162">
        <v>-6.048</v>
      </c>
      <c r="AF4162">
        <v>-5.4730041933328204</v>
      </c>
      <c r="AG4162">
        <v>-1.1104284215719999</v>
      </c>
      <c r="AH4162">
        <v>19.470368146235501</v>
      </c>
      <c r="AI4162">
        <v>93.142604392139404</v>
      </c>
      <c r="AJ4162">
        <v>105.700355989206</v>
      </c>
      <c r="AK4162">
        <v>20.255420556720502</v>
      </c>
      <c r="AL4162">
        <v>88.886470632134404</v>
      </c>
      <c r="AM4162">
        <v>92.835201666502698</v>
      </c>
      <c r="AN4162">
        <v>0.99999998142455704</v>
      </c>
    </row>
    <row r="4163" spans="1:40" x14ac:dyDescent="0.3">
      <c r="A4163" t="str">
        <f>"20200111160540985"</f>
        <v>20200111160540985</v>
      </c>
      <c r="B4163" t="str">
        <f>"1578729940975437"</f>
        <v>1578729940975437</v>
      </c>
      <c r="C4163" t="s">
        <v>40</v>
      </c>
      <c r="D4163">
        <v>5.0942030000000003</v>
      </c>
      <c r="E4163">
        <v>0.41153990000000001</v>
      </c>
      <c r="F4163" t="s">
        <v>41</v>
      </c>
      <c r="G4163">
        <v>-354.77050000000003</v>
      </c>
      <c r="H4163" s="1">
        <v>-2.9503750000000001E-6</v>
      </c>
      <c r="I4163">
        <v>135.53120000000001</v>
      </c>
      <c r="J4163">
        <v>-334.4042</v>
      </c>
      <c r="K4163">
        <v>1.1104179999999999</v>
      </c>
      <c r="L4163">
        <v>142.0872</v>
      </c>
      <c r="M4163">
        <v>-0.99948840000000005</v>
      </c>
      <c r="N4163">
        <v>0</v>
      </c>
      <c r="O4163">
        <v>-2.872005E-2</v>
      </c>
      <c r="P4163">
        <v>-0.99693509999999996</v>
      </c>
      <c r="Q4163">
        <v>6.0419119999999896E-3</v>
      </c>
      <c r="R4163">
        <v>-7.7999349999999995E-2</v>
      </c>
      <c r="S4163">
        <v>-2.9370419999999999</v>
      </c>
      <c r="T4163">
        <v>-0.15774449999999901</v>
      </c>
      <c r="U4163">
        <v>-0.93257140000000005</v>
      </c>
      <c r="V4163">
        <v>-4.933295E-2</v>
      </c>
      <c r="W4163">
        <v>2.0099539999999999E-2</v>
      </c>
      <c r="X4163">
        <v>0.99858009999999997</v>
      </c>
      <c r="Y4163">
        <v>-0.27480900000000003</v>
      </c>
      <c r="Z4163">
        <v>-5.695004E-3</v>
      </c>
      <c r="AA4163">
        <v>0.96148199999999995</v>
      </c>
      <c r="AB4163">
        <v>31</v>
      </c>
      <c r="AC4163">
        <v>-20.366299999999999</v>
      </c>
      <c r="AD4163">
        <v>-1.110420950375</v>
      </c>
      <c r="AE4163">
        <v>-6.5559999999999796</v>
      </c>
      <c r="AF4163">
        <v>-5.95228300407961</v>
      </c>
      <c r="AG4163">
        <v>-1.110420950375</v>
      </c>
      <c r="AH4163">
        <v>20.491010163926099</v>
      </c>
      <c r="AI4163">
        <v>92.978959140108003</v>
      </c>
      <c r="AJ4163">
        <v>106.197664442644</v>
      </c>
      <c r="AK4163">
        <v>21.366895075930199</v>
      </c>
      <c r="AL4163">
        <v>88.848303602852098</v>
      </c>
      <c r="AM4163">
        <v>92.828289504835993</v>
      </c>
      <c r="AN4163">
        <v>0.99999997378996097</v>
      </c>
    </row>
    <row r="4164" spans="1:40" x14ac:dyDescent="0.3">
      <c r="A4164" t="str">
        <f>"20200111160541000"</f>
        <v>20200111160541000</v>
      </c>
      <c r="B4164" t="str">
        <f>"1578729940995933"</f>
        <v>1578729940995933</v>
      </c>
      <c r="C4164" t="s">
        <v>40</v>
      </c>
      <c r="D4164">
        <v>5.0661620000000003</v>
      </c>
      <c r="E4164">
        <v>0.41086909999999999</v>
      </c>
      <c r="F4164" t="s">
        <v>41</v>
      </c>
      <c r="G4164">
        <v>-355.69299999999998</v>
      </c>
      <c r="H4164" s="1">
        <v>-2.6162160000000001E-6</v>
      </c>
      <c r="I4164">
        <v>135.2398</v>
      </c>
      <c r="J4164">
        <v>-334.62099999999998</v>
      </c>
      <c r="K4164">
        <v>1.110412</v>
      </c>
      <c r="L4164">
        <v>142.08090000000001</v>
      </c>
      <c r="M4164">
        <v>-0.9994885</v>
      </c>
      <c r="N4164">
        <v>0</v>
      </c>
      <c r="O4164">
        <v>-2.8707880000000002E-2</v>
      </c>
      <c r="P4164">
        <v>-0.996923</v>
      </c>
      <c r="Q4164">
        <v>6.5066639999999997E-3</v>
      </c>
      <c r="R4164">
        <v>-7.8117199999999998E-2</v>
      </c>
      <c r="S4164">
        <v>-2.9362490000000001</v>
      </c>
      <c r="T4164">
        <v>-0.15315429999999999</v>
      </c>
      <c r="U4164">
        <v>-0.94441220000000003</v>
      </c>
      <c r="V4164">
        <v>-4.9462440000000003E-2</v>
      </c>
      <c r="W4164">
        <v>2.0591060000000001E-2</v>
      </c>
      <c r="X4164">
        <v>0.99856369999999905</v>
      </c>
      <c r="Y4164">
        <v>-0.2784258</v>
      </c>
      <c r="Z4164">
        <v>-5.6201990000000002E-3</v>
      </c>
      <c r="AA4164">
        <v>0.96044130000000005</v>
      </c>
      <c r="AB4164">
        <v>31</v>
      </c>
      <c r="AC4164">
        <v>-21.071999999999999</v>
      </c>
      <c r="AD4164">
        <v>-1.110414616216</v>
      </c>
      <c r="AE4164">
        <v>-6.8411000000000097</v>
      </c>
      <c r="AF4164">
        <v>-6.2176678217107204</v>
      </c>
      <c r="AG4164">
        <v>-1.110414616216</v>
      </c>
      <c r="AH4164">
        <v>21.206453269406801</v>
      </c>
      <c r="AI4164">
        <v>92.876516433888</v>
      </c>
      <c r="AJ4164">
        <v>106.340977192761</v>
      </c>
      <c r="AK4164">
        <v>22.1270439514314</v>
      </c>
      <c r="AL4164">
        <v>88.820135773562797</v>
      </c>
      <c r="AM4164">
        <v>92.835747644375104</v>
      </c>
      <c r="AN4164">
        <v>0.99999999384018301</v>
      </c>
    </row>
    <row r="4165" spans="1:40" x14ac:dyDescent="0.3">
      <c r="A4165" t="str">
        <f>"20200111160541014"</f>
        <v>20200111160541014</v>
      </c>
      <c r="B4165" t="str">
        <f>"1578729941005694"</f>
        <v>1578729941005694</v>
      </c>
      <c r="C4165" t="s">
        <v>40</v>
      </c>
      <c r="D4165">
        <v>7.2144130000000004</v>
      </c>
      <c r="E4165">
        <v>0.41086909999999999</v>
      </c>
      <c r="F4165" t="s">
        <v>41</v>
      </c>
      <c r="G4165">
        <v>-356.09550000000002</v>
      </c>
      <c r="H4165" s="1">
        <v>-2.5076820000000001E-6</v>
      </c>
      <c r="I4165">
        <v>135.13290000000001</v>
      </c>
      <c r="J4165">
        <v>-334.8168</v>
      </c>
      <c r="K4165">
        <v>1.1104050000000001</v>
      </c>
      <c r="L4165">
        <v>142.0753</v>
      </c>
      <c r="M4165">
        <v>-0.99948870000000001</v>
      </c>
      <c r="N4165">
        <v>0</v>
      </c>
      <c r="O4165">
        <v>-2.8689619999999999E-2</v>
      </c>
      <c r="P4165">
        <v>-0.99696640000000003</v>
      </c>
      <c r="Q4165">
        <v>6.8469109999999998E-3</v>
      </c>
      <c r="R4165">
        <v>-7.7532340000000005E-2</v>
      </c>
      <c r="S4165">
        <v>-2.9358520000000001</v>
      </c>
      <c r="T4165">
        <v>-0.1518089</v>
      </c>
      <c r="U4165">
        <v>-0.94987489999999997</v>
      </c>
      <c r="V4165">
        <v>-4.88945E-2</v>
      </c>
      <c r="W4165">
        <v>2.095385E-2</v>
      </c>
      <c r="X4165">
        <v>0.99858420000000003</v>
      </c>
      <c r="Y4165">
        <v>-0.28010289999999999</v>
      </c>
      <c r="Z4165">
        <v>-5.6132339999999999E-3</v>
      </c>
      <c r="AA4165">
        <v>0.95995350000000002</v>
      </c>
      <c r="AB4165">
        <v>31</v>
      </c>
      <c r="AC4165">
        <v>-21.278700000000001</v>
      </c>
      <c r="AD4165">
        <v>-1.1104075076819999</v>
      </c>
      <c r="AE4165">
        <v>-6.9423999999999904</v>
      </c>
      <c r="AF4165">
        <v>-6.3134644650246097</v>
      </c>
      <c r="AG4165">
        <v>-1.1104075076819999</v>
      </c>
      <c r="AH4165">
        <v>21.416424127542601</v>
      </c>
      <c r="AI4165">
        <v>92.847113178982099</v>
      </c>
      <c r="AJ4165">
        <v>106.42527723132299</v>
      </c>
      <c r="AK4165">
        <v>22.355224463087701</v>
      </c>
      <c r="AL4165">
        <v>88.799345043145294</v>
      </c>
      <c r="AM4165">
        <v>92.803181667805106</v>
      </c>
      <c r="AN4165">
        <v>1.0000000702248499</v>
      </c>
    </row>
    <row r="4166" spans="1:40" x14ac:dyDescent="0.3">
      <c r="A4166" t="str">
        <f>"20200111160541029"</f>
        <v>20200111160541029</v>
      </c>
      <c r="B4166" t="str">
        <f>"1578729941025601"</f>
        <v>1578729941025601</v>
      </c>
      <c r="C4166" t="s">
        <v>40</v>
      </c>
      <c r="D4166">
        <v>5.0447930000000003</v>
      </c>
      <c r="E4166">
        <v>0.41087509999999999</v>
      </c>
      <c r="F4166" t="s">
        <v>41</v>
      </c>
      <c r="G4166">
        <v>-356.42500000000001</v>
      </c>
      <c r="H4166" s="1">
        <v>-2.405174E-6</v>
      </c>
      <c r="I4166">
        <v>135.0967</v>
      </c>
      <c r="J4166">
        <v>-335.02109999999999</v>
      </c>
      <c r="K4166">
        <v>1.1103959999999999</v>
      </c>
      <c r="L4166">
        <v>142.0694</v>
      </c>
      <c r="M4166">
        <v>-0.99948910000000002</v>
      </c>
      <c r="N4166">
        <v>0</v>
      </c>
      <c r="O4166">
        <v>-2.8663580000000001E-2</v>
      </c>
      <c r="P4166">
        <v>-0.99701079999999997</v>
      </c>
      <c r="Q4166">
        <v>7.5800679999999997E-3</v>
      </c>
      <c r="R4166">
        <v>-7.6890799999999995E-2</v>
      </c>
      <c r="S4166">
        <v>-2.936401</v>
      </c>
      <c r="T4166">
        <v>-0.15089649999999999</v>
      </c>
      <c r="U4166">
        <v>-0.94833369999999995</v>
      </c>
      <c r="V4166">
        <v>-4.8277550000000002E-2</v>
      </c>
      <c r="W4166">
        <v>2.1708040000000001E-2</v>
      </c>
      <c r="X4166">
        <v>0.99859799999999999</v>
      </c>
      <c r="Y4166">
        <v>-0.27962330000000002</v>
      </c>
      <c r="Z4166">
        <v>-5.5682739999999998E-3</v>
      </c>
      <c r="AA4166">
        <v>0.96009370000000005</v>
      </c>
      <c r="AB4166">
        <v>31</v>
      </c>
      <c r="AC4166">
        <v>-21.4039</v>
      </c>
      <c r="AD4166">
        <v>-1.1103984051739999</v>
      </c>
      <c r="AE4166">
        <v>-6.9726999999999997</v>
      </c>
      <c r="AF4166">
        <v>-6.3408325515803599</v>
      </c>
      <c r="AG4166">
        <v>-1.1103984051739999</v>
      </c>
      <c r="AH4166">
        <v>21.542570060081601</v>
      </c>
      <c r="AI4166">
        <v>92.830794621894</v>
      </c>
      <c r="AJ4166">
        <v>106.401246785426</v>
      </c>
      <c r="AK4166">
        <v>22.483804545915302</v>
      </c>
      <c r="AL4166">
        <v>88.756123173818807</v>
      </c>
      <c r="AM4166">
        <v>92.767828331051504</v>
      </c>
      <c r="AN4166">
        <v>0.99999996321932105</v>
      </c>
    </row>
    <row r="4167" spans="1:40" x14ac:dyDescent="0.3">
      <c r="A4167" t="str">
        <f>"20200111160541050"</f>
        <v>20200111160541050</v>
      </c>
      <c r="B4167" t="str">
        <f>"1578729941046096"</f>
        <v>1578729941046096</v>
      </c>
      <c r="C4167" t="s">
        <v>40</v>
      </c>
      <c r="D4167">
        <v>5.0527810000000004</v>
      </c>
      <c r="E4167">
        <v>0.41088809999999898</v>
      </c>
      <c r="F4167" t="s">
        <v>41</v>
      </c>
      <c r="G4167">
        <v>-357.24439999999998</v>
      </c>
      <c r="H4167" s="1">
        <v>-2.1751460000000001E-6</v>
      </c>
      <c r="I4167">
        <v>134.91329999999999</v>
      </c>
      <c r="J4167">
        <v>-335.3279</v>
      </c>
      <c r="K4167">
        <v>1.110385</v>
      </c>
      <c r="L4167">
        <v>142.0607</v>
      </c>
      <c r="M4167">
        <v>-0.99949049999999995</v>
      </c>
      <c r="N4167">
        <v>0</v>
      </c>
      <c r="O4167">
        <v>-2.8604279999999999E-2</v>
      </c>
      <c r="P4167">
        <v>-0.99706329999999999</v>
      </c>
      <c r="Q4167">
        <v>7.6395059999999999E-3</v>
      </c>
      <c r="R4167">
        <v>-7.6200589999999999E-2</v>
      </c>
      <c r="S4167">
        <v>-2.9371640000000001</v>
      </c>
      <c r="T4167">
        <v>-0.14675750000000001</v>
      </c>
      <c r="U4167">
        <v>-0.94578549999999995</v>
      </c>
      <c r="V4167">
        <v>-4.764463E-2</v>
      </c>
      <c r="W4167">
        <v>2.1795760000000001E-2</v>
      </c>
      <c r="X4167">
        <v>0.99862649999999997</v>
      </c>
      <c r="Y4167">
        <v>-0.2788697</v>
      </c>
      <c r="Z4167">
        <v>-5.3996069999999998E-3</v>
      </c>
      <c r="AA4167">
        <v>0.9603138</v>
      </c>
      <c r="AB4167">
        <v>31</v>
      </c>
      <c r="AC4167">
        <v>-21.9164999999999</v>
      </c>
      <c r="AD4167">
        <v>-1.1103871751459999</v>
      </c>
      <c r="AE4167">
        <v>-7.1474000000000002</v>
      </c>
      <c r="AF4167">
        <v>-6.5024197648862101</v>
      </c>
      <c r="AG4167">
        <v>-1.1103871751459999</v>
      </c>
      <c r="AH4167">
        <v>22.060813046296001</v>
      </c>
      <c r="AI4167">
        <v>92.764064520732106</v>
      </c>
      <c r="AJ4167">
        <v>106.422869469326</v>
      </c>
      <c r="AK4167">
        <v>23.0259396060429</v>
      </c>
      <c r="AL4167">
        <v>88.751096014650003</v>
      </c>
      <c r="AM4167">
        <v>92.731519510025194</v>
      </c>
      <c r="AN4167">
        <v>0.99999997621203196</v>
      </c>
    </row>
    <row r="4168" spans="1:40" x14ac:dyDescent="0.3">
      <c r="A4168" t="str">
        <f>"20200111160541066"</f>
        <v>20200111160541066</v>
      </c>
      <c r="B4168" t="str">
        <f>"1578729941055856"</f>
        <v>1578729941055856</v>
      </c>
      <c r="C4168" t="s">
        <v>40</v>
      </c>
      <c r="D4168">
        <v>5.0190599999999996</v>
      </c>
      <c r="E4168">
        <v>0.41064279999999997</v>
      </c>
      <c r="F4168" t="s">
        <v>41</v>
      </c>
      <c r="G4168">
        <v>-357.41559999999998</v>
      </c>
      <c r="H4168" s="1">
        <v>-2.102614E-6</v>
      </c>
      <c r="I4168">
        <v>134.96690000000001</v>
      </c>
      <c r="J4168">
        <v>-335.541</v>
      </c>
      <c r="K4168">
        <v>1.1103719999999999</v>
      </c>
      <c r="L4168">
        <v>142.05459999999999</v>
      </c>
      <c r="M4168">
        <v>-0.99949180000000004</v>
      </c>
      <c r="N4168">
        <v>0</v>
      </c>
      <c r="O4168">
        <v>-2.855096E-2</v>
      </c>
      <c r="P4168">
        <v>-0.99707420000000002</v>
      </c>
      <c r="Q4168">
        <v>7.6248799999999997E-3</v>
      </c>
      <c r="R4168">
        <v>-7.6062569999999996E-2</v>
      </c>
      <c r="S4168">
        <v>-2.9378660000000001</v>
      </c>
      <c r="T4168">
        <v>-0.1476914</v>
      </c>
      <c r="U4168">
        <v>-0.94352720000000001</v>
      </c>
      <c r="V4168">
        <v>-4.755844E-2</v>
      </c>
      <c r="W4168">
        <v>2.179909E-2</v>
      </c>
      <c r="X4168">
        <v>0.99863060000000003</v>
      </c>
      <c r="Y4168">
        <v>-0.27818199999999998</v>
      </c>
      <c r="Z4168">
        <v>-5.4190690000000003E-3</v>
      </c>
      <c r="AA4168">
        <v>0.96051310000000001</v>
      </c>
      <c r="AB4168">
        <v>31</v>
      </c>
      <c r="AC4168">
        <v>-21.874599999999901</v>
      </c>
      <c r="AD4168">
        <v>-1.1103741026139999</v>
      </c>
      <c r="AE4168">
        <v>-7.0876999999999803</v>
      </c>
      <c r="AF4168">
        <v>-6.4451772092283699</v>
      </c>
      <c r="AG4168">
        <v>-1.1103741026139999</v>
      </c>
      <c r="AH4168">
        <v>22.016721922386701</v>
      </c>
      <c r="AI4168">
        <v>92.771061886376998</v>
      </c>
      <c r="AJ4168">
        <v>106.31686928582501</v>
      </c>
      <c r="AK4168">
        <v>22.967570270140001</v>
      </c>
      <c r="AL4168">
        <v>88.750905254544904</v>
      </c>
      <c r="AM4168">
        <v>92.726574427777706</v>
      </c>
      <c r="AN4168">
        <v>1.0000000403982101</v>
      </c>
    </row>
    <row r="4169" spans="1:40" x14ac:dyDescent="0.3">
      <c r="A4169" t="str">
        <f>"20200111160541081"</f>
        <v>20200111160541081</v>
      </c>
      <c r="B4169" t="str">
        <f>"1578729941076352"</f>
        <v>1578729941076352</v>
      </c>
      <c r="C4169" t="s">
        <v>40</v>
      </c>
      <c r="D4169">
        <v>5.1268739999999999</v>
      </c>
      <c r="E4169">
        <v>0.41069600000000001</v>
      </c>
      <c r="F4169" t="s">
        <v>41</v>
      </c>
      <c r="G4169">
        <v>-357.40780000000001</v>
      </c>
      <c r="H4169" s="1">
        <v>-2.0909749999999999E-6</v>
      </c>
      <c r="I4169">
        <v>135.0206</v>
      </c>
      <c r="J4169">
        <v>-335.73910000000001</v>
      </c>
      <c r="K4169">
        <v>1.110363</v>
      </c>
      <c r="L4169">
        <v>142.04900000000001</v>
      </c>
      <c r="M4169">
        <v>-0.99949330000000003</v>
      </c>
      <c r="N4169">
        <v>0</v>
      </c>
      <c r="O4169">
        <v>-2.8489980000000002E-2</v>
      </c>
      <c r="P4169">
        <v>-0.99707319999999999</v>
      </c>
      <c r="Q4169">
        <v>7.7601969999999999E-3</v>
      </c>
      <c r="R4169">
        <v>-7.6058959999999995E-2</v>
      </c>
      <c r="S4169">
        <v>-2.937897</v>
      </c>
      <c r="T4169">
        <v>-0.1491836</v>
      </c>
      <c r="U4169">
        <v>-0.94503780000000004</v>
      </c>
      <c r="V4169">
        <v>-4.7614469999999999E-2</v>
      </c>
      <c r="W4169">
        <v>2.1949260000000002E-2</v>
      </c>
      <c r="X4169">
        <v>0.99862459999999997</v>
      </c>
      <c r="Y4169">
        <v>-0.27867900000000001</v>
      </c>
      <c r="Z4169">
        <v>-5.4885969999999996E-3</v>
      </c>
      <c r="AA4169">
        <v>0.96036860000000002</v>
      </c>
      <c r="AB4169">
        <v>31</v>
      </c>
      <c r="AC4169">
        <v>-21.668700000000001</v>
      </c>
      <c r="AD4169">
        <v>-1.110365090975</v>
      </c>
      <c r="AE4169">
        <v>-7.0284000000000004</v>
      </c>
      <c r="AF4169">
        <v>-6.3929546127350401</v>
      </c>
      <c r="AG4169">
        <v>-1.110365090975</v>
      </c>
      <c r="AH4169">
        <v>21.808347856643501</v>
      </c>
      <c r="AI4169">
        <v>92.797171012416698</v>
      </c>
      <c r="AJ4169">
        <v>106.33810577375699</v>
      </c>
      <c r="AK4169">
        <v>22.7531715493052</v>
      </c>
      <c r="AL4169">
        <v>88.742299037355707</v>
      </c>
      <c r="AM4169">
        <v>92.729798205932596</v>
      </c>
      <c r="AN4169">
        <v>0.99999999974654397</v>
      </c>
    </row>
    <row r="4170" spans="1:40" x14ac:dyDescent="0.3">
      <c r="A4170" t="str">
        <f>"20200111160541095"</f>
        <v>20200111160541095</v>
      </c>
      <c r="B4170" t="str">
        <f>"1578729941086112"</f>
        <v>1578729941086112</v>
      </c>
      <c r="C4170" t="s">
        <v>40</v>
      </c>
      <c r="D4170">
        <v>5.1244639999999997</v>
      </c>
      <c r="E4170">
        <v>0.4106822</v>
      </c>
      <c r="F4170" t="s">
        <v>41</v>
      </c>
      <c r="G4170">
        <v>-357.6764</v>
      </c>
      <c r="H4170" s="1">
        <v>-2.0060790000000002E-6</v>
      </c>
      <c r="I4170">
        <v>134.99619999999999</v>
      </c>
      <c r="J4170">
        <v>-335.94299999999998</v>
      </c>
      <c r="K4170">
        <v>1.1103499999999999</v>
      </c>
      <c r="L4170">
        <v>142.04320000000001</v>
      </c>
      <c r="M4170">
        <v>-0.99949529999999998</v>
      </c>
      <c r="N4170">
        <v>0</v>
      </c>
      <c r="O4170">
        <v>-2.8414930000000001E-2</v>
      </c>
      <c r="P4170">
        <v>-0.99703600000000003</v>
      </c>
      <c r="Q4170">
        <v>7.6985539999999998E-3</v>
      </c>
      <c r="R4170">
        <v>-7.6553689999999994E-2</v>
      </c>
      <c r="S4170">
        <v>-2.9379580000000001</v>
      </c>
      <c r="T4170">
        <v>-0.14870659999999999</v>
      </c>
      <c r="U4170">
        <v>-0.94453430000000005</v>
      </c>
      <c r="V4170">
        <v>-4.8184030000000003E-2</v>
      </c>
      <c r="W4170">
        <v>2.1900639999999999E-2</v>
      </c>
      <c r="X4170">
        <v>0.99859830000000005</v>
      </c>
      <c r="Y4170">
        <v>-0.27859790000000001</v>
      </c>
      <c r="Z4170">
        <v>-5.4727899999999999E-3</v>
      </c>
      <c r="AA4170">
        <v>0.96039220000000003</v>
      </c>
      <c r="AB4170">
        <v>31</v>
      </c>
      <c r="AC4170">
        <v>-21.7333999999999</v>
      </c>
      <c r="AD4170">
        <v>-1.110352006079</v>
      </c>
      <c r="AE4170">
        <v>-7.0470000000000201</v>
      </c>
      <c r="AF4170">
        <v>-6.41139592836576</v>
      </c>
      <c r="AG4170">
        <v>-1.110352006079</v>
      </c>
      <c r="AH4170">
        <v>21.873221798046298</v>
      </c>
      <c r="AI4170">
        <v>92.788874960116303</v>
      </c>
      <c r="AJ4170">
        <v>106.336716364726</v>
      </c>
      <c r="AK4170">
        <v>22.820532665873401</v>
      </c>
      <c r="AL4170">
        <v>88.745085367736195</v>
      </c>
      <c r="AM4170">
        <v>92.762474166220699</v>
      </c>
      <c r="AN4170">
        <v>0.99999995177116896</v>
      </c>
    </row>
    <row r="4171" spans="1:40" x14ac:dyDescent="0.3">
      <c r="A4171" t="str">
        <f>"20200111160541130"</f>
        <v>20200111160541130</v>
      </c>
      <c r="B4171" t="str">
        <f>"1578729941126128"</f>
        <v>1578729941126128</v>
      </c>
      <c r="C4171" t="s">
        <v>40</v>
      </c>
      <c r="D4171">
        <v>5.3522379999999998</v>
      </c>
      <c r="E4171">
        <v>0.4106822</v>
      </c>
      <c r="F4171" t="s">
        <v>41</v>
      </c>
      <c r="G4171">
        <v>-357.56580000000002</v>
      </c>
      <c r="H4171" s="1">
        <v>-2.021321E-6</v>
      </c>
      <c r="I4171">
        <v>135.0804</v>
      </c>
      <c r="J4171">
        <v>-336.41359999999997</v>
      </c>
      <c r="K4171">
        <v>1.1103190000000001</v>
      </c>
      <c r="L4171">
        <v>142.03</v>
      </c>
      <c r="M4171">
        <v>-0.99950119999999998</v>
      </c>
      <c r="N4171">
        <v>0</v>
      </c>
      <c r="O4171">
        <v>-2.8196929999999999E-2</v>
      </c>
      <c r="P4171">
        <v>-0.99694479999999996</v>
      </c>
      <c r="Q4171">
        <v>8.1095569999999999E-3</v>
      </c>
      <c r="R4171">
        <v>-7.7688640000000003E-2</v>
      </c>
      <c r="S4171">
        <v>-2.9375</v>
      </c>
      <c r="T4171">
        <v>-0.15084359999999999</v>
      </c>
      <c r="U4171">
        <v>-0.94590759999999996</v>
      </c>
      <c r="V4171">
        <v>-4.9537249999999998E-2</v>
      </c>
      <c r="W4171">
        <v>2.233779E-2</v>
      </c>
      <c r="X4171">
        <v>0.99852249999999998</v>
      </c>
      <c r="Y4171">
        <v>-0.27924829999999901</v>
      </c>
      <c r="Z4171">
        <v>-5.5789439999999997E-3</v>
      </c>
      <c r="AA4171">
        <v>0.96020269999999996</v>
      </c>
      <c r="AB4171">
        <v>31</v>
      </c>
      <c r="AC4171">
        <v>-21.152200000000001</v>
      </c>
      <c r="AD4171">
        <v>-1.110321021321</v>
      </c>
      <c r="AE4171">
        <v>-6.9496000000000002</v>
      </c>
      <c r="AF4171">
        <v>-6.3345949293374604</v>
      </c>
      <c r="AG4171">
        <v>-1.110321021321</v>
      </c>
      <c r="AH4171">
        <v>21.286825831270701</v>
      </c>
      <c r="AI4171">
        <v>92.862025908550095</v>
      </c>
      <c r="AJ4171">
        <v>106.572104085728</v>
      </c>
      <c r="AK4171">
        <v>22.237105469463199</v>
      </c>
      <c r="AL4171">
        <v>88.720032511971596</v>
      </c>
      <c r="AM4171">
        <v>92.840146575435199</v>
      </c>
      <c r="AN4171">
        <v>1.00000004950294</v>
      </c>
    </row>
    <row r="4172" spans="1:40" x14ac:dyDescent="0.3">
      <c r="A4172" t="str">
        <f>"20200111160541174"</f>
        <v>20200111160541174</v>
      </c>
      <c r="B4172" t="str">
        <f>"1578729941166144"</f>
        <v>1578729941166144</v>
      </c>
      <c r="C4172" t="s">
        <v>40</v>
      </c>
      <c r="D4172">
        <v>5.1333229999999999</v>
      </c>
      <c r="E4172">
        <v>0.37693559999999998</v>
      </c>
      <c r="F4172" t="s">
        <v>41</v>
      </c>
      <c r="G4172">
        <v>-358.06699999999898</v>
      </c>
      <c r="H4172" s="1">
        <v>-1.8636039999999999E-6</v>
      </c>
      <c r="I4172">
        <v>135.03210000000001</v>
      </c>
      <c r="J4172">
        <v>-337.0444</v>
      </c>
      <c r="K4172">
        <v>1.110293</v>
      </c>
      <c r="L4172">
        <v>142.0127</v>
      </c>
      <c r="M4172">
        <v>-0.9995117</v>
      </c>
      <c r="N4172">
        <v>0</v>
      </c>
      <c r="O4172">
        <v>-2.7810049999999999E-2</v>
      </c>
      <c r="P4172">
        <v>-0.9969268</v>
      </c>
      <c r="Q4172">
        <v>9.3798040000000003E-3</v>
      </c>
      <c r="R4172">
        <v>-7.7776719999999994E-2</v>
      </c>
      <c r="S4172">
        <v>-2.936493</v>
      </c>
      <c r="T4172">
        <v>-0.1505746</v>
      </c>
      <c r="U4172">
        <v>-0.94900510000000005</v>
      </c>
      <c r="V4172">
        <v>-5.000951E-2</v>
      </c>
      <c r="W4172">
        <v>2.3634450000000001E-2</v>
      </c>
      <c r="X4172">
        <v>0.9984691</v>
      </c>
      <c r="Y4172">
        <v>-0.28063199999999999</v>
      </c>
      <c r="Z4172">
        <v>-5.6238099999999999E-3</v>
      </c>
      <c r="AA4172">
        <v>0.95979899999999996</v>
      </c>
      <c r="AB4172">
        <v>31</v>
      </c>
      <c r="AC4172">
        <v>-21.022599999999901</v>
      </c>
      <c r="AD4172">
        <v>-1.110294863604</v>
      </c>
      <c r="AE4172">
        <v>-6.9805999999999804</v>
      </c>
      <c r="AF4172">
        <v>-6.3771789522112003</v>
      </c>
      <c r="AG4172">
        <v>-1.110294863604</v>
      </c>
      <c r="AH4172">
        <v>21.155468008522799</v>
      </c>
      <c r="AI4172">
        <v>92.876650197151093</v>
      </c>
      <c r="AJ4172">
        <v>106.77509310822199</v>
      </c>
      <c r="AK4172">
        <v>22.123629736828999</v>
      </c>
      <c r="AL4172">
        <v>88.645719718827607</v>
      </c>
      <c r="AM4172">
        <v>92.867331038458602</v>
      </c>
      <c r="AN4172">
        <v>1.0000000409860199</v>
      </c>
    </row>
    <row r="4173" spans="1:40" x14ac:dyDescent="0.3">
      <c r="A4173" t="str">
        <f>"20200111160541279"</f>
        <v>20200111160541279</v>
      </c>
      <c r="B4173" t="str">
        <f>"1578729941275456"</f>
        <v>1578729941275456</v>
      </c>
      <c r="C4173" t="s">
        <v>40</v>
      </c>
      <c r="D4173">
        <v>5.4343120000000003</v>
      </c>
      <c r="E4173">
        <v>0.37693559999999998</v>
      </c>
      <c r="F4173" t="s">
        <v>79</v>
      </c>
      <c r="G4173">
        <v>-390.81259999999997</v>
      </c>
      <c r="H4173">
        <v>0.70150849999999998</v>
      </c>
      <c r="I4173">
        <v>119.6198</v>
      </c>
      <c r="J4173">
        <v>-338.48540000000003</v>
      </c>
      <c r="K4173">
        <v>1.110263</v>
      </c>
      <c r="L4173">
        <v>141.9743</v>
      </c>
      <c r="M4173">
        <v>-0.99954180000000004</v>
      </c>
      <c r="N4173">
        <v>0</v>
      </c>
      <c r="O4173">
        <v>-2.6694929999999999E-2</v>
      </c>
      <c r="P4173">
        <v>-0.99733320000000003</v>
      </c>
      <c r="Q4173">
        <v>1.010137E-2</v>
      </c>
      <c r="R4173">
        <v>-7.2283269999999997E-2</v>
      </c>
      <c r="S4173">
        <v>-2.9147639999999999</v>
      </c>
      <c r="T4173">
        <v>-2.2160050000000001E-2</v>
      </c>
      <c r="U4173">
        <v>-1.213913</v>
      </c>
      <c r="V4173">
        <v>-4.5618499999999999E-2</v>
      </c>
      <c r="W4173">
        <v>2.4388110000000001E-2</v>
      </c>
      <c r="X4173">
        <v>0.99866120000000003</v>
      </c>
      <c r="Y4173">
        <v>-0.35966999999999999</v>
      </c>
      <c r="Z4173">
        <v>-1.117989E-3</v>
      </c>
      <c r="AA4173">
        <v>0.93307890000000004</v>
      </c>
      <c r="AB4173">
        <v>31</v>
      </c>
      <c r="AC4173">
        <v>-52.327199999999898</v>
      </c>
      <c r="AD4173">
        <v>-0.40875450000000002</v>
      </c>
      <c r="AE4173">
        <v>-22.354500000000002</v>
      </c>
      <c r="AF4173">
        <v>-20.9484377076441</v>
      </c>
      <c r="AG4173">
        <v>-0.40875450000000002</v>
      </c>
      <c r="AH4173">
        <v>52.902630871060403</v>
      </c>
      <c r="AI4173">
        <v>90.411595972619807</v>
      </c>
      <c r="AJ4173">
        <v>111.60262564251499</v>
      </c>
      <c r="AK4173">
        <v>56.900724738020699</v>
      </c>
      <c r="AL4173">
        <v>88.602525685601094</v>
      </c>
      <c r="AM4173">
        <v>92.615433357073499</v>
      </c>
      <c r="AN4173">
        <v>1.00000000991853</v>
      </c>
    </row>
    <row r="4174" spans="1:40" x14ac:dyDescent="0.3">
      <c r="A4174" t="str">
        <f>"20200111160541296"</f>
        <v>20200111160541296</v>
      </c>
      <c r="B4174" t="str">
        <f>"1578729941286191"</f>
        <v>1578729941286191</v>
      </c>
      <c r="C4174" t="s">
        <v>40</v>
      </c>
      <c r="D4174">
        <v>5.3170270000000004</v>
      </c>
      <c r="E4174">
        <v>0.47035719999999998</v>
      </c>
      <c r="F4174" t="s">
        <v>79</v>
      </c>
      <c r="G4174">
        <v>-393.01400000000001</v>
      </c>
      <c r="H4174">
        <v>0.72658059999999902</v>
      </c>
      <c r="I4174">
        <v>119.6198</v>
      </c>
      <c r="J4174">
        <v>-338.71300000000002</v>
      </c>
      <c r="K4174">
        <v>1.110268</v>
      </c>
      <c r="L4174">
        <v>141.9684</v>
      </c>
      <c r="M4174">
        <v>-0.99954670000000001</v>
      </c>
      <c r="N4174">
        <v>0</v>
      </c>
      <c r="O4174">
        <v>-2.650667E-2</v>
      </c>
      <c r="P4174">
        <v>-0.99735280000000004</v>
      </c>
      <c r="Q4174">
        <v>1.05583E-2</v>
      </c>
      <c r="R4174">
        <v>-7.1946490000000002E-2</v>
      </c>
      <c r="S4174">
        <v>-2.9214169999999999</v>
      </c>
      <c r="T4174">
        <v>-2.055597E-2</v>
      </c>
      <c r="U4174">
        <v>-1.197662</v>
      </c>
      <c r="V4174">
        <v>-4.5468939999999999E-2</v>
      </c>
      <c r="W4174">
        <v>2.4846210000000001E-2</v>
      </c>
      <c r="X4174">
        <v>0.99865669999999995</v>
      </c>
      <c r="Y4174">
        <v>-0.35465269999999999</v>
      </c>
      <c r="Z4174">
        <v>-1.020239E-3</v>
      </c>
      <c r="AA4174">
        <v>0.93499759999999998</v>
      </c>
      <c r="AB4174">
        <v>31</v>
      </c>
      <c r="AC4174">
        <v>-54.300999999999902</v>
      </c>
      <c r="AD4174">
        <v>-0.38368740000000001</v>
      </c>
      <c r="AE4174">
        <v>-22.348600000000001</v>
      </c>
      <c r="AF4174">
        <v>-20.900368196225401</v>
      </c>
      <c r="AG4174">
        <v>-0.38368740000000001</v>
      </c>
      <c r="AH4174">
        <v>54.872021277109901</v>
      </c>
      <c r="AI4174">
        <v>90.374390841675094</v>
      </c>
      <c r="AJ4174">
        <v>110.851486331869</v>
      </c>
      <c r="AK4174">
        <v>58.718917954900299</v>
      </c>
      <c r="AL4174">
        <v>88.576270492070094</v>
      </c>
      <c r="AM4174">
        <v>92.606882251977893</v>
      </c>
      <c r="AN4174">
        <v>0.99999998155548797</v>
      </c>
    </row>
    <row r="4175" spans="1:40" x14ac:dyDescent="0.3">
      <c r="A4175" t="str">
        <f>"20200111160541311"</f>
        <v>20200111160541311</v>
      </c>
      <c r="B4175" t="str">
        <f>"1578729941305712"</f>
        <v>1578729941305712</v>
      </c>
      <c r="C4175" t="s">
        <v>40</v>
      </c>
      <c r="D4175">
        <v>5.385605</v>
      </c>
      <c r="E4175">
        <v>0.4818114</v>
      </c>
      <c r="F4175" t="s">
        <v>41</v>
      </c>
      <c r="G4175">
        <v>-351.73910000000001</v>
      </c>
      <c r="H4175" s="1">
        <v>-3.6160779999999998E-6</v>
      </c>
      <c r="I4175">
        <v>139.95410000000001</v>
      </c>
      <c r="J4175">
        <v>-338.9151</v>
      </c>
      <c r="K4175">
        <v>1.110266</v>
      </c>
      <c r="L4175">
        <v>141.9632</v>
      </c>
      <c r="M4175">
        <v>-0.99955110000000003</v>
      </c>
      <c r="N4175">
        <v>0</v>
      </c>
      <c r="O4175">
        <v>-2.633928E-2</v>
      </c>
      <c r="P4175">
        <v>-0.99736950000000002</v>
      </c>
      <c r="Q4175">
        <v>1.0315349999999999E-2</v>
      </c>
      <c r="R4175">
        <v>-7.174788E-2</v>
      </c>
      <c r="S4175">
        <v>-2.9774479999999999</v>
      </c>
      <c r="T4175">
        <v>-0.25378200000000001</v>
      </c>
      <c r="U4175">
        <v>-0.46041870000000001</v>
      </c>
      <c r="V4175">
        <v>-4.54373E-2</v>
      </c>
      <c r="W4175">
        <v>2.4604999999999998E-2</v>
      </c>
      <c r="X4175">
        <v>0.99866410000000005</v>
      </c>
      <c r="Y4175">
        <v>-0.12637950000000001</v>
      </c>
      <c r="Z4175">
        <v>-3.1179269999999999E-3</v>
      </c>
      <c r="AA4175">
        <v>0.991977</v>
      </c>
      <c r="AB4175">
        <v>31</v>
      </c>
      <c r="AC4175">
        <v>-12.824</v>
      </c>
      <c r="AD4175">
        <v>-1.1102696160779999</v>
      </c>
      <c r="AE4175">
        <v>-2.0090999999999801</v>
      </c>
      <c r="AF4175">
        <v>-1.6584600223083199</v>
      </c>
      <c r="AG4175">
        <v>-1.1102696160779999</v>
      </c>
      <c r="AH4175">
        <v>12.778981414632399</v>
      </c>
      <c r="AI4175">
        <v>94.924438161639898</v>
      </c>
      <c r="AJ4175">
        <v>97.394533012550099</v>
      </c>
      <c r="AK4175">
        <v>12.9338916904968</v>
      </c>
      <c r="AL4175">
        <v>88.590095016754702</v>
      </c>
      <c r="AM4175">
        <v>92.605051450993201</v>
      </c>
      <c r="AN4175">
        <v>0.99999996944254899</v>
      </c>
    </row>
    <row r="4176" spans="1:40" x14ac:dyDescent="0.3">
      <c r="A4176" t="str">
        <f>"20200111160541325"</f>
        <v>20200111160541325</v>
      </c>
      <c r="B4176" t="str">
        <f>"1578729941316315"</f>
        <v>1578729941316315</v>
      </c>
      <c r="C4176" t="s">
        <v>40</v>
      </c>
      <c r="D4176">
        <v>5.4090319999999998</v>
      </c>
      <c r="E4176">
        <v>0.4848401</v>
      </c>
      <c r="F4176" t="s">
        <v>41</v>
      </c>
      <c r="G4176">
        <v>-351.11619999999999</v>
      </c>
      <c r="H4176" s="1">
        <v>-4.0162260000000001E-6</v>
      </c>
      <c r="I4176">
        <v>140.4537</v>
      </c>
      <c r="J4176">
        <v>-339.1</v>
      </c>
      <c r="K4176">
        <v>1.1102650000000001</v>
      </c>
      <c r="L4176">
        <v>141.95849999999999</v>
      </c>
      <c r="M4176">
        <v>-0.99955519999999998</v>
      </c>
      <c r="N4176">
        <v>0</v>
      </c>
      <c r="O4176">
        <v>-2.6185730000000001E-2</v>
      </c>
      <c r="P4176">
        <v>-0.99736849999999999</v>
      </c>
      <c r="Q4176">
        <v>9.9975600000000008E-3</v>
      </c>
      <c r="R4176">
        <v>-7.1809590000000006E-2</v>
      </c>
      <c r="S4176">
        <v>-2.9841920000000002</v>
      </c>
      <c r="T4176">
        <v>-0.27155319999999999</v>
      </c>
      <c r="U4176">
        <v>-0.36918640000000003</v>
      </c>
      <c r="V4176">
        <v>-4.5652430000000001E-2</v>
      </c>
      <c r="W4176">
        <v>2.4288480000000001E-2</v>
      </c>
      <c r="X4176">
        <v>0.9986621</v>
      </c>
      <c r="Y4176">
        <v>-9.6459900000000001E-2</v>
      </c>
      <c r="Z4176">
        <v>-1.9951869999999998E-3</v>
      </c>
      <c r="AA4176">
        <v>0.99533490000000002</v>
      </c>
      <c r="AB4176">
        <v>31</v>
      </c>
      <c r="AC4176">
        <v>-12.0161999999999</v>
      </c>
      <c r="AD4176">
        <v>-1.110269016226</v>
      </c>
      <c r="AE4176">
        <v>-1.5047999999999799</v>
      </c>
      <c r="AF4176">
        <v>-1.1796830316040501</v>
      </c>
      <c r="AG4176">
        <v>-1.110269016226</v>
      </c>
      <c r="AH4176">
        <v>11.951032526345299</v>
      </c>
      <c r="AI4176">
        <v>95.282105401160507</v>
      </c>
      <c r="AJ4176">
        <v>95.637387980260499</v>
      </c>
      <c r="AK4176">
        <v>12.060328676665801</v>
      </c>
      <c r="AL4176">
        <v>88.608235786654902</v>
      </c>
      <c r="AM4176">
        <v>92.617373597040597</v>
      </c>
      <c r="AN4176">
        <v>1.0000000323010101</v>
      </c>
    </row>
    <row r="4177" spans="1:40" x14ac:dyDescent="0.3">
      <c r="A4177" t="str">
        <f>"20200111160541337"</f>
        <v>20200111160541337</v>
      </c>
      <c r="B4177" t="str">
        <f>"1578729941326075"</f>
        <v>1578729941326075</v>
      </c>
      <c r="C4177" t="s">
        <v>40</v>
      </c>
      <c r="D4177">
        <v>5.4155170000000004</v>
      </c>
      <c r="E4177">
        <v>0.48607820000000002</v>
      </c>
      <c r="F4177" t="s">
        <v>41</v>
      </c>
      <c r="G4177">
        <v>-351.24720000000002</v>
      </c>
      <c r="H4177" s="1">
        <v>-3.9867259999999997E-6</v>
      </c>
      <c r="I4177">
        <v>140.554</v>
      </c>
      <c r="J4177">
        <v>-339.27910000000003</v>
      </c>
      <c r="K4177">
        <v>1.1102639999999999</v>
      </c>
      <c r="L4177">
        <v>141.95400000000001</v>
      </c>
      <c r="M4177">
        <v>-0.99955890000000003</v>
      </c>
      <c r="N4177">
        <v>0</v>
      </c>
      <c r="O4177">
        <v>-2.6036610000000002E-2</v>
      </c>
      <c r="P4177">
        <v>-0.99737430000000005</v>
      </c>
      <c r="Q4177">
        <v>9.8224060000000005E-3</v>
      </c>
      <c r="R4177">
        <v>-7.1749019999999997E-2</v>
      </c>
      <c r="S4177">
        <v>-2.9858090000000002</v>
      </c>
      <c r="T4177">
        <v>-0.27290730000000002</v>
      </c>
      <c r="U4177">
        <v>-0.34523009999999998</v>
      </c>
      <c r="V4177">
        <v>-4.5740719999999999E-2</v>
      </c>
      <c r="W4177">
        <v>2.4113530000000001E-2</v>
      </c>
      <c r="X4177">
        <v>0.9986623</v>
      </c>
      <c r="Y4177">
        <v>-8.8694969999999998E-2</v>
      </c>
      <c r="Z4177">
        <v>-1.665494E-3</v>
      </c>
      <c r="AA4177">
        <v>0.99605750000000004</v>
      </c>
      <c r="AB4177">
        <v>31</v>
      </c>
      <c r="AC4177">
        <v>-11.9680999999999</v>
      </c>
      <c r="AD4177">
        <v>-1.1102679867259999</v>
      </c>
      <c r="AE4177">
        <v>-1.4</v>
      </c>
      <c r="AF4177">
        <v>-1.07872644951129</v>
      </c>
      <c r="AG4177">
        <v>-1.1102679867259999</v>
      </c>
      <c r="AH4177">
        <v>11.8994714826256</v>
      </c>
      <c r="AI4177">
        <v>95.308846948977504</v>
      </c>
      <c r="AJ4177">
        <v>95.1798933985757</v>
      </c>
      <c r="AK4177">
        <v>11.9997403022334</v>
      </c>
      <c r="AL4177">
        <v>88.618262620139106</v>
      </c>
      <c r="AM4177">
        <v>92.622427910286206</v>
      </c>
      <c r="AN4177">
        <v>1.0000000326182299</v>
      </c>
    </row>
    <row r="4178" spans="1:40" x14ac:dyDescent="0.3">
      <c r="A4178" t="str">
        <f>"20200111160541353"</f>
        <v>20200111160541353</v>
      </c>
      <c r="B4178" t="str">
        <f>"1578729941345594"</f>
        <v>1578729941345594</v>
      </c>
      <c r="C4178" t="s">
        <v>40</v>
      </c>
      <c r="D4178">
        <v>5.3915980000000001</v>
      </c>
      <c r="E4178">
        <v>0.48792489999999999</v>
      </c>
      <c r="F4178" t="s">
        <v>41</v>
      </c>
      <c r="G4178">
        <v>-351.40559999999999</v>
      </c>
      <c r="H4178" s="1">
        <v>-3.9291220000000004E-6</v>
      </c>
      <c r="I4178">
        <v>140.59280000000001</v>
      </c>
      <c r="J4178">
        <v>-339.4957</v>
      </c>
      <c r="K4178">
        <v>1.11026</v>
      </c>
      <c r="L4178">
        <v>141.9485</v>
      </c>
      <c r="M4178">
        <v>-0.9995636</v>
      </c>
      <c r="N4178">
        <v>0</v>
      </c>
      <c r="O4178">
        <v>-2.5856609999999999E-2</v>
      </c>
      <c r="P4178">
        <v>-0.99735649999999998</v>
      </c>
      <c r="Q4178">
        <v>8.9497599999999993E-3</v>
      </c>
      <c r="R4178">
        <v>-7.2109140000000002E-2</v>
      </c>
      <c r="S4178">
        <v>-2.9865110000000001</v>
      </c>
      <c r="T4178">
        <v>-0.27343779999999901</v>
      </c>
      <c r="U4178">
        <v>-0.33520509999999998</v>
      </c>
      <c r="V4178">
        <v>-4.6281669999999997E-2</v>
      </c>
      <c r="W4178">
        <v>2.3241629999999999E-2</v>
      </c>
      <c r="X4178">
        <v>0.99865800000000005</v>
      </c>
      <c r="Y4178">
        <v>-8.5557679999999997E-2</v>
      </c>
      <c r="Z4178">
        <v>-1.5421229999999901E-3</v>
      </c>
      <c r="AA4178">
        <v>0.996332</v>
      </c>
      <c r="AB4178">
        <v>31</v>
      </c>
      <c r="AC4178">
        <v>-11.909899999999899</v>
      </c>
      <c r="AD4178">
        <v>-1.110263929122</v>
      </c>
      <c r="AE4178">
        <v>-1.3556999999999799</v>
      </c>
      <c r="AF4178">
        <v>-1.0383573419588099</v>
      </c>
      <c r="AG4178">
        <v>-1.110263929122</v>
      </c>
      <c r="AH4178">
        <v>11.8394024233883</v>
      </c>
      <c r="AI4178">
        <v>95.336992393328998</v>
      </c>
      <c r="AJ4178">
        <v>95.012216988892504</v>
      </c>
      <c r="AK4178">
        <v>11.9365959010449</v>
      </c>
      <c r="AL4178">
        <v>88.668232754335904</v>
      </c>
      <c r="AM4178">
        <v>92.653409246460299</v>
      </c>
      <c r="AN4178">
        <v>0.99999998365352205</v>
      </c>
    </row>
    <row r="4179" spans="1:40" x14ac:dyDescent="0.3">
      <c r="A4179" t="str">
        <f>"20200111160541368"</f>
        <v>20200111160541368</v>
      </c>
      <c r="B4179" t="str">
        <f>"1578729941366091"</f>
        <v>1578729941366091</v>
      </c>
      <c r="C4179" t="s">
        <v>40</v>
      </c>
      <c r="D4179">
        <v>5.3965239999999897</v>
      </c>
      <c r="E4179">
        <v>0.48872860000000001</v>
      </c>
      <c r="F4179" t="s">
        <v>41</v>
      </c>
      <c r="G4179">
        <v>-351.41489999999999</v>
      </c>
      <c r="H4179" s="1">
        <v>-3.9445509999999996E-6</v>
      </c>
      <c r="I4179">
        <v>140.66589999999999</v>
      </c>
      <c r="J4179">
        <v>-339.69</v>
      </c>
      <c r="K4179">
        <v>1.1102620000000001</v>
      </c>
      <c r="L4179">
        <v>141.94370000000001</v>
      </c>
      <c r="M4179">
        <v>-0.99956780000000001</v>
      </c>
      <c r="N4179">
        <v>0</v>
      </c>
      <c r="O4179">
        <v>-2.5695800000000001E-2</v>
      </c>
      <c r="P4179">
        <v>-0.99734239999999996</v>
      </c>
      <c r="Q4179">
        <v>8.5620390000000005E-3</v>
      </c>
      <c r="R4179">
        <v>-7.2355989999999995E-2</v>
      </c>
      <c r="S4179">
        <v>-2.9872130000000001</v>
      </c>
      <c r="T4179">
        <v>-0.2782577</v>
      </c>
      <c r="U4179">
        <v>-0.3214417</v>
      </c>
      <c r="V4179">
        <v>-4.6689710000000002E-2</v>
      </c>
      <c r="W4179">
        <v>2.2854550000000001E-2</v>
      </c>
      <c r="X4179">
        <v>0.99864790000000003</v>
      </c>
      <c r="Y4179">
        <v>-8.1164780000000006E-2</v>
      </c>
      <c r="Z4179">
        <v>-1.3805E-3</v>
      </c>
      <c r="AA4179">
        <v>0.99669980000000002</v>
      </c>
      <c r="AB4179">
        <v>31</v>
      </c>
      <c r="AC4179">
        <v>-11.7248999999999</v>
      </c>
      <c r="AD4179">
        <v>-1.1102659445509999</v>
      </c>
      <c r="AE4179">
        <v>-1.27780000000001</v>
      </c>
      <c r="AF4179">
        <v>-0.96749312803027498</v>
      </c>
      <c r="AG4179">
        <v>-1.1102659445509999</v>
      </c>
      <c r="AH4179">
        <v>11.6506230103011</v>
      </c>
      <c r="AI4179">
        <v>95.425098099658697</v>
      </c>
      <c r="AJ4179">
        <v>94.747074457168097</v>
      </c>
      <c r="AK4179">
        <v>11.7433278907034</v>
      </c>
      <c r="AL4179">
        <v>88.690416646002006</v>
      </c>
      <c r="AM4179">
        <v>92.676796051003905</v>
      </c>
      <c r="AN4179">
        <v>0.99999994382499602</v>
      </c>
    </row>
    <row r="4180" spans="1:40" x14ac:dyDescent="0.3">
      <c r="A4180" t="str">
        <f>"20200111160541385"</f>
        <v>20200111160541385</v>
      </c>
      <c r="B4180" t="str">
        <f>"1578729941375850"</f>
        <v>1578729941375850</v>
      </c>
      <c r="C4180" t="s">
        <v>40</v>
      </c>
      <c r="D4180">
        <v>5.3670059999999999</v>
      </c>
      <c r="E4180">
        <v>0.4897627</v>
      </c>
      <c r="F4180" t="s">
        <v>41</v>
      </c>
      <c r="G4180">
        <v>-351.57960000000003</v>
      </c>
      <c r="H4180" s="1">
        <v>-3.8798359999999998E-6</v>
      </c>
      <c r="I4180">
        <v>140.68809999999999</v>
      </c>
      <c r="J4180">
        <v>-339.93459999999999</v>
      </c>
      <c r="K4180">
        <v>1.110258</v>
      </c>
      <c r="L4180">
        <v>141.9376</v>
      </c>
      <c r="M4180">
        <v>-0.99957309999999999</v>
      </c>
      <c r="N4180">
        <v>0</v>
      </c>
      <c r="O4180">
        <v>-2.549363E-2</v>
      </c>
      <c r="P4180">
        <v>-0.99731369999999997</v>
      </c>
      <c r="Q4180">
        <v>7.9136710000000006E-3</v>
      </c>
      <c r="R4180">
        <v>-7.2822209999999998E-2</v>
      </c>
      <c r="S4180">
        <v>-2.9875180000000001</v>
      </c>
      <c r="T4180">
        <v>-0.27898030000000001</v>
      </c>
      <c r="U4180">
        <v>-0.31546020000000002</v>
      </c>
      <c r="V4180">
        <v>-4.735897E-2</v>
      </c>
      <c r="W4180">
        <v>2.2206219999999999E-2</v>
      </c>
      <c r="X4180">
        <v>0.99863109999999999</v>
      </c>
      <c r="Y4180">
        <v>-7.9387799999999994E-2</v>
      </c>
      <c r="Z4180">
        <v>-1.320271E-3</v>
      </c>
      <c r="AA4180">
        <v>0.99684289999999998</v>
      </c>
      <c r="AB4180">
        <v>31</v>
      </c>
      <c r="AC4180">
        <v>-11.645</v>
      </c>
      <c r="AD4180">
        <v>-1.110261879836</v>
      </c>
      <c r="AE4180">
        <v>-1.24950000000001</v>
      </c>
      <c r="AF4180">
        <v>-0.94370941370716699</v>
      </c>
      <c r="AG4180">
        <v>-1.110261879836</v>
      </c>
      <c r="AH4180">
        <v>11.569103869689</v>
      </c>
      <c r="AI4180">
        <v>95.463727403472603</v>
      </c>
      <c r="AJ4180">
        <v>94.663379002671704</v>
      </c>
      <c r="AK4180">
        <v>11.6605074180753</v>
      </c>
      <c r="AL4180">
        <v>88.727572764230999</v>
      </c>
      <c r="AM4180">
        <v>92.715154398411599</v>
      </c>
      <c r="AN4180">
        <v>1.0000000310666699</v>
      </c>
    </row>
    <row r="4181" spans="1:40" x14ac:dyDescent="0.3">
      <c r="A4181" t="str">
        <f>"20200111160541410"</f>
        <v>20200111160541410</v>
      </c>
      <c r="B4181" t="str">
        <f>"1578729941406107"</f>
        <v>1578729941406107</v>
      </c>
      <c r="C4181" t="s">
        <v>40</v>
      </c>
      <c r="D4181">
        <v>5.4792969999999999</v>
      </c>
      <c r="E4181">
        <v>0.52399449999999903</v>
      </c>
      <c r="F4181" t="s">
        <v>41</v>
      </c>
      <c r="G4181">
        <v>-351.81880000000001</v>
      </c>
      <c r="H4181" s="1">
        <v>-3.7829030000000001E-6</v>
      </c>
      <c r="I4181">
        <v>140.70959999999999</v>
      </c>
      <c r="J4181">
        <v>-340.25049999999999</v>
      </c>
      <c r="K4181">
        <v>1.11026</v>
      </c>
      <c r="L4181">
        <v>141.9298</v>
      </c>
      <c r="M4181">
        <v>-0.99957960000000001</v>
      </c>
      <c r="N4181">
        <v>0</v>
      </c>
      <c r="O4181">
        <v>-2.5233169999999999E-2</v>
      </c>
      <c r="P4181">
        <v>-0.99727299999999997</v>
      </c>
      <c r="Q4181">
        <v>7.3473799999999997E-3</v>
      </c>
      <c r="R4181">
        <v>-7.3439909999999997E-2</v>
      </c>
      <c r="S4181">
        <v>-2.9877929999999999</v>
      </c>
      <c r="T4181">
        <v>-0.27912930000000002</v>
      </c>
      <c r="U4181">
        <v>-0.30871579999999998</v>
      </c>
      <c r="V4181">
        <v>-4.8237629999999997E-2</v>
      </c>
      <c r="W4181">
        <v>2.1639390000000001E-2</v>
      </c>
      <c r="X4181">
        <v>0.99860139999999997</v>
      </c>
      <c r="Y4181">
        <v>-7.7418979999999998E-2</v>
      </c>
      <c r="Z4181">
        <v>-1.2536610000000001E-3</v>
      </c>
      <c r="AA4181">
        <v>0.99699780000000005</v>
      </c>
      <c r="AB4181">
        <v>31</v>
      </c>
      <c r="AC4181">
        <v>-11.568300000000001</v>
      </c>
      <c r="AD4181">
        <v>-1.110263782903</v>
      </c>
      <c r="AE4181">
        <v>-1.2202</v>
      </c>
      <c r="AF4181">
        <v>-0.91950030337980404</v>
      </c>
      <c r="AG4181">
        <v>-1.110263782903</v>
      </c>
      <c r="AH4181">
        <v>11.490730381893</v>
      </c>
      <c r="AI4181">
        <v>95.501455248846796</v>
      </c>
      <c r="AJ4181">
        <v>94.575119629342893</v>
      </c>
      <c r="AK4181">
        <v>11.5808052908639</v>
      </c>
      <c r="AL4181">
        <v>88.760057429707899</v>
      </c>
      <c r="AM4181">
        <v>92.765533807446602</v>
      </c>
      <c r="AN4181">
        <v>0.999999944114772</v>
      </c>
    </row>
    <row r="4182" spans="1:40" x14ac:dyDescent="0.3">
      <c r="A4182" t="str">
        <f>"20200111160541423"</f>
        <v>20200111160541423</v>
      </c>
      <c r="B4182" t="str">
        <f>"1578729941415868"</f>
        <v>1578729941415868</v>
      </c>
      <c r="C4182" t="s">
        <v>40</v>
      </c>
      <c r="D4182">
        <v>5.4494550000000004</v>
      </c>
      <c r="E4182">
        <v>0.56852769999999897</v>
      </c>
      <c r="F4182" t="s">
        <v>42</v>
      </c>
      <c r="G4182">
        <v>-341.17430000000002</v>
      </c>
      <c r="H4182">
        <v>1.0220830000000001</v>
      </c>
      <c r="I4182">
        <v>141.91839999999999</v>
      </c>
      <c r="J4182">
        <v>-340.45420000000001</v>
      </c>
      <c r="K4182">
        <v>1.11026</v>
      </c>
      <c r="L4182">
        <v>141.92490000000001</v>
      </c>
      <c r="M4182">
        <v>-0.99958380000000002</v>
      </c>
      <c r="N4182">
        <v>0</v>
      </c>
      <c r="O4182">
        <v>-2.5065460000000001E-2</v>
      </c>
      <c r="P4182">
        <v>-0.99724199999999996</v>
      </c>
      <c r="Q4182">
        <v>6.8062829999999998E-3</v>
      </c>
      <c r="R4182">
        <v>-7.3907490000000006E-2</v>
      </c>
      <c r="S4182">
        <v>-3.0075069999999999</v>
      </c>
      <c r="T4182">
        <v>-0.287085799999999</v>
      </c>
      <c r="U4182">
        <v>-3.8360600000000002E-2</v>
      </c>
      <c r="V4182">
        <v>-4.887387E-2</v>
      </c>
      <c r="W4182">
        <v>2.10983E-2</v>
      </c>
      <c r="X4182">
        <v>0.99858210000000003</v>
      </c>
      <c r="Y4182">
        <v>1.214696E-2</v>
      </c>
      <c r="Z4182">
        <v>2.9655100000000002E-3</v>
      </c>
      <c r="AA4182">
        <v>0.99992179999999997</v>
      </c>
      <c r="AB4182">
        <v>30</v>
      </c>
      <c r="AC4182">
        <v>-0.72010000000000196</v>
      </c>
      <c r="AD4182">
        <v>-8.8176999999999894E-2</v>
      </c>
      <c r="AE4182">
        <v>-6.5000000000168196E-3</v>
      </c>
      <c r="AF4182">
        <v>1.13828576598264E-2</v>
      </c>
      <c r="AG4182">
        <v>-8.8176999999999894E-2</v>
      </c>
      <c r="AH4182">
        <v>0.70940057955949198</v>
      </c>
      <c r="AI4182">
        <v>97.084501584005295</v>
      </c>
      <c r="AJ4182">
        <v>89.080725674657501</v>
      </c>
      <c r="AK4182">
        <v>0.71495030250839597</v>
      </c>
      <c r="AL4182">
        <v>88.791066755717793</v>
      </c>
      <c r="AM4182">
        <v>92.802006693035196</v>
      </c>
      <c r="AN4182">
        <v>1.00000000193603</v>
      </c>
    </row>
    <row r="4183" spans="1:40" x14ac:dyDescent="0.3">
      <c r="A4183" t="str">
        <f>"20200111160541437"</f>
        <v>20200111160541437</v>
      </c>
      <c r="B4183" t="str">
        <f>"1578729941425626"</f>
        <v>1578729941425626</v>
      </c>
      <c r="C4183" t="s">
        <v>40</v>
      </c>
      <c r="D4183">
        <v>5.4394429999999998</v>
      </c>
      <c r="E4183">
        <v>0.57154389999999999</v>
      </c>
      <c r="F4183" t="s">
        <v>42</v>
      </c>
      <c r="G4183">
        <v>-341.4495</v>
      </c>
      <c r="H4183">
        <v>1.0225379999999999</v>
      </c>
      <c r="I4183">
        <v>142.0283</v>
      </c>
      <c r="J4183">
        <v>-340.64260000000002</v>
      </c>
      <c r="K4183">
        <v>1.1102590000000001</v>
      </c>
      <c r="L4183">
        <v>141.9203</v>
      </c>
      <c r="M4183">
        <v>-0.99958769999999997</v>
      </c>
      <c r="N4183">
        <v>0</v>
      </c>
      <c r="O4183">
        <v>-2.4910249999999998E-2</v>
      </c>
      <c r="P4183">
        <v>-0.99720260000000005</v>
      </c>
      <c r="Q4183">
        <v>6.5223E-3</v>
      </c>
      <c r="R4183">
        <v>-7.4461250000000007E-2</v>
      </c>
      <c r="S4183">
        <v>-3.0334780000000001</v>
      </c>
      <c r="T4183">
        <v>-0.26734550000000001</v>
      </c>
      <c r="U4183">
        <v>0.31532290000000002</v>
      </c>
      <c r="V4183">
        <v>-4.9583639999999998E-2</v>
      </c>
      <c r="W4183">
        <v>2.081322E-2</v>
      </c>
      <c r="X4183">
        <v>0.99855309999999997</v>
      </c>
      <c r="Y4183">
        <v>0.12755269999999999</v>
      </c>
      <c r="Z4183">
        <v>7.7809029999999996E-3</v>
      </c>
      <c r="AA4183">
        <v>0.9918013</v>
      </c>
      <c r="AB4183">
        <v>30</v>
      </c>
      <c r="AC4183">
        <v>-0.80689999999998396</v>
      </c>
      <c r="AD4183">
        <v>-8.7721000000000104E-2</v>
      </c>
      <c r="AE4183">
        <v>0.108000000000004</v>
      </c>
      <c r="AF4183">
        <v>0.126598717392501</v>
      </c>
      <c r="AG4183">
        <v>-8.7721000000000104E-2</v>
      </c>
      <c r="AH4183">
        <v>0.79473163266116498</v>
      </c>
      <c r="AI4183">
        <v>96.220895749349594</v>
      </c>
      <c r="AJ4183">
        <v>80.948976126626107</v>
      </c>
      <c r="AK4183">
        <v>0.80951873174047495</v>
      </c>
      <c r="AL4183">
        <v>88.807404234424794</v>
      </c>
      <c r="AM4183">
        <v>92.842714945221005</v>
      </c>
      <c r="AN4183">
        <v>1.0000000105010101</v>
      </c>
    </row>
    <row r="4184" spans="1:40" x14ac:dyDescent="0.3">
      <c r="A4184" t="str">
        <f>"20200111160541453"</f>
        <v>20200111160541453</v>
      </c>
      <c r="B4184" t="str">
        <f>"1578729941446122"</f>
        <v>1578729941446122</v>
      </c>
      <c r="C4184" t="s">
        <v>40</v>
      </c>
      <c r="D4184">
        <v>5.3579179999999997</v>
      </c>
      <c r="E4184">
        <v>0.57361099999999998</v>
      </c>
      <c r="F4184" t="s">
        <v>42</v>
      </c>
      <c r="G4184">
        <v>-341.4581</v>
      </c>
      <c r="H4184">
        <v>1.0404690000000001</v>
      </c>
      <c r="I4184">
        <v>142.011</v>
      </c>
      <c r="J4184">
        <v>-340.86239999999998</v>
      </c>
      <c r="K4184">
        <v>1.110257</v>
      </c>
      <c r="L4184">
        <v>141.91499999999999</v>
      </c>
      <c r="M4184">
        <v>-0.99959229999999999</v>
      </c>
      <c r="N4184">
        <v>0</v>
      </c>
      <c r="O4184">
        <v>-2.4729540000000001E-2</v>
      </c>
      <c r="P4184">
        <v>-0.99711110000000003</v>
      </c>
      <c r="Q4184">
        <v>6.0740119999999898E-3</v>
      </c>
      <c r="R4184">
        <v>-7.5716909999999998E-2</v>
      </c>
      <c r="S4184">
        <v>-3.0353699999999999</v>
      </c>
      <c r="T4184">
        <v>-0.25977699999999998</v>
      </c>
      <c r="U4184">
        <v>0.33779910000000002</v>
      </c>
      <c r="V4184">
        <v>-5.1022020000000001E-2</v>
      </c>
      <c r="W4184">
        <v>2.0363659999999999E-2</v>
      </c>
      <c r="X4184">
        <v>0.99848990000000004</v>
      </c>
      <c r="Y4184">
        <v>0.13457569999999999</v>
      </c>
      <c r="Z4184">
        <v>7.8375000000000007E-3</v>
      </c>
      <c r="AA4184">
        <v>0.99087230000000004</v>
      </c>
      <c r="AB4184">
        <v>30</v>
      </c>
      <c r="AC4184">
        <v>-0.59570000000002199</v>
      </c>
      <c r="AD4184">
        <v>-6.9787999999999906E-2</v>
      </c>
      <c r="AE4184">
        <v>9.6000000000003596E-2</v>
      </c>
      <c r="AF4184">
        <v>0.109242148228073</v>
      </c>
      <c r="AG4184">
        <v>-6.9787999999999906E-2</v>
      </c>
      <c r="AH4184">
        <v>0.58531354204202002</v>
      </c>
      <c r="AI4184">
        <v>96.685016360806202</v>
      </c>
      <c r="AJ4184">
        <v>79.428025986591393</v>
      </c>
      <c r="AK4184">
        <v>0.59949658413644002</v>
      </c>
      <c r="AL4184">
        <v>88.833167576921298</v>
      </c>
      <c r="AM4184">
        <v>92.925223357587598</v>
      </c>
      <c r="AN4184">
        <v>1.00000000278774</v>
      </c>
    </row>
    <row r="4185" spans="1:40" x14ac:dyDescent="0.3">
      <c r="A4185" t="str">
        <f>"20200111160541468"</f>
        <v>20200111160541468</v>
      </c>
      <c r="B4185" t="str">
        <f>"1578729941465643"</f>
        <v>1578729941465643</v>
      </c>
      <c r="C4185" t="s">
        <v>40</v>
      </c>
      <c r="D4185">
        <v>5.3784229999999997</v>
      </c>
      <c r="E4185">
        <v>0.57491429999999999</v>
      </c>
      <c r="F4185" t="s">
        <v>42</v>
      </c>
      <c r="G4185">
        <v>-341.72859999999997</v>
      </c>
      <c r="H4185">
        <v>1.037148</v>
      </c>
      <c r="I4185">
        <v>142.0155</v>
      </c>
      <c r="J4185">
        <v>-341.0575</v>
      </c>
      <c r="K4185">
        <v>1.1102559999999999</v>
      </c>
      <c r="L4185">
        <v>141.91030000000001</v>
      </c>
      <c r="M4185">
        <v>-0.99959620000000005</v>
      </c>
      <c r="N4185">
        <v>0</v>
      </c>
      <c r="O4185">
        <v>-2.4568969999999999E-2</v>
      </c>
      <c r="P4185">
        <v>-0.99707080000000003</v>
      </c>
      <c r="Q4185">
        <v>5.7368050000000002E-3</v>
      </c>
      <c r="R4185">
        <v>-7.6269329999999996E-2</v>
      </c>
      <c r="S4185">
        <v>-3.0368650000000001</v>
      </c>
      <c r="T4185">
        <v>-0.25642300000000001</v>
      </c>
      <c r="U4185">
        <v>0.35052489999999997</v>
      </c>
      <c r="V4185">
        <v>-5.173606E-2</v>
      </c>
      <c r="W4185">
        <v>2.0025649999999999E-2</v>
      </c>
      <c r="X4185">
        <v>0.99846000000000001</v>
      </c>
      <c r="Y4185">
        <v>0.1384639</v>
      </c>
      <c r="Z4185">
        <v>7.8809380000000005E-3</v>
      </c>
      <c r="AA4185">
        <v>0.99033610000000005</v>
      </c>
      <c r="AB4185">
        <v>30</v>
      </c>
      <c r="AC4185">
        <v>-0.67109999999996695</v>
      </c>
      <c r="AD4185">
        <v>-7.3107999999999895E-2</v>
      </c>
      <c r="AE4185">
        <v>0.10519999999999601</v>
      </c>
      <c r="AF4185">
        <v>0.12026515013747199</v>
      </c>
      <c r="AG4185">
        <v>-7.3107999999999895E-2</v>
      </c>
      <c r="AH4185">
        <v>0.66066018430490503</v>
      </c>
      <c r="AI4185">
        <v>96.213312316581096</v>
      </c>
      <c r="AJ4185">
        <v>79.682971485188105</v>
      </c>
      <c r="AK4185">
        <v>0.67548528120705897</v>
      </c>
      <c r="AL4185">
        <v>88.852538080895599</v>
      </c>
      <c r="AM4185">
        <v>92.966177169746899</v>
      </c>
      <c r="AN4185">
        <v>1.0000000090811201</v>
      </c>
    </row>
    <row r="4186" spans="1:40" x14ac:dyDescent="0.3">
      <c r="A4186" t="str">
        <f>"20200111160541483"</f>
        <v>20200111160541483</v>
      </c>
      <c r="B4186" t="str">
        <f>"1578729941476379"</f>
        <v>1578729941476379</v>
      </c>
      <c r="C4186" t="s">
        <v>40</v>
      </c>
      <c r="D4186">
        <v>6.3862750000000004</v>
      </c>
      <c r="E4186">
        <v>0.57491429999999999</v>
      </c>
      <c r="F4186" t="s">
        <v>42</v>
      </c>
      <c r="G4186">
        <v>-341.99700000000001</v>
      </c>
      <c r="H4186">
        <v>1.0311650000000001</v>
      </c>
      <c r="I4186">
        <v>142.02170000000001</v>
      </c>
      <c r="J4186">
        <v>-341.26209999999998</v>
      </c>
      <c r="K4186">
        <v>1.1102620000000001</v>
      </c>
      <c r="L4186">
        <v>141.90549999999999</v>
      </c>
      <c r="M4186">
        <v>-0.9996003</v>
      </c>
      <c r="N4186">
        <v>0</v>
      </c>
      <c r="O4186">
        <v>-2.4400419999999999E-2</v>
      </c>
      <c r="P4186">
        <v>-0.99703419999999998</v>
      </c>
      <c r="Q4186">
        <v>5.6181209999999898E-3</v>
      </c>
      <c r="R4186">
        <v>-7.6753799999999997E-2</v>
      </c>
      <c r="S4186">
        <v>-3.0377809999999998</v>
      </c>
      <c r="T4186">
        <v>-0.25578519999999999</v>
      </c>
      <c r="U4186">
        <v>0.3593597</v>
      </c>
      <c r="V4186">
        <v>-5.2389869999999998E-2</v>
      </c>
      <c r="W4186">
        <v>1.9906460000000001E-2</v>
      </c>
      <c r="X4186">
        <v>0.99842830000000005</v>
      </c>
      <c r="Y4186">
        <v>0.14109859999999999</v>
      </c>
      <c r="Z4186">
        <v>7.9539820000000001E-3</v>
      </c>
      <c r="AA4186">
        <v>0.98996360000000005</v>
      </c>
      <c r="AB4186">
        <v>30</v>
      </c>
      <c r="AC4186">
        <v>-0.73489999999998101</v>
      </c>
      <c r="AD4186">
        <v>-7.9097000000000195E-2</v>
      </c>
      <c r="AE4186">
        <v>0.11620000000002</v>
      </c>
      <c r="AF4186">
        <v>0.13260049738951199</v>
      </c>
      <c r="AG4186">
        <v>-7.9097000000000195E-2</v>
      </c>
      <c r="AH4186">
        <v>0.72366695027857098</v>
      </c>
      <c r="AI4186">
        <v>96.136320291243507</v>
      </c>
      <c r="AJ4186">
        <v>79.616640360388104</v>
      </c>
      <c r="AK4186">
        <v>0.739954783917527</v>
      </c>
      <c r="AL4186">
        <v>88.8593685364892</v>
      </c>
      <c r="AM4186">
        <v>93.003688956695996</v>
      </c>
      <c r="AN4186">
        <v>1.00000001793461</v>
      </c>
    </row>
    <row r="4187" spans="1:40" x14ac:dyDescent="0.3">
      <c r="A4187" t="str">
        <f>"20200111160541498"</f>
        <v>20200111160541498</v>
      </c>
      <c r="B4187" t="str">
        <f>"1578729941495899"</f>
        <v>1578729941495899</v>
      </c>
      <c r="C4187" t="s">
        <v>40</v>
      </c>
      <c r="D4187">
        <v>5.5113580000000004</v>
      </c>
      <c r="E4187">
        <v>0.57558619999999905</v>
      </c>
      <c r="F4187" t="s">
        <v>42</v>
      </c>
      <c r="G4187">
        <v>-342.0068</v>
      </c>
      <c r="H4187">
        <v>1.0474829999999999</v>
      </c>
      <c r="I4187">
        <v>141.99340000000001</v>
      </c>
      <c r="J4187">
        <v>-341.46409999999997</v>
      </c>
      <c r="K4187">
        <v>1.1102639999999999</v>
      </c>
      <c r="L4187">
        <v>141.9007</v>
      </c>
      <c r="M4187">
        <v>-0.99960450000000001</v>
      </c>
      <c r="N4187">
        <v>0</v>
      </c>
      <c r="O4187">
        <v>-2.4234249999999999E-2</v>
      </c>
      <c r="P4187">
        <v>-0.99695769999999995</v>
      </c>
      <c r="Q4187">
        <v>5.0198309999999998E-3</v>
      </c>
      <c r="R4187">
        <v>-7.7784430000000002E-2</v>
      </c>
      <c r="S4187">
        <v>-3.0379330000000002</v>
      </c>
      <c r="T4187">
        <v>-0.25617960000000001</v>
      </c>
      <c r="U4187">
        <v>0.3577728</v>
      </c>
      <c r="V4187">
        <v>-5.3588299999999998E-2</v>
      </c>
      <c r="W4187">
        <v>1.9306239999999999E-2</v>
      </c>
      <c r="X4187">
        <v>0.9983765</v>
      </c>
      <c r="Y4187">
        <v>0.1404194</v>
      </c>
      <c r="Z4187">
        <v>7.9236069999999992E-3</v>
      </c>
      <c r="AA4187">
        <v>0.99006039999999995</v>
      </c>
      <c r="AB4187">
        <v>30</v>
      </c>
      <c r="AC4187">
        <v>-0.54270000000002405</v>
      </c>
      <c r="AD4187">
        <v>-6.2780999999999906E-2</v>
      </c>
      <c r="AE4187">
        <v>9.2700000000007707E-2</v>
      </c>
      <c r="AF4187">
        <v>0.104467632690635</v>
      </c>
      <c r="AG4187">
        <v>-6.2780999999999906E-2</v>
      </c>
      <c r="AH4187">
        <v>0.53335852489617497</v>
      </c>
      <c r="AI4187">
        <v>96.589253313280096</v>
      </c>
      <c r="AJ4187">
        <v>78.917912193184705</v>
      </c>
      <c r="AK4187">
        <v>0.54710717078138305</v>
      </c>
      <c r="AL4187">
        <v>88.893765241293394</v>
      </c>
      <c r="AM4187">
        <v>93.072427948839604</v>
      </c>
      <c r="AN4187">
        <v>1.00000003627603</v>
      </c>
    </row>
    <row r="4188" spans="1:40" x14ac:dyDescent="0.3">
      <c r="A4188" t="str">
        <f>"20200111160541521"</f>
        <v>20200111160541521</v>
      </c>
      <c r="B4188" t="str">
        <f>"1578729941516395"</f>
        <v>1578729941516395</v>
      </c>
      <c r="C4188" t="s">
        <v>40</v>
      </c>
      <c r="D4188">
        <v>5.4367789999999996</v>
      </c>
      <c r="E4188">
        <v>0.57661700000000005</v>
      </c>
      <c r="F4188" t="s">
        <v>42</v>
      </c>
      <c r="G4188">
        <v>-342.27440000000001</v>
      </c>
      <c r="H4188">
        <v>1.041906</v>
      </c>
      <c r="I4188">
        <v>141.9974</v>
      </c>
      <c r="J4188">
        <v>-341.76589999999999</v>
      </c>
      <c r="K4188">
        <v>1.110263</v>
      </c>
      <c r="L4188">
        <v>141.8937</v>
      </c>
      <c r="M4188">
        <v>-0.99961049999999996</v>
      </c>
      <c r="N4188">
        <v>0</v>
      </c>
      <c r="O4188">
        <v>-2.398571E-2</v>
      </c>
      <c r="P4188">
        <v>-0.99692409999999998</v>
      </c>
      <c r="Q4188">
        <v>5.015617E-3</v>
      </c>
      <c r="R4188">
        <v>-7.8215809999999997E-2</v>
      </c>
      <c r="S4188">
        <v>-3.038513</v>
      </c>
      <c r="T4188">
        <v>-0.25643890000000003</v>
      </c>
      <c r="U4188">
        <v>0.3600006</v>
      </c>
      <c r="V4188">
        <v>-5.4269060000000001E-2</v>
      </c>
      <c r="W4188">
        <v>1.9300040000000001E-2</v>
      </c>
      <c r="X4188">
        <v>0.9983398</v>
      </c>
      <c r="Y4188">
        <v>0.14086560000000001</v>
      </c>
      <c r="Z4188">
        <v>7.9276180000000009E-3</v>
      </c>
      <c r="AA4188">
        <v>0.98999700000000002</v>
      </c>
      <c r="AB4188">
        <v>30</v>
      </c>
      <c r="AC4188">
        <v>-0.50850000000002604</v>
      </c>
      <c r="AD4188">
        <v>-6.8357000000000001E-2</v>
      </c>
      <c r="AE4188">
        <v>0.103700000000003</v>
      </c>
      <c r="AF4188">
        <v>0.11389215870211999</v>
      </c>
      <c r="AG4188">
        <v>-6.8357000000000001E-2</v>
      </c>
      <c r="AH4188">
        <v>0.49723923539168402</v>
      </c>
      <c r="AI4188">
        <v>97.632331484098202</v>
      </c>
      <c r="AJ4188">
        <v>77.098995907513697</v>
      </c>
      <c r="AK4188">
        <v>0.51467558760420695</v>
      </c>
      <c r="AL4188">
        <v>88.894120489402695</v>
      </c>
      <c r="AM4188">
        <v>93.111496542104803</v>
      </c>
      <c r="AN4188">
        <v>0.99999998934066203</v>
      </c>
    </row>
    <row r="4189" spans="1:40" x14ac:dyDescent="0.3">
      <c r="A4189" t="str">
        <f>"20200111160541542"</f>
        <v>20200111160541542</v>
      </c>
      <c r="B4189" t="str">
        <f>"1578729941535917"</f>
        <v>1578729941535917</v>
      </c>
      <c r="C4189" t="s">
        <v>40</v>
      </c>
      <c r="D4189">
        <v>5.4195719999999996</v>
      </c>
      <c r="E4189">
        <v>0.57714189999999999</v>
      </c>
      <c r="F4189" t="s">
        <v>42</v>
      </c>
      <c r="G4189">
        <v>-342.54660000000001</v>
      </c>
      <c r="H4189">
        <v>1.044227</v>
      </c>
      <c r="I4189">
        <v>141.9879</v>
      </c>
      <c r="J4189">
        <v>-342.07060000000001</v>
      </c>
      <c r="K4189">
        <v>1.1102620000000001</v>
      </c>
      <c r="L4189">
        <v>141.88659999999999</v>
      </c>
      <c r="M4189">
        <v>-0.99961650000000002</v>
      </c>
      <c r="N4189">
        <v>0</v>
      </c>
      <c r="O4189">
        <v>-2.373513E-2</v>
      </c>
      <c r="P4189">
        <v>-0.99690809999999996</v>
      </c>
      <c r="Q4189">
        <v>4.7711120000000001E-3</v>
      </c>
      <c r="R4189">
        <v>-7.8436489999999998E-2</v>
      </c>
      <c r="S4189">
        <v>-3.039307</v>
      </c>
      <c r="T4189">
        <v>-0.25705869999999997</v>
      </c>
      <c r="U4189">
        <v>0.36642459999999999</v>
      </c>
      <c r="V4189">
        <v>-5.4739650000000001E-2</v>
      </c>
      <c r="W4189">
        <v>1.9053090000000002E-2</v>
      </c>
      <c r="X4189">
        <v>0.99831890000000001</v>
      </c>
      <c r="Y4189">
        <v>0.1426424</v>
      </c>
      <c r="Z4189">
        <v>7.9973279999999997E-3</v>
      </c>
      <c r="AA4189">
        <v>0.98974200000000001</v>
      </c>
      <c r="AB4189">
        <v>30</v>
      </c>
      <c r="AC4189">
        <v>-0.47599999999999898</v>
      </c>
      <c r="AD4189">
        <v>-6.6034999999999996E-2</v>
      </c>
      <c r="AE4189">
        <v>0.10130000000000899</v>
      </c>
      <c r="AF4189">
        <v>0.110535366617731</v>
      </c>
      <c r="AG4189">
        <v>-6.6034999999999996E-2</v>
      </c>
      <c r="AH4189">
        <v>0.46490156146960598</v>
      </c>
      <c r="AI4189">
        <v>97.867794751981904</v>
      </c>
      <c r="AJ4189">
        <v>76.625637570301606</v>
      </c>
      <c r="AK4189">
        <v>0.48240247755913801</v>
      </c>
      <c r="AL4189">
        <v>88.908272337595307</v>
      </c>
      <c r="AM4189">
        <v>93.1384895126114</v>
      </c>
      <c r="AN4189">
        <v>1.00000003780893</v>
      </c>
    </row>
    <row r="4190" spans="1:40" x14ac:dyDescent="0.3">
      <c r="A4190" t="str">
        <f>"20200111160541557"</f>
        <v>20200111160541557</v>
      </c>
      <c r="B4190" t="str">
        <f>"1578729941545674"</f>
        <v>1578729941545674</v>
      </c>
      <c r="C4190" t="s">
        <v>40</v>
      </c>
      <c r="D4190">
        <v>5.4298219999999997</v>
      </c>
      <c r="E4190">
        <v>0.5773104</v>
      </c>
      <c r="F4190" t="s">
        <v>42</v>
      </c>
      <c r="G4190">
        <v>-342.81849999999997</v>
      </c>
      <c r="H4190">
        <v>1.046611</v>
      </c>
      <c r="I4190">
        <v>141.97790000000001</v>
      </c>
      <c r="J4190">
        <v>-342.26499999999999</v>
      </c>
      <c r="K4190">
        <v>1.1102559999999999</v>
      </c>
      <c r="L4190">
        <v>141.88220000000001</v>
      </c>
      <c r="M4190">
        <v>-0.99962030000000002</v>
      </c>
      <c r="N4190">
        <v>0</v>
      </c>
      <c r="O4190">
        <v>-2.35748E-2</v>
      </c>
      <c r="P4190">
        <v>-0.99690509999999999</v>
      </c>
      <c r="Q4190">
        <v>4.692468E-3</v>
      </c>
      <c r="R4190">
        <v>-7.847577E-2</v>
      </c>
      <c r="S4190">
        <v>-3.0395810000000001</v>
      </c>
      <c r="T4190">
        <v>-0.2587663</v>
      </c>
      <c r="U4190">
        <v>0.36917109999999997</v>
      </c>
      <c r="V4190">
        <v>-5.4939670000000003E-2</v>
      </c>
      <c r="W4190">
        <v>1.8972989999999999E-2</v>
      </c>
      <c r="X4190">
        <v>0.99830940000000001</v>
      </c>
      <c r="Y4190">
        <v>0.14334479999999999</v>
      </c>
      <c r="Z4190">
        <v>8.0652720000000001E-3</v>
      </c>
      <c r="AA4190">
        <v>0.98963990000000002</v>
      </c>
      <c r="AB4190">
        <v>30</v>
      </c>
      <c r="AC4190">
        <v>-0.553499999999985</v>
      </c>
      <c r="AD4190">
        <v>-6.3644999999999896E-2</v>
      </c>
      <c r="AE4190">
        <v>9.5699999999993596E-2</v>
      </c>
      <c r="AF4190">
        <v>0.107345267825926</v>
      </c>
      <c r="AG4190">
        <v>-6.3644999999999896E-2</v>
      </c>
      <c r="AH4190">
        <v>0.54410453265220904</v>
      </c>
      <c r="AI4190">
        <v>96.546621899129804</v>
      </c>
      <c r="AJ4190">
        <v>78.839557672028704</v>
      </c>
      <c r="AK4190">
        <v>0.55823242023578201</v>
      </c>
      <c r="AL4190">
        <v>88.912862517901999</v>
      </c>
      <c r="AM4190">
        <v>93.149964491667703</v>
      </c>
      <c r="AN4190">
        <v>0.99999999990880395</v>
      </c>
    </row>
    <row r="4191" spans="1:40" x14ac:dyDescent="0.3">
      <c r="A4191" t="str">
        <f>"20200111160541572"</f>
        <v>20200111160541572</v>
      </c>
      <c r="B4191" t="str">
        <f>"1578729941566171"</f>
        <v>1578729941566171</v>
      </c>
      <c r="C4191" t="s">
        <v>40</v>
      </c>
      <c r="D4191">
        <v>5.4243410000000001</v>
      </c>
      <c r="E4191">
        <v>0.57761409999999902</v>
      </c>
      <c r="F4191" t="s">
        <v>42</v>
      </c>
      <c r="G4191">
        <v>-343.0847</v>
      </c>
      <c r="H4191">
        <v>1.0402549999999999</v>
      </c>
      <c r="I4191">
        <v>141.98230000000001</v>
      </c>
      <c r="J4191">
        <v>-342.45350000000002</v>
      </c>
      <c r="K4191">
        <v>1.110255</v>
      </c>
      <c r="L4191">
        <v>141.87790000000001</v>
      </c>
      <c r="M4191">
        <v>-0.99962390000000001</v>
      </c>
      <c r="N4191">
        <v>0</v>
      </c>
      <c r="O4191">
        <v>-2.3419240000000001E-2</v>
      </c>
      <c r="P4191">
        <v>-0.99687930000000002</v>
      </c>
      <c r="Q4191">
        <v>4.2840090000000001E-3</v>
      </c>
      <c r="R4191">
        <v>-7.8825000000000006E-2</v>
      </c>
      <c r="S4191">
        <v>-3.0397029999999998</v>
      </c>
      <c r="T4191">
        <v>-0.25964989999999999</v>
      </c>
      <c r="U4191">
        <v>0.37010189999999998</v>
      </c>
      <c r="V4191">
        <v>-5.5444670000000001E-2</v>
      </c>
      <c r="W4191">
        <v>1.856346E-2</v>
      </c>
      <c r="X4191">
        <v>0.99828919999999999</v>
      </c>
      <c r="Y4191">
        <v>0.14348079999999999</v>
      </c>
      <c r="Z4191">
        <v>8.084796E-3</v>
      </c>
      <c r="AA4191">
        <v>0.9896201</v>
      </c>
      <c r="AB4191">
        <v>30</v>
      </c>
      <c r="AC4191">
        <v>-0.631199999999978</v>
      </c>
      <c r="AD4191">
        <v>-7.0000000000000007E-2</v>
      </c>
      <c r="AE4191">
        <v>0.10439999999999799</v>
      </c>
      <c r="AF4191">
        <v>0.117745524737881</v>
      </c>
      <c r="AG4191">
        <v>-7.0000000000000007E-2</v>
      </c>
      <c r="AH4191">
        <v>0.62114571705517296</v>
      </c>
      <c r="AI4191">
        <v>96.318235284454403</v>
      </c>
      <c r="AJ4191">
        <v>79.266264898687297</v>
      </c>
      <c r="AK4191">
        <v>0.63607075896615795</v>
      </c>
      <c r="AL4191">
        <v>88.936331013898197</v>
      </c>
      <c r="AM4191">
        <v>93.178923732315795</v>
      </c>
      <c r="AN4191">
        <v>1.00000002015761</v>
      </c>
    </row>
    <row r="4192" spans="1:40" x14ac:dyDescent="0.3">
      <c r="A4192" t="str">
        <f>"20200111160541587"</f>
        <v>20200111160541587</v>
      </c>
      <c r="B4192" t="str">
        <f>"1578729941575930"</f>
        <v>1578729941575930</v>
      </c>
      <c r="C4192" t="s">
        <v>40</v>
      </c>
      <c r="D4192">
        <v>5.4150150000000004</v>
      </c>
      <c r="E4192">
        <v>0.57786729999999997</v>
      </c>
      <c r="F4192" t="s">
        <v>42</v>
      </c>
      <c r="G4192">
        <v>-343.34980000000002</v>
      </c>
      <c r="H4192">
        <v>1.0328710000000001</v>
      </c>
      <c r="I4192">
        <v>141.98779999999999</v>
      </c>
      <c r="J4192">
        <v>-342.66309999999999</v>
      </c>
      <c r="K4192">
        <v>1.1102510000000001</v>
      </c>
      <c r="L4192">
        <v>141.8732</v>
      </c>
      <c r="M4192">
        <v>-0.99962790000000001</v>
      </c>
      <c r="N4192">
        <v>0</v>
      </c>
      <c r="O4192">
        <v>-2.3246630000000001E-2</v>
      </c>
      <c r="P4192">
        <v>-0.99678979999999995</v>
      </c>
      <c r="Q4192">
        <v>3.5185569999999998E-3</v>
      </c>
      <c r="R4192">
        <v>-7.9987509999999998E-2</v>
      </c>
      <c r="S4192">
        <v>-3.0398559999999999</v>
      </c>
      <c r="T4192">
        <v>-0.26255279999999998</v>
      </c>
      <c r="U4192">
        <v>0.37107849999999998</v>
      </c>
      <c r="V4192">
        <v>-5.678209E-2</v>
      </c>
      <c r="W4192">
        <v>1.779588E-2</v>
      </c>
      <c r="X4192">
        <v>0.998228</v>
      </c>
      <c r="Y4192">
        <v>0.14360400000000001</v>
      </c>
      <c r="Z4192">
        <v>8.1647519999999904E-3</v>
      </c>
      <c r="AA4192">
        <v>0.98960159999999997</v>
      </c>
      <c r="AB4192">
        <v>30</v>
      </c>
      <c r="AC4192">
        <v>-0.68670000000002995</v>
      </c>
      <c r="AD4192">
        <v>-7.7380000000000199E-2</v>
      </c>
      <c r="AE4192">
        <v>0.114599999999995</v>
      </c>
      <c r="AF4192">
        <v>0.12894122324461799</v>
      </c>
      <c r="AG4192">
        <v>-7.7380000000000199E-2</v>
      </c>
      <c r="AH4192">
        <v>0.67550513703555704</v>
      </c>
      <c r="AI4192">
        <v>96.419906286393498</v>
      </c>
      <c r="AJ4192">
        <v>79.193311552810002</v>
      </c>
      <c r="AK4192">
        <v>0.69204096238101798</v>
      </c>
      <c r="AL4192">
        <v>88.980317377254295</v>
      </c>
      <c r="AM4192">
        <v>93.255640960760701</v>
      </c>
      <c r="AN4192">
        <v>1.0000000195368699</v>
      </c>
    </row>
    <row r="4193" spans="1:40" x14ac:dyDescent="0.3">
      <c r="A4193" t="str">
        <f>"20200111160541610"</f>
        <v>20200111160541610</v>
      </c>
      <c r="B4193" t="str">
        <f>"1578729941606187"</f>
        <v>1578729941606187</v>
      </c>
      <c r="C4193" t="s">
        <v>40</v>
      </c>
      <c r="D4193">
        <v>5.3684620000000001</v>
      </c>
      <c r="E4193">
        <v>0.57854110000000003</v>
      </c>
      <c r="F4193" t="s">
        <v>42</v>
      </c>
      <c r="G4193">
        <v>-343.61660000000001</v>
      </c>
      <c r="H4193">
        <v>1.0269189999999999</v>
      </c>
      <c r="I4193">
        <v>141.989</v>
      </c>
      <c r="J4193">
        <v>-342.96660000000003</v>
      </c>
      <c r="K4193">
        <v>1.1102459999999901</v>
      </c>
      <c r="L4193">
        <v>141.8664</v>
      </c>
      <c r="M4193">
        <v>-0.99963389999999996</v>
      </c>
      <c r="N4193">
        <v>0</v>
      </c>
      <c r="O4193">
        <v>-2.29958E-2</v>
      </c>
      <c r="P4193">
        <v>-0.99665550000000003</v>
      </c>
      <c r="Q4193">
        <v>2.1249649999999999E-3</v>
      </c>
      <c r="R4193">
        <v>-8.1691299999999994E-2</v>
      </c>
      <c r="S4193">
        <v>-3.0402529999999999</v>
      </c>
      <c r="T4193">
        <v>-0.26573720000000001</v>
      </c>
      <c r="U4193">
        <v>0.36900329999999998</v>
      </c>
      <c r="V4193">
        <v>-5.8739710000000001E-2</v>
      </c>
      <c r="W4193">
        <v>1.639943E-2</v>
      </c>
      <c r="X4193">
        <v>0.99813859999999999</v>
      </c>
      <c r="Y4193">
        <v>0.14266419999999999</v>
      </c>
      <c r="Z4193">
        <v>8.2000140000000003E-3</v>
      </c>
      <c r="AA4193">
        <v>0.98973719999999998</v>
      </c>
      <c r="AB4193">
        <v>30</v>
      </c>
      <c r="AC4193">
        <v>-0.64999999999997704</v>
      </c>
      <c r="AD4193">
        <v>-8.3326999999999707E-2</v>
      </c>
      <c r="AE4193">
        <v>0.122600000000005</v>
      </c>
      <c r="AF4193">
        <v>0.135368139580268</v>
      </c>
      <c r="AG4193">
        <v>-8.3326999999999707E-2</v>
      </c>
      <c r="AH4193">
        <v>0.63690121262652699</v>
      </c>
      <c r="AI4193">
        <v>97.292691131435603</v>
      </c>
      <c r="AJ4193">
        <v>78.000808411645593</v>
      </c>
      <c r="AK4193">
        <v>0.65643817438321095</v>
      </c>
      <c r="AL4193">
        <v>89.060339733499404</v>
      </c>
      <c r="AM4193">
        <v>93.367929374771407</v>
      </c>
      <c r="AN4193">
        <v>0.99999997982258404</v>
      </c>
    </row>
    <row r="4194" spans="1:40" x14ac:dyDescent="0.3">
      <c r="A4194" t="str">
        <f>"20200111160541625"</f>
        <v>20200111160541625</v>
      </c>
      <c r="B4194" t="str">
        <f>"1578729941615947"</f>
        <v>1578729941615947</v>
      </c>
      <c r="C4194" t="s">
        <v>40</v>
      </c>
      <c r="D4194">
        <v>5.3560150000000002</v>
      </c>
      <c r="E4194">
        <v>0.5788198</v>
      </c>
      <c r="F4194" t="s">
        <v>42</v>
      </c>
      <c r="G4194">
        <v>-343.88639999999998</v>
      </c>
      <c r="H4194">
        <v>1.0286679999999999</v>
      </c>
      <c r="I4194">
        <v>141.97829999999999</v>
      </c>
      <c r="J4194">
        <v>-343.18329999999997</v>
      </c>
      <c r="K4194">
        <v>1.1102430000000001</v>
      </c>
      <c r="L4194">
        <v>141.86160000000001</v>
      </c>
      <c r="M4194">
        <v>-0.99963809999999997</v>
      </c>
      <c r="N4194">
        <v>0</v>
      </c>
      <c r="O4194">
        <v>-2.2814709999999998E-2</v>
      </c>
      <c r="P4194">
        <v>-0.99657709999999999</v>
      </c>
      <c r="Q4194">
        <v>1.5491189999999901E-3</v>
      </c>
      <c r="R4194">
        <v>-8.2656099999999996E-2</v>
      </c>
      <c r="S4194">
        <v>-3.040924</v>
      </c>
      <c r="T4194">
        <v>-0.2697251</v>
      </c>
      <c r="U4194">
        <v>0.36901859999999997</v>
      </c>
      <c r="V4194">
        <v>-5.9887269999999999E-2</v>
      </c>
      <c r="W4194">
        <v>1.5821100000000001E-2</v>
      </c>
      <c r="X4194">
        <v>0.99807979999999996</v>
      </c>
      <c r="Y4194">
        <v>0.14244670000000001</v>
      </c>
      <c r="Z4194">
        <v>8.2952019999999998E-3</v>
      </c>
      <c r="AA4194">
        <v>0.98976770000000003</v>
      </c>
      <c r="AB4194">
        <v>30</v>
      </c>
      <c r="AC4194">
        <v>-0.70310000000000605</v>
      </c>
      <c r="AD4194">
        <v>-8.1574999999999898E-2</v>
      </c>
      <c r="AE4194">
        <v>0.11669999999998</v>
      </c>
      <c r="AF4194">
        <v>0.13099619611473501</v>
      </c>
      <c r="AG4194">
        <v>-8.1574999999999898E-2</v>
      </c>
      <c r="AH4194">
        <v>0.69119936756509404</v>
      </c>
      <c r="AI4194">
        <v>96.614218041256194</v>
      </c>
      <c r="AJ4194">
        <v>79.268571631666802</v>
      </c>
      <c r="AK4194">
        <v>0.708216809842803</v>
      </c>
      <c r="AL4194">
        <v>89.093479958007293</v>
      </c>
      <c r="AM4194">
        <v>93.433772333053298</v>
      </c>
      <c r="AN4194">
        <v>1.0000000397406501</v>
      </c>
    </row>
    <row r="4195" spans="1:40" x14ac:dyDescent="0.3">
      <c r="A4195" t="str">
        <f>"20200111160541639"</f>
        <v>20200111160541639</v>
      </c>
      <c r="B4195" t="str">
        <f>"1578729941635466"</f>
        <v>1578729941635466</v>
      </c>
      <c r="C4195" t="s">
        <v>40</v>
      </c>
      <c r="D4195">
        <v>5.3712</v>
      </c>
      <c r="E4195">
        <v>0.57928690000000005</v>
      </c>
      <c r="F4195" t="s">
        <v>42</v>
      </c>
      <c r="G4195">
        <v>-344.15309999999999</v>
      </c>
      <c r="H4195">
        <v>1.0238149999999999</v>
      </c>
      <c r="I4195">
        <v>141.97909999999999</v>
      </c>
      <c r="J4195">
        <v>-343.37419999999997</v>
      </c>
      <c r="K4195">
        <v>1.110236</v>
      </c>
      <c r="L4195">
        <v>141.85740000000001</v>
      </c>
      <c r="M4195">
        <v>-0.99964169999999997</v>
      </c>
      <c r="N4195">
        <v>0</v>
      </c>
      <c r="O4195">
        <v>-2.2652200000000001E-2</v>
      </c>
      <c r="P4195">
        <v>-0.99649529999999997</v>
      </c>
      <c r="Q4195">
        <v>8.4030070000000001E-4</v>
      </c>
      <c r="R4195">
        <v>-8.3644120000000002E-2</v>
      </c>
      <c r="S4195">
        <v>-3.0413209999999999</v>
      </c>
      <c r="T4195">
        <v>-0.27101459999999999</v>
      </c>
      <c r="U4195">
        <v>0.36836239999999998</v>
      </c>
      <c r="V4195">
        <v>-6.1039629999999998E-2</v>
      </c>
      <c r="W4195">
        <v>1.5110699999999999E-2</v>
      </c>
      <c r="X4195">
        <v>0.99802089999999999</v>
      </c>
      <c r="Y4195">
        <v>0.14205609999999999</v>
      </c>
      <c r="Z4195">
        <v>8.3020209999999997E-3</v>
      </c>
      <c r="AA4195">
        <v>0.98982380000000003</v>
      </c>
      <c r="AB4195">
        <v>30</v>
      </c>
      <c r="AC4195">
        <v>-0.77890000000002102</v>
      </c>
      <c r="AD4195">
        <v>-8.6420999999999998E-2</v>
      </c>
      <c r="AE4195">
        <v>0.12169999999997499</v>
      </c>
      <c r="AF4195">
        <v>0.13766008209382799</v>
      </c>
      <c r="AG4195">
        <v>-8.6420999999999998E-2</v>
      </c>
      <c r="AH4195">
        <v>0.76672917361301796</v>
      </c>
      <c r="AI4195">
        <v>96.330503978859198</v>
      </c>
      <c r="AJ4195">
        <v>79.821446753536307</v>
      </c>
      <c r="AK4195">
        <v>0.78376815010076895</v>
      </c>
      <c r="AL4195">
        <v>89.134187664294402</v>
      </c>
      <c r="AM4195">
        <v>93.499888857300107</v>
      </c>
      <c r="AN4195">
        <v>0.99999994326091601</v>
      </c>
    </row>
    <row r="4196" spans="1:40" x14ac:dyDescent="0.3">
      <c r="A4196" t="str">
        <f>"20200111160541654"</f>
        <v>20200111160541654</v>
      </c>
      <c r="B4196" t="str">
        <f>"1578729941646202"</f>
        <v>1578729941646202</v>
      </c>
      <c r="C4196" t="s">
        <v>40</v>
      </c>
      <c r="D4196">
        <v>5.429322</v>
      </c>
      <c r="E4196">
        <v>0.57909100000000002</v>
      </c>
      <c r="F4196" t="s">
        <v>42</v>
      </c>
      <c r="G4196">
        <v>-344.16059999999999</v>
      </c>
      <c r="H4196">
        <v>1.0399659999999999</v>
      </c>
      <c r="I4196">
        <v>141.953</v>
      </c>
      <c r="J4196">
        <v>-343.57729999999998</v>
      </c>
      <c r="K4196">
        <v>1.110225</v>
      </c>
      <c r="L4196">
        <v>141.85299999999901</v>
      </c>
      <c r="M4196">
        <v>-0.99964569999999997</v>
      </c>
      <c r="N4196">
        <v>0</v>
      </c>
      <c r="O4196">
        <v>-2.247379E-2</v>
      </c>
      <c r="P4196">
        <v>-0.99635739999999995</v>
      </c>
      <c r="Q4196" s="1">
        <v>1.66874399999999E-5</v>
      </c>
      <c r="R4196">
        <v>-8.5276039999999997E-2</v>
      </c>
      <c r="S4196">
        <v>-3.041779</v>
      </c>
      <c r="T4196">
        <v>-0.27178930000000001</v>
      </c>
      <c r="U4196">
        <v>0.36929319999999999</v>
      </c>
      <c r="V4196">
        <v>-6.2852489999999997E-2</v>
      </c>
      <c r="W4196">
        <v>1.428538E-2</v>
      </c>
      <c r="X4196">
        <v>0.99792060000000005</v>
      </c>
      <c r="Y4196">
        <v>0.14215700000000001</v>
      </c>
      <c r="Z4196">
        <v>8.3128960000000002E-3</v>
      </c>
      <c r="AA4196">
        <v>0.98980919999999895</v>
      </c>
      <c r="AB4196">
        <v>30</v>
      </c>
      <c r="AC4196">
        <v>-0.58330000000000803</v>
      </c>
      <c r="AD4196">
        <v>-7.0259000000000002E-2</v>
      </c>
      <c r="AE4196">
        <v>0.100000000000022</v>
      </c>
      <c r="AF4196">
        <v>0.111513344982323</v>
      </c>
      <c r="AG4196">
        <v>-7.0259000000000002E-2</v>
      </c>
      <c r="AH4196">
        <v>0.57283145486852005</v>
      </c>
      <c r="AI4196">
        <v>96.864920352686298</v>
      </c>
      <c r="AJ4196">
        <v>78.983983433388104</v>
      </c>
      <c r="AK4196">
        <v>0.58779879965591297</v>
      </c>
      <c r="AL4196">
        <v>89.181480189028704</v>
      </c>
      <c r="AM4196">
        <v>93.603925851579604</v>
      </c>
      <c r="AN4196">
        <v>1.0000000157426501</v>
      </c>
    </row>
    <row r="4197" spans="1:40" x14ac:dyDescent="0.3">
      <c r="A4197" t="str">
        <f>"20200111160541676"</f>
        <v>20200111160541676</v>
      </c>
      <c r="B4197" t="str">
        <f>"1578729941665722"</f>
        <v>1578729941665722</v>
      </c>
      <c r="C4197" t="s">
        <v>40</v>
      </c>
      <c r="D4197">
        <v>5.3186879999999999</v>
      </c>
      <c r="E4197">
        <v>0.57923970000000002</v>
      </c>
      <c r="F4197" t="s">
        <v>42</v>
      </c>
      <c r="G4197">
        <v>-344.42579999999998</v>
      </c>
      <c r="H4197">
        <v>1.0336529999999999</v>
      </c>
      <c r="I4197">
        <v>141.9547</v>
      </c>
      <c r="J4197">
        <v>-343.863</v>
      </c>
      <c r="K4197">
        <v>1.1102099999999999</v>
      </c>
      <c r="L4197">
        <v>141.8468</v>
      </c>
      <c r="M4197">
        <v>-0.99965179999999998</v>
      </c>
      <c r="N4197">
        <v>0</v>
      </c>
      <c r="O4197">
        <v>-2.2208019999999998E-2</v>
      </c>
      <c r="P4197">
        <v>-0.99632609999999999</v>
      </c>
      <c r="Q4197">
        <v>-3.3967379999999997E-4</v>
      </c>
      <c r="R4197">
        <v>-8.5641170000000003E-2</v>
      </c>
      <c r="S4197">
        <v>-3.042084</v>
      </c>
      <c r="T4197">
        <v>-0.27462140000000002</v>
      </c>
      <c r="U4197">
        <v>0.3633575</v>
      </c>
      <c r="V4197">
        <v>-6.3483769999999995E-2</v>
      </c>
      <c r="W4197">
        <v>1.3927790000000001E-2</v>
      </c>
      <c r="X4197">
        <v>0.99788569999999999</v>
      </c>
      <c r="Y4197">
        <v>0.13997419999999999</v>
      </c>
      <c r="Z4197">
        <v>8.2774440000000001E-3</v>
      </c>
      <c r="AA4197">
        <v>0.99012049999999996</v>
      </c>
      <c r="AB4197">
        <v>30</v>
      </c>
      <c r="AC4197">
        <v>-0.56279999999992403</v>
      </c>
      <c r="AD4197">
        <v>-7.6556999999999903E-2</v>
      </c>
      <c r="AE4197">
        <v>0.1079</v>
      </c>
      <c r="AF4197">
        <v>0.118262598388091</v>
      </c>
      <c r="AG4197">
        <v>-7.6556999999999903E-2</v>
      </c>
      <c r="AH4197">
        <v>0.55044052460007498</v>
      </c>
      <c r="AI4197">
        <v>97.743589536477501</v>
      </c>
      <c r="AJ4197">
        <v>77.874289786518503</v>
      </c>
      <c r="AK4197">
        <v>0.56818288213260004</v>
      </c>
      <c r="AL4197">
        <v>89.201970629923593</v>
      </c>
      <c r="AM4197">
        <v>93.640153212624298</v>
      </c>
      <c r="AN4197">
        <v>1.00000002132609</v>
      </c>
    </row>
    <row r="4198" spans="1:40" x14ac:dyDescent="0.3">
      <c r="A4198" t="str">
        <f>"20200111160541698"</f>
        <v>20200111160541698</v>
      </c>
      <c r="B4198" t="str">
        <f>"1578729941695978"</f>
        <v>1578729941695978</v>
      </c>
      <c r="C4198" t="s">
        <v>40</v>
      </c>
      <c r="D4198">
        <v>5.336862</v>
      </c>
      <c r="E4198">
        <v>0.57973909999999995</v>
      </c>
      <c r="F4198" t="s">
        <v>42</v>
      </c>
      <c r="G4198">
        <v>-344.69470000000001</v>
      </c>
      <c r="H4198">
        <v>1.0351760000000001</v>
      </c>
      <c r="I4198">
        <v>141.94649999999999</v>
      </c>
      <c r="J4198">
        <v>-344.16570000000002</v>
      </c>
      <c r="K4198">
        <v>1.1101909999999999</v>
      </c>
      <c r="L4198">
        <v>141.84039999999999</v>
      </c>
      <c r="M4198">
        <v>-0.99965870000000001</v>
      </c>
      <c r="N4198">
        <v>0</v>
      </c>
      <c r="O4198">
        <v>-2.1899430000000001E-2</v>
      </c>
      <c r="P4198">
        <v>-0.9964385</v>
      </c>
      <c r="Q4198">
        <v>-5.4260159999999997E-4</v>
      </c>
      <c r="R4198">
        <v>-8.4323060000000005E-2</v>
      </c>
      <c r="S4198">
        <v>-3.0422359999999999</v>
      </c>
      <c r="T4198">
        <v>-0.27444600000000002</v>
      </c>
      <c r="U4198">
        <v>0.36398320000000001</v>
      </c>
      <c r="V4198">
        <v>-6.2470379999999999E-2</v>
      </c>
      <c r="W4198">
        <v>1.3725630000000001E-2</v>
      </c>
      <c r="X4198">
        <v>0.99795250000000002</v>
      </c>
      <c r="Y4198">
        <v>0.13986609999999999</v>
      </c>
      <c r="Z4198">
        <v>8.2391200000000008E-3</v>
      </c>
      <c r="AA4198">
        <v>0.99013609999999996</v>
      </c>
      <c r="AB4198">
        <v>30</v>
      </c>
      <c r="AC4198">
        <v>-0.52899999999999603</v>
      </c>
      <c r="AD4198">
        <v>-7.5014999999999804E-2</v>
      </c>
      <c r="AE4198">
        <v>0.106099999999997</v>
      </c>
      <c r="AF4198">
        <v>0.115429150621217</v>
      </c>
      <c r="AG4198">
        <v>-7.5014999999999804E-2</v>
      </c>
      <c r="AH4198">
        <v>0.51656359807621899</v>
      </c>
      <c r="AI4198">
        <v>98.066470537629499</v>
      </c>
      <c r="AJ4198">
        <v>77.403855211562899</v>
      </c>
      <c r="AK4198">
        <v>0.53459245214984596</v>
      </c>
      <c r="AL4198">
        <v>89.213554687586395</v>
      </c>
      <c r="AM4198">
        <v>93.581958899102801</v>
      </c>
      <c r="AN4198">
        <v>1.0000000667762401</v>
      </c>
    </row>
    <row r="4199" spans="1:40" x14ac:dyDescent="0.3">
      <c r="A4199" t="str">
        <f>"20200111160541715"</f>
        <v>20200111160541715</v>
      </c>
      <c r="B4199" t="str">
        <f>"1578729941705739"</f>
        <v>1578729941705739</v>
      </c>
      <c r="C4199" t="s">
        <v>40</v>
      </c>
      <c r="D4199">
        <v>5.3296729999999997</v>
      </c>
      <c r="E4199">
        <v>0.57998509999999903</v>
      </c>
      <c r="F4199" t="s">
        <v>42</v>
      </c>
      <c r="G4199">
        <v>-344.96440000000001</v>
      </c>
      <c r="H4199">
        <v>1.0386139999999999</v>
      </c>
      <c r="I4199">
        <v>141.9385</v>
      </c>
      <c r="J4199">
        <v>-344.3879</v>
      </c>
      <c r="K4199">
        <v>1.110174</v>
      </c>
      <c r="L4199">
        <v>141.83580000000001</v>
      </c>
      <c r="M4199">
        <v>-0.999664</v>
      </c>
      <c r="N4199">
        <v>0</v>
      </c>
      <c r="O4199">
        <v>-2.165046E-2</v>
      </c>
      <c r="P4199">
        <v>-0.99650190000000005</v>
      </c>
      <c r="Q4199">
        <v>-7.2647439999999998E-4</v>
      </c>
      <c r="R4199">
        <v>-8.3569080000000004E-2</v>
      </c>
      <c r="S4199">
        <v>-3.0421140000000002</v>
      </c>
      <c r="T4199">
        <v>-0.27263459999999901</v>
      </c>
      <c r="U4199">
        <v>0.37249759999999998</v>
      </c>
      <c r="V4199">
        <v>-6.1963740000000003E-2</v>
      </c>
      <c r="W4199">
        <v>1.354254E-2</v>
      </c>
      <c r="X4199">
        <v>0.9979865</v>
      </c>
      <c r="Y4199">
        <v>0.142354799999999</v>
      </c>
      <c r="Z4199">
        <v>8.2726180000000007E-3</v>
      </c>
      <c r="AA4199">
        <v>0.98978109999999997</v>
      </c>
      <c r="AB4199">
        <v>30</v>
      </c>
      <c r="AC4199">
        <v>-0.57650000000001</v>
      </c>
      <c r="AD4199">
        <v>-7.1559999999999999E-2</v>
      </c>
      <c r="AE4199">
        <v>0.102699999999998</v>
      </c>
      <c r="AF4199">
        <v>0.113464215238942</v>
      </c>
      <c r="AG4199">
        <v>-7.1559999999999999E-2</v>
      </c>
      <c r="AH4199">
        <v>0.56569309924160205</v>
      </c>
      <c r="AI4199">
        <v>97.070254166893605</v>
      </c>
      <c r="AJ4199">
        <v>78.658361738219398</v>
      </c>
      <c r="AK4199">
        <v>0.58138080830842498</v>
      </c>
      <c r="AL4199">
        <v>89.224045878842304</v>
      </c>
      <c r="AM4199">
        <v>93.552862896309506</v>
      </c>
      <c r="AN4199">
        <v>0.99999997982334399</v>
      </c>
    </row>
    <row r="4200" spans="1:40" x14ac:dyDescent="0.3">
      <c r="A4200" t="str">
        <f>"20200111160541729"</f>
        <v>20200111160541729</v>
      </c>
      <c r="B4200" t="str">
        <f>"1578729941726235"</f>
        <v>1578729941726235</v>
      </c>
      <c r="C4200" t="s">
        <v>40</v>
      </c>
      <c r="D4200">
        <v>5.3041140000000002</v>
      </c>
      <c r="E4200">
        <v>0.58722669999999999</v>
      </c>
      <c r="F4200" t="s">
        <v>42</v>
      </c>
      <c r="G4200">
        <v>-345.23</v>
      </c>
      <c r="H4200">
        <v>1.034681</v>
      </c>
      <c r="I4200">
        <v>141.94030000000001</v>
      </c>
      <c r="J4200">
        <v>-344.56799999999998</v>
      </c>
      <c r="K4200">
        <v>1.110161</v>
      </c>
      <c r="L4200">
        <v>141.8322</v>
      </c>
      <c r="M4200">
        <v>-0.99966869999999997</v>
      </c>
      <c r="N4200">
        <v>0</v>
      </c>
      <c r="O4200">
        <v>-2.1435260000000001E-2</v>
      </c>
      <c r="P4200">
        <v>-0.99664330000000001</v>
      </c>
      <c r="Q4200">
        <v>-1.1270119999999999E-3</v>
      </c>
      <c r="R4200">
        <v>-8.1861149999999994E-2</v>
      </c>
      <c r="S4200">
        <v>-3.0419309999999999</v>
      </c>
      <c r="T4200">
        <v>-0.27266629999999997</v>
      </c>
      <c r="U4200">
        <v>0.37683109999999997</v>
      </c>
      <c r="V4200">
        <v>-6.0467369999999999E-2</v>
      </c>
      <c r="W4200">
        <v>1.314299E-2</v>
      </c>
      <c r="X4200">
        <v>0.99808370000000002</v>
      </c>
      <c r="Y4200">
        <v>0.14353389999999999</v>
      </c>
      <c r="Z4200">
        <v>8.3067100000000001E-3</v>
      </c>
      <c r="AA4200">
        <v>0.98961060000000001</v>
      </c>
      <c r="AB4200">
        <v>30</v>
      </c>
      <c r="AC4200">
        <v>-0.66199999999997705</v>
      </c>
      <c r="AD4200">
        <v>-7.5479999999999894E-2</v>
      </c>
      <c r="AE4200">
        <v>0.108100000000007</v>
      </c>
      <c r="AF4200">
        <v>0.12073789776039801</v>
      </c>
      <c r="AG4200">
        <v>-7.5479999999999894E-2</v>
      </c>
      <c r="AH4200">
        <v>0.65128360618234105</v>
      </c>
      <c r="AI4200">
        <v>96.500962409648295</v>
      </c>
      <c r="AJ4200">
        <v>79.497481101383102</v>
      </c>
      <c r="AK4200">
        <v>0.66666723786119497</v>
      </c>
      <c r="AL4200">
        <v>89.246940504035294</v>
      </c>
      <c r="AM4200">
        <v>93.466939424771795</v>
      </c>
      <c r="AN4200">
        <v>1.0000000566132701</v>
      </c>
    </row>
    <row r="4201" spans="1:40" x14ac:dyDescent="0.3">
      <c r="A4201" t="str">
        <f>"20200111160541744"</f>
        <v>20200111160541744</v>
      </c>
      <c r="B4201" t="str">
        <f>"1578729941735994"</f>
        <v>1578729941735994</v>
      </c>
      <c r="C4201" t="s">
        <v>40</v>
      </c>
      <c r="D4201">
        <v>5.3000590000000001</v>
      </c>
      <c r="E4201">
        <v>0.58731109999999997</v>
      </c>
      <c r="F4201" t="s">
        <v>41</v>
      </c>
      <c r="G4201">
        <v>-358.20350000000002</v>
      </c>
      <c r="H4201" s="1">
        <v>-1.8673060000000001E-6</v>
      </c>
      <c r="I4201">
        <v>143.80410000000001</v>
      </c>
      <c r="J4201">
        <v>-344.77730000000003</v>
      </c>
      <c r="K4201">
        <v>1.110141</v>
      </c>
      <c r="L4201">
        <v>141.828</v>
      </c>
      <c r="M4201">
        <v>-0.99967439999999996</v>
      </c>
      <c r="N4201">
        <v>0</v>
      </c>
      <c r="O4201">
        <v>-2.1169090000000002E-2</v>
      </c>
      <c r="P4201">
        <v>-0.9968437</v>
      </c>
      <c r="Q4201">
        <v>-1.296473E-3</v>
      </c>
      <c r="R4201">
        <v>-7.9379599999999995E-2</v>
      </c>
      <c r="S4201">
        <v>-3.0460210000000001</v>
      </c>
      <c r="T4201">
        <v>-0.24799879999999999</v>
      </c>
      <c r="U4201">
        <v>0.4405365</v>
      </c>
      <c r="V4201">
        <v>-5.8247630000000002E-2</v>
      </c>
      <c r="W4201">
        <v>1.2974680000000001E-2</v>
      </c>
      <c r="X4201">
        <v>0.99821780000000004</v>
      </c>
      <c r="Y4201">
        <v>0.16345989999999999</v>
      </c>
      <c r="Z4201">
        <v>8.3215830000000005E-3</v>
      </c>
      <c r="AA4201">
        <v>0.98651489999999997</v>
      </c>
      <c r="AB4201">
        <v>30</v>
      </c>
      <c r="AC4201">
        <v>-13.4261999999999</v>
      </c>
      <c r="AD4201">
        <v>-1.1101428673060001</v>
      </c>
      <c r="AE4201">
        <v>1.9761</v>
      </c>
      <c r="AF4201">
        <v>2.2448840177778999</v>
      </c>
      <c r="AG4201">
        <v>-1.1101428673060001</v>
      </c>
      <c r="AH4201">
        <v>13.292403899679201</v>
      </c>
      <c r="AI4201">
        <v>94.707738133986496</v>
      </c>
      <c r="AJ4201">
        <v>80.414071631742502</v>
      </c>
      <c r="AK4201">
        <v>13.5262678840585</v>
      </c>
      <c r="AL4201">
        <v>89.256584701100707</v>
      </c>
      <c r="AM4201">
        <v>93.339514981833503</v>
      </c>
      <c r="AN4201">
        <v>0.99999995247927798</v>
      </c>
    </row>
    <row r="4202" spans="1:40" x14ac:dyDescent="0.3">
      <c r="A4202" t="str">
        <f>"20200111160541761"</f>
        <v>20200111160541761</v>
      </c>
      <c r="B4202" t="str">
        <f>"1578729941755515"</f>
        <v>1578729941755515</v>
      </c>
      <c r="C4202" t="s">
        <v>40</v>
      </c>
      <c r="D4202">
        <v>5.2902610000000001</v>
      </c>
      <c r="E4202">
        <v>0.58651719999999996</v>
      </c>
      <c r="F4202" t="s">
        <v>41</v>
      </c>
      <c r="G4202">
        <v>-358.24959999999999</v>
      </c>
      <c r="H4202" s="1">
        <v>-1.849738E-6</v>
      </c>
      <c r="I4202">
        <v>143.8125</v>
      </c>
      <c r="J4202">
        <v>-345.00650000000002</v>
      </c>
      <c r="K4202">
        <v>1.1101179999999999</v>
      </c>
      <c r="L4202">
        <v>141.8235</v>
      </c>
      <c r="M4202">
        <v>-0.99968109999999999</v>
      </c>
      <c r="N4202">
        <v>0</v>
      </c>
      <c r="O4202">
        <v>-2.0851870000000002E-2</v>
      </c>
      <c r="P4202">
        <v>-0.99698109999999995</v>
      </c>
      <c r="Q4202">
        <v>-1.307571E-3</v>
      </c>
      <c r="R4202">
        <v>-7.7635209999999996E-2</v>
      </c>
      <c r="S4202">
        <v>-3.0448909999999998</v>
      </c>
      <c r="T4202">
        <v>-0.2509053</v>
      </c>
      <c r="U4202">
        <v>0.44854739999999999</v>
      </c>
      <c r="V4202">
        <v>-5.6816779999999997E-2</v>
      </c>
      <c r="W4202">
        <v>1.2964659999999999E-2</v>
      </c>
      <c r="X4202">
        <v>0.99830039999999998</v>
      </c>
      <c r="Y4202">
        <v>0.165718899999999</v>
      </c>
      <c r="Z4202">
        <v>8.4867380000000006E-3</v>
      </c>
      <c r="AA4202">
        <v>0.98613649999999997</v>
      </c>
      <c r="AB4202">
        <v>30</v>
      </c>
      <c r="AC4202">
        <v>-13.243099999999901</v>
      </c>
      <c r="AD4202">
        <v>-1.110119849738</v>
      </c>
      <c r="AE4202">
        <v>1.9890000000000001</v>
      </c>
      <c r="AF4202">
        <v>2.24928217936974</v>
      </c>
      <c r="AG4202">
        <v>-1.110119849738</v>
      </c>
      <c r="AH4202">
        <v>13.108660922345701</v>
      </c>
      <c r="AI4202">
        <v>94.771200703424498</v>
      </c>
      <c r="AJ4202">
        <v>80.263576459690398</v>
      </c>
      <c r="AK4202">
        <v>13.3464837159548</v>
      </c>
      <c r="AL4202">
        <v>89.257158857803304</v>
      </c>
      <c r="AM4202">
        <v>93.257389909022905</v>
      </c>
      <c r="AN4202">
        <v>0.99999995876932102</v>
      </c>
    </row>
    <row r="4203" spans="1:40" x14ac:dyDescent="0.3">
      <c r="A4203" t="str">
        <f>"20200111160541776"</f>
        <v>20200111160541776</v>
      </c>
      <c r="B4203" t="str">
        <f>"1578729941766251"</f>
        <v>1578729941766251</v>
      </c>
      <c r="C4203" t="s">
        <v>40</v>
      </c>
      <c r="D4203">
        <v>5.3261649999999996</v>
      </c>
      <c r="E4203">
        <v>0.58543970000000001</v>
      </c>
      <c r="F4203" t="s">
        <v>41</v>
      </c>
      <c r="G4203">
        <v>-358.18549999999999</v>
      </c>
      <c r="H4203" s="1">
        <v>-1.8632030000000001E-6</v>
      </c>
      <c r="I4203">
        <v>143.75970000000001</v>
      </c>
      <c r="J4203">
        <v>-345.20859999999999</v>
      </c>
      <c r="K4203">
        <v>1.1100909999999999</v>
      </c>
      <c r="L4203">
        <v>141.81960000000001</v>
      </c>
      <c r="M4203">
        <v>-0.9996874</v>
      </c>
      <c r="N4203">
        <v>0</v>
      </c>
      <c r="O4203">
        <v>-2.055355E-2</v>
      </c>
      <c r="P4203">
        <v>-0.99719619999999998</v>
      </c>
      <c r="Q4203">
        <v>-2.0786469999999999E-3</v>
      </c>
      <c r="R4203">
        <v>-7.4805369999999996E-2</v>
      </c>
      <c r="S4203">
        <v>-3.0436100000000001</v>
      </c>
      <c r="T4203">
        <v>-0.25637670000000001</v>
      </c>
      <c r="U4203">
        <v>0.44718930000000001</v>
      </c>
      <c r="V4203">
        <v>-5.4281320000000001E-2</v>
      </c>
      <c r="W4203">
        <v>1.219368E-2</v>
      </c>
      <c r="X4203">
        <v>0.99845119999999998</v>
      </c>
      <c r="Y4203">
        <v>0.16502929999999999</v>
      </c>
      <c r="Z4203">
        <v>8.6212400000000005E-3</v>
      </c>
      <c r="AA4203">
        <v>0.98625099999999999</v>
      </c>
      <c r="AB4203">
        <v>30</v>
      </c>
      <c r="AC4203">
        <v>-12.976900000000001</v>
      </c>
      <c r="AD4203">
        <v>-1.110092863203</v>
      </c>
      <c r="AE4203">
        <v>1.9400999999999999</v>
      </c>
      <c r="AF4203">
        <v>2.1907575774988302</v>
      </c>
      <c r="AG4203">
        <v>-1.110092863203</v>
      </c>
      <c r="AH4203">
        <v>12.842355774603099</v>
      </c>
      <c r="AI4203">
        <v>94.870354613061593</v>
      </c>
      <c r="AJ4203">
        <v>80.319189136616998</v>
      </c>
      <c r="AK4203">
        <v>13.0750841974262</v>
      </c>
      <c r="AL4203">
        <v>89.301336266216396</v>
      </c>
      <c r="AM4203">
        <v>93.111851528847495</v>
      </c>
      <c r="AN4203">
        <v>0.99999997315716205</v>
      </c>
    </row>
    <row r="4204" spans="1:40" x14ac:dyDescent="0.3">
      <c r="A4204" t="str">
        <f>"20200111160541793"</f>
        <v>20200111160541793</v>
      </c>
      <c r="B4204" t="str">
        <f>"1578729941785770"</f>
        <v>1578729941785770</v>
      </c>
      <c r="C4204" t="s">
        <v>40</v>
      </c>
      <c r="D4204">
        <v>5.2806930000000003</v>
      </c>
      <c r="E4204">
        <v>0.52388119999999905</v>
      </c>
      <c r="F4204" t="s">
        <v>42</v>
      </c>
      <c r="G4204">
        <v>-346.041</v>
      </c>
      <c r="H4204">
        <v>1.039682</v>
      </c>
      <c r="I4204">
        <v>141.94200000000001</v>
      </c>
      <c r="J4204">
        <v>-345.43689999999998</v>
      </c>
      <c r="K4204">
        <v>1.1100669999999999</v>
      </c>
      <c r="L4204">
        <v>141.8152</v>
      </c>
      <c r="M4204">
        <v>-0.99969459999999999</v>
      </c>
      <c r="N4204">
        <v>0</v>
      </c>
      <c r="O4204">
        <v>-2.0196909999999998E-2</v>
      </c>
      <c r="P4204">
        <v>-0.99732240000000005</v>
      </c>
      <c r="Q4204">
        <v>-2.3038389999999998E-3</v>
      </c>
      <c r="R4204">
        <v>-7.3095179999999996E-2</v>
      </c>
      <c r="S4204">
        <v>-3.0414119999999998</v>
      </c>
      <c r="T4204">
        <v>-0.25722460000000003</v>
      </c>
      <c r="U4204">
        <v>0.44679259999999899</v>
      </c>
      <c r="V4204">
        <v>-5.2924529999999997E-2</v>
      </c>
      <c r="W4204">
        <v>1.196911E-2</v>
      </c>
      <c r="X4204">
        <v>0.99852680000000005</v>
      </c>
      <c r="Y4204">
        <v>0.16465150000000001</v>
      </c>
      <c r="Z4204">
        <v>8.6100599999999992E-3</v>
      </c>
      <c r="AA4204">
        <v>0.98631420000000003</v>
      </c>
      <c r="AB4204">
        <v>30</v>
      </c>
      <c r="AC4204">
        <v>-0.60410000000001596</v>
      </c>
      <c r="AD4204">
        <v>-7.0384999999999906E-2</v>
      </c>
      <c r="AE4204">
        <v>0.12680000000000199</v>
      </c>
      <c r="AF4204">
        <v>0.13719251130319801</v>
      </c>
      <c r="AG4204">
        <v>-7.0384999999999906E-2</v>
      </c>
      <c r="AH4204">
        <v>0.59369614539019</v>
      </c>
      <c r="AI4204">
        <v>96.589032227382305</v>
      </c>
      <c r="AJ4204">
        <v>76.988368395872001</v>
      </c>
      <c r="AK4204">
        <v>0.61339297879405896</v>
      </c>
      <c r="AL4204">
        <v>89.314204149606894</v>
      </c>
      <c r="AM4204">
        <v>93.033987075712503</v>
      </c>
      <c r="AN4204">
        <v>1.00000001789407</v>
      </c>
    </row>
    <row r="4205" spans="1:40" x14ac:dyDescent="0.3">
      <c r="A4205" t="str">
        <f>"20200111160541811"</f>
        <v>20200111160541811</v>
      </c>
      <c r="B4205" t="str">
        <f>"1578729941806267"</f>
        <v>1578729941806267</v>
      </c>
      <c r="C4205" t="s">
        <v>40</v>
      </c>
      <c r="D4205">
        <v>5.3413029999999999</v>
      </c>
      <c r="E4205">
        <v>0.50409199999999998</v>
      </c>
      <c r="F4205" t="s">
        <v>41</v>
      </c>
      <c r="G4205">
        <v>-363.41649999999998</v>
      </c>
      <c r="H4205" s="1">
        <v>-3.3349879999999999E-6</v>
      </c>
      <c r="I4205">
        <v>141.60210000000001</v>
      </c>
      <c r="J4205">
        <v>-345.67349999999999</v>
      </c>
      <c r="K4205">
        <v>1.110047</v>
      </c>
      <c r="L4205">
        <v>141.8109</v>
      </c>
      <c r="M4205">
        <v>-0.99970250000000005</v>
      </c>
      <c r="N4205">
        <v>0</v>
      </c>
      <c r="O4205">
        <v>-1.9804970000000002E-2</v>
      </c>
      <c r="P4205">
        <v>-0.99751769999999995</v>
      </c>
      <c r="Q4205">
        <v>-2.478184E-3</v>
      </c>
      <c r="R4205">
        <v>-7.0373119999999997E-2</v>
      </c>
      <c r="S4205">
        <v>-3.0050349999999999</v>
      </c>
      <c r="T4205">
        <v>-0.1855328</v>
      </c>
      <c r="U4205">
        <v>-3.5614010000000001E-2</v>
      </c>
      <c r="V4205">
        <v>-5.059048E-2</v>
      </c>
      <c r="W4205">
        <v>1.179507E-2</v>
      </c>
      <c r="X4205">
        <v>0.99864980000000003</v>
      </c>
      <c r="Y4205">
        <v>7.9045439999999995E-3</v>
      </c>
      <c r="Z4205">
        <v>1.465369E-3</v>
      </c>
      <c r="AA4205">
        <v>0.99996770000000001</v>
      </c>
      <c r="AB4205">
        <v>30</v>
      </c>
      <c r="AC4205">
        <v>-17.742999999999899</v>
      </c>
      <c r="AD4205">
        <v>-1.110050334988</v>
      </c>
      <c r="AE4205">
        <v>-0.20879999999999599</v>
      </c>
      <c r="AF4205">
        <v>0.14211996599799501</v>
      </c>
      <c r="AG4205">
        <v>-1.110050334988</v>
      </c>
      <c r="AH4205">
        <v>17.674484906629399</v>
      </c>
      <c r="AI4205">
        <v>93.593639307128001</v>
      </c>
      <c r="AJ4205">
        <v>89.539296404525203</v>
      </c>
      <c r="AK4205">
        <v>17.709879348702898</v>
      </c>
      <c r="AL4205">
        <v>89.324176579682401</v>
      </c>
      <c r="AM4205">
        <v>92.900060862449905</v>
      </c>
      <c r="AN4205">
        <v>0.99999997169148702</v>
      </c>
    </row>
    <row r="4206" spans="1:40" x14ac:dyDescent="0.3">
      <c r="A4206" t="str">
        <f>"20200111160541828"</f>
        <v>20200111160541828</v>
      </c>
      <c r="B4206" t="str">
        <f>"1578729941815559"</f>
        <v>1578729941815559</v>
      </c>
      <c r="C4206" t="s">
        <v>40</v>
      </c>
      <c r="D4206">
        <v>5.3625889999999998</v>
      </c>
      <c r="E4206">
        <v>0.49941140000000001</v>
      </c>
      <c r="F4206" t="s">
        <v>41</v>
      </c>
      <c r="G4206">
        <v>-360.22</v>
      </c>
      <c r="H4206" s="1">
        <v>-4.4293610000000003E-6</v>
      </c>
      <c r="I4206">
        <v>140.90270000000001</v>
      </c>
      <c r="J4206">
        <v>-345.88389999999998</v>
      </c>
      <c r="K4206">
        <v>1.1100289999999999</v>
      </c>
      <c r="L4206">
        <v>141.80709999999999</v>
      </c>
      <c r="M4206">
        <v>-0.99970970000000003</v>
      </c>
      <c r="N4206">
        <v>0</v>
      </c>
      <c r="O4206">
        <v>-1.9439430000000001E-2</v>
      </c>
      <c r="P4206">
        <v>-0.99760199999999999</v>
      </c>
      <c r="Q4206">
        <v>-2.3021270000000002E-3</v>
      </c>
      <c r="R4206">
        <v>-6.9176029999999999E-2</v>
      </c>
      <c r="S4206">
        <v>-2.9937130000000001</v>
      </c>
      <c r="T4206">
        <v>-0.2284534</v>
      </c>
      <c r="U4206">
        <v>-0.18688959999999999</v>
      </c>
      <c r="V4206">
        <v>-4.9756080000000001E-2</v>
      </c>
      <c r="W4206">
        <v>1.197054E-2</v>
      </c>
      <c r="X4206">
        <v>0.99868970000000001</v>
      </c>
      <c r="Y4206">
        <v>-4.2822979999999997E-2</v>
      </c>
      <c r="Z4206">
        <v>-1.502699E-4</v>
      </c>
      <c r="AA4206">
        <v>0.99908269999999999</v>
      </c>
      <c r="AB4206">
        <v>30</v>
      </c>
      <c r="AC4206">
        <v>-14.3361</v>
      </c>
      <c r="AD4206">
        <v>-1.1100334293609999</v>
      </c>
      <c r="AE4206">
        <v>-0.904399999999981</v>
      </c>
      <c r="AF4206">
        <v>-0.62180211017796305</v>
      </c>
      <c r="AG4206">
        <v>-1.1100334293609999</v>
      </c>
      <c r="AH4206">
        <v>14.265784790776101</v>
      </c>
      <c r="AI4206">
        <v>94.445067223076705</v>
      </c>
      <c r="AJ4206">
        <v>92.495768818948903</v>
      </c>
      <c r="AK4206">
        <v>14.322409984889401</v>
      </c>
      <c r="AL4206">
        <v>89.314122225322606</v>
      </c>
      <c r="AM4206">
        <v>92.8521953947931</v>
      </c>
      <c r="AN4206">
        <v>1.00000003910547</v>
      </c>
    </row>
    <row r="4207" spans="1:40" x14ac:dyDescent="0.3">
      <c r="A4207" t="str">
        <f>"20200111160541844"</f>
        <v>20200111160541844</v>
      </c>
      <c r="B4207" t="str">
        <f>"1578729941836055"</f>
        <v>1578729941836055</v>
      </c>
      <c r="C4207" t="s">
        <v>40</v>
      </c>
      <c r="D4207">
        <v>5.3743460000000001</v>
      </c>
      <c r="E4207">
        <v>0.4954017</v>
      </c>
      <c r="F4207" t="s">
        <v>41</v>
      </c>
      <c r="G4207">
        <v>-359.71190000000001</v>
      </c>
      <c r="H4207" s="1">
        <v>-4.167199E-7</v>
      </c>
      <c r="I4207">
        <v>140.78450000000001</v>
      </c>
      <c r="J4207">
        <v>-346.11160000000001</v>
      </c>
      <c r="K4207">
        <v>1.1100159999999999</v>
      </c>
      <c r="L4207">
        <v>141.8031</v>
      </c>
      <c r="M4207">
        <v>-0.99971750000000004</v>
      </c>
      <c r="N4207">
        <v>0</v>
      </c>
      <c r="O4207">
        <v>-1.902715E-2</v>
      </c>
      <c r="P4207">
        <v>-0.9977319</v>
      </c>
      <c r="Q4207">
        <v>-1.861742E-3</v>
      </c>
      <c r="R4207">
        <v>-6.7286479999999996E-2</v>
      </c>
      <c r="S4207">
        <v>-2.9913020000000001</v>
      </c>
      <c r="T4207">
        <v>-0.24012269999999999</v>
      </c>
      <c r="U4207">
        <v>-0.22119140000000001</v>
      </c>
      <c r="V4207">
        <v>-4.8275690000000003E-2</v>
      </c>
      <c r="W4207">
        <v>1.2410630000000001E-2</v>
      </c>
      <c r="X4207">
        <v>0.99875689999999995</v>
      </c>
      <c r="Y4207">
        <v>-5.4639010000000002E-2</v>
      </c>
      <c r="Z4207">
        <v>-6.6386859999999995E-4</v>
      </c>
      <c r="AA4207">
        <v>0.99850589999999995</v>
      </c>
      <c r="AB4207">
        <v>30</v>
      </c>
      <c r="AC4207">
        <v>-13.600300000000001</v>
      </c>
      <c r="AD4207">
        <v>-1.11001641671989</v>
      </c>
      <c r="AE4207">
        <v>-1.01859999999999</v>
      </c>
      <c r="AF4207">
        <v>-0.75461564489157396</v>
      </c>
      <c r="AG4207">
        <v>-1.11001641671989</v>
      </c>
      <c r="AH4207">
        <v>13.5276110087656</v>
      </c>
      <c r="AI4207">
        <v>94.683681782736798</v>
      </c>
      <c r="AJ4207">
        <v>93.192842239300504</v>
      </c>
      <c r="AK4207">
        <v>13.5940369582173</v>
      </c>
      <c r="AL4207">
        <v>89.288904993307995</v>
      </c>
      <c r="AM4207">
        <v>92.767282206258201</v>
      </c>
      <c r="AN4207">
        <v>0.99999995563979005</v>
      </c>
    </row>
    <row r="4208" spans="1:40" x14ac:dyDescent="0.3">
      <c r="A4208" t="str">
        <f>"20200111160541860"</f>
        <v>20200111160541860</v>
      </c>
      <c r="B4208" t="str">
        <f>"1578729941855576"</f>
        <v>1578729941855576</v>
      </c>
      <c r="C4208" t="s">
        <v>40</v>
      </c>
      <c r="D4208">
        <v>5.1621629999999996</v>
      </c>
      <c r="E4208">
        <v>0.49256650000000002</v>
      </c>
      <c r="F4208" t="s">
        <v>41</v>
      </c>
      <c r="G4208">
        <v>-359.12470000000002</v>
      </c>
      <c r="H4208" s="1">
        <v>-6.5215249999999898E-7</v>
      </c>
      <c r="I4208">
        <v>140.7225</v>
      </c>
      <c r="J4208">
        <v>-346.32409999999999</v>
      </c>
      <c r="K4208">
        <v>1.1100019999999999</v>
      </c>
      <c r="L4208">
        <v>141.79949999999999</v>
      </c>
      <c r="M4208">
        <v>-0.99972519999999998</v>
      </c>
      <c r="N4208">
        <v>0</v>
      </c>
      <c r="O4208">
        <v>-1.8627319999999999E-2</v>
      </c>
      <c r="P4208">
        <v>-0.99779759999999995</v>
      </c>
      <c r="Q4208">
        <v>-1.53512299999999E-3</v>
      </c>
      <c r="R4208">
        <v>-6.631484E-2</v>
      </c>
      <c r="S4208">
        <v>-2.9896240000000001</v>
      </c>
      <c r="T4208">
        <v>-0.2550153</v>
      </c>
      <c r="U4208">
        <v>-0.2482452</v>
      </c>
      <c r="V4208">
        <v>-4.7701609999999998E-2</v>
      </c>
      <c r="W4208">
        <v>1.273723E-2</v>
      </c>
      <c r="X4208">
        <v>0.99878040000000001</v>
      </c>
      <c r="Y4208">
        <v>-6.4007540000000002E-2</v>
      </c>
      <c r="Z4208">
        <v>-1.137213E-3</v>
      </c>
      <c r="AA4208">
        <v>0.99794879999999997</v>
      </c>
      <c r="AB4208">
        <v>30</v>
      </c>
      <c r="AC4208">
        <v>-12.800599999999999</v>
      </c>
      <c r="AD4208">
        <v>-1.1100026521524999</v>
      </c>
      <c r="AE4208">
        <v>-1.07699999999999</v>
      </c>
      <c r="AF4208">
        <v>-0.83213484315570896</v>
      </c>
      <c r="AG4208">
        <v>-1.1100026521524999</v>
      </c>
      <c r="AH4208">
        <v>12.723441199379099</v>
      </c>
      <c r="AI4208">
        <v>94.975327823945307</v>
      </c>
      <c r="AJ4208">
        <v>93.741912970752196</v>
      </c>
      <c r="AK4208">
        <v>12.798848004372701</v>
      </c>
      <c r="AL4208">
        <v>89.270190732064805</v>
      </c>
      <c r="AM4208">
        <v>92.734360523090899</v>
      </c>
      <c r="AN4208">
        <v>0.99999998402441204</v>
      </c>
    </row>
    <row r="4209" spans="1:40" x14ac:dyDescent="0.3">
      <c r="A4209" t="str">
        <f>"20200111160541878"</f>
        <v>20200111160541878</v>
      </c>
      <c r="B4209" t="str">
        <f>"1578729941866310"</f>
        <v>1578729941866310</v>
      </c>
      <c r="C4209" t="s">
        <v>40</v>
      </c>
      <c r="D4209">
        <v>5.2087000000000003</v>
      </c>
      <c r="E4209">
        <v>0.49155310000000002</v>
      </c>
      <c r="F4209" t="s">
        <v>41</v>
      </c>
      <c r="G4209">
        <v>-358.92149999999998</v>
      </c>
      <c r="H4209" s="1">
        <v>-7.247612E-7</v>
      </c>
      <c r="I4209">
        <v>140.6678</v>
      </c>
      <c r="J4209">
        <v>-346.5505</v>
      </c>
      <c r="K4209">
        <v>1.109993</v>
      </c>
      <c r="L4209">
        <v>141.79570000000001</v>
      </c>
      <c r="M4209">
        <v>-0.99973319999999999</v>
      </c>
      <c r="N4209">
        <v>0</v>
      </c>
      <c r="O4209">
        <v>-1.8190069999999999E-2</v>
      </c>
      <c r="P4209">
        <v>-0.99784010000000001</v>
      </c>
      <c r="Q4209">
        <v>-9.6564929999999995E-4</v>
      </c>
      <c r="R4209">
        <v>-6.5681589999999998E-2</v>
      </c>
      <c r="S4209">
        <v>-2.9883730000000002</v>
      </c>
      <c r="T4209">
        <v>-0.26331680000000002</v>
      </c>
      <c r="U4209">
        <v>-0.26843260000000002</v>
      </c>
      <c r="V4209">
        <v>-4.7503139999999999E-2</v>
      </c>
      <c r="W4209">
        <v>1.330605E-2</v>
      </c>
      <c r="X4209">
        <v>0.99878250000000002</v>
      </c>
      <c r="Y4209">
        <v>-7.1128319999999995E-2</v>
      </c>
      <c r="Z4209">
        <v>-1.5251129999999901E-3</v>
      </c>
      <c r="AA4209">
        <v>0.99746599999999996</v>
      </c>
      <c r="AB4209">
        <v>30</v>
      </c>
      <c r="AC4209">
        <v>-12.370999999999899</v>
      </c>
      <c r="AD4209">
        <v>-1.1099937247612</v>
      </c>
      <c r="AE4209">
        <v>-1.1279000000000099</v>
      </c>
      <c r="AF4209">
        <v>-0.89551116664129904</v>
      </c>
      <c r="AG4209">
        <v>-1.1099937247612</v>
      </c>
      <c r="AH4209">
        <v>12.2913338555213</v>
      </c>
      <c r="AI4209">
        <v>95.146645673702693</v>
      </c>
      <c r="AJ4209">
        <v>94.167042693176498</v>
      </c>
      <c r="AK4209">
        <v>12.373799508092601</v>
      </c>
      <c r="AL4209">
        <v>89.237597025617703</v>
      </c>
      <c r="AM4209">
        <v>92.7229952310459</v>
      </c>
      <c r="AN4209">
        <v>1.0000000407913501</v>
      </c>
    </row>
    <row r="4210" spans="1:40" x14ac:dyDescent="0.3">
      <c r="A4210" t="str">
        <f>"20200111160541901"</f>
        <v>20200111160541901</v>
      </c>
      <c r="B4210" t="str">
        <f>"1578729941895591"</f>
        <v>1578729941895591</v>
      </c>
      <c r="C4210" t="s">
        <v>40</v>
      </c>
      <c r="D4210">
        <v>5.227582</v>
      </c>
      <c r="E4210">
        <v>0.4892319</v>
      </c>
      <c r="F4210" t="s">
        <v>41</v>
      </c>
      <c r="G4210">
        <v>-359.06699999999898</v>
      </c>
      <c r="H4210" s="1">
        <v>-6.5639339999999996E-7</v>
      </c>
      <c r="I4210">
        <v>140.6454</v>
      </c>
      <c r="J4210">
        <v>-346.85070000000002</v>
      </c>
      <c r="K4210">
        <v>1.109977</v>
      </c>
      <c r="L4210">
        <v>141.79089999999999</v>
      </c>
      <c r="M4210">
        <v>-0.99974399999999997</v>
      </c>
      <c r="N4210">
        <v>0</v>
      </c>
      <c r="O4210">
        <v>-1.759521E-2</v>
      </c>
      <c r="P4210">
        <v>-0.99785409999999997</v>
      </c>
      <c r="Q4210">
        <v>-3.9212589999999999E-4</v>
      </c>
      <c r="R4210">
        <v>-6.5477030000000006E-2</v>
      </c>
      <c r="S4210">
        <v>-2.988159</v>
      </c>
      <c r="T4210">
        <v>-0.26499679999999998</v>
      </c>
      <c r="U4210">
        <v>-0.27459719999999999</v>
      </c>
      <c r="V4210">
        <v>-4.7891860000000001E-2</v>
      </c>
      <c r="W4210">
        <v>1.38782E-2</v>
      </c>
      <c r="X4210">
        <v>0.99875610000000004</v>
      </c>
      <c r="Y4210">
        <v>-7.3753719999999995E-2</v>
      </c>
      <c r="Z4210">
        <v>-1.7032410000000001E-3</v>
      </c>
      <c r="AA4210">
        <v>0.99727509999999997</v>
      </c>
      <c r="AB4210">
        <v>30</v>
      </c>
      <c r="AC4210">
        <v>-12.216299999999899</v>
      </c>
      <c r="AD4210">
        <v>-1.1099776563933901</v>
      </c>
      <c r="AE4210">
        <v>-1.14549999999999</v>
      </c>
      <c r="AF4210">
        <v>-0.92280063682617197</v>
      </c>
      <c r="AG4210">
        <v>-1.1099776563933901</v>
      </c>
      <c r="AH4210">
        <v>12.1352550629581</v>
      </c>
      <c r="AI4210">
        <v>95.211179820219598</v>
      </c>
      <c r="AJ4210">
        <v>94.348571269213494</v>
      </c>
      <c r="AK4210">
        <v>12.220803036464901</v>
      </c>
      <c r="AL4210">
        <v>89.204812178085305</v>
      </c>
      <c r="AM4210">
        <v>92.745316109309002</v>
      </c>
      <c r="AN4210">
        <v>0.99999999098835402</v>
      </c>
    </row>
    <row r="4211" spans="1:40" x14ac:dyDescent="0.3">
      <c r="A4211" t="str">
        <f>"20200111160541915"</f>
        <v>20200111160541915</v>
      </c>
      <c r="B4211" t="str">
        <f>"1578729941906327"</f>
        <v>1578729941906327</v>
      </c>
      <c r="C4211" t="s">
        <v>40</v>
      </c>
      <c r="D4211">
        <v>5.1775589999999996</v>
      </c>
      <c r="E4211">
        <v>0.48868489999999998</v>
      </c>
      <c r="F4211" t="s">
        <v>41</v>
      </c>
      <c r="G4211">
        <v>-359.18020000000001</v>
      </c>
      <c r="H4211" s="1">
        <v>-5.9115329999999995E-7</v>
      </c>
      <c r="I4211">
        <v>140.58279999999999</v>
      </c>
      <c r="J4211">
        <v>-347.05200000000002</v>
      </c>
      <c r="K4211">
        <v>1.1099699999999999</v>
      </c>
      <c r="L4211">
        <v>141.7878</v>
      </c>
      <c r="M4211">
        <v>-0.9997511</v>
      </c>
      <c r="N4211">
        <v>0</v>
      </c>
      <c r="O4211">
        <v>-1.7187629999999999E-2</v>
      </c>
      <c r="P4211">
        <v>-0.99785820000000003</v>
      </c>
      <c r="Q4211">
        <v>-1.7300989999999999E-4</v>
      </c>
      <c r="R4211">
        <v>-6.5415130000000002E-2</v>
      </c>
      <c r="S4211">
        <v>-2.9871829999999999</v>
      </c>
      <c r="T4211">
        <v>-0.26892379999999999</v>
      </c>
      <c r="U4211">
        <v>-0.29267880000000002</v>
      </c>
      <c r="V4211">
        <v>-4.8236519999999998E-2</v>
      </c>
      <c r="W4211">
        <v>1.40961E-2</v>
      </c>
      <c r="X4211">
        <v>0.99873650000000003</v>
      </c>
      <c r="Y4211">
        <v>-8.0137379999999994E-2</v>
      </c>
      <c r="Z4211">
        <v>-2.051074E-3</v>
      </c>
      <c r="AA4211">
        <v>0.99678169999999999</v>
      </c>
      <c r="AB4211">
        <v>30</v>
      </c>
      <c r="AC4211">
        <v>-12.1282</v>
      </c>
      <c r="AD4211">
        <v>-1.1099705911533</v>
      </c>
      <c r="AE4211">
        <v>-1.2050000000000101</v>
      </c>
      <c r="AF4211">
        <v>-0.9881501390713</v>
      </c>
      <c r="AG4211">
        <v>-1.1099705911533</v>
      </c>
      <c r="AH4211">
        <v>12.047201753231001</v>
      </c>
      <c r="AI4211">
        <v>95.246572119580506</v>
      </c>
      <c r="AJ4211">
        <v>94.689086702438601</v>
      </c>
      <c r="AK4211">
        <v>12.13851496245</v>
      </c>
      <c r="AL4211">
        <v>89.192326236988293</v>
      </c>
      <c r="AM4211">
        <v>92.765096761233394</v>
      </c>
      <c r="AN4211">
        <v>1.0000000291645801</v>
      </c>
    </row>
    <row r="4212" spans="1:40" x14ac:dyDescent="0.3">
      <c r="A4212" t="str">
        <f>"20200111160541929"</f>
        <v>20200111160541929</v>
      </c>
      <c r="B4212" t="str">
        <f>"1578729941925846"</f>
        <v>1578729941925846</v>
      </c>
      <c r="C4212" t="s">
        <v>40</v>
      </c>
      <c r="D4212">
        <v>5.2068120000000002</v>
      </c>
      <c r="E4212">
        <v>0.48783100000000001</v>
      </c>
      <c r="F4212" t="s">
        <v>41</v>
      </c>
      <c r="G4212">
        <v>-359.38479999999998</v>
      </c>
      <c r="H4212" s="1">
        <v>-4.9764619999999999E-7</v>
      </c>
      <c r="I4212">
        <v>140.56110000000001</v>
      </c>
      <c r="J4212">
        <v>-347.23719999999997</v>
      </c>
      <c r="K4212">
        <v>1.109964</v>
      </c>
      <c r="L4212">
        <v>141.785</v>
      </c>
      <c r="M4212">
        <v>-0.99975760000000002</v>
      </c>
      <c r="N4212">
        <v>0</v>
      </c>
      <c r="O4212">
        <v>-1.680953E-2</v>
      </c>
      <c r="P4212">
        <v>-0.99787219999999999</v>
      </c>
      <c r="Q4212" s="1">
        <v>6.1076130000000005E-5</v>
      </c>
      <c r="R4212">
        <v>-6.5203609999999995E-2</v>
      </c>
      <c r="S4212">
        <v>-2.9869080000000001</v>
      </c>
      <c r="T4212">
        <v>-0.26882830000000002</v>
      </c>
      <c r="U4212">
        <v>-0.29707339999999999</v>
      </c>
      <c r="V4212">
        <v>-4.8402090000000002E-2</v>
      </c>
      <c r="W4212">
        <v>1.4329720000000001E-2</v>
      </c>
      <c r="X4212">
        <v>0.99872510000000003</v>
      </c>
      <c r="Y4212">
        <v>-8.1966830000000004E-2</v>
      </c>
      <c r="Z4212">
        <v>-2.1662180000000001E-3</v>
      </c>
      <c r="AA4212">
        <v>0.99663270000000004</v>
      </c>
      <c r="AB4212">
        <v>30</v>
      </c>
      <c r="AC4212">
        <v>-12.147600000000001</v>
      </c>
      <c r="AD4212">
        <v>-1.1099644976462</v>
      </c>
      <c r="AE4212">
        <v>-1.22389999999998</v>
      </c>
      <c r="AF4212">
        <v>-1.0111536088973101</v>
      </c>
      <c r="AG4212">
        <v>-1.1099644976462</v>
      </c>
      <c r="AH4212">
        <v>12.0667252517165</v>
      </c>
      <c r="AI4212">
        <v>95.237341320765196</v>
      </c>
      <c r="AJ4212">
        <v>94.790015273100394</v>
      </c>
      <c r="AK4212">
        <v>12.1597825271357</v>
      </c>
      <c r="AL4212">
        <v>89.178939391881499</v>
      </c>
      <c r="AM4212">
        <v>92.774604664938195</v>
      </c>
      <c r="AN4212">
        <v>0.99999996428082705</v>
      </c>
    </row>
    <row r="4213" spans="1:40" x14ac:dyDescent="0.3">
      <c r="A4213" t="str">
        <f>"20200111160541946"</f>
        <v>20200111160541946</v>
      </c>
      <c r="B4213" t="str">
        <f>"1578729941935607"</f>
        <v>1578729941935607</v>
      </c>
      <c r="C4213" t="s">
        <v>40</v>
      </c>
      <c r="D4213">
        <v>5.1627929999999997</v>
      </c>
      <c r="E4213">
        <v>0.48755159999999997</v>
      </c>
      <c r="F4213" t="s">
        <v>41</v>
      </c>
      <c r="G4213">
        <v>-359.45830000000001</v>
      </c>
      <c r="H4213" s="1">
        <v>-4.6112479999999998E-7</v>
      </c>
      <c r="I4213">
        <v>140.54249999999999</v>
      </c>
      <c r="J4213">
        <v>-347.45150000000001</v>
      </c>
      <c r="K4213">
        <v>1.1099570000000001</v>
      </c>
      <c r="L4213">
        <v>141.7818</v>
      </c>
      <c r="M4213">
        <v>-0.99976489999999996</v>
      </c>
      <c r="N4213">
        <v>0</v>
      </c>
      <c r="O4213">
        <v>-1.6368980000000002E-2</v>
      </c>
      <c r="P4213">
        <v>-0.9978302</v>
      </c>
      <c r="Q4213" s="1">
        <v>3.495626E-5</v>
      </c>
      <c r="R4213">
        <v>-6.5843040000000005E-2</v>
      </c>
      <c r="S4213">
        <v>-2.9866030000000001</v>
      </c>
      <c r="T4213">
        <v>-0.27125460000000001</v>
      </c>
      <c r="U4213">
        <v>-0.30361939999999998</v>
      </c>
      <c r="V4213">
        <v>-4.948168E-2</v>
      </c>
      <c r="W4213">
        <v>1.4302540000000001E-2</v>
      </c>
      <c r="X4213">
        <v>0.99867260000000002</v>
      </c>
      <c r="Y4213">
        <v>-8.4561230000000001E-2</v>
      </c>
      <c r="Z4213">
        <v>-2.342766E-3</v>
      </c>
      <c r="AA4213">
        <v>0.99641559999999996</v>
      </c>
      <c r="AB4213">
        <v>30</v>
      </c>
      <c r="AC4213">
        <v>-12.006799999999901</v>
      </c>
      <c r="AD4213">
        <v>-1.10995746112479</v>
      </c>
      <c r="AE4213">
        <v>-1.2393000000000101</v>
      </c>
      <c r="AF4213">
        <v>-1.03383307462555</v>
      </c>
      <c r="AG4213">
        <v>-1.10995746112479</v>
      </c>
      <c r="AH4213">
        <v>11.924646449953499</v>
      </c>
      <c r="AI4213">
        <v>95.298062946810006</v>
      </c>
      <c r="AJ4213">
        <v>94.954992032944105</v>
      </c>
      <c r="AK4213">
        <v>12.020732479682099</v>
      </c>
      <c r="AL4213">
        <v>89.180496864248596</v>
      </c>
      <c r="AM4213">
        <v>92.836540059492506</v>
      </c>
      <c r="AN4213">
        <v>0.999999980648416</v>
      </c>
    </row>
    <row r="4214" spans="1:40" x14ac:dyDescent="0.3">
      <c r="A4214" t="str">
        <f>"20200111160541967"</f>
        <v>20200111160541967</v>
      </c>
      <c r="B4214" t="str">
        <f>"1578729941956103"</f>
        <v>1578729941956103</v>
      </c>
      <c r="C4214" t="s">
        <v>40</v>
      </c>
      <c r="D4214">
        <v>5.1928169999999998</v>
      </c>
      <c r="E4214">
        <v>0.48713669999999998</v>
      </c>
      <c r="F4214" t="s">
        <v>41</v>
      </c>
      <c r="G4214">
        <v>-359.64319999999998</v>
      </c>
      <c r="H4214" s="1">
        <v>-3.7707960000000002E-7</v>
      </c>
      <c r="I4214">
        <v>140.52459999999999</v>
      </c>
      <c r="J4214">
        <v>-347.73770000000002</v>
      </c>
      <c r="K4214">
        <v>1.1099509999999999</v>
      </c>
      <c r="L4214">
        <v>141.77780000000001</v>
      </c>
      <c r="M4214">
        <v>-0.99977450000000001</v>
      </c>
      <c r="N4214">
        <v>0</v>
      </c>
      <c r="O4214">
        <v>-1.5778009999999999E-2</v>
      </c>
      <c r="P4214">
        <v>-0.99779059999999997</v>
      </c>
      <c r="Q4214">
        <v>-1.3664180000000001E-4</v>
      </c>
      <c r="R4214">
        <v>-6.6438960000000005E-2</v>
      </c>
      <c r="S4214">
        <v>-2.986237</v>
      </c>
      <c r="T4214">
        <v>-0.27187509999999998</v>
      </c>
      <c r="U4214">
        <v>-0.30792239999999999</v>
      </c>
      <c r="V4214">
        <v>-5.066847E-2</v>
      </c>
      <c r="W4214">
        <v>1.412852E-2</v>
      </c>
      <c r="X4214">
        <v>0.99861560000000005</v>
      </c>
      <c r="Y4214">
        <v>-8.6571270000000006E-2</v>
      </c>
      <c r="Z4214">
        <v>-2.4928239999999998E-3</v>
      </c>
      <c r="AA4214">
        <v>0.99624250000000003</v>
      </c>
      <c r="AB4214">
        <v>30</v>
      </c>
      <c r="AC4214">
        <v>-11.9054999999999</v>
      </c>
      <c r="AD4214">
        <v>-1.1099513770795999</v>
      </c>
      <c r="AE4214">
        <v>-1.2532000000000201</v>
      </c>
      <c r="AF4214">
        <v>-1.0561010110329001</v>
      </c>
      <c r="AG4214">
        <v>-1.1099513770795999</v>
      </c>
      <c r="AH4214">
        <v>11.8221622204595</v>
      </c>
      <c r="AI4214">
        <v>95.342474471892999</v>
      </c>
      <c r="AJ4214">
        <v>95.104813627421194</v>
      </c>
      <c r="AK4214">
        <v>11.9210260033206</v>
      </c>
      <c r="AL4214">
        <v>89.190468509580896</v>
      </c>
      <c r="AM4214">
        <v>92.904623232569804</v>
      </c>
      <c r="AN4214">
        <v>1.0000000127464399</v>
      </c>
    </row>
    <row r="4215" spans="1:40" x14ac:dyDescent="0.3">
      <c r="A4215" t="str">
        <f>"20200111160541989"</f>
        <v>20200111160541989</v>
      </c>
      <c r="B4215" t="str">
        <f>"1578729941986359"</f>
        <v>1578729941986359</v>
      </c>
      <c r="C4215" t="s">
        <v>40</v>
      </c>
      <c r="D4215">
        <v>5.1984000000000004</v>
      </c>
      <c r="E4215">
        <v>0.48653879999999999</v>
      </c>
      <c r="F4215" t="s">
        <v>41</v>
      </c>
      <c r="G4215">
        <v>-359.8252</v>
      </c>
      <c r="H4215" s="1">
        <v>-2.9514620000000003E-7</v>
      </c>
      <c r="I4215">
        <v>140.5102</v>
      </c>
      <c r="J4215">
        <v>-348.0231</v>
      </c>
      <c r="K4215">
        <v>1.1099490000000001</v>
      </c>
      <c r="L4215">
        <v>141.7739</v>
      </c>
      <c r="M4215">
        <v>-0.99978370000000005</v>
      </c>
      <c r="N4215">
        <v>0</v>
      </c>
      <c r="O4215">
        <v>-1.518767E-2</v>
      </c>
      <c r="P4215">
        <v>-0.99774960000000001</v>
      </c>
      <c r="Q4215">
        <v>-5.671885E-4</v>
      </c>
      <c r="R4215">
        <v>-6.7049259999999999E-2</v>
      </c>
      <c r="S4215">
        <v>-2.985779</v>
      </c>
      <c r="T4215">
        <v>-0.2741731</v>
      </c>
      <c r="U4215">
        <v>-0.31309510000000002</v>
      </c>
      <c r="V4215">
        <v>-5.1870149999999997E-2</v>
      </c>
      <c r="W4215">
        <v>1.3696069999999999E-2</v>
      </c>
      <c r="X4215">
        <v>0.99855989999999994</v>
      </c>
      <c r="Y4215">
        <v>-8.8865420000000001E-2</v>
      </c>
      <c r="Z4215">
        <v>-2.6727209999999999E-3</v>
      </c>
      <c r="AA4215">
        <v>0.99604000000000004</v>
      </c>
      <c r="AB4215">
        <v>29</v>
      </c>
      <c r="AC4215">
        <v>-11.8020999999999</v>
      </c>
      <c r="AD4215">
        <v>-1.1099492951462</v>
      </c>
      <c r="AE4215">
        <v>-1.2637</v>
      </c>
      <c r="AF4215">
        <v>-1.07489030001038</v>
      </c>
      <c r="AG4215">
        <v>-1.1099492951462</v>
      </c>
      <c r="AH4215">
        <v>11.7174692149311</v>
      </c>
      <c r="AI4215">
        <v>95.388762922224501</v>
      </c>
      <c r="AJ4215">
        <v>95.241301710530095</v>
      </c>
      <c r="AK4215">
        <v>11.818902715468599</v>
      </c>
      <c r="AL4215">
        <v>89.215248445236895</v>
      </c>
      <c r="AM4215">
        <v>92.973554171156195</v>
      </c>
      <c r="AN4215">
        <v>0.99999998434123805</v>
      </c>
    </row>
    <row r="4216" spans="1:40" x14ac:dyDescent="0.3">
      <c r="A4216" t="str">
        <f>"20200111160542012"</f>
        <v>20200111160542012</v>
      </c>
      <c r="B4216" t="str">
        <f>"1578729942005881"</f>
        <v>1578729942005881</v>
      </c>
      <c r="C4216" t="s">
        <v>40</v>
      </c>
      <c r="D4216">
        <v>5.2149519999999896</v>
      </c>
      <c r="E4216">
        <v>0.48601169999999999</v>
      </c>
      <c r="F4216" t="s">
        <v>41</v>
      </c>
      <c r="G4216">
        <v>-359.93040000000002</v>
      </c>
      <c r="H4216" s="1">
        <v>-2.4704389999999998E-7</v>
      </c>
      <c r="I4216">
        <v>140.49889999999999</v>
      </c>
      <c r="J4216">
        <v>-348.3272</v>
      </c>
      <c r="K4216">
        <v>1.10995</v>
      </c>
      <c r="L4216">
        <v>141.77000000000001</v>
      </c>
      <c r="M4216">
        <v>-0.99979309999999999</v>
      </c>
      <c r="N4216">
        <v>0</v>
      </c>
      <c r="O4216">
        <v>-1.4558730000000001E-2</v>
      </c>
      <c r="P4216">
        <v>-0.99774039999999997</v>
      </c>
      <c r="Q4216">
        <v>-9.6347930000000004E-4</v>
      </c>
      <c r="R4216">
        <v>-6.7181329999999997E-2</v>
      </c>
      <c r="S4216">
        <v>-2.9851380000000001</v>
      </c>
      <c r="T4216">
        <v>-0.27826339999999999</v>
      </c>
      <c r="U4216">
        <v>-0.31962590000000002</v>
      </c>
      <c r="V4216">
        <v>-5.2630820000000002E-2</v>
      </c>
      <c r="W4216">
        <v>1.329747E-2</v>
      </c>
      <c r="X4216">
        <v>0.99852549999999995</v>
      </c>
      <c r="Y4216">
        <v>-9.164485E-2</v>
      </c>
      <c r="Z4216">
        <v>-2.8999080000000001E-3</v>
      </c>
      <c r="AA4216">
        <v>0.99578759999999999</v>
      </c>
      <c r="AB4216">
        <v>29</v>
      </c>
      <c r="AC4216">
        <v>-11.603199999999999</v>
      </c>
      <c r="AD4216">
        <v>-1.1099502470439</v>
      </c>
      <c r="AE4216">
        <v>-1.2711000000000101</v>
      </c>
      <c r="AF4216">
        <v>-1.09214503719797</v>
      </c>
      <c r="AG4216">
        <v>-1.1099502470439</v>
      </c>
      <c r="AH4216">
        <v>11.5163451921652</v>
      </c>
      <c r="AI4216">
        <v>95.480747582510404</v>
      </c>
      <c r="AJ4216">
        <v>95.417405834331603</v>
      </c>
      <c r="AK4216">
        <v>11.6211435288571</v>
      </c>
      <c r="AL4216">
        <v>89.238088635828902</v>
      </c>
      <c r="AM4216">
        <v>93.017184776883994</v>
      </c>
      <c r="AN4216">
        <v>1.0000000000362601</v>
      </c>
    </row>
    <row r="4217" spans="1:40" x14ac:dyDescent="0.3">
      <c r="A4217" t="str">
        <f>"20200111160542027"</f>
        <v>20200111160542027</v>
      </c>
      <c r="B4217" t="str">
        <f>"1578729942016148"</f>
        <v>1578729942016148</v>
      </c>
      <c r="C4217" t="s">
        <v>40</v>
      </c>
      <c r="D4217">
        <v>5.1996070000000003</v>
      </c>
      <c r="E4217">
        <v>0.48597960000000001</v>
      </c>
      <c r="F4217" t="s">
        <v>41</v>
      </c>
      <c r="G4217">
        <v>-360.13310000000001</v>
      </c>
      <c r="H4217" s="1">
        <v>-4.3853119999999997E-6</v>
      </c>
      <c r="I4217">
        <v>140.48769999999999</v>
      </c>
      <c r="J4217">
        <v>-348.52620000000002</v>
      </c>
      <c r="K4217">
        <v>1.109947</v>
      </c>
      <c r="L4217">
        <v>141.76750000000001</v>
      </c>
      <c r="M4217">
        <v>-0.99979899999999999</v>
      </c>
      <c r="N4217">
        <v>0</v>
      </c>
      <c r="O4217">
        <v>-1.414843E-2</v>
      </c>
      <c r="P4217">
        <v>-0.99774609999999997</v>
      </c>
      <c r="Q4217">
        <v>-8.3458419999999896E-4</v>
      </c>
      <c r="R4217">
        <v>-6.7097970000000007E-2</v>
      </c>
      <c r="S4217">
        <v>-2.9847109999999999</v>
      </c>
      <c r="T4217">
        <v>-0.28061570000000002</v>
      </c>
      <c r="U4217">
        <v>-0.32415769999999999</v>
      </c>
      <c r="V4217">
        <v>-5.2957360000000002E-2</v>
      </c>
      <c r="W4217">
        <v>1.34243E-2</v>
      </c>
      <c r="X4217">
        <v>0.99850649999999996</v>
      </c>
      <c r="Y4217">
        <v>-9.3547290000000005E-2</v>
      </c>
      <c r="Z4217">
        <v>-3.0518400000000001E-3</v>
      </c>
      <c r="AA4217">
        <v>0.9956102</v>
      </c>
      <c r="AB4217">
        <v>29</v>
      </c>
      <c r="AC4217">
        <v>-11.6068999999999</v>
      </c>
      <c r="AD4217">
        <v>-1.109951385312</v>
      </c>
      <c r="AE4217">
        <v>-1.27980000000002</v>
      </c>
      <c r="AF4217">
        <v>-1.10544818754163</v>
      </c>
      <c r="AG4217">
        <v>-1.109951385312</v>
      </c>
      <c r="AH4217">
        <v>11.519766104142599</v>
      </c>
      <c r="AI4217">
        <v>95.478555506542804</v>
      </c>
      <c r="AJ4217">
        <v>95.481375874660799</v>
      </c>
      <c r="AK4217">
        <v>11.6257911071569</v>
      </c>
      <c r="AL4217">
        <v>89.230821134286103</v>
      </c>
      <c r="AM4217">
        <v>93.035927195610398</v>
      </c>
      <c r="AN4217">
        <v>0.99999996217545395</v>
      </c>
    </row>
    <row r="4218" spans="1:40" x14ac:dyDescent="0.3">
      <c r="A4218" t="str">
        <f>"20200111160542042"</f>
        <v>20200111160542042</v>
      </c>
      <c r="B4218" t="str">
        <f>"1578729942035668"</f>
        <v>1578729942035668</v>
      </c>
      <c r="C4218" t="s">
        <v>40</v>
      </c>
      <c r="D4218">
        <v>5.2301539999999997</v>
      </c>
      <c r="E4218">
        <v>0.4858365</v>
      </c>
      <c r="F4218" t="s">
        <v>41</v>
      </c>
      <c r="G4218">
        <v>-360.3134</v>
      </c>
      <c r="H4218" s="1">
        <v>-4.3239369999999998E-6</v>
      </c>
      <c r="I4218">
        <v>140.48759999999999</v>
      </c>
      <c r="J4218">
        <v>-348.73020000000002</v>
      </c>
      <c r="K4218">
        <v>1.1099540000000001</v>
      </c>
      <c r="L4218">
        <v>141.76509999999999</v>
      </c>
      <c r="M4218">
        <v>-0.99980469999999999</v>
      </c>
      <c r="N4218">
        <v>0</v>
      </c>
      <c r="O4218">
        <v>-1.3727990000000001E-2</v>
      </c>
      <c r="P4218">
        <v>-0.99774700000000005</v>
      </c>
      <c r="Q4218">
        <v>-1.044344E-3</v>
      </c>
      <c r="R4218">
        <v>-6.7081180000000004E-2</v>
      </c>
      <c r="S4218">
        <v>-2.9847410000000001</v>
      </c>
      <c r="T4218">
        <v>-0.28106179999999997</v>
      </c>
      <c r="U4218">
        <v>-0.32409670000000002</v>
      </c>
      <c r="V4218">
        <v>-5.3360789999999998E-2</v>
      </c>
      <c r="W4218">
        <v>1.3212120000000001E-2</v>
      </c>
      <c r="X4218">
        <v>0.99848789999999998</v>
      </c>
      <c r="Y4218">
        <v>-9.3940070000000001E-2</v>
      </c>
      <c r="Z4218">
        <v>-3.1144150000000002E-3</v>
      </c>
      <c r="AA4218">
        <v>0.99557300000000004</v>
      </c>
      <c r="AB4218">
        <v>29</v>
      </c>
      <c r="AC4218">
        <v>-11.5831999999999</v>
      </c>
      <c r="AD4218">
        <v>-1.1099583239369999</v>
      </c>
      <c r="AE4218">
        <v>-1.2775000000000001</v>
      </c>
      <c r="AF4218">
        <v>-1.10829495919859</v>
      </c>
      <c r="AG4218">
        <v>-1.1099583239369999</v>
      </c>
      <c r="AH4218">
        <v>11.495361032989599</v>
      </c>
      <c r="AI4218">
        <v>95.489915072403605</v>
      </c>
      <c r="AJ4218">
        <v>95.507000619505106</v>
      </c>
      <c r="AK4218">
        <v>11.6018813334837</v>
      </c>
      <c r="AL4218">
        <v>89.242979267967797</v>
      </c>
      <c r="AM4218">
        <v>93.0590680528002</v>
      </c>
      <c r="AN4218">
        <v>1.0000000102353599</v>
      </c>
    </row>
    <row r="4219" spans="1:40" x14ac:dyDescent="0.3">
      <c r="A4219" t="str">
        <f>"20200111160542056"</f>
        <v>20200111160542056</v>
      </c>
      <c r="B4219" t="str">
        <f>"1578729942046404"</f>
        <v>1578729942046404</v>
      </c>
      <c r="C4219" t="s">
        <v>40</v>
      </c>
      <c r="D4219">
        <v>5.2591760000000001</v>
      </c>
      <c r="E4219">
        <v>0.4857147</v>
      </c>
      <c r="F4219" t="s">
        <v>41</v>
      </c>
      <c r="G4219">
        <v>-360.43959999999998</v>
      </c>
      <c r="H4219" s="1">
        <v>-4.2812620000000002E-6</v>
      </c>
      <c r="I4219">
        <v>140.48920000000001</v>
      </c>
      <c r="J4219">
        <v>-348.90100000000001</v>
      </c>
      <c r="K4219">
        <v>1.1099559999999999</v>
      </c>
      <c r="L4219">
        <v>141.76310000000001</v>
      </c>
      <c r="M4219">
        <v>-0.99980970000000002</v>
      </c>
      <c r="N4219">
        <v>0</v>
      </c>
      <c r="O4219">
        <v>-1.337694E-2</v>
      </c>
      <c r="P4219">
        <v>-0.997749</v>
      </c>
      <c r="Q4219">
        <v>-1.126602E-3</v>
      </c>
      <c r="R4219">
        <v>-6.7052130000000001E-2</v>
      </c>
      <c r="S4219">
        <v>-2.9846189999999999</v>
      </c>
      <c r="T4219">
        <v>-0.28292040000000002</v>
      </c>
      <c r="U4219">
        <v>-0.32521060000000002</v>
      </c>
      <c r="V4219">
        <v>-5.3682229999999997E-2</v>
      </c>
      <c r="W4219">
        <v>1.312821E-2</v>
      </c>
      <c r="X4219">
        <v>0.99847169999999996</v>
      </c>
      <c r="Y4219">
        <v>-9.4651830000000006E-2</v>
      </c>
      <c r="Z4219">
        <v>-3.20164E-3</v>
      </c>
      <c r="AA4219">
        <v>0.99550530000000004</v>
      </c>
      <c r="AB4219">
        <v>29</v>
      </c>
      <c r="AC4219">
        <v>-11.538599999999899</v>
      </c>
      <c r="AD4219">
        <v>-1.109960281262</v>
      </c>
      <c r="AE4219">
        <v>-1.27389999999999</v>
      </c>
      <c r="AF4219">
        <v>-1.10927811478514</v>
      </c>
      <c r="AG4219">
        <v>-1.109960281262</v>
      </c>
      <c r="AH4219">
        <v>11.449933273656701</v>
      </c>
      <c r="AI4219">
        <v>95.511326524544799</v>
      </c>
      <c r="AJ4219">
        <v>95.533588637553706</v>
      </c>
      <c r="AK4219">
        <v>11.5569668050536</v>
      </c>
      <c r="AL4219">
        <v>89.247787316219799</v>
      </c>
      <c r="AM4219">
        <v>93.077510088840498</v>
      </c>
      <c r="AN4219">
        <v>0.99999993370823104</v>
      </c>
    </row>
    <row r="4220" spans="1:40" x14ac:dyDescent="0.3">
      <c r="A4220" t="str">
        <f>"20200111160542071"</f>
        <v>20200111160542071</v>
      </c>
      <c r="B4220" t="str">
        <f>"1578729942065924"</f>
        <v>1578729942065924</v>
      </c>
      <c r="C4220" t="s">
        <v>40</v>
      </c>
      <c r="D4220">
        <v>5.2605420000000001</v>
      </c>
      <c r="E4220">
        <v>0.48553089999999999</v>
      </c>
      <c r="F4220" t="s">
        <v>41</v>
      </c>
      <c r="G4220">
        <v>-360.57830000000001</v>
      </c>
      <c r="H4220" s="1">
        <v>-4.2336910000000002E-6</v>
      </c>
      <c r="I4220">
        <v>140.4871</v>
      </c>
      <c r="J4220">
        <v>-349.10169999999999</v>
      </c>
      <c r="K4220">
        <v>1.1099559999999999</v>
      </c>
      <c r="L4220">
        <v>141.76089999999999</v>
      </c>
      <c r="M4220">
        <v>-0.99981520000000002</v>
      </c>
      <c r="N4220">
        <v>0</v>
      </c>
      <c r="O4220">
        <v>-1.2964969999999999E-2</v>
      </c>
      <c r="P4220">
        <v>-0.99776770000000004</v>
      </c>
      <c r="Q4220">
        <v>-7.7513979999999896E-4</v>
      </c>
      <c r="R4220">
        <v>-6.6776630000000003E-2</v>
      </c>
      <c r="S4220">
        <v>-2.9845280000000001</v>
      </c>
      <c r="T4220">
        <v>-0.28368890000000002</v>
      </c>
      <c r="U4220">
        <v>-0.32611079999999998</v>
      </c>
      <c r="V4220">
        <v>-5.3817669999999998E-2</v>
      </c>
      <c r="W4220">
        <v>1.347722E-2</v>
      </c>
      <c r="X4220">
        <v>0.99845980000000001</v>
      </c>
      <c r="Y4220">
        <v>-9.5355120000000002E-2</v>
      </c>
      <c r="Z4220">
        <v>-3.2825380000000002E-3</v>
      </c>
      <c r="AA4220">
        <v>0.99543789999999999</v>
      </c>
      <c r="AB4220">
        <v>29</v>
      </c>
      <c r="AC4220">
        <v>-11.476599999999999</v>
      </c>
      <c r="AD4220">
        <v>-1.1099602336909999</v>
      </c>
      <c r="AE4220">
        <v>-1.2737999999999901</v>
      </c>
      <c r="AF4220">
        <v>-1.11458540597468</v>
      </c>
      <c r="AG4220">
        <v>-1.1099602336909999</v>
      </c>
      <c r="AH4220">
        <v>11.3869366064965</v>
      </c>
      <c r="AI4220">
        <v>95.541095338051804</v>
      </c>
      <c r="AJ4220">
        <v>95.590463397429502</v>
      </c>
      <c r="AK4220">
        <v>11.4950701445427</v>
      </c>
      <c r="AL4220">
        <v>89.227788776820006</v>
      </c>
      <c r="AM4220">
        <v>93.085296349850097</v>
      </c>
      <c r="AN4220">
        <v>0.999999974639598</v>
      </c>
    </row>
    <row r="4221" spans="1:40" x14ac:dyDescent="0.3">
      <c r="A4221" t="str">
        <f>"20200111160542084"</f>
        <v>20200111160542084</v>
      </c>
      <c r="B4221" t="str">
        <f>"1578729942075684"</f>
        <v>1578729942075684</v>
      </c>
      <c r="C4221" t="s">
        <v>40</v>
      </c>
      <c r="D4221">
        <v>5.2923600000000004</v>
      </c>
      <c r="E4221">
        <v>0.4854484</v>
      </c>
      <c r="F4221" t="s">
        <v>41</v>
      </c>
      <c r="G4221">
        <v>-360.80669999999998</v>
      </c>
      <c r="H4221" s="1">
        <v>-4.1546839999999998E-6</v>
      </c>
      <c r="I4221">
        <v>140.47980000000001</v>
      </c>
      <c r="J4221">
        <v>-349.28190000000001</v>
      </c>
      <c r="K4221">
        <v>1.1099570000000001</v>
      </c>
      <c r="L4221">
        <v>141.75890000000001</v>
      </c>
      <c r="M4221">
        <v>-0.99981980000000004</v>
      </c>
      <c r="N4221">
        <v>0</v>
      </c>
      <c r="O4221">
        <v>-1.259532E-2</v>
      </c>
      <c r="P4221">
        <v>-0.99779499999999999</v>
      </c>
      <c r="Q4221">
        <v>-7.5464509999999903E-4</v>
      </c>
      <c r="R4221">
        <v>-6.6367480000000006E-2</v>
      </c>
      <c r="S4221">
        <v>-2.9845890000000002</v>
      </c>
      <c r="T4221">
        <v>-0.2830242</v>
      </c>
      <c r="U4221">
        <v>-0.32664490000000002</v>
      </c>
      <c r="V4221">
        <v>-5.3777180000000001E-2</v>
      </c>
      <c r="W4221">
        <v>1.349534E-2</v>
      </c>
      <c r="X4221">
        <v>0.99846179999999995</v>
      </c>
      <c r="Y4221">
        <v>-9.5894629999999995E-2</v>
      </c>
      <c r="Z4221">
        <v>-3.3350929999999999E-3</v>
      </c>
      <c r="AA4221">
        <v>0.99538590000000005</v>
      </c>
      <c r="AB4221">
        <v>29</v>
      </c>
      <c r="AC4221">
        <v>-11.5247999999999</v>
      </c>
      <c r="AD4221">
        <v>-1.10996115468399</v>
      </c>
      <c r="AE4221">
        <v>-1.2790999999999899</v>
      </c>
      <c r="AF4221">
        <v>-1.1235305581871</v>
      </c>
      <c r="AG4221">
        <v>-1.10996115468399</v>
      </c>
      <c r="AH4221">
        <v>11.4352184372338</v>
      </c>
      <c r="AI4221">
        <v>95.517652413256897</v>
      </c>
      <c r="AJ4221">
        <v>95.611402139231799</v>
      </c>
      <c r="AK4221">
        <v>11.5437669496286</v>
      </c>
      <c r="AL4221">
        <v>89.2267505315872</v>
      </c>
      <c r="AM4221">
        <v>93.0829734273415</v>
      </c>
      <c r="AN4221">
        <v>1.0000000376748499</v>
      </c>
    </row>
    <row r="4222" spans="1:40" x14ac:dyDescent="0.3">
      <c r="A4222" t="str">
        <f>"20200111160542102"</f>
        <v>20200111160542102</v>
      </c>
      <c r="B4222" t="str">
        <f>"1578729942096180"</f>
        <v>1578729942096180</v>
      </c>
      <c r="C4222" t="s">
        <v>40</v>
      </c>
      <c r="D4222">
        <v>5.2247909999999997</v>
      </c>
      <c r="E4222">
        <v>0.48537370000000002</v>
      </c>
      <c r="F4222" t="s">
        <v>41</v>
      </c>
      <c r="G4222">
        <v>-360.99599999999998</v>
      </c>
      <c r="H4222" s="1">
        <v>-4.0744670000000003E-6</v>
      </c>
      <c r="I4222">
        <v>140.47880000000001</v>
      </c>
      <c r="J4222">
        <v>-349.50709999999998</v>
      </c>
      <c r="K4222">
        <v>1.10996299999999</v>
      </c>
      <c r="L4222">
        <v>141.75659999999999</v>
      </c>
      <c r="M4222">
        <v>-0.99982559999999998</v>
      </c>
      <c r="N4222">
        <v>0</v>
      </c>
      <c r="O4222">
        <v>-1.213329E-2</v>
      </c>
      <c r="P4222">
        <v>-0.9977992</v>
      </c>
      <c r="Q4222">
        <v>-9.3068929999999995E-4</v>
      </c>
      <c r="R4222">
        <v>-6.6304699999999994E-2</v>
      </c>
      <c r="S4222">
        <v>-2.98468</v>
      </c>
      <c r="T4222">
        <v>-0.28281089999999998</v>
      </c>
      <c r="U4222">
        <v>-0.32615660000000002</v>
      </c>
      <c r="V4222">
        <v>-5.4175809999999998E-2</v>
      </c>
      <c r="W4222">
        <v>1.3317499999999999E-2</v>
      </c>
      <c r="X4222">
        <v>0.99844259999999996</v>
      </c>
      <c r="Y4222">
        <v>-9.6187610000000007E-2</v>
      </c>
      <c r="Z4222">
        <v>-3.389867E-3</v>
      </c>
      <c r="AA4222">
        <v>0.99535750000000001</v>
      </c>
      <c r="AB4222">
        <v>29</v>
      </c>
      <c r="AC4222">
        <v>-11.488899999999999</v>
      </c>
      <c r="AD4222">
        <v>-1.1099670744669901</v>
      </c>
      <c r="AE4222">
        <v>-1.2777999999999801</v>
      </c>
      <c r="AF4222">
        <v>-1.1278946909429099</v>
      </c>
      <c r="AG4222">
        <v>-1.1099670744669901</v>
      </c>
      <c r="AH4222">
        <v>11.3984673963317</v>
      </c>
      <c r="AI4222">
        <v>95.534985673347705</v>
      </c>
      <c r="AJ4222">
        <v>95.651103395553207</v>
      </c>
      <c r="AK4222">
        <v>11.5077900713167</v>
      </c>
      <c r="AL4222">
        <v>89.236940899589101</v>
      </c>
      <c r="AM4222">
        <v>93.105841380902703</v>
      </c>
      <c r="AN4222">
        <v>0.99999999984508303</v>
      </c>
    </row>
    <row r="4223" spans="1:40" x14ac:dyDescent="0.3">
      <c r="A4223" t="str">
        <f>"20200111160542118"</f>
        <v>20200111160542118</v>
      </c>
      <c r="B4223" t="str">
        <f>"1578729942116208"</f>
        <v>1578729942116208</v>
      </c>
      <c r="C4223" t="s">
        <v>40</v>
      </c>
      <c r="D4223">
        <v>5.3485719999999999</v>
      </c>
      <c r="E4223">
        <v>0.4851393</v>
      </c>
      <c r="F4223" t="s">
        <v>41</v>
      </c>
      <c r="G4223">
        <v>-361.19479999999999</v>
      </c>
      <c r="H4223" s="1">
        <v>-3.9889930000000003E-6</v>
      </c>
      <c r="I4223">
        <v>140.47790000000001</v>
      </c>
      <c r="J4223">
        <v>-349.714</v>
      </c>
      <c r="K4223">
        <v>1.109966</v>
      </c>
      <c r="L4223">
        <v>141.75450000000001</v>
      </c>
      <c r="M4223">
        <v>-0.99983069999999996</v>
      </c>
      <c r="N4223">
        <v>0</v>
      </c>
      <c r="O4223">
        <v>-1.170905E-2</v>
      </c>
      <c r="P4223">
        <v>-0.99783520000000003</v>
      </c>
      <c r="Q4223">
        <v>-1.0861530000000001E-3</v>
      </c>
      <c r="R4223">
        <v>-6.5755820000000006E-2</v>
      </c>
      <c r="S4223">
        <v>-2.9846499999999998</v>
      </c>
      <c r="T4223">
        <v>-0.2834508</v>
      </c>
      <c r="U4223">
        <v>-0.32650759999999901</v>
      </c>
      <c r="V4223">
        <v>-5.4050710000000002E-2</v>
      </c>
      <c r="W4223">
        <v>1.3160150000000001E-2</v>
      </c>
      <c r="X4223">
        <v>0.99845150000000005</v>
      </c>
      <c r="Y4223">
        <v>-9.6720730000000005E-2</v>
      </c>
      <c r="Z4223">
        <v>-3.4627690000000001E-3</v>
      </c>
      <c r="AA4223">
        <v>0.99530549999999995</v>
      </c>
      <c r="AB4223">
        <v>29</v>
      </c>
      <c r="AC4223">
        <v>-11.480799999999901</v>
      </c>
      <c r="AD4223">
        <v>-1.1099699889929999</v>
      </c>
      <c r="AE4223">
        <v>-1.2766</v>
      </c>
      <c r="AF4223">
        <v>-1.13162143610122</v>
      </c>
      <c r="AG4223">
        <v>-1.1099699889929999</v>
      </c>
      <c r="AH4223">
        <v>11.389800394886199</v>
      </c>
      <c r="AI4223">
        <v>95.538968214097395</v>
      </c>
      <c r="AJ4223">
        <v>95.673940244100706</v>
      </c>
      <c r="AK4223">
        <v>11.4995718827468</v>
      </c>
      <c r="AL4223">
        <v>89.245957205914195</v>
      </c>
      <c r="AM4223">
        <v>93.0986559566728</v>
      </c>
      <c r="AN4223">
        <v>1.0000000333258801</v>
      </c>
    </row>
    <row r="4224" spans="1:40" x14ac:dyDescent="0.3">
      <c r="A4224" t="str">
        <f>"20200111160542134"</f>
        <v>20200111160542134</v>
      </c>
      <c r="B4224" t="str">
        <f>"1578729942125968"</f>
        <v>1578729942125968</v>
      </c>
      <c r="C4224" t="s">
        <v>40</v>
      </c>
      <c r="D4224">
        <v>5.2834760000000003</v>
      </c>
      <c r="E4224">
        <v>0.48504360000000002</v>
      </c>
      <c r="F4224" t="s">
        <v>41</v>
      </c>
      <c r="G4224">
        <v>-361.3897</v>
      </c>
      <c r="H4224" s="1">
        <v>-3.9049919999999997E-6</v>
      </c>
      <c r="I4224">
        <v>140.47649999999999</v>
      </c>
      <c r="J4224">
        <v>-349.93369999999999</v>
      </c>
      <c r="K4224">
        <v>1.109969</v>
      </c>
      <c r="L4224">
        <v>141.75239999999999</v>
      </c>
      <c r="M4224">
        <v>-0.99983580000000005</v>
      </c>
      <c r="N4224">
        <v>0</v>
      </c>
      <c r="O4224">
        <v>-1.125834E-2</v>
      </c>
      <c r="P4224">
        <v>-0.99786870000000005</v>
      </c>
      <c r="Q4224">
        <v>-1.3025510000000001E-3</v>
      </c>
      <c r="R4224">
        <v>-6.5242410000000001E-2</v>
      </c>
      <c r="S4224">
        <v>-2.9847109999999999</v>
      </c>
      <c r="T4224">
        <v>-0.28374729999999998</v>
      </c>
      <c r="U4224">
        <v>-0.3266754</v>
      </c>
      <c r="V4224">
        <v>-5.3987069999999998E-2</v>
      </c>
      <c r="W4224">
        <v>1.294082E-2</v>
      </c>
      <c r="X4224">
        <v>0.99845779999999995</v>
      </c>
      <c r="Y4224">
        <v>-9.7217479999999995E-2</v>
      </c>
      <c r="Z4224">
        <v>-3.532398E-3</v>
      </c>
      <c r="AA4224">
        <v>0.9952569</v>
      </c>
      <c r="AB4224">
        <v>29</v>
      </c>
      <c r="AC4224">
        <v>-11.456</v>
      </c>
      <c r="AD4224">
        <v>-1.109972904992</v>
      </c>
      <c r="AE4224">
        <v>-1.2759</v>
      </c>
      <c r="AF4224">
        <v>-1.13629409295452</v>
      </c>
      <c r="AG4224">
        <v>-1.109972904992</v>
      </c>
      <c r="AH4224">
        <v>11.3642627066403</v>
      </c>
      <c r="AI4224">
        <v>95.551006763957204</v>
      </c>
      <c r="AJ4224">
        <v>95.709933327769406</v>
      </c>
      <c r="AK4224">
        <v>11.4747405626897</v>
      </c>
      <c r="AL4224">
        <v>89.258524951814195</v>
      </c>
      <c r="AM4224">
        <v>93.094995165910007</v>
      </c>
      <c r="AN4224">
        <v>1.0000000234651401</v>
      </c>
    </row>
    <row r="4225" spans="1:40" x14ac:dyDescent="0.3">
      <c r="A4225" t="str">
        <f>"20200111160542150"</f>
        <v>20200111160542150</v>
      </c>
      <c r="B4225" t="str">
        <f>"1578729942145488"</f>
        <v>1578729942145488</v>
      </c>
      <c r="C4225" t="s">
        <v>40</v>
      </c>
      <c r="D4225">
        <v>5.442221</v>
      </c>
      <c r="E4225">
        <v>0.48496590000000001</v>
      </c>
      <c r="F4225" t="s">
        <v>41</v>
      </c>
      <c r="G4225">
        <v>-361.58409999999998</v>
      </c>
      <c r="H4225" s="1">
        <v>-3.8224079999999901E-6</v>
      </c>
      <c r="I4225">
        <v>140.4796</v>
      </c>
      <c r="J4225">
        <v>-350.13400000000001</v>
      </c>
      <c r="K4225">
        <v>1.10997099999999</v>
      </c>
      <c r="L4225">
        <v>141.75059999999999</v>
      </c>
      <c r="M4225">
        <v>-0.99984039999999996</v>
      </c>
      <c r="N4225">
        <v>0</v>
      </c>
      <c r="O4225">
        <v>-1.084745E-2</v>
      </c>
      <c r="P4225">
        <v>-0.99789019999999995</v>
      </c>
      <c r="Q4225">
        <v>-1.469225E-3</v>
      </c>
      <c r="R4225">
        <v>-6.4908419999999994E-2</v>
      </c>
      <c r="S4225">
        <v>-2.98468</v>
      </c>
      <c r="T4225">
        <v>-0.284362</v>
      </c>
      <c r="U4225">
        <v>-0.3260651</v>
      </c>
      <c r="V4225">
        <v>-5.4063350000000003E-2</v>
      </c>
      <c r="W4225">
        <v>1.277299E-2</v>
      </c>
      <c r="X4225">
        <v>0.9984558</v>
      </c>
      <c r="Y4225">
        <v>-9.7422010000000003E-2</v>
      </c>
      <c r="Z4225">
        <v>-3.588716E-3</v>
      </c>
      <c r="AA4225">
        <v>0.99523669999999997</v>
      </c>
      <c r="AB4225">
        <v>29</v>
      </c>
      <c r="AC4225">
        <v>-11.4500999999999</v>
      </c>
      <c r="AD4225">
        <v>-1.1099748224079899</v>
      </c>
      <c r="AE4225">
        <v>-1.2709999999999799</v>
      </c>
      <c r="AF4225">
        <v>-1.13616129787724</v>
      </c>
      <c r="AG4225">
        <v>-1.1099748224079899</v>
      </c>
      <c r="AH4225">
        <v>11.3577802299158</v>
      </c>
      <c r="AI4225">
        <v>95.554139941933897</v>
      </c>
      <c r="AJ4225">
        <v>95.712507467075994</v>
      </c>
      <c r="AK4225">
        <v>11.4683075626807</v>
      </c>
      <c r="AL4225">
        <v>89.268141672507696</v>
      </c>
      <c r="AM4225">
        <v>93.099365856666793</v>
      </c>
      <c r="AN4225">
        <v>0.999999989820201</v>
      </c>
    </row>
    <row r="4226" spans="1:40" x14ac:dyDescent="0.3">
      <c r="A4226" t="str">
        <f>"20200111160542165"</f>
        <v>20200111160542165</v>
      </c>
      <c r="B4226" t="str">
        <f>"1578729942156225"</f>
        <v>1578729942156225</v>
      </c>
      <c r="C4226" t="s">
        <v>40</v>
      </c>
      <c r="D4226">
        <v>5.4816900000000004</v>
      </c>
      <c r="E4226">
        <v>0.48500490000000002</v>
      </c>
      <c r="F4226" t="s">
        <v>41</v>
      </c>
      <c r="G4226">
        <v>-361.77249999999998</v>
      </c>
      <c r="H4226" s="1">
        <v>-3.7418049999999998E-6</v>
      </c>
      <c r="I4226">
        <v>140.4803</v>
      </c>
      <c r="J4226">
        <v>-350.32499999999999</v>
      </c>
      <c r="K4226">
        <v>1.10997099999999</v>
      </c>
      <c r="L4226">
        <v>141.74889999999999</v>
      </c>
      <c r="M4226">
        <v>-0.99984470000000003</v>
      </c>
      <c r="N4226">
        <v>0</v>
      </c>
      <c r="O4226">
        <v>-1.0455870000000001E-2</v>
      </c>
      <c r="P4226">
        <v>-0.99794389999999999</v>
      </c>
      <c r="Q4226">
        <v>-1.6708109999999999E-3</v>
      </c>
      <c r="R4226">
        <v>-6.4074809999999996E-2</v>
      </c>
      <c r="S4226">
        <v>-2.9847109999999999</v>
      </c>
      <c r="T4226">
        <v>-0.28465770000000001</v>
      </c>
      <c r="U4226">
        <v>-0.3257446</v>
      </c>
      <c r="V4226">
        <v>-5.3621189999999999E-2</v>
      </c>
      <c r="W4226">
        <v>1.25694E-2</v>
      </c>
      <c r="X4226">
        <v>0.99848219999999999</v>
      </c>
      <c r="Y4226">
        <v>-9.7701289999999996E-2</v>
      </c>
      <c r="Z4226">
        <v>-3.6428089999999999E-3</v>
      </c>
      <c r="AA4226">
        <v>0.99520909999999996</v>
      </c>
      <c r="AB4226">
        <v>29</v>
      </c>
      <c r="AC4226">
        <v>-11.4474999999999</v>
      </c>
      <c r="AD4226">
        <v>-1.1099747418050001</v>
      </c>
      <c r="AE4226">
        <v>-1.26859999999999</v>
      </c>
      <c r="AF4226">
        <v>-1.1382533703509501</v>
      </c>
      <c r="AG4226">
        <v>-1.1099747418050001</v>
      </c>
      <c r="AH4226">
        <v>11.3546819251216</v>
      </c>
      <c r="AI4226">
        <v>95.555529804437697</v>
      </c>
      <c r="AJ4226">
        <v>95.724507671324403</v>
      </c>
      <c r="AK4226">
        <v>11.465446623801601</v>
      </c>
      <c r="AL4226">
        <v>89.279807437480997</v>
      </c>
      <c r="AM4226">
        <v>93.073985221331299</v>
      </c>
      <c r="AN4226">
        <v>0.99999996277510705</v>
      </c>
    </row>
    <row r="4227" spans="1:40" x14ac:dyDescent="0.3">
      <c r="A4227" t="str">
        <f>"20200111160542179"</f>
        <v>20200111160542179</v>
      </c>
      <c r="B4227" t="str">
        <f>"1578729942175745"</f>
        <v>1578729942175745</v>
      </c>
      <c r="C4227" t="s">
        <v>40</v>
      </c>
      <c r="D4227">
        <v>5.3344129999999996</v>
      </c>
      <c r="E4227">
        <v>0.4847574</v>
      </c>
      <c r="F4227" t="s">
        <v>41</v>
      </c>
      <c r="G4227">
        <v>-361.94810000000001</v>
      </c>
      <c r="H4227" s="1">
        <v>-3.6691639999999998E-6</v>
      </c>
      <c r="I4227">
        <v>140.4905</v>
      </c>
      <c r="J4227">
        <v>-350.50880000000001</v>
      </c>
      <c r="K4227">
        <v>1.109961</v>
      </c>
      <c r="L4227">
        <v>141.7474</v>
      </c>
      <c r="M4227">
        <v>-0.99984850000000003</v>
      </c>
      <c r="N4227">
        <v>0</v>
      </c>
      <c r="O4227">
        <v>-1.0078480000000001E-2</v>
      </c>
      <c r="P4227">
        <v>-0.99801589999999996</v>
      </c>
      <c r="Q4227">
        <v>-1.7985869999999999E-3</v>
      </c>
      <c r="R4227">
        <v>-6.2937149999999997E-2</v>
      </c>
      <c r="S4227">
        <v>-2.984985</v>
      </c>
      <c r="T4227">
        <v>-0.28505930000000002</v>
      </c>
      <c r="U4227">
        <v>-0.32316590000000001</v>
      </c>
      <c r="V4227">
        <v>-5.2859469999999999E-2</v>
      </c>
      <c r="W4227">
        <v>1.2439230000000001E-2</v>
      </c>
      <c r="X4227">
        <v>0.99852450000000004</v>
      </c>
      <c r="Y4227">
        <v>-9.7216709999999998E-2</v>
      </c>
      <c r="Z4227">
        <v>-3.6605880000000002E-3</v>
      </c>
      <c r="AA4227">
        <v>0.99525649999999999</v>
      </c>
      <c r="AB4227">
        <v>29</v>
      </c>
      <c r="AC4227">
        <v>-11.439299999999999</v>
      </c>
      <c r="AD4227">
        <v>-1.1099646691639999</v>
      </c>
      <c r="AE4227">
        <v>-1.2568999999999999</v>
      </c>
      <c r="AF4227">
        <v>-1.13101234514058</v>
      </c>
      <c r="AG4227">
        <v>-1.1099646691639999</v>
      </c>
      <c r="AH4227">
        <v>11.3458411653588</v>
      </c>
      <c r="AI4227">
        <v>95.560087753074697</v>
      </c>
      <c r="AJ4227">
        <v>95.692733948355695</v>
      </c>
      <c r="AK4227">
        <v>11.455973212311701</v>
      </c>
      <c r="AL4227">
        <v>89.287266251571296</v>
      </c>
      <c r="AM4227">
        <v>93.030271324794498</v>
      </c>
      <c r="AN4227">
        <v>1.00000001755596</v>
      </c>
    </row>
    <row r="4228" spans="1:40" x14ac:dyDescent="0.3">
      <c r="A4228" t="str">
        <f>"20200111160542195"</f>
        <v>20200111160542195</v>
      </c>
      <c r="B4228" t="str">
        <f>"1578729942185505"</f>
        <v>1578729942185505</v>
      </c>
      <c r="C4228" t="s">
        <v>40</v>
      </c>
      <c r="D4228">
        <v>5.2839619999999998</v>
      </c>
      <c r="E4228">
        <v>0.48466500000000001</v>
      </c>
      <c r="F4228" t="s">
        <v>41</v>
      </c>
      <c r="G4228">
        <v>-362.0883</v>
      </c>
      <c r="H4228" s="1">
        <v>-3.6113890000000002E-6</v>
      </c>
      <c r="I4228">
        <v>140.49950000000001</v>
      </c>
      <c r="J4228">
        <v>-350.71390000000002</v>
      </c>
      <c r="K4228">
        <v>1.10996299999999</v>
      </c>
      <c r="L4228">
        <v>141.7458</v>
      </c>
      <c r="M4228">
        <v>-0.99985270000000004</v>
      </c>
      <c r="N4228">
        <v>0</v>
      </c>
      <c r="O4228">
        <v>-9.6575729999999992E-3</v>
      </c>
      <c r="P4228">
        <v>-0.99805940000000004</v>
      </c>
      <c r="Q4228">
        <v>-1.987988E-3</v>
      </c>
      <c r="R4228">
        <v>-6.2238290000000002E-2</v>
      </c>
      <c r="S4228">
        <v>-2.9851679999999998</v>
      </c>
      <c r="T4228">
        <v>-0.28614719999999999</v>
      </c>
      <c r="U4228">
        <v>-0.32170100000000001</v>
      </c>
      <c r="V4228">
        <v>-5.2581070000000001E-2</v>
      </c>
      <c r="W4228">
        <v>1.2247559999999999E-2</v>
      </c>
      <c r="X4228">
        <v>0.99854149999999997</v>
      </c>
      <c r="Y4228">
        <v>-9.7141850000000002E-2</v>
      </c>
      <c r="Z4228">
        <v>-3.7109270000000001E-3</v>
      </c>
      <c r="AA4228">
        <v>0.99526360000000003</v>
      </c>
      <c r="AB4228">
        <v>29</v>
      </c>
      <c r="AC4228">
        <v>-11.3743999999999</v>
      </c>
      <c r="AD4228">
        <v>-1.1099666113890001</v>
      </c>
      <c r="AE4228">
        <v>-1.24629999999999</v>
      </c>
      <c r="AF4228">
        <v>-1.1257882799143299</v>
      </c>
      <c r="AG4228">
        <v>-1.1099666113890001</v>
      </c>
      <c r="AH4228">
        <v>11.2797666674448</v>
      </c>
      <c r="AI4228">
        <v>95.592395128403098</v>
      </c>
      <c r="AJ4228">
        <v>95.699587034514295</v>
      </c>
      <c r="AK4228">
        <v>11.3900202458814</v>
      </c>
      <c r="AL4228">
        <v>89.298248922340505</v>
      </c>
      <c r="AM4228">
        <v>93.014289793257205</v>
      </c>
      <c r="AN4228">
        <v>0.99999994943527204</v>
      </c>
    </row>
    <row r="4229" spans="1:40" x14ac:dyDescent="0.3">
      <c r="A4229" t="str">
        <f>"20200111160542213"</f>
        <v>20200111160542213</v>
      </c>
      <c r="B4229" t="str">
        <f>"1578729942206000"</f>
        <v>1578729942206000</v>
      </c>
      <c r="C4229" t="s">
        <v>40</v>
      </c>
      <c r="D4229">
        <v>5.3131469999999998</v>
      </c>
      <c r="E4229">
        <v>0.4845563</v>
      </c>
      <c r="F4229" t="s">
        <v>41</v>
      </c>
      <c r="G4229">
        <v>-362.27350000000001</v>
      </c>
      <c r="H4229" s="1">
        <v>-3.533317E-6</v>
      </c>
      <c r="I4229">
        <v>140.50460000000001</v>
      </c>
      <c r="J4229">
        <v>-350.9556</v>
      </c>
      <c r="K4229">
        <v>1.1099619999999999</v>
      </c>
      <c r="L4229">
        <v>141.744</v>
      </c>
      <c r="M4229">
        <v>-0.99985749999999995</v>
      </c>
      <c r="N4229">
        <v>0</v>
      </c>
      <c r="O4229">
        <v>-9.1614490000000003E-3</v>
      </c>
      <c r="P4229">
        <v>-0.99808280000000005</v>
      </c>
      <c r="Q4229">
        <v>-1.9766129999999999E-3</v>
      </c>
      <c r="R4229">
        <v>-6.1863179999999997E-2</v>
      </c>
      <c r="S4229">
        <v>-2.9852599999999998</v>
      </c>
      <c r="T4229">
        <v>-0.28664849999999997</v>
      </c>
      <c r="U4229">
        <v>-0.32051089999999999</v>
      </c>
      <c r="V4229">
        <v>-5.2701049999999999E-2</v>
      </c>
      <c r="W4229">
        <v>1.2256619999999999E-2</v>
      </c>
      <c r="X4229">
        <v>0.99853510000000001</v>
      </c>
      <c r="Y4229">
        <v>-9.7236080000000003E-2</v>
      </c>
      <c r="Z4229">
        <v>-3.7692509999999999E-3</v>
      </c>
      <c r="AA4229">
        <v>0.99525419999999998</v>
      </c>
      <c r="AB4229">
        <v>29</v>
      </c>
      <c r="AC4229">
        <v>-11.3179</v>
      </c>
      <c r="AD4229">
        <v>-1.109965533317</v>
      </c>
      <c r="AE4229">
        <v>-1.2393999999999801</v>
      </c>
      <c r="AF4229">
        <v>-1.1249574982497399</v>
      </c>
      <c r="AG4229">
        <v>-1.109965533317</v>
      </c>
      <c r="AH4229">
        <v>11.222124766368401</v>
      </c>
      <c r="AI4229">
        <v>95.6206886888112</v>
      </c>
      <c r="AJ4229">
        <v>95.724469045368906</v>
      </c>
      <c r="AK4229">
        <v>11.3328565300174</v>
      </c>
      <c r="AL4229">
        <v>89.297729809032205</v>
      </c>
      <c r="AM4229">
        <v>93.021174429698704</v>
      </c>
      <c r="AN4229">
        <v>0.99999998566846804</v>
      </c>
    </row>
    <row r="4230" spans="1:40" x14ac:dyDescent="0.3">
      <c r="A4230" t="str">
        <f>"20200111160542229"</f>
        <v>20200111160542229</v>
      </c>
      <c r="B4230" t="str">
        <f>"1578729942225521"</f>
        <v>1578729942225521</v>
      </c>
      <c r="C4230" t="s">
        <v>40</v>
      </c>
      <c r="D4230">
        <v>5.5040879999999897</v>
      </c>
      <c r="E4230">
        <v>0.48428460000000001</v>
      </c>
      <c r="F4230" t="s">
        <v>41</v>
      </c>
      <c r="G4230">
        <v>-362.51159999999999</v>
      </c>
      <c r="H4230" s="1">
        <v>-3.4304689999999998E-6</v>
      </c>
      <c r="I4230">
        <v>140.50200000000001</v>
      </c>
      <c r="J4230">
        <v>-351.16210000000001</v>
      </c>
      <c r="K4230">
        <v>1.1099600000000001</v>
      </c>
      <c r="L4230">
        <v>141.74250000000001</v>
      </c>
      <c r="M4230">
        <v>-0.99986120000000001</v>
      </c>
      <c r="N4230">
        <v>0</v>
      </c>
      <c r="O4230">
        <v>-8.7373239999999994E-3</v>
      </c>
      <c r="P4230">
        <v>-0.99807749999999995</v>
      </c>
      <c r="Q4230">
        <v>-2.0348950000000001E-3</v>
      </c>
      <c r="R4230">
        <v>-6.1946550000000003E-2</v>
      </c>
      <c r="S4230">
        <v>-2.9852910000000001</v>
      </c>
      <c r="T4230">
        <v>-0.28674070000000002</v>
      </c>
      <c r="U4230">
        <v>-0.32083129999999999</v>
      </c>
      <c r="V4230">
        <v>-5.320863E-2</v>
      </c>
      <c r="W4230">
        <v>1.2196540000000001E-2</v>
      </c>
      <c r="X4230">
        <v>0.99850890000000003</v>
      </c>
      <c r="Y4230">
        <v>-9.7758200000000003E-2</v>
      </c>
      <c r="Z4230">
        <v>-3.8358649999999999E-3</v>
      </c>
      <c r="AA4230">
        <v>0.99520280000000005</v>
      </c>
      <c r="AB4230">
        <v>29</v>
      </c>
      <c r="AC4230">
        <v>-11.3494999999999</v>
      </c>
      <c r="AD4230">
        <v>-1.109963430469</v>
      </c>
      <c r="AE4230">
        <v>-1.2404999999999899</v>
      </c>
      <c r="AF4230">
        <v>-1.1305924685505599</v>
      </c>
      <c r="AG4230">
        <v>-1.109963430469</v>
      </c>
      <c r="AH4230">
        <v>11.2535422052943</v>
      </c>
      <c r="AI4230">
        <v>95.604964246810695</v>
      </c>
      <c r="AJ4230">
        <v>95.736997642282304</v>
      </c>
      <c r="AK4230">
        <v>11.364526840711999</v>
      </c>
      <c r="AL4230">
        <v>89.301172384937104</v>
      </c>
      <c r="AM4230">
        <v>93.050297487307304</v>
      </c>
      <c r="AN4230">
        <v>0.99999996863682805</v>
      </c>
    </row>
    <row r="4231" spans="1:40" x14ac:dyDescent="0.3">
      <c r="A4231" t="str">
        <f>"20200111160542246"</f>
        <v>20200111160542246</v>
      </c>
      <c r="B4231" t="str">
        <f>"1578729942236257"</f>
        <v>1578729942236257</v>
      </c>
      <c r="C4231" t="s">
        <v>40</v>
      </c>
      <c r="D4231">
        <v>5.3310849999999999</v>
      </c>
      <c r="E4231">
        <v>0.48426540000000001</v>
      </c>
      <c r="F4231" t="s">
        <v>41</v>
      </c>
      <c r="G4231">
        <v>-362.70299999999997</v>
      </c>
      <c r="H4231" s="1">
        <v>-3.3455410000000001E-6</v>
      </c>
      <c r="I4231">
        <v>140.4914</v>
      </c>
      <c r="J4231">
        <v>-351.37799999999999</v>
      </c>
      <c r="K4231">
        <v>1.1099559999999999</v>
      </c>
      <c r="L4231">
        <v>141.74109999999999</v>
      </c>
      <c r="M4231">
        <v>-0.999865</v>
      </c>
      <c r="N4231">
        <v>0</v>
      </c>
      <c r="O4231">
        <v>-8.2938879999999993E-3</v>
      </c>
      <c r="P4231">
        <v>-0.99796549999999995</v>
      </c>
      <c r="Q4231">
        <v>-3.5282690000000001E-3</v>
      </c>
      <c r="R4231">
        <v>-6.3661239999999994E-2</v>
      </c>
      <c r="S4231">
        <v>-2.9851070000000002</v>
      </c>
      <c r="T4231">
        <v>-0.2870993</v>
      </c>
      <c r="U4231">
        <v>-0.32359310000000002</v>
      </c>
      <c r="V4231">
        <v>-5.5368680000000003E-2</v>
      </c>
      <c r="W4231">
        <v>1.070223E-2</v>
      </c>
      <c r="X4231">
        <v>0.99840859999999998</v>
      </c>
      <c r="Y4231">
        <v>-9.9106929999999996E-2</v>
      </c>
      <c r="Z4231">
        <v>-3.9476279999999999E-3</v>
      </c>
      <c r="AA4231">
        <v>0.99506899999999998</v>
      </c>
      <c r="AB4231">
        <v>29</v>
      </c>
      <c r="AC4231">
        <v>-11.3249999999999</v>
      </c>
      <c r="AD4231">
        <v>-1.109959345541</v>
      </c>
      <c r="AE4231">
        <v>-1.24969999999999</v>
      </c>
      <c r="AF4231">
        <v>-1.1448542315457499</v>
      </c>
      <c r="AG4231">
        <v>-1.109959345541</v>
      </c>
      <c r="AH4231">
        <v>11.2284149493274</v>
      </c>
      <c r="AI4231">
        <v>95.6165706018935</v>
      </c>
      <c r="AJ4231">
        <v>95.821784744469696</v>
      </c>
      <c r="AK4231">
        <v>11.341075929316499</v>
      </c>
      <c r="AL4231">
        <v>89.386795671447501</v>
      </c>
      <c r="AM4231">
        <v>93.174196886095302</v>
      </c>
      <c r="AN4231">
        <v>0.99999998050293704</v>
      </c>
    </row>
    <row r="4232" spans="1:40" x14ac:dyDescent="0.3">
      <c r="A4232" t="str">
        <f>"20200111160542262"</f>
        <v>20200111160542262</v>
      </c>
      <c r="B4232" t="str">
        <f>"1578729942255777"</f>
        <v>1578729942255777</v>
      </c>
      <c r="C4232" t="s">
        <v>40</v>
      </c>
      <c r="D4232">
        <v>5.3925400000000003</v>
      </c>
      <c r="E4232">
        <v>0.48411969999999999</v>
      </c>
      <c r="F4232" t="s">
        <v>41</v>
      </c>
      <c r="G4232">
        <v>-362.7038</v>
      </c>
      <c r="H4232" s="1">
        <v>-3.3451770000000002E-6</v>
      </c>
      <c r="I4232">
        <v>140.4913</v>
      </c>
      <c r="J4232">
        <v>-351.59629999999999</v>
      </c>
      <c r="K4232">
        <v>1.109955</v>
      </c>
      <c r="L4232">
        <v>141.7398</v>
      </c>
      <c r="M4232">
        <v>-0.9998686</v>
      </c>
      <c r="N4232">
        <v>0</v>
      </c>
      <c r="O4232">
        <v>-7.8455639999999993E-3</v>
      </c>
      <c r="P4232">
        <v>-0.99789019999999995</v>
      </c>
      <c r="Q4232">
        <v>-4.5361669999999998E-3</v>
      </c>
      <c r="R4232">
        <v>-6.4769720000000003E-2</v>
      </c>
      <c r="S4232">
        <v>-2.98407</v>
      </c>
      <c r="T4232">
        <v>-0.29244720000000002</v>
      </c>
      <c r="U4232">
        <v>-0.3292542</v>
      </c>
      <c r="V4232">
        <v>-5.6926459999999998E-2</v>
      </c>
      <c r="W4232">
        <v>9.6923430000000008E-3</v>
      </c>
      <c r="X4232">
        <v>0.99833130000000003</v>
      </c>
      <c r="Y4232">
        <v>-0.1014265</v>
      </c>
      <c r="Z4232">
        <v>-4.1785340000000002E-3</v>
      </c>
      <c r="AA4232">
        <v>0.9948342</v>
      </c>
      <c r="AB4232">
        <v>29</v>
      </c>
      <c r="AC4232">
        <v>-11.1075</v>
      </c>
      <c r="AD4232">
        <v>-1.1099583451770001</v>
      </c>
      <c r="AE4232">
        <v>-1.2484999999999999</v>
      </c>
      <c r="AF4232">
        <v>-1.1499681714124601</v>
      </c>
      <c r="AG4232">
        <v>-1.1099583451770001</v>
      </c>
      <c r="AH4232">
        <v>11.0083986281424</v>
      </c>
      <c r="AI4232">
        <v>95.726626382038205</v>
      </c>
      <c r="AJ4232">
        <v>95.9636477419469</v>
      </c>
      <c r="AK4232">
        <v>11.1238156528854</v>
      </c>
      <c r="AL4232">
        <v>89.444660942915704</v>
      </c>
      <c r="AM4232">
        <v>93.263563648080293</v>
      </c>
      <c r="AN4232">
        <v>0.99999997396032503</v>
      </c>
    </row>
    <row r="4233" spans="1:40" x14ac:dyDescent="0.3">
      <c r="A4233" t="str">
        <f>"20200111160542280"</f>
        <v>20200111160542280</v>
      </c>
      <c r="B4233" t="str">
        <f>"1578729942276275"</f>
        <v>1578729942276275</v>
      </c>
      <c r="C4233" t="s">
        <v>40</v>
      </c>
      <c r="D4233">
        <v>5.4219520000000001</v>
      </c>
      <c r="E4233">
        <v>0.48395759999999999</v>
      </c>
      <c r="F4233" t="s">
        <v>41</v>
      </c>
      <c r="G4233">
        <v>-362.78339999999997</v>
      </c>
      <c r="H4233" s="1">
        <v>-3.3104009999999999E-6</v>
      </c>
      <c r="I4233">
        <v>140.489</v>
      </c>
      <c r="J4233">
        <v>-351.82029999999997</v>
      </c>
      <c r="K4233">
        <v>1.1099490000000001</v>
      </c>
      <c r="L4233">
        <v>141.73849999999999</v>
      </c>
      <c r="M4233">
        <v>-0.99987210000000004</v>
      </c>
      <c r="N4233">
        <v>0</v>
      </c>
      <c r="O4233">
        <v>-7.3852010000000001E-3</v>
      </c>
      <c r="P4233">
        <v>-0.99765420000000005</v>
      </c>
      <c r="Q4233">
        <v>-6.927669E-3</v>
      </c>
      <c r="R4233">
        <v>-6.8103479999999994E-2</v>
      </c>
      <c r="S4233">
        <v>-2.9833370000000001</v>
      </c>
      <c r="T4233">
        <v>-0.29599979999999998</v>
      </c>
      <c r="U4233">
        <v>-0.3335419</v>
      </c>
      <c r="V4233">
        <v>-6.072466E-2</v>
      </c>
      <c r="W4233">
        <v>7.2996609999999998E-3</v>
      </c>
      <c r="X4233">
        <v>0.99812789999999996</v>
      </c>
      <c r="Y4233">
        <v>-0.103301</v>
      </c>
      <c r="Z4233">
        <v>-4.3676449999999999E-3</v>
      </c>
      <c r="AA4233">
        <v>0.99464050000000004</v>
      </c>
      <c r="AB4233">
        <v>29</v>
      </c>
      <c r="AC4233">
        <v>-10.963099999999899</v>
      </c>
      <c r="AD4233">
        <v>-1.1099523104009901</v>
      </c>
      <c r="AE4233">
        <v>-1.2494999999999801</v>
      </c>
      <c r="AF4233">
        <v>-1.1567875618223</v>
      </c>
      <c r="AG4233">
        <v>-1.1099523104009901</v>
      </c>
      <c r="AH4233">
        <v>10.862116157584</v>
      </c>
      <c r="AI4233">
        <v>95.801970650820095</v>
      </c>
      <c r="AJ4233">
        <v>96.078941076836102</v>
      </c>
      <c r="AK4233">
        <v>10.979786838340599</v>
      </c>
      <c r="AL4233">
        <v>89.581756533918295</v>
      </c>
      <c r="AM4233">
        <v>93.481501318967403</v>
      </c>
      <c r="AN4233">
        <v>1.0000000370706099</v>
      </c>
    </row>
    <row r="4234" spans="1:40" x14ac:dyDescent="0.3">
      <c r="A4234" t="str">
        <f>"20200111160542297"</f>
        <v>20200111160542297</v>
      </c>
      <c r="B4234" t="str">
        <f>"1578729942286033"</f>
        <v>1578729942286033</v>
      </c>
      <c r="C4234" t="s">
        <v>40</v>
      </c>
      <c r="D4234">
        <v>5.8322599999999998</v>
      </c>
      <c r="E4234">
        <v>0.48395759999999999</v>
      </c>
      <c r="F4234" t="s">
        <v>41</v>
      </c>
      <c r="G4234">
        <v>-362.72449999999998</v>
      </c>
      <c r="H4234" s="1">
        <v>-3.3329750000000001E-6</v>
      </c>
      <c r="I4234">
        <v>140.47890000000001</v>
      </c>
      <c r="J4234">
        <v>-352.03629999999998</v>
      </c>
      <c r="K4234">
        <v>1.109945</v>
      </c>
      <c r="L4234">
        <v>141.73740000000001</v>
      </c>
      <c r="M4234">
        <v>-0.99987550000000003</v>
      </c>
      <c r="N4234">
        <v>0</v>
      </c>
      <c r="O4234">
        <v>-6.9405659999999996E-3</v>
      </c>
      <c r="P4234">
        <v>-0.99758789999999997</v>
      </c>
      <c r="Q4234">
        <v>-7.6128130000000004E-3</v>
      </c>
      <c r="R4234">
        <v>-6.899682E-2</v>
      </c>
      <c r="S4234">
        <v>-2.9814759999999998</v>
      </c>
      <c r="T4234">
        <v>-0.3034887</v>
      </c>
      <c r="U4234">
        <v>-0.3443909</v>
      </c>
      <c r="V4234">
        <v>-6.2063260000000002E-2</v>
      </c>
      <c r="W4234">
        <v>6.612555E-3</v>
      </c>
      <c r="X4234">
        <v>0.99805029999999995</v>
      </c>
      <c r="Y4234">
        <v>-0.10733719999999999</v>
      </c>
      <c r="Z4234">
        <v>-4.7286589999999996E-3</v>
      </c>
      <c r="AA4234">
        <v>0.99421139999999997</v>
      </c>
      <c r="AB4234">
        <v>29</v>
      </c>
      <c r="AC4234">
        <v>-10.688199999999901</v>
      </c>
      <c r="AD4234">
        <v>-1.109948332975</v>
      </c>
      <c r="AE4234">
        <v>-1.25849999999999</v>
      </c>
      <c r="AF4234">
        <v>-1.17181554724415</v>
      </c>
      <c r="AG4234">
        <v>-1.109948332975</v>
      </c>
      <c r="AH4234">
        <v>10.5840957388089</v>
      </c>
      <c r="AI4234">
        <v>95.950598492268597</v>
      </c>
      <c r="AJ4234">
        <v>96.317758080693594</v>
      </c>
      <c r="AK4234">
        <v>10.706456910991101</v>
      </c>
      <c r="AL4234">
        <v>89.621125740916</v>
      </c>
      <c r="AM4234">
        <v>93.558327605306999</v>
      </c>
      <c r="AN4234">
        <v>0.99999998772777199</v>
      </c>
    </row>
    <row r="4235" spans="1:40" x14ac:dyDescent="0.3">
      <c r="A4235" t="str">
        <f>"20200111160542322"</f>
        <v>20200111160542322</v>
      </c>
      <c r="B4235" t="str">
        <f>"1578729942316289"</f>
        <v>1578729942316289</v>
      </c>
      <c r="C4235" t="s">
        <v>40</v>
      </c>
      <c r="D4235">
        <v>5.4433540000000002</v>
      </c>
      <c r="E4235">
        <v>0.48364220000000002</v>
      </c>
      <c r="F4235" t="s">
        <v>41</v>
      </c>
      <c r="G4235">
        <v>-362.85939999999999</v>
      </c>
      <c r="H4235" s="1">
        <v>-3.2749149999999898E-6</v>
      </c>
      <c r="I4235">
        <v>140.47799999999901</v>
      </c>
      <c r="J4235">
        <v>-352.36419999999998</v>
      </c>
      <c r="K4235">
        <v>1.1099410000000001</v>
      </c>
      <c r="L4235">
        <v>141.73589999999999</v>
      </c>
      <c r="M4235">
        <v>-0.99987999999999999</v>
      </c>
      <c r="N4235">
        <v>0</v>
      </c>
      <c r="O4235">
        <v>-6.2627489999999997E-3</v>
      </c>
      <c r="P4235">
        <v>-0.99750680000000003</v>
      </c>
      <c r="Q4235">
        <v>-8.2184300000000005E-3</v>
      </c>
      <c r="R4235">
        <v>-7.0091780000000006E-2</v>
      </c>
      <c r="S4235">
        <v>-2.9809269999999999</v>
      </c>
      <c r="T4235">
        <v>-0.305708799999999</v>
      </c>
      <c r="U4235">
        <v>-0.34683229999999998</v>
      </c>
      <c r="V4235">
        <v>-6.3835699999999995E-2</v>
      </c>
      <c r="W4235">
        <v>6.0045999999999997E-3</v>
      </c>
      <c r="X4235">
        <v>0.99794229999999995</v>
      </c>
      <c r="Y4235">
        <v>-0.1088165</v>
      </c>
      <c r="Z4235">
        <v>-4.9082170000000003E-3</v>
      </c>
      <c r="AA4235">
        <v>0.99404970000000004</v>
      </c>
      <c r="AB4235">
        <v>29</v>
      </c>
      <c r="AC4235">
        <v>-10.495200000000001</v>
      </c>
      <c r="AD4235">
        <v>-1.1099442749149999</v>
      </c>
      <c r="AE4235">
        <v>-1.2579</v>
      </c>
      <c r="AF4235">
        <v>-1.1791384855693801</v>
      </c>
      <c r="AG4235">
        <v>-1.1099442749149999</v>
      </c>
      <c r="AH4235">
        <v>10.388328856981</v>
      </c>
      <c r="AI4235">
        <v>96.060028316778798</v>
      </c>
      <c r="AJ4235">
        <v>96.475704043191698</v>
      </c>
      <c r="AK4235">
        <v>10.513787153179001</v>
      </c>
      <c r="AL4235">
        <v>89.655959675286397</v>
      </c>
      <c r="AM4235">
        <v>93.660071101331098</v>
      </c>
      <c r="AN4235">
        <v>0.99999994297246797</v>
      </c>
    </row>
    <row r="4236" spans="1:40" x14ac:dyDescent="0.3">
      <c r="A4236" t="str">
        <f>"20200111160542334"</f>
        <v>20200111160542334</v>
      </c>
      <c r="B4236" t="str">
        <f>"1578729942326049"</f>
        <v>1578729942326049</v>
      </c>
      <c r="C4236" t="s">
        <v>40</v>
      </c>
      <c r="D4236">
        <v>5.5314069999999997</v>
      </c>
      <c r="E4236">
        <v>0.48351759999999999</v>
      </c>
      <c r="F4236" t="s">
        <v>41</v>
      </c>
      <c r="G4236">
        <v>-363.11989999999997</v>
      </c>
      <c r="H4236" s="1">
        <v>-3.1597180000000001E-6</v>
      </c>
      <c r="I4236">
        <v>140.46520000000001</v>
      </c>
      <c r="J4236">
        <v>-352.53179999999998</v>
      </c>
      <c r="K4236">
        <v>1.109945</v>
      </c>
      <c r="L4236">
        <v>141.73519999999999</v>
      </c>
      <c r="M4236">
        <v>-0.99988220000000005</v>
      </c>
      <c r="N4236">
        <v>0</v>
      </c>
      <c r="O4236">
        <v>-5.9130939999999998E-3</v>
      </c>
      <c r="P4236">
        <v>-0.99751389999999995</v>
      </c>
      <c r="Q4236">
        <v>-7.204696E-3</v>
      </c>
      <c r="R4236">
        <v>-7.0101399999999994E-2</v>
      </c>
      <c r="S4236">
        <v>-2.9802249999999999</v>
      </c>
      <c r="T4236">
        <v>-0.30754749999999997</v>
      </c>
      <c r="U4236">
        <v>-0.35206599999999999</v>
      </c>
      <c r="V4236">
        <v>-6.4193100000000003E-2</v>
      </c>
      <c r="W4236">
        <v>7.0164270000000004E-3</v>
      </c>
      <c r="X4236">
        <v>0.99791280000000004</v>
      </c>
      <c r="Y4236">
        <v>-0.11089359999999999</v>
      </c>
      <c r="Z4236">
        <v>-5.0806159999999996E-3</v>
      </c>
      <c r="AA4236">
        <v>0.99381929999999996</v>
      </c>
      <c r="AB4236">
        <v>29</v>
      </c>
      <c r="AC4236">
        <v>-10.588099999999899</v>
      </c>
      <c r="AD4236">
        <v>-1.1099481597180001</v>
      </c>
      <c r="AE4236">
        <v>-1.26999999999998</v>
      </c>
      <c r="AF4236">
        <v>-1.19442338920925</v>
      </c>
      <c r="AG4236">
        <v>-1.1099481597180001</v>
      </c>
      <c r="AH4236">
        <v>10.481870718110301</v>
      </c>
      <c r="AI4236">
        <v>96.006067559381805</v>
      </c>
      <c r="AJ4236">
        <v>96.500890752704905</v>
      </c>
      <c r="AK4236">
        <v>10.6079331587793</v>
      </c>
      <c r="AL4236">
        <v>89.597985035131003</v>
      </c>
      <c r="AM4236">
        <v>93.680615251360805</v>
      </c>
      <c r="AN4236">
        <v>0.99999997036964705</v>
      </c>
    </row>
    <row r="4237" spans="1:40" x14ac:dyDescent="0.3">
      <c r="A4237" t="str">
        <f>"20200111160542352"</f>
        <v>20200111160542352</v>
      </c>
      <c r="B4237" t="str">
        <f>"1578729942345568"</f>
        <v>1578729942345568</v>
      </c>
      <c r="C4237" t="s">
        <v>40</v>
      </c>
      <c r="D4237">
        <v>5.502275</v>
      </c>
      <c r="E4237">
        <v>0.48337079999999999</v>
      </c>
      <c r="F4237" t="s">
        <v>41</v>
      </c>
      <c r="G4237">
        <v>-363.38780000000003</v>
      </c>
      <c r="H4237" s="1">
        <v>-3.041307E-6</v>
      </c>
      <c r="I4237">
        <v>140.4521</v>
      </c>
      <c r="J4237">
        <v>-352.74459999999999</v>
      </c>
      <c r="K4237">
        <v>1.1099460000000001</v>
      </c>
      <c r="L4237">
        <v>141.73439999999999</v>
      </c>
      <c r="M4237">
        <v>-0.99988469999999996</v>
      </c>
      <c r="N4237">
        <v>0</v>
      </c>
      <c r="O4237">
        <v>-5.4659060000000004E-3</v>
      </c>
      <c r="P4237">
        <v>-0.99753400000000003</v>
      </c>
      <c r="Q4237">
        <v>-6.1891999999999997E-3</v>
      </c>
      <c r="R4237">
        <v>-6.9912059999999998E-2</v>
      </c>
      <c r="S4237">
        <v>-2.9805299999999999</v>
      </c>
      <c r="T4237">
        <v>-0.30473850000000002</v>
      </c>
      <c r="U4237">
        <v>-0.35224909999999998</v>
      </c>
      <c r="V4237">
        <v>-6.4448599999999995E-2</v>
      </c>
      <c r="W4237">
        <v>8.0306309999999999E-3</v>
      </c>
      <c r="X4237">
        <v>0.99788869999999996</v>
      </c>
      <c r="Y4237">
        <v>-0.11139159999999999</v>
      </c>
      <c r="Z4237">
        <v>-5.1046720000000002E-3</v>
      </c>
      <c r="AA4237">
        <v>0.99376350000000002</v>
      </c>
      <c r="AB4237">
        <v>29</v>
      </c>
      <c r="AC4237">
        <v>-10.6432</v>
      </c>
      <c r="AD4237">
        <v>-1.1099490413069999</v>
      </c>
      <c r="AE4237">
        <v>-1.28229999999999</v>
      </c>
      <c r="AF4237">
        <v>-1.21111685567647</v>
      </c>
      <c r="AG4237">
        <v>-1.1099490413069999</v>
      </c>
      <c r="AH4237">
        <v>10.5370908860888</v>
      </c>
      <c r="AI4237">
        <v>95.974164063891905</v>
      </c>
      <c r="AJ4237">
        <v>96.556715645545594</v>
      </c>
      <c r="AK4237">
        <v>10.664383491515</v>
      </c>
      <c r="AL4237">
        <v>89.539873784364204</v>
      </c>
      <c r="AM4237">
        <v>93.695313244554299</v>
      </c>
      <c r="AN4237">
        <v>0.999999985331954</v>
      </c>
    </row>
    <row r="4238" spans="1:40" x14ac:dyDescent="0.3">
      <c r="A4238" t="str">
        <f>"20200111160542366"</f>
        <v>20200111160542366</v>
      </c>
      <c r="B4238" t="str">
        <f>"1578729942356305"</f>
        <v>1578729942356305</v>
      </c>
      <c r="C4238" t="s">
        <v>40</v>
      </c>
      <c r="D4238">
        <v>5.4715730000000002</v>
      </c>
      <c r="E4238">
        <v>0.4833442</v>
      </c>
      <c r="F4238" t="s">
        <v>41</v>
      </c>
      <c r="G4238">
        <v>-363.71640000000002</v>
      </c>
      <c r="H4238" s="1">
        <v>-2.8964439999999999E-6</v>
      </c>
      <c r="I4238">
        <v>140.4374</v>
      </c>
      <c r="J4238">
        <v>-352.9271</v>
      </c>
      <c r="K4238">
        <v>1.1099479999999999</v>
      </c>
      <c r="L4238">
        <v>141.7337</v>
      </c>
      <c r="M4238">
        <v>-0.99988670000000002</v>
      </c>
      <c r="N4238">
        <v>0</v>
      </c>
      <c r="O4238">
        <v>-5.0792679999999996E-3</v>
      </c>
      <c r="P4238">
        <v>-0.99757949999999995</v>
      </c>
      <c r="Q4238">
        <v>-5.132915E-3</v>
      </c>
      <c r="R4238">
        <v>-6.9346729999999995E-2</v>
      </c>
      <c r="S4238">
        <v>-2.9808650000000001</v>
      </c>
      <c r="T4238">
        <v>-0.301558099999999</v>
      </c>
      <c r="U4238">
        <v>-0.352356</v>
      </c>
      <c r="V4238">
        <v>-6.426722E-2</v>
      </c>
      <c r="W4238">
        <v>9.0848790000000006E-3</v>
      </c>
      <c r="X4238">
        <v>0.99789139999999998</v>
      </c>
      <c r="Y4238">
        <v>-0.1118053</v>
      </c>
      <c r="Z4238">
        <v>-5.1107710000000001E-3</v>
      </c>
      <c r="AA4238">
        <v>0.99371699999999996</v>
      </c>
      <c r="AB4238">
        <v>29</v>
      </c>
      <c r="AC4238">
        <v>-10.789300000000001</v>
      </c>
      <c r="AD4238">
        <v>-1.1099508964439999</v>
      </c>
      <c r="AE4238">
        <v>-1.2963</v>
      </c>
      <c r="AF4238">
        <v>-1.22865780951666</v>
      </c>
      <c r="AG4238">
        <v>-1.1099508964439999</v>
      </c>
      <c r="AH4238">
        <v>10.6842798398754</v>
      </c>
      <c r="AI4238">
        <v>95.892416819558704</v>
      </c>
      <c r="AJ4238">
        <v>96.560014481883499</v>
      </c>
      <c r="AK4238">
        <v>10.811818843384801</v>
      </c>
      <c r="AL4238">
        <v>89.479467630166596</v>
      </c>
      <c r="AM4238">
        <v>93.684932144177793</v>
      </c>
      <c r="AN4238">
        <v>1.00000002839346</v>
      </c>
    </row>
    <row r="4239" spans="1:40" x14ac:dyDescent="0.3">
      <c r="A4239" t="str">
        <f>"20200111160542379"</f>
        <v>20200111160542379</v>
      </c>
      <c r="B4239" t="str">
        <f>"1578729942375825"</f>
        <v>1578729942375825</v>
      </c>
      <c r="C4239" t="s">
        <v>40</v>
      </c>
      <c r="D4239">
        <v>5.484273</v>
      </c>
      <c r="E4239">
        <v>0.48324159999999999</v>
      </c>
      <c r="F4239" t="s">
        <v>41</v>
      </c>
      <c r="G4239">
        <v>-364.00900000000001</v>
      </c>
      <c r="H4239" s="1">
        <v>-2.769196E-6</v>
      </c>
      <c r="I4239">
        <v>140.43100000000001</v>
      </c>
      <c r="J4239">
        <v>-353.11279999999999</v>
      </c>
      <c r="K4239">
        <v>1.1099600000000001</v>
      </c>
      <c r="L4239">
        <v>141.73320000000001</v>
      </c>
      <c r="M4239">
        <v>-0.99988880000000002</v>
      </c>
      <c r="N4239">
        <v>0</v>
      </c>
      <c r="O4239">
        <v>-4.6815379999999998E-3</v>
      </c>
      <c r="P4239">
        <v>-0.99767629999999996</v>
      </c>
      <c r="Q4239">
        <v>-3.366183E-3</v>
      </c>
      <c r="R4239">
        <v>-6.8053169999999996E-2</v>
      </c>
      <c r="S4239">
        <v>-2.9814150000000001</v>
      </c>
      <c r="T4239">
        <v>-0.29861589999999999</v>
      </c>
      <c r="U4239">
        <v>-0.35046389999999999</v>
      </c>
      <c r="V4239">
        <v>-6.3368179999999996E-2</v>
      </c>
      <c r="W4239">
        <v>1.085004E-2</v>
      </c>
      <c r="X4239">
        <v>0.99793120000000002</v>
      </c>
      <c r="Y4239">
        <v>-0.111567</v>
      </c>
      <c r="Z4239">
        <v>-5.0881529999999998E-3</v>
      </c>
      <c r="AA4239">
        <v>0.99374390000000001</v>
      </c>
      <c r="AB4239">
        <v>29</v>
      </c>
      <c r="AC4239">
        <v>-10.8962</v>
      </c>
      <c r="AD4239">
        <v>-1.1099627691959999</v>
      </c>
      <c r="AE4239">
        <v>-1.30219999999999</v>
      </c>
      <c r="AF4239">
        <v>-1.2384988586624801</v>
      </c>
      <c r="AG4239">
        <v>-1.1099627691959999</v>
      </c>
      <c r="AH4239">
        <v>10.7917695152678</v>
      </c>
      <c r="AI4239">
        <v>95.834348582941701</v>
      </c>
      <c r="AJ4239">
        <v>96.546809972964397</v>
      </c>
      <c r="AK4239">
        <v>10.919165995742199</v>
      </c>
      <c r="AL4239">
        <v>89.378326280555001</v>
      </c>
      <c r="AM4239">
        <v>93.633377840497502</v>
      </c>
      <c r="AN4239">
        <v>0.99999996476897601</v>
      </c>
    </row>
    <row r="4240" spans="1:40" x14ac:dyDescent="0.3">
      <c r="A4240" t="str">
        <f>"20200111160542397"</f>
        <v>20200111160542397</v>
      </c>
      <c r="B4240" t="str">
        <f>"1578729942385585"</f>
        <v>1578729942385585</v>
      </c>
      <c r="C4240" t="s">
        <v>40</v>
      </c>
      <c r="D4240">
        <v>5.5260790000000002</v>
      </c>
      <c r="E4240">
        <v>0.48308630000000002</v>
      </c>
      <c r="F4240" t="s">
        <v>41</v>
      </c>
      <c r="G4240">
        <v>-364.36099999999999</v>
      </c>
      <c r="H4240" s="1">
        <v>-2.616766E-6</v>
      </c>
      <c r="I4240">
        <v>140.4256</v>
      </c>
      <c r="J4240">
        <v>-353.32799999999997</v>
      </c>
      <c r="K4240">
        <v>1.10996299999999</v>
      </c>
      <c r="L4240">
        <v>141.73269999999999</v>
      </c>
      <c r="M4240">
        <v>-0.99989090000000003</v>
      </c>
      <c r="N4240">
        <v>0</v>
      </c>
      <c r="O4240">
        <v>-4.2174040000000001E-3</v>
      </c>
      <c r="P4240">
        <v>-0.99774359999999995</v>
      </c>
      <c r="Q4240">
        <v>-3.2959650000000001E-3</v>
      </c>
      <c r="R4240">
        <v>-6.7059450000000007E-2</v>
      </c>
      <c r="S4240">
        <v>-2.9823300000000001</v>
      </c>
      <c r="T4240">
        <v>-0.29429549999999999</v>
      </c>
      <c r="U4240">
        <v>-0.34667969999999998</v>
      </c>
      <c r="V4240">
        <v>-6.2837539999999997E-2</v>
      </c>
      <c r="W4240">
        <v>1.09187E-2</v>
      </c>
      <c r="X4240">
        <v>0.99796399999999996</v>
      </c>
      <c r="Y4240">
        <v>-0.1107658</v>
      </c>
      <c r="Z4240">
        <v>-5.0199720000000001E-3</v>
      </c>
      <c r="AA4240">
        <v>0.99383379999999999</v>
      </c>
      <c r="AB4240">
        <v>29</v>
      </c>
      <c r="AC4240">
        <v>-11.0329999999999</v>
      </c>
      <c r="AD4240">
        <v>-1.1099656167659999</v>
      </c>
      <c r="AE4240">
        <v>-1.3070999999999899</v>
      </c>
      <c r="AF4240">
        <v>-1.2480957174904399</v>
      </c>
      <c r="AG4240">
        <v>-1.1099656167659999</v>
      </c>
      <c r="AH4240">
        <v>10.9293282101708</v>
      </c>
      <c r="AI4240">
        <v>95.761794358131695</v>
      </c>
      <c r="AJ4240">
        <v>96.514780264577595</v>
      </c>
      <c r="AK4240">
        <v>11.0562191420058</v>
      </c>
      <c r="AL4240">
        <v>89.374392116082902</v>
      </c>
      <c r="AM4240">
        <v>93.602914606026502</v>
      </c>
      <c r="AN4240">
        <v>0.99999995986946999</v>
      </c>
    </row>
    <row r="4241" spans="1:40" x14ac:dyDescent="0.3">
      <c r="A4241" t="str">
        <f>"20200111160542411"</f>
        <v>20200111160542411</v>
      </c>
      <c r="B4241" t="str">
        <f>"1578729942406081"</f>
        <v>1578729942406081</v>
      </c>
      <c r="C4241" t="s">
        <v>40</v>
      </c>
      <c r="D4241">
        <v>5.6412459999999998</v>
      </c>
      <c r="E4241">
        <v>0.48296699999999998</v>
      </c>
      <c r="F4241" t="s">
        <v>41</v>
      </c>
      <c r="G4241">
        <v>-364.61380000000003</v>
      </c>
      <c r="H4241" s="1">
        <v>-2.5090009999999998E-6</v>
      </c>
      <c r="I4241">
        <v>140.4281</v>
      </c>
      <c r="J4241">
        <v>-353.51519999999999</v>
      </c>
      <c r="K4241">
        <v>1.1099669999999999</v>
      </c>
      <c r="L4241">
        <v>141.73240000000001</v>
      </c>
      <c r="M4241">
        <v>-0.99989240000000001</v>
      </c>
      <c r="N4241">
        <v>0</v>
      </c>
      <c r="O4241">
        <v>-3.8111030000000001E-3</v>
      </c>
      <c r="P4241">
        <v>-0.99780570000000002</v>
      </c>
      <c r="Q4241">
        <v>-3.479172E-3</v>
      </c>
      <c r="R4241">
        <v>-6.6118529999999995E-2</v>
      </c>
      <c r="S4241">
        <v>-2.9826350000000001</v>
      </c>
      <c r="T4241">
        <v>-0.29334680000000002</v>
      </c>
      <c r="U4241">
        <v>-0.34477229999999998</v>
      </c>
      <c r="V4241">
        <v>-6.230231E-2</v>
      </c>
      <c r="W4241">
        <v>1.0734179999999999E-2</v>
      </c>
      <c r="X4241">
        <v>0.99799959999999999</v>
      </c>
      <c r="Y4241">
        <v>-0.1105334</v>
      </c>
      <c r="Z4241">
        <v>-5.0319070000000004E-3</v>
      </c>
      <c r="AA4241">
        <v>0.99385959999999995</v>
      </c>
      <c r="AB4241">
        <v>29</v>
      </c>
      <c r="AC4241">
        <v>-11.098599999999999</v>
      </c>
      <c r="AD4241">
        <v>-1.109969509001</v>
      </c>
      <c r="AE4241">
        <v>-1.30430000000001</v>
      </c>
      <c r="AF4241">
        <v>-1.24965958205952</v>
      </c>
      <c r="AG4241">
        <v>-1.109969509001</v>
      </c>
      <c r="AH4241">
        <v>10.9950169437851</v>
      </c>
      <c r="AI4241">
        <v>95.727966108231996</v>
      </c>
      <c r="AJ4241">
        <v>96.484235546389399</v>
      </c>
      <c r="AK4241">
        <v>11.121334406269201</v>
      </c>
      <c r="AL4241">
        <v>89.384964978720504</v>
      </c>
      <c r="AM4241">
        <v>93.572178845657703</v>
      </c>
      <c r="AN4241">
        <v>1.00000000102588</v>
      </c>
    </row>
    <row r="4242" spans="1:40" x14ac:dyDescent="0.3">
      <c r="A4242" t="str">
        <f>"20200111160542425"</f>
        <v>20200111160542425</v>
      </c>
      <c r="B4242" t="str">
        <f>"1578729942415840"</f>
        <v>1578729942415840</v>
      </c>
      <c r="C4242" t="s">
        <v>40</v>
      </c>
      <c r="D4242">
        <v>5.5146930000000003</v>
      </c>
      <c r="E4242">
        <v>0.48286630000000003</v>
      </c>
      <c r="F4242" t="s">
        <v>41</v>
      </c>
      <c r="G4242">
        <v>-364.76049999999998</v>
      </c>
      <c r="H4242" s="1">
        <v>-2.4492510000000001E-6</v>
      </c>
      <c r="I4242">
        <v>140.4401</v>
      </c>
      <c r="J4242">
        <v>-353.68799999999999</v>
      </c>
      <c r="K4242">
        <v>1.1099669999999999</v>
      </c>
      <c r="L4242">
        <v>141.7321</v>
      </c>
      <c r="M4242">
        <v>-0.99989380000000005</v>
      </c>
      <c r="N4242">
        <v>0</v>
      </c>
      <c r="O4242">
        <v>-3.4341369999999999E-3</v>
      </c>
      <c r="P4242">
        <v>-0.99789070000000002</v>
      </c>
      <c r="Q4242">
        <v>-4.1354520000000004E-3</v>
      </c>
      <c r="R4242">
        <v>-6.4787330000000004E-2</v>
      </c>
      <c r="S4242">
        <v>-2.9828489999999999</v>
      </c>
      <c r="T4242">
        <v>-0.29442459999999998</v>
      </c>
      <c r="U4242">
        <v>-0.34277340000000001</v>
      </c>
      <c r="V4242">
        <v>-6.1347609999999997E-2</v>
      </c>
      <c r="W4242">
        <v>1.00757E-2</v>
      </c>
      <c r="X4242">
        <v>0.9980656</v>
      </c>
      <c r="Y4242">
        <v>-0.1102385</v>
      </c>
      <c r="Z4242">
        <v>-5.0726690000000001E-3</v>
      </c>
      <c r="AA4242">
        <v>0.9938922</v>
      </c>
      <c r="AB4242">
        <v>29</v>
      </c>
      <c r="AC4242">
        <v>-11.0724999999999</v>
      </c>
      <c r="AD4242">
        <v>-1.1099694492509999</v>
      </c>
      <c r="AE4242">
        <v>-1.292</v>
      </c>
      <c r="AF4242">
        <v>-1.2416540837749499</v>
      </c>
      <c r="AG4242">
        <v>-1.1099694492509999</v>
      </c>
      <c r="AH4242">
        <v>10.9681318550416</v>
      </c>
      <c r="AI4242">
        <v>95.742200755592407</v>
      </c>
      <c r="AJ4242">
        <v>96.458706928517401</v>
      </c>
      <c r="AK4242">
        <v>11.093856562602699</v>
      </c>
      <c r="AL4242">
        <v>89.422695143476105</v>
      </c>
      <c r="AM4242">
        <v>93.517346439060404</v>
      </c>
      <c r="AN4242">
        <v>0.999999995443281</v>
      </c>
    </row>
    <row r="4243" spans="1:40" x14ac:dyDescent="0.3">
      <c r="A4243" t="str">
        <f>"20200111160542448"</f>
        <v>20200111160542448</v>
      </c>
      <c r="B4243" t="str">
        <f>"1578729942436336"</f>
        <v>1578729942436336</v>
      </c>
      <c r="C4243" t="s">
        <v>40</v>
      </c>
      <c r="D4243">
        <v>5.7031179999999999</v>
      </c>
      <c r="E4243">
        <v>0.4828635</v>
      </c>
      <c r="F4243" t="s">
        <v>41</v>
      </c>
      <c r="G4243">
        <v>-364.88499999999999</v>
      </c>
      <c r="H4243" s="1">
        <v>-2.4004719999999998E-6</v>
      </c>
      <c r="I4243">
        <v>140.45750000000001</v>
      </c>
      <c r="J4243">
        <v>-353.976</v>
      </c>
      <c r="K4243">
        <v>1.1099600000000001</v>
      </c>
      <c r="L4243">
        <v>141.73179999999999</v>
      </c>
      <c r="M4243">
        <v>-0.99989589999999995</v>
      </c>
      <c r="N4243">
        <v>0</v>
      </c>
      <c r="O4243">
        <v>-2.8016030000000002E-3</v>
      </c>
      <c r="P4243">
        <v>-0.99798419999999999</v>
      </c>
      <c r="Q4243">
        <v>-5.1515509999999999E-3</v>
      </c>
      <c r="R4243">
        <v>-6.3255759999999994E-2</v>
      </c>
      <c r="S4243">
        <v>-2.983063</v>
      </c>
      <c r="T4243">
        <v>-0.29571530000000001</v>
      </c>
      <c r="U4243">
        <v>-0.33955380000000002</v>
      </c>
      <c r="V4243">
        <v>-6.0448210000000002E-2</v>
      </c>
      <c r="W4243">
        <v>9.0562699999999999E-3</v>
      </c>
      <c r="X4243">
        <v>0.99813030000000003</v>
      </c>
      <c r="Y4243">
        <v>-0.1097949</v>
      </c>
      <c r="Z4243">
        <v>-5.1352339999999998E-3</v>
      </c>
      <c r="AA4243">
        <v>0.99394099999999996</v>
      </c>
      <c r="AB4243">
        <v>29</v>
      </c>
      <c r="AC4243">
        <v>-10.908999999999899</v>
      </c>
      <c r="AD4243">
        <v>-1.1099624004719999</v>
      </c>
      <c r="AE4243">
        <v>-1.27429999999998</v>
      </c>
      <c r="AF4243">
        <v>-1.2311552450943399</v>
      </c>
      <c r="AG4243">
        <v>-1.1099624004719999</v>
      </c>
      <c r="AH4243">
        <v>10.802202832485699</v>
      </c>
      <c r="AI4243">
        <v>95.829267079731096</v>
      </c>
      <c r="AJ4243">
        <v>96.502092835521495</v>
      </c>
      <c r="AK4243">
        <v>10.9286479402599</v>
      </c>
      <c r="AL4243">
        <v>89.481106883178199</v>
      </c>
      <c r="AM4243">
        <v>93.4656821344375</v>
      </c>
      <c r="AN4243">
        <v>1.0000000489483001</v>
      </c>
    </row>
    <row r="4244" spans="1:40" x14ac:dyDescent="0.3">
      <c r="A4244" t="str">
        <f>"20200111160542469"</f>
        <v>20200111160542469</v>
      </c>
      <c r="B4244" t="str">
        <f>"1578729942465617"</f>
        <v>1578729942465617</v>
      </c>
      <c r="C4244" t="s">
        <v>40</v>
      </c>
      <c r="D4244">
        <v>5.552962</v>
      </c>
      <c r="E4244">
        <v>0.4825412</v>
      </c>
      <c r="F4244" t="s">
        <v>41</v>
      </c>
      <c r="G4244">
        <v>-365.03320000000002</v>
      </c>
      <c r="H4244" s="1">
        <v>-2.3454800000000001E-6</v>
      </c>
      <c r="I4244">
        <v>140.4898</v>
      </c>
      <c r="J4244">
        <v>-354.25839999999999</v>
      </c>
      <c r="K4244">
        <v>1.1099600000000001</v>
      </c>
      <c r="L4244">
        <v>141.73169999999999</v>
      </c>
      <c r="M4244">
        <v>-0.99989749999999999</v>
      </c>
      <c r="N4244">
        <v>0</v>
      </c>
      <c r="O4244">
        <v>-2.1787439999999998E-3</v>
      </c>
      <c r="P4244">
        <v>-0.99807100000000004</v>
      </c>
      <c r="Q4244">
        <v>-5.0044490000000002E-3</v>
      </c>
      <c r="R4244">
        <v>-6.1881970000000001E-2</v>
      </c>
      <c r="S4244">
        <v>-2.9833069999999999</v>
      </c>
      <c r="T4244">
        <v>-0.29947570000000001</v>
      </c>
      <c r="U4244">
        <v>-0.33508300000000002</v>
      </c>
      <c r="V4244">
        <v>-5.9695650000000003E-2</v>
      </c>
      <c r="W4244">
        <v>9.2002679999999993E-3</v>
      </c>
      <c r="X4244">
        <v>0.99817429999999996</v>
      </c>
      <c r="Y4244">
        <v>-0.10892209999999999</v>
      </c>
      <c r="Z4244">
        <v>-5.2188399999999998E-3</v>
      </c>
      <c r="AA4244">
        <v>0.99403660000000005</v>
      </c>
      <c r="AB4244">
        <v>29</v>
      </c>
      <c r="AC4244">
        <v>-10.774800000000001</v>
      </c>
      <c r="AD4244">
        <v>-1.1099623454799901</v>
      </c>
      <c r="AE4244">
        <v>-1.24189999999998</v>
      </c>
      <c r="AF4244">
        <v>-1.20579105344176</v>
      </c>
      <c r="AG4244">
        <v>-1.1099623454799901</v>
      </c>
      <c r="AH4244">
        <v>10.665778947436401</v>
      </c>
      <c r="AI4244">
        <v>95.903909104136702</v>
      </c>
      <c r="AJ4244">
        <v>96.450034899462494</v>
      </c>
      <c r="AK4244">
        <v>10.7909586705038</v>
      </c>
      <c r="AL4244">
        <v>89.472856075559903</v>
      </c>
      <c r="AM4244">
        <v>93.422488252355706</v>
      </c>
      <c r="AN4244">
        <v>1.0000000743703299</v>
      </c>
    </row>
    <row r="4245" spans="1:40" x14ac:dyDescent="0.3">
      <c r="A4245" t="str">
        <f>"20200111160542485"</f>
        <v>20200111160542485</v>
      </c>
      <c r="B4245" t="str">
        <f>"1578729942476353"</f>
        <v>1578729942476353</v>
      </c>
      <c r="C4245" t="s">
        <v>40</v>
      </c>
      <c r="D4245">
        <v>5.5238579999999997</v>
      </c>
      <c r="E4245">
        <v>0.48250920000000003</v>
      </c>
      <c r="F4245" t="s">
        <v>41</v>
      </c>
      <c r="G4245">
        <v>-365.3356</v>
      </c>
      <c r="H4245" s="1">
        <v>-2.21652E-6</v>
      </c>
      <c r="I4245">
        <v>140.49279999999999</v>
      </c>
      <c r="J4245">
        <v>-354.45870000000002</v>
      </c>
      <c r="K4245">
        <v>1.109958</v>
      </c>
      <c r="L4245">
        <v>141.73179999999999</v>
      </c>
      <c r="M4245">
        <v>-0.99989839999999997</v>
      </c>
      <c r="N4245">
        <v>0</v>
      </c>
      <c r="O4245">
        <v>-1.7361340000000001E-3</v>
      </c>
      <c r="P4245">
        <v>-0.9981122</v>
      </c>
      <c r="Q4245">
        <v>-4.3711030000000003E-3</v>
      </c>
      <c r="R4245">
        <v>-6.1261830000000003E-2</v>
      </c>
      <c r="S4245">
        <v>-2.9836119999999999</v>
      </c>
      <c r="T4245">
        <v>-0.29896440000000002</v>
      </c>
      <c r="U4245">
        <v>-0.33369450000000001</v>
      </c>
      <c r="V4245">
        <v>-5.9516810000000003E-2</v>
      </c>
      <c r="W4245">
        <v>9.8310970000000004E-3</v>
      </c>
      <c r="X4245">
        <v>0.99817889999999998</v>
      </c>
      <c r="Y4245">
        <v>-0.1088937</v>
      </c>
      <c r="Z4245">
        <v>-5.252273E-3</v>
      </c>
      <c r="AA4245">
        <v>0.99403949999999996</v>
      </c>
      <c r="AB4245">
        <v>29</v>
      </c>
      <c r="AC4245">
        <v>-10.8768999999999</v>
      </c>
      <c r="AD4245">
        <v>-1.10996021652</v>
      </c>
      <c r="AE4245">
        <v>-1.2390000000000001</v>
      </c>
      <c r="AF4245">
        <v>-1.2076970066286701</v>
      </c>
      <c r="AG4245">
        <v>-1.10996021652</v>
      </c>
      <c r="AH4245">
        <v>10.768333264877301</v>
      </c>
      <c r="AI4245">
        <v>95.848643489987097</v>
      </c>
      <c r="AJ4245">
        <v>96.3991324639955</v>
      </c>
      <c r="AK4245">
        <v>10.8925453887299</v>
      </c>
      <c r="AL4245">
        <v>89.436710564911607</v>
      </c>
      <c r="AM4245">
        <v>93.412243521403894</v>
      </c>
      <c r="AN4245">
        <v>1.0000000087730001</v>
      </c>
    </row>
    <row r="4246" spans="1:40" x14ac:dyDescent="0.3">
      <c r="A4246" t="str">
        <f>"20200111160542498"</f>
        <v>20200111160542498</v>
      </c>
      <c r="B4246" t="str">
        <f>"1578729942495872"</f>
        <v>1578729942495872</v>
      </c>
      <c r="C4246" t="s">
        <v>40</v>
      </c>
      <c r="D4246">
        <v>5.5700529999999997</v>
      </c>
      <c r="E4246">
        <v>0.48259190000000002</v>
      </c>
      <c r="F4246" t="s">
        <v>41</v>
      </c>
      <c r="G4246">
        <v>-365.59559999999999</v>
      </c>
      <c r="H4246" s="1">
        <v>-2.1051220000000002E-6</v>
      </c>
      <c r="I4246">
        <v>140.4932</v>
      </c>
      <c r="J4246">
        <v>-354.63319999999999</v>
      </c>
      <c r="K4246">
        <v>1.1099589999999999</v>
      </c>
      <c r="L4246">
        <v>141.7319</v>
      </c>
      <c r="M4246">
        <v>-0.99989890000000003</v>
      </c>
      <c r="N4246">
        <v>0</v>
      </c>
      <c r="O4246">
        <v>-1.3509819999999999E-3</v>
      </c>
      <c r="P4246">
        <v>-0.99812970000000001</v>
      </c>
      <c r="Q4246">
        <v>-3.6509260000000001E-3</v>
      </c>
      <c r="R4246">
        <v>-6.1022350000000003E-2</v>
      </c>
      <c r="S4246">
        <v>-2.9840089999999999</v>
      </c>
      <c r="T4246">
        <v>-0.29740460000000002</v>
      </c>
      <c r="U4246">
        <v>-0.33184809999999998</v>
      </c>
      <c r="V4246">
        <v>-5.9660579999999998E-2</v>
      </c>
      <c r="W4246">
        <v>1.0549650000000001E-2</v>
      </c>
      <c r="X4246">
        <v>0.99816300000000002</v>
      </c>
      <c r="Y4246">
        <v>-0.1086594</v>
      </c>
      <c r="Z4246">
        <v>-5.2510589999999998E-3</v>
      </c>
      <c r="AA4246">
        <v>0.99406519999999998</v>
      </c>
      <c r="AB4246">
        <v>29</v>
      </c>
      <c r="AC4246">
        <v>-10.962400000000001</v>
      </c>
      <c r="AD4246">
        <v>-1.109961105122</v>
      </c>
      <c r="AE4246">
        <v>-1.2386999999999899</v>
      </c>
      <c r="AF4246">
        <v>-1.21162254757497</v>
      </c>
      <c r="AG4246">
        <v>-1.109961105122</v>
      </c>
      <c r="AH4246">
        <v>10.8541904360288</v>
      </c>
      <c r="AI4246">
        <v>95.803036651276699</v>
      </c>
      <c r="AJ4246">
        <v>96.369397430068901</v>
      </c>
      <c r="AK4246">
        <v>10.977863766428101</v>
      </c>
      <c r="AL4246">
        <v>89.395538383504203</v>
      </c>
      <c r="AM4246">
        <v>93.420521014820594</v>
      </c>
      <c r="AN4246">
        <v>1.00000002724502</v>
      </c>
    </row>
    <row r="4247" spans="1:40" x14ac:dyDescent="0.3">
      <c r="A4247" t="str">
        <f>"20200111160542514"</f>
        <v>20200111160542514</v>
      </c>
      <c r="B4247" t="str">
        <f>"1578729942505632"</f>
        <v>1578729942505632</v>
      </c>
      <c r="C4247" t="s">
        <v>40</v>
      </c>
      <c r="D4247">
        <v>5.5357669999999999</v>
      </c>
      <c r="E4247">
        <v>0.49485089999999998</v>
      </c>
      <c r="F4247" t="s">
        <v>41</v>
      </c>
      <c r="G4247">
        <v>-365.82589999999999</v>
      </c>
      <c r="H4247" s="1">
        <v>-2.006264E-6</v>
      </c>
      <c r="I4247">
        <v>140.49299999999999</v>
      </c>
      <c r="J4247">
        <v>-354.8306</v>
      </c>
      <c r="K4247">
        <v>1.109969</v>
      </c>
      <c r="L4247">
        <v>141.7321</v>
      </c>
      <c r="M4247">
        <v>-0.9998996</v>
      </c>
      <c r="N4247">
        <v>0</v>
      </c>
      <c r="O4247">
        <v>-9.1588640000000001E-4</v>
      </c>
      <c r="P4247">
        <v>-0.99818260000000003</v>
      </c>
      <c r="Q4247">
        <v>-1.885531E-3</v>
      </c>
      <c r="R4247">
        <v>-6.0236930000000001E-2</v>
      </c>
      <c r="S4247">
        <v>-2.9843139999999999</v>
      </c>
      <c r="T4247">
        <v>-0.29595060000000001</v>
      </c>
      <c r="U4247">
        <v>-0.33029170000000002</v>
      </c>
      <c r="V4247">
        <v>-5.9307650000000003E-2</v>
      </c>
      <c r="W4247">
        <v>1.2312399999999999E-2</v>
      </c>
      <c r="X4247">
        <v>0.99816380000000005</v>
      </c>
      <c r="Y4247">
        <v>-0.1085721</v>
      </c>
      <c r="Z4247">
        <v>-5.2637430000000004E-3</v>
      </c>
      <c r="AA4247">
        <v>0.99407460000000003</v>
      </c>
      <c r="AB4247">
        <v>29</v>
      </c>
      <c r="AC4247">
        <v>-10.995299999999901</v>
      </c>
      <c r="AD4247">
        <v>-1.109971006264</v>
      </c>
      <c r="AE4247">
        <v>-1.2391000000000001</v>
      </c>
      <c r="AF4247">
        <v>-1.21678351009385</v>
      </c>
      <c r="AG4247">
        <v>-1.109971006264</v>
      </c>
      <c r="AH4247">
        <v>10.8868755240785</v>
      </c>
      <c r="AI4247">
        <v>95.785696063234894</v>
      </c>
      <c r="AJ4247">
        <v>96.377258951644905</v>
      </c>
      <c r="AK4247">
        <v>11.010751855434799</v>
      </c>
      <c r="AL4247">
        <v>89.294533606700597</v>
      </c>
      <c r="AM4247">
        <v>93.400331373364295</v>
      </c>
      <c r="AN4247">
        <v>0.99999998208636098</v>
      </c>
    </row>
    <row r="4248" spans="1:40" x14ac:dyDescent="0.3">
      <c r="A4248" t="str">
        <f>"20200111160542530"</f>
        <v>20200111160542530</v>
      </c>
      <c r="B4248" t="str">
        <f>"1578729942526129"</f>
        <v>1578729942526129</v>
      </c>
      <c r="C4248" t="s">
        <v>40</v>
      </c>
      <c r="D4248">
        <v>5.6197269999999904</v>
      </c>
      <c r="E4248">
        <v>0.493587</v>
      </c>
      <c r="F4248" t="s">
        <v>41</v>
      </c>
      <c r="G4248">
        <v>-364.56979999999999</v>
      </c>
      <c r="H4248" s="1">
        <v>-2.6743930000000002E-6</v>
      </c>
      <c r="I4248">
        <v>140.97880000000001</v>
      </c>
      <c r="J4248">
        <v>-355.03309999999999</v>
      </c>
      <c r="K4248">
        <v>1.1099730000000001</v>
      </c>
      <c r="L4248">
        <v>141.73230000000001</v>
      </c>
      <c r="M4248">
        <v>-0.99989989999999995</v>
      </c>
      <c r="N4248">
        <v>0</v>
      </c>
      <c r="O4248">
        <v>-4.7078849999999999E-4</v>
      </c>
      <c r="P4248">
        <v>-0.99821780000000004</v>
      </c>
      <c r="Q4248">
        <v>-9.1940160000000002E-4</v>
      </c>
      <c r="R4248">
        <v>-5.9670929999999997E-2</v>
      </c>
      <c r="S4248">
        <v>-2.990875</v>
      </c>
      <c r="T4248">
        <v>-0.34087040000000002</v>
      </c>
      <c r="U4248">
        <v>-0.23130800000000001</v>
      </c>
      <c r="V4248">
        <v>-5.9184599999999997E-2</v>
      </c>
      <c r="W4248">
        <v>1.327601E-2</v>
      </c>
      <c r="X4248">
        <v>0.99815880000000001</v>
      </c>
      <c r="Y4248">
        <v>-7.6151199999999905E-2</v>
      </c>
      <c r="Z4248">
        <v>-4.265685E-3</v>
      </c>
      <c r="AA4248">
        <v>0.99708719999999995</v>
      </c>
      <c r="AB4248">
        <v>29</v>
      </c>
      <c r="AC4248">
        <v>-9.5366999999999909</v>
      </c>
      <c r="AD4248">
        <v>-1.1099756743929901</v>
      </c>
      <c r="AE4248">
        <v>-0.75350000000000195</v>
      </c>
      <c r="AF4248">
        <v>-0.73906005167542599</v>
      </c>
      <c r="AG4248">
        <v>-1.1099756743929901</v>
      </c>
      <c r="AH4248">
        <v>9.4103660131860796</v>
      </c>
      <c r="AI4248">
        <v>96.706632056714</v>
      </c>
      <c r="AJ4248">
        <v>94.490609686997104</v>
      </c>
      <c r="AK4248">
        <v>9.50438026700607</v>
      </c>
      <c r="AL4248">
        <v>89.239318334345597</v>
      </c>
      <c r="AM4248">
        <v>93.393309912826297</v>
      </c>
      <c r="AN4248">
        <v>1.00000002966805</v>
      </c>
    </row>
    <row r="4249" spans="1:40" x14ac:dyDescent="0.3">
      <c r="A4249" t="str">
        <f>"20200111160542544"</f>
        <v>20200111160542544</v>
      </c>
      <c r="B4249" t="str">
        <f>"1578729942535888"</f>
        <v>1578729942535888</v>
      </c>
      <c r="C4249" t="s">
        <v>40</v>
      </c>
      <c r="D4249">
        <v>5.4976089999999997</v>
      </c>
      <c r="E4249">
        <v>0.49383179999999999</v>
      </c>
      <c r="F4249" t="s">
        <v>41</v>
      </c>
      <c r="G4249">
        <v>-365.13729999999998</v>
      </c>
      <c r="H4249" s="1">
        <v>-2.4163020000000001E-6</v>
      </c>
      <c r="I4249">
        <v>140.9238</v>
      </c>
      <c r="J4249">
        <v>-355.21910000000003</v>
      </c>
      <c r="K4249">
        <v>1.109979</v>
      </c>
      <c r="L4249">
        <v>141.73269999999999</v>
      </c>
      <c r="M4249">
        <v>-0.99990009999999996</v>
      </c>
      <c r="N4249">
        <v>0</v>
      </c>
      <c r="O4249" s="1">
        <v>-6.5161670000000001E-5</v>
      </c>
      <c r="P4249">
        <v>-0.99825739999999996</v>
      </c>
      <c r="Q4249">
        <v>-5.7239269999999896E-4</v>
      </c>
      <c r="R4249">
        <v>-5.9012759999999997E-2</v>
      </c>
      <c r="S4249">
        <v>-2.9907840000000001</v>
      </c>
      <c r="T4249">
        <v>-0.32854680000000003</v>
      </c>
      <c r="U4249">
        <v>-0.23928830000000001</v>
      </c>
      <c r="V4249">
        <v>-5.8930639999999999E-2</v>
      </c>
      <c r="W4249">
        <v>1.3620729999999999E-2</v>
      </c>
      <c r="X4249">
        <v>0.99816910000000003</v>
      </c>
      <c r="Y4249">
        <v>-7.921562E-2</v>
      </c>
      <c r="Z4249">
        <v>-4.3240070000000004E-3</v>
      </c>
      <c r="AA4249">
        <v>0.99684810000000001</v>
      </c>
      <c r="AB4249">
        <v>29</v>
      </c>
      <c r="AC4249">
        <v>-9.9181999999999508</v>
      </c>
      <c r="AD4249">
        <v>-1.1099814163020001</v>
      </c>
      <c r="AE4249">
        <v>-0.80889999999999396</v>
      </c>
      <c r="AF4249">
        <v>-0.79832102122072202</v>
      </c>
      <c r="AG4249">
        <v>-1.1099814163020001</v>
      </c>
      <c r="AH4249">
        <v>9.7963673236035493</v>
      </c>
      <c r="AI4249">
        <v>96.443174252888596</v>
      </c>
      <c r="AJ4249">
        <v>94.658826395821805</v>
      </c>
      <c r="AK4249">
        <v>9.8913188168426807</v>
      </c>
      <c r="AL4249">
        <v>89.219565483984198</v>
      </c>
      <c r="AM4249">
        <v>93.378748305572998</v>
      </c>
      <c r="AN4249">
        <v>0.99999994840567497</v>
      </c>
    </row>
    <row r="4250" spans="1:40" x14ac:dyDescent="0.3">
      <c r="A4250" t="str">
        <f>"20200111160542558"</f>
        <v>20200111160542558</v>
      </c>
      <c r="B4250" t="str">
        <f>"1578729942556384"</f>
        <v>1578729942556384</v>
      </c>
      <c r="C4250" t="s">
        <v>40</v>
      </c>
      <c r="D4250">
        <v>5.7586760000000004</v>
      </c>
      <c r="E4250">
        <v>0.49258089999999999</v>
      </c>
      <c r="F4250" t="s">
        <v>41</v>
      </c>
      <c r="G4250">
        <v>-365.2414</v>
      </c>
      <c r="H4250" s="1">
        <v>-2.3769559999999999E-6</v>
      </c>
      <c r="I4250">
        <v>140.94380000000001</v>
      </c>
      <c r="J4250">
        <v>-355.39870000000002</v>
      </c>
      <c r="K4250">
        <v>1.109988</v>
      </c>
      <c r="L4250">
        <v>141.73310000000001</v>
      </c>
      <c r="M4250">
        <v>-0.99990000000000001</v>
      </c>
      <c r="N4250">
        <v>0</v>
      </c>
      <c r="O4250">
        <v>3.1992380000000001E-4</v>
      </c>
      <c r="P4250">
        <v>-0.99830399999999997</v>
      </c>
      <c r="Q4250">
        <v>-1.070648E-3</v>
      </c>
      <c r="R4250">
        <v>-5.8210360000000003E-2</v>
      </c>
      <c r="S4250">
        <v>-2.9911189999999999</v>
      </c>
      <c r="T4250">
        <v>-0.33127180000000001</v>
      </c>
      <c r="U4250">
        <v>-0.2354126</v>
      </c>
      <c r="V4250">
        <v>-5.8513599999999999E-2</v>
      </c>
      <c r="W4250">
        <v>1.311962E-2</v>
      </c>
      <c r="X4250">
        <v>0.99820039999999999</v>
      </c>
      <c r="Y4250">
        <v>-7.8302399999999994E-2</v>
      </c>
      <c r="Z4250">
        <v>-4.3515100000000003E-3</v>
      </c>
      <c r="AA4250">
        <v>0.99692020000000003</v>
      </c>
      <c r="AB4250">
        <v>28</v>
      </c>
      <c r="AC4250">
        <v>-9.8426999999999794</v>
      </c>
      <c r="AD4250">
        <v>-1.109990376956</v>
      </c>
      <c r="AE4250">
        <v>-0.789299999999997</v>
      </c>
      <c r="AF4250">
        <v>-0.78256038073016698</v>
      </c>
      <c r="AG4250">
        <v>-1.109990376956</v>
      </c>
      <c r="AH4250">
        <v>9.7196251188845402</v>
      </c>
      <c r="AI4250">
        <v>96.494172857431295</v>
      </c>
      <c r="AJ4250">
        <v>94.603150503718595</v>
      </c>
      <c r="AK4250">
        <v>9.8140507354544901</v>
      </c>
      <c r="AL4250">
        <v>89.248279580868797</v>
      </c>
      <c r="AM4250">
        <v>93.354787451970694</v>
      </c>
      <c r="AN4250">
        <v>1.0000000021870299</v>
      </c>
    </row>
    <row r="4251" spans="1:40" x14ac:dyDescent="0.3">
      <c r="A4251" t="str">
        <f>"20200111160542574"</f>
        <v>20200111160542574</v>
      </c>
      <c r="B4251" t="str">
        <f>"1578729942566147"</f>
        <v>1578729942566147</v>
      </c>
      <c r="C4251" t="s">
        <v>40</v>
      </c>
      <c r="D4251">
        <v>5.48088</v>
      </c>
      <c r="E4251">
        <v>0.49294460000000001</v>
      </c>
      <c r="F4251" t="s">
        <v>41</v>
      </c>
      <c r="G4251">
        <v>-365.45530000000002</v>
      </c>
      <c r="H4251" s="1">
        <v>-2.2778130000000002E-6</v>
      </c>
      <c r="I4251">
        <v>140.916</v>
      </c>
      <c r="J4251">
        <v>-355.60829999999999</v>
      </c>
      <c r="K4251">
        <v>1.1100000000000001</v>
      </c>
      <c r="L4251">
        <v>141.7337</v>
      </c>
      <c r="M4251">
        <v>-0.99989969999999995</v>
      </c>
      <c r="N4251">
        <v>0</v>
      </c>
      <c r="O4251">
        <v>7.6199519999999997E-4</v>
      </c>
      <c r="P4251">
        <v>-0.998336</v>
      </c>
      <c r="Q4251">
        <v>-1.3986929999999999E-3</v>
      </c>
      <c r="R4251">
        <v>-5.7647909999999997E-2</v>
      </c>
      <c r="S4251">
        <v>-2.99057</v>
      </c>
      <c r="T4251">
        <v>-0.33008330000000002</v>
      </c>
      <c r="U4251">
        <v>-0.24295040000000001</v>
      </c>
      <c r="V4251">
        <v>-5.839391E-2</v>
      </c>
      <c r="W4251">
        <v>1.2788249999999999E-2</v>
      </c>
      <c r="X4251">
        <v>0.99821170000000004</v>
      </c>
      <c r="Y4251">
        <v>-8.1236920000000004E-2</v>
      </c>
      <c r="Z4251">
        <v>-4.5461169999999997E-3</v>
      </c>
      <c r="AA4251">
        <v>0.99668440000000003</v>
      </c>
      <c r="AB4251">
        <v>28</v>
      </c>
      <c r="AC4251">
        <v>-9.8470000000000297</v>
      </c>
      <c r="AD4251">
        <v>-1.1100022778129901</v>
      </c>
      <c r="AE4251">
        <v>-0.81770000000000198</v>
      </c>
      <c r="AF4251">
        <v>-0.81491968777879997</v>
      </c>
      <c r="AG4251">
        <v>-1.1100022778129901</v>
      </c>
      <c r="AH4251">
        <v>9.72366250121358</v>
      </c>
      <c r="AI4251">
        <v>96.489838228088004</v>
      </c>
      <c r="AJ4251">
        <v>94.790643499902004</v>
      </c>
      <c r="AK4251">
        <v>9.8206828475308505</v>
      </c>
      <c r="AL4251">
        <v>89.267267269845405</v>
      </c>
      <c r="AM4251">
        <v>93.347903021638402</v>
      </c>
      <c r="AN4251">
        <v>0.99999999304001996</v>
      </c>
    </row>
    <row r="4252" spans="1:40" x14ac:dyDescent="0.3">
      <c r="A4252" t="str">
        <f>"20200111160542588"</f>
        <v>20200111160542588</v>
      </c>
      <c r="B4252" t="str">
        <f>"1578729942585664"</f>
        <v>1578729942585664</v>
      </c>
      <c r="C4252" t="s">
        <v>40</v>
      </c>
      <c r="D4252">
        <v>5.5729369999999996</v>
      </c>
      <c r="E4252">
        <v>0.49311389999999999</v>
      </c>
      <c r="F4252" t="s">
        <v>41</v>
      </c>
      <c r="G4252">
        <v>-365.54790000000003</v>
      </c>
      <c r="H4252" s="1">
        <v>-2.2447700000000001E-6</v>
      </c>
      <c r="I4252">
        <v>140.94120000000001</v>
      </c>
      <c r="J4252">
        <v>-355.77749999999997</v>
      </c>
      <c r="K4252">
        <v>1.1100099999999999</v>
      </c>
      <c r="L4252">
        <v>141.73410000000001</v>
      </c>
      <c r="M4252">
        <v>-0.99989950000000005</v>
      </c>
      <c r="N4252">
        <v>0</v>
      </c>
      <c r="O4252">
        <v>1.109814E-3</v>
      </c>
      <c r="P4252">
        <v>-0.99835799999999997</v>
      </c>
      <c r="Q4252">
        <v>-1.7336249999999999E-3</v>
      </c>
      <c r="R4252">
        <v>-5.7260150000000003E-2</v>
      </c>
      <c r="S4252">
        <v>-2.9907530000000002</v>
      </c>
      <c r="T4252">
        <v>-0.33399240000000002</v>
      </c>
      <c r="U4252">
        <v>-0.2384338</v>
      </c>
      <c r="V4252">
        <v>-5.8353700000000001E-2</v>
      </c>
      <c r="W4252">
        <v>1.24502E-2</v>
      </c>
      <c r="X4252">
        <v>0.99821839999999995</v>
      </c>
      <c r="Y4252">
        <v>-8.0076369999999994E-2</v>
      </c>
      <c r="Z4252">
        <v>-4.5737909999999998E-3</v>
      </c>
      <c r="AA4252">
        <v>0.99677819999999995</v>
      </c>
      <c r="AB4252">
        <v>28</v>
      </c>
      <c r="AC4252">
        <v>-9.7704000000000502</v>
      </c>
      <c r="AD4252">
        <v>-1.11001224477</v>
      </c>
      <c r="AE4252">
        <v>-0.79290000000000205</v>
      </c>
      <c r="AF4252">
        <v>-0.79356822145614303</v>
      </c>
      <c r="AG4252">
        <v>-1.11001224477</v>
      </c>
      <c r="AH4252">
        <v>9.6458282054175495</v>
      </c>
      <c r="AI4252">
        <v>96.542634482202203</v>
      </c>
      <c r="AJ4252">
        <v>94.703167061807207</v>
      </c>
      <c r="AK4252">
        <v>9.7418622179783103</v>
      </c>
      <c r="AL4252">
        <v>89.2866377041493</v>
      </c>
      <c r="AM4252">
        <v>93.345580492211894</v>
      </c>
      <c r="AN4252">
        <v>1.00000006794114</v>
      </c>
    </row>
    <row r="4253" spans="1:40" x14ac:dyDescent="0.3">
      <c r="A4253" t="str">
        <f>"20200111160542604"</f>
        <v>20200111160542604</v>
      </c>
      <c r="B4253" t="str">
        <f>"1578729942596400"</f>
        <v>1578729942596400</v>
      </c>
      <c r="C4253" t="s">
        <v>40</v>
      </c>
      <c r="D4253">
        <v>5.5593139999999996</v>
      </c>
      <c r="E4253">
        <v>0.49312699999999998</v>
      </c>
      <c r="F4253" t="s">
        <v>41</v>
      </c>
      <c r="G4253">
        <v>-365.68259999999998</v>
      </c>
      <c r="H4253" s="1">
        <v>-2.1901480000000001E-6</v>
      </c>
      <c r="I4253">
        <v>140.953</v>
      </c>
      <c r="J4253">
        <v>-355.97899999999998</v>
      </c>
      <c r="K4253">
        <v>1.1100209999999999</v>
      </c>
      <c r="L4253">
        <v>141.73480000000001</v>
      </c>
      <c r="M4253">
        <v>-0.99989899999999998</v>
      </c>
      <c r="N4253">
        <v>0</v>
      </c>
      <c r="O4253">
        <v>1.5095130000000001E-3</v>
      </c>
      <c r="P4253">
        <v>-0.99838179999999999</v>
      </c>
      <c r="Q4253">
        <v>-1.7289759999999999E-3</v>
      </c>
      <c r="R4253">
        <v>-5.6841320000000001E-2</v>
      </c>
      <c r="S4253">
        <v>-2.9908450000000002</v>
      </c>
      <c r="T4253">
        <v>-0.33517269999999999</v>
      </c>
      <c r="U4253">
        <v>-0.23585510000000001</v>
      </c>
      <c r="V4253">
        <v>-5.8334660000000003E-2</v>
      </c>
      <c r="W4253">
        <v>1.245068E-2</v>
      </c>
      <c r="X4253">
        <v>0.99821939999999998</v>
      </c>
      <c r="Y4253">
        <v>-7.9615160000000004E-2</v>
      </c>
      <c r="Z4253">
        <v>-4.6087350000000001E-3</v>
      </c>
      <c r="AA4253">
        <v>0.99681500000000001</v>
      </c>
      <c r="AB4253">
        <v>28</v>
      </c>
      <c r="AC4253">
        <v>-9.7035999999999305</v>
      </c>
      <c r="AD4253">
        <v>-1.110023190148</v>
      </c>
      <c r="AE4253">
        <v>-0.78180000000000405</v>
      </c>
      <c r="AF4253">
        <v>-0.786226281689134</v>
      </c>
      <c r="AG4253">
        <v>-1.110023190148</v>
      </c>
      <c r="AH4253">
        <v>9.5778833037140707</v>
      </c>
      <c r="AI4253">
        <v>96.588802771295903</v>
      </c>
      <c r="AJ4253">
        <v>94.692756320489906</v>
      </c>
      <c r="AK4253">
        <v>9.6739935821898193</v>
      </c>
      <c r="AL4253">
        <v>89.286610123938203</v>
      </c>
      <c r="AM4253">
        <v>93.344488011400102</v>
      </c>
      <c r="AN4253">
        <v>0.999999961263068</v>
      </c>
    </row>
    <row r="4254" spans="1:40" x14ac:dyDescent="0.3">
      <c r="A4254" t="str">
        <f>"20200111160542626"</f>
        <v>20200111160542626</v>
      </c>
      <c r="B4254" t="str">
        <f>"1578729942615921"</f>
        <v>1578729942615921</v>
      </c>
      <c r="C4254" t="s">
        <v>40</v>
      </c>
      <c r="D4254">
        <v>5.5297700000000001</v>
      </c>
      <c r="E4254">
        <v>0.49299939999999998</v>
      </c>
      <c r="F4254" t="s">
        <v>41</v>
      </c>
      <c r="G4254">
        <v>-365.82600000000002</v>
      </c>
      <c r="H4254" s="1">
        <v>-2.1311790000000001E-6</v>
      </c>
      <c r="I4254">
        <v>140.96250000000001</v>
      </c>
      <c r="J4254">
        <v>-356.25510000000003</v>
      </c>
      <c r="K4254">
        <v>1.1100540000000001</v>
      </c>
      <c r="L4254">
        <v>141.73580000000001</v>
      </c>
      <c r="M4254">
        <v>-0.99989810000000001</v>
      </c>
      <c r="N4254">
        <v>0</v>
      </c>
      <c r="O4254">
        <v>2.0161939999999998E-3</v>
      </c>
      <c r="P4254">
        <v>-0.99843309999999996</v>
      </c>
      <c r="Q4254">
        <v>-1.3851969999999999E-3</v>
      </c>
      <c r="R4254">
        <v>-5.5944099999999997E-2</v>
      </c>
      <c r="S4254">
        <v>-2.9909669999999999</v>
      </c>
      <c r="T4254">
        <v>-0.33716570000000001</v>
      </c>
      <c r="U4254">
        <v>-0.23455809999999999</v>
      </c>
      <c r="V4254">
        <v>-5.7944099999999998E-2</v>
      </c>
      <c r="W4254">
        <v>1.2786820000000001E-2</v>
      </c>
      <c r="X4254">
        <v>0.99823790000000001</v>
      </c>
      <c r="Y4254">
        <v>-7.9677890000000001E-2</v>
      </c>
      <c r="Z4254">
        <v>-4.6962369999999998E-3</v>
      </c>
      <c r="AA4254">
        <v>0.99680959999999996</v>
      </c>
      <c r="AB4254">
        <v>28</v>
      </c>
      <c r="AC4254">
        <v>-9.5708999999999307</v>
      </c>
      <c r="AD4254">
        <v>-1.110056131179</v>
      </c>
      <c r="AE4254">
        <v>-0.77330000000000598</v>
      </c>
      <c r="AF4254">
        <v>-0.78214404560268103</v>
      </c>
      <c r="AG4254">
        <v>-1.110056131179</v>
      </c>
      <c r="AH4254">
        <v>9.4431170758971099</v>
      </c>
      <c r="AI4254">
        <v>96.681785253136397</v>
      </c>
      <c r="AJ4254">
        <v>94.734823695933301</v>
      </c>
      <c r="AK4254">
        <v>9.5402533525865802</v>
      </c>
      <c r="AL4254">
        <v>89.267349187678704</v>
      </c>
      <c r="AM4254">
        <v>93.322085013732604</v>
      </c>
      <c r="AN4254">
        <v>0.99999996324346496</v>
      </c>
    </row>
    <row r="4255" spans="1:40" x14ac:dyDescent="0.3">
      <c r="A4255" t="str">
        <f>"20200111160542644"</f>
        <v>20200111160542644</v>
      </c>
      <c r="B4255" t="str">
        <f>"1578729942636416"</f>
        <v>1578729942636416</v>
      </c>
      <c r="C4255" t="s">
        <v>40</v>
      </c>
      <c r="D4255">
        <v>5.5495710000000003</v>
      </c>
      <c r="E4255">
        <v>0.49293179999999998</v>
      </c>
      <c r="F4255" t="s">
        <v>41</v>
      </c>
      <c r="G4255">
        <v>-366.08390000000003</v>
      </c>
      <c r="H4255" s="1">
        <v>-2.022342E-6</v>
      </c>
      <c r="I4255">
        <v>140.96940000000001</v>
      </c>
      <c r="J4255">
        <v>-356.48129999999998</v>
      </c>
      <c r="K4255">
        <v>1.1100890000000001</v>
      </c>
      <c r="L4255">
        <v>141.73670000000001</v>
      </c>
      <c r="M4255">
        <v>-0.99989720000000004</v>
      </c>
      <c r="N4255">
        <v>0</v>
      </c>
      <c r="O4255">
        <v>2.3989620000000001E-3</v>
      </c>
      <c r="P4255">
        <v>-0.99845220000000001</v>
      </c>
      <c r="Q4255">
        <v>-1.2935550000000001E-3</v>
      </c>
      <c r="R4255">
        <v>-5.559948E-2</v>
      </c>
      <c r="S4255">
        <v>-2.9911799999999999</v>
      </c>
      <c r="T4255">
        <v>-0.33782329999999999</v>
      </c>
      <c r="U4255">
        <v>-0.23321529999999999</v>
      </c>
      <c r="V4255">
        <v>-5.7982110000000003E-2</v>
      </c>
      <c r="W4255">
        <v>1.2871209999999999E-2</v>
      </c>
      <c r="X4255">
        <v>0.99823459999999997</v>
      </c>
      <c r="Y4255">
        <v>-7.9605250000000002E-2</v>
      </c>
      <c r="Z4255">
        <v>-4.7440379999999999E-3</v>
      </c>
      <c r="AA4255">
        <v>0.99681520000000001</v>
      </c>
      <c r="AB4255">
        <v>28</v>
      </c>
      <c r="AC4255">
        <v>-9.6026000000000504</v>
      </c>
      <c r="AD4255">
        <v>-1.110091022342</v>
      </c>
      <c r="AE4255">
        <v>-0.76730000000000498</v>
      </c>
      <c r="AF4255">
        <v>-0.77997878867750503</v>
      </c>
      <c r="AG4255">
        <v>-1.110091022342</v>
      </c>
      <c r="AH4255">
        <v>9.4749112038247905</v>
      </c>
      <c r="AI4255">
        <v>96.660047091255507</v>
      </c>
      <c r="AJ4255">
        <v>94.706002179513106</v>
      </c>
      <c r="AK4255">
        <v>9.5715521891193696</v>
      </c>
      <c r="AL4255">
        <v>89.262513592553901</v>
      </c>
      <c r="AM4255">
        <v>93.324270304477594</v>
      </c>
      <c r="AN4255">
        <v>0.99999995488203697</v>
      </c>
    </row>
    <row r="4256" spans="1:40" x14ac:dyDescent="0.3">
      <c r="A4256" t="str">
        <f>"20200111160542658"</f>
        <v>20200111160542658</v>
      </c>
      <c r="B4256" t="str">
        <f>"1578729942655937"</f>
        <v>1578729942655937</v>
      </c>
      <c r="C4256" t="s">
        <v>40</v>
      </c>
      <c r="D4256">
        <v>5.5993389999999996</v>
      </c>
      <c r="E4256">
        <v>0.49283979999999999</v>
      </c>
      <c r="F4256" t="s">
        <v>41</v>
      </c>
      <c r="G4256">
        <v>-366.2466</v>
      </c>
      <c r="H4256" s="1">
        <v>-1.9543800000000002E-6</v>
      </c>
      <c r="I4256">
        <v>140.97620000000001</v>
      </c>
      <c r="J4256">
        <v>-356.67599999999999</v>
      </c>
      <c r="K4256">
        <v>1.1101160000000001</v>
      </c>
      <c r="L4256">
        <v>141.73759999999999</v>
      </c>
      <c r="M4256">
        <v>-0.99989660000000002</v>
      </c>
      <c r="N4256">
        <v>0</v>
      </c>
      <c r="O4256">
        <v>2.6936439999999998E-3</v>
      </c>
      <c r="P4256">
        <v>-0.99847399999999997</v>
      </c>
      <c r="Q4256">
        <v>-1.2445850000000001E-3</v>
      </c>
      <c r="R4256">
        <v>-5.5214109999999997E-2</v>
      </c>
      <c r="S4256">
        <v>-2.991241</v>
      </c>
      <c r="T4256">
        <v>-0.34003929999999999</v>
      </c>
      <c r="U4256">
        <v>-0.2329254</v>
      </c>
      <c r="V4256">
        <v>-5.789213E-2</v>
      </c>
      <c r="W4256">
        <v>1.291317E-2</v>
      </c>
      <c r="X4256">
        <v>0.99823930000000005</v>
      </c>
      <c r="Y4256">
        <v>-7.9791539999999994E-2</v>
      </c>
      <c r="Z4256">
        <v>-4.8187660000000004E-3</v>
      </c>
      <c r="AA4256">
        <v>0.99679989999999996</v>
      </c>
      <c r="AB4256">
        <v>28</v>
      </c>
      <c r="AC4256">
        <v>-9.5706000000000095</v>
      </c>
      <c r="AD4256">
        <v>-1.1101179543799999</v>
      </c>
      <c r="AE4256">
        <v>-0.76139999999997998</v>
      </c>
      <c r="AF4256">
        <v>-0.77679413740417702</v>
      </c>
      <c r="AG4256">
        <v>-1.1101179543799999</v>
      </c>
      <c r="AH4256">
        <v>9.4422742774107196</v>
      </c>
      <c r="AI4256">
        <v>96.683048688379202</v>
      </c>
      <c r="AJ4256">
        <v>94.703000848456696</v>
      </c>
      <c r="AK4256">
        <v>9.5389891778109508</v>
      </c>
      <c r="AL4256">
        <v>89.260109276138095</v>
      </c>
      <c r="AM4256">
        <v>93.319107459215701</v>
      </c>
      <c r="AN4256">
        <v>0.99999997436993704</v>
      </c>
    </row>
    <row r="4257" spans="1:40" x14ac:dyDescent="0.3">
      <c r="A4257" t="str">
        <f>"20200111160542675"</f>
        <v>20200111160542675</v>
      </c>
      <c r="B4257" t="str">
        <f>"1578729942665696"</f>
        <v>1578729942665696</v>
      </c>
      <c r="C4257" t="s">
        <v>40</v>
      </c>
      <c r="D4257">
        <v>5.6460530000000002</v>
      </c>
      <c r="E4257">
        <v>0.49294490000000002</v>
      </c>
      <c r="F4257" t="s">
        <v>41</v>
      </c>
      <c r="G4257">
        <v>-366.43810000000002</v>
      </c>
      <c r="H4257" s="1">
        <v>-1.8724840000000001E-6</v>
      </c>
      <c r="I4257">
        <v>140.97730000000001</v>
      </c>
      <c r="J4257">
        <v>-356.87520000000001</v>
      </c>
      <c r="K4257">
        <v>1.110144</v>
      </c>
      <c r="L4257">
        <v>141.73840000000001</v>
      </c>
      <c r="M4257">
        <v>-0.9998958</v>
      </c>
      <c r="N4257">
        <v>0</v>
      </c>
      <c r="O4257">
        <v>2.9636509999999999E-3</v>
      </c>
      <c r="P4257">
        <v>-0.99850740000000004</v>
      </c>
      <c r="Q4257">
        <v>-1.271791E-3</v>
      </c>
      <c r="R4257">
        <v>-5.4603449999999998E-2</v>
      </c>
      <c r="S4257">
        <v>-2.9913020000000001</v>
      </c>
      <c r="T4257">
        <v>-0.34016259999999998</v>
      </c>
      <c r="U4257">
        <v>-0.2329254</v>
      </c>
      <c r="V4257">
        <v>-5.7552279999999997E-2</v>
      </c>
      <c r="W4257">
        <v>1.287932E-2</v>
      </c>
      <c r="X4257">
        <v>0.99825940000000002</v>
      </c>
      <c r="Y4257">
        <v>-8.0055349999999997E-2</v>
      </c>
      <c r="Z4257">
        <v>-4.8658989999999999E-3</v>
      </c>
      <c r="AA4257">
        <v>0.99677850000000001</v>
      </c>
      <c r="AB4257">
        <v>28</v>
      </c>
      <c r="AC4257">
        <v>-9.5629000000000097</v>
      </c>
      <c r="AD4257">
        <v>-1.1101458724840001</v>
      </c>
      <c r="AE4257">
        <v>-0.761099999999999</v>
      </c>
      <c r="AF4257">
        <v>-0.77900827054253097</v>
      </c>
      <c r="AG4257">
        <v>-1.1101458724840001</v>
      </c>
      <c r="AH4257">
        <v>9.4342605204683707</v>
      </c>
      <c r="AI4257">
        <v>96.688675491118602</v>
      </c>
      <c r="AJ4257">
        <v>94.720333763807204</v>
      </c>
      <c r="AK4257">
        <v>9.5312407015999199</v>
      </c>
      <c r="AL4257">
        <v>89.2620489080239</v>
      </c>
      <c r="AM4257">
        <v>93.299599856124203</v>
      </c>
      <c r="AN4257">
        <v>0.99999998575260995</v>
      </c>
    </row>
    <row r="4258" spans="1:40" x14ac:dyDescent="0.3">
      <c r="A4258" t="str">
        <f>"20200111160542690"</f>
        <v>20200111160542690</v>
      </c>
      <c r="B4258" t="str">
        <f>"1578729942686193"</f>
        <v>1578729942686193</v>
      </c>
      <c r="C4258" t="s">
        <v>40</v>
      </c>
      <c r="D4258">
        <v>5.5768879999999896</v>
      </c>
      <c r="E4258">
        <v>0.4929499</v>
      </c>
      <c r="F4258" t="s">
        <v>41</v>
      </c>
      <c r="G4258">
        <v>-366.61939999999998</v>
      </c>
      <c r="H4258" s="1">
        <v>-1.797677E-6</v>
      </c>
      <c r="I4258">
        <v>140.98840000000001</v>
      </c>
      <c r="J4258">
        <v>-357.05160000000001</v>
      </c>
      <c r="K4258">
        <v>1.110179</v>
      </c>
      <c r="L4258">
        <v>141.73920000000001</v>
      </c>
      <c r="M4258">
        <v>-0.99989530000000004</v>
      </c>
      <c r="N4258">
        <v>0</v>
      </c>
      <c r="O4258">
        <v>3.1714880000000001E-3</v>
      </c>
      <c r="P4258">
        <v>-0.99852229999999997</v>
      </c>
      <c r="Q4258">
        <v>-1.2584499999999999E-3</v>
      </c>
      <c r="R4258">
        <v>-5.4330669999999998E-2</v>
      </c>
      <c r="S4258">
        <v>-2.9914550000000002</v>
      </c>
      <c r="T4258">
        <v>-0.34081699999999998</v>
      </c>
      <c r="U4258">
        <v>-0.2302246</v>
      </c>
      <c r="V4258">
        <v>-5.7488020000000001E-2</v>
      </c>
      <c r="W4258">
        <v>1.2885519999999999E-2</v>
      </c>
      <c r="X4258">
        <v>0.99826309999999996</v>
      </c>
      <c r="Y4258">
        <v>-7.9365060000000001E-2</v>
      </c>
      <c r="Z4258">
        <v>-4.8595540000000003E-3</v>
      </c>
      <c r="AA4258">
        <v>0.99683379999999999</v>
      </c>
      <c r="AB4258">
        <v>28</v>
      </c>
      <c r="AC4258">
        <v>-9.5677999999999699</v>
      </c>
      <c r="AD4258">
        <v>-1.110180797677</v>
      </c>
      <c r="AE4258">
        <v>-0.75079999999999802</v>
      </c>
      <c r="AF4258">
        <v>-0.77082874759464604</v>
      </c>
      <c r="AG4258">
        <v>-1.110180797677</v>
      </c>
      <c r="AH4258">
        <v>9.4390638715151702</v>
      </c>
      <c r="AI4258">
        <v>96.686001992926407</v>
      </c>
      <c r="AJ4258">
        <v>94.668624649802496</v>
      </c>
      <c r="AK4258">
        <v>9.5353345579582101</v>
      </c>
      <c r="AL4258">
        <v>89.261693701700494</v>
      </c>
      <c r="AM4258">
        <v>93.295911625250497</v>
      </c>
      <c r="AN4258">
        <v>1.00000006294539</v>
      </c>
    </row>
    <row r="4259" spans="1:40" x14ac:dyDescent="0.3">
      <c r="A4259" t="str">
        <f>"20200111160542704"</f>
        <v>20200111160542704</v>
      </c>
      <c r="B4259" t="str">
        <f>"1578729942695952"</f>
        <v>1578729942695952</v>
      </c>
      <c r="C4259" t="s">
        <v>40</v>
      </c>
      <c r="D4259">
        <v>5.5890589999999998</v>
      </c>
      <c r="E4259">
        <v>0.49300159999999998</v>
      </c>
      <c r="F4259" t="s">
        <v>41</v>
      </c>
      <c r="G4259">
        <v>-366.75369999999998</v>
      </c>
      <c r="H4259" s="1">
        <v>-1.7416810000000001E-6</v>
      </c>
      <c r="I4259">
        <v>140.99449999999999</v>
      </c>
      <c r="J4259">
        <v>-357.24590000000001</v>
      </c>
      <c r="K4259">
        <v>1.1102259999999999</v>
      </c>
      <c r="L4259">
        <v>141.74</v>
      </c>
      <c r="M4259">
        <v>-0.99989459999999997</v>
      </c>
      <c r="N4259">
        <v>0</v>
      </c>
      <c r="O4259">
        <v>3.3613559999999998E-3</v>
      </c>
      <c r="P4259">
        <v>-0.99854770000000004</v>
      </c>
      <c r="Q4259">
        <v>-4.4082760000000001E-4</v>
      </c>
      <c r="R4259">
        <v>-5.3874989999999998E-2</v>
      </c>
      <c r="S4259">
        <v>-2.9915470000000002</v>
      </c>
      <c r="T4259">
        <v>-0.34231470000000003</v>
      </c>
      <c r="U4259">
        <v>-0.2295837</v>
      </c>
      <c r="V4259">
        <v>-5.7222729999999999E-2</v>
      </c>
      <c r="W4259">
        <v>1.369511E-2</v>
      </c>
      <c r="X4259">
        <v>0.99826749999999997</v>
      </c>
      <c r="Y4259">
        <v>-7.933403E-2</v>
      </c>
      <c r="Z4259">
        <v>-4.9005239999999999E-3</v>
      </c>
      <c r="AA4259">
        <v>0.9968361</v>
      </c>
      <c r="AB4259">
        <v>28</v>
      </c>
      <c r="AC4259">
        <v>-9.5077999999999694</v>
      </c>
      <c r="AD4259">
        <v>-1.110227741681</v>
      </c>
      <c r="AE4259">
        <v>-0.74550000000002103</v>
      </c>
      <c r="AF4259">
        <v>-0.76706286896649301</v>
      </c>
      <c r="AG4259">
        <v>-1.110227741681</v>
      </c>
      <c r="AH4259">
        <v>9.3781478255900907</v>
      </c>
      <c r="AI4259">
        <v>96.729246301284604</v>
      </c>
      <c r="AJ4259">
        <v>94.675960507577102</v>
      </c>
      <c r="AK4259">
        <v>9.4747373431649997</v>
      </c>
      <c r="AL4259">
        <v>89.215303466014603</v>
      </c>
      <c r="AM4259">
        <v>93.280720851059002</v>
      </c>
      <c r="AN4259">
        <v>0.99999999921140703</v>
      </c>
    </row>
    <row r="4260" spans="1:40" x14ac:dyDescent="0.3">
      <c r="A4260" t="str">
        <f>"20200111160542726"</f>
        <v>20200111160542726</v>
      </c>
      <c r="B4260" t="str">
        <f>"1578729942716448"</f>
        <v>1578729942716448</v>
      </c>
      <c r="C4260" t="s">
        <v>40</v>
      </c>
      <c r="D4260">
        <v>5.6266020000000001</v>
      </c>
      <c r="E4260">
        <v>0.49266470000000001</v>
      </c>
      <c r="F4260" t="s">
        <v>41</v>
      </c>
      <c r="G4260">
        <v>-366.99939999999998</v>
      </c>
      <c r="H4260" s="1">
        <v>-1.636972E-6</v>
      </c>
      <c r="I4260">
        <v>140.99700000000001</v>
      </c>
      <c r="J4260">
        <v>-357.51830000000001</v>
      </c>
      <c r="K4260">
        <v>1.110309</v>
      </c>
      <c r="L4260">
        <v>141.74119999999999</v>
      </c>
      <c r="M4260">
        <v>-0.99989410000000001</v>
      </c>
      <c r="N4260">
        <v>0</v>
      </c>
      <c r="O4260">
        <v>3.537615E-3</v>
      </c>
      <c r="P4260">
        <v>-0.99856730000000005</v>
      </c>
      <c r="Q4260">
        <v>7.2465559999999895E-4</v>
      </c>
      <c r="R4260">
        <v>-5.3508E-2</v>
      </c>
      <c r="S4260">
        <v>-2.991943</v>
      </c>
      <c r="T4260">
        <v>-0.34057330000000002</v>
      </c>
      <c r="U4260">
        <v>-0.22790530000000001</v>
      </c>
      <c r="V4260">
        <v>-5.7033300000000002E-2</v>
      </c>
      <c r="W4260">
        <v>1.484799E-2</v>
      </c>
      <c r="X4260">
        <v>0.99826190000000004</v>
      </c>
      <c r="Y4260">
        <v>-7.8950580000000006E-2</v>
      </c>
      <c r="Z4260">
        <v>-4.8734679999999997E-3</v>
      </c>
      <c r="AA4260">
        <v>0.99686660000000005</v>
      </c>
      <c r="AB4260">
        <v>28</v>
      </c>
      <c r="AC4260">
        <v>-9.4810999999999694</v>
      </c>
      <c r="AD4260">
        <v>-1.1103106369719999</v>
      </c>
      <c r="AE4260">
        <v>-0.74419999999997799</v>
      </c>
      <c r="AF4260">
        <v>-0.76728093103470996</v>
      </c>
      <c r="AG4260">
        <v>-1.1103106369719999</v>
      </c>
      <c r="AH4260">
        <v>9.3509518417247808</v>
      </c>
      <c r="AI4260">
        <v>96.748994259471601</v>
      </c>
      <c r="AJ4260">
        <v>94.690826534228805</v>
      </c>
      <c r="AK4260">
        <v>9.4478468490952299</v>
      </c>
      <c r="AL4260">
        <v>89.149241611200296</v>
      </c>
      <c r="AM4260">
        <v>93.269902268851993</v>
      </c>
      <c r="AN4260">
        <v>1.0000000405537599</v>
      </c>
    </row>
    <row r="4261" spans="1:40" x14ac:dyDescent="0.3">
      <c r="A4261" t="str">
        <f>"20200111160542741"</f>
        <v>20200111160542741</v>
      </c>
      <c r="B4261" t="str">
        <f>"1578729942735969"</f>
        <v>1578729942735969</v>
      </c>
      <c r="C4261" t="s">
        <v>40</v>
      </c>
      <c r="D4261">
        <v>5.5307539999999999</v>
      </c>
      <c r="E4261">
        <v>0.4926953</v>
      </c>
      <c r="F4261" t="s">
        <v>41</v>
      </c>
      <c r="G4261">
        <v>-367.38749999999999</v>
      </c>
      <c r="H4261" s="1">
        <v>-1.4670629999999999E-6</v>
      </c>
      <c r="I4261">
        <v>140.98429999999999</v>
      </c>
      <c r="J4261">
        <v>-357.71899999999999</v>
      </c>
      <c r="K4261">
        <v>1.1103689999999999</v>
      </c>
      <c r="L4261">
        <v>141.74209999999999</v>
      </c>
      <c r="M4261">
        <v>-0.99989380000000005</v>
      </c>
      <c r="N4261">
        <v>0</v>
      </c>
      <c r="O4261">
        <v>3.6193890000000002E-3</v>
      </c>
      <c r="P4261">
        <v>-0.99858049999999998</v>
      </c>
      <c r="Q4261">
        <v>1.4861129999999901E-3</v>
      </c>
      <c r="R4261">
        <v>-5.3246519999999999E-2</v>
      </c>
      <c r="S4261">
        <v>-2.9922179999999998</v>
      </c>
      <c r="T4261">
        <v>-0.33663459999999901</v>
      </c>
      <c r="U4261">
        <v>-0.22946169999999999</v>
      </c>
      <c r="V4261">
        <v>-5.6855089999999997E-2</v>
      </c>
      <c r="W4261">
        <v>1.5600350000000001E-2</v>
      </c>
      <c r="X4261">
        <v>0.99826060000000005</v>
      </c>
      <c r="Y4261">
        <v>-7.9548659999999993E-2</v>
      </c>
      <c r="Z4261">
        <v>-4.859576E-3</v>
      </c>
      <c r="AA4261">
        <v>0.99681909999999896</v>
      </c>
      <c r="AB4261">
        <v>28</v>
      </c>
      <c r="AC4261">
        <v>-9.6684999999999892</v>
      </c>
      <c r="AD4261">
        <v>-1.1103704670629999</v>
      </c>
      <c r="AE4261">
        <v>-0.75780000000000303</v>
      </c>
      <c r="AF4261">
        <v>-0.78253461636963695</v>
      </c>
      <c r="AG4261">
        <v>-1.1103704670629999</v>
      </c>
      <c r="AH4261">
        <v>9.5406288879601693</v>
      </c>
      <c r="AI4261">
        <v>96.616389779082596</v>
      </c>
      <c r="AJ4261">
        <v>94.688977093256796</v>
      </c>
      <c r="AK4261">
        <v>9.63685024153237</v>
      </c>
      <c r="AL4261">
        <v>89.106129570224596</v>
      </c>
      <c r="AM4261">
        <v>93.259711220647702</v>
      </c>
      <c r="AN4261">
        <v>1.0000000488456899</v>
      </c>
    </row>
    <row r="4262" spans="1:40" x14ac:dyDescent="0.3">
      <c r="A4262" t="str">
        <f>"20200111160542761"</f>
        <v>20200111160542761</v>
      </c>
      <c r="B4262" t="str">
        <f>"1578729942756464"</f>
        <v>1578729942756464</v>
      </c>
      <c r="C4262" t="s">
        <v>40</v>
      </c>
      <c r="D4262">
        <v>5.7101389999999999</v>
      </c>
      <c r="E4262">
        <v>0.4926664</v>
      </c>
      <c r="F4262" t="s">
        <v>41</v>
      </c>
      <c r="G4262">
        <v>-367.60750000000002</v>
      </c>
      <c r="H4262" s="1">
        <v>-1.3734400000000001E-6</v>
      </c>
      <c r="I4262">
        <v>140.98699999999999</v>
      </c>
      <c r="J4262">
        <v>-357.9511</v>
      </c>
      <c r="K4262">
        <v>1.1104290000000001</v>
      </c>
      <c r="L4262">
        <v>141.74299999999999</v>
      </c>
      <c r="M4262">
        <v>-0.9998937</v>
      </c>
      <c r="N4262">
        <v>0</v>
      </c>
      <c r="O4262">
        <v>3.6710610000000002E-3</v>
      </c>
      <c r="P4262">
        <v>-0.99858619999999998</v>
      </c>
      <c r="Q4262">
        <v>2.7600260000000001E-3</v>
      </c>
      <c r="R4262">
        <v>-5.3087879999999997E-2</v>
      </c>
      <c r="S4262">
        <v>-2.9925540000000002</v>
      </c>
      <c r="T4262">
        <v>-0.33603480000000002</v>
      </c>
      <c r="U4262">
        <v>-0.2284698</v>
      </c>
      <c r="V4262">
        <v>-5.6749689999999998E-2</v>
      </c>
      <c r="W4262">
        <v>1.6864279999999999E-2</v>
      </c>
      <c r="X4262">
        <v>0.99824599999999997</v>
      </c>
      <c r="Y4262">
        <v>-7.9266589999999998E-2</v>
      </c>
      <c r="Z4262">
        <v>-4.8405030000000003E-3</v>
      </c>
      <c r="AA4262">
        <v>0.99684170000000005</v>
      </c>
      <c r="AB4262">
        <v>28</v>
      </c>
      <c r="AC4262">
        <v>-9.6564000000000192</v>
      </c>
      <c r="AD4262">
        <v>-1.1104303734400001</v>
      </c>
      <c r="AE4262">
        <v>-0.75600000000000001</v>
      </c>
      <c r="AF4262">
        <v>-0.78118052126914805</v>
      </c>
      <c r="AG4262">
        <v>-1.1104303734400001</v>
      </c>
      <c r="AH4262">
        <v>9.5283274023385101</v>
      </c>
      <c r="AI4262">
        <v>96.625229561372706</v>
      </c>
      <c r="AJ4262">
        <v>94.686915729133403</v>
      </c>
      <c r="AK4262">
        <v>9.6245686504499197</v>
      </c>
      <c r="AL4262">
        <v>89.033702128382799</v>
      </c>
      <c r="AM4262">
        <v>93.253728731607893</v>
      </c>
      <c r="AN4262">
        <v>1.0000000038854999</v>
      </c>
    </row>
    <row r="4263" spans="1:40" x14ac:dyDescent="0.3">
      <c r="A4263" t="str">
        <f>"20200111160542782"</f>
        <v>20200111160542782</v>
      </c>
      <c r="B4263" t="str">
        <f>"1578729942775984"</f>
        <v>1578729942775984</v>
      </c>
      <c r="C4263" t="s">
        <v>40</v>
      </c>
      <c r="D4263">
        <v>5.6831990000000001</v>
      </c>
      <c r="E4263">
        <v>0.47628219999999999</v>
      </c>
      <c r="F4263" t="s">
        <v>41</v>
      </c>
      <c r="G4263">
        <v>-367.94029999999998</v>
      </c>
      <c r="H4263" s="1">
        <v>-1.228999E-6</v>
      </c>
      <c r="I4263">
        <v>140.98079999999999</v>
      </c>
      <c r="J4263">
        <v>-358.23719999999997</v>
      </c>
      <c r="K4263">
        <v>1.1104909999999999</v>
      </c>
      <c r="L4263">
        <v>141.7441</v>
      </c>
      <c r="M4263">
        <v>-0.99989380000000005</v>
      </c>
      <c r="N4263">
        <v>0</v>
      </c>
      <c r="O4263">
        <v>3.6748800000000002E-3</v>
      </c>
      <c r="P4263">
        <v>-0.99859149999999997</v>
      </c>
      <c r="Q4263">
        <v>3.866754E-3</v>
      </c>
      <c r="R4263">
        <v>-5.2921120000000002E-2</v>
      </c>
      <c r="S4263">
        <v>-2.993042</v>
      </c>
      <c r="T4263">
        <v>-0.3327195</v>
      </c>
      <c r="U4263">
        <v>-0.22834779999999999</v>
      </c>
      <c r="V4263">
        <v>-5.6589149999999998E-2</v>
      </c>
      <c r="W4263">
        <v>1.7960360000000002E-2</v>
      </c>
      <c r="X4263">
        <v>0.99823600000000001</v>
      </c>
      <c r="Y4263">
        <v>-7.9228129999999994E-2</v>
      </c>
      <c r="Z4263">
        <v>-4.7905680000000003E-3</v>
      </c>
      <c r="AA4263">
        <v>0.99684499999999998</v>
      </c>
      <c r="AB4263">
        <v>28</v>
      </c>
      <c r="AC4263">
        <v>-9.7030999999999992</v>
      </c>
      <c r="AD4263">
        <v>-1.11049222899899</v>
      </c>
      <c r="AE4263">
        <v>-0.76330000000001497</v>
      </c>
      <c r="AF4263">
        <v>-0.78868928115421799</v>
      </c>
      <c r="AG4263">
        <v>-1.11049222899899</v>
      </c>
      <c r="AH4263">
        <v>9.5755781473373691</v>
      </c>
      <c r="AI4263">
        <v>96.592987368153601</v>
      </c>
      <c r="AJ4263">
        <v>94.708519413877099</v>
      </c>
      <c r="AK4263">
        <v>9.6719657065479598</v>
      </c>
      <c r="AL4263">
        <v>88.970891850387105</v>
      </c>
      <c r="AM4263">
        <v>93.244576338523203</v>
      </c>
      <c r="AN4263">
        <v>1.0000000090625201</v>
      </c>
    </row>
    <row r="4264" spans="1:40" x14ac:dyDescent="0.3">
      <c r="A4264" t="str">
        <f>"20200111160542798"</f>
        <v>20200111160542798</v>
      </c>
      <c r="B4264" t="str">
        <f>"1578729942785746"</f>
        <v>1578729942785746</v>
      </c>
      <c r="C4264" t="s">
        <v>40</v>
      </c>
      <c r="D4264">
        <v>5.6522420000000002</v>
      </c>
      <c r="E4264">
        <v>0.47248099999999998</v>
      </c>
      <c r="F4264" t="s">
        <v>41</v>
      </c>
      <c r="G4264">
        <v>-373.78039999999999</v>
      </c>
      <c r="H4264" s="1">
        <v>-2.7254260000000001E-6</v>
      </c>
      <c r="I4264">
        <v>139.89779999999999</v>
      </c>
      <c r="J4264">
        <v>-358.41809999999998</v>
      </c>
      <c r="K4264">
        <v>1.1105229999999999</v>
      </c>
      <c r="L4264">
        <v>141.74469999999999</v>
      </c>
      <c r="M4264">
        <v>-0.99989399999999995</v>
      </c>
      <c r="N4264">
        <v>0</v>
      </c>
      <c r="O4264">
        <v>3.6353679999999999E-3</v>
      </c>
      <c r="P4264">
        <v>-0.99858389999999997</v>
      </c>
      <c r="Q4264">
        <v>4.0537500000000001E-3</v>
      </c>
      <c r="R4264">
        <v>-5.3048310000000001E-2</v>
      </c>
      <c r="S4264">
        <v>-2.986237</v>
      </c>
      <c r="T4264">
        <v>-0.21335409999999999</v>
      </c>
      <c r="U4264">
        <v>-0.35469060000000002</v>
      </c>
      <c r="V4264">
        <v>-5.6677959999999999E-2</v>
      </c>
      <c r="W4264">
        <v>1.8141529999999999E-2</v>
      </c>
      <c r="X4264">
        <v>0.99822770000000005</v>
      </c>
      <c r="Y4264">
        <v>-0.12124169999999999</v>
      </c>
      <c r="Z4264">
        <v>-4.5690359999999899E-3</v>
      </c>
      <c r="AA4264">
        <v>0.99261250000000001</v>
      </c>
      <c r="AB4264">
        <v>28</v>
      </c>
      <c r="AC4264">
        <v>-15.362299999999999</v>
      </c>
      <c r="AD4264">
        <v>-1.1105257254259999</v>
      </c>
      <c r="AE4264">
        <v>-1.8469</v>
      </c>
      <c r="AF4264">
        <v>-1.8929896958963399</v>
      </c>
      <c r="AG4264">
        <v>-1.1105257254259999</v>
      </c>
      <c r="AH4264">
        <v>15.276789082759199</v>
      </c>
      <c r="AI4264">
        <v>94.126279298104294</v>
      </c>
      <c r="AJ4264">
        <v>97.063674477735702</v>
      </c>
      <c r="AK4264">
        <v>15.4336308772341</v>
      </c>
      <c r="AL4264">
        <v>88.960509897711503</v>
      </c>
      <c r="AM4264">
        <v>93.249684376215598</v>
      </c>
      <c r="AN4264">
        <v>1.00000002365389</v>
      </c>
    </row>
    <row r="4265" spans="1:40" x14ac:dyDescent="0.3">
      <c r="A4265" t="str">
        <f>"20200111160542812"</f>
        <v>20200111160542812</v>
      </c>
      <c r="B4265" t="str">
        <f>"1578729942806241"</f>
        <v>1578729942806241</v>
      </c>
      <c r="C4265" t="s">
        <v>40</v>
      </c>
      <c r="D4265">
        <v>5.6835509999999996</v>
      </c>
      <c r="E4265">
        <v>0.46912880000000001</v>
      </c>
      <c r="F4265" t="s">
        <v>41</v>
      </c>
      <c r="G4265">
        <v>-372.80169999999998</v>
      </c>
      <c r="H4265" s="1">
        <v>-3.141941E-6</v>
      </c>
      <c r="I4265">
        <v>139.8852</v>
      </c>
      <c r="J4265">
        <v>-358.60219999999998</v>
      </c>
      <c r="K4265">
        <v>1.1105560000000001</v>
      </c>
      <c r="L4265">
        <v>141.74539999999999</v>
      </c>
      <c r="M4265">
        <v>-0.99989410000000001</v>
      </c>
      <c r="N4265">
        <v>0</v>
      </c>
      <c r="O4265">
        <v>3.5763370000000002E-3</v>
      </c>
      <c r="P4265">
        <v>-0.99859059999999999</v>
      </c>
      <c r="Q4265">
        <v>4.4595809999999998E-3</v>
      </c>
      <c r="R4265">
        <v>-5.2890760000000002E-2</v>
      </c>
      <c r="S4265">
        <v>-2.98468</v>
      </c>
      <c r="T4265">
        <v>-0.2304418</v>
      </c>
      <c r="U4265">
        <v>-0.385849</v>
      </c>
      <c r="V4265">
        <v>-5.6462409999999998E-2</v>
      </c>
      <c r="W4265">
        <v>1.8541530000000001E-2</v>
      </c>
      <c r="X4265">
        <v>0.99823249999999997</v>
      </c>
      <c r="Y4265">
        <v>-0.1313609</v>
      </c>
      <c r="Z4265">
        <v>-5.3172660000000002E-3</v>
      </c>
      <c r="AA4265">
        <v>0.99132039999999999</v>
      </c>
      <c r="AB4265">
        <v>28</v>
      </c>
      <c r="AC4265">
        <v>-14.1995</v>
      </c>
      <c r="AD4265">
        <v>-1.1105591419409999</v>
      </c>
      <c r="AE4265">
        <v>-1.8601999999999901</v>
      </c>
      <c r="AF4265">
        <v>-1.8995518775884599</v>
      </c>
      <c r="AG4265">
        <v>-1.1105591419409999</v>
      </c>
      <c r="AH4265">
        <v>14.107914011785599</v>
      </c>
      <c r="AI4265">
        <v>94.460888008675795</v>
      </c>
      <c r="AJ4265">
        <v>97.668438162911002</v>
      </c>
      <c r="AK4265">
        <v>14.2784759938635</v>
      </c>
      <c r="AL4265">
        <v>88.937587660640006</v>
      </c>
      <c r="AM4265">
        <v>93.237336416661293</v>
      </c>
      <c r="AN4265">
        <v>0.99999995806699804</v>
      </c>
    </row>
    <row r="4266" spans="1:40" x14ac:dyDescent="0.3">
      <c r="A4266" t="str">
        <f>"20200111160542826"</f>
        <v>20200111160542826</v>
      </c>
      <c r="B4266" t="str">
        <f>"1578729942816000"</f>
        <v>1578729942816000</v>
      </c>
      <c r="C4266" t="s">
        <v>40</v>
      </c>
      <c r="D4266">
        <v>5.6380400000000002</v>
      </c>
      <c r="E4266">
        <v>0.4685685</v>
      </c>
      <c r="F4266" t="s">
        <v>41</v>
      </c>
      <c r="G4266">
        <v>-371.68770000000001</v>
      </c>
      <c r="H4266" s="1">
        <v>-3.6330619999999998E-6</v>
      </c>
      <c r="I4266">
        <v>139.935</v>
      </c>
      <c r="J4266">
        <v>-358.77670000000001</v>
      </c>
      <c r="K4266">
        <v>1.110587</v>
      </c>
      <c r="L4266">
        <v>141.74600000000001</v>
      </c>
      <c r="M4266">
        <v>-0.99989439999999996</v>
      </c>
      <c r="N4266">
        <v>0</v>
      </c>
      <c r="O4266">
        <v>3.505448E-3</v>
      </c>
      <c r="P4266">
        <v>-0.99858340000000001</v>
      </c>
      <c r="Q4266">
        <v>5.4868769999999898E-3</v>
      </c>
      <c r="R4266">
        <v>-5.292732E-2</v>
      </c>
      <c r="S4266">
        <v>-2.9835210000000001</v>
      </c>
      <c r="T4266">
        <v>-0.25321070000000001</v>
      </c>
      <c r="U4266">
        <v>-0.41275020000000001</v>
      </c>
      <c r="V4266">
        <v>-5.6429420000000001E-2</v>
      </c>
      <c r="W4266">
        <v>1.956368E-2</v>
      </c>
      <c r="X4266">
        <v>0.99821490000000002</v>
      </c>
      <c r="Y4266">
        <v>-0.14000379999999901</v>
      </c>
      <c r="Z4266">
        <v>-6.1980450000000001E-3</v>
      </c>
      <c r="AA4266">
        <v>0.9901316</v>
      </c>
      <c r="AB4266">
        <v>28</v>
      </c>
      <c r="AC4266">
        <v>-12.911</v>
      </c>
      <c r="AD4266">
        <v>-1.1105906330619999</v>
      </c>
      <c r="AE4266">
        <v>-1.8109999999999999</v>
      </c>
      <c r="AF4266">
        <v>-1.8428793810206301</v>
      </c>
      <c r="AG4266">
        <v>-1.1105906330619999</v>
      </c>
      <c r="AH4266">
        <v>12.8116044167366</v>
      </c>
      <c r="AI4266">
        <v>94.904147474343503</v>
      </c>
      <c r="AJ4266">
        <v>98.185537051300997</v>
      </c>
      <c r="AK4266">
        <v>12.9910285850729</v>
      </c>
      <c r="AL4266">
        <v>88.8790121911574</v>
      </c>
      <c r="AM4266">
        <v>93.235505841765104</v>
      </c>
      <c r="AN4266">
        <v>1.00000000179934</v>
      </c>
    </row>
    <row r="4267" spans="1:40" x14ac:dyDescent="0.3">
      <c r="A4267" t="str">
        <f>"20200111160542843"</f>
        <v>20200111160542843</v>
      </c>
      <c r="B4267" t="str">
        <f>"1578729942836496"</f>
        <v>1578729942836496</v>
      </c>
      <c r="C4267" t="s">
        <v>40</v>
      </c>
      <c r="D4267">
        <v>5.6361569999999999</v>
      </c>
      <c r="E4267">
        <v>0.46865210000000002</v>
      </c>
      <c r="F4267" t="s">
        <v>41</v>
      </c>
      <c r="G4267">
        <v>-371.815</v>
      </c>
      <c r="H4267" s="1">
        <v>-3.575173E-6</v>
      </c>
      <c r="I4267">
        <v>139.92269999999999</v>
      </c>
      <c r="J4267">
        <v>-358.99149999999997</v>
      </c>
      <c r="K4267">
        <v>1.110616</v>
      </c>
      <c r="L4267">
        <v>141.7466</v>
      </c>
      <c r="M4267">
        <v>-0.99989470000000003</v>
      </c>
      <c r="N4267">
        <v>0</v>
      </c>
      <c r="O4267">
        <v>3.4003940000000002E-3</v>
      </c>
      <c r="P4267">
        <v>-0.99857149999999995</v>
      </c>
      <c r="Q4267">
        <v>5.9225479999999997E-3</v>
      </c>
      <c r="R4267">
        <v>-5.3106420000000001E-2</v>
      </c>
      <c r="S4267">
        <v>-2.9835210000000001</v>
      </c>
      <c r="T4267">
        <v>-0.25413390000000002</v>
      </c>
      <c r="U4267">
        <v>-0.41719060000000002</v>
      </c>
      <c r="V4267">
        <v>-5.6505090000000001E-2</v>
      </c>
      <c r="W4267">
        <v>1.9993230000000001E-2</v>
      </c>
      <c r="X4267">
        <v>0.99820209999999998</v>
      </c>
      <c r="Y4267">
        <v>-0.141337299999999</v>
      </c>
      <c r="Z4267">
        <v>-6.2674640000000004E-3</v>
      </c>
      <c r="AA4267">
        <v>0.98994170000000004</v>
      </c>
      <c r="AB4267">
        <v>28</v>
      </c>
      <c r="AC4267">
        <v>-12.823499999999999</v>
      </c>
      <c r="AD4267">
        <v>-1.1106195751729999</v>
      </c>
      <c r="AE4267">
        <v>-1.8239000000000001</v>
      </c>
      <c r="AF4267">
        <v>-1.8538686624402301</v>
      </c>
      <c r="AG4267">
        <v>-1.1106195751729999</v>
      </c>
      <c r="AH4267">
        <v>12.723675762509</v>
      </c>
      <c r="AI4267">
        <v>94.936705070621102</v>
      </c>
      <c r="AJ4267">
        <v>98.289792810183201</v>
      </c>
      <c r="AK4267">
        <v>12.9058990298156</v>
      </c>
      <c r="AL4267">
        <v>88.854395964101499</v>
      </c>
      <c r="AM4267">
        <v>93.239876768595096</v>
      </c>
      <c r="AN4267">
        <v>0.999999993443075</v>
      </c>
    </row>
    <row r="4268" spans="1:40" x14ac:dyDescent="0.3">
      <c r="A4268" t="str">
        <f>"20200111160542856"</f>
        <v>20200111160542856</v>
      </c>
      <c r="B4268" t="str">
        <f>"1578729942846256"</f>
        <v>1578729942846256</v>
      </c>
      <c r="C4268" t="s">
        <v>40</v>
      </c>
      <c r="D4268">
        <v>5.6380080000000001</v>
      </c>
      <c r="E4268">
        <v>0.4685627</v>
      </c>
      <c r="F4268" t="s">
        <v>41</v>
      </c>
      <c r="G4268">
        <v>-371.95350000000002</v>
      </c>
      <c r="H4268" s="1">
        <v>-3.518812E-6</v>
      </c>
      <c r="I4268">
        <v>139.9341</v>
      </c>
      <c r="J4268">
        <v>-359.14420000000001</v>
      </c>
      <c r="K4268">
        <v>1.1106320000000001</v>
      </c>
      <c r="L4268">
        <v>141.74709999999999</v>
      </c>
      <c r="M4268">
        <v>-0.99989510000000004</v>
      </c>
      <c r="N4268">
        <v>0</v>
      </c>
      <c r="O4268">
        <v>3.3175769999999999E-3</v>
      </c>
      <c r="P4268">
        <v>-0.99855360000000004</v>
      </c>
      <c r="Q4268">
        <v>6.3131180000000004E-3</v>
      </c>
      <c r="R4268">
        <v>-5.3393999999999997E-2</v>
      </c>
      <c r="S4268">
        <v>-2.9835820000000002</v>
      </c>
      <c r="T4268">
        <v>-0.2556427</v>
      </c>
      <c r="U4268">
        <v>-0.41719060000000002</v>
      </c>
      <c r="V4268">
        <v>-5.6710749999999997E-2</v>
      </c>
      <c r="W4268">
        <v>2.038034E-2</v>
      </c>
      <c r="X4268">
        <v>0.99818260000000003</v>
      </c>
      <c r="Y4268">
        <v>-0.14124709999999999</v>
      </c>
      <c r="Z4268">
        <v>-6.2935200000000004E-3</v>
      </c>
      <c r="AA4268">
        <v>0.98995440000000001</v>
      </c>
      <c r="AB4268">
        <v>28</v>
      </c>
      <c r="AC4268">
        <v>-12.8093</v>
      </c>
      <c r="AD4268">
        <v>-1.1106355188120001</v>
      </c>
      <c r="AE4268">
        <v>-1.81299999999998</v>
      </c>
      <c r="AF4268">
        <v>-1.8419148393703599</v>
      </c>
      <c r="AG4268">
        <v>-1.1106355188120001</v>
      </c>
      <c r="AH4268">
        <v>12.7095425070028</v>
      </c>
      <c r="AI4268">
        <v>94.942783066972794</v>
      </c>
      <c r="AJ4268">
        <v>98.246109571563295</v>
      </c>
      <c r="AK4268">
        <v>12.8902533826318</v>
      </c>
      <c r="AL4268">
        <v>88.832211664383706</v>
      </c>
      <c r="AM4268">
        <v>93.251706986125399</v>
      </c>
      <c r="AN4268">
        <v>0.99999998518341804</v>
      </c>
    </row>
    <row r="4269" spans="1:40" x14ac:dyDescent="0.3">
      <c r="A4269" t="str">
        <f>"20200111160542872"</f>
        <v>20200111160542872</v>
      </c>
      <c r="B4269" t="str">
        <f>"1578729942865779"</f>
        <v>1578729942865779</v>
      </c>
      <c r="C4269" t="s">
        <v>40</v>
      </c>
      <c r="D4269">
        <v>5.6152030000000002</v>
      </c>
      <c r="E4269">
        <v>0.46914410000000001</v>
      </c>
      <c r="F4269" t="s">
        <v>41</v>
      </c>
      <c r="G4269">
        <v>-372.16109999999998</v>
      </c>
      <c r="H4269" s="1">
        <v>-3.426066E-6</v>
      </c>
      <c r="I4269">
        <v>139.92019999999999</v>
      </c>
      <c r="J4269">
        <v>-359.34820000000002</v>
      </c>
      <c r="K4269">
        <v>1.1106450000000001</v>
      </c>
      <c r="L4269">
        <v>141.74770000000001</v>
      </c>
      <c r="M4269">
        <v>-0.9998956</v>
      </c>
      <c r="N4269">
        <v>0</v>
      </c>
      <c r="O4269">
        <v>3.2038739999999998E-3</v>
      </c>
      <c r="P4269">
        <v>-0.99852770000000002</v>
      </c>
      <c r="Q4269">
        <v>6.8845669999999899E-3</v>
      </c>
      <c r="R4269">
        <v>-5.3809530000000001E-2</v>
      </c>
      <c r="S4269">
        <v>-2.9835820000000002</v>
      </c>
      <c r="T4269">
        <v>-0.25456869999999998</v>
      </c>
      <c r="U4269">
        <v>-0.41871639999999999</v>
      </c>
      <c r="V4269">
        <v>-5.7013269999999998E-2</v>
      </c>
      <c r="W4269">
        <v>2.0947179999999999E-2</v>
      </c>
      <c r="X4269">
        <v>0.99815359999999997</v>
      </c>
      <c r="Y4269">
        <v>-0.1416345</v>
      </c>
      <c r="Z4269">
        <v>-6.2737309999999899E-3</v>
      </c>
      <c r="AA4269">
        <v>0.98989919999999998</v>
      </c>
      <c r="AB4269">
        <v>28</v>
      </c>
      <c r="AC4269">
        <v>-12.8128999999999</v>
      </c>
      <c r="AD4269">
        <v>-1.1106484260659999</v>
      </c>
      <c r="AE4269">
        <v>-1.8275000000000099</v>
      </c>
      <c r="AF4269">
        <v>-1.8548862830264401</v>
      </c>
      <c r="AG4269">
        <v>-1.1106484260659999</v>
      </c>
      <c r="AH4269">
        <v>12.7133577709196</v>
      </c>
      <c r="AI4269">
        <v>94.940680342543402</v>
      </c>
      <c r="AJ4269">
        <v>98.300917694450703</v>
      </c>
      <c r="AK4269">
        <v>12.8958756531182</v>
      </c>
      <c r="AL4269">
        <v>88.799727149442802</v>
      </c>
      <c r="AM4269">
        <v>93.269110267227205</v>
      </c>
      <c r="AN4269">
        <v>0.99999995324950097</v>
      </c>
    </row>
    <row r="4270" spans="1:40" x14ac:dyDescent="0.3">
      <c r="A4270" t="str">
        <f>"20200111160542888"</f>
        <v>20200111160542888</v>
      </c>
      <c r="B4270" t="str">
        <f>"1578729942886273"</f>
        <v>1578729942886273</v>
      </c>
      <c r="C4270" t="s">
        <v>40</v>
      </c>
      <c r="D4270">
        <v>5.6593059999999999</v>
      </c>
      <c r="E4270">
        <v>0.46905540000000001</v>
      </c>
      <c r="F4270" t="s">
        <v>41</v>
      </c>
      <c r="G4270">
        <v>-372.55070000000001</v>
      </c>
      <c r="H4270" s="1">
        <v>-3.2564610000000001E-6</v>
      </c>
      <c r="I4270">
        <v>139.911</v>
      </c>
      <c r="J4270">
        <v>-359.54669999999999</v>
      </c>
      <c r="K4270">
        <v>1.1106549999999999</v>
      </c>
      <c r="L4270">
        <v>141.7482</v>
      </c>
      <c r="M4270">
        <v>-0.99989589999999995</v>
      </c>
      <c r="N4270">
        <v>0</v>
      </c>
      <c r="O4270">
        <v>3.0899550000000001E-3</v>
      </c>
      <c r="P4270">
        <v>-0.99848780000000004</v>
      </c>
      <c r="Q4270">
        <v>7.1467839999999998E-3</v>
      </c>
      <c r="R4270">
        <v>-5.4508000000000001E-2</v>
      </c>
      <c r="S4270">
        <v>-2.9838260000000001</v>
      </c>
      <c r="T4270">
        <v>-0.25101230000000002</v>
      </c>
      <c r="U4270">
        <v>-0.41506959999999998</v>
      </c>
      <c r="V4270">
        <v>-5.759885E-2</v>
      </c>
      <c r="W4270">
        <v>2.1205089999999999E-2</v>
      </c>
      <c r="X4270">
        <v>0.99811459999999996</v>
      </c>
      <c r="Y4270">
        <v>-0.14034289999999999</v>
      </c>
      <c r="Z4270">
        <v>-6.1229169999999899E-3</v>
      </c>
      <c r="AA4270">
        <v>0.99008410000000002</v>
      </c>
      <c r="AB4270">
        <v>28</v>
      </c>
      <c r="AC4270">
        <v>-13.004</v>
      </c>
      <c r="AD4270">
        <v>-1.1106582564609999</v>
      </c>
      <c r="AE4270">
        <v>-1.83719999999999</v>
      </c>
      <c r="AF4270">
        <v>-1.86404545249732</v>
      </c>
      <c r="AG4270">
        <v>-1.1106582564609999</v>
      </c>
      <c r="AH4270">
        <v>12.9059578410276</v>
      </c>
      <c r="AI4270">
        <v>94.868359435543795</v>
      </c>
      <c r="AJ4270">
        <v>98.218563641708002</v>
      </c>
      <c r="AK4270">
        <v>13.087091923189201</v>
      </c>
      <c r="AL4270">
        <v>88.784946791051695</v>
      </c>
      <c r="AM4270">
        <v>93.302741921632702</v>
      </c>
      <c r="AN4270">
        <v>1.0000000190481899</v>
      </c>
    </row>
    <row r="4271" spans="1:40" x14ac:dyDescent="0.3">
      <c r="A4271" t="str">
        <f>"20200111160542904"</f>
        <v>20200111160542904</v>
      </c>
      <c r="B4271" t="str">
        <f>"1578729942896035"</f>
        <v>1578729942896035</v>
      </c>
      <c r="C4271" t="s">
        <v>40</v>
      </c>
      <c r="D4271">
        <v>5.6368369999999999</v>
      </c>
      <c r="E4271">
        <v>0.46905019999999997</v>
      </c>
      <c r="F4271" t="s">
        <v>41</v>
      </c>
      <c r="G4271">
        <v>-372.65530000000001</v>
      </c>
      <c r="H4271" s="1">
        <v>-3.2119359999999998E-6</v>
      </c>
      <c r="I4271">
        <v>139.91239999999999</v>
      </c>
      <c r="J4271">
        <v>-359.75900000000001</v>
      </c>
      <c r="K4271">
        <v>1.110663</v>
      </c>
      <c r="L4271">
        <v>141.74870000000001</v>
      </c>
      <c r="M4271">
        <v>-0.99989629999999996</v>
      </c>
      <c r="N4271">
        <v>0</v>
      </c>
      <c r="O4271">
        <v>2.9660300000000001E-3</v>
      </c>
      <c r="P4271">
        <v>-0.99845680000000003</v>
      </c>
      <c r="Q4271">
        <v>7.3759689999999996E-3</v>
      </c>
      <c r="R4271">
        <v>-5.5040789999999999E-2</v>
      </c>
      <c r="S4271">
        <v>-2.9835509999999998</v>
      </c>
      <c r="T4271">
        <v>-0.25278889999999998</v>
      </c>
      <c r="U4271">
        <v>-0.41781620000000003</v>
      </c>
      <c r="V4271">
        <v>-5.8007870000000003E-2</v>
      </c>
      <c r="W4271">
        <v>2.1431059999999998E-2</v>
      </c>
      <c r="X4271">
        <v>0.99808609999999998</v>
      </c>
      <c r="Y4271">
        <v>-0.141117299999999</v>
      </c>
      <c r="Z4271">
        <v>-6.1884269999999998E-3</v>
      </c>
      <c r="AA4271">
        <v>0.98997349999999995</v>
      </c>
      <c r="AB4271">
        <v>28</v>
      </c>
      <c r="AC4271">
        <v>-12.896299999999901</v>
      </c>
      <c r="AD4271">
        <v>-1.110666211936</v>
      </c>
      <c r="AE4271">
        <v>-1.83630000000002</v>
      </c>
      <c r="AF4271">
        <v>-1.8610173944269699</v>
      </c>
      <c r="AG4271">
        <v>-1.110666211936</v>
      </c>
      <c r="AH4271">
        <v>12.797759639828101</v>
      </c>
      <c r="AI4271">
        <v>94.908670830268505</v>
      </c>
      <c r="AJ4271">
        <v>98.273810657955906</v>
      </c>
      <c r="AK4271">
        <v>12.979969837234201</v>
      </c>
      <c r="AL4271">
        <v>88.771996738330202</v>
      </c>
      <c r="AM4271">
        <v>93.326237589248507</v>
      </c>
      <c r="AN4271">
        <v>1.00000003316393</v>
      </c>
    </row>
    <row r="4272" spans="1:40" x14ac:dyDescent="0.3">
      <c r="A4272" t="str">
        <f>"20200111160542927"</f>
        <v>20200111160542927</v>
      </c>
      <c r="B4272" t="str">
        <f>"1578729942915553"</f>
        <v>1578729942915553</v>
      </c>
      <c r="C4272" t="s">
        <v>40</v>
      </c>
      <c r="D4272">
        <v>5.7236510000000003</v>
      </c>
      <c r="E4272">
        <v>0.46917490000000001</v>
      </c>
      <c r="F4272" t="s">
        <v>41</v>
      </c>
      <c r="G4272">
        <v>-372.81670000000003</v>
      </c>
      <c r="H4272" s="1">
        <v>-3.1426530000000002E-6</v>
      </c>
      <c r="I4272">
        <v>139.91210000000001</v>
      </c>
      <c r="J4272">
        <v>-360.03570000000002</v>
      </c>
      <c r="K4272">
        <v>1.1106590000000001</v>
      </c>
      <c r="L4272">
        <v>141.74940000000001</v>
      </c>
      <c r="M4272">
        <v>-0.99989680000000003</v>
      </c>
      <c r="N4272">
        <v>0</v>
      </c>
      <c r="O4272">
        <v>2.8044469999999998E-3</v>
      </c>
      <c r="P4272">
        <v>-0.99847410000000003</v>
      </c>
      <c r="Q4272">
        <v>6.7282510000000002E-3</v>
      </c>
      <c r="R4272">
        <v>-5.4813199999999902E-2</v>
      </c>
      <c r="S4272">
        <v>-2.9833980000000002</v>
      </c>
      <c r="T4272">
        <v>-0.25376490000000002</v>
      </c>
      <c r="U4272">
        <v>-0.41961670000000001</v>
      </c>
      <c r="V4272">
        <v>-5.7618870000000003E-2</v>
      </c>
      <c r="W4272">
        <v>2.0780799999999999E-2</v>
      </c>
      <c r="X4272">
        <v>0.99812230000000002</v>
      </c>
      <c r="Y4272">
        <v>-0.14154530000000001</v>
      </c>
      <c r="Z4272">
        <v>-6.2167180000000004E-3</v>
      </c>
      <c r="AA4272">
        <v>0.98991229999999997</v>
      </c>
      <c r="AB4272">
        <v>28</v>
      </c>
      <c r="AC4272">
        <v>-12.781000000000001</v>
      </c>
      <c r="AD4272">
        <v>-1.1106621426529999</v>
      </c>
      <c r="AE4272">
        <v>-1.8372999999999899</v>
      </c>
      <c r="AF4272">
        <v>-1.85938308668569</v>
      </c>
      <c r="AG4272">
        <v>-1.1106621426529999</v>
      </c>
      <c r="AH4272">
        <v>12.6819674575422</v>
      </c>
      <c r="AI4272">
        <v>94.952404528448298</v>
      </c>
      <c r="AJ4272">
        <v>98.341066276226996</v>
      </c>
      <c r="AK4272">
        <v>12.8655809994083</v>
      </c>
      <c r="AL4272">
        <v>88.809262094305893</v>
      </c>
      <c r="AM4272">
        <v>93.303861902816195</v>
      </c>
      <c r="AN4272">
        <v>0.99999995079300197</v>
      </c>
    </row>
    <row r="4273" spans="1:40" x14ac:dyDescent="0.3">
      <c r="A4273" t="str">
        <f>"20200111160542944"</f>
        <v>20200111160542944</v>
      </c>
      <c r="B4273" t="str">
        <f>"1578729942936049"</f>
        <v>1578729942936049</v>
      </c>
      <c r="C4273" t="s">
        <v>40</v>
      </c>
      <c r="D4273">
        <v>5.6939719999999996</v>
      </c>
      <c r="E4273">
        <v>0.46909879999999998</v>
      </c>
      <c r="F4273" t="s">
        <v>41</v>
      </c>
      <c r="G4273">
        <v>-373.01710000000003</v>
      </c>
      <c r="H4273" s="1">
        <v>-3.061131E-6</v>
      </c>
      <c r="I4273">
        <v>139.9289</v>
      </c>
      <c r="J4273">
        <v>-360.2552</v>
      </c>
      <c r="K4273">
        <v>1.110654</v>
      </c>
      <c r="L4273">
        <v>141.74979999999999</v>
      </c>
      <c r="M4273">
        <v>-0.99989729999999999</v>
      </c>
      <c r="N4273">
        <v>0</v>
      </c>
      <c r="O4273">
        <v>2.6783599999999999E-3</v>
      </c>
      <c r="P4273">
        <v>-0.99849560000000004</v>
      </c>
      <c r="Q4273">
        <v>6.0865880000000004E-3</v>
      </c>
      <c r="R4273">
        <v>-5.4496410000000002E-2</v>
      </c>
      <c r="S4273">
        <v>-2.9833069999999999</v>
      </c>
      <c r="T4273">
        <v>-0.25524629999999998</v>
      </c>
      <c r="U4273">
        <v>-0.41835020000000001</v>
      </c>
      <c r="V4273">
        <v>-5.7175570000000002E-2</v>
      </c>
      <c r="W4273">
        <v>2.0137680000000002E-2</v>
      </c>
      <c r="X4273">
        <v>0.99816099999999996</v>
      </c>
      <c r="Y4273">
        <v>-0.14100889999999999</v>
      </c>
      <c r="Z4273">
        <v>-6.219741E-3</v>
      </c>
      <c r="AA4273">
        <v>0.9899888</v>
      </c>
      <c r="AB4273">
        <v>28</v>
      </c>
      <c r="AC4273">
        <v>-12.761900000000001</v>
      </c>
      <c r="AD4273">
        <v>-1.110657061131</v>
      </c>
      <c r="AE4273">
        <v>-1.82089999999999</v>
      </c>
      <c r="AF4273">
        <v>-1.84140912852226</v>
      </c>
      <c r="AG4273">
        <v>-1.110657061131</v>
      </c>
      <c r="AH4273">
        <v>12.662980028237699</v>
      </c>
      <c r="AI4273">
        <v>94.960617218189299</v>
      </c>
      <c r="AJ4273">
        <v>98.273770954908898</v>
      </c>
      <c r="AK4273">
        <v>12.8442753739397</v>
      </c>
      <c r="AL4273">
        <v>88.846117903014402</v>
      </c>
      <c r="AM4273">
        <v>93.278371939940499</v>
      </c>
      <c r="AN4273">
        <v>0.999999976940803</v>
      </c>
    </row>
    <row r="4274" spans="1:40" x14ac:dyDescent="0.3">
      <c r="A4274" t="str">
        <f>"20200111160542961"</f>
        <v>20200111160542961</v>
      </c>
      <c r="B4274" t="str">
        <f>"1578729942955568"</f>
        <v>1578729942955568</v>
      </c>
      <c r="C4274" t="s">
        <v>40</v>
      </c>
      <c r="D4274">
        <v>5.6635759999999999</v>
      </c>
      <c r="E4274">
        <v>0.4690569</v>
      </c>
      <c r="F4274" t="s">
        <v>41</v>
      </c>
      <c r="G4274">
        <v>-373.02030000000002</v>
      </c>
      <c r="H4274" s="1">
        <v>-3.0679420000000002E-6</v>
      </c>
      <c r="I4274">
        <v>139.95959999999999</v>
      </c>
      <c r="J4274">
        <v>-360.45979999999997</v>
      </c>
      <c r="K4274">
        <v>1.1106549999999999</v>
      </c>
      <c r="L4274">
        <v>141.75030000000001</v>
      </c>
      <c r="M4274">
        <v>-0.99989749999999999</v>
      </c>
      <c r="N4274">
        <v>0</v>
      </c>
      <c r="O4274">
        <v>2.564616E-3</v>
      </c>
      <c r="P4274">
        <v>-0.99854830000000006</v>
      </c>
      <c r="Q4274">
        <v>5.1016339999999999E-3</v>
      </c>
      <c r="R4274">
        <v>-5.3622799999999998E-2</v>
      </c>
      <c r="S4274">
        <v>-2.9832459999999998</v>
      </c>
      <c r="T4274">
        <v>-0.25956459999999998</v>
      </c>
      <c r="U4274">
        <v>-0.4183655</v>
      </c>
      <c r="V4274">
        <v>-5.618853E-2</v>
      </c>
      <c r="W4274">
        <v>1.915178E-2</v>
      </c>
      <c r="X4274">
        <v>0.99823649999999997</v>
      </c>
      <c r="Y4274">
        <v>-0.14088729999999999</v>
      </c>
      <c r="Z4274">
        <v>-6.3096209999999996E-3</v>
      </c>
      <c r="AA4274">
        <v>0.99000560000000004</v>
      </c>
      <c r="AB4274">
        <v>28</v>
      </c>
      <c r="AC4274">
        <v>-12.560499999999999</v>
      </c>
      <c r="AD4274">
        <v>-1.1106580679419999</v>
      </c>
      <c r="AE4274">
        <v>-1.79070000000001</v>
      </c>
      <c r="AF4274">
        <v>-1.80904713335416</v>
      </c>
      <c r="AG4274">
        <v>-1.1106580679419999</v>
      </c>
      <c r="AH4274">
        <v>12.460379788581699</v>
      </c>
      <c r="AI4274">
        <v>95.041033037668996</v>
      </c>
      <c r="AJ4274">
        <v>98.260709383729903</v>
      </c>
      <c r="AK4274">
        <v>12.6399081226992</v>
      </c>
      <c r="AL4274">
        <v>88.902616772140803</v>
      </c>
      <c r="AM4274">
        <v>93.221653471807997</v>
      </c>
      <c r="AN4274">
        <v>1.0000000257564801</v>
      </c>
    </row>
    <row r="4275" spans="1:40" x14ac:dyDescent="0.3">
      <c r="A4275" t="str">
        <f>"20200111160542978"</f>
        <v>20200111160542978</v>
      </c>
      <c r="B4275" t="str">
        <f>"1578729942966305"</f>
        <v>1578729942966305</v>
      </c>
      <c r="C4275" t="s">
        <v>40</v>
      </c>
      <c r="D4275">
        <v>5.7207309999999998</v>
      </c>
      <c r="E4275">
        <v>0.46900710000000001</v>
      </c>
      <c r="F4275" t="s">
        <v>41</v>
      </c>
      <c r="G4275">
        <v>-373.02960000000002</v>
      </c>
      <c r="H4275" s="1">
        <v>-3.073773E-6</v>
      </c>
      <c r="I4275">
        <v>139.9965</v>
      </c>
      <c r="J4275">
        <v>-360.6635</v>
      </c>
      <c r="K4275">
        <v>1.1106609999999999</v>
      </c>
      <c r="L4275">
        <v>141.75069999999999</v>
      </c>
      <c r="M4275">
        <v>-0.99989790000000001</v>
      </c>
      <c r="N4275">
        <v>0</v>
      </c>
      <c r="O4275">
        <v>2.4542119999999999E-3</v>
      </c>
      <c r="P4275">
        <v>-0.99857300000000004</v>
      </c>
      <c r="Q4275">
        <v>4.8034509999999898E-3</v>
      </c>
      <c r="R4275">
        <v>-5.3189800000000002E-2</v>
      </c>
      <c r="S4275">
        <v>-2.983368</v>
      </c>
      <c r="T4275">
        <v>-0.26360980000000001</v>
      </c>
      <c r="U4275">
        <v>-0.41622920000000002</v>
      </c>
      <c r="V4275">
        <v>-5.564525E-2</v>
      </c>
      <c r="W4275">
        <v>1.885237E-2</v>
      </c>
      <c r="X4275">
        <v>0.99827259999999995</v>
      </c>
      <c r="Y4275">
        <v>-0.14006399999999999</v>
      </c>
      <c r="Z4275">
        <v>-6.3618160000000002E-3</v>
      </c>
      <c r="AA4275">
        <v>0.99012199999999995</v>
      </c>
      <c r="AB4275">
        <v>28</v>
      </c>
      <c r="AC4275">
        <v>-12.366099999999999</v>
      </c>
      <c r="AD4275">
        <v>-1.110664073773</v>
      </c>
      <c r="AE4275">
        <v>-1.75419999999999</v>
      </c>
      <c r="AF4275">
        <v>-1.7705458985178399</v>
      </c>
      <c r="AG4275">
        <v>-1.110664073773</v>
      </c>
      <c r="AH4275">
        <v>12.264771632797</v>
      </c>
      <c r="AI4275">
        <v>95.121629719139804</v>
      </c>
      <c r="AJ4275">
        <v>98.214485625662803</v>
      </c>
      <c r="AK4275">
        <v>12.441584732990799</v>
      </c>
      <c r="AL4275">
        <v>88.919774765650004</v>
      </c>
      <c r="AM4275">
        <v>93.1904532278798</v>
      </c>
      <c r="AN4275">
        <v>0.99999999480646895</v>
      </c>
    </row>
    <row r="4276" spans="1:40" x14ac:dyDescent="0.3">
      <c r="A4276" t="str">
        <f>"20200111160542994"</f>
        <v>20200111160542994</v>
      </c>
      <c r="B4276" t="str">
        <f>"1578729942985825"</f>
        <v>1578729942985825</v>
      </c>
      <c r="C4276" t="s">
        <v>40</v>
      </c>
      <c r="D4276">
        <v>5.671672</v>
      </c>
      <c r="E4276">
        <v>0.46875640000000002</v>
      </c>
      <c r="F4276" t="s">
        <v>41</v>
      </c>
      <c r="G4276">
        <v>-373.14769999999999</v>
      </c>
      <c r="H4276" s="1">
        <v>-3.0274399999999999E-6</v>
      </c>
      <c r="I4276">
        <v>140.0128</v>
      </c>
      <c r="J4276">
        <v>-360.87459999999999</v>
      </c>
      <c r="K4276">
        <v>1.1106720000000001</v>
      </c>
      <c r="L4276">
        <v>141.75110000000001</v>
      </c>
      <c r="M4276">
        <v>-0.99989810000000001</v>
      </c>
      <c r="N4276">
        <v>0</v>
      </c>
      <c r="O4276">
        <v>2.342261E-3</v>
      </c>
      <c r="P4276">
        <v>-0.99862150000000005</v>
      </c>
      <c r="Q4276">
        <v>4.5428320000000001E-3</v>
      </c>
      <c r="R4276">
        <v>-5.2296549999999997E-2</v>
      </c>
      <c r="S4276">
        <v>-2.9833980000000002</v>
      </c>
      <c r="T4276">
        <v>-0.26542189999999999</v>
      </c>
      <c r="U4276">
        <v>-0.41529850000000001</v>
      </c>
      <c r="V4276">
        <v>-5.464016E-2</v>
      </c>
      <c r="W4276">
        <v>1.8591110000000001E-2</v>
      </c>
      <c r="X4276">
        <v>0.99833300000000003</v>
      </c>
      <c r="Y4276">
        <v>-0.1396433</v>
      </c>
      <c r="Z4276">
        <v>-6.3769680000000002E-3</v>
      </c>
      <c r="AA4276">
        <v>0.99018130000000004</v>
      </c>
      <c r="AB4276">
        <v>28</v>
      </c>
      <c r="AC4276">
        <v>-12.273099999999999</v>
      </c>
      <c r="AD4276">
        <v>-1.1106750274399999</v>
      </c>
      <c r="AE4276">
        <v>-1.7383</v>
      </c>
      <c r="AF4276">
        <v>-1.7529709906628099</v>
      </c>
      <c r="AG4276">
        <v>-1.1106750274399999</v>
      </c>
      <c r="AH4276">
        <v>12.1712761234089</v>
      </c>
      <c r="AI4276">
        <v>95.161054205075999</v>
      </c>
      <c r="AJ4276">
        <v>98.195680216336697</v>
      </c>
      <c r="AK4276">
        <v>12.3469214293664</v>
      </c>
      <c r="AL4276">
        <v>88.934746466922206</v>
      </c>
      <c r="AM4276">
        <v>93.132752483137196</v>
      </c>
      <c r="AN4276">
        <v>0.99999997767242799</v>
      </c>
    </row>
    <row r="4277" spans="1:40" x14ac:dyDescent="0.3">
      <c r="A4277" t="str">
        <f>"20200111160543013"</f>
        <v>20200111160543013</v>
      </c>
      <c r="B4277" t="str">
        <f>"1578729943006321"</f>
        <v>1578729943006321</v>
      </c>
      <c r="C4277" t="s">
        <v>40</v>
      </c>
      <c r="D4277">
        <v>5.6986059999999998</v>
      </c>
      <c r="E4277">
        <v>0.4685667</v>
      </c>
      <c r="F4277" t="s">
        <v>41</v>
      </c>
      <c r="G4277">
        <v>-373.24079999999998</v>
      </c>
      <c r="H4277" s="1">
        <v>-2.9927109999999998E-6</v>
      </c>
      <c r="I4277">
        <v>140.0324</v>
      </c>
      <c r="J4277">
        <v>-361.09879999999998</v>
      </c>
      <c r="K4277">
        <v>1.1106819999999999</v>
      </c>
      <c r="L4277">
        <v>141.75139999999999</v>
      </c>
      <c r="M4277">
        <v>-0.99989839999999997</v>
      </c>
      <c r="N4277">
        <v>0</v>
      </c>
      <c r="O4277">
        <v>2.2253080000000001E-3</v>
      </c>
      <c r="P4277">
        <v>-0.99864430000000004</v>
      </c>
      <c r="Q4277">
        <v>5.0260599999999997E-3</v>
      </c>
      <c r="R4277">
        <v>-5.1811299999999998E-2</v>
      </c>
      <c r="S4277">
        <v>-2.9836429999999998</v>
      </c>
      <c r="T4277">
        <v>-0.26797860000000001</v>
      </c>
      <c r="U4277">
        <v>-0.41465760000000002</v>
      </c>
      <c r="V4277">
        <v>-5.4038410000000002E-2</v>
      </c>
      <c r="W4277">
        <v>1.907263E-2</v>
      </c>
      <c r="X4277">
        <v>0.99835669999999999</v>
      </c>
      <c r="Y4277">
        <v>-0.13929900000000001</v>
      </c>
      <c r="Z4277">
        <v>-6.4119349999999997E-3</v>
      </c>
      <c r="AA4277">
        <v>0.99022960000000004</v>
      </c>
      <c r="AB4277">
        <v>28</v>
      </c>
      <c r="AC4277">
        <v>-12.1419999999999</v>
      </c>
      <c r="AD4277">
        <v>-1.1106849927110001</v>
      </c>
      <c r="AE4277">
        <v>-1.7189999999999901</v>
      </c>
      <c r="AF4277">
        <v>-1.73181173275274</v>
      </c>
      <c r="AG4277">
        <v>-1.1106849927110001</v>
      </c>
      <c r="AH4277">
        <v>12.039382916760999</v>
      </c>
      <c r="AI4277">
        <v>95.217461985002203</v>
      </c>
      <c r="AJ4277">
        <v>98.185593936364498</v>
      </c>
      <c r="AK4277">
        <v>12.213907402921</v>
      </c>
      <c r="AL4277">
        <v>88.907152541725097</v>
      </c>
      <c r="AM4277">
        <v>93.098245783757505</v>
      </c>
      <c r="AN4277">
        <v>1.0000000077026601</v>
      </c>
    </row>
    <row r="4278" spans="1:40" x14ac:dyDescent="0.3">
      <c r="A4278" t="str">
        <f>"20200111160543027"</f>
        <v>20200111160543027</v>
      </c>
      <c r="B4278" t="str">
        <f>"1578729943016081"</f>
        <v>1578729943016081</v>
      </c>
      <c r="C4278" t="s">
        <v>40</v>
      </c>
      <c r="D4278">
        <v>5.6495319999999998</v>
      </c>
      <c r="E4278">
        <v>0.46846460000000001</v>
      </c>
      <c r="F4278" t="s">
        <v>41</v>
      </c>
      <c r="G4278">
        <v>-373.47399999999999</v>
      </c>
      <c r="H4278" s="1">
        <v>-2.892552E-6</v>
      </c>
      <c r="I4278">
        <v>140.03190000000001</v>
      </c>
      <c r="J4278">
        <v>-361.28059999999999</v>
      </c>
      <c r="K4278">
        <v>1.1107</v>
      </c>
      <c r="L4278">
        <v>141.7517</v>
      </c>
      <c r="M4278">
        <v>-0.99989859999999997</v>
      </c>
      <c r="N4278">
        <v>0</v>
      </c>
      <c r="O4278">
        <v>2.1313539999999998E-3</v>
      </c>
      <c r="P4278">
        <v>-0.99868319999999999</v>
      </c>
      <c r="Q4278">
        <v>5.6624669999999896E-3</v>
      </c>
      <c r="R4278">
        <v>-5.0990639999999997E-2</v>
      </c>
      <c r="S4278">
        <v>-2.9839169999999999</v>
      </c>
      <c r="T4278">
        <v>-0.2678103</v>
      </c>
      <c r="U4278">
        <v>-0.41459659999999898</v>
      </c>
      <c r="V4278">
        <v>-5.3124190000000002E-2</v>
      </c>
      <c r="W4278">
        <v>1.9707659999999998E-2</v>
      </c>
      <c r="X4278">
        <v>0.99839339999999999</v>
      </c>
      <c r="Y4278">
        <v>-0.1391753</v>
      </c>
      <c r="Z4278">
        <v>-6.3934609999999996E-3</v>
      </c>
      <c r="AA4278">
        <v>0.99024710000000005</v>
      </c>
      <c r="AB4278">
        <v>28</v>
      </c>
      <c r="AC4278">
        <v>-12.193399999999899</v>
      </c>
      <c r="AD4278">
        <v>-1.1107028925519999</v>
      </c>
      <c r="AE4278">
        <v>-1.71979999999999</v>
      </c>
      <c r="AF4278">
        <v>-1.73169865374627</v>
      </c>
      <c r="AG4278">
        <v>-1.1107028925519999</v>
      </c>
      <c r="AH4278">
        <v>12.091335743311999</v>
      </c>
      <c r="AI4278">
        <v>95.195706242993595</v>
      </c>
      <c r="AJ4278">
        <v>98.150371448021502</v>
      </c>
      <c r="AK4278">
        <v>12.2651066526306</v>
      </c>
      <c r="AL4278">
        <v>88.870761125239895</v>
      </c>
      <c r="AM4278">
        <v>93.045817558992695</v>
      </c>
      <c r="AN4278">
        <v>0.99999997629469495</v>
      </c>
    </row>
    <row r="4279" spans="1:40" x14ac:dyDescent="0.3">
      <c r="A4279" t="str">
        <f>"20200111160543051"</f>
        <v>20200111160543051</v>
      </c>
      <c r="B4279" t="str">
        <f>"1578729943046337"</f>
        <v>1578729943046337</v>
      </c>
      <c r="C4279" t="s">
        <v>40</v>
      </c>
      <c r="D4279">
        <v>5.6653539999999998</v>
      </c>
      <c r="E4279">
        <v>0.468028</v>
      </c>
      <c r="F4279" t="s">
        <v>41</v>
      </c>
      <c r="G4279">
        <v>-373.72219999999999</v>
      </c>
      <c r="H4279" s="1">
        <v>-2.7859459999999999E-6</v>
      </c>
      <c r="I4279">
        <v>140.03139999999999</v>
      </c>
      <c r="J4279">
        <v>-361.56529999999998</v>
      </c>
      <c r="K4279">
        <v>1.110714</v>
      </c>
      <c r="L4279">
        <v>141.75219999999999</v>
      </c>
      <c r="M4279">
        <v>-0.99989899999999998</v>
      </c>
      <c r="N4279">
        <v>0</v>
      </c>
      <c r="O4279">
        <v>1.9850879999999999E-3</v>
      </c>
      <c r="P4279">
        <v>-0.99875309999999995</v>
      </c>
      <c r="Q4279">
        <v>6.2813690000000002E-3</v>
      </c>
      <c r="R4279">
        <v>-4.953051E-2</v>
      </c>
      <c r="S4279">
        <v>-2.9844059999999999</v>
      </c>
      <c r="T4279">
        <v>-0.26642919999999998</v>
      </c>
      <c r="U4279">
        <v>-0.41264339999999999</v>
      </c>
      <c r="V4279">
        <v>-5.15177E-2</v>
      </c>
      <c r="W4279">
        <v>2.032552E-2</v>
      </c>
      <c r="X4279">
        <v>0.99846520000000005</v>
      </c>
      <c r="Y4279">
        <v>-0.13838200000000001</v>
      </c>
      <c r="Z4279">
        <v>-6.3117269999999996E-3</v>
      </c>
      <c r="AA4279">
        <v>0.99035879999999998</v>
      </c>
      <c r="AB4279">
        <v>28</v>
      </c>
      <c r="AC4279">
        <v>-12.1569</v>
      </c>
      <c r="AD4279">
        <v>-1.1107167859460001</v>
      </c>
      <c r="AE4279">
        <v>-1.7207999999999899</v>
      </c>
      <c r="AF4279">
        <v>-1.7307675728281999</v>
      </c>
      <c r="AG4279">
        <v>-1.1107167859460001</v>
      </c>
      <c r="AH4279">
        <v>12.054807810606199</v>
      </c>
      <c r="AI4279">
        <v>95.211168534275203</v>
      </c>
      <c r="AJ4279">
        <v>98.170399085369098</v>
      </c>
      <c r="AK4279">
        <v>12.228967230326001</v>
      </c>
      <c r="AL4279">
        <v>88.835353261332003</v>
      </c>
      <c r="AM4279">
        <v>92.953664822547495</v>
      </c>
      <c r="AN4279">
        <v>0.99999997789380002</v>
      </c>
    </row>
    <row r="4280" spans="1:40" x14ac:dyDescent="0.3">
      <c r="A4280" t="str">
        <f>"20200111160543068"</f>
        <v>20200111160543068</v>
      </c>
      <c r="B4280" t="str">
        <f>"1578729943065835"</f>
        <v>1578729943065835</v>
      </c>
      <c r="C4280" t="s">
        <v>40</v>
      </c>
      <c r="D4280">
        <v>6.9008209999999996</v>
      </c>
      <c r="E4280">
        <v>0.46787600000000001</v>
      </c>
      <c r="F4280" t="s">
        <v>41</v>
      </c>
      <c r="G4280">
        <v>-374.09699999999998</v>
      </c>
      <c r="H4280" s="1">
        <v>-2.6230499999999998E-6</v>
      </c>
      <c r="I4280">
        <v>140.02350000000001</v>
      </c>
      <c r="J4280">
        <v>-361.77949999999998</v>
      </c>
      <c r="K4280">
        <v>1.1107180000000001</v>
      </c>
      <c r="L4280">
        <v>141.7525</v>
      </c>
      <c r="M4280">
        <v>-0.99989930000000005</v>
      </c>
      <c r="N4280">
        <v>0</v>
      </c>
      <c r="O4280">
        <v>1.8751639999999999E-3</v>
      </c>
      <c r="P4280">
        <v>-0.99876520000000002</v>
      </c>
      <c r="Q4280">
        <v>6.4812919999999996E-3</v>
      </c>
      <c r="R4280">
        <v>-4.925798E-2</v>
      </c>
      <c r="S4280">
        <v>-2.984985</v>
      </c>
      <c r="T4280">
        <v>-0.26456929999999901</v>
      </c>
      <c r="U4280">
        <v>-0.41175840000000002</v>
      </c>
      <c r="V4280">
        <v>-5.1135649999999998E-2</v>
      </c>
      <c r="W4280">
        <v>2.0523360000000001E-2</v>
      </c>
      <c r="X4280">
        <v>0.99848079999999995</v>
      </c>
      <c r="Y4280">
        <v>-0.1379687</v>
      </c>
      <c r="Z4280">
        <v>-6.2388849999999996E-3</v>
      </c>
      <c r="AA4280">
        <v>0.99041690000000004</v>
      </c>
      <c r="AB4280">
        <v>28</v>
      </c>
      <c r="AC4280">
        <v>-12.3174999999999</v>
      </c>
      <c r="AD4280">
        <v>-1.11072062305</v>
      </c>
      <c r="AE4280">
        <v>-1.7289999999999801</v>
      </c>
      <c r="AF4280">
        <v>-1.7382354300693299</v>
      </c>
      <c r="AG4280">
        <v>-1.11072062305</v>
      </c>
      <c r="AH4280">
        <v>12.2168157507973</v>
      </c>
      <c r="AI4280">
        <v>95.143379762466793</v>
      </c>
      <c r="AJ4280">
        <v>98.097816832661906</v>
      </c>
      <c r="AK4280">
        <v>12.389743734304799</v>
      </c>
      <c r="AL4280">
        <v>88.824015507911099</v>
      </c>
      <c r="AM4280">
        <v>92.931753377200394</v>
      </c>
      <c r="AN4280">
        <v>0.99999998548762503</v>
      </c>
    </row>
    <row r="4281" spans="1:40" x14ac:dyDescent="0.3">
      <c r="A4281" t="str">
        <f>"20200111160543084"</f>
        <v>20200111160543084</v>
      </c>
      <c r="B4281" t="str">
        <f>"1578729943075595"</f>
        <v>1578729943075595</v>
      </c>
      <c r="C4281" t="s">
        <v>40</v>
      </c>
      <c r="D4281">
        <v>6.8952679999999997</v>
      </c>
      <c r="E4281">
        <v>0.4537621</v>
      </c>
      <c r="F4281" t="s">
        <v>41</v>
      </c>
      <c r="G4281">
        <v>-374.3603</v>
      </c>
      <c r="H4281" s="1">
        <v>-2.5078919999999999E-6</v>
      </c>
      <c r="I4281">
        <v>140.01519999999999</v>
      </c>
      <c r="J4281">
        <v>-361.98140000000001</v>
      </c>
      <c r="K4281">
        <v>1.110719</v>
      </c>
      <c r="L4281">
        <v>141.75280000000001</v>
      </c>
      <c r="M4281">
        <v>-0.99989939999999999</v>
      </c>
      <c r="N4281">
        <v>0</v>
      </c>
      <c r="O4281">
        <v>1.771253E-3</v>
      </c>
      <c r="P4281">
        <v>-0.99882499999999996</v>
      </c>
      <c r="Q4281">
        <v>6.4881050000000001E-3</v>
      </c>
      <c r="R4281">
        <v>-4.802824E-2</v>
      </c>
      <c r="S4281">
        <v>-2.9850460000000001</v>
      </c>
      <c r="T4281">
        <v>-0.26354129999999998</v>
      </c>
      <c r="U4281">
        <v>-0.41218569999999999</v>
      </c>
      <c r="V4281">
        <v>-4.9802010000000001E-2</v>
      </c>
      <c r="W4281">
        <v>2.0529559999999999E-2</v>
      </c>
      <c r="X4281">
        <v>0.99854810000000005</v>
      </c>
      <c r="Y4281">
        <v>-0.13800660000000001</v>
      </c>
      <c r="Z4281">
        <v>-6.2071000000000001E-3</v>
      </c>
      <c r="AA4281">
        <v>0.99041190000000001</v>
      </c>
      <c r="AB4281">
        <v>28</v>
      </c>
      <c r="AC4281">
        <v>-12.3788999999999</v>
      </c>
      <c r="AD4281">
        <v>-1.1107215078919901</v>
      </c>
      <c r="AE4281">
        <v>-1.73760000000001</v>
      </c>
      <c r="AF4281">
        <v>-1.74574232720758</v>
      </c>
      <c r="AG4281">
        <v>-1.1107215078919901</v>
      </c>
      <c r="AH4281">
        <v>12.2788564270439</v>
      </c>
      <c r="AI4281">
        <v>95.117610807902395</v>
      </c>
      <c r="AJ4281">
        <v>98.091777787822593</v>
      </c>
      <c r="AK4281">
        <v>12.4519730844977</v>
      </c>
      <c r="AL4281">
        <v>88.823660222785506</v>
      </c>
      <c r="AM4281">
        <v>92.855228073201005</v>
      </c>
      <c r="AN4281">
        <v>1.0000000055237199</v>
      </c>
    </row>
    <row r="4282" spans="1:40" x14ac:dyDescent="0.3">
      <c r="A4282" t="str">
        <f>"20200111160543099"</f>
        <v>20200111160543099</v>
      </c>
      <c r="B4282" t="str">
        <f>"1578729943096091"</f>
        <v>1578729943096091</v>
      </c>
      <c r="C4282" t="s">
        <v>40</v>
      </c>
      <c r="D4282">
        <v>5.6363909999999997</v>
      </c>
      <c r="E4282">
        <v>0.45399630000000002</v>
      </c>
      <c r="F4282" t="s">
        <v>46</v>
      </c>
      <c r="G4282">
        <v>0</v>
      </c>
      <c r="H4282">
        <v>0</v>
      </c>
      <c r="I4282">
        <v>0</v>
      </c>
      <c r="J4282">
        <v>-362.17590000000001</v>
      </c>
      <c r="K4282">
        <v>1.1107180000000001</v>
      </c>
      <c r="L4282">
        <v>141.75299999999999</v>
      </c>
      <c r="M4282">
        <v>-0.99989980000000001</v>
      </c>
      <c r="N4282">
        <v>0</v>
      </c>
      <c r="O4282">
        <v>1.6709120000000001E-3</v>
      </c>
      <c r="P4282">
        <v>-0.99885760000000001</v>
      </c>
      <c r="Q4282">
        <v>6.5452840000000002E-3</v>
      </c>
      <c r="R4282">
        <v>-4.7341469999999997E-2</v>
      </c>
      <c r="S4282">
        <v>-2.97879</v>
      </c>
      <c r="T4282">
        <v>1.2244700000000001E-2</v>
      </c>
      <c r="U4282">
        <v>-0.51284790000000002</v>
      </c>
      <c r="V4282">
        <v>-4.9015339999999998E-2</v>
      </c>
      <c r="W4282">
        <v>2.0585340000000001E-2</v>
      </c>
      <c r="X4282">
        <v>0.99858590000000003</v>
      </c>
      <c r="Y4282">
        <v>-0.17131550000000001</v>
      </c>
      <c r="Z4282">
        <v>3.5635369999999998E-4</v>
      </c>
      <c r="AA4282">
        <v>0.98521610000000004</v>
      </c>
      <c r="AB4282">
        <v>28</v>
      </c>
      <c r="AC4282">
        <v>-2.97879</v>
      </c>
      <c r="AD4282">
        <v>1.2244700000000001E-2</v>
      </c>
      <c r="AE4282">
        <v>-0.51284790000000002</v>
      </c>
      <c r="AF4282">
        <v>-0.51781647391871999</v>
      </c>
      <c r="AG4282">
        <v>1.2244700000000001E-2</v>
      </c>
      <c r="AH4282">
        <v>2.97787996299347</v>
      </c>
      <c r="AI4282">
        <v>89.767890633350902</v>
      </c>
      <c r="AJ4282">
        <v>99.864393314233197</v>
      </c>
      <c r="AK4282">
        <v>3.0225904299685902</v>
      </c>
      <c r="AL4282">
        <v>88.820463617241799</v>
      </c>
      <c r="AM4282">
        <v>92.810093706123794</v>
      </c>
      <c r="AN4282">
        <v>1.0000000297285201</v>
      </c>
    </row>
    <row r="4283" spans="1:40" x14ac:dyDescent="0.3">
      <c r="A4283" t="str">
        <f>"20200111160543118"</f>
        <v>20200111160543118</v>
      </c>
      <c r="B4283" t="str">
        <f>"1578729943105851"</f>
        <v>1578729943105851</v>
      </c>
      <c r="C4283" t="s">
        <v>40</v>
      </c>
      <c r="D4283">
        <v>5.7353930000000002</v>
      </c>
      <c r="E4283">
        <v>0.46401320000000001</v>
      </c>
      <c r="F4283" t="s">
        <v>46</v>
      </c>
      <c r="G4283">
        <v>0</v>
      </c>
      <c r="H4283">
        <v>0</v>
      </c>
      <c r="I4283">
        <v>0</v>
      </c>
      <c r="J4283">
        <v>-362.39100000000002</v>
      </c>
      <c r="K4283">
        <v>1.1107209999999901</v>
      </c>
      <c r="L4283">
        <v>141.7533</v>
      </c>
      <c r="M4283">
        <v>-0.99989989999999995</v>
      </c>
      <c r="N4283">
        <v>0</v>
      </c>
      <c r="O4283">
        <v>1.5600799999999999E-3</v>
      </c>
      <c r="P4283">
        <v>-0.99893259999999995</v>
      </c>
      <c r="Q4283">
        <v>6.9842089999999999E-3</v>
      </c>
      <c r="R4283">
        <v>-4.5661670000000001E-2</v>
      </c>
      <c r="S4283">
        <v>-2.979279</v>
      </c>
      <c r="T4283">
        <v>4.726648E-3</v>
      </c>
      <c r="U4283">
        <v>-0.50907899999999995</v>
      </c>
      <c r="V4283">
        <v>-4.722494E-2</v>
      </c>
      <c r="W4283">
        <v>2.1023460000000001E-2</v>
      </c>
      <c r="X4283">
        <v>0.99866299999999997</v>
      </c>
      <c r="Y4283">
        <v>-0.1699696</v>
      </c>
      <c r="Z4283">
        <v>1.3631649999999999E-4</v>
      </c>
      <c r="AA4283">
        <v>0.98544929999999997</v>
      </c>
      <c r="AB4283">
        <v>28</v>
      </c>
      <c r="AC4283">
        <v>-2.979279</v>
      </c>
      <c r="AD4283">
        <v>4.726648E-3</v>
      </c>
      <c r="AE4283">
        <v>-0.50907899999999995</v>
      </c>
      <c r="AF4283">
        <v>-0.51372549722647098</v>
      </c>
      <c r="AG4283">
        <v>4.726648E-3</v>
      </c>
      <c r="AH4283">
        <v>2.9784738070600301</v>
      </c>
      <c r="AI4283">
        <v>89.910398344992103</v>
      </c>
      <c r="AJ4283">
        <v>99.786059754222507</v>
      </c>
      <c r="AK4283">
        <v>3.0224563598246599</v>
      </c>
      <c r="AL4283">
        <v>88.795355701793099</v>
      </c>
      <c r="AM4283">
        <v>92.707395370036295</v>
      </c>
      <c r="AN4283">
        <v>0.99999998419868696</v>
      </c>
    </row>
    <row r="4284" spans="1:40" x14ac:dyDescent="0.3">
      <c r="A4284" t="str">
        <f>"20200111160543140"</f>
        <v>20200111160543140</v>
      </c>
      <c r="B4284" t="str">
        <f>"1578729943136108"</f>
        <v>1578729943136108</v>
      </c>
      <c r="C4284" t="s">
        <v>40</v>
      </c>
      <c r="D4284">
        <v>5.7366640000000002</v>
      </c>
      <c r="E4284">
        <v>0.46357920000000002</v>
      </c>
      <c r="F4284" t="s">
        <v>41</v>
      </c>
      <c r="G4284">
        <v>-378.18290000000002</v>
      </c>
      <c r="H4284" s="1">
        <v>-7.8717250000000004E-7</v>
      </c>
      <c r="I4284">
        <v>139.4735</v>
      </c>
      <c r="J4284">
        <v>-362.66239999999999</v>
      </c>
      <c r="K4284">
        <v>1.110719</v>
      </c>
      <c r="L4284">
        <v>141.7535</v>
      </c>
      <c r="M4284">
        <v>-0.99990020000000002</v>
      </c>
      <c r="N4284">
        <v>0</v>
      </c>
      <c r="O4284">
        <v>1.420166E-3</v>
      </c>
      <c r="P4284">
        <v>-0.9990057</v>
      </c>
      <c r="Q4284">
        <v>6.6475429999999997E-3</v>
      </c>
      <c r="R4284">
        <v>-4.4088700000000001E-2</v>
      </c>
      <c r="S4284">
        <v>-2.9850159999999999</v>
      </c>
      <c r="T4284">
        <v>-0.20995150000000001</v>
      </c>
      <c r="U4284">
        <v>-0.43090820000000002</v>
      </c>
      <c r="V4284">
        <v>-4.5511830000000003E-2</v>
      </c>
      <c r="W4284">
        <v>2.0685930000000002E-2</v>
      </c>
      <c r="X4284">
        <v>0.99874960000000002</v>
      </c>
      <c r="Y4284">
        <v>-0.1439299</v>
      </c>
      <c r="Z4284">
        <v>-5.1287119999999997E-3</v>
      </c>
      <c r="AA4284">
        <v>0.98957459999999997</v>
      </c>
      <c r="AB4284">
        <v>28</v>
      </c>
      <c r="AC4284">
        <v>-15.5205</v>
      </c>
      <c r="AD4284">
        <v>-1.1107197871725001</v>
      </c>
      <c r="AE4284">
        <v>-2.2799999999999998</v>
      </c>
      <c r="AF4284">
        <v>-2.2905582721592999</v>
      </c>
      <c r="AG4284">
        <v>-1.1107197871725001</v>
      </c>
      <c r="AH4284">
        <v>15.439841244832101</v>
      </c>
      <c r="AI4284">
        <v>94.070291776357195</v>
      </c>
      <c r="AJ4284">
        <v>98.438495524654599</v>
      </c>
      <c r="AK4284">
        <v>15.648292344833999</v>
      </c>
      <c r="AL4284">
        <v>88.814698970943894</v>
      </c>
      <c r="AM4284">
        <v>92.609095502589398</v>
      </c>
      <c r="AN4284">
        <v>0.99999999893503599</v>
      </c>
    </row>
    <row r="4285" spans="1:40" x14ac:dyDescent="0.3">
      <c r="A4285" t="str">
        <f>"20200111160543162"</f>
        <v>20200111160543162</v>
      </c>
      <c r="B4285" t="str">
        <f>"1578729943155629"</f>
        <v>1578729943155629</v>
      </c>
      <c r="C4285" t="s">
        <v>40</v>
      </c>
      <c r="D4285">
        <v>5.7346649999999997</v>
      </c>
      <c r="E4285">
        <v>0.46404790000000001</v>
      </c>
      <c r="F4285" t="s">
        <v>41</v>
      </c>
      <c r="G4285">
        <v>-375.80930000000001</v>
      </c>
      <c r="H4285" s="1">
        <v>-1.8432960000000001E-6</v>
      </c>
      <c r="I4285">
        <v>139.85380000000001</v>
      </c>
      <c r="J4285">
        <v>-362.94470000000001</v>
      </c>
      <c r="K4285">
        <v>1.110711</v>
      </c>
      <c r="L4285">
        <v>141.75380000000001</v>
      </c>
      <c r="M4285">
        <v>-0.99990040000000002</v>
      </c>
      <c r="N4285">
        <v>0</v>
      </c>
      <c r="O4285">
        <v>1.27429E-3</v>
      </c>
      <c r="P4285">
        <v>-0.99907780000000002</v>
      </c>
      <c r="Q4285">
        <v>5.8516699999999998E-3</v>
      </c>
      <c r="R4285">
        <v>-4.2535919999999998E-2</v>
      </c>
      <c r="S4285">
        <v>-2.9856259999999999</v>
      </c>
      <c r="T4285">
        <v>-0.25224239999999998</v>
      </c>
      <c r="U4285">
        <v>-0.43141170000000001</v>
      </c>
      <c r="V4285">
        <v>-4.381372E-2</v>
      </c>
      <c r="W4285">
        <v>1.9888820000000001E-2</v>
      </c>
      <c r="X4285">
        <v>0.99884170000000005</v>
      </c>
      <c r="Y4285">
        <v>-0.143766</v>
      </c>
      <c r="Z4285">
        <v>-6.1380549999999999E-3</v>
      </c>
      <c r="AA4285">
        <v>0.98959269999999999</v>
      </c>
      <c r="AB4285">
        <v>28</v>
      </c>
      <c r="AC4285">
        <v>-12.8645999999999</v>
      </c>
      <c r="AD4285">
        <v>-1.1107128432960001</v>
      </c>
      <c r="AE4285">
        <v>-1.9</v>
      </c>
      <c r="AF4285">
        <v>-1.90251401080975</v>
      </c>
      <c r="AG4285">
        <v>-1.1107128432960001</v>
      </c>
      <c r="AH4285">
        <v>12.769015128259699</v>
      </c>
      <c r="AI4285">
        <v>94.917349529037494</v>
      </c>
      <c r="AJ4285">
        <v>98.474418460712997</v>
      </c>
      <c r="AK4285">
        <v>12.9576614374398</v>
      </c>
      <c r="AL4285">
        <v>88.860379384582998</v>
      </c>
      <c r="AM4285">
        <v>92.511642285657103</v>
      </c>
      <c r="AN4285">
        <v>0.99999997444005995</v>
      </c>
    </row>
    <row r="4286" spans="1:40" x14ac:dyDescent="0.3">
      <c r="A4286" t="str">
        <f>"20200111160543184"</f>
        <v>20200111160543184</v>
      </c>
      <c r="B4286" t="str">
        <f>"1578729943176125"</f>
        <v>1578729943176125</v>
      </c>
      <c r="C4286" t="s">
        <v>40</v>
      </c>
      <c r="D4286">
        <v>5.7972710000000003</v>
      </c>
      <c r="E4286">
        <v>0.46482230000000002</v>
      </c>
      <c r="F4286" t="s">
        <v>41</v>
      </c>
      <c r="G4286">
        <v>-375.50110000000001</v>
      </c>
      <c r="H4286" s="1">
        <v>-2.007147E-6</v>
      </c>
      <c r="I4286">
        <v>139.9726</v>
      </c>
      <c r="J4286">
        <v>-363.21109999999999</v>
      </c>
      <c r="K4286">
        <v>1.110703</v>
      </c>
      <c r="L4286">
        <v>141.75399999999999</v>
      </c>
      <c r="M4286">
        <v>-0.99990060000000003</v>
      </c>
      <c r="N4286">
        <v>0</v>
      </c>
      <c r="O4286">
        <v>1.13634E-3</v>
      </c>
      <c r="P4286">
        <v>-0.99912889999999999</v>
      </c>
      <c r="Q4286">
        <v>5.035922E-3</v>
      </c>
      <c r="R4286">
        <v>-4.1427690000000003E-2</v>
      </c>
      <c r="S4286">
        <v>-2.9862669999999998</v>
      </c>
      <c r="T4286">
        <v>-0.26415850000000002</v>
      </c>
      <c r="U4286">
        <v>-0.42358400000000002</v>
      </c>
      <c r="V4286">
        <v>-4.2566970000000003E-2</v>
      </c>
      <c r="W4286">
        <v>1.90712E-2</v>
      </c>
      <c r="X4286">
        <v>0.99891160000000001</v>
      </c>
      <c r="Y4286">
        <v>-0.14101910000000001</v>
      </c>
      <c r="Z4286">
        <v>-6.2939809999999997E-3</v>
      </c>
      <c r="AA4286">
        <v>0.98998679999999994</v>
      </c>
      <c r="AB4286">
        <v>27</v>
      </c>
      <c r="AC4286">
        <v>-12.29</v>
      </c>
      <c r="AD4286">
        <v>-1.1107050071469999</v>
      </c>
      <c r="AE4286">
        <v>-1.7813999999999901</v>
      </c>
      <c r="AF4286">
        <v>-1.7811177632628299</v>
      </c>
      <c r="AG4286">
        <v>-1.1107050071469999</v>
      </c>
      <c r="AH4286">
        <v>12.190449859911601</v>
      </c>
      <c r="AI4286">
        <v>95.151602559976297</v>
      </c>
      <c r="AJ4286">
        <v>98.312533247484197</v>
      </c>
      <c r="AK4286">
        <v>12.369846962939</v>
      </c>
      <c r="AL4286">
        <v>88.907234504246603</v>
      </c>
      <c r="AM4286">
        <v>92.440088857820797</v>
      </c>
      <c r="AN4286">
        <v>1.0000000211094899</v>
      </c>
    </row>
    <row r="4287" spans="1:40" x14ac:dyDescent="0.3">
      <c r="A4287" t="str">
        <f>"20200111160543199"</f>
        <v>20200111160543199</v>
      </c>
      <c r="B4287" t="str">
        <f>"1578729943195643"</f>
        <v>1578729943195643</v>
      </c>
      <c r="C4287" t="s">
        <v>40</v>
      </c>
      <c r="D4287">
        <v>6.4637909999999996</v>
      </c>
      <c r="E4287">
        <v>0.46405540000000001</v>
      </c>
      <c r="F4287" t="s">
        <v>41</v>
      </c>
      <c r="G4287">
        <v>-376.05619999999999</v>
      </c>
      <c r="H4287" s="1">
        <v>-1.769318E-6</v>
      </c>
      <c r="I4287">
        <v>139.97380000000001</v>
      </c>
      <c r="J4287">
        <v>-363.39620000000002</v>
      </c>
      <c r="K4287">
        <v>1.1107009999999999</v>
      </c>
      <c r="L4287">
        <v>141.75409999999999</v>
      </c>
      <c r="M4287">
        <v>-0.99990069999999998</v>
      </c>
      <c r="N4287">
        <v>0</v>
      </c>
      <c r="O4287">
        <v>1.040161E-3</v>
      </c>
      <c r="P4287">
        <v>-0.99913969999999996</v>
      </c>
      <c r="Q4287">
        <v>4.7084120000000004E-3</v>
      </c>
      <c r="R4287">
        <v>-4.1200399999999998E-2</v>
      </c>
      <c r="S4287">
        <v>-2.9867859999999999</v>
      </c>
      <c r="T4287">
        <v>-0.25826510000000003</v>
      </c>
      <c r="U4287">
        <v>-0.4139099</v>
      </c>
      <c r="V4287">
        <v>-4.2244289999999997E-2</v>
      </c>
      <c r="W4287">
        <v>1.8741770000000001E-2</v>
      </c>
      <c r="X4287">
        <v>0.99893149999999997</v>
      </c>
      <c r="Y4287">
        <v>-0.13779060000000001</v>
      </c>
      <c r="Z4287">
        <v>-6.0074669999999998E-3</v>
      </c>
      <c r="AA4287">
        <v>0.99044319999999997</v>
      </c>
      <c r="AB4287">
        <v>27</v>
      </c>
      <c r="AC4287">
        <v>-12.659999999999901</v>
      </c>
      <c r="AD4287">
        <v>-1.1107027693179901</v>
      </c>
      <c r="AE4287">
        <v>-1.78029999999998</v>
      </c>
      <c r="AF4287">
        <v>-1.7800333315977399</v>
      </c>
      <c r="AG4287">
        <v>-1.1107027693179901</v>
      </c>
      <c r="AH4287">
        <v>12.5633150140666</v>
      </c>
      <c r="AI4287">
        <v>95.002587647244496</v>
      </c>
      <c r="AJ4287">
        <v>98.064276115023304</v>
      </c>
      <c r="AK4287">
        <v>12.737309898327901</v>
      </c>
      <c r="AL4287">
        <v>88.9261127912213</v>
      </c>
      <c r="AM4287">
        <v>92.421565622096693</v>
      </c>
      <c r="AN4287">
        <v>0.99999998783629296</v>
      </c>
    </row>
    <row r="4288" spans="1:40" x14ac:dyDescent="0.3">
      <c r="A4288" t="str">
        <f>"20200111160543214"</f>
        <v>20200111160543214</v>
      </c>
      <c r="B4288" t="str">
        <f>"1578729943206379"</f>
        <v>1578729943206379</v>
      </c>
      <c r="C4288" t="s">
        <v>40</v>
      </c>
      <c r="D4288">
        <v>5.3385939999999996</v>
      </c>
      <c r="E4288">
        <v>0.4620416</v>
      </c>
      <c r="F4288" t="s">
        <v>41</v>
      </c>
      <c r="G4288">
        <v>-376.73329999999999</v>
      </c>
      <c r="H4288" s="1">
        <v>-1.454486E-6</v>
      </c>
      <c r="I4288">
        <v>139.88220000000001</v>
      </c>
      <c r="J4288">
        <v>-363.57749999999999</v>
      </c>
      <c r="K4288">
        <v>1.1107</v>
      </c>
      <c r="L4288">
        <v>141.7542</v>
      </c>
      <c r="M4288">
        <v>-0.99990080000000003</v>
      </c>
      <c r="N4288">
        <v>0</v>
      </c>
      <c r="O4288">
        <v>9.4600809999999995E-4</v>
      </c>
      <c r="P4288">
        <v>-0.99914669999999906</v>
      </c>
      <c r="Q4288">
        <v>4.2451349999999997E-3</v>
      </c>
      <c r="R4288">
        <v>-4.1083649999999999E-2</v>
      </c>
      <c r="S4288">
        <v>-2.9865110000000001</v>
      </c>
      <c r="T4288">
        <v>-0.24871599999999999</v>
      </c>
      <c r="U4288">
        <v>-0.4191589</v>
      </c>
      <c r="V4288">
        <v>-4.2033149999999998E-2</v>
      </c>
      <c r="W4288">
        <v>1.827693E-2</v>
      </c>
      <c r="X4288">
        <v>0.99894910000000003</v>
      </c>
      <c r="Y4288">
        <v>-0.13944870000000001</v>
      </c>
      <c r="Z4288">
        <v>-5.8467450000000004E-3</v>
      </c>
      <c r="AA4288">
        <v>0.99021199999999998</v>
      </c>
      <c r="AB4288">
        <v>27</v>
      </c>
      <c r="AC4288">
        <v>-13.155799999999999</v>
      </c>
      <c r="AD4288">
        <v>-1.1107014544859899</v>
      </c>
      <c r="AE4288">
        <v>-1.8719999999999799</v>
      </c>
      <c r="AF4288">
        <v>-1.87137170165498</v>
      </c>
      <c r="AG4288">
        <v>-1.1107014544859899</v>
      </c>
      <c r="AH4288">
        <v>13.062761113963999</v>
      </c>
      <c r="AI4288">
        <v>94.811173982624993</v>
      </c>
      <c r="AJ4288">
        <v>98.152723791131706</v>
      </c>
      <c r="AK4288">
        <v>13.2427873836002</v>
      </c>
      <c r="AL4288">
        <v>88.952750809447394</v>
      </c>
      <c r="AM4288">
        <v>92.409434361742399</v>
      </c>
      <c r="AN4288">
        <v>1.0000000681299701</v>
      </c>
    </row>
    <row r="4289" spans="1:40" x14ac:dyDescent="0.3">
      <c r="A4289" t="str">
        <f>"20200111160543267"</f>
        <v>20200111160543267</v>
      </c>
      <c r="B4289" t="str">
        <f>"1578729943256156"</f>
        <v>1578729943256156</v>
      </c>
      <c r="C4289" t="s">
        <v>40</v>
      </c>
      <c r="D4289">
        <v>5.3932079999999996</v>
      </c>
      <c r="E4289">
        <v>0.45904440000000002</v>
      </c>
      <c r="F4289" t="s">
        <v>41</v>
      </c>
      <c r="G4289">
        <v>-376.88619999999997</v>
      </c>
      <c r="H4289" s="1">
        <v>-1.3714079999999999E-6</v>
      </c>
      <c r="I4289">
        <v>139.81649999999999</v>
      </c>
      <c r="J4289">
        <v>-364.22250000000003</v>
      </c>
      <c r="K4289">
        <v>1.110714</v>
      </c>
      <c r="L4289">
        <v>141.7543</v>
      </c>
      <c r="M4289">
        <v>-0.99990120000000005</v>
      </c>
      <c r="N4289">
        <v>0</v>
      </c>
      <c r="O4289">
        <v>6.1069279999999997E-4</v>
      </c>
      <c r="P4289">
        <v>-0.99909490000000001</v>
      </c>
      <c r="Q4289">
        <v>5.438371E-3</v>
      </c>
      <c r="R4289">
        <v>-4.2184869999999999E-2</v>
      </c>
      <c r="S4289">
        <v>-2.9857480000000001</v>
      </c>
      <c r="T4289">
        <v>-0.24918199999999999</v>
      </c>
      <c r="U4289">
        <v>-0.43469239999999998</v>
      </c>
      <c r="V4289">
        <v>-4.2800039999999998E-2</v>
      </c>
      <c r="W4289">
        <v>1.9462139999999999E-2</v>
      </c>
      <c r="X4289">
        <v>0.99889410000000001</v>
      </c>
      <c r="Y4289">
        <v>-0.14418159999999999</v>
      </c>
      <c r="Z4289">
        <v>-6.0253390000000002E-3</v>
      </c>
      <c r="AA4289">
        <v>0.98953290000000005</v>
      </c>
      <c r="AB4289">
        <v>27</v>
      </c>
      <c r="AC4289">
        <v>-12.663699999999899</v>
      </c>
      <c r="AD4289">
        <v>-1.110715371408</v>
      </c>
      <c r="AE4289">
        <v>-1.93780000000001</v>
      </c>
      <c r="AF4289">
        <v>-1.9310189648495799</v>
      </c>
      <c r="AG4289">
        <v>-1.110715371408</v>
      </c>
      <c r="AH4289">
        <v>12.568042764391601</v>
      </c>
      <c r="AI4289">
        <v>94.992179858985494</v>
      </c>
      <c r="AJ4289">
        <v>98.734912196298893</v>
      </c>
      <c r="AK4289">
        <v>12.763942251767901</v>
      </c>
      <c r="AL4289">
        <v>88.884831133536693</v>
      </c>
      <c r="AM4289">
        <v>92.453475901028597</v>
      </c>
      <c r="AN4289">
        <v>1.00000002066609</v>
      </c>
    </row>
    <row r="4290" spans="1:40" x14ac:dyDescent="0.3">
      <c r="A4290" t="str">
        <f>"20200111160543296"</f>
        <v>20200111160543296</v>
      </c>
      <c r="B4290" t="str">
        <f>"1578729943286411"</f>
        <v>1578729943286411</v>
      </c>
      <c r="C4290" t="s">
        <v>40</v>
      </c>
      <c r="D4290">
        <v>5.8475599999999996</v>
      </c>
      <c r="E4290">
        <v>0.45643470000000003</v>
      </c>
      <c r="F4290" t="s">
        <v>41</v>
      </c>
      <c r="G4290">
        <v>-378.38690000000003</v>
      </c>
      <c r="H4290" s="1">
        <v>-6.8403049999999897E-7</v>
      </c>
      <c r="I4290">
        <v>139.5616</v>
      </c>
      <c r="J4290">
        <v>-364.5727</v>
      </c>
      <c r="K4290">
        <v>1.1107119999999999</v>
      </c>
      <c r="L4290">
        <v>141.7543</v>
      </c>
      <c r="M4290">
        <v>-0.99990140000000005</v>
      </c>
      <c r="N4290">
        <v>0</v>
      </c>
      <c r="O4290">
        <v>4.2822630000000002E-4</v>
      </c>
      <c r="P4290">
        <v>-0.99905010000000005</v>
      </c>
      <c r="Q4290">
        <v>5.7900249999999999E-3</v>
      </c>
      <c r="R4290">
        <v>-4.3193580000000002E-2</v>
      </c>
      <c r="S4290">
        <v>-2.9844970000000002</v>
      </c>
      <c r="T4290">
        <v>-0.2340325</v>
      </c>
      <c r="U4290">
        <v>-0.46200560000000002</v>
      </c>
      <c r="V4290">
        <v>-4.3625650000000002E-2</v>
      </c>
      <c r="W4290">
        <v>1.980968E-2</v>
      </c>
      <c r="X4290">
        <v>0.9988515</v>
      </c>
      <c r="Y4290">
        <v>-0.1529431</v>
      </c>
      <c r="Z4290">
        <v>-5.9854560000000001E-3</v>
      </c>
      <c r="AA4290">
        <v>0.98821689999999995</v>
      </c>
      <c r="AB4290">
        <v>27</v>
      </c>
      <c r="AC4290">
        <v>-13.8142</v>
      </c>
      <c r="AD4290">
        <v>-1.1107126840304999</v>
      </c>
      <c r="AE4290">
        <v>-2.1926999999999999</v>
      </c>
      <c r="AF4290">
        <v>-2.18483865556128</v>
      </c>
      <c r="AG4290">
        <v>-1.1107126840304999</v>
      </c>
      <c r="AH4290">
        <v>13.726700744164701</v>
      </c>
      <c r="AI4290">
        <v>94.568815444513703</v>
      </c>
      <c r="AJ4290">
        <v>99.043738396724507</v>
      </c>
      <c r="AK4290">
        <v>13.943798475923</v>
      </c>
      <c r="AL4290">
        <v>88.864914661065498</v>
      </c>
      <c r="AM4290">
        <v>92.500850295810594</v>
      </c>
      <c r="AN4290">
        <v>0.99999996990593698</v>
      </c>
    </row>
    <row r="4291" spans="1:40" x14ac:dyDescent="0.3">
      <c r="A4291" t="str">
        <f>"20200111160543312"</f>
        <v>20200111160543312</v>
      </c>
      <c r="B4291" t="str">
        <f>"1578729943305932"</f>
        <v>1578729943305932</v>
      </c>
      <c r="C4291" t="s">
        <v>40</v>
      </c>
      <c r="D4291">
        <v>5.3860809999999999</v>
      </c>
      <c r="E4291">
        <v>0.45393040000000001</v>
      </c>
      <c r="F4291" t="s">
        <v>41</v>
      </c>
      <c r="G4291">
        <v>-379.4633</v>
      </c>
      <c r="H4291" s="1">
        <v>-2.6307199999999999E-7</v>
      </c>
      <c r="I4291">
        <v>139.3314</v>
      </c>
      <c r="J4291">
        <v>-364.76870000000002</v>
      </c>
      <c r="K4291">
        <v>1.110711</v>
      </c>
      <c r="L4291">
        <v>141.7543</v>
      </c>
      <c r="M4291">
        <v>-0.99990140000000005</v>
      </c>
      <c r="N4291">
        <v>0</v>
      </c>
      <c r="O4291">
        <v>3.2626660000000001E-4</v>
      </c>
      <c r="P4291">
        <v>-0.99903050000000004</v>
      </c>
      <c r="Q4291">
        <v>5.1249720000000002E-3</v>
      </c>
      <c r="R4291">
        <v>-4.3724930000000002E-2</v>
      </c>
      <c r="S4291">
        <v>-2.9831240000000001</v>
      </c>
      <c r="T4291">
        <v>-0.2225155</v>
      </c>
      <c r="U4291">
        <v>-0.48538209999999998</v>
      </c>
      <c r="V4291">
        <v>-4.4055360000000002E-2</v>
      </c>
      <c r="W4291">
        <v>1.9142240000000001E-2</v>
      </c>
      <c r="X4291">
        <v>0.99884569999999995</v>
      </c>
      <c r="Y4291">
        <v>-0.16048419999999999</v>
      </c>
      <c r="Z4291">
        <v>-5.9623330000000002E-3</v>
      </c>
      <c r="AA4291">
        <v>0.98702040000000002</v>
      </c>
      <c r="AB4291">
        <v>27</v>
      </c>
      <c r="AC4291">
        <v>-14.6945999999999</v>
      </c>
      <c r="AD4291">
        <v>-1.110711263072</v>
      </c>
      <c r="AE4291">
        <v>-2.4228999999999901</v>
      </c>
      <c r="AF4291">
        <v>-2.4142663512136502</v>
      </c>
      <c r="AG4291">
        <v>-1.110711263072</v>
      </c>
      <c r="AH4291">
        <v>14.61253251181</v>
      </c>
      <c r="AI4291">
        <v>94.288822276811402</v>
      </c>
      <c r="AJ4291">
        <v>99.381593555340302</v>
      </c>
      <c r="AK4291">
        <v>14.852220976447301</v>
      </c>
      <c r="AL4291">
        <v>88.903163463659695</v>
      </c>
      <c r="AM4291">
        <v>92.525466427042105</v>
      </c>
      <c r="AN4291">
        <v>1.0000000162527101</v>
      </c>
    </row>
    <row r="4292" spans="1:40" x14ac:dyDescent="0.3">
      <c r="A4292" t="str">
        <f>"20200111160543326"</f>
        <v>20200111160543326</v>
      </c>
      <c r="B4292" t="str">
        <f>"1578729943316667"</f>
        <v>1578729943316667</v>
      </c>
      <c r="C4292" t="s">
        <v>40</v>
      </c>
      <c r="D4292">
        <v>5.3366249999999997</v>
      </c>
      <c r="E4292">
        <v>0.4527061</v>
      </c>
      <c r="F4292" t="s">
        <v>41</v>
      </c>
      <c r="G4292">
        <v>-381.08069999999998</v>
      </c>
      <c r="H4292" s="1">
        <v>-3.9206709999999901E-6</v>
      </c>
      <c r="I4292">
        <v>138.98480000000001</v>
      </c>
      <c r="J4292">
        <v>-364.9391</v>
      </c>
      <c r="K4292">
        <v>1.110708</v>
      </c>
      <c r="L4292">
        <v>141.7543</v>
      </c>
      <c r="M4292">
        <v>-0.99990140000000005</v>
      </c>
      <c r="N4292">
        <v>0</v>
      </c>
      <c r="O4292">
        <v>2.3765479999999999E-4</v>
      </c>
      <c r="P4292">
        <v>-0.99902190000000002</v>
      </c>
      <c r="Q4292">
        <v>4.8387789999999996E-3</v>
      </c>
      <c r="R4292">
        <v>-4.3953109999999997E-2</v>
      </c>
      <c r="S4292">
        <v>-2.9817499999999999</v>
      </c>
      <c r="T4292">
        <v>-0.20303389999999999</v>
      </c>
      <c r="U4292">
        <v>-0.50624079999999905</v>
      </c>
      <c r="V4292">
        <v>-4.419468E-2</v>
      </c>
      <c r="W4292">
        <v>1.8854280000000001E-2</v>
      </c>
      <c r="X4292">
        <v>0.99884499999999998</v>
      </c>
      <c r="Y4292">
        <v>-0.1672418</v>
      </c>
      <c r="Z4292">
        <v>-5.6631299999999997E-3</v>
      </c>
      <c r="AA4292">
        <v>0.98589959999999999</v>
      </c>
      <c r="AB4292">
        <v>27</v>
      </c>
      <c r="AC4292">
        <v>-16.141599999999901</v>
      </c>
      <c r="AD4292">
        <v>-1.1107119206710001</v>
      </c>
      <c r="AE4292">
        <v>-2.7694999999999901</v>
      </c>
      <c r="AF4292">
        <v>-2.7606389036869099</v>
      </c>
      <c r="AG4292">
        <v>-1.1107119206710001</v>
      </c>
      <c r="AH4292">
        <v>16.067041134420599</v>
      </c>
      <c r="AI4292">
        <v>93.897621707611904</v>
      </c>
      <c r="AJ4292">
        <v>99.7493637058828</v>
      </c>
      <c r="AK4292">
        <v>16.340275975100099</v>
      </c>
      <c r="AL4292">
        <v>88.919665310190098</v>
      </c>
      <c r="AM4292">
        <v>92.533444307432703</v>
      </c>
      <c r="AN4292">
        <v>0.99999999381980997</v>
      </c>
    </row>
    <row r="4293" spans="1:40" x14ac:dyDescent="0.3">
      <c r="A4293" t="str">
        <f>"20200111160543341"</f>
        <v>20200111160543341</v>
      </c>
      <c r="B4293" t="str">
        <f>"1578729943336187"</f>
        <v>1578729943336187</v>
      </c>
      <c r="C4293" t="s">
        <v>40</v>
      </c>
      <c r="D4293">
        <v>5.4146640000000001</v>
      </c>
      <c r="E4293">
        <v>0.45107589999999997</v>
      </c>
      <c r="F4293" t="s">
        <v>41</v>
      </c>
      <c r="G4293">
        <v>-381.79539999999997</v>
      </c>
      <c r="H4293" s="1">
        <v>-3.6407070000000001E-6</v>
      </c>
      <c r="I4293">
        <v>138.83449999999999</v>
      </c>
      <c r="J4293">
        <v>-365.11680000000001</v>
      </c>
      <c r="K4293">
        <v>1.1107049999999901</v>
      </c>
      <c r="L4293">
        <v>141.7542</v>
      </c>
      <c r="M4293">
        <v>-0.9999015</v>
      </c>
      <c r="N4293">
        <v>0</v>
      </c>
      <c r="O4293">
        <v>1.452871E-4</v>
      </c>
      <c r="P4293">
        <v>-0.99902670000000005</v>
      </c>
      <c r="Q4293">
        <v>4.0797139999999999E-3</v>
      </c>
      <c r="R4293">
        <v>-4.3923030000000002E-2</v>
      </c>
      <c r="S4293">
        <v>-2.981201</v>
      </c>
      <c r="T4293">
        <v>-0.19644130000000001</v>
      </c>
      <c r="U4293">
        <v>-0.51637270000000002</v>
      </c>
      <c r="V4293">
        <v>-4.4071930000000002E-2</v>
      </c>
      <c r="W4293">
        <v>1.8092899999999999E-2</v>
      </c>
      <c r="X4293">
        <v>0.99886450000000004</v>
      </c>
      <c r="Y4293">
        <v>-0.1704523</v>
      </c>
      <c r="Z4293">
        <v>-5.5779250000000001E-3</v>
      </c>
      <c r="AA4293">
        <v>0.98535010000000001</v>
      </c>
      <c r="AB4293">
        <v>27</v>
      </c>
      <c r="AC4293">
        <v>-16.6785999999999</v>
      </c>
      <c r="AD4293">
        <v>-1.1107086407069999</v>
      </c>
      <c r="AE4293">
        <v>-2.9197000000000002</v>
      </c>
      <c r="AF4293">
        <v>-2.9096033488105002</v>
      </c>
      <c r="AG4293">
        <v>-1.1107086407069999</v>
      </c>
      <c r="AH4293">
        <v>16.6067167637949</v>
      </c>
      <c r="AI4293">
        <v>93.769175152196496</v>
      </c>
      <c r="AJ4293">
        <v>99.937720515164301</v>
      </c>
      <c r="AK4293">
        <v>16.8962275968589</v>
      </c>
      <c r="AL4293">
        <v>88.963296612555197</v>
      </c>
      <c r="AM4293">
        <v>92.526367580122098</v>
      </c>
      <c r="AN4293">
        <v>0.99999998870229201</v>
      </c>
    </row>
    <row r="4294" spans="1:40" x14ac:dyDescent="0.3">
      <c r="A4294" t="str">
        <f>"20200111160543357"</f>
        <v>20200111160543357</v>
      </c>
      <c r="B4294" t="str">
        <f>"1578729943345947"</f>
        <v>1578729943345947</v>
      </c>
      <c r="C4294" t="s">
        <v>40</v>
      </c>
      <c r="D4294">
        <v>5.5162139999999997</v>
      </c>
      <c r="E4294">
        <v>0.45061240000000002</v>
      </c>
      <c r="F4294" t="s">
        <v>41</v>
      </c>
      <c r="G4294">
        <v>-383.20569999999998</v>
      </c>
      <c r="H4294" s="1">
        <v>-3.0872569999999999E-6</v>
      </c>
      <c r="I4294">
        <v>138.54390000000001</v>
      </c>
      <c r="J4294">
        <v>-365.3175</v>
      </c>
      <c r="K4294">
        <v>1.110706</v>
      </c>
      <c r="L4294">
        <v>141.75409999999999</v>
      </c>
      <c r="M4294">
        <v>-0.9999015</v>
      </c>
      <c r="N4294">
        <v>0</v>
      </c>
      <c r="O4294" s="1">
        <v>4.0941520000000002E-5</v>
      </c>
      <c r="P4294">
        <v>-0.99902139999999995</v>
      </c>
      <c r="Q4294">
        <v>4.5036059999999899E-3</v>
      </c>
      <c r="R4294">
        <v>-4.4001640000000002E-2</v>
      </c>
      <c r="S4294">
        <v>-2.9803769999999998</v>
      </c>
      <c r="T4294">
        <v>-0.183004</v>
      </c>
      <c r="U4294">
        <v>-0.52893069999999998</v>
      </c>
      <c r="V4294">
        <v>-4.4046830000000002E-2</v>
      </c>
      <c r="W4294">
        <v>1.8514829999999999E-2</v>
      </c>
      <c r="X4294">
        <v>0.99885789999999997</v>
      </c>
      <c r="Y4294">
        <v>-0.17446229999999999</v>
      </c>
      <c r="Z4294">
        <v>-5.3123320000000003E-3</v>
      </c>
      <c r="AA4294">
        <v>0.98464949999999996</v>
      </c>
      <c r="AB4294">
        <v>27</v>
      </c>
      <c r="AC4294">
        <v>-17.888199999999902</v>
      </c>
      <c r="AD4294">
        <v>-1.110709087257</v>
      </c>
      <c r="AE4294">
        <v>-3.21019999999998</v>
      </c>
      <c r="AF4294">
        <v>-3.1989839438616401</v>
      </c>
      <c r="AG4294">
        <v>-1.110709087257</v>
      </c>
      <c r="AH4294">
        <v>17.821503606356799</v>
      </c>
      <c r="AI4294">
        <v>93.5103341177863</v>
      </c>
      <c r="AJ4294">
        <v>100.176297372837</v>
      </c>
      <c r="AK4294">
        <v>18.140373858909001</v>
      </c>
      <c r="AL4294">
        <v>88.939117779248306</v>
      </c>
      <c r="AM4294">
        <v>92.524947279034905</v>
      </c>
      <c r="AN4294">
        <v>1.0000000132776901</v>
      </c>
    </row>
    <row r="4295" spans="1:40" x14ac:dyDescent="0.3">
      <c r="A4295" t="str">
        <f>"20200111160543375"</f>
        <v>20200111160543375</v>
      </c>
      <c r="B4295" t="str">
        <f>"1578729943366442"</f>
        <v>1578729943366442</v>
      </c>
      <c r="C4295" t="s">
        <v>40</v>
      </c>
      <c r="D4295">
        <v>5.4240640000000004</v>
      </c>
      <c r="E4295">
        <v>0.45015050000000001</v>
      </c>
      <c r="F4295" t="s">
        <v>41</v>
      </c>
      <c r="G4295">
        <v>-384.13479999999998</v>
      </c>
      <c r="H4295" s="1">
        <v>-2.7159070000000001E-6</v>
      </c>
      <c r="I4295">
        <v>138.3903</v>
      </c>
      <c r="J4295">
        <v>-365.53160000000003</v>
      </c>
      <c r="K4295">
        <v>1.110717</v>
      </c>
      <c r="L4295">
        <v>141.75399999999999</v>
      </c>
      <c r="M4295">
        <v>-0.9999017</v>
      </c>
      <c r="N4295">
        <v>0</v>
      </c>
      <c r="O4295" s="1">
        <v>-7.0316300000000003E-5</v>
      </c>
      <c r="P4295">
        <v>-0.99903790000000003</v>
      </c>
      <c r="Q4295">
        <v>5.7094490000000001E-3</v>
      </c>
      <c r="R4295">
        <v>-4.3483210000000001E-2</v>
      </c>
      <c r="S4295">
        <v>-2.980286</v>
      </c>
      <c r="T4295">
        <v>-0.17591479999999901</v>
      </c>
      <c r="U4295">
        <v>-0.53274540000000004</v>
      </c>
      <c r="V4295">
        <v>-4.3417110000000002E-2</v>
      </c>
      <c r="W4295">
        <v>1.97191E-2</v>
      </c>
      <c r="X4295">
        <v>0.99886240000000004</v>
      </c>
      <c r="Y4295">
        <v>-0.17560190000000001</v>
      </c>
      <c r="Z4295">
        <v>-5.1333170000000001E-3</v>
      </c>
      <c r="AA4295">
        <v>0.98444790000000004</v>
      </c>
      <c r="AB4295">
        <v>27</v>
      </c>
      <c r="AC4295">
        <v>-18.603199999999902</v>
      </c>
      <c r="AD4295">
        <v>-1.1107197159069999</v>
      </c>
      <c r="AE4295">
        <v>-3.3636999999999899</v>
      </c>
      <c r="AF4295">
        <v>-3.3508249338441898</v>
      </c>
      <c r="AG4295">
        <v>-1.1107197159069999</v>
      </c>
      <c r="AH4295">
        <v>18.539439608514499</v>
      </c>
      <c r="AI4295">
        <v>93.374022132465399</v>
      </c>
      <c r="AJ4295">
        <v>100.24505649062</v>
      </c>
      <c r="AK4295">
        <v>18.872534197143001</v>
      </c>
      <c r="AL4295">
        <v>88.870105550995703</v>
      </c>
      <c r="AM4295">
        <v>92.488883636368101</v>
      </c>
      <c r="AN4295">
        <v>0.99999999123966099</v>
      </c>
    </row>
    <row r="4296" spans="1:40" x14ac:dyDescent="0.3">
      <c r="A4296" t="str">
        <f>"20200111160543396"</f>
        <v>20200111160543396</v>
      </c>
      <c r="B4296" t="str">
        <f>"1578729943385962"</f>
        <v>1578729943385962</v>
      </c>
      <c r="C4296" t="s">
        <v>40</v>
      </c>
      <c r="D4296">
        <v>5.4389399999999997</v>
      </c>
      <c r="E4296">
        <v>0.44968330000000001</v>
      </c>
      <c r="F4296" t="s">
        <v>41</v>
      </c>
      <c r="G4296">
        <v>-384.1216</v>
      </c>
      <c r="H4296" s="1">
        <v>-2.7171900000000002E-6</v>
      </c>
      <c r="I4296">
        <v>138.41499999999999</v>
      </c>
      <c r="J4296">
        <v>-365.78730000000002</v>
      </c>
      <c r="K4296">
        <v>1.11073</v>
      </c>
      <c r="L4296">
        <v>141.75380000000001</v>
      </c>
      <c r="M4296">
        <v>-0.9999015</v>
      </c>
      <c r="N4296">
        <v>0</v>
      </c>
      <c r="O4296">
        <v>-2.0296689999999999E-4</v>
      </c>
      <c r="P4296">
        <v>-0.99907020000000002</v>
      </c>
      <c r="Q4296">
        <v>7.9731890000000003E-3</v>
      </c>
      <c r="R4296">
        <v>-4.2369360000000002E-2</v>
      </c>
      <c r="S4296">
        <v>-2.980591</v>
      </c>
      <c r="T4296">
        <v>-0.1780851</v>
      </c>
      <c r="U4296">
        <v>-0.53533940000000002</v>
      </c>
      <c r="V4296">
        <v>-4.2171479999999997E-2</v>
      </c>
      <c r="W4296">
        <v>2.198073E-2</v>
      </c>
      <c r="X4296">
        <v>0.9988686</v>
      </c>
      <c r="Y4296">
        <v>-0.17627579999999901</v>
      </c>
      <c r="Z4296">
        <v>-5.2077190000000004E-3</v>
      </c>
      <c r="AA4296">
        <v>0.98432710000000001</v>
      </c>
      <c r="AB4296">
        <v>27</v>
      </c>
      <c r="AC4296">
        <v>-18.334299999999899</v>
      </c>
      <c r="AD4296">
        <v>-1.1107327171900001</v>
      </c>
      <c r="AE4296">
        <v>-3.33880000000002</v>
      </c>
      <c r="AF4296">
        <v>-3.3232727198413201</v>
      </c>
      <c r="AG4296">
        <v>-1.1107327171900001</v>
      </c>
      <c r="AH4296">
        <v>18.270074769743498</v>
      </c>
      <c r="AI4296">
        <v>93.422996064111402</v>
      </c>
      <c r="AJ4296">
        <v>100.309220668354</v>
      </c>
      <c r="AK4296">
        <v>18.6030508474147</v>
      </c>
      <c r="AL4296">
        <v>88.740495546121807</v>
      </c>
      <c r="AM4296">
        <v>92.417548942546603</v>
      </c>
      <c r="AN4296">
        <v>1.0000000331413399</v>
      </c>
    </row>
    <row r="4297" spans="1:40" x14ac:dyDescent="0.3">
      <c r="A4297" t="str">
        <f>"20200111160543420"</f>
        <v>20200111160543420</v>
      </c>
      <c r="B4297" t="str">
        <f>"1578729943416219"</f>
        <v>1578729943416219</v>
      </c>
      <c r="C4297" t="s">
        <v>40</v>
      </c>
      <c r="D4297">
        <v>5.4152139999999997</v>
      </c>
      <c r="E4297">
        <v>0.44824589999999997</v>
      </c>
      <c r="F4297" t="s">
        <v>41</v>
      </c>
      <c r="G4297">
        <v>-385.62209999999999</v>
      </c>
      <c r="H4297" s="1">
        <v>-2.113425E-6</v>
      </c>
      <c r="I4297">
        <v>138.18989999999999</v>
      </c>
      <c r="J4297">
        <v>-366.06279999999998</v>
      </c>
      <c r="K4297">
        <v>1.1107400000000001</v>
      </c>
      <c r="L4297">
        <v>141.75360000000001</v>
      </c>
      <c r="M4297">
        <v>-0.99990159999999995</v>
      </c>
      <c r="N4297">
        <v>0</v>
      </c>
      <c r="O4297">
        <v>-3.4610510000000001E-4</v>
      </c>
      <c r="P4297">
        <v>-0.99912800000000002</v>
      </c>
      <c r="Q4297">
        <v>9.6785259999999998E-3</v>
      </c>
      <c r="R4297">
        <v>-4.0614560000000001E-2</v>
      </c>
      <c r="S4297">
        <v>-2.9814449999999999</v>
      </c>
      <c r="T4297">
        <v>-0.1669592</v>
      </c>
      <c r="U4297">
        <v>-0.5357056</v>
      </c>
      <c r="V4297">
        <v>-4.0274169999999998E-2</v>
      </c>
      <c r="W4297">
        <v>2.368402E-2</v>
      </c>
      <c r="X4297">
        <v>0.99890789999999996</v>
      </c>
      <c r="Y4297">
        <v>-0.17624010000000001</v>
      </c>
      <c r="Z4297">
        <v>-4.8725169999999998E-3</v>
      </c>
      <c r="AA4297">
        <v>0.98433510000000002</v>
      </c>
      <c r="AB4297">
        <v>27</v>
      </c>
      <c r="AC4297">
        <v>-19.5593</v>
      </c>
      <c r="AD4297">
        <v>-1.110742113425</v>
      </c>
      <c r="AE4297">
        <v>-3.5637000000000101</v>
      </c>
      <c r="AF4297">
        <v>-3.5458618152713299</v>
      </c>
      <c r="AG4297">
        <v>-1.110742113425</v>
      </c>
      <c r="AH4297">
        <v>19.499667866852199</v>
      </c>
      <c r="AI4297">
        <v>93.207675585200704</v>
      </c>
      <c r="AJ4297">
        <v>100.30617660767101</v>
      </c>
      <c r="AK4297">
        <v>19.850539815659499</v>
      </c>
      <c r="AL4297">
        <v>88.642878671664903</v>
      </c>
      <c r="AM4297">
        <v>92.308812290185202</v>
      </c>
      <c r="AN4297">
        <v>0.99999996712747896</v>
      </c>
    </row>
    <row r="4298" spans="1:40" x14ac:dyDescent="0.3">
      <c r="A4298" t="str">
        <f>"20200111160543442"</f>
        <v>20200111160543442</v>
      </c>
      <c r="B4298" t="str">
        <f>"1578729943436715"</f>
        <v>1578729943436715</v>
      </c>
      <c r="C4298" t="s">
        <v>40</v>
      </c>
      <c r="D4298">
        <v>5.4853149999999999</v>
      </c>
      <c r="E4298">
        <v>0.44752229999999998</v>
      </c>
      <c r="F4298" t="s">
        <v>41</v>
      </c>
      <c r="G4298">
        <v>-388.51639999999998</v>
      </c>
      <c r="H4298" s="1">
        <v>-1.0069879999999999E-6</v>
      </c>
      <c r="I4298">
        <v>137.67670000000001</v>
      </c>
      <c r="J4298">
        <v>-366.33699999999999</v>
      </c>
      <c r="K4298">
        <v>1.110746</v>
      </c>
      <c r="L4298">
        <v>141.7534</v>
      </c>
      <c r="M4298">
        <v>-0.9999015</v>
      </c>
      <c r="N4298">
        <v>0</v>
      </c>
      <c r="O4298">
        <v>-4.8852779999999897E-4</v>
      </c>
      <c r="P4298">
        <v>-0.99919599999999997</v>
      </c>
      <c r="Q4298">
        <v>1.0620320000000001E-2</v>
      </c>
      <c r="R4298">
        <v>-3.8659659999999998E-2</v>
      </c>
      <c r="S4298">
        <v>-2.9820250000000001</v>
      </c>
      <c r="T4298">
        <v>-0.14751639999999999</v>
      </c>
      <c r="U4298">
        <v>-0.54144289999999995</v>
      </c>
      <c r="V4298">
        <v>-3.8176960000000003E-2</v>
      </c>
      <c r="W4298">
        <v>2.4624549999999999E-2</v>
      </c>
      <c r="X4298">
        <v>0.99896750000000001</v>
      </c>
      <c r="Y4298">
        <v>-0.17795710000000001</v>
      </c>
      <c r="Z4298">
        <v>-4.3393859999999998E-3</v>
      </c>
      <c r="AA4298">
        <v>0.98402869999999998</v>
      </c>
      <c r="AB4298">
        <v>27</v>
      </c>
      <c r="AC4298">
        <v>-22.179399999999902</v>
      </c>
      <c r="AD4298">
        <v>-1.1107470069879899</v>
      </c>
      <c r="AE4298">
        <v>-4.0766999999999802</v>
      </c>
      <c r="AF4298">
        <v>-4.0560230578431202</v>
      </c>
      <c r="AG4298">
        <v>-1.1107470069879899</v>
      </c>
      <c r="AH4298">
        <v>22.127706092600398</v>
      </c>
      <c r="AI4298">
        <v>92.826654841139401</v>
      </c>
      <c r="AJ4298">
        <v>100.387046452845</v>
      </c>
      <c r="AK4298">
        <v>22.523775413544499</v>
      </c>
      <c r="AL4298">
        <v>88.588974527739595</v>
      </c>
      <c r="AM4298">
        <v>92.188574432978001</v>
      </c>
      <c r="AN4298">
        <v>0.99999995739689596</v>
      </c>
    </row>
    <row r="4299" spans="1:40" x14ac:dyDescent="0.3">
      <c r="A4299" t="str">
        <f>"20200111160543458"</f>
        <v>20200111160543458</v>
      </c>
      <c r="B4299" t="str">
        <f>"1578729943456235"</f>
        <v>1578729943456235</v>
      </c>
      <c r="C4299" t="s">
        <v>40</v>
      </c>
      <c r="D4299">
        <v>5.3797379999999997</v>
      </c>
      <c r="E4299">
        <v>0.447046</v>
      </c>
      <c r="F4299" t="s">
        <v>41</v>
      </c>
      <c r="G4299">
        <v>-390.17779999999999</v>
      </c>
      <c r="H4299" s="1">
        <v>-4.5842729999999998E-6</v>
      </c>
      <c r="I4299">
        <v>137.4272</v>
      </c>
      <c r="J4299">
        <v>-366.53379999999999</v>
      </c>
      <c r="K4299">
        <v>1.110746</v>
      </c>
      <c r="L4299">
        <v>141.75319999999999</v>
      </c>
      <c r="M4299">
        <v>-0.9999015</v>
      </c>
      <c r="N4299">
        <v>0</v>
      </c>
      <c r="O4299">
        <v>-5.9114200000000001E-4</v>
      </c>
      <c r="P4299">
        <v>-0.99923620000000002</v>
      </c>
      <c r="Q4299">
        <v>1.048164E-2</v>
      </c>
      <c r="R4299">
        <v>-3.764733E-2</v>
      </c>
      <c r="S4299">
        <v>-2.9829409999999998</v>
      </c>
      <c r="T4299">
        <v>-0.1389763</v>
      </c>
      <c r="U4299">
        <v>-0.54127499999999995</v>
      </c>
      <c r="V4299">
        <v>-3.706193E-2</v>
      </c>
      <c r="W4299">
        <v>2.44844E-2</v>
      </c>
      <c r="X4299">
        <v>0.99901289999999998</v>
      </c>
      <c r="Y4299">
        <v>-0.1777735</v>
      </c>
      <c r="Z4299">
        <v>-4.0782489999999999E-3</v>
      </c>
      <c r="AA4299">
        <v>0.98406300000000002</v>
      </c>
      <c r="AB4299">
        <v>27</v>
      </c>
      <c r="AC4299">
        <v>-23.643999999999998</v>
      </c>
      <c r="AD4299">
        <v>-1.1107505842730001</v>
      </c>
      <c r="AE4299">
        <v>-4.3259999999999899</v>
      </c>
      <c r="AF4299">
        <v>-4.3028323934747297</v>
      </c>
      <c r="AG4299">
        <v>-1.1107505842730001</v>
      </c>
      <c r="AH4299">
        <v>23.596164798480402</v>
      </c>
      <c r="AI4299">
        <v>92.651455419336003</v>
      </c>
      <c r="AJ4299">
        <v>100.33450817044999</v>
      </c>
      <c r="AK4299">
        <v>24.0109792941447</v>
      </c>
      <c r="AL4299">
        <v>88.597006905755094</v>
      </c>
      <c r="AM4299">
        <v>92.124615992602301</v>
      </c>
      <c r="AN4299">
        <v>0.99999992343254396</v>
      </c>
    </row>
    <row r="4300" spans="1:40" x14ac:dyDescent="0.3">
      <c r="A4300" t="str">
        <f>"20200111160543472"</f>
        <v>20200111160543472</v>
      </c>
      <c r="B4300" t="str">
        <f>"1578729943465995"</f>
        <v>1578729943465995</v>
      </c>
      <c r="C4300" t="s">
        <v>40</v>
      </c>
      <c r="D4300">
        <v>5.5527129999999998</v>
      </c>
      <c r="E4300">
        <v>0.44677470000000002</v>
      </c>
      <c r="F4300" t="s">
        <v>41</v>
      </c>
      <c r="G4300">
        <v>-389.28050000000002</v>
      </c>
      <c r="H4300" s="1">
        <v>-7.6276229999999996E-7</v>
      </c>
      <c r="I4300">
        <v>137.6173</v>
      </c>
      <c r="J4300">
        <v>-366.7106</v>
      </c>
      <c r="K4300">
        <v>1.110751</v>
      </c>
      <c r="L4300">
        <v>141.75299999999999</v>
      </c>
      <c r="M4300">
        <v>-0.9999015</v>
      </c>
      <c r="N4300">
        <v>0</v>
      </c>
      <c r="O4300">
        <v>-6.8326949999999997E-4</v>
      </c>
      <c r="P4300">
        <v>-0.99927259999999996</v>
      </c>
      <c r="Q4300">
        <v>1.022871E-2</v>
      </c>
      <c r="R4300">
        <v>-3.6742499999999997E-2</v>
      </c>
      <c r="S4300">
        <v>-2.9834290000000001</v>
      </c>
      <c r="T4300">
        <v>-0.1456846</v>
      </c>
      <c r="U4300">
        <v>-0.54244999999999999</v>
      </c>
      <c r="V4300">
        <v>-3.6064619999999999E-2</v>
      </c>
      <c r="W4300">
        <v>2.4230310000000001E-2</v>
      </c>
      <c r="X4300">
        <v>0.99905569999999999</v>
      </c>
      <c r="Y4300">
        <v>-0.17801120000000001</v>
      </c>
      <c r="Z4300">
        <v>-4.2753359999999898E-3</v>
      </c>
      <c r="AA4300">
        <v>0.98401919999999998</v>
      </c>
      <c r="AB4300">
        <v>27</v>
      </c>
      <c r="AC4300">
        <v>-22.569900000000001</v>
      </c>
      <c r="AD4300">
        <v>-1.1107517627623</v>
      </c>
      <c r="AE4300">
        <v>-4.1356999999999804</v>
      </c>
      <c r="AF4300">
        <v>-4.1106436318816097</v>
      </c>
      <c r="AG4300">
        <v>-1.1107517627623</v>
      </c>
      <c r="AH4300">
        <v>22.519949307513802</v>
      </c>
      <c r="AI4300">
        <v>92.777887586926497</v>
      </c>
      <c r="AJ4300">
        <v>100.344510890816</v>
      </c>
      <c r="AK4300">
        <v>22.9189719961389</v>
      </c>
      <c r="AL4300">
        <v>88.6115696575432</v>
      </c>
      <c r="AM4300">
        <v>92.067405902961994</v>
      </c>
      <c r="AN4300">
        <v>1.00000002822046</v>
      </c>
    </row>
    <row r="4301" spans="1:40" x14ac:dyDescent="0.3">
      <c r="A4301" t="str">
        <f>"20200111160543531"</f>
        <v>20200111160543531</v>
      </c>
      <c r="B4301" t="str">
        <f>"1578729943526507"</f>
        <v>1578729943526507</v>
      </c>
      <c r="C4301" t="s">
        <v>40</v>
      </c>
      <c r="D4301">
        <v>6.5199480000000003</v>
      </c>
      <c r="E4301">
        <v>0.50075890000000001</v>
      </c>
      <c r="F4301" t="s">
        <v>41</v>
      </c>
      <c r="G4301">
        <v>-388.88830000000002</v>
      </c>
      <c r="H4301" s="1">
        <v>-8.6768939999999995E-7</v>
      </c>
      <c r="I4301">
        <v>137.72450000000001</v>
      </c>
      <c r="J4301">
        <v>-367.40769999999998</v>
      </c>
      <c r="K4301">
        <v>1.110749</v>
      </c>
      <c r="L4301">
        <v>141.75200000000001</v>
      </c>
      <c r="M4301">
        <v>-0.99990140000000005</v>
      </c>
      <c r="N4301">
        <v>0</v>
      </c>
      <c r="O4301">
        <v>-1.0448580000000001E-3</v>
      </c>
      <c r="P4301">
        <v>-0.99938340000000003</v>
      </c>
      <c r="Q4301">
        <v>9.4881800000000006E-3</v>
      </c>
      <c r="R4301">
        <v>-3.3806199999999897E-2</v>
      </c>
      <c r="S4301">
        <v>-2.9837950000000002</v>
      </c>
      <c r="T4301">
        <v>-0.1494414</v>
      </c>
      <c r="U4301">
        <v>-0.54197689999999998</v>
      </c>
      <c r="V4301">
        <v>-3.2766990000000003E-2</v>
      </c>
      <c r="W4301">
        <v>2.348476E-2</v>
      </c>
      <c r="X4301">
        <v>0.99918709999999999</v>
      </c>
      <c r="Y4301">
        <v>-0.17747360000000001</v>
      </c>
      <c r="Z4301">
        <v>-4.3536850000000004E-3</v>
      </c>
      <c r="AA4301">
        <v>0.98411599999999999</v>
      </c>
      <c r="AB4301">
        <v>27</v>
      </c>
      <c r="AC4301">
        <v>-21.480599999999999</v>
      </c>
      <c r="AD4301">
        <v>-1.1107498676893901</v>
      </c>
      <c r="AE4301">
        <v>-4.0274999999999999</v>
      </c>
      <c r="AF4301">
        <v>-3.9947327854601902</v>
      </c>
      <c r="AG4301">
        <v>-1.1107498676893901</v>
      </c>
      <c r="AH4301">
        <v>21.429443294127601</v>
      </c>
      <c r="AI4301">
        <v>92.916989504870898</v>
      </c>
      <c r="AJ4301">
        <v>100.559493557656</v>
      </c>
      <c r="AK4301">
        <v>21.826880106694901</v>
      </c>
      <c r="AL4301">
        <v>88.654298697161394</v>
      </c>
      <c r="AM4301">
        <v>91.8782645058903</v>
      </c>
      <c r="AN4301">
        <v>1.00000003519616</v>
      </c>
    </row>
    <row r="4302" spans="1:40" x14ac:dyDescent="0.3">
      <c r="A4302" t="str">
        <f>"20200111160543553"</f>
        <v>20200111160543553</v>
      </c>
      <c r="B4302" t="str">
        <f>"1578729943546028"</f>
        <v>1578729943546028</v>
      </c>
      <c r="C4302" t="s">
        <v>40</v>
      </c>
      <c r="D4302">
        <v>5.8213569999999999</v>
      </c>
      <c r="E4302">
        <v>0.50668930000000001</v>
      </c>
      <c r="F4302" t="s">
        <v>41</v>
      </c>
      <c r="G4302">
        <v>-387.41180000000003</v>
      </c>
      <c r="H4302" s="1">
        <v>-1.477268E-6</v>
      </c>
      <c r="I4302">
        <v>141.0617</v>
      </c>
      <c r="J4302">
        <v>-367.68090000000001</v>
      </c>
      <c r="K4302">
        <v>1.110743</v>
      </c>
      <c r="L4302">
        <v>141.7516</v>
      </c>
      <c r="M4302">
        <v>-0.99990120000000005</v>
      </c>
      <c r="N4302">
        <v>0</v>
      </c>
      <c r="O4302">
        <v>-1.185726E-3</v>
      </c>
      <c r="P4302">
        <v>-0.99938179999999999</v>
      </c>
      <c r="Q4302">
        <v>9.1017149999999998E-3</v>
      </c>
      <c r="R4302">
        <v>-3.3959200000000002E-2</v>
      </c>
      <c r="S4302">
        <v>-2.9999389999999999</v>
      </c>
      <c r="T4302">
        <v>-0.1665761</v>
      </c>
      <c r="U4302">
        <v>-0.1035156</v>
      </c>
      <c r="V4302">
        <v>-3.2779199999999897E-2</v>
      </c>
      <c r="W4302">
        <v>2.309576E-2</v>
      </c>
      <c r="X4302">
        <v>0.99919579999999997</v>
      </c>
      <c r="Y4302">
        <v>-3.3250889999999998E-2</v>
      </c>
      <c r="Z4302">
        <v>-8.5639349999999995E-4</v>
      </c>
      <c r="AA4302">
        <v>0.99944670000000002</v>
      </c>
      <c r="AB4302">
        <v>27</v>
      </c>
      <c r="AC4302">
        <v>-19.730899999999998</v>
      </c>
      <c r="AD4302">
        <v>-1.110744477268</v>
      </c>
      <c r="AE4302">
        <v>-0.68989999999999396</v>
      </c>
      <c r="AF4302">
        <v>-0.66439881016094204</v>
      </c>
      <c r="AG4302">
        <v>-1.110744477268</v>
      </c>
      <c r="AH4302">
        <v>19.669446115944801</v>
      </c>
      <c r="AI4302">
        <v>93.230253197787903</v>
      </c>
      <c r="AJ4302">
        <v>91.934613693671906</v>
      </c>
      <c r="AK4302">
        <v>19.7119834004795</v>
      </c>
      <c r="AL4302">
        <v>88.676592846096398</v>
      </c>
      <c r="AM4302">
        <v>91.878947555665405</v>
      </c>
      <c r="AN4302">
        <v>1.00000006841012</v>
      </c>
    </row>
    <row r="4303" spans="1:40" x14ac:dyDescent="0.3">
      <c r="A4303" t="str">
        <f>"20200111160543570"</f>
        <v>20200111160543570</v>
      </c>
      <c r="B4303" t="str">
        <f>"1578729943566523"</f>
        <v>1578729943566523</v>
      </c>
      <c r="C4303" t="s">
        <v>40</v>
      </c>
      <c r="D4303">
        <v>5.8468369999999998</v>
      </c>
      <c r="E4303">
        <v>0.50794759999999906</v>
      </c>
      <c r="F4303" t="s">
        <v>41</v>
      </c>
      <c r="G4303">
        <v>-380.94119999999998</v>
      </c>
      <c r="H4303" s="1">
        <v>-4.2873210000000004E-6</v>
      </c>
      <c r="I4303">
        <v>141.48560000000001</v>
      </c>
      <c r="J4303">
        <v>-367.87490000000003</v>
      </c>
      <c r="K4303">
        <v>1.110741</v>
      </c>
      <c r="L4303">
        <v>141.75129999999999</v>
      </c>
      <c r="M4303">
        <v>-0.99990120000000005</v>
      </c>
      <c r="N4303">
        <v>0</v>
      </c>
      <c r="O4303">
        <v>-1.2858360000000001E-3</v>
      </c>
      <c r="P4303">
        <v>-0.99936959999999997</v>
      </c>
      <c r="Q4303">
        <v>8.6327290000000004E-3</v>
      </c>
      <c r="R4303">
        <v>-3.4439829999999998E-2</v>
      </c>
      <c r="S4303">
        <v>-3.0021059999999999</v>
      </c>
      <c r="T4303">
        <v>-0.25147120000000001</v>
      </c>
      <c r="U4303">
        <v>-6.019592E-2</v>
      </c>
      <c r="V4303">
        <v>-3.3159290000000001E-2</v>
      </c>
      <c r="W4303">
        <v>2.26243E-2</v>
      </c>
      <c r="X4303">
        <v>0.99919400000000003</v>
      </c>
      <c r="Y4303">
        <v>-1.8700520000000002E-2</v>
      </c>
      <c r="Z4303">
        <v>-6.7425759999999895E-4</v>
      </c>
      <c r="AA4303">
        <v>0.99982490000000002</v>
      </c>
      <c r="AB4303">
        <v>27</v>
      </c>
      <c r="AC4303">
        <v>-13.066299999999901</v>
      </c>
      <c r="AD4303">
        <v>-1.110745287321</v>
      </c>
      <c r="AE4303">
        <v>-0.26569999999998101</v>
      </c>
      <c r="AF4303">
        <v>-0.247112015952829</v>
      </c>
      <c r="AG4303">
        <v>-1.110745287321</v>
      </c>
      <c r="AH4303">
        <v>12.9729217342674</v>
      </c>
      <c r="AI4303">
        <v>94.892862717845702</v>
      </c>
      <c r="AJ4303">
        <v>91.091254833356402</v>
      </c>
      <c r="AK4303">
        <v>13.022730810592799</v>
      </c>
      <c r="AL4303">
        <v>88.7036125154616</v>
      </c>
      <c r="AM4303">
        <v>91.900722354418406</v>
      </c>
      <c r="AN4303">
        <v>1.00000002354989</v>
      </c>
    </row>
    <row r="4304" spans="1:40" x14ac:dyDescent="0.3">
      <c r="A4304" t="str">
        <f>"20200111160543586"</f>
        <v>20200111160543586</v>
      </c>
      <c r="B4304" t="str">
        <f>"1578729943576284"</f>
        <v>1578729943576284</v>
      </c>
      <c r="C4304" t="s">
        <v>40</v>
      </c>
      <c r="D4304">
        <v>5.853205</v>
      </c>
      <c r="E4304">
        <v>0.50861029999999996</v>
      </c>
      <c r="F4304" t="s">
        <v>42</v>
      </c>
      <c r="G4304">
        <v>-368.76949999999999</v>
      </c>
      <c r="H4304">
        <v>1.03042099999999</v>
      </c>
      <c r="I4304">
        <v>141.73599999999999</v>
      </c>
      <c r="J4304">
        <v>-368.07499999999999</v>
      </c>
      <c r="K4304">
        <v>1.110733</v>
      </c>
      <c r="L4304">
        <v>141.7509</v>
      </c>
      <c r="M4304">
        <v>-0.99990089999999998</v>
      </c>
      <c r="N4304">
        <v>0</v>
      </c>
      <c r="O4304">
        <v>-1.3888069999999999E-3</v>
      </c>
      <c r="P4304">
        <v>-0.9993573</v>
      </c>
      <c r="Q4304">
        <v>8.2176760000000001E-3</v>
      </c>
      <c r="R4304">
        <v>-3.489565E-2</v>
      </c>
      <c r="S4304">
        <v>-3.0024109999999999</v>
      </c>
      <c r="T4304">
        <v>-0.26965919999999999</v>
      </c>
      <c r="U4304">
        <v>-5.2276610000000001E-2</v>
      </c>
      <c r="V4304">
        <v>-3.351266E-2</v>
      </c>
      <c r="W4304">
        <v>2.2206690000000001E-2</v>
      </c>
      <c r="X4304">
        <v>0.99919159999999996</v>
      </c>
      <c r="Y4304">
        <v>-1.596152E-2</v>
      </c>
      <c r="Z4304">
        <v>-5.9080549999999997E-4</v>
      </c>
      <c r="AA4304">
        <v>0.99987239999999999</v>
      </c>
      <c r="AB4304">
        <v>27</v>
      </c>
      <c r="AC4304">
        <v>-0.694500000000005</v>
      </c>
      <c r="AD4304">
        <v>-8.0312000000000106E-2</v>
      </c>
      <c r="AE4304">
        <v>-1.4900000000011401E-2</v>
      </c>
      <c r="AF4304">
        <v>-1.37515548418316E-2</v>
      </c>
      <c r="AG4304">
        <v>-8.0312000000000106E-2</v>
      </c>
      <c r="AH4304">
        <v>0.68535919642258203</v>
      </c>
      <c r="AI4304">
        <v>96.6822401180806</v>
      </c>
      <c r="AJ4304">
        <v>91.149470742425194</v>
      </c>
      <c r="AK4304">
        <v>0.69018573639678704</v>
      </c>
      <c r="AL4304">
        <v>88.727545845651306</v>
      </c>
      <c r="AM4304">
        <v>91.920967377115602</v>
      </c>
      <c r="AN4304">
        <v>1.0000000444857899</v>
      </c>
    </row>
    <row r="4305" spans="1:40" x14ac:dyDescent="0.3">
      <c r="A4305" t="str">
        <f>"20200111160543600"</f>
        <v>20200111160543600</v>
      </c>
      <c r="B4305" t="str">
        <f>"1578729943595804"</f>
        <v>1578729943595804</v>
      </c>
      <c r="C4305" t="s">
        <v>40</v>
      </c>
      <c r="D4305">
        <v>6.4279229999999998</v>
      </c>
      <c r="E4305">
        <v>0.50925140000000002</v>
      </c>
      <c r="F4305" t="s">
        <v>42</v>
      </c>
      <c r="G4305">
        <v>-369.0027</v>
      </c>
      <c r="H4305">
        <v>1.0237149999999999</v>
      </c>
      <c r="I4305">
        <v>141.73589999999999</v>
      </c>
      <c r="J4305">
        <v>-368.23689999999999</v>
      </c>
      <c r="K4305">
        <v>1.1107290000000001</v>
      </c>
      <c r="L4305">
        <v>141.75059999999999</v>
      </c>
      <c r="M4305">
        <v>-0.99990089999999998</v>
      </c>
      <c r="N4305">
        <v>0</v>
      </c>
      <c r="O4305">
        <v>-1.4721139999999901E-3</v>
      </c>
      <c r="P4305">
        <v>-0.9993126</v>
      </c>
      <c r="Q4305">
        <v>7.7278479999999998E-3</v>
      </c>
      <c r="R4305">
        <v>-3.6261309999999998E-2</v>
      </c>
      <c r="S4305">
        <v>-3.0025330000000001</v>
      </c>
      <c r="T4305">
        <v>-0.28162920000000002</v>
      </c>
      <c r="U4305">
        <v>-4.8889160000000001E-2</v>
      </c>
      <c r="V4305">
        <v>-3.4794650000000003E-2</v>
      </c>
      <c r="W4305">
        <v>2.1714710000000002E-2</v>
      </c>
      <c r="X4305">
        <v>0.99915860000000001</v>
      </c>
      <c r="Y4305">
        <v>-1.475014E-2</v>
      </c>
      <c r="Z4305">
        <v>-5.5241899999999996E-4</v>
      </c>
      <c r="AA4305">
        <v>0.99989099999999997</v>
      </c>
      <c r="AB4305">
        <v>27</v>
      </c>
      <c r="AC4305">
        <v>-0.76580000000001203</v>
      </c>
      <c r="AD4305">
        <v>-8.7014000000000105E-2</v>
      </c>
      <c r="AE4305">
        <v>-1.47000000000048E-2</v>
      </c>
      <c r="AF4305">
        <v>-1.33995951216561E-2</v>
      </c>
      <c r="AG4305">
        <v>-8.7014000000000105E-2</v>
      </c>
      <c r="AH4305">
        <v>0.75606315360632703</v>
      </c>
      <c r="AI4305">
        <v>96.564165988561498</v>
      </c>
      <c r="AJ4305">
        <v>91.015338304571699</v>
      </c>
      <c r="AK4305">
        <v>0.76117177928938495</v>
      </c>
      <c r="AL4305">
        <v>88.755741031491795</v>
      </c>
      <c r="AM4305">
        <v>91.994459439502705</v>
      </c>
      <c r="AN4305">
        <v>1.00000005212648</v>
      </c>
    </row>
    <row r="4306" spans="1:40" x14ac:dyDescent="0.3">
      <c r="A4306" t="str">
        <f>"20200111160543614"</f>
        <v>20200111160543614</v>
      </c>
      <c r="B4306" t="str">
        <f>"1578729943606540"</f>
        <v>1578729943606540</v>
      </c>
      <c r="C4306" t="s">
        <v>40</v>
      </c>
      <c r="D4306">
        <v>5.8887470000000004</v>
      </c>
      <c r="E4306">
        <v>0.50950189999999995</v>
      </c>
      <c r="F4306" t="s">
        <v>41</v>
      </c>
      <c r="G4306">
        <v>-380.7133</v>
      </c>
      <c r="H4306" s="1">
        <v>-4.3770910000000004E-6</v>
      </c>
      <c r="I4306">
        <v>141.55439999999999</v>
      </c>
      <c r="J4306">
        <v>-368.41269999999997</v>
      </c>
      <c r="K4306">
        <v>1.1107309999999999</v>
      </c>
      <c r="L4306">
        <v>141.75020000000001</v>
      </c>
      <c r="M4306">
        <v>-0.99990089999999998</v>
      </c>
      <c r="N4306">
        <v>0</v>
      </c>
      <c r="O4306">
        <v>-1.5624530000000001E-3</v>
      </c>
      <c r="P4306">
        <v>-0.99928989999999995</v>
      </c>
      <c r="Q4306">
        <v>7.5615309999999998E-3</v>
      </c>
      <c r="R4306">
        <v>-3.6919430000000003E-2</v>
      </c>
      <c r="S4306">
        <v>-3.0024410000000001</v>
      </c>
      <c r="T4306">
        <v>-0.26730039999999999</v>
      </c>
      <c r="U4306">
        <v>-4.7195429999999997E-2</v>
      </c>
      <c r="V4306">
        <v>-3.536222E-2</v>
      </c>
      <c r="W4306">
        <v>2.1545950000000001E-2</v>
      </c>
      <c r="X4306">
        <v>0.99914230000000004</v>
      </c>
      <c r="Y4306">
        <v>-1.4105049999999999E-2</v>
      </c>
      <c r="Z4306">
        <v>-4.8776080000000001E-4</v>
      </c>
      <c r="AA4306">
        <v>0.99990040000000002</v>
      </c>
      <c r="AB4306">
        <v>27</v>
      </c>
      <c r="AC4306">
        <v>-12.300599999999999</v>
      </c>
      <c r="AD4306">
        <v>-1.110735377091</v>
      </c>
      <c r="AE4306">
        <v>-0.19580000000001899</v>
      </c>
      <c r="AF4306">
        <v>-0.17515095798775801</v>
      </c>
      <c r="AG4306">
        <v>-1.110735377091</v>
      </c>
      <c r="AH4306">
        <v>12.201426192897999</v>
      </c>
      <c r="AI4306">
        <v>95.200950927244605</v>
      </c>
      <c r="AJ4306">
        <v>90.822422008864606</v>
      </c>
      <c r="AK4306">
        <v>12.253130705119601</v>
      </c>
      <c r="AL4306">
        <v>88.765412496158802</v>
      </c>
      <c r="AM4306">
        <v>92.026999162613905</v>
      </c>
      <c r="AN4306">
        <v>1.00000002510701</v>
      </c>
    </row>
    <row r="4307" spans="1:40" x14ac:dyDescent="0.3">
      <c r="A4307" t="str">
        <f>"20200111160543629"</f>
        <v>20200111160543629</v>
      </c>
      <c r="B4307" t="str">
        <f>"1578729943626059"</f>
        <v>1578729943626059</v>
      </c>
      <c r="C4307" t="s">
        <v>40</v>
      </c>
      <c r="D4307">
        <v>5.8284949999999904</v>
      </c>
      <c r="E4307">
        <v>0.50982439999999996</v>
      </c>
      <c r="F4307" t="s">
        <v>41</v>
      </c>
      <c r="G4307">
        <v>-381.36059999999998</v>
      </c>
      <c r="H4307" s="1">
        <v>-4.155895E-6</v>
      </c>
      <c r="I4307">
        <v>141.54929999999999</v>
      </c>
      <c r="J4307">
        <v>-368.5838</v>
      </c>
      <c r="K4307">
        <v>1.1107309999999999</v>
      </c>
      <c r="L4307">
        <v>141.74979999999999</v>
      </c>
      <c r="M4307">
        <v>-0.99990060000000003</v>
      </c>
      <c r="N4307">
        <v>0</v>
      </c>
      <c r="O4307">
        <v>-1.650409E-3</v>
      </c>
      <c r="P4307">
        <v>-0.99926269999999995</v>
      </c>
      <c r="Q4307">
        <v>7.3135980000000001E-3</v>
      </c>
      <c r="R4307">
        <v>-3.7693230000000001E-2</v>
      </c>
      <c r="S4307">
        <v>-3.002319</v>
      </c>
      <c r="T4307">
        <v>-0.2575539</v>
      </c>
      <c r="U4307">
        <v>-4.6569819999999998E-2</v>
      </c>
      <c r="V4307">
        <v>-3.604798E-2</v>
      </c>
      <c r="W4307">
        <v>2.1295669999999999E-2</v>
      </c>
      <c r="X4307">
        <v>0.99912319999999999</v>
      </c>
      <c r="Y4307">
        <v>-1.3814359999999999E-2</v>
      </c>
      <c r="Z4307">
        <v>-4.5008519999999998E-4</v>
      </c>
      <c r="AA4307">
        <v>0.99990449999999997</v>
      </c>
      <c r="AB4307">
        <v>27</v>
      </c>
      <c r="AC4307">
        <v>-12.7767999999999</v>
      </c>
      <c r="AD4307">
        <v>-1.1107351558949901</v>
      </c>
      <c r="AE4307">
        <v>-0.20050000000000501</v>
      </c>
      <c r="AF4307">
        <v>-0.178065320365942</v>
      </c>
      <c r="AG4307">
        <v>-1.1107351558949901</v>
      </c>
      <c r="AH4307">
        <v>12.681298506240299</v>
      </c>
      <c r="AI4307">
        <v>95.005182413893607</v>
      </c>
      <c r="AJ4307">
        <v>90.804469738533001</v>
      </c>
      <c r="AK4307">
        <v>12.7310946759982</v>
      </c>
      <c r="AL4307">
        <v>88.779755824044202</v>
      </c>
      <c r="AM4307">
        <v>92.066313354467994</v>
      </c>
      <c r="AN4307">
        <v>1.0000000656005299</v>
      </c>
    </row>
    <row r="4308" spans="1:40" x14ac:dyDescent="0.3">
      <c r="A4308" t="str">
        <f>"20200111160543644"</f>
        <v>20200111160543644</v>
      </c>
      <c r="B4308" t="str">
        <f>"1578729943635819"</f>
        <v>1578729943635819</v>
      </c>
      <c r="C4308" t="s">
        <v>40</v>
      </c>
      <c r="D4308">
        <v>5.7503409999999997</v>
      </c>
      <c r="E4308">
        <v>0.51004459999999996</v>
      </c>
      <c r="F4308" t="s">
        <v>42</v>
      </c>
      <c r="G4308">
        <v>-369.48390000000001</v>
      </c>
      <c r="H4308">
        <v>1.02912</v>
      </c>
      <c r="I4308">
        <v>141.73580000000001</v>
      </c>
      <c r="J4308">
        <v>-368.7645</v>
      </c>
      <c r="K4308">
        <v>1.110735</v>
      </c>
      <c r="L4308">
        <v>141.74950000000001</v>
      </c>
      <c r="M4308">
        <v>-0.99990049999999997</v>
      </c>
      <c r="N4308">
        <v>0</v>
      </c>
      <c r="O4308">
        <v>-1.7431320000000001E-3</v>
      </c>
      <c r="P4308">
        <v>-0.99922370000000005</v>
      </c>
      <c r="Q4308">
        <v>7.0722900000000002E-3</v>
      </c>
      <c r="R4308">
        <v>-3.8757060000000003E-2</v>
      </c>
      <c r="S4308">
        <v>-3.002472</v>
      </c>
      <c r="T4308">
        <v>-0.27224680000000001</v>
      </c>
      <c r="U4308">
        <v>-4.679871E-2</v>
      </c>
      <c r="V4308">
        <v>-3.7019570000000002E-2</v>
      </c>
      <c r="W4308">
        <v>2.1052060000000001E-2</v>
      </c>
      <c r="X4308">
        <v>0.9990928</v>
      </c>
      <c r="Y4308">
        <v>-1.37923E-2</v>
      </c>
      <c r="Z4308">
        <v>-4.6624630000000002E-4</v>
      </c>
      <c r="AA4308">
        <v>0.99990480000000004</v>
      </c>
      <c r="AB4308">
        <v>27</v>
      </c>
      <c r="AC4308">
        <v>-0.71940000000000703</v>
      </c>
      <c r="AD4308">
        <v>-8.1614999999999993E-2</v>
      </c>
      <c r="AE4308">
        <v>-1.37E-2</v>
      </c>
      <c r="AF4308">
        <v>-1.22877536007254E-2</v>
      </c>
      <c r="AG4308">
        <v>-8.1614999999999993E-2</v>
      </c>
      <c r="AH4308">
        <v>0.71028431245573698</v>
      </c>
      <c r="AI4308">
        <v>96.553834744146002</v>
      </c>
      <c r="AJ4308">
        <v>90.9911048099315</v>
      </c>
      <c r="AK4308">
        <v>0.71506349482704801</v>
      </c>
      <c r="AL4308">
        <v>88.793716735470895</v>
      </c>
      <c r="AM4308">
        <v>92.122020318747104</v>
      </c>
      <c r="AN4308">
        <v>1.00000003040253</v>
      </c>
    </row>
    <row r="4309" spans="1:40" x14ac:dyDescent="0.3">
      <c r="A4309" t="str">
        <f>"20200111160543665"</f>
        <v>20200111160543665</v>
      </c>
      <c r="B4309" t="str">
        <f>"1578729943656315"</f>
        <v>1578729943656315</v>
      </c>
      <c r="C4309" t="s">
        <v>40</v>
      </c>
      <c r="D4309">
        <v>5.8727900000000002</v>
      </c>
      <c r="E4309">
        <v>0.51018949999999996</v>
      </c>
      <c r="F4309" t="s">
        <v>42</v>
      </c>
      <c r="G4309">
        <v>-369.71769999999998</v>
      </c>
      <c r="H4309">
        <v>1.0237419999999999</v>
      </c>
      <c r="I4309">
        <v>141.73429999999999</v>
      </c>
      <c r="J4309">
        <v>-369.01179999999999</v>
      </c>
      <c r="K4309">
        <v>1.1107309999999999</v>
      </c>
      <c r="L4309">
        <v>141.74889999999999</v>
      </c>
      <c r="M4309">
        <v>-0.99990049999999997</v>
      </c>
      <c r="N4309">
        <v>0</v>
      </c>
      <c r="O4309">
        <v>-1.8702980000000001E-3</v>
      </c>
      <c r="P4309">
        <v>-0.99919210000000003</v>
      </c>
      <c r="Q4309">
        <v>6.7311489999999996E-3</v>
      </c>
      <c r="R4309">
        <v>-3.9627889999999999E-2</v>
      </c>
      <c r="S4309">
        <v>-3.0024109999999999</v>
      </c>
      <c r="T4309">
        <v>-0.27412350000000002</v>
      </c>
      <c r="U4309">
        <v>-4.8339840000000002E-2</v>
      </c>
      <c r="V4309">
        <v>-3.7763030000000003E-2</v>
      </c>
      <c r="W4309">
        <v>2.0707860000000002E-2</v>
      </c>
      <c r="X4309">
        <v>0.99907210000000002</v>
      </c>
      <c r="Y4309">
        <v>-1.417682E-2</v>
      </c>
      <c r="Z4309">
        <v>-4.7538399999999997E-4</v>
      </c>
      <c r="AA4309">
        <v>0.99989939999999999</v>
      </c>
      <c r="AB4309">
        <v>27</v>
      </c>
      <c r="AC4309">
        <v>-0.70589999999998498</v>
      </c>
      <c r="AD4309">
        <v>-8.69889999999999E-2</v>
      </c>
      <c r="AE4309">
        <v>-1.4600000000001501E-2</v>
      </c>
      <c r="AF4309">
        <v>-1.3081038814706399E-2</v>
      </c>
      <c r="AG4309">
        <v>-8.69889999999999E-2</v>
      </c>
      <c r="AH4309">
        <v>0.69537071614176005</v>
      </c>
      <c r="AI4309">
        <v>97.129257124727502</v>
      </c>
      <c r="AJ4309">
        <v>91.077698425232796</v>
      </c>
      <c r="AK4309">
        <v>0.70091271394159804</v>
      </c>
      <c r="AL4309">
        <v>88.813442160808805</v>
      </c>
      <c r="AM4309">
        <v>92.164641288044507</v>
      </c>
      <c r="AN4309">
        <v>0.999999961449484</v>
      </c>
    </row>
    <row r="4310" spans="1:40" x14ac:dyDescent="0.3">
      <c r="A4310" t="str">
        <f>"20200111160543686"</f>
        <v>20200111160543686</v>
      </c>
      <c r="B4310" t="str">
        <f>"1578729943675836"</f>
        <v>1578729943675836</v>
      </c>
      <c r="C4310" t="s">
        <v>40</v>
      </c>
      <c r="D4310">
        <v>6.0837349999999999</v>
      </c>
      <c r="E4310">
        <v>0.51035959999999903</v>
      </c>
      <c r="F4310" t="s">
        <v>42</v>
      </c>
      <c r="G4310">
        <v>-369.95690000000002</v>
      </c>
      <c r="H4310">
        <v>1.0255449999999999</v>
      </c>
      <c r="I4310">
        <v>141.73339999999999</v>
      </c>
      <c r="J4310">
        <v>-369.26710000000003</v>
      </c>
      <c r="K4310">
        <v>1.1107290000000001</v>
      </c>
      <c r="L4310">
        <v>141.7482</v>
      </c>
      <c r="M4310">
        <v>-0.99990020000000002</v>
      </c>
      <c r="N4310">
        <v>0</v>
      </c>
      <c r="O4310">
        <v>-2.0016360000000002E-3</v>
      </c>
      <c r="P4310">
        <v>-0.99917469999999997</v>
      </c>
      <c r="Q4310">
        <v>6.5126589999999996E-3</v>
      </c>
      <c r="R4310">
        <v>-4.009948E-2</v>
      </c>
      <c r="S4310">
        <v>-3.0022890000000002</v>
      </c>
      <c r="T4310">
        <v>-0.27064110000000002</v>
      </c>
      <c r="U4310">
        <v>-4.9728389999999997E-2</v>
      </c>
      <c r="V4310">
        <v>-3.8103339999999999E-2</v>
      </c>
      <c r="W4310">
        <v>2.048618E-2</v>
      </c>
      <c r="X4310">
        <v>0.99906379999999995</v>
      </c>
      <c r="Y4310">
        <v>-1.450893E-2</v>
      </c>
      <c r="Z4310">
        <v>-4.7250910000000001E-4</v>
      </c>
      <c r="AA4310">
        <v>0.99989459999999997</v>
      </c>
      <c r="AB4310">
        <v>27</v>
      </c>
      <c r="AC4310">
        <v>-0.68979999999999098</v>
      </c>
      <c r="AD4310">
        <v>-8.5183999999999899E-2</v>
      </c>
      <c r="AE4310">
        <v>-1.48000000000081E-2</v>
      </c>
      <c r="AF4310">
        <v>-1.32176307440531E-2</v>
      </c>
      <c r="AG4310">
        <v>-8.5183999999999899E-2</v>
      </c>
      <c r="AH4310">
        <v>0.67947108269990097</v>
      </c>
      <c r="AI4310">
        <v>97.144443952167094</v>
      </c>
      <c r="AJ4310">
        <v>91.114424104352807</v>
      </c>
      <c r="AK4310">
        <v>0.68491749272730795</v>
      </c>
      <c r="AL4310">
        <v>88.826146244449305</v>
      </c>
      <c r="AM4310">
        <v>92.184147757169299</v>
      </c>
      <c r="AN4310">
        <v>1.0000000122802899</v>
      </c>
    </row>
    <row r="4311" spans="1:40" x14ac:dyDescent="0.3">
      <c r="A4311" t="str">
        <f>"20200111160543709"</f>
        <v>20200111160543709</v>
      </c>
      <c r="B4311" t="str">
        <f>"1578729943696331"</f>
        <v>1578729943696331</v>
      </c>
      <c r="C4311" t="s">
        <v>40</v>
      </c>
      <c r="D4311">
        <v>5.7432790000000002</v>
      </c>
      <c r="E4311">
        <v>0.55937199999999998</v>
      </c>
      <c r="F4311" t="s">
        <v>42</v>
      </c>
      <c r="G4311">
        <v>-370.1977</v>
      </c>
      <c r="H4311">
        <v>1.029552</v>
      </c>
      <c r="I4311">
        <v>141.733</v>
      </c>
      <c r="J4311">
        <v>-369.53129999999999</v>
      </c>
      <c r="K4311">
        <v>1.110725</v>
      </c>
      <c r="L4311">
        <v>141.74760000000001</v>
      </c>
      <c r="M4311">
        <v>-0.99990000000000001</v>
      </c>
      <c r="N4311">
        <v>0</v>
      </c>
      <c r="O4311">
        <v>-2.1376239999999999E-3</v>
      </c>
      <c r="P4311">
        <v>-0.99916459999999996</v>
      </c>
      <c r="Q4311">
        <v>7.0043950000000001E-3</v>
      </c>
      <c r="R4311">
        <v>-4.0268100000000001E-2</v>
      </c>
      <c r="S4311">
        <v>-3.0021969999999998</v>
      </c>
      <c r="T4311">
        <v>-0.26185789999999998</v>
      </c>
      <c r="U4311">
        <v>-4.9301150000000002E-2</v>
      </c>
      <c r="V4311">
        <v>-3.8135830000000003E-2</v>
      </c>
      <c r="W4311">
        <v>2.097531E-2</v>
      </c>
      <c r="X4311">
        <v>0.99905239999999995</v>
      </c>
      <c r="Y4311">
        <v>-1.4235970000000001E-2</v>
      </c>
      <c r="Z4311">
        <v>-4.3352819999999999E-4</v>
      </c>
      <c r="AA4311">
        <v>0.99989859999999997</v>
      </c>
      <c r="AB4311">
        <v>27</v>
      </c>
      <c r="AC4311">
        <v>-0.66640000000000998</v>
      </c>
      <c r="AD4311">
        <v>-8.1172999999999898E-2</v>
      </c>
      <c r="AE4311">
        <v>-1.4600000000001501E-2</v>
      </c>
      <c r="AF4311">
        <v>-1.2982778565463499E-2</v>
      </c>
      <c r="AG4311">
        <v>-8.1172999999999898E-2</v>
      </c>
      <c r="AH4311">
        <v>0.65669088173380996</v>
      </c>
      <c r="AI4311">
        <v>97.0451761396032</v>
      </c>
      <c r="AJ4311">
        <v>91.132590003138603</v>
      </c>
      <c r="AK4311">
        <v>0.66181607914934204</v>
      </c>
      <c r="AL4311">
        <v>88.798115122960198</v>
      </c>
      <c r="AM4311">
        <v>92.186033252707304</v>
      </c>
      <c r="AN4311">
        <v>1.0000000015525701</v>
      </c>
    </row>
    <row r="4312" spans="1:40" x14ac:dyDescent="0.3">
      <c r="A4312" t="str">
        <f>"20200111160543722"</f>
        <v>20200111160543722</v>
      </c>
      <c r="B4312" t="str">
        <f>"1578729943715851"</f>
        <v>1578729943715851</v>
      </c>
      <c r="C4312" t="s">
        <v>40</v>
      </c>
      <c r="D4312">
        <v>5.8132339999999996</v>
      </c>
      <c r="E4312">
        <v>0.56275799999999998</v>
      </c>
      <c r="F4312" t="s">
        <v>42</v>
      </c>
      <c r="G4312">
        <v>-370.39850000000001</v>
      </c>
      <c r="H4312">
        <v>0.9611132</v>
      </c>
      <c r="I4312">
        <v>141.8425</v>
      </c>
      <c r="J4312">
        <v>-369.70370000000003</v>
      </c>
      <c r="K4312">
        <v>1.110722</v>
      </c>
      <c r="L4312">
        <v>141.74709999999999</v>
      </c>
      <c r="M4312">
        <v>-0.99989980000000001</v>
      </c>
      <c r="N4312">
        <v>0</v>
      </c>
      <c r="O4312">
        <v>-2.2262969999999999E-3</v>
      </c>
      <c r="P4312">
        <v>-0.99917750000000005</v>
      </c>
      <c r="Q4312">
        <v>6.888323E-3</v>
      </c>
      <c r="R4312">
        <v>-3.9968650000000001E-2</v>
      </c>
      <c r="S4312">
        <v>-3.0194399999999999</v>
      </c>
      <c r="T4312">
        <v>-0.52083630000000003</v>
      </c>
      <c r="U4312">
        <v>0.3302002</v>
      </c>
      <c r="V4312">
        <v>-3.7748139999999999E-2</v>
      </c>
      <c r="W4312">
        <v>2.0857560000000001E-2</v>
      </c>
      <c r="X4312">
        <v>0.9990696</v>
      </c>
      <c r="Y4312">
        <v>0.1092953</v>
      </c>
      <c r="Z4312">
        <v>9.7102560000000004E-3</v>
      </c>
      <c r="AA4312">
        <v>0.99396189999999995</v>
      </c>
      <c r="AB4312">
        <v>27</v>
      </c>
      <c r="AC4312">
        <v>-0.69479999999998598</v>
      </c>
      <c r="AD4312">
        <v>-0.14960879999999999</v>
      </c>
      <c r="AE4312">
        <v>9.54000000000121E-2</v>
      </c>
      <c r="AF4312">
        <v>9.2726971135361505E-2</v>
      </c>
      <c r="AG4312">
        <v>-0.14960879999999999</v>
      </c>
      <c r="AH4312">
        <v>0.66435281751411202</v>
      </c>
      <c r="AI4312">
        <v>102.573057858992</v>
      </c>
      <c r="AJ4312">
        <v>82.054279811931494</v>
      </c>
      <c r="AK4312">
        <v>0.68727414497587302</v>
      </c>
      <c r="AL4312">
        <v>88.804863190680805</v>
      </c>
      <c r="AM4312">
        <v>92.163793988673305</v>
      </c>
      <c r="AN4312">
        <v>1.0000000127633799</v>
      </c>
    </row>
    <row r="4313" spans="1:40" x14ac:dyDescent="0.3">
      <c r="A4313" t="str">
        <f>"20200111160543737"</f>
        <v>20200111160543737</v>
      </c>
      <c r="B4313" t="str">
        <f>"1578729943725611"</f>
        <v>1578729943725611</v>
      </c>
      <c r="C4313" t="s">
        <v>40</v>
      </c>
      <c r="D4313">
        <v>6.0661199999999997</v>
      </c>
      <c r="E4313">
        <v>0.56284860000000003</v>
      </c>
      <c r="F4313" t="s">
        <v>42</v>
      </c>
      <c r="G4313">
        <v>-370.40159999999997</v>
      </c>
      <c r="H4313">
        <v>0.96783140000000001</v>
      </c>
      <c r="I4313">
        <v>141.8289</v>
      </c>
      <c r="J4313">
        <v>-369.86750000000001</v>
      </c>
      <c r="K4313">
        <v>1.110714</v>
      </c>
      <c r="L4313">
        <v>141.7466</v>
      </c>
      <c r="M4313">
        <v>-0.99989969999999995</v>
      </c>
      <c r="N4313">
        <v>0</v>
      </c>
      <c r="O4313">
        <v>-2.3106789999999999E-3</v>
      </c>
      <c r="P4313">
        <v>-0.99918459999999998</v>
      </c>
      <c r="Q4313">
        <v>6.7191200000000003E-3</v>
      </c>
      <c r="R4313">
        <v>-3.9815730000000001E-2</v>
      </c>
      <c r="S4313">
        <v>-3.0208740000000001</v>
      </c>
      <c r="T4313">
        <v>-0.61850130000000003</v>
      </c>
      <c r="U4313">
        <v>0.3536224</v>
      </c>
      <c r="V4313">
        <v>-3.7511019999999999E-2</v>
      </c>
      <c r="W4313">
        <v>2.0686889999999999E-2</v>
      </c>
      <c r="X4313">
        <v>0.99908209999999997</v>
      </c>
      <c r="Y4313">
        <v>0.1161363</v>
      </c>
      <c r="Z4313">
        <v>1.219489E-2</v>
      </c>
      <c r="AA4313">
        <v>0.9931584</v>
      </c>
      <c r="AB4313">
        <v>27</v>
      </c>
      <c r="AC4313">
        <v>-0.53409999999996605</v>
      </c>
      <c r="AD4313">
        <v>-0.142882599999999</v>
      </c>
      <c r="AE4313">
        <v>8.2300000000003495E-2</v>
      </c>
      <c r="AF4313">
        <v>7.8075959645491202E-2</v>
      </c>
      <c r="AG4313">
        <v>-0.142882599999999</v>
      </c>
      <c r="AH4313">
        <v>0.49902306205742603</v>
      </c>
      <c r="AI4313">
        <v>105.795318479681</v>
      </c>
      <c r="AJ4313">
        <v>81.107729078366404</v>
      </c>
      <c r="AK4313">
        <v>0.52491457335693603</v>
      </c>
      <c r="AL4313">
        <v>88.8146439959514</v>
      </c>
      <c r="AM4313">
        <v>92.150187748219096</v>
      </c>
      <c r="AN4313">
        <v>1.00000003328986</v>
      </c>
    </row>
    <row r="4314" spans="1:40" x14ac:dyDescent="0.3">
      <c r="A4314" t="str">
        <f>"20200111160543754"</f>
        <v>20200111160543754</v>
      </c>
      <c r="B4314" t="str">
        <f>"1578729943746106"</f>
        <v>1578729943746106</v>
      </c>
      <c r="C4314" t="s">
        <v>40</v>
      </c>
      <c r="D4314">
        <v>5.9282260000000004</v>
      </c>
      <c r="E4314">
        <v>0.56563719999999995</v>
      </c>
      <c r="F4314" t="s">
        <v>42</v>
      </c>
      <c r="G4314">
        <v>-370.63200000000001</v>
      </c>
      <c r="H4314">
        <v>0.95453010000000005</v>
      </c>
      <c r="I4314">
        <v>141.8365</v>
      </c>
      <c r="J4314">
        <v>-370.0702</v>
      </c>
      <c r="K4314">
        <v>1.110697</v>
      </c>
      <c r="L4314">
        <v>141.74610000000001</v>
      </c>
      <c r="M4314">
        <v>-0.99989939999999999</v>
      </c>
      <c r="N4314">
        <v>0</v>
      </c>
      <c r="O4314">
        <v>-2.415202E-3</v>
      </c>
      <c r="P4314">
        <v>-0.99920710000000001</v>
      </c>
      <c r="Q4314">
        <v>5.9656719999999896E-3</v>
      </c>
      <c r="R4314">
        <v>-3.937007E-2</v>
      </c>
      <c r="S4314">
        <v>-3.0207519999999999</v>
      </c>
      <c r="T4314">
        <v>-0.61705149999999998</v>
      </c>
      <c r="U4314">
        <v>0.35467530000000003</v>
      </c>
      <c r="V4314">
        <v>-3.696087E-2</v>
      </c>
      <c r="W4314">
        <v>1.9931730000000002E-2</v>
      </c>
      <c r="X4314">
        <v>0.9991179</v>
      </c>
      <c r="Y4314">
        <v>0.116586</v>
      </c>
      <c r="Z4314">
        <v>1.22335E-2</v>
      </c>
      <c r="AA4314">
        <v>0.99310520000000002</v>
      </c>
      <c r="AB4314">
        <v>27</v>
      </c>
      <c r="AC4314">
        <v>-0.56179999999994801</v>
      </c>
      <c r="AD4314">
        <v>-0.1561669</v>
      </c>
      <c r="AE4314">
        <v>9.0399999999988198E-2</v>
      </c>
      <c r="AF4314">
        <v>8.5329664130269406E-2</v>
      </c>
      <c r="AG4314">
        <v>-0.1561669</v>
      </c>
      <c r="AH4314">
        <v>0.52224434771057204</v>
      </c>
      <c r="AI4314">
        <v>106.44222580392901</v>
      </c>
      <c r="AJ4314">
        <v>80.720422308174093</v>
      </c>
      <c r="AK4314">
        <v>0.55173219133184104</v>
      </c>
      <c r="AL4314">
        <v>88.857920340301305</v>
      </c>
      <c r="AM4314">
        <v>92.118605433893407</v>
      </c>
      <c r="AN4314">
        <v>0.99999997893617898</v>
      </c>
    </row>
    <row r="4315" spans="1:40" x14ac:dyDescent="0.3">
      <c r="A4315" t="str">
        <f>"20200111160543776"</f>
        <v>20200111160543776</v>
      </c>
      <c r="B4315" t="str">
        <f>"1578729943765627"</f>
        <v>1578729943765627</v>
      </c>
      <c r="C4315" t="s">
        <v>40</v>
      </c>
      <c r="D4315">
        <v>5.9736289999999999</v>
      </c>
      <c r="E4315">
        <v>0.56490569999999996</v>
      </c>
      <c r="F4315" t="s">
        <v>42</v>
      </c>
      <c r="G4315">
        <v>-370.8655</v>
      </c>
      <c r="H4315">
        <v>0.94740559999999996</v>
      </c>
      <c r="I4315">
        <v>141.84559999999999</v>
      </c>
      <c r="J4315">
        <v>-370.32499999999999</v>
      </c>
      <c r="K4315">
        <v>1.1106849999999999</v>
      </c>
      <c r="L4315">
        <v>141.74529999999999</v>
      </c>
      <c r="M4315">
        <v>-0.99989830000000002</v>
      </c>
      <c r="N4315">
        <v>0</v>
      </c>
      <c r="O4315">
        <v>-2.545145E-3</v>
      </c>
      <c r="P4315">
        <v>-0.99921939999999998</v>
      </c>
      <c r="Q4315">
        <v>5.3500869999999999E-3</v>
      </c>
      <c r="R4315">
        <v>-3.9141889999999999E-2</v>
      </c>
      <c r="S4315">
        <v>-3.0210270000000001</v>
      </c>
      <c r="T4315">
        <v>-0.62029519999999905</v>
      </c>
      <c r="U4315">
        <v>0.3778687</v>
      </c>
      <c r="V4315">
        <v>-3.6602540000000003E-2</v>
      </c>
      <c r="W4315">
        <v>1.9369170000000002E-2</v>
      </c>
      <c r="X4315">
        <v>0.99914219999999998</v>
      </c>
      <c r="Y4315">
        <v>0.1240371</v>
      </c>
      <c r="Z4315">
        <v>1.3070450000000001E-2</v>
      </c>
      <c r="AA4315">
        <v>0.9921915</v>
      </c>
      <c r="AB4315">
        <v>26</v>
      </c>
      <c r="AC4315">
        <v>-0.54050000000000797</v>
      </c>
      <c r="AD4315">
        <v>-0.16327939999999999</v>
      </c>
      <c r="AE4315">
        <v>0.100300000000004</v>
      </c>
      <c r="AF4315">
        <v>9.3432804417870899E-2</v>
      </c>
      <c r="AG4315">
        <v>-0.16327939999999999</v>
      </c>
      <c r="AH4315">
        <v>0.49644636767529599</v>
      </c>
      <c r="AI4315">
        <v>107.911965197284</v>
      </c>
      <c r="AJ4315">
        <v>79.341426600587496</v>
      </c>
      <c r="AK4315">
        <v>0.53089438439650405</v>
      </c>
      <c r="AL4315">
        <v>88.890158929216398</v>
      </c>
      <c r="AM4315">
        <v>92.098033341543697</v>
      </c>
      <c r="AN4315">
        <v>1.0000000232508901</v>
      </c>
    </row>
    <row r="4316" spans="1:40" x14ac:dyDescent="0.3">
      <c r="A4316" t="str">
        <f>"20200111160543791"</f>
        <v>20200111160543791</v>
      </c>
      <c r="B4316" t="str">
        <f>"1578729943786123"</f>
        <v>1578729943786123</v>
      </c>
      <c r="C4316" t="s">
        <v>40</v>
      </c>
      <c r="D4316">
        <v>5.9485590000000004</v>
      </c>
      <c r="E4316">
        <v>0.56411619999999996</v>
      </c>
      <c r="F4316" t="s">
        <v>42</v>
      </c>
      <c r="G4316">
        <v>-371.1028</v>
      </c>
      <c r="H4316">
        <v>0.95032559999999999</v>
      </c>
      <c r="I4316">
        <v>141.8415</v>
      </c>
      <c r="J4316">
        <v>-370.50170000000003</v>
      </c>
      <c r="K4316">
        <v>1.1107</v>
      </c>
      <c r="L4316">
        <v>141.74469999999999</v>
      </c>
      <c r="M4316">
        <v>-0.99989669999999997</v>
      </c>
      <c r="N4316">
        <v>0</v>
      </c>
      <c r="O4316">
        <v>-2.6350200000000001E-3</v>
      </c>
      <c r="P4316">
        <v>-0.99922880000000003</v>
      </c>
      <c r="Q4316">
        <v>4.5542029999999997E-3</v>
      </c>
      <c r="R4316">
        <v>-3.900737E-2</v>
      </c>
      <c r="S4316">
        <v>-3.0202939999999998</v>
      </c>
      <c r="T4316">
        <v>-0.62282510000000002</v>
      </c>
      <c r="U4316">
        <v>0.3729248</v>
      </c>
      <c r="V4316">
        <v>-3.6377659999999999E-2</v>
      </c>
      <c r="W4316">
        <v>1.867359E-2</v>
      </c>
      <c r="X4316">
        <v>0.99916360000000004</v>
      </c>
      <c r="Y4316">
        <v>0.12256209999999999</v>
      </c>
      <c r="Z4316">
        <v>1.2995380000000001E-2</v>
      </c>
      <c r="AA4316">
        <v>0.99237569999999997</v>
      </c>
      <c r="AB4316">
        <v>26</v>
      </c>
      <c r="AC4316">
        <v>-0.60109999999997399</v>
      </c>
      <c r="AD4316">
        <v>-0.1603744</v>
      </c>
      <c r="AE4316">
        <v>9.6800000000001704E-2</v>
      </c>
      <c r="AF4316">
        <v>9.2000403208335399E-2</v>
      </c>
      <c r="AG4316">
        <v>-0.1603744</v>
      </c>
      <c r="AH4316">
        <v>0.56185895817946696</v>
      </c>
      <c r="AI4316">
        <v>105.73168380158999</v>
      </c>
      <c r="AJ4316">
        <v>80.700747794513802</v>
      </c>
      <c r="AK4316">
        <v>0.59149768490871801</v>
      </c>
      <c r="AL4316">
        <v>88.930019880411095</v>
      </c>
      <c r="AM4316">
        <v>92.085110162104698</v>
      </c>
      <c r="AN4316">
        <v>0.99999996833776095</v>
      </c>
    </row>
    <row r="4317" spans="1:40" x14ac:dyDescent="0.3">
      <c r="A4317" t="str">
        <f>"20200111160543805"</f>
        <v>20200111160543805</v>
      </c>
      <c r="B4317" t="str">
        <f>"1578729943795883"</f>
        <v>1578729943795883</v>
      </c>
      <c r="C4317" t="s">
        <v>40</v>
      </c>
      <c r="D4317">
        <v>5.9679489999999999</v>
      </c>
      <c r="E4317">
        <v>0.56397379999999997</v>
      </c>
      <c r="F4317" t="s">
        <v>42</v>
      </c>
      <c r="G4317">
        <v>-371.33229999999998</v>
      </c>
      <c r="H4317">
        <v>0.93818219999999997</v>
      </c>
      <c r="I4317">
        <v>141.8459</v>
      </c>
      <c r="J4317">
        <v>-370.6746</v>
      </c>
      <c r="K4317">
        <v>1.110719</v>
      </c>
      <c r="L4317">
        <v>141.74420000000001</v>
      </c>
      <c r="M4317">
        <v>-0.99989439999999996</v>
      </c>
      <c r="N4317">
        <v>0</v>
      </c>
      <c r="O4317">
        <v>-2.722805E-3</v>
      </c>
      <c r="P4317">
        <v>-0.99923039999999996</v>
      </c>
      <c r="Q4317">
        <v>3.9802529999999996E-3</v>
      </c>
      <c r="R4317">
        <v>-3.902684E-2</v>
      </c>
      <c r="S4317">
        <v>-3.0194399999999999</v>
      </c>
      <c r="T4317">
        <v>-0.62723649999999997</v>
      </c>
      <c r="U4317">
        <v>0.36729430000000002</v>
      </c>
      <c r="V4317">
        <v>-3.6309340000000002E-2</v>
      </c>
      <c r="W4317">
        <v>1.8241170000000001E-2</v>
      </c>
      <c r="X4317">
        <v>0.99917409999999995</v>
      </c>
      <c r="Y4317">
        <v>0.1208554</v>
      </c>
      <c r="Z4317">
        <v>1.2933770000000001E-2</v>
      </c>
      <c r="AA4317">
        <v>0.99258579999999996</v>
      </c>
      <c r="AB4317">
        <v>26</v>
      </c>
      <c r="AC4317">
        <v>-0.65769999999997697</v>
      </c>
      <c r="AD4317">
        <v>-0.17253679999999999</v>
      </c>
      <c r="AE4317">
        <v>0.101699999999993</v>
      </c>
      <c r="AF4317">
        <v>9.6972868317240599E-2</v>
      </c>
      <c r="AG4317">
        <v>-0.17253679999999999</v>
      </c>
      <c r="AH4317">
        <v>0.61601698251610804</v>
      </c>
      <c r="AI4317">
        <v>105.46555961406899</v>
      </c>
      <c r="AJ4317">
        <v>81.053961765801006</v>
      </c>
      <c r="AK4317">
        <v>0.64703138045396502</v>
      </c>
      <c r="AL4317">
        <v>88.954799971863906</v>
      </c>
      <c r="AM4317">
        <v>92.081175762804094</v>
      </c>
      <c r="AN4317">
        <v>0.99999999528250705</v>
      </c>
    </row>
    <row r="4318" spans="1:40" x14ac:dyDescent="0.3">
      <c r="A4318" t="str">
        <f>"20200111160543821"</f>
        <v>20200111160543821</v>
      </c>
      <c r="B4318" t="str">
        <f>"1578729943816379"</f>
        <v>1578729943816379</v>
      </c>
      <c r="C4318" t="s">
        <v>40</v>
      </c>
      <c r="D4318">
        <v>5.9452220000000002</v>
      </c>
      <c r="E4318">
        <v>0.56421919999999903</v>
      </c>
      <c r="F4318" t="s">
        <v>42</v>
      </c>
      <c r="G4318">
        <v>-371.56110000000001</v>
      </c>
      <c r="H4318">
        <v>0.92604909999999996</v>
      </c>
      <c r="I4318">
        <v>141.852</v>
      </c>
      <c r="J4318">
        <v>-370.86180000000002</v>
      </c>
      <c r="K4318">
        <v>1.1107419999999999</v>
      </c>
      <c r="L4318">
        <v>141.74359999999999</v>
      </c>
      <c r="M4318">
        <v>-0.99989130000000004</v>
      </c>
      <c r="N4318">
        <v>0</v>
      </c>
      <c r="O4318">
        <v>-2.8187429999999999E-3</v>
      </c>
      <c r="P4318">
        <v>-0.99923099999999998</v>
      </c>
      <c r="Q4318">
        <v>1.5950719999999999E-3</v>
      </c>
      <c r="R4318">
        <v>-3.9180300000000001E-2</v>
      </c>
      <c r="S4318">
        <v>-3.019104</v>
      </c>
      <c r="T4318">
        <v>-0.62892939999999997</v>
      </c>
      <c r="U4318">
        <v>0.36610409999999999</v>
      </c>
      <c r="V4318">
        <v>-3.6366460000000003E-2</v>
      </c>
      <c r="W4318">
        <v>1.6052339999999998E-2</v>
      </c>
      <c r="X4318">
        <v>0.99920960000000003</v>
      </c>
      <c r="Y4318">
        <v>0.1205677</v>
      </c>
      <c r="Z4318">
        <v>1.295981E-2</v>
      </c>
      <c r="AA4318">
        <v>0.99262050000000002</v>
      </c>
      <c r="AB4318">
        <v>26</v>
      </c>
      <c r="AC4318">
        <v>-0.69929999999999304</v>
      </c>
      <c r="AD4318">
        <v>-0.18469289999999999</v>
      </c>
      <c r="AE4318">
        <v>0.108400000000017</v>
      </c>
      <c r="AF4318">
        <v>0.103332154378923</v>
      </c>
      <c r="AG4318">
        <v>-0.18469289999999999</v>
      </c>
      <c r="AH4318">
        <v>0.65441431523563498</v>
      </c>
      <c r="AI4318">
        <v>105.577003157188</v>
      </c>
      <c r="AJ4318">
        <v>81.027067716820696</v>
      </c>
      <c r="AK4318">
        <v>0.68778419393318802</v>
      </c>
      <c r="AL4318">
        <v>89.080229173090103</v>
      </c>
      <c r="AM4318">
        <v>92.084372885377704</v>
      </c>
      <c r="AN4318">
        <v>1.00000001088228</v>
      </c>
    </row>
    <row r="4319" spans="1:40" x14ac:dyDescent="0.3">
      <c r="A4319" t="str">
        <f>"20200111160543844"</f>
        <v>20200111160543844</v>
      </c>
      <c r="B4319" t="str">
        <f>"1578729943835906"</f>
        <v>1578729943835906</v>
      </c>
      <c r="C4319" t="s">
        <v>40</v>
      </c>
      <c r="D4319">
        <v>5.8226490000000002</v>
      </c>
      <c r="E4319">
        <v>0.56391199999999997</v>
      </c>
      <c r="F4319" t="s">
        <v>42</v>
      </c>
      <c r="G4319">
        <v>-371.5772</v>
      </c>
      <c r="H4319">
        <v>0.96059570000000005</v>
      </c>
      <c r="I4319">
        <v>141.83099999999999</v>
      </c>
      <c r="J4319">
        <v>-371.12130000000002</v>
      </c>
      <c r="K4319">
        <v>1.1107860000000001</v>
      </c>
      <c r="L4319">
        <v>141.74270000000001</v>
      </c>
      <c r="M4319">
        <v>-0.99988659999999996</v>
      </c>
      <c r="N4319">
        <v>0</v>
      </c>
      <c r="O4319">
        <v>-2.9519820000000001E-3</v>
      </c>
      <c r="P4319">
        <v>-0.99921150000000003</v>
      </c>
      <c r="Q4319">
        <v>-1.7969220000000001E-3</v>
      </c>
      <c r="R4319">
        <v>-3.9669599999999999E-2</v>
      </c>
      <c r="S4319">
        <v>-3.0177309999999999</v>
      </c>
      <c r="T4319">
        <v>-0.63340750000000001</v>
      </c>
      <c r="U4319">
        <v>0.36755369999999998</v>
      </c>
      <c r="V4319">
        <v>-3.672164E-2</v>
      </c>
      <c r="W4319">
        <v>1.2964669999999999E-2</v>
      </c>
      <c r="X4319">
        <v>0.99924139999999995</v>
      </c>
      <c r="Y4319">
        <v>0.121168899999999</v>
      </c>
      <c r="Z4319">
        <v>1.314532E-2</v>
      </c>
      <c r="AA4319">
        <v>0.99254489999999995</v>
      </c>
      <c r="AB4319">
        <v>26</v>
      </c>
      <c r="AC4319">
        <v>-0.45589999999998498</v>
      </c>
      <c r="AD4319">
        <v>-0.150190299999999</v>
      </c>
      <c r="AE4319">
        <v>8.8300000000003806E-2</v>
      </c>
      <c r="AF4319">
        <v>8.1156248906462003E-2</v>
      </c>
      <c r="AG4319">
        <v>-0.150190299999999</v>
      </c>
      <c r="AH4319">
        <v>0.41248904895396998</v>
      </c>
      <c r="AI4319">
        <v>109.659692261472</v>
      </c>
      <c r="AJ4319">
        <v>78.8693581403259</v>
      </c>
      <c r="AK4319">
        <v>0.44641984550152802</v>
      </c>
      <c r="AL4319">
        <v>89.257158292021003</v>
      </c>
      <c r="AM4319">
        <v>92.104645171984103</v>
      </c>
      <c r="AN4319">
        <v>0.99999996849322803</v>
      </c>
    </row>
    <row r="4320" spans="1:40" x14ac:dyDescent="0.3">
      <c r="A4320" t="str">
        <f>"20200111160543865"</f>
        <v>20200111160543865</v>
      </c>
      <c r="B4320" t="str">
        <f>"1578729943856400"</f>
        <v>1578729943856400</v>
      </c>
      <c r="C4320" t="s">
        <v>40</v>
      </c>
      <c r="D4320">
        <v>5.8155710000000003</v>
      </c>
      <c r="E4320">
        <v>0.56456669999999998</v>
      </c>
      <c r="F4320" t="s">
        <v>42</v>
      </c>
      <c r="G4320">
        <v>-372.02170000000001</v>
      </c>
      <c r="H4320">
        <v>0.91448560000000001</v>
      </c>
      <c r="I4320">
        <v>141.85149999999999</v>
      </c>
      <c r="J4320">
        <v>-371.36970000000002</v>
      </c>
      <c r="K4320">
        <v>1.1108579999999999</v>
      </c>
      <c r="L4320">
        <v>141.74180000000001</v>
      </c>
      <c r="M4320">
        <v>-0.99988100000000002</v>
      </c>
      <c r="N4320">
        <v>0</v>
      </c>
      <c r="O4320">
        <v>-3.0792599999999999E-3</v>
      </c>
      <c r="P4320">
        <v>-0.99920129999999996</v>
      </c>
      <c r="Q4320">
        <v>-3.1359420000000001E-3</v>
      </c>
      <c r="R4320">
        <v>-3.9841389999999997E-2</v>
      </c>
      <c r="S4320">
        <v>-3.0155940000000001</v>
      </c>
      <c r="T4320">
        <v>-0.65745969999999998</v>
      </c>
      <c r="U4320">
        <v>0.36297610000000002</v>
      </c>
      <c r="V4320">
        <v>-3.6766399999999998E-2</v>
      </c>
      <c r="W4320">
        <v>1.1970059999999999E-2</v>
      </c>
      <c r="X4320">
        <v>0.99925220000000003</v>
      </c>
      <c r="Y4320">
        <v>0.1197167</v>
      </c>
      <c r="Z4320">
        <v>1.3515350000000001E-2</v>
      </c>
      <c r="AA4320">
        <v>0.99271609999999999</v>
      </c>
      <c r="AB4320">
        <v>26</v>
      </c>
      <c r="AC4320">
        <v>-0.65199999999998604</v>
      </c>
      <c r="AD4320">
        <v>-0.196372399999999</v>
      </c>
      <c r="AE4320">
        <v>0.109699999999975</v>
      </c>
      <c r="AF4320">
        <v>0.102651949075637</v>
      </c>
      <c r="AG4320">
        <v>-0.196372399999999</v>
      </c>
      <c r="AH4320">
        <v>0.59883304149112904</v>
      </c>
      <c r="AI4320">
        <v>107.91139094812</v>
      </c>
      <c r="AJ4320">
        <v>80.272899548299804</v>
      </c>
      <c r="AK4320">
        <v>0.63851433320819295</v>
      </c>
      <c r="AL4320">
        <v>89.314149705774497</v>
      </c>
      <c r="AM4320">
        <v>92.107185458001496</v>
      </c>
      <c r="AN4320">
        <v>1.0000000048551001</v>
      </c>
    </row>
    <row r="4321" spans="1:40" x14ac:dyDescent="0.3">
      <c r="A4321" t="str">
        <f>"20200111160543880"</f>
        <v>20200111160543880</v>
      </c>
      <c r="B4321" t="str">
        <f>"1578729943875920"</f>
        <v>1578729943875920</v>
      </c>
      <c r="C4321" t="s">
        <v>40</v>
      </c>
      <c r="D4321">
        <v>5.9585949999999999</v>
      </c>
      <c r="E4321">
        <v>0.56436509999999995</v>
      </c>
      <c r="F4321" t="s">
        <v>42</v>
      </c>
      <c r="G4321">
        <v>-372.25310000000002</v>
      </c>
      <c r="H4321">
        <v>0.91505499999999995</v>
      </c>
      <c r="I4321">
        <v>141.84950000000001</v>
      </c>
      <c r="J4321">
        <v>-371.54520000000002</v>
      </c>
      <c r="K4321">
        <v>1.1109199999999999</v>
      </c>
      <c r="L4321">
        <v>141.74119999999999</v>
      </c>
      <c r="M4321">
        <v>-0.99987579999999998</v>
      </c>
      <c r="N4321">
        <v>0</v>
      </c>
      <c r="O4321">
        <v>-3.1684600000000001E-3</v>
      </c>
      <c r="P4321">
        <v>-0.99919780000000002</v>
      </c>
      <c r="Q4321">
        <v>-2.8407689999999999E-3</v>
      </c>
      <c r="R4321">
        <v>-3.9947539999999997E-2</v>
      </c>
      <c r="S4321">
        <v>-3.014923</v>
      </c>
      <c r="T4321">
        <v>-0.66823399999999999</v>
      </c>
      <c r="U4321">
        <v>0.36698910000000001</v>
      </c>
      <c r="V4321">
        <v>-3.6783749999999997E-2</v>
      </c>
      <c r="W4321">
        <v>1.257989E-2</v>
      </c>
      <c r="X4321">
        <v>0.99924409999999997</v>
      </c>
      <c r="Y4321">
        <v>0.121007</v>
      </c>
      <c r="Z4321">
        <v>1.3893849999999999E-2</v>
      </c>
      <c r="AA4321">
        <v>0.99255439999999995</v>
      </c>
      <c r="AB4321">
        <v>26</v>
      </c>
      <c r="AC4321">
        <v>-0.70789999999999498</v>
      </c>
      <c r="AD4321">
        <v>-0.19586500000000001</v>
      </c>
      <c r="AE4321">
        <v>0.108300000000014</v>
      </c>
      <c r="AF4321">
        <v>0.10284919170343799</v>
      </c>
      <c r="AG4321">
        <v>-0.19586500000000001</v>
      </c>
      <c r="AH4321">
        <v>0.658309381473691</v>
      </c>
      <c r="AI4321">
        <v>106.38129659457</v>
      </c>
      <c r="AJ4321">
        <v>81.120330569907793</v>
      </c>
      <c r="AK4321">
        <v>0.69448707417440403</v>
      </c>
      <c r="AL4321">
        <v>89.279206409010698</v>
      </c>
      <c r="AM4321">
        <v>92.108196011853394</v>
      </c>
      <c r="AN4321">
        <v>1.0000000346406399</v>
      </c>
    </row>
    <row r="4322" spans="1:40" x14ac:dyDescent="0.3">
      <c r="A4322" t="str">
        <f>"20200111160543899"</f>
        <v>20200111160543899</v>
      </c>
      <c r="B4322" t="str">
        <f>"1578729943896416"</f>
        <v>1578729943896416</v>
      </c>
      <c r="C4322" t="s">
        <v>40</v>
      </c>
      <c r="D4322">
        <v>5.8904300000000003</v>
      </c>
      <c r="E4322">
        <v>0.56458269999999899</v>
      </c>
      <c r="F4322" t="s">
        <v>42</v>
      </c>
      <c r="G4322">
        <v>-372.26780000000002</v>
      </c>
      <c r="H4322">
        <v>0.94713429999999998</v>
      </c>
      <c r="I4322">
        <v>141.82849999999999</v>
      </c>
      <c r="J4322">
        <v>-371.75830000000002</v>
      </c>
      <c r="K4322">
        <v>1.1109990000000001</v>
      </c>
      <c r="L4322">
        <v>141.74039999999999</v>
      </c>
      <c r="M4322">
        <v>-0.9998688</v>
      </c>
      <c r="N4322">
        <v>0</v>
      </c>
      <c r="O4322">
        <v>-3.277145E-3</v>
      </c>
      <c r="P4322">
        <v>-0.99919899999999995</v>
      </c>
      <c r="Q4322">
        <v>-1.9665170000000001E-3</v>
      </c>
      <c r="R4322">
        <v>-3.9971600000000003E-2</v>
      </c>
      <c r="S4322">
        <v>-3.0149840000000001</v>
      </c>
      <c r="T4322">
        <v>-0.68341289999999999</v>
      </c>
      <c r="U4322">
        <v>0.3639984</v>
      </c>
      <c r="V4322">
        <v>-3.6699250000000003E-2</v>
      </c>
      <c r="W4322">
        <v>1.388965E-2</v>
      </c>
      <c r="X4322">
        <v>0.99922979999999995</v>
      </c>
      <c r="Y4322">
        <v>0.1200287</v>
      </c>
      <c r="Z4322">
        <v>1.411748E-2</v>
      </c>
      <c r="AA4322">
        <v>0.9926701</v>
      </c>
      <c r="AB4322">
        <v>26</v>
      </c>
      <c r="AC4322">
        <v>-0.50950000000000195</v>
      </c>
      <c r="AD4322">
        <v>-0.163864699999999</v>
      </c>
      <c r="AE4322">
        <v>8.8099999999997097E-2</v>
      </c>
      <c r="AF4322">
        <v>8.1576280966822595E-2</v>
      </c>
      <c r="AG4322">
        <v>-0.163864699999999</v>
      </c>
      <c r="AH4322">
        <v>0.462733592463003</v>
      </c>
      <c r="AI4322">
        <v>109.22598013603501</v>
      </c>
      <c r="AJ4322">
        <v>80.001937760581797</v>
      </c>
      <c r="AK4322">
        <v>0.49762305725939199</v>
      </c>
      <c r="AL4322">
        <v>89.204156065652995</v>
      </c>
      <c r="AM4322">
        <v>92.103387471905705</v>
      </c>
      <c r="AN4322">
        <v>0.999999975267862</v>
      </c>
    </row>
    <row r="4323" spans="1:40" x14ac:dyDescent="0.3">
      <c r="A4323" t="str">
        <f>"20200111160543922"</f>
        <v>20200111160543922</v>
      </c>
      <c r="B4323" t="str">
        <f>"1578729943915938"</f>
        <v>1578729943915938</v>
      </c>
      <c r="C4323" t="s">
        <v>40</v>
      </c>
      <c r="D4323">
        <v>5.8952839999999904</v>
      </c>
      <c r="E4323">
        <v>0.5647143</v>
      </c>
      <c r="F4323" t="s">
        <v>42</v>
      </c>
      <c r="G4323">
        <v>-372.49650000000003</v>
      </c>
      <c r="H4323">
        <v>0.94478189999999995</v>
      </c>
      <c r="I4323">
        <v>141.83009999999999</v>
      </c>
      <c r="J4323">
        <v>-372.02190000000002</v>
      </c>
      <c r="K4323">
        <v>1.111094</v>
      </c>
      <c r="L4323">
        <v>141.73929999999999</v>
      </c>
      <c r="M4323">
        <v>-0.99985860000000004</v>
      </c>
      <c r="N4323">
        <v>0</v>
      </c>
      <c r="O4323">
        <v>-3.410995E-3</v>
      </c>
      <c r="P4323">
        <v>-0.99918099999999999</v>
      </c>
      <c r="Q4323">
        <v>-1.548495E-3</v>
      </c>
      <c r="R4323">
        <v>-4.0434919999999999E-2</v>
      </c>
      <c r="S4323">
        <v>-3.0156860000000001</v>
      </c>
      <c r="T4323">
        <v>-0.67913029999999996</v>
      </c>
      <c r="U4323">
        <v>0.3652649</v>
      </c>
      <c r="V4323">
        <v>-3.7028909999999998E-2</v>
      </c>
      <c r="W4323">
        <v>1.4906630000000001E-2</v>
      </c>
      <c r="X4323">
        <v>0.99920299999999995</v>
      </c>
      <c r="Y4323">
        <v>0.12056799999999999</v>
      </c>
      <c r="Z4323">
        <v>1.41171E-2</v>
      </c>
      <c r="AA4323">
        <v>0.99260470000000001</v>
      </c>
      <c r="AB4323">
        <v>26</v>
      </c>
      <c r="AC4323">
        <v>-0.47460000000000901</v>
      </c>
      <c r="AD4323">
        <v>-0.16631209999999999</v>
      </c>
      <c r="AE4323">
        <v>9.0800000000001505E-2</v>
      </c>
      <c r="AF4323">
        <v>8.2630016152057104E-2</v>
      </c>
      <c r="AG4323">
        <v>-0.16631209999999999</v>
      </c>
      <c r="AH4323">
        <v>0.42405320390416301</v>
      </c>
      <c r="AI4323">
        <v>111.054514740782</v>
      </c>
      <c r="AJ4323">
        <v>78.973647789636104</v>
      </c>
      <c r="AK4323">
        <v>0.46293471885038501</v>
      </c>
      <c r="AL4323">
        <v>89.145881373041803</v>
      </c>
      <c r="AM4323">
        <v>92.122321334612906</v>
      </c>
      <c r="AN4323">
        <v>0.99999999150137198</v>
      </c>
    </row>
    <row r="4324" spans="1:40" x14ac:dyDescent="0.3">
      <c r="A4324" t="str">
        <f>"20200111160543945"</f>
        <v>20200111160543945</v>
      </c>
      <c r="B4324" t="str">
        <f>"1578729943936431"</f>
        <v>1578729943936431</v>
      </c>
      <c r="C4324" t="s">
        <v>40</v>
      </c>
      <c r="D4324">
        <v>5.8834759999999999</v>
      </c>
      <c r="E4324">
        <v>0.56470030000000004</v>
      </c>
      <c r="F4324" t="s">
        <v>42</v>
      </c>
      <c r="G4324">
        <v>-372.72789999999998</v>
      </c>
      <c r="H4324">
        <v>0.95137559999999999</v>
      </c>
      <c r="I4324">
        <v>141.82490000000001</v>
      </c>
      <c r="J4324">
        <v>-372.27690000000001</v>
      </c>
      <c r="K4324">
        <v>1.111183</v>
      </c>
      <c r="L4324">
        <v>141.73830000000001</v>
      </c>
      <c r="M4324">
        <v>-0.99984779999999995</v>
      </c>
      <c r="N4324">
        <v>0</v>
      </c>
      <c r="O4324">
        <v>-3.5399170000000001E-3</v>
      </c>
      <c r="P4324">
        <v>-0.99915299999999996</v>
      </c>
      <c r="Q4324">
        <v>-1.8253049999999999E-3</v>
      </c>
      <c r="R4324">
        <v>-4.1109300000000001E-2</v>
      </c>
      <c r="S4324">
        <v>-3.0161739999999999</v>
      </c>
      <c r="T4324">
        <v>-0.68239419999999995</v>
      </c>
      <c r="U4324">
        <v>0.36468509999999998</v>
      </c>
      <c r="V4324">
        <v>-3.7574730000000001E-2</v>
      </c>
      <c r="W4324">
        <v>1.5243720000000001E-2</v>
      </c>
      <c r="X4324">
        <v>0.9991776</v>
      </c>
      <c r="Y4324">
        <v>0.12046</v>
      </c>
      <c r="Z4324">
        <v>1.4197919999999999E-2</v>
      </c>
      <c r="AA4324">
        <v>0.99261670000000002</v>
      </c>
      <c r="AB4324">
        <v>26</v>
      </c>
      <c r="AC4324">
        <v>-0.45099999999996498</v>
      </c>
      <c r="AD4324">
        <v>-0.15980739999999999</v>
      </c>
      <c r="AE4324">
        <v>8.6600000000004201E-2</v>
      </c>
      <c r="AF4324">
        <v>7.8669886118601803E-2</v>
      </c>
      <c r="AG4324">
        <v>-0.15980739999999999</v>
      </c>
      <c r="AH4324">
        <v>0.402010277601347</v>
      </c>
      <c r="AI4324">
        <v>111.311801224774</v>
      </c>
      <c r="AJ4324">
        <v>78.927642133379905</v>
      </c>
      <c r="AK4324">
        <v>0.439704013370114</v>
      </c>
      <c r="AL4324">
        <v>89.1265653979072</v>
      </c>
      <c r="AM4324">
        <v>92.153630597306503</v>
      </c>
      <c r="AN4324">
        <v>1.0000000538378799</v>
      </c>
    </row>
    <row r="4325" spans="1:40" x14ac:dyDescent="0.3">
      <c r="A4325" t="str">
        <f>"20200111160543966"</f>
        <v>20200111160543966</v>
      </c>
      <c r="B4325" t="str">
        <f>"1578729943955952"</f>
        <v>1578729943955952</v>
      </c>
      <c r="C4325" t="s">
        <v>40</v>
      </c>
      <c r="D4325">
        <v>5.8385109999999996</v>
      </c>
      <c r="E4325">
        <v>0.56471400000000005</v>
      </c>
      <c r="F4325" t="s">
        <v>42</v>
      </c>
      <c r="G4325">
        <v>-373.16070000000002</v>
      </c>
      <c r="H4325">
        <v>0.90992810000000002</v>
      </c>
      <c r="I4325">
        <v>141.8449</v>
      </c>
      <c r="J4325">
        <v>-372.52019999999999</v>
      </c>
      <c r="K4325">
        <v>1.111254</v>
      </c>
      <c r="L4325">
        <v>141.7373</v>
      </c>
      <c r="M4325">
        <v>-0.99983730000000004</v>
      </c>
      <c r="N4325">
        <v>0</v>
      </c>
      <c r="O4325">
        <v>-3.663187E-3</v>
      </c>
      <c r="P4325">
        <v>-0.99912279999999998</v>
      </c>
      <c r="Q4325">
        <v>-2.1975990000000002E-3</v>
      </c>
      <c r="R4325">
        <v>-4.1821169999999998E-2</v>
      </c>
      <c r="S4325">
        <v>-3.0161739999999999</v>
      </c>
      <c r="T4325">
        <v>-0.68690640000000003</v>
      </c>
      <c r="U4325">
        <v>0.36282350000000002</v>
      </c>
      <c r="V4325">
        <v>-3.8163009999999997E-2</v>
      </c>
      <c r="W4325">
        <v>1.5446349999999999E-2</v>
      </c>
      <c r="X4325">
        <v>0.99915209999999999</v>
      </c>
      <c r="Y4325">
        <v>0.119947499999999</v>
      </c>
      <c r="Z4325">
        <v>1.4260220000000001E-2</v>
      </c>
      <c r="AA4325">
        <v>0.99267780000000005</v>
      </c>
      <c r="AB4325">
        <v>25</v>
      </c>
      <c r="AC4325">
        <v>-0.64050000000003104</v>
      </c>
      <c r="AD4325">
        <v>-0.2013259</v>
      </c>
      <c r="AE4325">
        <v>0.10759999999999</v>
      </c>
      <c r="AF4325">
        <v>0.100307460363256</v>
      </c>
      <c r="AG4325">
        <v>-0.2013259</v>
      </c>
      <c r="AH4325">
        <v>0.58398671586110196</v>
      </c>
      <c r="AI4325">
        <v>108.76613644451</v>
      </c>
      <c r="AJ4325">
        <v>80.253793869823795</v>
      </c>
      <c r="AK4325">
        <v>0.62580683035388196</v>
      </c>
      <c r="AL4325">
        <v>89.114954106293496</v>
      </c>
      <c r="AM4325">
        <v>92.187371683747699</v>
      </c>
      <c r="AN4325">
        <v>0.99999996199749497</v>
      </c>
    </row>
    <row r="4326" spans="1:40" x14ac:dyDescent="0.3">
      <c r="A4326" t="str">
        <f>"20200111160543989"</f>
        <v>20200111160543989</v>
      </c>
      <c r="B4326" t="str">
        <f>"1578729943986208"</f>
        <v>1578729943986208</v>
      </c>
      <c r="C4326" t="s">
        <v>40</v>
      </c>
      <c r="D4326">
        <v>5.6363849999999998</v>
      </c>
      <c r="E4326">
        <v>0.56501809999999997</v>
      </c>
      <c r="F4326" t="s">
        <v>42</v>
      </c>
      <c r="G4326">
        <v>-373.38560000000001</v>
      </c>
      <c r="H4326">
        <v>0.91327709999999995</v>
      </c>
      <c r="I4326">
        <v>141.84100000000001</v>
      </c>
      <c r="J4326">
        <v>-372.76960000000003</v>
      </c>
      <c r="K4326">
        <v>1.1113090000000001</v>
      </c>
      <c r="L4326">
        <v>141.7362</v>
      </c>
      <c r="M4326">
        <v>-0.99982689999999996</v>
      </c>
      <c r="N4326">
        <v>0</v>
      </c>
      <c r="O4326">
        <v>-3.7899740000000002E-3</v>
      </c>
      <c r="P4326">
        <v>-0.99908600000000003</v>
      </c>
      <c r="Q4326">
        <v>-1.9596259999999999E-3</v>
      </c>
      <c r="R4326">
        <v>-4.2702469999999999E-2</v>
      </c>
      <c r="S4326">
        <v>-3.0162049999999998</v>
      </c>
      <c r="T4326">
        <v>-0.69014039999999999</v>
      </c>
      <c r="U4326">
        <v>0.36051939999999999</v>
      </c>
      <c r="V4326">
        <v>-3.891766E-2</v>
      </c>
      <c r="W4326">
        <v>1.623542E-2</v>
      </c>
      <c r="X4326">
        <v>0.99911050000000001</v>
      </c>
      <c r="Y4326">
        <v>0.11930830000000001</v>
      </c>
      <c r="Z4326">
        <v>1.428278E-2</v>
      </c>
      <c r="AA4326">
        <v>0.99275449999999998</v>
      </c>
      <c r="AB4326">
        <v>25</v>
      </c>
      <c r="AC4326">
        <v>-0.615999999999985</v>
      </c>
      <c r="AD4326">
        <v>-0.19803190000000001</v>
      </c>
      <c r="AE4326">
        <v>0.104800000000011</v>
      </c>
      <c r="AF4326">
        <v>9.7355625958754702E-2</v>
      </c>
      <c r="AG4326">
        <v>-0.19803190000000001</v>
      </c>
      <c r="AH4326">
        <v>0.55940985226747497</v>
      </c>
      <c r="AI4326">
        <v>109.226694863893</v>
      </c>
      <c r="AJ4326">
        <v>80.1275367642303</v>
      </c>
      <c r="AK4326">
        <v>0.60136023657816695</v>
      </c>
      <c r="AL4326">
        <v>89.069738067953693</v>
      </c>
      <c r="AM4326">
        <v>92.230675123312906</v>
      </c>
      <c r="AN4326">
        <v>0.99999998216635</v>
      </c>
    </row>
    <row r="4327" spans="1:40" x14ac:dyDescent="0.3">
      <c r="A4327" t="str">
        <f>"20200111160544012"</f>
        <v>20200111160544012</v>
      </c>
      <c r="B4327" t="str">
        <f>"1578729944005728"</f>
        <v>1578729944005728</v>
      </c>
      <c r="C4327" t="s">
        <v>40</v>
      </c>
      <c r="D4327">
        <v>5.5676379999999996</v>
      </c>
      <c r="E4327">
        <v>0.56519739999999996</v>
      </c>
      <c r="F4327" t="s">
        <v>42</v>
      </c>
      <c r="G4327">
        <v>-373.60820000000001</v>
      </c>
      <c r="H4327">
        <v>0.91490269999999996</v>
      </c>
      <c r="I4327">
        <v>141.8365</v>
      </c>
      <c r="J4327">
        <v>-373.02850000000001</v>
      </c>
      <c r="K4327">
        <v>1.111348</v>
      </c>
      <c r="L4327">
        <v>141.73509999999999</v>
      </c>
      <c r="M4327">
        <v>-0.99981679999999995</v>
      </c>
      <c r="N4327">
        <v>0</v>
      </c>
      <c r="O4327">
        <v>-3.9219069999999997E-3</v>
      </c>
      <c r="P4327">
        <v>-0.99904939999999998</v>
      </c>
      <c r="Q4327">
        <v>-2.1953379999999998E-3</v>
      </c>
      <c r="R4327">
        <v>-4.3535299999999999E-2</v>
      </c>
      <c r="S4327">
        <v>-3.016785</v>
      </c>
      <c r="T4327">
        <v>-0.70656249999999998</v>
      </c>
      <c r="U4327">
        <v>0.36009219999999997</v>
      </c>
      <c r="V4327">
        <v>-3.9619700000000001E-2</v>
      </c>
      <c r="W4327">
        <v>1.65253E-2</v>
      </c>
      <c r="X4327">
        <v>0.99907820000000003</v>
      </c>
      <c r="Y4327">
        <v>0.119131399999999</v>
      </c>
      <c r="Z4327">
        <v>1.46213E-2</v>
      </c>
      <c r="AA4327">
        <v>0.99277090000000001</v>
      </c>
      <c r="AB4327">
        <v>25</v>
      </c>
      <c r="AC4327">
        <v>-0.57970000000000199</v>
      </c>
      <c r="AD4327">
        <v>-0.19644529999999999</v>
      </c>
      <c r="AE4327">
        <v>0.10140000000001199</v>
      </c>
      <c r="AF4327">
        <v>9.3279364789942101E-2</v>
      </c>
      <c r="AG4327">
        <v>-0.19644529999999999</v>
      </c>
      <c r="AH4327">
        <v>0.52122010931296903</v>
      </c>
      <c r="AI4327">
        <v>110.354890164229</v>
      </c>
      <c r="AJ4327">
        <v>79.853561067068497</v>
      </c>
      <c r="AK4327">
        <v>0.564767384097141</v>
      </c>
      <c r="AL4327">
        <v>89.0531269817143</v>
      </c>
      <c r="AM4327">
        <v>92.270946105398806</v>
      </c>
      <c r="AN4327">
        <v>1.0000000279417001</v>
      </c>
    </row>
    <row r="4328" spans="1:40" x14ac:dyDescent="0.3">
      <c r="A4328" t="str">
        <f>"20200111160544033"</f>
        <v>20200111160544033</v>
      </c>
      <c r="B4328" t="str">
        <f>"1578729944025758"</f>
        <v>1578729944025758</v>
      </c>
      <c r="C4328" t="s">
        <v>40</v>
      </c>
      <c r="D4328">
        <v>5.6860799999999996</v>
      </c>
      <c r="E4328">
        <v>0.56524919999999901</v>
      </c>
      <c r="F4328" t="s">
        <v>42</v>
      </c>
      <c r="G4328">
        <v>-373.8313</v>
      </c>
      <c r="H4328">
        <v>0.92067480000000002</v>
      </c>
      <c r="I4328">
        <v>141.83109999999999</v>
      </c>
      <c r="J4328">
        <v>-373.27019999999999</v>
      </c>
      <c r="K4328">
        <v>1.1113679999999999</v>
      </c>
      <c r="L4328">
        <v>141.73400000000001</v>
      </c>
      <c r="M4328">
        <v>-0.99980780000000002</v>
      </c>
      <c r="N4328">
        <v>0</v>
      </c>
      <c r="O4328">
        <v>-4.0458220000000001E-3</v>
      </c>
      <c r="P4328">
        <v>-0.99898940000000003</v>
      </c>
      <c r="Q4328">
        <v>-3.4840140000000001E-3</v>
      </c>
      <c r="R4328">
        <v>-4.4811860000000002E-2</v>
      </c>
      <c r="S4328">
        <v>-3.0169980000000001</v>
      </c>
      <c r="T4328">
        <v>-0.71659989999999996</v>
      </c>
      <c r="U4328">
        <v>0.35899350000000002</v>
      </c>
      <c r="V4328">
        <v>-4.077215E-2</v>
      </c>
      <c r="W4328">
        <v>1.568284E-2</v>
      </c>
      <c r="X4328">
        <v>0.99904539999999997</v>
      </c>
      <c r="Y4328">
        <v>0.1188029</v>
      </c>
      <c r="Z4328">
        <v>1.4813369999999999E-2</v>
      </c>
      <c r="AA4328">
        <v>0.99280729999999995</v>
      </c>
      <c r="AB4328">
        <v>25</v>
      </c>
      <c r="AC4328">
        <v>-0.56110000000001004</v>
      </c>
      <c r="AD4328">
        <v>-0.19069320000000001</v>
      </c>
      <c r="AE4328">
        <v>9.7099999999983297E-2</v>
      </c>
      <c r="AF4328">
        <v>8.9349725129098501E-2</v>
      </c>
      <c r="AG4328">
        <v>-0.19069320000000001</v>
      </c>
      <c r="AH4328">
        <v>0.50416370337208405</v>
      </c>
      <c r="AI4328">
        <v>110.42699903481601</v>
      </c>
      <c r="AJ4328">
        <v>79.950182167541001</v>
      </c>
      <c r="AK4328">
        <v>0.54637744252919196</v>
      </c>
      <c r="AL4328">
        <v>89.101402633334999</v>
      </c>
      <c r="AM4328">
        <v>92.337007372821006</v>
      </c>
      <c r="AN4328">
        <v>1.0000000154736199</v>
      </c>
    </row>
    <row r="4329" spans="1:40" x14ac:dyDescent="0.3">
      <c r="A4329" t="str">
        <f>"20200111160544055"</f>
        <v>20200111160544055</v>
      </c>
      <c r="B4329" t="str">
        <f>"1578729944046251"</f>
        <v>1578729944046251</v>
      </c>
      <c r="C4329" t="s">
        <v>40</v>
      </c>
      <c r="D4329">
        <v>5.6615859999999998</v>
      </c>
      <c r="E4329">
        <v>0.56544079999999997</v>
      </c>
      <c r="F4329" t="s">
        <v>42</v>
      </c>
      <c r="G4329">
        <v>-374.0521</v>
      </c>
      <c r="H4329">
        <v>0.92496750000000005</v>
      </c>
      <c r="I4329">
        <v>141.82640000000001</v>
      </c>
      <c r="J4329">
        <v>-373.49990000000003</v>
      </c>
      <c r="K4329">
        <v>1.1113839999999999</v>
      </c>
      <c r="L4329">
        <v>141.7329</v>
      </c>
      <c r="M4329">
        <v>-0.99979969999999996</v>
      </c>
      <c r="N4329">
        <v>0</v>
      </c>
      <c r="O4329">
        <v>-4.1638860000000003E-3</v>
      </c>
      <c r="P4329">
        <v>-0.99893220000000005</v>
      </c>
      <c r="Q4329">
        <v>-5.6874509999999996E-3</v>
      </c>
      <c r="R4329">
        <v>-4.5851250000000003E-2</v>
      </c>
      <c r="S4329">
        <v>-3.0164789999999999</v>
      </c>
      <c r="T4329">
        <v>-0.71920249999999997</v>
      </c>
      <c r="U4329">
        <v>0.35585020000000001</v>
      </c>
      <c r="V4329">
        <v>-4.1692670000000001E-2</v>
      </c>
      <c r="W4329">
        <v>1.3867239999999999E-2</v>
      </c>
      <c r="X4329">
        <v>0.99903419999999998</v>
      </c>
      <c r="Y4329">
        <v>0.1179153</v>
      </c>
      <c r="Z4329">
        <v>1.479274E-2</v>
      </c>
      <c r="AA4329">
        <v>0.9929135</v>
      </c>
      <c r="AB4329">
        <v>25</v>
      </c>
      <c r="AC4329">
        <v>-0.55219999999997005</v>
      </c>
      <c r="AD4329">
        <v>-0.18641650000000001</v>
      </c>
      <c r="AE4329">
        <v>9.3500000000005898E-2</v>
      </c>
      <c r="AF4329">
        <v>8.6243975614842303E-2</v>
      </c>
      <c r="AG4329">
        <v>-0.18641650000000001</v>
      </c>
      <c r="AH4329">
        <v>0.49676889132827601</v>
      </c>
      <c r="AI4329">
        <v>110.290739355985</v>
      </c>
      <c r="AJ4329">
        <v>80.151055305660805</v>
      </c>
      <c r="AK4329">
        <v>0.53755787241340602</v>
      </c>
      <c r="AL4329">
        <v>89.205440172406398</v>
      </c>
      <c r="AM4329">
        <v>92.389736663680296</v>
      </c>
      <c r="AN4329">
        <v>0.99999995592329205</v>
      </c>
    </row>
    <row r="4330" spans="1:40" x14ac:dyDescent="0.3">
      <c r="A4330" t="str">
        <f>"20200111160544069"</f>
        <v>20200111160544069</v>
      </c>
      <c r="B4330" t="str">
        <f>"1578729944065771"</f>
        <v>1578729944065771</v>
      </c>
      <c r="C4330" t="s">
        <v>40</v>
      </c>
      <c r="D4330">
        <v>5.5843210000000001</v>
      </c>
      <c r="E4330">
        <v>0.56554329999999997</v>
      </c>
      <c r="F4330" t="s">
        <v>42</v>
      </c>
      <c r="G4330">
        <v>-374.26990000000001</v>
      </c>
      <c r="H4330">
        <v>0.92618180000000006</v>
      </c>
      <c r="I4330">
        <v>141.82399999999899</v>
      </c>
      <c r="J4330">
        <v>-373.65559999999999</v>
      </c>
      <c r="K4330">
        <v>1.111399</v>
      </c>
      <c r="L4330">
        <v>141.73220000000001</v>
      </c>
      <c r="M4330">
        <v>-0.99979439999999997</v>
      </c>
      <c r="N4330">
        <v>0</v>
      </c>
      <c r="O4330">
        <v>-4.2440400000000001E-3</v>
      </c>
      <c r="P4330">
        <v>-0.99889870000000003</v>
      </c>
      <c r="Q4330">
        <v>-6.6476729999999998E-3</v>
      </c>
      <c r="R4330">
        <v>-4.644657E-2</v>
      </c>
      <c r="S4330">
        <v>-3.0154109999999998</v>
      </c>
      <c r="T4330">
        <v>-0.72530050000000001</v>
      </c>
      <c r="U4330">
        <v>0.35499570000000003</v>
      </c>
      <c r="V4330">
        <v>-4.2208040000000002E-2</v>
      </c>
      <c r="W4330">
        <v>1.315538E-2</v>
      </c>
      <c r="X4330">
        <v>0.99902219999999997</v>
      </c>
      <c r="Y4330">
        <v>0.1177028</v>
      </c>
      <c r="Z4330">
        <v>1.4913930000000001E-2</v>
      </c>
      <c r="AA4330">
        <v>0.99293679999999995</v>
      </c>
      <c r="AB4330">
        <v>24</v>
      </c>
      <c r="AC4330">
        <v>-0.61430000000001395</v>
      </c>
      <c r="AD4330">
        <v>-0.185217199999999</v>
      </c>
      <c r="AE4330">
        <v>9.1799999999977899E-2</v>
      </c>
      <c r="AF4330">
        <v>8.6697477488421895E-2</v>
      </c>
      <c r="AG4330">
        <v>-0.185217199999999</v>
      </c>
      <c r="AH4330">
        <v>0.56377291397981399</v>
      </c>
      <c r="AI4330">
        <v>107.989364689599</v>
      </c>
      <c r="AJ4330">
        <v>81.2574929390249</v>
      </c>
      <c r="AK4330">
        <v>0.59971806902575997</v>
      </c>
      <c r="AL4330">
        <v>89.246230482229706</v>
      </c>
      <c r="AM4330">
        <v>92.419270735549901</v>
      </c>
      <c r="AN4330">
        <v>0.99999996937821201</v>
      </c>
    </row>
    <row r="4331" spans="1:40" x14ac:dyDescent="0.3">
      <c r="A4331" t="str">
        <f>"20200111160544089"</f>
        <v>20200111160544089</v>
      </c>
      <c r="B4331" t="str">
        <f>"1578729944086268"</f>
        <v>1578729944086268</v>
      </c>
      <c r="C4331" t="s">
        <v>40</v>
      </c>
      <c r="D4331">
        <v>5.3671199999999999</v>
      </c>
      <c r="E4331">
        <v>0.5650906</v>
      </c>
      <c r="F4331" t="s">
        <v>42</v>
      </c>
      <c r="G4331">
        <v>-374.47949999999997</v>
      </c>
      <c r="H4331">
        <v>0.91304839999999998</v>
      </c>
      <c r="I4331">
        <v>141.82910000000001</v>
      </c>
      <c r="J4331">
        <v>-373.86619999999999</v>
      </c>
      <c r="K4331">
        <v>1.1114090000000001</v>
      </c>
      <c r="L4331">
        <v>141.7312</v>
      </c>
      <c r="M4331">
        <v>-0.9997876</v>
      </c>
      <c r="N4331">
        <v>0</v>
      </c>
      <c r="O4331">
        <v>-4.3519800000000001E-3</v>
      </c>
      <c r="P4331">
        <v>-0.99883809999999995</v>
      </c>
      <c r="Q4331">
        <v>-8.6164789999999998E-3</v>
      </c>
      <c r="R4331">
        <v>-4.741571E-2</v>
      </c>
      <c r="S4331">
        <v>-3.014923</v>
      </c>
      <c r="T4331">
        <v>-0.72581969999999996</v>
      </c>
      <c r="U4331">
        <v>0.35418699999999997</v>
      </c>
      <c r="V4331">
        <v>-4.3069690000000001E-2</v>
      </c>
      <c r="W4331">
        <v>1.150374E-2</v>
      </c>
      <c r="X4331">
        <v>0.9990059</v>
      </c>
      <c r="Y4331">
        <v>0.11756079999999999</v>
      </c>
      <c r="Z4331">
        <v>1.493562E-2</v>
      </c>
      <c r="AA4331">
        <v>0.99295339999999999</v>
      </c>
      <c r="AB4331">
        <v>24</v>
      </c>
      <c r="AC4331">
        <v>-0.61329999999998097</v>
      </c>
      <c r="AD4331">
        <v>-0.1983606</v>
      </c>
      <c r="AE4331">
        <v>9.7900000000009799E-2</v>
      </c>
      <c r="AF4331">
        <v>9.1259428141097901E-2</v>
      </c>
      <c r="AG4331">
        <v>-0.1983606</v>
      </c>
      <c r="AH4331">
        <v>0.55613721152900297</v>
      </c>
      <c r="AI4331">
        <v>109.390455519078</v>
      </c>
      <c r="AJ4331">
        <v>80.681091363900805</v>
      </c>
      <c r="AK4331">
        <v>0.59746448338311697</v>
      </c>
      <c r="AL4331">
        <v>89.340869751419802</v>
      </c>
      <c r="AM4331">
        <v>92.468638333072505</v>
      </c>
      <c r="AN4331">
        <v>1.00000006123274</v>
      </c>
    </row>
    <row r="4332" spans="1:40" x14ac:dyDescent="0.3">
      <c r="A4332" t="str">
        <f>"20200111160544111"</f>
        <v>20200111160544111</v>
      </c>
      <c r="B4332" t="str">
        <f>"1578729944105790"</f>
        <v>1578729944105790</v>
      </c>
      <c r="C4332" t="s">
        <v>40</v>
      </c>
      <c r="D4332">
        <v>5.4573390000000002</v>
      </c>
      <c r="E4332">
        <v>0.51218409999999903</v>
      </c>
      <c r="F4332" t="s">
        <v>42</v>
      </c>
      <c r="G4332">
        <v>-374.69290000000001</v>
      </c>
      <c r="H4332">
        <v>0.91191080000000002</v>
      </c>
      <c r="I4332">
        <v>141.8271</v>
      </c>
      <c r="J4332">
        <v>-374.10410000000002</v>
      </c>
      <c r="K4332">
        <v>1.111413</v>
      </c>
      <c r="L4332">
        <v>141.72999999999999</v>
      </c>
      <c r="M4332">
        <v>-0.99978049999999996</v>
      </c>
      <c r="N4332">
        <v>0</v>
      </c>
      <c r="O4332">
        <v>-4.4740359999999998E-3</v>
      </c>
      <c r="P4332">
        <v>-0.99878999999999996</v>
      </c>
      <c r="Q4332">
        <v>-1.0682540000000001E-2</v>
      </c>
      <c r="R4332">
        <v>-4.800778E-2</v>
      </c>
      <c r="S4332">
        <v>-3.013763</v>
      </c>
      <c r="T4332">
        <v>-0.72729409999999906</v>
      </c>
      <c r="U4332">
        <v>0.34832760000000001</v>
      </c>
      <c r="V4332">
        <v>-4.353924E-2</v>
      </c>
      <c r="W4332">
        <v>9.7672030000000003E-3</v>
      </c>
      <c r="X4332">
        <v>0.99900389999999994</v>
      </c>
      <c r="Y4332">
        <v>0.1158492</v>
      </c>
      <c r="Z4332">
        <v>1.47983E-2</v>
      </c>
      <c r="AA4332">
        <v>0.99315659999999895</v>
      </c>
      <c r="AB4332">
        <v>24</v>
      </c>
      <c r="AC4332">
        <v>-0.588799999999992</v>
      </c>
      <c r="AD4332">
        <v>-0.19950219999999999</v>
      </c>
      <c r="AE4332">
        <v>9.7100000000011705E-2</v>
      </c>
      <c r="AF4332">
        <v>8.9707695578356103E-2</v>
      </c>
      <c r="AG4332">
        <v>-0.19950219999999999</v>
      </c>
      <c r="AH4332">
        <v>0.52921210005385</v>
      </c>
      <c r="AI4332">
        <v>110.38896992219399</v>
      </c>
      <c r="AJ4332">
        <v>80.379143004411901</v>
      </c>
      <c r="AK4332">
        <v>0.57263779590088604</v>
      </c>
      <c r="AL4332">
        <v>89.440371551957597</v>
      </c>
      <c r="AM4332">
        <v>92.495522819803199</v>
      </c>
      <c r="AN4332">
        <v>0.99999992794471204</v>
      </c>
    </row>
    <row r="4333" spans="1:40" x14ac:dyDescent="0.3">
      <c r="A4333" t="str">
        <f>"20200111160544156"</f>
        <v>20200111160544156</v>
      </c>
      <c r="B4333" t="str">
        <f>"1578729944146311"</f>
        <v>1578729944146311</v>
      </c>
      <c r="C4333" t="s">
        <v>40</v>
      </c>
      <c r="D4333">
        <v>5.3529519999999904</v>
      </c>
      <c r="E4333">
        <v>0.47175709999999998</v>
      </c>
      <c r="F4333" t="s">
        <v>42</v>
      </c>
      <c r="G4333">
        <v>-374.92039999999997</v>
      </c>
      <c r="H4333">
        <v>0.94034329999999999</v>
      </c>
      <c r="I4333">
        <v>141.71090000000001</v>
      </c>
      <c r="J4333">
        <v>-374.57279999999997</v>
      </c>
      <c r="K4333">
        <v>1.111418</v>
      </c>
      <c r="L4333">
        <v>141.7276</v>
      </c>
      <c r="M4333">
        <v>-0.99976790000000004</v>
      </c>
      <c r="N4333">
        <v>0</v>
      </c>
      <c r="O4333">
        <v>-4.7140009999999998E-3</v>
      </c>
      <c r="P4333">
        <v>-0.99865669999999995</v>
      </c>
      <c r="Q4333">
        <v>-1.2769229999999999E-2</v>
      </c>
      <c r="R4333">
        <v>-5.021602E-2</v>
      </c>
      <c r="S4333">
        <v>-2.9935</v>
      </c>
      <c r="T4333">
        <v>-0.62734559999999995</v>
      </c>
      <c r="U4333">
        <v>-7.0709229999999998E-2</v>
      </c>
      <c r="V4333">
        <v>-4.5508119999999999E-2</v>
      </c>
      <c r="W4333">
        <v>8.2237430000000004E-3</v>
      </c>
      <c r="X4333">
        <v>0.99893010000000004</v>
      </c>
      <c r="Y4333">
        <v>-1.8598920000000001E-2</v>
      </c>
      <c r="Z4333">
        <v>-9.5031680000000004E-4</v>
      </c>
      <c r="AA4333">
        <v>0.99982660000000001</v>
      </c>
      <c r="AB4333">
        <v>24</v>
      </c>
      <c r="AC4333">
        <v>-0.34759999999999902</v>
      </c>
      <c r="AD4333">
        <v>-0.171074699999999</v>
      </c>
      <c r="AE4333">
        <v>-1.66999999999859E-2</v>
      </c>
      <c r="AF4333">
        <v>-1.21295886488537E-2</v>
      </c>
      <c r="AG4333">
        <v>-0.171074699999999</v>
      </c>
      <c r="AH4333">
        <v>0.28000736510345198</v>
      </c>
      <c r="AI4333">
        <v>121.399580696678</v>
      </c>
      <c r="AJ4333">
        <v>92.480434806730798</v>
      </c>
      <c r="AK4333">
        <v>0.32835621573690099</v>
      </c>
      <c r="AL4333">
        <v>89.528808914522202</v>
      </c>
      <c r="AM4333">
        <v>92.608412353496504</v>
      </c>
      <c r="AN4333">
        <v>0.99999998181043703</v>
      </c>
    </row>
    <row r="4334" spans="1:40" x14ac:dyDescent="0.3">
      <c r="A4334" t="str">
        <f>"20200111160544178"</f>
        <v>20200111160544178</v>
      </c>
      <c r="B4334" t="str">
        <f>"1578729944165834"</f>
        <v>1578729944165834</v>
      </c>
      <c r="C4334" t="s">
        <v>40</v>
      </c>
      <c r="D4334">
        <v>5.5041250000000002</v>
      </c>
      <c r="E4334">
        <v>0.46797529999999998</v>
      </c>
      <c r="F4334" t="s">
        <v>41</v>
      </c>
      <c r="G4334">
        <v>-384.34269999999998</v>
      </c>
      <c r="H4334" s="1">
        <v>-2.6328379999999998E-6</v>
      </c>
      <c r="I4334">
        <v>140.45650000000001</v>
      </c>
      <c r="J4334">
        <v>-374.80489999999998</v>
      </c>
      <c r="K4334">
        <v>1.111424</v>
      </c>
      <c r="L4334">
        <v>141.72630000000001</v>
      </c>
      <c r="M4334">
        <v>-0.9997627</v>
      </c>
      <c r="N4334">
        <v>0</v>
      </c>
      <c r="O4334">
        <v>-4.8333830000000001E-3</v>
      </c>
      <c r="P4334">
        <v>-0.99858429999999998</v>
      </c>
      <c r="Q4334">
        <v>-1.3162999999999999E-2</v>
      </c>
      <c r="R4334">
        <v>-5.1538800000000003E-2</v>
      </c>
      <c r="S4334">
        <v>-2.980194</v>
      </c>
      <c r="T4334">
        <v>-0.33902880000000002</v>
      </c>
      <c r="U4334">
        <v>-0.38771060000000002</v>
      </c>
      <c r="V4334">
        <v>-4.6711820000000001E-2</v>
      </c>
      <c r="W4334">
        <v>8.0516110000000002E-3</v>
      </c>
      <c r="X4334">
        <v>0.99887599999999999</v>
      </c>
      <c r="Y4334">
        <v>-0.12346070000000001</v>
      </c>
      <c r="Z4334">
        <v>-6.4249370000000004E-3</v>
      </c>
      <c r="AA4334">
        <v>0.99232860000000001</v>
      </c>
      <c r="AB4334">
        <v>24</v>
      </c>
      <c r="AC4334">
        <v>-9.5378000000000007</v>
      </c>
      <c r="AD4334">
        <v>-1.111426632838</v>
      </c>
      <c r="AE4334">
        <v>-1.2698</v>
      </c>
      <c r="AF4334">
        <v>-1.2075630909664701</v>
      </c>
      <c r="AG4334">
        <v>-1.111426632838</v>
      </c>
      <c r="AH4334">
        <v>9.4181661296258596</v>
      </c>
      <c r="AI4334">
        <v>96.676127285862293</v>
      </c>
      <c r="AJ4334">
        <v>97.306393330453702</v>
      </c>
      <c r="AK4334">
        <v>9.5600905343034199</v>
      </c>
      <c r="AL4334">
        <v>89.538671706619297</v>
      </c>
      <c r="AM4334">
        <v>92.677451144551796</v>
      </c>
      <c r="AN4334">
        <v>1.0000000429717</v>
      </c>
    </row>
    <row r="4335" spans="1:40" x14ac:dyDescent="0.3">
      <c r="A4335" t="str">
        <f>"20200111160544193"</f>
        <v>20200111160544193</v>
      </c>
      <c r="B4335" t="str">
        <f>"1578729944186329"</f>
        <v>1578729944186329</v>
      </c>
      <c r="C4335" t="s">
        <v>40</v>
      </c>
      <c r="D4335">
        <v>5.2406069999999998</v>
      </c>
      <c r="E4335">
        <v>0.46529979999999999</v>
      </c>
      <c r="F4335" t="s">
        <v>41</v>
      </c>
      <c r="G4335">
        <v>-384.76639999999998</v>
      </c>
      <c r="H4335" s="1">
        <v>-2.4139840000000001E-6</v>
      </c>
      <c r="I4335">
        <v>140.31700000000001</v>
      </c>
      <c r="J4335">
        <v>-374.96640000000002</v>
      </c>
      <c r="K4335">
        <v>1.111423</v>
      </c>
      <c r="L4335">
        <v>141.72550000000001</v>
      </c>
      <c r="M4335">
        <v>-0.99975939999999996</v>
      </c>
      <c r="N4335">
        <v>0</v>
      </c>
      <c r="O4335">
        <v>-4.9165249999999997E-3</v>
      </c>
      <c r="P4335">
        <v>-0.99851109999999998</v>
      </c>
      <c r="Q4335">
        <v>-1.3587460000000001E-2</v>
      </c>
      <c r="R4335">
        <v>-5.2829250000000001E-2</v>
      </c>
      <c r="S4335">
        <v>-2.9781490000000002</v>
      </c>
      <c r="T4335">
        <v>-0.33228279999999999</v>
      </c>
      <c r="U4335">
        <v>-0.42132570000000003</v>
      </c>
      <c r="V4335">
        <v>-4.7919330000000003E-2</v>
      </c>
      <c r="W4335">
        <v>7.7564579999999999E-3</v>
      </c>
      <c r="X4335">
        <v>0.99882110000000002</v>
      </c>
      <c r="Y4335">
        <v>-0.13441889999999901</v>
      </c>
      <c r="Z4335">
        <v>-6.894664E-3</v>
      </c>
      <c r="AA4335">
        <v>0.99090060000000002</v>
      </c>
      <c r="AB4335">
        <v>23</v>
      </c>
      <c r="AC4335">
        <v>-9.7999999999999492</v>
      </c>
      <c r="AD4335">
        <v>-1.1114254139839901</v>
      </c>
      <c r="AE4335">
        <v>-1.4085000000000001</v>
      </c>
      <c r="AF4335">
        <v>-1.34336138744152</v>
      </c>
      <c r="AG4335">
        <v>-1.1114254139839901</v>
      </c>
      <c r="AH4335">
        <v>9.6847636206253895</v>
      </c>
      <c r="AI4335">
        <v>96.485082695371801</v>
      </c>
      <c r="AJ4335">
        <v>97.897036188567895</v>
      </c>
      <c r="AK4335">
        <v>9.8404538846288592</v>
      </c>
      <c r="AL4335">
        <v>89.555583239590902</v>
      </c>
      <c r="AM4335">
        <v>92.746709882640602</v>
      </c>
      <c r="AN4335">
        <v>1.0000000073167801</v>
      </c>
    </row>
    <row r="4336" spans="1:40" x14ac:dyDescent="0.3">
      <c r="A4336" t="str">
        <f>"20200111160544223"</f>
        <v>20200111160544223</v>
      </c>
      <c r="B4336" t="str">
        <f>"1578729944215607"</f>
        <v>1578729944215607</v>
      </c>
      <c r="C4336" t="s">
        <v>40</v>
      </c>
      <c r="D4336">
        <v>5.3903359999999996</v>
      </c>
      <c r="E4336">
        <v>0.46509790000000001</v>
      </c>
      <c r="F4336" t="s">
        <v>41</v>
      </c>
      <c r="G4336">
        <v>-384.99380000000002</v>
      </c>
      <c r="H4336" s="1">
        <v>-2.2911570000000001E-6</v>
      </c>
      <c r="I4336">
        <v>140.22210000000001</v>
      </c>
      <c r="J4336">
        <v>-375.27429999999998</v>
      </c>
      <c r="K4336">
        <v>1.1114409999999999</v>
      </c>
      <c r="L4336">
        <v>141.72380000000001</v>
      </c>
      <c r="M4336">
        <v>-0.99975519999999996</v>
      </c>
      <c r="N4336">
        <v>0</v>
      </c>
      <c r="O4336">
        <v>-5.0760500000000004E-3</v>
      </c>
      <c r="P4336">
        <v>-0.99841519999999995</v>
      </c>
      <c r="Q4336">
        <v>-1.154617E-2</v>
      </c>
      <c r="R4336">
        <v>-5.5082869999999999E-2</v>
      </c>
      <c r="S4336">
        <v>-2.9763489999999999</v>
      </c>
      <c r="T4336">
        <v>-0.3298973</v>
      </c>
      <c r="U4336">
        <v>-0.44621280000000002</v>
      </c>
      <c r="V4336">
        <v>-5.0014330000000003E-2</v>
      </c>
      <c r="W4336">
        <v>9.958405E-3</v>
      </c>
      <c r="X4336">
        <v>0.9986988</v>
      </c>
      <c r="Y4336">
        <v>-0.14241709999999999</v>
      </c>
      <c r="Z4336">
        <v>-7.2674080000000004E-3</v>
      </c>
      <c r="AA4336">
        <v>0.98978010000000005</v>
      </c>
      <c r="AB4336">
        <v>23</v>
      </c>
      <c r="AC4336">
        <v>-9.7195000000000302</v>
      </c>
      <c r="AD4336">
        <v>-1.11144329115699</v>
      </c>
      <c r="AE4336">
        <v>-1.50169999999999</v>
      </c>
      <c r="AF4336">
        <v>-1.43401799480528</v>
      </c>
      <c r="AG4336">
        <v>-1.11144329115699</v>
      </c>
      <c r="AH4336">
        <v>9.6043375583363808</v>
      </c>
      <c r="AI4336">
        <v>96.529336616306693</v>
      </c>
      <c r="AJ4336">
        <v>98.492064609602807</v>
      </c>
      <c r="AK4336">
        <v>9.7742014371177195</v>
      </c>
      <c r="AL4336">
        <v>89.429415962139899</v>
      </c>
      <c r="AM4336">
        <v>92.866948488319693</v>
      </c>
      <c r="AN4336">
        <v>0.99999994807846504</v>
      </c>
    </row>
    <row r="4337" spans="1:40" x14ac:dyDescent="0.3">
      <c r="A4337" t="str">
        <f>"20200111160544245"</f>
        <v>20200111160544245</v>
      </c>
      <c r="B4337" t="str">
        <f>"1578729944235636"</f>
        <v>1578729944235636</v>
      </c>
      <c r="C4337" t="s">
        <v>40</v>
      </c>
      <c r="D4337">
        <v>5.3508829999999996</v>
      </c>
      <c r="E4337">
        <v>0.4648101</v>
      </c>
      <c r="F4337" t="s">
        <v>41</v>
      </c>
      <c r="G4337">
        <v>-385.58980000000003</v>
      </c>
      <c r="H4337" s="1">
        <v>-2.0163059999999998E-6</v>
      </c>
      <c r="I4337">
        <v>140.1499</v>
      </c>
      <c r="J4337">
        <v>-375.48779999999999</v>
      </c>
      <c r="K4337">
        <v>1.1114409999999999</v>
      </c>
      <c r="L4337">
        <v>141.7225</v>
      </c>
      <c r="M4337">
        <v>-0.9997547</v>
      </c>
      <c r="N4337">
        <v>0</v>
      </c>
      <c r="O4337">
        <v>-5.1871959999999998E-3</v>
      </c>
      <c r="P4337">
        <v>-0.99838919999999998</v>
      </c>
      <c r="Q4337">
        <v>-8.2120769999999999E-3</v>
      </c>
      <c r="R4337">
        <v>-5.6140200000000001E-2</v>
      </c>
      <c r="S4337">
        <v>-2.976013</v>
      </c>
      <c r="T4337">
        <v>-0.32065310000000002</v>
      </c>
      <c r="U4337">
        <v>-0.45402530000000002</v>
      </c>
      <c r="V4337">
        <v>-5.0961430000000002E-2</v>
      </c>
      <c r="W4337">
        <v>1.3287459999999999E-2</v>
      </c>
      <c r="X4337">
        <v>0.99861219999999995</v>
      </c>
      <c r="Y4337">
        <v>-0.14489540000000001</v>
      </c>
      <c r="Z4337">
        <v>-7.1848429999999998E-3</v>
      </c>
      <c r="AA4337">
        <v>0.98942090000000005</v>
      </c>
      <c r="AB4337">
        <v>23</v>
      </c>
      <c r="AC4337">
        <v>-10.102</v>
      </c>
      <c r="AD4337">
        <v>-1.1114430163059901</v>
      </c>
      <c r="AE4337">
        <v>-1.57259999999999</v>
      </c>
      <c r="AF4337">
        <v>-1.50240947447318</v>
      </c>
      <c r="AG4337">
        <v>-1.1114430163059901</v>
      </c>
      <c r="AH4337">
        <v>9.9919341197798506</v>
      </c>
      <c r="AI4337">
        <v>96.277157850497602</v>
      </c>
      <c r="AJ4337">
        <v>98.551061963601896</v>
      </c>
      <c r="AK4337">
        <v>10.165199814145399</v>
      </c>
      <c r="AL4337">
        <v>89.2386621981681</v>
      </c>
      <c r="AM4337">
        <v>92.921398392588699</v>
      </c>
      <c r="AN4337">
        <v>0.99999997496486703</v>
      </c>
    </row>
    <row r="4338" spans="1:40" x14ac:dyDescent="0.3">
      <c r="A4338" t="str">
        <f>"20200111160544267"</f>
        <v>20200111160544267</v>
      </c>
      <c r="B4338" t="str">
        <f>"1578729944256131"</f>
        <v>1578729944256131</v>
      </c>
      <c r="C4338" t="s">
        <v>40</v>
      </c>
      <c r="D4338">
        <v>5.2905600000000002</v>
      </c>
      <c r="E4338">
        <v>0.46463759999999998</v>
      </c>
      <c r="F4338" t="s">
        <v>41</v>
      </c>
      <c r="G4338">
        <v>-386.23719999999997</v>
      </c>
      <c r="H4338" s="1">
        <v>-1.715342E-6</v>
      </c>
      <c r="I4338">
        <v>140.06270000000001</v>
      </c>
      <c r="J4338">
        <v>-375.71780000000001</v>
      </c>
      <c r="K4338">
        <v>1.1114379999999999</v>
      </c>
      <c r="L4338">
        <v>141.72120000000001</v>
      </c>
      <c r="M4338">
        <v>-0.99975590000000003</v>
      </c>
      <c r="N4338">
        <v>0</v>
      </c>
      <c r="O4338">
        <v>-5.3067949999999996E-3</v>
      </c>
      <c r="P4338">
        <v>-0.99835320000000005</v>
      </c>
      <c r="Q4338">
        <v>-4.1437039999999998E-3</v>
      </c>
      <c r="R4338">
        <v>-5.7217959999999998E-2</v>
      </c>
      <c r="S4338">
        <v>-2.9764710000000001</v>
      </c>
      <c r="T4338">
        <v>-0.30775590000000003</v>
      </c>
      <c r="U4338">
        <v>-0.45957949999999997</v>
      </c>
      <c r="V4338">
        <v>-5.1920130000000002E-2</v>
      </c>
      <c r="W4338">
        <v>1.7272869999999999E-2</v>
      </c>
      <c r="X4338">
        <v>0.99850179999999999</v>
      </c>
      <c r="Y4338">
        <v>-0.1466122</v>
      </c>
      <c r="Z4338">
        <v>-6.9711340000000004E-3</v>
      </c>
      <c r="AA4338">
        <v>0.98916950000000003</v>
      </c>
      <c r="AB4338">
        <v>23</v>
      </c>
      <c r="AC4338">
        <v>-10.5193999999999</v>
      </c>
      <c r="AD4338">
        <v>-1.1114397153419999</v>
      </c>
      <c r="AE4338">
        <v>-1.6585000000000001</v>
      </c>
      <c r="AF4338">
        <v>-1.5853708789693699</v>
      </c>
      <c r="AG4338">
        <v>-1.1114397153419999</v>
      </c>
      <c r="AH4338">
        <v>10.414614217500301</v>
      </c>
      <c r="AI4338">
        <v>96.0226445560522</v>
      </c>
      <c r="AJ4338">
        <v>98.655436085089093</v>
      </c>
      <c r="AK4338">
        <v>10.59305849904</v>
      </c>
      <c r="AL4338">
        <v>89.010288179804505</v>
      </c>
      <c r="AM4338">
        <v>92.976587097149206</v>
      </c>
      <c r="AN4338">
        <v>0.99999994827024496</v>
      </c>
    </row>
    <row r="4339" spans="1:40" x14ac:dyDescent="0.3">
      <c r="A4339" t="str">
        <f>"20200111160544290"</f>
        <v>20200111160544290</v>
      </c>
      <c r="B4339" t="str">
        <f>"1578729944286387"</f>
        <v>1578729944286387</v>
      </c>
      <c r="C4339" t="s">
        <v>40</v>
      </c>
      <c r="D4339">
        <v>5.21976</v>
      </c>
      <c r="E4339">
        <v>0.46504529999999999</v>
      </c>
      <c r="F4339" t="s">
        <v>41</v>
      </c>
      <c r="G4339">
        <v>-386.9273</v>
      </c>
      <c r="H4339" s="1">
        <v>-1.3954410000000001E-6</v>
      </c>
      <c r="I4339">
        <v>139.97309999999999</v>
      </c>
      <c r="J4339">
        <v>-375.94330000000002</v>
      </c>
      <c r="K4339">
        <v>1.111424</v>
      </c>
      <c r="L4339">
        <v>141.7199</v>
      </c>
      <c r="M4339">
        <v>-0.99975809999999998</v>
      </c>
      <c r="N4339">
        <v>0</v>
      </c>
      <c r="O4339">
        <v>-5.4246650000000004E-3</v>
      </c>
      <c r="P4339">
        <v>-0.99834279999999997</v>
      </c>
      <c r="Q4339" s="1">
        <v>-6.4445660000000003E-5</v>
      </c>
      <c r="R4339">
        <v>-5.7550459999999998E-2</v>
      </c>
      <c r="S4339">
        <v>-2.9770810000000001</v>
      </c>
      <c r="T4339">
        <v>-0.29518369999999999</v>
      </c>
      <c r="U4339">
        <v>-0.46424870000000001</v>
      </c>
      <c r="V4339">
        <v>-5.2136130000000003E-2</v>
      </c>
      <c r="W4339">
        <v>2.1219399999999999E-2</v>
      </c>
      <c r="X4339">
        <v>0.99841449999999998</v>
      </c>
      <c r="Y4339">
        <v>-0.14803279999999999</v>
      </c>
      <c r="Z4339">
        <v>-6.743855E-3</v>
      </c>
      <c r="AA4339">
        <v>0.98895949999999999</v>
      </c>
      <c r="AB4339">
        <v>23</v>
      </c>
      <c r="AC4339">
        <v>-10.983999999999901</v>
      </c>
      <c r="AD4339">
        <v>-1.1114253954410001</v>
      </c>
      <c r="AE4339">
        <v>-1.7467999999999999</v>
      </c>
      <c r="AF4339">
        <v>-1.6704946328457</v>
      </c>
      <c r="AG4339">
        <v>-1.1114253954410001</v>
      </c>
      <c r="AH4339">
        <v>10.8846222093901</v>
      </c>
      <c r="AI4339">
        <v>95.763231312943802</v>
      </c>
      <c r="AJ4339">
        <v>98.725270191081606</v>
      </c>
      <c r="AK4339">
        <v>11.068008825852401</v>
      </c>
      <c r="AL4339">
        <v>88.784126652075003</v>
      </c>
      <c r="AM4339">
        <v>92.989208869898604</v>
      </c>
      <c r="AN4339">
        <v>0.99999997639899296</v>
      </c>
    </row>
    <row r="4340" spans="1:40" x14ac:dyDescent="0.3">
      <c r="A4340" t="str">
        <f>"20200111160544312"</f>
        <v>20200111160544312</v>
      </c>
      <c r="B4340" t="str">
        <f>"1578729944305907"</f>
        <v>1578729944305907</v>
      </c>
      <c r="C4340" t="s">
        <v>40</v>
      </c>
      <c r="D4340">
        <v>5.3757580000000003</v>
      </c>
      <c r="E4340">
        <v>0.4649317</v>
      </c>
      <c r="F4340" t="s">
        <v>41</v>
      </c>
      <c r="G4340">
        <v>-387.61700000000002</v>
      </c>
      <c r="H4340" s="1">
        <v>-1.082284E-6</v>
      </c>
      <c r="I4340">
        <v>139.90809999999999</v>
      </c>
      <c r="J4340">
        <v>-376.1721</v>
      </c>
      <c r="K4340">
        <v>1.111405</v>
      </c>
      <c r="L4340">
        <v>141.71850000000001</v>
      </c>
      <c r="M4340">
        <v>-0.99976089999999995</v>
      </c>
      <c r="N4340">
        <v>0</v>
      </c>
      <c r="O4340">
        <v>-5.5447509999999997E-3</v>
      </c>
      <c r="P4340">
        <v>-0.99837189999999998</v>
      </c>
      <c r="Q4340">
        <v>1.88124E-3</v>
      </c>
      <c r="R4340">
        <v>-5.700918E-2</v>
      </c>
      <c r="S4340">
        <v>-2.9783330000000001</v>
      </c>
      <c r="T4340">
        <v>-0.28356130000000002</v>
      </c>
      <c r="U4340">
        <v>-0.46223449999999999</v>
      </c>
      <c r="V4340">
        <v>-5.1474720000000002E-2</v>
      </c>
      <c r="W4340">
        <v>2.299518E-2</v>
      </c>
      <c r="X4340">
        <v>0.99840949999999995</v>
      </c>
      <c r="Y4340">
        <v>-0.14725469999999999</v>
      </c>
      <c r="Z4340">
        <v>-6.4291030000000002E-3</v>
      </c>
      <c r="AA4340">
        <v>0.98907769999999995</v>
      </c>
      <c r="AB4340">
        <v>22</v>
      </c>
      <c r="AC4340">
        <v>-11.444899999999899</v>
      </c>
      <c r="AD4340">
        <v>-1.111406082284</v>
      </c>
      <c r="AE4340">
        <v>-1.81040000000001</v>
      </c>
      <c r="AF4340">
        <v>-1.7309738605463001</v>
      </c>
      <c r="AG4340">
        <v>-1.111406082284</v>
      </c>
      <c r="AH4340">
        <v>11.350341204837299</v>
      </c>
      <c r="AI4340">
        <v>95.528954734252494</v>
      </c>
      <c r="AJ4340">
        <v>98.671032459773102</v>
      </c>
      <c r="AK4340">
        <v>11.5352390288134</v>
      </c>
      <c r="AL4340">
        <v>88.682357066168507</v>
      </c>
      <c r="AM4340">
        <v>92.951369360635397</v>
      </c>
      <c r="AN4340">
        <v>0.99999997739627999</v>
      </c>
    </row>
    <row r="4341" spans="1:40" x14ac:dyDescent="0.3">
      <c r="A4341" t="str">
        <f>"20200111160544333"</f>
        <v>20200111160544333</v>
      </c>
      <c r="B4341" t="str">
        <f>"1578729944325939"</f>
        <v>1578729944325939</v>
      </c>
      <c r="C4341" t="s">
        <v>40</v>
      </c>
      <c r="D4341">
        <v>5.3016220000000001</v>
      </c>
      <c r="E4341">
        <v>0.46502149999999998</v>
      </c>
      <c r="F4341" t="s">
        <v>41</v>
      </c>
      <c r="G4341">
        <v>-388.05340000000001</v>
      </c>
      <c r="H4341" s="1">
        <v>-8.8638499999999905E-7</v>
      </c>
      <c r="I4341">
        <v>139.87540000000001</v>
      </c>
      <c r="J4341">
        <v>-376.38290000000001</v>
      </c>
      <c r="K4341">
        <v>1.111378</v>
      </c>
      <c r="L4341">
        <v>141.71719999999999</v>
      </c>
      <c r="M4341">
        <v>-0.99976489999999996</v>
      </c>
      <c r="N4341">
        <v>0</v>
      </c>
      <c r="O4341">
        <v>-5.6558160000000001E-3</v>
      </c>
      <c r="P4341">
        <v>-0.9984094</v>
      </c>
      <c r="Q4341">
        <v>3.3304020000000001E-3</v>
      </c>
      <c r="R4341">
        <v>-5.628296E-2</v>
      </c>
      <c r="S4341">
        <v>-2.9790040000000002</v>
      </c>
      <c r="T4341">
        <v>-0.27866629999999998</v>
      </c>
      <c r="U4341">
        <v>-0.46209719999999999</v>
      </c>
      <c r="V4341">
        <v>-5.0637229999999998E-2</v>
      </c>
      <c r="W4341">
        <v>2.423032E-2</v>
      </c>
      <c r="X4341">
        <v>0.99842319999999996</v>
      </c>
      <c r="Y4341">
        <v>-0.14708940000000001</v>
      </c>
      <c r="Z4341">
        <v>-6.2992480000000003E-3</v>
      </c>
      <c r="AA4341">
        <v>0.98910310000000001</v>
      </c>
      <c r="AB4341">
        <v>22</v>
      </c>
      <c r="AC4341">
        <v>-11.670500000000001</v>
      </c>
      <c r="AD4341">
        <v>-1.111378886385</v>
      </c>
      <c r="AE4341">
        <v>-1.8417999999999699</v>
      </c>
      <c r="AF4341">
        <v>-1.7601752528397101</v>
      </c>
      <c r="AG4341">
        <v>-1.111378886385</v>
      </c>
      <c r="AH4341">
        <v>11.5782839537528</v>
      </c>
      <c r="AI4341">
        <v>95.421013795341395</v>
      </c>
      <c r="AJ4341">
        <v>98.644137978036895</v>
      </c>
      <c r="AK4341">
        <v>11.763929584264799</v>
      </c>
      <c r="AL4341">
        <v>88.611569131165595</v>
      </c>
      <c r="AM4341">
        <v>92.903393861281202</v>
      </c>
      <c r="AN4341">
        <v>1.0000000618838001</v>
      </c>
    </row>
    <row r="4342" spans="1:40" x14ac:dyDescent="0.3">
      <c r="A4342" t="str">
        <f>"20200111160544357"</f>
        <v>20200111160544357</v>
      </c>
      <c r="B4342" t="str">
        <f>"1578729944346432"</f>
        <v>1578729944346432</v>
      </c>
      <c r="C4342" t="s">
        <v>40</v>
      </c>
      <c r="D4342">
        <v>5.2862080000000002</v>
      </c>
      <c r="E4342">
        <v>0.46508189999999999</v>
      </c>
      <c r="F4342" t="s">
        <v>41</v>
      </c>
      <c r="G4342">
        <v>-388.43869999999998</v>
      </c>
      <c r="H4342" s="1">
        <v>-7.1646459999999996E-7</v>
      </c>
      <c r="I4342">
        <v>139.85810000000001</v>
      </c>
      <c r="J4342">
        <v>-376.60449999999997</v>
      </c>
      <c r="K4342">
        <v>1.1113280000000001</v>
      </c>
      <c r="L4342">
        <v>141.7158</v>
      </c>
      <c r="M4342">
        <v>-0.99977150000000004</v>
      </c>
      <c r="N4342">
        <v>0</v>
      </c>
      <c r="O4342">
        <v>-5.7723719999999996E-3</v>
      </c>
      <c r="P4342">
        <v>-0.99843780000000004</v>
      </c>
      <c r="Q4342">
        <v>4.672654E-3</v>
      </c>
      <c r="R4342">
        <v>-5.5682269999999999E-2</v>
      </c>
      <c r="S4342">
        <v>-2.979797</v>
      </c>
      <c r="T4342">
        <v>-0.27469719999999997</v>
      </c>
      <c r="U4342">
        <v>-0.4594879</v>
      </c>
      <c r="V4342">
        <v>-4.9920440000000003E-2</v>
      </c>
      <c r="W4342">
        <v>2.5228509999999999E-2</v>
      </c>
      <c r="X4342">
        <v>0.9984345</v>
      </c>
      <c r="Y4342">
        <v>-0.14610999999999999</v>
      </c>
      <c r="Z4342">
        <v>-6.1532440000000004E-3</v>
      </c>
      <c r="AA4342">
        <v>0.98924920000000005</v>
      </c>
      <c r="AB4342">
        <v>22</v>
      </c>
      <c r="AC4342">
        <v>-11.834199999999999</v>
      </c>
      <c r="AD4342">
        <v>-1.1113287164646</v>
      </c>
      <c r="AE4342">
        <v>-1.8576999999999899</v>
      </c>
      <c r="AF4342">
        <v>-1.7740742857852401</v>
      </c>
      <c r="AG4342">
        <v>-1.1113287164646</v>
      </c>
      <c r="AH4342">
        <v>11.743654598230499</v>
      </c>
      <c r="AI4342">
        <v>95.345635663951796</v>
      </c>
      <c r="AJ4342">
        <v>98.590524658767805</v>
      </c>
      <c r="AK4342">
        <v>11.928780927239099</v>
      </c>
      <c r="AL4342">
        <v>88.554359457635002</v>
      </c>
      <c r="AM4342">
        <v>92.862331669481094</v>
      </c>
      <c r="AN4342">
        <v>0.99999998941843105</v>
      </c>
    </row>
    <row r="4343" spans="1:40" x14ac:dyDescent="0.3">
      <c r="A4343" t="str">
        <f>"20200111160544379"</f>
        <v>20200111160544379</v>
      </c>
      <c r="B4343" t="str">
        <f>"1578729944375712"</f>
        <v>1578729944375712</v>
      </c>
      <c r="C4343" t="s">
        <v>40</v>
      </c>
      <c r="D4343">
        <v>5.3231669999999998</v>
      </c>
      <c r="E4343">
        <v>0.46492470000000002</v>
      </c>
      <c r="F4343" t="s">
        <v>41</v>
      </c>
      <c r="G4343">
        <v>-388.72629999999998</v>
      </c>
      <c r="H4343" s="1">
        <v>-5.9262459999999897E-7</v>
      </c>
      <c r="I4343">
        <v>139.8563</v>
      </c>
      <c r="J4343">
        <v>-376.8254</v>
      </c>
      <c r="K4343">
        <v>1.1112420000000001</v>
      </c>
      <c r="L4343">
        <v>141.71440000000001</v>
      </c>
      <c r="M4343">
        <v>-0.99978129999999998</v>
      </c>
      <c r="N4343">
        <v>0</v>
      </c>
      <c r="O4343">
        <v>-5.888585E-3</v>
      </c>
      <c r="P4343">
        <v>-0.99842470000000005</v>
      </c>
      <c r="Q4343">
        <v>6.4454079999999997E-3</v>
      </c>
      <c r="R4343">
        <v>-5.5735729999999997E-2</v>
      </c>
      <c r="S4343">
        <v>-2.980499</v>
      </c>
      <c r="T4343">
        <v>-0.27325389999999999</v>
      </c>
      <c r="U4343">
        <v>-0.45719910000000002</v>
      </c>
      <c r="V4343">
        <v>-4.9858350000000003E-2</v>
      </c>
      <c r="W4343">
        <v>2.648551E-2</v>
      </c>
      <c r="X4343">
        <v>0.99840499999999999</v>
      </c>
      <c r="Y4343">
        <v>-0.1452281</v>
      </c>
      <c r="Z4343">
        <v>-6.0693090000000002E-3</v>
      </c>
      <c r="AA4343">
        <v>0.98937960000000003</v>
      </c>
      <c r="AB4343">
        <v>22</v>
      </c>
      <c r="AC4343">
        <v>-11.900899999999901</v>
      </c>
      <c r="AD4343">
        <v>-1.1112425926245999</v>
      </c>
      <c r="AE4343">
        <v>-1.8581000000000001</v>
      </c>
      <c r="AF4343">
        <v>-1.7728845582184101</v>
      </c>
      <c r="AG4343">
        <v>-1.1112425926245999</v>
      </c>
      <c r="AH4343">
        <v>11.8111089012781</v>
      </c>
      <c r="AI4343">
        <v>95.315621810261007</v>
      </c>
      <c r="AJ4343">
        <v>98.536545091388803</v>
      </c>
      <c r="AK4343">
        <v>11.995010347402101</v>
      </c>
      <c r="AL4343">
        <v>88.482314495168694</v>
      </c>
      <c r="AM4343">
        <v>92.858861799069501</v>
      </c>
      <c r="AN4343">
        <v>0.99999994066483899</v>
      </c>
    </row>
    <row r="4344" spans="1:40" x14ac:dyDescent="0.3">
      <c r="A4344" t="str">
        <f>"20200111160544402"</f>
        <v>20200111160544402</v>
      </c>
      <c r="B4344" t="str">
        <f>"1578729944396208"</f>
        <v>1578729944396208</v>
      </c>
      <c r="C4344" t="s">
        <v>40</v>
      </c>
      <c r="D4344">
        <v>5.447241</v>
      </c>
      <c r="E4344">
        <v>0.46466210000000002</v>
      </c>
      <c r="F4344" t="s">
        <v>41</v>
      </c>
      <c r="G4344">
        <v>-389.19830000000002</v>
      </c>
      <c r="H4344" s="1">
        <v>-3.7837119999999998E-7</v>
      </c>
      <c r="I4344">
        <v>139.81209999999999</v>
      </c>
      <c r="J4344">
        <v>-377.04899999999998</v>
      </c>
      <c r="K4344">
        <v>1.111129</v>
      </c>
      <c r="L4344">
        <v>141.71289999999999</v>
      </c>
      <c r="M4344">
        <v>-0.99979320000000005</v>
      </c>
      <c r="N4344">
        <v>0</v>
      </c>
      <c r="O4344">
        <v>-6.0067130000000003E-3</v>
      </c>
      <c r="P4344">
        <v>-0.99840379999999995</v>
      </c>
      <c r="Q4344">
        <v>7.44533E-3</v>
      </c>
      <c r="R4344">
        <v>-5.5987290000000002E-2</v>
      </c>
      <c r="S4344">
        <v>-2.9808650000000001</v>
      </c>
      <c r="T4344">
        <v>-0.26772079999999998</v>
      </c>
      <c r="U4344">
        <v>-0.45826719999999999</v>
      </c>
      <c r="V4344">
        <v>-4.9991639999999997E-2</v>
      </c>
      <c r="W4344">
        <v>2.6846829999999999E-2</v>
      </c>
      <c r="X4344">
        <v>0.99838879999999997</v>
      </c>
      <c r="Y4344">
        <v>-0.14546210000000001</v>
      </c>
      <c r="Z4344">
        <v>-5.9459250000000003E-3</v>
      </c>
      <c r="AA4344">
        <v>0.98934599999999995</v>
      </c>
      <c r="AB4344">
        <v>22</v>
      </c>
      <c r="AC4344">
        <v>-12.149299999999901</v>
      </c>
      <c r="AD4344">
        <v>-1.1111293783712</v>
      </c>
      <c r="AE4344">
        <v>-1.9008</v>
      </c>
      <c r="AF4344">
        <v>-1.8129727263956701</v>
      </c>
      <c r="AG4344">
        <v>-1.1111293783712</v>
      </c>
      <c r="AH4344">
        <v>12.0620212935826</v>
      </c>
      <c r="AI4344">
        <v>95.204980595353504</v>
      </c>
      <c r="AJ4344">
        <v>98.547811926616504</v>
      </c>
      <c r="AK4344">
        <v>12.248013565022401</v>
      </c>
      <c r="AL4344">
        <v>88.461605196085301</v>
      </c>
      <c r="AM4344">
        <v>92.866538309628396</v>
      </c>
      <c r="AN4344">
        <v>1.0000000561581801</v>
      </c>
    </row>
    <row r="4345" spans="1:40" x14ac:dyDescent="0.3">
      <c r="A4345" t="str">
        <f>"20200111160544424"</f>
        <v>20200111160544424</v>
      </c>
      <c r="B4345" t="str">
        <f>"1578729944415731"</f>
        <v>1578729944415731</v>
      </c>
      <c r="C4345" t="s">
        <v>40</v>
      </c>
      <c r="D4345">
        <v>5.5050600000000003</v>
      </c>
      <c r="E4345">
        <v>0.46446589999999999</v>
      </c>
      <c r="F4345" t="s">
        <v>41</v>
      </c>
      <c r="G4345">
        <v>-389.46440000000001</v>
      </c>
      <c r="H4345" s="1">
        <v>-2.590058E-7</v>
      </c>
      <c r="I4345">
        <v>139.79239999999999</v>
      </c>
      <c r="J4345">
        <v>-377.26560000000001</v>
      </c>
      <c r="K4345">
        <v>1.1110370000000001</v>
      </c>
      <c r="L4345">
        <v>141.7115</v>
      </c>
      <c r="M4345">
        <v>-0.99980429999999998</v>
      </c>
      <c r="N4345">
        <v>0</v>
      </c>
      <c r="O4345">
        <v>-6.1169129999999999E-3</v>
      </c>
      <c r="P4345">
        <v>-0.99833570000000005</v>
      </c>
      <c r="Q4345">
        <v>7.2858760000000002E-3</v>
      </c>
      <c r="R4345">
        <v>-5.7209379999999997E-2</v>
      </c>
      <c r="S4345">
        <v>-2.9809269999999999</v>
      </c>
      <c r="T4345">
        <v>-0.26678410000000002</v>
      </c>
      <c r="U4345">
        <v>-0.4610901</v>
      </c>
      <c r="V4345">
        <v>-5.1104280000000002E-2</v>
      </c>
      <c r="W4345">
        <v>2.6068419999999998E-2</v>
      </c>
      <c r="X4345">
        <v>0.99835309999999999</v>
      </c>
      <c r="Y4345">
        <v>-0.14626639999999999</v>
      </c>
      <c r="Z4345">
        <v>-5.9505909999999999E-3</v>
      </c>
      <c r="AA4345">
        <v>0.98922739999999998</v>
      </c>
      <c r="AB4345">
        <v>22</v>
      </c>
      <c r="AC4345">
        <v>-12.1988</v>
      </c>
      <c r="AD4345">
        <v>-1.1110372590058</v>
      </c>
      <c r="AE4345">
        <v>-1.91910000000001</v>
      </c>
      <c r="AF4345">
        <v>-1.8296214798103301</v>
      </c>
      <c r="AG4345">
        <v>-1.1110372590058</v>
      </c>
      <c r="AH4345">
        <v>12.1122665227978</v>
      </c>
      <c r="AI4345">
        <v>95.182508905379294</v>
      </c>
      <c r="AJ4345">
        <v>98.589887510815899</v>
      </c>
      <c r="AK4345">
        <v>12.29995605153</v>
      </c>
      <c r="AL4345">
        <v>88.506220428043093</v>
      </c>
      <c r="AM4345">
        <v>92.930332099693004</v>
      </c>
      <c r="AN4345">
        <v>1.0000000611176101</v>
      </c>
    </row>
    <row r="4346" spans="1:40" x14ac:dyDescent="0.3">
      <c r="A4346" t="str">
        <f>"20200111160544446"</f>
        <v>20200111160544446</v>
      </c>
      <c r="B4346" t="str">
        <f>"1578729944435759"</f>
        <v>1578729944435759</v>
      </c>
      <c r="C4346" t="s">
        <v>40</v>
      </c>
      <c r="D4346">
        <v>5.3798399999999997</v>
      </c>
      <c r="E4346">
        <v>0.46434409999999998</v>
      </c>
      <c r="F4346" t="s">
        <v>41</v>
      </c>
      <c r="G4346">
        <v>-389.55200000000002</v>
      </c>
      <c r="H4346" s="1">
        <v>-2.2023059999999999E-7</v>
      </c>
      <c r="I4346">
        <v>139.78799999999899</v>
      </c>
      <c r="J4346">
        <v>-377.48160000000001</v>
      </c>
      <c r="K4346">
        <v>1.110973</v>
      </c>
      <c r="L4346">
        <v>141.71</v>
      </c>
      <c r="M4346">
        <v>-0.99981410000000004</v>
      </c>
      <c r="N4346">
        <v>0</v>
      </c>
      <c r="O4346">
        <v>-6.227153E-3</v>
      </c>
      <c r="P4346">
        <v>-0.99827549999999998</v>
      </c>
      <c r="Q4346">
        <v>5.7531689999999998E-3</v>
      </c>
      <c r="R4346">
        <v>-5.8422670000000003E-2</v>
      </c>
      <c r="S4346">
        <v>-2.9802550000000001</v>
      </c>
      <c r="T4346">
        <v>-0.26949990000000001</v>
      </c>
      <c r="U4346">
        <v>-0.46653749999999999</v>
      </c>
      <c r="V4346">
        <v>-5.2207629999999998E-2</v>
      </c>
      <c r="W4346">
        <v>2.3970999999999999E-2</v>
      </c>
      <c r="X4346">
        <v>0.99834849999999997</v>
      </c>
      <c r="Y4346">
        <v>-0.14793870000000001</v>
      </c>
      <c r="Z4346">
        <v>-6.0765519999999998E-3</v>
      </c>
      <c r="AA4346">
        <v>0.98897780000000002</v>
      </c>
      <c r="AB4346">
        <v>22</v>
      </c>
      <c r="AC4346">
        <v>-12.0703999999999</v>
      </c>
      <c r="AD4346">
        <v>-1.1109732202306</v>
      </c>
      <c r="AE4346">
        <v>-1.9220000000000199</v>
      </c>
      <c r="AF4346">
        <v>-1.8316527084546499</v>
      </c>
      <c r="AG4346">
        <v>-1.1109732202306</v>
      </c>
      <c r="AH4346">
        <v>11.983130837705501</v>
      </c>
      <c r="AI4346">
        <v>95.236358469436794</v>
      </c>
      <c r="AJ4346">
        <v>98.690543768884197</v>
      </c>
      <c r="AK4346">
        <v>12.1731112626981</v>
      </c>
      <c r="AL4346">
        <v>88.626431285150602</v>
      </c>
      <c r="AM4346">
        <v>92.993498375059801</v>
      </c>
      <c r="AN4346">
        <v>0.99999998646173305</v>
      </c>
    </row>
    <row r="4347" spans="1:40" x14ac:dyDescent="0.3">
      <c r="A4347" t="str">
        <f>"20200111160544468"</f>
        <v>20200111160544468</v>
      </c>
      <c r="B4347" t="str">
        <f>"1578729944466011"</f>
        <v>1578729944466011</v>
      </c>
      <c r="C4347" t="s">
        <v>40</v>
      </c>
      <c r="D4347">
        <v>5.4023659999999998</v>
      </c>
      <c r="E4347">
        <v>0.46399550000000001</v>
      </c>
      <c r="F4347" t="s">
        <v>41</v>
      </c>
      <c r="G4347">
        <v>-389.44470000000001</v>
      </c>
      <c r="H4347" s="1">
        <v>-2.7434629999999999E-7</v>
      </c>
      <c r="I4347">
        <v>139.8184</v>
      </c>
      <c r="J4347">
        <v>-377.7029</v>
      </c>
      <c r="K4347">
        <v>1.110922</v>
      </c>
      <c r="L4347">
        <v>141.70849999999999</v>
      </c>
      <c r="M4347">
        <v>-0.99982300000000002</v>
      </c>
      <c r="N4347">
        <v>0</v>
      </c>
      <c r="O4347">
        <v>-6.3449999999999999E-3</v>
      </c>
      <c r="P4347">
        <v>-0.99823459999999997</v>
      </c>
      <c r="Q4347">
        <v>4.5769490000000003E-3</v>
      </c>
      <c r="R4347">
        <v>-5.9218680000000003E-2</v>
      </c>
      <c r="S4347">
        <v>-2.9792480000000001</v>
      </c>
      <c r="T4347">
        <v>-0.27667580000000003</v>
      </c>
      <c r="U4347">
        <v>-0.47106930000000002</v>
      </c>
      <c r="V4347">
        <v>-5.2886170000000003E-2</v>
      </c>
      <c r="W4347">
        <v>2.2255790000000001E-2</v>
      </c>
      <c r="X4347">
        <v>0.99835249999999998</v>
      </c>
      <c r="Y4347">
        <v>-0.1493053</v>
      </c>
      <c r="Z4347">
        <v>-6.2911080000000001E-3</v>
      </c>
      <c r="AA4347">
        <v>0.98877110000000001</v>
      </c>
      <c r="AB4347">
        <v>22</v>
      </c>
      <c r="AC4347">
        <v>-11.7418</v>
      </c>
      <c r="AD4347">
        <v>-1.1109222743463001</v>
      </c>
      <c r="AE4347">
        <v>-1.8900999999999799</v>
      </c>
      <c r="AF4347">
        <v>-1.7998440792641299</v>
      </c>
      <c r="AG4347">
        <v>-1.1109222743463001</v>
      </c>
      <c r="AH4347">
        <v>11.6518901325252</v>
      </c>
      <c r="AI4347">
        <v>95.382811876305894</v>
      </c>
      <c r="AJ4347">
        <v>98.780963958578496</v>
      </c>
      <c r="AK4347">
        <v>11.842302591546099</v>
      </c>
      <c r="AL4347">
        <v>88.724731858969093</v>
      </c>
      <c r="AM4347">
        <v>93.032320454348394</v>
      </c>
      <c r="AN4347">
        <v>0.99999999071102097</v>
      </c>
    </row>
    <row r="4348" spans="1:40" x14ac:dyDescent="0.3">
      <c r="A4348" t="str">
        <f>"20200111160544491"</f>
        <v>20200111160544491</v>
      </c>
      <c r="B4348" t="str">
        <f>"1578729944486508"</f>
        <v>1578729944486508</v>
      </c>
      <c r="C4348" t="s">
        <v>40</v>
      </c>
      <c r="D4348">
        <v>5.437449</v>
      </c>
      <c r="E4348">
        <v>0.46392369999999999</v>
      </c>
      <c r="F4348" t="s">
        <v>41</v>
      </c>
      <c r="G4348">
        <v>-389.41210000000001</v>
      </c>
      <c r="H4348" s="1">
        <v>-2.9280789999999999E-7</v>
      </c>
      <c r="I4348">
        <v>139.83529999999999</v>
      </c>
      <c r="J4348">
        <v>-377.92829999999998</v>
      </c>
      <c r="K4348">
        <v>1.110886</v>
      </c>
      <c r="L4348">
        <v>141.70689999999999</v>
      </c>
      <c r="M4348">
        <v>-0.99983109999999997</v>
      </c>
      <c r="N4348">
        <v>0</v>
      </c>
      <c r="O4348">
        <v>-6.4672870000000004E-3</v>
      </c>
      <c r="P4348">
        <v>-0.99823240000000002</v>
      </c>
      <c r="Q4348">
        <v>3.3065830000000001E-3</v>
      </c>
      <c r="R4348">
        <v>-5.9338080000000001E-2</v>
      </c>
      <c r="S4348">
        <v>-2.9783330000000001</v>
      </c>
      <c r="T4348">
        <v>-0.2825744</v>
      </c>
      <c r="U4348">
        <v>-0.47644039999999999</v>
      </c>
      <c r="V4348">
        <v>-5.288296E-2</v>
      </c>
      <c r="W4348">
        <v>2.0473310000000002E-2</v>
      </c>
      <c r="X4348">
        <v>0.99839080000000002</v>
      </c>
      <c r="Y4348">
        <v>-0.15093770000000001</v>
      </c>
      <c r="Z4348">
        <v>-6.4909769999999898E-3</v>
      </c>
      <c r="AA4348">
        <v>0.98852200000000001</v>
      </c>
      <c r="AB4348">
        <v>22</v>
      </c>
      <c r="AC4348">
        <v>-11.4838</v>
      </c>
      <c r="AD4348">
        <v>-1.1108862928079</v>
      </c>
      <c r="AE4348">
        <v>-1.8715999999999999</v>
      </c>
      <c r="AF4348">
        <v>-1.7810456118746001</v>
      </c>
      <c r="AG4348">
        <v>-1.1108862928079</v>
      </c>
      <c r="AH4348">
        <v>11.391822984488501</v>
      </c>
      <c r="AI4348">
        <v>95.503216517512698</v>
      </c>
      <c r="AJ4348">
        <v>98.885928498053801</v>
      </c>
      <c r="AK4348">
        <v>11.5836014579683</v>
      </c>
      <c r="AL4348">
        <v>88.826883754068206</v>
      </c>
      <c r="AM4348">
        <v>93.032020645898498</v>
      </c>
      <c r="AN4348">
        <v>0.99999997670267804</v>
      </c>
    </row>
    <row r="4349" spans="1:40" x14ac:dyDescent="0.3">
      <c r="A4349" t="str">
        <f>"20200111160544513"</f>
        <v>20200111160544513</v>
      </c>
      <c r="B4349" t="str">
        <f>"1578729944506028"</f>
        <v>1578729944506028</v>
      </c>
      <c r="C4349" t="s">
        <v>40</v>
      </c>
      <c r="D4349">
        <v>5.4511019999999997</v>
      </c>
      <c r="E4349">
        <v>0.46400259999999999</v>
      </c>
      <c r="F4349" t="s">
        <v>41</v>
      </c>
      <c r="G4349">
        <v>-389.37619999999998</v>
      </c>
      <c r="H4349" s="1">
        <v>-3.1789279999999999E-7</v>
      </c>
      <c r="I4349">
        <v>139.8716</v>
      </c>
      <c r="J4349">
        <v>-378.14859999999999</v>
      </c>
      <c r="K4349">
        <v>1.1108629999999999</v>
      </c>
      <c r="L4349">
        <v>141.70529999999999</v>
      </c>
      <c r="M4349">
        <v>-0.99983820000000001</v>
      </c>
      <c r="N4349">
        <v>0</v>
      </c>
      <c r="O4349">
        <v>-6.5859319999999897E-3</v>
      </c>
      <c r="P4349">
        <v>-0.99828139999999999</v>
      </c>
      <c r="Q4349">
        <v>3.141526E-3</v>
      </c>
      <c r="R4349">
        <v>-5.8521719999999999E-2</v>
      </c>
      <c r="S4349">
        <v>-2.9779360000000001</v>
      </c>
      <c r="T4349">
        <v>-0.28897630000000002</v>
      </c>
      <c r="U4349">
        <v>-0.47738649999999999</v>
      </c>
      <c r="V4349">
        <v>-5.1947149999999997E-2</v>
      </c>
      <c r="W4349">
        <v>1.9853539999999999E-2</v>
      </c>
      <c r="X4349">
        <v>0.99845249999999997</v>
      </c>
      <c r="Y4349">
        <v>-0.1511179</v>
      </c>
      <c r="Z4349">
        <v>-6.6353319999999999E-3</v>
      </c>
      <c r="AA4349">
        <v>0.98849350000000002</v>
      </c>
      <c r="AB4349">
        <v>22</v>
      </c>
      <c r="AC4349">
        <v>-11.227599999999899</v>
      </c>
      <c r="AD4349">
        <v>-1.1108633178928</v>
      </c>
      <c r="AE4349">
        <v>-1.8336999999999899</v>
      </c>
      <c r="AF4349">
        <v>-1.74308554729998</v>
      </c>
      <c r="AG4349">
        <v>-1.1108633178928</v>
      </c>
      <c r="AH4349">
        <v>11.133280322220299</v>
      </c>
      <c r="AI4349">
        <v>95.629898538506396</v>
      </c>
      <c r="AJ4349">
        <v>98.898293995931397</v>
      </c>
      <c r="AK4349">
        <v>11.3235283931018</v>
      </c>
      <c r="AL4349">
        <v>88.8624012445446</v>
      </c>
      <c r="AM4349">
        <v>92.978280153822496</v>
      </c>
      <c r="AN4349">
        <v>1.00000003209995</v>
      </c>
    </row>
    <row r="4350" spans="1:40" x14ac:dyDescent="0.3">
      <c r="A4350" t="str">
        <f>"20200111160544534"</f>
        <v>20200111160544534</v>
      </c>
      <c r="B4350" t="str">
        <f>"1578729944526055"</f>
        <v>1578729944526055</v>
      </c>
      <c r="C4350" t="s">
        <v>40</v>
      </c>
      <c r="D4350">
        <v>5.4913249999999998</v>
      </c>
      <c r="E4350">
        <v>0.46396419999999999</v>
      </c>
      <c r="F4350" t="s">
        <v>41</v>
      </c>
      <c r="G4350">
        <v>-389.49209999999999</v>
      </c>
      <c r="H4350" s="1">
        <v>-2.7553890000000002E-7</v>
      </c>
      <c r="I4350">
        <v>139.89940000000001</v>
      </c>
      <c r="J4350">
        <v>-378.35719999999998</v>
      </c>
      <c r="K4350">
        <v>1.1108559999999901</v>
      </c>
      <c r="L4350">
        <v>141.7038</v>
      </c>
      <c r="M4350">
        <v>-0.99984379999999995</v>
      </c>
      <c r="N4350">
        <v>0</v>
      </c>
      <c r="O4350">
        <v>-6.6949210000000004E-3</v>
      </c>
      <c r="P4350">
        <v>-0.99832140000000003</v>
      </c>
      <c r="Q4350">
        <v>3.5721989999999999E-3</v>
      </c>
      <c r="R4350">
        <v>-5.780909E-2</v>
      </c>
      <c r="S4350">
        <v>-2.9783019999999998</v>
      </c>
      <c r="T4350">
        <v>-0.291664799999999</v>
      </c>
      <c r="U4350">
        <v>-0.47413640000000001</v>
      </c>
      <c r="V4350">
        <v>-5.1125820000000002E-2</v>
      </c>
      <c r="W4350">
        <v>1.990074E-2</v>
      </c>
      <c r="X4350">
        <v>0.99849390000000005</v>
      </c>
      <c r="Y4350">
        <v>-0.14993290000000001</v>
      </c>
      <c r="Z4350">
        <v>-6.6284359999999997E-3</v>
      </c>
      <c r="AA4350">
        <v>0.98867389999999999</v>
      </c>
      <c r="AB4350">
        <v>22</v>
      </c>
      <c r="AC4350">
        <v>-11.1349</v>
      </c>
      <c r="AD4350">
        <v>-1.11085627553889</v>
      </c>
      <c r="AE4350">
        <v>-1.80439999999998</v>
      </c>
      <c r="AF4350">
        <v>-1.7131876693668699</v>
      </c>
      <c r="AG4350">
        <v>-1.11085627553889</v>
      </c>
      <c r="AH4350">
        <v>11.039668731762101</v>
      </c>
      <c r="AI4350">
        <v>95.678476423584101</v>
      </c>
      <c r="AJ4350">
        <v>98.821066891991293</v>
      </c>
      <c r="AK4350">
        <v>11.2269007015481</v>
      </c>
      <c r="AL4350">
        <v>88.859696288452596</v>
      </c>
      <c r="AM4350">
        <v>92.9311523886022</v>
      </c>
      <c r="AN4350">
        <v>0.99999997863021395</v>
      </c>
    </row>
    <row r="4351" spans="1:40" x14ac:dyDescent="0.3">
      <c r="A4351" t="str">
        <f>"20200111160544558"</f>
        <v>20200111160544558</v>
      </c>
      <c r="B4351" t="str">
        <f>"1578729944546552"</f>
        <v>1578729944546552</v>
      </c>
      <c r="C4351" t="s">
        <v>40</v>
      </c>
      <c r="D4351">
        <v>5.4930659999999998</v>
      </c>
      <c r="E4351">
        <v>0.46392470000000002</v>
      </c>
      <c r="F4351" t="s">
        <v>41</v>
      </c>
      <c r="G4351">
        <v>-389.666</v>
      </c>
      <c r="H4351" s="1">
        <v>-2.040872E-7</v>
      </c>
      <c r="I4351">
        <v>139.91120000000001</v>
      </c>
      <c r="J4351">
        <v>-378.57429999999999</v>
      </c>
      <c r="K4351">
        <v>1.110854</v>
      </c>
      <c r="L4351">
        <v>141.7022</v>
      </c>
      <c r="M4351">
        <v>-0.99984879999999998</v>
      </c>
      <c r="N4351">
        <v>0</v>
      </c>
      <c r="O4351">
        <v>-6.8039719999999897E-3</v>
      </c>
      <c r="P4351">
        <v>-0.99835680000000004</v>
      </c>
      <c r="Q4351">
        <v>4.8479209999999998E-3</v>
      </c>
      <c r="R4351">
        <v>-5.7099120000000003E-2</v>
      </c>
      <c r="S4351">
        <v>-2.97879</v>
      </c>
      <c r="T4351">
        <v>-0.2926049</v>
      </c>
      <c r="U4351">
        <v>-0.47215269999999998</v>
      </c>
      <c r="V4351">
        <v>-5.0306400000000001E-2</v>
      </c>
      <c r="W4351">
        <v>2.0822750000000001E-2</v>
      </c>
      <c r="X4351">
        <v>0.99851670000000003</v>
      </c>
      <c r="Y4351">
        <v>-0.1491577</v>
      </c>
      <c r="Z4351">
        <v>-6.600608E-3</v>
      </c>
      <c r="AA4351">
        <v>0.98879139999999999</v>
      </c>
      <c r="AB4351">
        <v>22</v>
      </c>
      <c r="AC4351">
        <v>-11.091699999999999</v>
      </c>
      <c r="AD4351">
        <v>-1.1108542040872</v>
      </c>
      <c r="AE4351">
        <v>-1.7909999999999899</v>
      </c>
      <c r="AF4351">
        <v>-1.6988738885208801</v>
      </c>
      <c r="AG4351">
        <v>-1.1108542040872</v>
      </c>
      <c r="AH4351">
        <v>10.9961377832098</v>
      </c>
      <c r="AI4351">
        <v>95.701386420473199</v>
      </c>
      <c r="AJ4351">
        <v>98.782605485708103</v>
      </c>
      <c r="AK4351">
        <v>11.181914670536999</v>
      </c>
      <c r="AL4351">
        <v>88.806858027611597</v>
      </c>
      <c r="AM4351">
        <v>92.884187513635297</v>
      </c>
      <c r="AN4351">
        <v>0.99999996048870499</v>
      </c>
    </row>
    <row r="4352" spans="1:40" x14ac:dyDescent="0.3">
      <c r="A4352" t="str">
        <f>"20200111160544580"</f>
        <v>20200111160544580</v>
      </c>
      <c r="B4352" t="str">
        <f>"1578729944575832"</f>
        <v>1578729944575832</v>
      </c>
      <c r="C4352" t="s">
        <v>40</v>
      </c>
      <c r="D4352">
        <v>5.5745579999999997</v>
      </c>
      <c r="E4352">
        <v>0.46373959999999997</v>
      </c>
      <c r="F4352" t="s">
        <v>41</v>
      </c>
      <c r="G4352">
        <v>-389.96530000000001</v>
      </c>
      <c r="H4352" s="1">
        <v>-4.3389839999999999E-6</v>
      </c>
      <c r="I4352">
        <v>139.90450000000001</v>
      </c>
      <c r="J4352">
        <v>-378.79419999999999</v>
      </c>
      <c r="K4352">
        <v>1.1108549999999999</v>
      </c>
      <c r="L4352">
        <v>141.70050000000001</v>
      </c>
      <c r="M4352">
        <v>-0.9998532</v>
      </c>
      <c r="N4352">
        <v>0</v>
      </c>
      <c r="O4352">
        <v>-6.9109559999999898E-3</v>
      </c>
      <c r="P4352">
        <v>-0.99833989999999995</v>
      </c>
      <c r="Q4352">
        <v>6.4215599999999998E-3</v>
      </c>
      <c r="R4352">
        <v>-5.7239400000000003E-2</v>
      </c>
      <c r="S4352">
        <v>-2.9794619999999998</v>
      </c>
      <c r="T4352">
        <v>-0.2905604</v>
      </c>
      <c r="U4352">
        <v>-0.4701843</v>
      </c>
      <c r="V4352">
        <v>-5.0340759999999998E-2</v>
      </c>
      <c r="W4352">
        <v>2.2078449999999999E-2</v>
      </c>
      <c r="X4352">
        <v>0.99848800000000004</v>
      </c>
      <c r="Y4352">
        <v>-0.14839369999999999</v>
      </c>
      <c r="Z4352">
        <v>-6.5063019999999899E-3</v>
      </c>
      <c r="AA4352">
        <v>0.98890699999999998</v>
      </c>
      <c r="AB4352">
        <v>22</v>
      </c>
      <c r="AC4352">
        <v>-11.171099999999999</v>
      </c>
      <c r="AD4352">
        <v>-1.110859338984</v>
      </c>
      <c r="AE4352">
        <v>-1.79599999999999</v>
      </c>
      <c r="AF4352">
        <v>-1.7023353857552399</v>
      </c>
      <c r="AG4352">
        <v>-1.110859338984</v>
      </c>
      <c r="AH4352">
        <v>11.0764777837552</v>
      </c>
      <c r="AI4352">
        <v>95.661012635737606</v>
      </c>
      <c r="AJ4352">
        <v>98.737379090134397</v>
      </c>
      <c r="AK4352">
        <v>11.261452585285101</v>
      </c>
      <c r="AL4352">
        <v>88.7348951613575</v>
      </c>
      <c r="AM4352">
        <v>92.886236943712206</v>
      </c>
      <c r="AN4352">
        <v>0.99999996810788905</v>
      </c>
    </row>
    <row r="4353" spans="1:40" x14ac:dyDescent="0.3">
      <c r="A4353" t="str">
        <f>"20200111160544603"</f>
        <v>20200111160544603</v>
      </c>
      <c r="B4353" t="str">
        <f>"1578729944596327"</f>
        <v>1578729944596327</v>
      </c>
      <c r="C4353" t="s">
        <v>40</v>
      </c>
      <c r="D4353">
        <v>5.5554290000000002</v>
      </c>
      <c r="E4353">
        <v>0.46366869999999999</v>
      </c>
      <c r="F4353" t="s">
        <v>41</v>
      </c>
      <c r="G4353">
        <v>-390.24869999999999</v>
      </c>
      <c r="H4353" s="1">
        <v>-4.2372739999999998E-6</v>
      </c>
      <c r="I4353">
        <v>139.88570000000001</v>
      </c>
      <c r="J4353">
        <v>-379.01609999999999</v>
      </c>
      <c r="K4353">
        <v>1.110843</v>
      </c>
      <c r="L4353">
        <v>141.69890000000001</v>
      </c>
      <c r="M4353">
        <v>-0.99985679999999999</v>
      </c>
      <c r="N4353">
        <v>0</v>
      </c>
      <c r="O4353">
        <v>-7.0146569999999997E-3</v>
      </c>
      <c r="P4353">
        <v>-0.99833079999999996</v>
      </c>
      <c r="Q4353">
        <v>7.7238810000000001E-3</v>
      </c>
      <c r="R4353">
        <v>-5.7237040000000003E-2</v>
      </c>
      <c r="S4353">
        <v>-2.9797669999999998</v>
      </c>
      <c r="T4353">
        <v>-0.28897689999999998</v>
      </c>
      <c r="U4353">
        <v>-0.4720917</v>
      </c>
      <c r="V4353">
        <v>-5.0234380000000002E-2</v>
      </c>
      <c r="W4353">
        <v>2.3098629999999998E-2</v>
      </c>
      <c r="X4353">
        <v>0.99847030000000003</v>
      </c>
      <c r="Y4353">
        <v>-0.14889859999999999</v>
      </c>
      <c r="Z4353">
        <v>-6.4843449999999999E-3</v>
      </c>
      <c r="AA4353">
        <v>0.98883120000000002</v>
      </c>
      <c r="AB4353">
        <v>22</v>
      </c>
      <c r="AC4353">
        <v>-11.2325999999999</v>
      </c>
      <c r="AD4353">
        <v>-1.1108472372739999</v>
      </c>
      <c r="AE4353">
        <v>-1.8131999999999899</v>
      </c>
      <c r="AF4353">
        <v>-1.7179777202294899</v>
      </c>
      <c r="AG4353">
        <v>-1.1108472372739999</v>
      </c>
      <c r="AH4353">
        <v>11.138870208831401</v>
      </c>
      <c r="AI4353">
        <v>95.628989656191493</v>
      </c>
      <c r="AJ4353">
        <v>98.767794845262898</v>
      </c>
      <c r="AK4353">
        <v>11.325186910641101</v>
      </c>
      <c r="AL4353">
        <v>88.676428259291697</v>
      </c>
      <c r="AM4353">
        <v>92.880199004209203</v>
      </c>
      <c r="AN4353">
        <v>0.99999998981197502</v>
      </c>
    </row>
    <row r="4354" spans="1:40" x14ac:dyDescent="0.3">
      <c r="A4354" t="str">
        <f>"20200111160544625"</f>
        <v>20200111160544625</v>
      </c>
      <c r="B4354" t="str">
        <f>"1578729944615850"</f>
        <v>1578729944615850</v>
      </c>
      <c r="C4354" t="s">
        <v>40</v>
      </c>
      <c r="D4354">
        <v>7.915432</v>
      </c>
      <c r="E4354">
        <v>0.46362629999999999</v>
      </c>
      <c r="F4354" t="s">
        <v>41</v>
      </c>
      <c r="G4354">
        <v>-390.53919999999999</v>
      </c>
      <c r="H4354" s="1">
        <v>-4.1090239999999998E-6</v>
      </c>
      <c r="I4354">
        <v>139.87209999999999</v>
      </c>
      <c r="J4354">
        <v>-379.22969999999998</v>
      </c>
      <c r="K4354">
        <v>1.110822</v>
      </c>
      <c r="L4354">
        <v>141.69730000000001</v>
      </c>
      <c r="M4354">
        <v>-0.99985990000000002</v>
      </c>
      <c r="N4354">
        <v>0</v>
      </c>
      <c r="O4354">
        <v>-7.109916E-3</v>
      </c>
      <c r="P4354">
        <v>-0.99830600000000003</v>
      </c>
      <c r="Q4354">
        <v>7.2822340000000003E-3</v>
      </c>
      <c r="R4354">
        <v>-5.7726609999999998E-2</v>
      </c>
      <c r="S4354">
        <v>-2.9801639999999998</v>
      </c>
      <c r="T4354">
        <v>-0.28729199999999999</v>
      </c>
      <c r="U4354">
        <v>-0.4724274</v>
      </c>
      <c r="V4354">
        <v>-5.062842E-2</v>
      </c>
      <c r="W4354">
        <v>2.2420740000000002E-2</v>
      </c>
      <c r="X4354">
        <v>0.99846579999999996</v>
      </c>
      <c r="Y4354">
        <v>-0.1489009</v>
      </c>
      <c r="Z4354">
        <v>-6.4368169999999897E-3</v>
      </c>
      <c r="AA4354">
        <v>0.98883120000000002</v>
      </c>
      <c r="AB4354">
        <v>22</v>
      </c>
      <c r="AC4354">
        <v>-11.3095</v>
      </c>
      <c r="AD4354">
        <v>-1.1108261090239999</v>
      </c>
      <c r="AE4354">
        <v>-1.8252000000000199</v>
      </c>
      <c r="AF4354">
        <v>-1.7284831385627799</v>
      </c>
      <c r="AG4354">
        <v>-1.1108261090239999</v>
      </c>
      <c r="AH4354">
        <v>11.2167284270478</v>
      </c>
      <c r="AI4354">
        <v>95.590172146781498</v>
      </c>
      <c r="AJ4354">
        <v>98.760296341885294</v>
      </c>
      <c r="AK4354">
        <v>11.4033585057617</v>
      </c>
      <c r="AL4354">
        <v>88.715278496165595</v>
      </c>
      <c r="AM4354">
        <v>92.902765943881903</v>
      </c>
      <c r="AN4354">
        <v>0.99999994013173998</v>
      </c>
    </row>
    <row r="4355" spans="1:40" x14ac:dyDescent="0.3">
      <c r="A4355" t="str">
        <f>"20200111160544646"</f>
        <v>20200111160544646</v>
      </c>
      <c r="B4355" t="str">
        <f>"1578729944635873"</f>
        <v>1578729944635873</v>
      </c>
      <c r="C4355" t="s">
        <v>40</v>
      </c>
      <c r="D4355">
        <v>5.7452540000000001</v>
      </c>
      <c r="E4355">
        <v>0.46344730000000001</v>
      </c>
      <c r="F4355" t="s">
        <v>41</v>
      </c>
      <c r="G4355">
        <v>-390.69909999999999</v>
      </c>
      <c r="H4355" s="1">
        <v>-4.0403099999999999E-6</v>
      </c>
      <c r="I4355">
        <v>139.8715</v>
      </c>
      <c r="J4355">
        <v>-379.44279999999998</v>
      </c>
      <c r="K4355">
        <v>1.1108049999999901</v>
      </c>
      <c r="L4355">
        <v>141.69560000000001</v>
      </c>
      <c r="M4355">
        <v>-0.99986220000000003</v>
      </c>
      <c r="N4355">
        <v>0</v>
      </c>
      <c r="O4355">
        <v>-7.1998469999999997E-3</v>
      </c>
      <c r="P4355">
        <v>-0.99827659999999996</v>
      </c>
      <c r="Q4355">
        <v>6.6351669999999904E-3</v>
      </c>
      <c r="R4355">
        <v>-5.8309569999999998E-2</v>
      </c>
      <c r="S4355">
        <v>-2.979797</v>
      </c>
      <c r="T4355">
        <v>-0.2885973</v>
      </c>
      <c r="U4355">
        <v>-0.47430420000000001</v>
      </c>
      <c r="V4355">
        <v>-5.1122149999999998E-2</v>
      </c>
      <c r="W4355">
        <v>2.1568360000000002E-2</v>
      </c>
      <c r="X4355">
        <v>0.99845950000000006</v>
      </c>
      <c r="Y4355">
        <v>-0.14943029999999999</v>
      </c>
      <c r="Z4355">
        <v>-6.4831860000000002E-3</v>
      </c>
      <c r="AA4355">
        <v>0.98875100000000005</v>
      </c>
      <c r="AB4355">
        <v>22</v>
      </c>
      <c r="AC4355">
        <v>-11.2563</v>
      </c>
      <c r="AD4355">
        <v>-1.1108090403099899</v>
      </c>
      <c r="AE4355">
        <v>-1.82410000000001</v>
      </c>
      <c r="AF4355">
        <v>-1.7266157941134901</v>
      </c>
      <c r="AG4355">
        <v>-1.1108090403099899</v>
      </c>
      <c r="AH4355">
        <v>11.1632128813114</v>
      </c>
      <c r="AI4355">
        <v>95.616233386750594</v>
      </c>
      <c r="AJ4355">
        <v>98.792276364641793</v>
      </c>
      <c r="AK4355">
        <v>11.350437024978101</v>
      </c>
      <c r="AL4355">
        <v>88.764128193947201</v>
      </c>
      <c r="AM4355">
        <v>92.931043150451003</v>
      </c>
      <c r="AN4355">
        <v>1.0000000207569799</v>
      </c>
    </row>
    <row r="4356" spans="1:40" x14ac:dyDescent="0.3">
      <c r="A4356" t="str">
        <f>"20200111160544670"</f>
        <v>20200111160544670</v>
      </c>
      <c r="B4356" t="str">
        <f>"1578729944666130"</f>
        <v>1578729944666130</v>
      </c>
      <c r="C4356" t="s">
        <v>40</v>
      </c>
      <c r="D4356">
        <v>5.6133379999999997</v>
      </c>
      <c r="E4356">
        <v>0.46326640000000002</v>
      </c>
      <c r="F4356" t="s">
        <v>41</v>
      </c>
      <c r="G4356">
        <v>-390.75869999999998</v>
      </c>
      <c r="H4356" s="1">
        <v>-4.017712E-6</v>
      </c>
      <c r="I4356">
        <v>139.8827</v>
      </c>
      <c r="J4356">
        <v>-379.66289999999998</v>
      </c>
      <c r="K4356">
        <v>1.1107959999999999</v>
      </c>
      <c r="L4356">
        <v>141.69390000000001</v>
      </c>
      <c r="M4356">
        <v>-0.99986430000000004</v>
      </c>
      <c r="N4356">
        <v>0</v>
      </c>
      <c r="O4356">
        <v>-7.2885440000000001E-3</v>
      </c>
      <c r="P4356">
        <v>-0.99822319999999998</v>
      </c>
      <c r="Q4356">
        <v>6.8560210000000003E-3</v>
      </c>
      <c r="R4356">
        <v>-5.9189140000000001E-2</v>
      </c>
      <c r="S4356">
        <v>-2.9792179999999999</v>
      </c>
      <c r="T4356">
        <v>-0.29245290000000002</v>
      </c>
      <c r="U4356">
        <v>-0.47727969999999997</v>
      </c>
      <c r="V4356">
        <v>-5.191337E-2</v>
      </c>
      <c r="W4356">
        <v>2.1604120000000001E-2</v>
      </c>
      <c r="X4356">
        <v>0.99841789999999997</v>
      </c>
      <c r="Y4356">
        <v>-0.15031420000000001</v>
      </c>
      <c r="Z4356">
        <v>-6.60452E-3</v>
      </c>
      <c r="AA4356">
        <v>0.98861619999999995</v>
      </c>
      <c r="AB4356">
        <v>22</v>
      </c>
      <c r="AC4356">
        <v>-11.095799999999899</v>
      </c>
      <c r="AD4356">
        <v>-1.1108000177120001</v>
      </c>
      <c r="AE4356">
        <v>-1.8112000000000099</v>
      </c>
      <c r="AF4356">
        <v>-1.71354339309271</v>
      </c>
      <c r="AG4356">
        <v>-1.1108000177120001</v>
      </c>
      <c r="AH4356">
        <v>11.001313968702799</v>
      </c>
      <c r="AI4356">
        <v>95.697364371180896</v>
      </c>
      <c r="AJ4356">
        <v>98.853143104705495</v>
      </c>
      <c r="AK4356">
        <v>11.189236644085</v>
      </c>
      <c r="AL4356">
        <v>88.7620788178493</v>
      </c>
      <c r="AM4356">
        <v>92.976449891552093</v>
      </c>
      <c r="AN4356">
        <v>1.00000001951307</v>
      </c>
    </row>
    <row r="4357" spans="1:40" x14ac:dyDescent="0.3">
      <c r="A4357" t="str">
        <f>"20200111160544694"</f>
        <v>20200111160544694</v>
      </c>
      <c r="B4357" t="str">
        <f>"1578729944686625"</f>
        <v>1578729944686625</v>
      </c>
      <c r="C4357" t="s">
        <v>40</v>
      </c>
      <c r="D4357">
        <v>5.7457900000000004</v>
      </c>
      <c r="E4357">
        <v>0.46322200000000002</v>
      </c>
      <c r="F4357" t="s">
        <v>41</v>
      </c>
      <c r="G4357">
        <v>-390.90620000000001</v>
      </c>
      <c r="H4357" s="1">
        <v>-3.9532160000000001E-6</v>
      </c>
      <c r="I4357">
        <v>139.87809999999999</v>
      </c>
      <c r="J4357">
        <v>-379.8997</v>
      </c>
      <c r="K4357">
        <v>1.1107929999999999</v>
      </c>
      <c r="L4357">
        <v>141.69200000000001</v>
      </c>
      <c r="M4357">
        <v>-0.99986620000000004</v>
      </c>
      <c r="N4357">
        <v>0</v>
      </c>
      <c r="O4357">
        <v>-7.3811859999999997E-3</v>
      </c>
      <c r="P4357">
        <v>-0.9981546</v>
      </c>
      <c r="Q4357">
        <v>7.4862189999999997E-3</v>
      </c>
      <c r="R4357">
        <v>-6.0262160000000002E-2</v>
      </c>
      <c r="S4357">
        <v>-2.9788510000000001</v>
      </c>
      <c r="T4357">
        <v>-0.29430099999999998</v>
      </c>
      <c r="U4357">
        <v>-0.48106379999999999</v>
      </c>
      <c r="V4357">
        <v>-5.2894499999999997E-2</v>
      </c>
      <c r="W4357">
        <v>2.206081E-2</v>
      </c>
      <c r="X4357">
        <v>0.99835640000000003</v>
      </c>
      <c r="Y4357">
        <v>-0.15145220000000001</v>
      </c>
      <c r="Z4357">
        <v>-6.6928519999999896E-3</v>
      </c>
      <c r="AA4357">
        <v>0.98844189999999998</v>
      </c>
      <c r="AB4357">
        <v>22</v>
      </c>
      <c r="AC4357">
        <v>-11.006500000000001</v>
      </c>
      <c r="AD4357">
        <v>-1.110796953216</v>
      </c>
      <c r="AE4357">
        <v>-1.8139000000000101</v>
      </c>
      <c r="AF4357">
        <v>-1.7155892566319699</v>
      </c>
      <c r="AG4357">
        <v>-1.110796953216</v>
      </c>
      <c r="AH4357">
        <v>10.9113938032806</v>
      </c>
      <c r="AI4357">
        <v>95.742705616545706</v>
      </c>
      <c r="AJ4357">
        <v>98.935415531992405</v>
      </c>
      <c r="AK4357">
        <v>11.1011544939711</v>
      </c>
      <c r="AL4357">
        <v>88.7359061511102</v>
      </c>
      <c r="AM4357">
        <v>93.032785352548402</v>
      </c>
      <c r="AN4357">
        <v>1.0000000044445301</v>
      </c>
    </row>
    <row r="4358" spans="1:40" x14ac:dyDescent="0.3">
      <c r="A4358" t="str">
        <f>"20200111160544713"</f>
        <v>20200111160544713</v>
      </c>
      <c r="B4358" t="str">
        <f>"1578729944706145"</f>
        <v>1578729944706145</v>
      </c>
      <c r="C4358" t="s">
        <v>40</v>
      </c>
      <c r="D4358">
        <v>5.7707179999999996</v>
      </c>
      <c r="E4358">
        <v>0.46317629999999999</v>
      </c>
      <c r="F4358" t="s">
        <v>41</v>
      </c>
      <c r="G4358">
        <v>-391.13099999999997</v>
      </c>
      <c r="H4358" s="1">
        <v>-3.8534799999999999E-6</v>
      </c>
      <c r="I4358">
        <v>139.86580000000001</v>
      </c>
      <c r="J4358">
        <v>-380.09620000000001</v>
      </c>
      <c r="K4358">
        <v>1.1107910000000001</v>
      </c>
      <c r="L4358">
        <v>141.69049999999999</v>
      </c>
      <c r="M4358">
        <v>-0.99986750000000002</v>
      </c>
      <c r="N4358">
        <v>0</v>
      </c>
      <c r="O4358">
        <v>-7.4568050000000004E-3</v>
      </c>
      <c r="P4358">
        <v>-0.99811550000000004</v>
      </c>
      <c r="Q4358">
        <v>7.0588159999999999E-3</v>
      </c>
      <c r="R4358">
        <v>-6.0956240000000002E-2</v>
      </c>
      <c r="S4358">
        <v>-2.9785159999999999</v>
      </c>
      <c r="T4358">
        <v>-0.29458139999999999</v>
      </c>
      <c r="U4358">
        <v>-0.48429870000000003</v>
      </c>
      <c r="V4358">
        <v>-5.351305E-2</v>
      </c>
      <c r="W4358">
        <v>2.150877E-2</v>
      </c>
      <c r="X4358">
        <v>0.99833550000000004</v>
      </c>
      <c r="Y4358">
        <v>-0.1524353</v>
      </c>
      <c r="Z4358">
        <v>-6.740144E-3</v>
      </c>
      <c r="AA4358">
        <v>0.98829049999999996</v>
      </c>
      <c r="AB4358">
        <v>22</v>
      </c>
      <c r="AC4358">
        <v>-11.034799999999899</v>
      </c>
      <c r="AD4358">
        <v>-1.1107948534799901</v>
      </c>
      <c r="AE4358">
        <v>-1.82469999999997</v>
      </c>
      <c r="AF4358">
        <v>-1.7253387235308699</v>
      </c>
      <c r="AG4358">
        <v>-1.1107948534799901</v>
      </c>
      <c r="AH4358">
        <v>10.940194364402901</v>
      </c>
      <c r="AI4358">
        <v>95.727260358267699</v>
      </c>
      <c r="AJ4358">
        <v>98.962098166015906</v>
      </c>
      <c r="AK4358">
        <v>11.130970831349201</v>
      </c>
      <c r="AL4358">
        <v>88.767543243303905</v>
      </c>
      <c r="AM4358">
        <v>93.068247581067993</v>
      </c>
      <c r="AN4358">
        <v>1.00000002213373</v>
      </c>
    </row>
    <row r="4359" spans="1:40" x14ac:dyDescent="0.3">
      <c r="A4359" t="str">
        <f>"20200111160544735"</f>
        <v>20200111160544735</v>
      </c>
      <c r="B4359" t="str">
        <f>"1578729944726174"</f>
        <v>1578729944726174</v>
      </c>
      <c r="C4359" t="s">
        <v>40</v>
      </c>
      <c r="D4359">
        <v>5.6865769999999998</v>
      </c>
      <c r="E4359">
        <v>0.46291969999999999</v>
      </c>
      <c r="F4359" t="s">
        <v>41</v>
      </c>
      <c r="G4359">
        <v>-391.20030000000003</v>
      </c>
      <c r="H4359" s="1">
        <v>-3.8268299999999999E-6</v>
      </c>
      <c r="I4359">
        <v>139.87719999999999</v>
      </c>
      <c r="J4359">
        <v>-380.3064</v>
      </c>
      <c r="K4359">
        <v>1.110781</v>
      </c>
      <c r="L4359">
        <v>141.68879999999999</v>
      </c>
      <c r="M4359">
        <v>-0.99986850000000005</v>
      </c>
      <c r="N4359">
        <v>0</v>
      </c>
      <c r="O4359">
        <v>-7.537144E-3</v>
      </c>
      <c r="P4359">
        <v>-0.99806629999999996</v>
      </c>
      <c r="Q4359">
        <v>5.3998880000000003E-3</v>
      </c>
      <c r="R4359">
        <v>-6.1923600000000002E-2</v>
      </c>
      <c r="S4359">
        <v>-2.978027</v>
      </c>
      <c r="T4359">
        <v>-0.29790709999999998</v>
      </c>
      <c r="U4359">
        <v>-0.4862823</v>
      </c>
      <c r="V4359">
        <v>-5.4400469999999999E-2</v>
      </c>
      <c r="W4359">
        <v>1.9732929999999999E-2</v>
      </c>
      <c r="X4359">
        <v>0.99832419999999999</v>
      </c>
      <c r="Y4359">
        <v>-0.153004799999999</v>
      </c>
      <c r="Z4359">
        <v>-6.8368700000000001E-3</v>
      </c>
      <c r="AA4359">
        <v>0.98820180000000002</v>
      </c>
      <c r="AB4359">
        <v>22</v>
      </c>
      <c r="AC4359">
        <v>-10.8939</v>
      </c>
      <c r="AD4359">
        <v>-1.11078482683</v>
      </c>
      <c r="AE4359">
        <v>-1.8115999999999901</v>
      </c>
      <c r="AF4359">
        <v>-1.71210997771657</v>
      </c>
      <c r="AG4359">
        <v>-1.11078482683</v>
      </c>
      <c r="AH4359">
        <v>10.798004185485899</v>
      </c>
      <c r="AI4359">
        <v>95.801357727462403</v>
      </c>
      <c r="AJ4359">
        <v>99.009700779535507</v>
      </c>
      <c r="AK4359">
        <v>10.989179127536501</v>
      </c>
      <c r="AL4359">
        <v>88.869313010557207</v>
      </c>
      <c r="AM4359">
        <v>93.119064669978997</v>
      </c>
      <c r="AN4359">
        <v>1.0000000039841199</v>
      </c>
    </row>
    <row r="4360" spans="1:40" x14ac:dyDescent="0.3">
      <c r="A4360" t="str">
        <f>"20200111160544749"</f>
        <v>20200111160544749</v>
      </c>
      <c r="B4360" t="str">
        <f>"1578729944745696"</f>
        <v>1578729944745696</v>
      </c>
      <c r="C4360" t="s">
        <v>40</v>
      </c>
      <c r="D4360">
        <v>5.7081439999999999</v>
      </c>
      <c r="E4360">
        <v>0.44789889999999999</v>
      </c>
      <c r="F4360" t="s">
        <v>41</v>
      </c>
      <c r="G4360">
        <v>-391.17090000000002</v>
      </c>
      <c r="H4360" s="1">
        <v>-3.8443809999999997E-6</v>
      </c>
      <c r="I4360">
        <v>139.89580000000001</v>
      </c>
      <c r="J4360">
        <v>-380.43880000000001</v>
      </c>
      <c r="K4360">
        <v>1.1107739999999999</v>
      </c>
      <c r="L4360">
        <v>141.68780000000001</v>
      </c>
      <c r="M4360">
        <v>-0.99986909999999896</v>
      </c>
      <c r="N4360">
        <v>0</v>
      </c>
      <c r="O4360">
        <v>-7.5880510000000002E-3</v>
      </c>
      <c r="P4360">
        <v>-0.99803739999999996</v>
      </c>
      <c r="Q4360">
        <v>4.2607590000000002E-3</v>
      </c>
      <c r="R4360">
        <v>-6.2477020000000001E-2</v>
      </c>
      <c r="S4360">
        <v>-2.9769899999999998</v>
      </c>
      <c r="T4360">
        <v>-0.30436829999999998</v>
      </c>
      <c r="U4360">
        <v>-0.49128719999999998</v>
      </c>
      <c r="V4360">
        <v>-5.4902989999999999E-2</v>
      </c>
      <c r="W4360">
        <v>1.8527700000000001E-2</v>
      </c>
      <c r="X4360">
        <v>0.99831979999999998</v>
      </c>
      <c r="Y4360">
        <v>-0.1545878</v>
      </c>
      <c r="Z4360">
        <v>-7.0608819999999897E-3</v>
      </c>
      <c r="AA4360">
        <v>0.98795379999999999</v>
      </c>
      <c r="AB4360">
        <v>22</v>
      </c>
      <c r="AC4360">
        <v>-10.732100000000001</v>
      </c>
      <c r="AD4360">
        <v>-1.1107778443809999</v>
      </c>
      <c r="AE4360">
        <v>-1.792</v>
      </c>
      <c r="AF4360">
        <v>-1.69286171546682</v>
      </c>
      <c r="AG4360">
        <v>-1.1107778443809999</v>
      </c>
      <c r="AH4360">
        <v>10.634559027003601</v>
      </c>
      <c r="AI4360">
        <v>95.889293172133407</v>
      </c>
      <c r="AJ4360">
        <v>99.044737701075306</v>
      </c>
      <c r="AK4360">
        <v>10.8255925429551</v>
      </c>
      <c r="AL4360">
        <v>88.938380261637306</v>
      </c>
      <c r="AM4360">
        <v>93.147832948753901</v>
      </c>
      <c r="AN4360">
        <v>1.0000000185251301</v>
      </c>
    </row>
    <row r="4361" spans="1:40" x14ac:dyDescent="0.3">
      <c r="A4361" t="str">
        <f>"20200111160544764"</f>
        <v>20200111160544764</v>
      </c>
      <c r="B4361" t="str">
        <f>"1578729944756430"</f>
        <v>1578729944756430</v>
      </c>
      <c r="C4361" t="s">
        <v>40</v>
      </c>
      <c r="D4361">
        <v>5.6777129999999998</v>
      </c>
      <c r="E4361">
        <v>0.44636700000000001</v>
      </c>
      <c r="F4361" t="s">
        <v>41</v>
      </c>
      <c r="G4361">
        <v>-393.3399</v>
      </c>
      <c r="H4361" s="1">
        <v>-2.9428940000000001E-6</v>
      </c>
      <c r="I4361">
        <v>139.03319999999999</v>
      </c>
      <c r="J4361">
        <v>-380.5822</v>
      </c>
      <c r="K4361">
        <v>1.110765</v>
      </c>
      <c r="L4361">
        <v>141.6866</v>
      </c>
      <c r="M4361">
        <v>-0.99986960000000003</v>
      </c>
      <c r="N4361">
        <v>0</v>
      </c>
      <c r="O4361">
        <v>-7.643848E-3</v>
      </c>
      <c r="P4361">
        <v>-0.9980251</v>
      </c>
      <c r="Q4361">
        <v>3.2106019999999999E-3</v>
      </c>
      <c r="R4361">
        <v>-6.2735609999999997E-2</v>
      </c>
      <c r="S4361">
        <v>-2.96875</v>
      </c>
      <c r="T4361">
        <v>-0.25560840000000001</v>
      </c>
      <c r="U4361">
        <v>-0.61083980000000004</v>
      </c>
      <c r="V4361">
        <v>-5.5105460000000002E-2</v>
      </c>
      <c r="W4361">
        <v>1.741208E-2</v>
      </c>
      <c r="X4361">
        <v>0.99832869999999996</v>
      </c>
      <c r="Y4361">
        <v>-0.193382</v>
      </c>
      <c r="Z4361">
        <v>-7.5739409999999998E-3</v>
      </c>
      <c r="AA4361">
        <v>0.98109429999999997</v>
      </c>
      <c r="AB4361">
        <v>22</v>
      </c>
      <c r="AC4361">
        <v>-12.7577</v>
      </c>
      <c r="AD4361">
        <v>-1.110767942894</v>
      </c>
      <c r="AE4361">
        <v>-2.6534</v>
      </c>
      <c r="AF4361">
        <v>-2.5373576002893299</v>
      </c>
      <c r="AG4361">
        <v>-1.110767942894</v>
      </c>
      <c r="AH4361">
        <v>12.6854358856069</v>
      </c>
      <c r="AI4361">
        <v>94.907477072127506</v>
      </c>
      <c r="AJ4361">
        <v>101.311106900985</v>
      </c>
      <c r="AK4361">
        <v>12.9843087079194</v>
      </c>
      <c r="AL4361">
        <v>89.002310878569205</v>
      </c>
      <c r="AM4361">
        <v>93.159389872432598</v>
      </c>
      <c r="AN4361">
        <v>0.99999999274771301</v>
      </c>
    </row>
    <row r="4362" spans="1:40" x14ac:dyDescent="0.3">
      <c r="A4362" t="str">
        <f>"20200111160544780"</f>
        <v>20200111160544780</v>
      </c>
      <c r="B4362" t="str">
        <f>"1578729944775953"</f>
        <v>1578729944775953</v>
      </c>
      <c r="C4362" t="s">
        <v>40</v>
      </c>
      <c r="D4362">
        <v>5.712917</v>
      </c>
      <c r="E4362">
        <v>0.44739220000000002</v>
      </c>
      <c r="F4362" t="s">
        <v>41</v>
      </c>
      <c r="G4362">
        <v>-393.56869999999998</v>
      </c>
      <c r="H4362" s="1">
        <v>-2.8582800000000001E-6</v>
      </c>
      <c r="I4362">
        <v>138.95679999999999</v>
      </c>
      <c r="J4362">
        <v>-380.7439</v>
      </c>
      <c r="K4362">
        <v>1.110752</v>
      </c>
      <c r="L4362">
        <v>141.68530000000001</v>
      </c>
      <c r="M4362">
        <v>-0.99987000000000004</v>
      </c>
      <c r="N4362">
        <v>0</v>
      </c>
      <c r="O4362">
        <v>-7.7072759999999999E-3</v>
      </c>
      <c r="P4362">
        <v>-0.9979787</v>
      </c>
      <c r="Q4362">
        <v>1.7205429999999999E-3</v>
      </c>
      <c r="R4362">
        <v>-6.3525150000000002E-2</v>
      </c>
      <c r="S4362">
        <v>-2.9674990000000001</v>
      </c>
      <c r="T4362">
        <v>-0.25381880000000001</v>
      </c>
      <c r="U4362">
        <v>-0.62374879999999999</v>
      </c>
      <c r="V4362">
        <v>-5.5832380000000001E-2</v>
      </c>
      <c r="W4362">
        <v>1.5855899999999999E-2</v>
      </c>
      <c r="X4362">
        <v>0.99831429999999999</v>
      </c>
      <c r="Y4362">
        <v>-0.19748579999999999</v>
      </c>
      <c r="Z4362">
        <v>-7.6888659999999999E-3</v>
      </c>
      <c r="AA4362">
        <v>0.98027560000000002</v>
      </c>
      <c r="AB4362">
        <v>22</v>
      </c>
      <c r="AC4362">
        <v>-12.8247999999999</v>
      </c>
      <c r="AD4362">
        <v>-1.11075485828</v>
      </c>
      <c r="AE4362">
        <v>-2.7285000000000199</v>
      </c>
      <c r="AF4362">
        <v>-2.6108282830325802</v>
      </c>
      <c r="AG4362">
        <v>-1.11075485828</v>
      </c>
      <c r="AH4362">
        <v>12.753922563110899</v>
      </c>
      <c r="AI4362">
        <v>94.876771418900503</v>
      </c>
      <c r="AJ4362">
        <v>101.569062356055</v>
      </c>
      <c r="AK4362">
        <v>13.0657086078217</v>
      </c>
      <c r="AL4362">
        <v>89.091485826779305</v>
      </c>
      <c r="AM4362">
        <v>93.201026724491697</v>
      </c>
      <c r="AN4362">
        <v>1.0000000529028801</v>
      </c>
    </row>
    <row r="4363" spans="1:40" x14ac:dyDescent="0.3">
      <c r="A4363" t="str">
        <f>"20200111160544805"</f>
        <v>20200111160544805</v>
      </c>
      <c r="B4363" t="str">
        <f>"1578729944796446"</f>
        <v>1578729944796446</v>
      </c>
      <c r="C4363" t="s">
        <v>40</v>
      </c>
      <c r="D4363">
        <v>5.6927120000000002</v>
      </c>
      <c r="E4363">
        <v>0.44748539999999998</v>
      </c>
      <c r="F4363" t="s">
        <v>41</v>
      </c>
      <c r="G4363">
        <v>-393.80520000000001</v>
      </c>
      <c r="H4363" s="1">
        <v>-2.7550299999999999E-6</v>
      </c>
      <c r="I4363">
        <v>138.96690000000001</v>
      </c>
      <c r="J4363">
        <v>-380.9615</v>
      </c>
      <c r="K4363">
        <v>1.1107419999999999</v>
      </c>
      <c r="L4363">
        <v>141.68350000000001</v>
      </c>
      <c r="M4363">
        <v>-0.9998705</v>
      </c>
      <c r="N4363">
        <v>0</v>
      </c>
      <c r="O4363">
        <v>-7.7937419999999898E-3</v>
      </c>
      <c r="P4363">
        <v>-0.99792709999999996</v>
      </c>
      <c r="Q4363">
        <v>1.517453E-3</v>
      </c>
      <c r="R4363">
        <v>-6.4339880000000002E-2</v>
      </c>
      <c r="S4363">
        <v>-2.9671630000000002</v>
      </c>
      <c r="T4363">
        <v>-0.25233410000000001</v>
      </c>
      <c r="U4363">
        <v>-0.6175079</v>
      </c>
      <c r="V4363">
        <v>-5.6560939999999997E-2</v>
      </c>
      <c r="W4363">
        <v>1.557365E-2</v>
      </c>
      <c r="X4363">
        <v>0.99827770000000005</v>
      </c>
      <c r="Y4363">
        <v>-0.1954621</v>
      </c>
      <c r="Z4363">
        <v>-7.5542639999999998E-3</v>
      </c>
      <c r="AA4363">
        <v>0.9806821</v>
      </c>
      <c r="AB4363">
        <v>22</v>
      </c>
      <c r="AC4363">
        <v>-12.8437</v>
      </c>
      <c r="AD4363">
        <v>-1.11074475502999</v>
      </c>
      <c r="AE4363">
        <v>-2.7166000000000001</v>
      </c>
      <c r="AF4363">
        <v>-2.5978098309359998</v>
      </c>
      <c r="AG4363">
        <v>-1.11074475502999</v>
      </c>
      <c r="AH4363">
        <v>12.773044566045501</v>
      </c>
      <c r="AI4363">
        <v>94.870720263125705</v>
      </c>
      <c r="AJ4363">
        <v>101.496142871209</v>
      </c>
      <c r="AK4363">
        <v>13.081782650492199</v>
      </c>
      <c r="AL4363">
        <v>89.107659529743202</v>
      </c>
      <c r="AM4363">
        <v>93.242827176855599</v>
      </c>
      <c r="AN4363">
        <v>1.00000002241264</v>
      </c>
    </row>
    <row r="4364" spans="1:40" x14ac:dyDescent="0.3">
      <c r="A4364" t="str">
        <f>"20200111160544825"</f>
        <v>20200111160544825</v>
      </c>
      <c r="B4364" t="str">
        <f>"1578729944815965"</f>
        <v>1578729944815965</v>
      </c>
      <c r="C4364" t="s">
        <v>40</v>
      </c>
      <c r="D4364">
        <v>5.6911180000000003</v>
      </c>
      <c r="E4364">
        <v>0.44721450000000001</v>
      </c>
      <c r="F4364" t="s">
        <v>41</v>
      </c>
      <c r="G4364">
        <v>-393.90910000000002</v>
      </c>
      <c r="H4364" s="1">
        <v>-2.7078889999999999E-6</v>
      </c>
      <c r="I4364">
        <v>138.9813</v>
      </c>
      <c r="J4364">
        <v>-381.16890000000001</v>
      </c>
      <c r="K4364">
        <v>1.1107309999999999</v>
      </c>
      <c r="L4364">
        <v>141.68180000000001</v>
      </c>
      <c r="M4364">
        <v>-0.99987079999999995</v>
      </c>
      <c r="N4364">
        <v>0</v>
      </c>
      <c r="O4364">
        <v>-7.8751749999999999E-3</v>
      </c>
      <c r="P4364">
        <v>-0.99787689999999996</v>
      </c>
      <c r="Q4364">
        <v>1.2793780000000001E-3</v>
      </c>
      <c r="R4364">
        <v>-6.5116750000000001E-2</v>
      </c>
      <c r="S4364">
        <v>-2.9667659999999998</v>
      </c>
      <c r="T4364">
        <v>-0.25451200000000002</v>
      </c>
      <c r="U4364">
        <v>-0.61914060000000004</v>
      </c>
      <c r="V4364">
        <v>-5.7256660000000001E-2</v>
      </c>
      <c r="W4364">
        <v>1.527042E-2</v>
      </c>
      <c r="X4364">
        <v>0.99824270000000004</v>
      </c>
      <c r="Y4364">
        <v>-0.195913</v>
      </c>
      <c r="Z4364">
        <v>-7.6320090000000004E-3</v>
      </c>
      <c r="AA4364">
        <v>0.98059160000000001</v>
      </c>
      <c r="AB4364">
        <v>22</v>
      </c>
      <c r="AC4364">
        <v>-12.7402</v>
      </c>
      <c r="AD4364">
        <v>-1.1107337078889901</v>
      </c>
      <c r="AE4364">
        <v>-2.7004999999999999</v>
      </c>
      <c r="AF4364">
        <v>-2.5812984203793601</v>
      </c>
      <c r="AG4364">
        <v>-1.1107337078889901</v>
      </c>
      <c r="AH4364">
        <v>12.668918664252001</v>
      </c>
      <c r="AI4364">
        <v>94.9101574119275</v>
      </c>
      <c r="AJ4364">
        <v>101.516405166608</v>
      </c>
      <c r="AK4364">
        <v>12.9768382522988</v>
      </c>
      <c r="AL4364">
        <v>89.125035375022094</v>
      </c>
      <c r="AM4364">
        <v>93.2827432640578</v>
      </c>
      <c r="AN4364">
        <v>0.999999999472311</v>
      </c>
    </row>
    <row r="4365" spans="1:40" x14ac:dyDescent="0.3">
      <c r="A4365" t="str">
        <f>"20200111160544848"</f>
        <v>20200111160544848</v>
      </c>
      <c r="B4365" t="str">
        <f>"1578729944836461"</f>
        <v>1578729944836461</v>
      </c>
      <c r="C4365" t="s">
        <v>40</v>
      </c>
      <c r="D4365">
        <v>5.782381</v>
      </c>
      <c r="E4365">
        <v>0.44708700000000001</v>
      </c>
      <c r="F4365" t="s">
        <v>41</v>
      </c>
      <c r="G4365">
        <v>-394.16759999999999</v>
      </c>
      <c r="H4365" s="1">
        <v>-2.60265E-6</v>
      </c>
      <c r="I4365">
        <v>138.9494</v>
      </c>
      <c r="J4365">
        <v>-381.38229999999999</v>
      </c>
      <c r="K4365">
        <v>1.1107229999999999</v>
      </c>
      <c r="L4365">
        <v>141.68</v>
      </c>
      <c r="M4365">
        <v>-0.99987099999999995</v>
      </c>
      <c r="N4365">
        <v>0</v>
      </c>
      <c r="O4365">
        <v>-7.9572419999999998E-3</v>
      </c>
      <c r="P4365">
        <v>-0.99781209999999998</v>
      </c>
      <c r="Q4365">
        <v>1.7626289999999999E-3</v>
      </c>
      <c r="R4365">
        <v>-6.6093139999999995E-2</v>
      </c>
      <c r="S4365">
        <v>-2.9660340000000001</v>
      </c>
      <c r="T4365">
        <v>-0.25344610000000001</v>
      </c>
      <c r="U4365">
        <v>-0.62344359999999999</v>
      </c>
      <c r="V4365">
        <v>-5.8151609999999999E-2</v>
      </c>
      <c r="W4365">
        <v>1.5695230000000001E-2</v>
      </c>
      <c r="X4365">
        <v>0.99818439999999997</v>
      </c>
      <c r="Y4365">
        <v>-0.1972447</v>
      </c>
      <c r="Z4365">
        <v>-7.6501390000000002E-3</v>
      </c>
      <c r="AA4365">
        <v>0.98032439999999998</v>
      </c>
      <c r="AB4365">
        <v>21</v>
      </c>
      <c r="AC4365">
        <v>-12.785299999999999</v>
      </c>
      <c r="AD4365">
        <v>-1.1107256026500001</v>
      </c>
      <c r="AE4365">
        <v>-2.7305999999999999</v>
      </c>
      <c r="AF4365">
        <v>-2.6099292778050298</v>
      </c>
      <c r="AG4365">
        <v>-1.1107256026500001</v>
      </c>
      <c r="AH4365">
        <v>12.7148487638301</v>
      </c>
      <c r="AI4365">
        <v>94.891022646864599</v>
      </c>
      <c r="AJ4365">
        <v>101.59976501854101</v>
      </c>
      <c r="AK4365">
        <v>13.0273873545926</v>
      </c>
      <c r="AL4365">
        <v>89.100692658198994</v>
      </c>
      <c r="AM4365">
        <v>93.334133597272995</v>
      </c>
      <c r="AN4365">
        <v>1.00000002319685</v>
      </c>
    </row>
    <row r="4366" spans="1:40" x14ac:dyDescent="0.3">
      <c r="A4366" t="str">
        <f>"20200111160544871"</f>
        <v>20200111160544871</v>
      </c>
      <c r="B4366" t="str">
        <f>"1578729944865741"</f>
        <v>1578729944865741</v>
      </c>
      <c r="C4366" t="s">
        <v>40</v>
      </c>
      <c r="D4366">
        <v>5.7671960000000002</v>
      </c>
      <c r="E4366">
        <v>0.44668219999999997</v>
      </c>
      <c r="F4366" t="s">
        <v>41</v>
      </c>
      <c r="G4366">
        <v>-394.42250000000001</v>
      </c>
      <c r="H4366" s="1">
        <v>-2.4981630000000001E-6</v>
      </c>
      <c r="I4366">
        <v>138.9221</v>
      </c>
      <c r="J4366">
        <v>-381.6028</v>
      </c>
      <c r="K4366">
        <v>1.1107180000000001</v>
      </c>
      <c r="L4366">
        <v>141.6781</v>
      </c>
      <c r="M4366">
        <v>-0.99987099999999995</v>
      </c>
      <c r="N4366">
        <v>0</v>
      </c>
      <c r="O4366">
        <v>-8.0388639999999997E-3</v>
      </c>
      <c r="P4366">
        <v>-0.9977705</v>
      </c>
      <c r="Q4366">
        <v>3.8364580000000001E-3</v>
      </c>
      <c r="R4366">
        <v>-6.6629519999999998E-2</v>
      </c>
      <c r="S4366">
        <v>-2.9654850000000001</v>
      </c>
      <c r="T4366">
        <v>-0.25259280000000001</v>
      </c>
      <c r="U4366">
        <v>-0.62715149999999997</v>
      </c>
      <c r="V4366">
        <v>-5.8607029999999997E-2</v>
      </c>
      <c r="W4366">
        <v>1.7716260000000001E-2</v>
      </c>
      <c r="X4366">
        <v>0.99812389999999995</v>
      </c>
      <c r="Y4366">
        <v>-0.19837540000000001</v>
      </c>
      <c r="Z4366">
        <v>-7.6655680000000002E-3</v>
      </c>
      <c r="AA4366">
        <v>0.98009619999999997</v>
      </c>
      <c r="AB4366">
        <v>21</v>
      </c>
      <c r="AC4366">
        <v>-12.819699999999999</v>
      </c>
      <c r="AD4366">
        <v>-1.1107204981629999</v>
      </c>
      <c r="AE4366">
        <v>-2.7559999999999998</v>
      </c>
      <c r="AF4366">
        <v>-2.6339461363677401</v>
      </c>
      <c r="AG4366">
        <v>-1.1107204981629999</v>
      </c>
      <c r="AH4366">
        <v>12.7499598432222</v>
      </c>
      <c r="AI4366">
        <v>94.876332336830004</v>
      </c>
      <c r="AJ4366">
        <v>101.672231659331</v>
      </c>
      <c r="AK4366">
        <v>13.066478036491199</v>
      </c>
      <c r="AL4366">
        <v>88.984879951159598</v>
      </c>
      <c r="AM4366">
        <v>93.360388796874801</v>
      </c>
      <c r="AN4366">
        <v>0.99999998479250896</v>
      </c>
    </row>
    <row r="4367" spans="1:40" x14ac:dyDescent="0.3">
      <c r="A4367" t="str">
        <f>"20200111160544884"</f>
        <v>20200111160544884</v>
      </c>
      <c r="B4367" t="str">
        <f>"1578729944876478"</f>
        <v>1578729944876478</v>
      </c>
      <c r="C4367" t="s">
        <v>40</v>
      </c>
      <c r="D4367">
        <v>5.7182360000000001</v>
      </c>
      <c r="E4367">
        <v>0.44661230000000002</v>
      </c>
      <c r="F4367" t="s">
        <v>41</v>
      </c>
      <c r="G4367">
        <v>-395.16140000000001</v>
      </c>
      <c r="H4367" s="1">
        <v>-2.2047050000000002E-6</v>
      </c>
      <c r="I4367">
        <v>138.7894</v>
      </c>
      <c r="J4367">
        <v>-381.73259999999999</v>
      </c>
      <c r="K4367">
        <v>1.1107209999999901</v>
      </c>
      <c r="L4367">
        <v>141.67699999999999</v>
      </c>
      <c r="M4367">
        <v>-0.99987110000000001</v>
      </c>
      <c r="N4367">
        <v>0</v>
      </c>
      <c r="O4367">
        <v>-8.0858509999999998E-3</v>
      </c>
      <c r="P4367">
        <v>-0.99773970000000001</v>
      </c>
      <c r="Q4367">
        <v>3.9625260000000001E-3</v>
      </c>
      <c r="R4367">
        <v>-6.7081810000000006E-2</v>
      </c>
      <c r="S4367">
        <v>-2.9654240000000001</v>
      </c>
      <c r="T4367">
        <v>-0.2429289</v>
      </c>
      <c r="U4367">
        <v>-0.63177490000000003</v>
      </c>
      <c r="V4367">
        <v>-5.9012420000000003E-2</v>
      </c>
      <c r="W4367">
        <v>1.7814E-2</v>
      </c>
      <c r="X4367">
        <v>0.99809829999999999</v>
      </c>
      <c r="Y4367">
        <v>-0.1998405</v>
      </c>
      <c r="Z4367">
        <v>-7.4276819999999997E-3</v>
      </c>
      <c r="AA4367">
        <v>0.97980029999999996</v>
      </c>
      <c r="AB4367">
        <v>21</v>
      </c>
      <c r="AC4367">
        <v>-13.428800000000001</v>
      </c>
      <c r="AD4367">
        <v>-1.11072320470499</v>
      </c>
      <c r="AE4367">
        <v>-2.8876000000000199</v>
      </c>
      <c r="AF4367">
        <v>-2.7608587945178802</v>
      </c>
      <c r="AG4367">
        <v>-1.11072320470499</v>
      </c>
      <c r="AH4367">
        <v>13.3643234736378</v>
      </c>
      <c r="AI4367">
        <v>94.653184846805104</v>
      </c>
      <c r="AJ4367">
        <v>101.67220927344199</v>
      </c>
      <c r="AK4367">
        <v>13.691646695294301</v>
      </c>
      <c r="AL4367">
        <v>88.979279003806795</v>
      </c>
      <c r="AM4367">
        <v>93.383665666634101</v>
      </c>
      <c r="AN4367">
        <v>1.00000001038657</v>
      </c>
    </row>
    <row r="4368" spans="1:40" x14ac:dyDescent="0.3">
      <c r="A4368" t="str">
        <f>"20200111160545194"</f>
        <v>20200111160545194</v>
      </c>
      <c r="B4368" t="str">
        <f>"1578729945185871"</f>
        <v>1578729945185871</v>
      </c>
      <c r="C4368" t="s">
        <v>40</v>
      </c>
      <c r="D4368">
        <v>6.3035969999999999</v>
      </c>
      <c r="E4368">
        <v>0.44808120000000001</v>
      </c>
      <c r="F4368" t="s">
        <v>41</v>
      </c>
      <c r="G4368">
        <v>-395.37540000000001</v>
      </c>
      <c r="H4368" s="1">
        <v>-2.1178310000000001E-6</v>
      </c>
      <c r="I4368">
        <v>138.76159999999999</v>
      </c>
      <c r="J4368">
        <v>-384.66570000000002</v>
      </c>
      <c r="K4368">
        <v>1.110706</v>
      </c>
      <c r="L4368">
        <v>141.6514</v>
      </c>
      <c r="M4368">
        <v>-0.99986799999999998</v>
      </c>
      <c r="N4368">
        <v>0</v>
      </c>
      <c r="O4368">
        <v>-8.8810350000000007E-3</v>
      </c>
      <c r="P4368">
        <v>-0.99734199999999995</v>
      </c>
      <c r="Q4368">
        <v>-2.1731879999999999E-3</v>
      </c>
      <c r="R4368">
        <v>-7.2831640000000003E-2</v>
      </c>
      <c r="S4368">
        <v>-2.9651179999999999</v>
      </c>
      <c r="T4368">
        <v>-0.2414037</v>
      </c>
      <c r="U4368">
        <v>-0.6336212</v>
      </c>
      <c r="V4368">
        <v>-6.3972100000000004E-2</v>
      </c>
      <c r="W4368">
        <v>1.1401710000000001E-2</v>
      </c>
      <c r="X4368">
        <v>0.99788650000000001</v>
      </c>
      <c r="Y4368">
        <v>-0.1996762</v>
      </c>
      <c r="Z4368">
        <v>-7.3109739999999996E-3</v>
      </c>
      <c r="AA4368">
        <v>0.97983469999999995</v>
      </c>
      <c r="AB4368">
        <v>21</v>
      </c>
      <c r="AC4368">
        <v>-10.7096999999999</v>
      </c>
      <c r="AD4368">
        <v>-1.1107081178310001</v>
      </c>
      <c r="AE4368">
        <v>-2.8898000000000001</v>
      </c>
      <c r="AF4368">
        <v>-2.7668241005475198</v>
      </c>
      <c r="AG4368">
        <v>-1.1107081178310001</v>
      </c>
      <c r="AH4368">
        <v>10.628385277574299</v>
      </c>
      <c r="AI4368">
        <v>95.7748750502587</v>
      </c>
      <c r="AJ4368">
        <v>104.591604877645</v>
      </c>
      <c r="AK4368">
        <v>11.038639487497701</v>
      </c>
      <c r="AL4368">
        <v>89.3467159487179</v>
      </c>
      <c r="AM4368">
        <v>93.668074919281295</v>
      </c>
      <c r="AN4368">
        <v>0.99999994772579004</v>
      </c>
    </row>
    <row r="4369" spans="1:40" x14ac:dyDescent="0.3">
      <c r="A4369" t="str">
        <f>"20200111160545240"</f>
        <v>20200111160545240</v>
      </c>
      <c r="B4369" t="str">
        <f>"1578729945236622"</f>
        <v>1578729945236622</v>
      </c>
      <c r="C4369" t="s">
        <v>40</v>
      </c>
      <c r="D4369">
        <v>5.7931720000000002</v>
      </c>
      <c r="E4369">
        <v>0.45674799999999899</v>
      </c>
      <c r="F4369" t="s">
        <v>41</v>
      </c>
      <c r="G4369">
        <v>-397.59379999999999</v>
      </c>
      <c r="H4369" s="1">
        <v>-1.1449029999999999E-6</v>
      </c>
      <c r="I4369">
        <v>138.88140000000001</v>
      </c>
      <c r="J4369">
        <v>-385.08870000000002</v>
      </c>
      <c r="K4369">
        <v>1.110778</v>
      </c>
      <c r="L4369">
        <v>141.6474</v>
      </c>
      <c r="M4369">
        <v>-0.99986549999999996</v>
      </c>
      <c r="N4369">
        <v>0</v>
      </c>
      <c r="O4369">
        <v>-9.1922519999999997E-3</v>
      </c>
      <c r="P4369">
        <v>-0.99796119999999999</v>
      </c>
      <c r="Q4369">
        <v>-9.8417050000000009E-4</v>
      </c>
      <c r="R4369">
        <v>-6.381684E-2</v>
      </c>
      <c r="S4369">
        <v>-2.9611209999999999</v>
      </c>
      <c r="T4369">
        <v>-0.25440299999999999</v>
      </c>
      <c r="U4369">
        <v>-0.63442989999999999</v>
      </c>
      <c r="V4369">
        <v>-5.464289E-2</v>
      </c>
      <c r="W4369">
        <v>1.2579409999999999E-2</v>
      </c>
      <c r="X4369">
        <v>0.9984267</v>
      </c>
      <c r="Y4369">
        <v>-0.1998297</v>
      </c>
      <c r="Z4369">
        <v>-7.6933499999999998E-3</v>
      </c>
      <c r="AA4369">
        <v>0.97980049999999996</v>
      </c>
      <c r="AB4369">
        <v>21</v>
      </c>
      <c r="AC4369">
        <v>-12.505099999999899</v>
      </c>
      <c r="AD4369">
        <v>-1.110779144903</v>
      </c>
      <c r="AE4369">
        <v>-2.7659999999999898</v>
      </c>
      <c r="AF4369">
        <v>-2.6311309601171899</v>
      </c>
      <c r="AG4369">
        <v>-1.110779144903</v>
      </c>
      <c r="AH4369">
        <v>12.4364519638399</v>
      </c>
      <c r="AI4369">
        <v>94.993945655761195</v>
      </c>
      <c r="AJ4369">
        <v>101.945689922716</v>
      </c>
      <c r="AK4369">
        <v>12.760173113517601</v>
      </c>
      <c r="AL4369">
        <v>89.279233874588201</v>
      </c>
      <c r="AM4369">
        <v>93.132615263333093</v>
      </c>
      <c r="AN4369">
        <v>0.99999998112819499</v>
      </c>
    </row>
    <row r="4370" spans="1:40" x14ac:dyDescent="0.3">
      <c r="A4370" t="str">
        <f>"20200111160545262"</f>
        <v>20200111160545262</v>
      </c>
      <c r="B4370" t="str">
        <f>"1578729945256141"</f>
        <v>1578729945256141</v>
      </c>
      <c r="C4370" t="s">
        <v>40</v>
      </c>
      <c r="D4370">
        <v>5.8997769999999896</v>
      </c>
      <c r="E4370">
        <v>0.45927649999999998</v>
      </c>
      <c r="F4370" t="s">
        <v>41</v>
      </c>
      <c r="G4370">
        <v>-396.92219999999998</v>
      </c>
      <c r="H4370" s="1">
        <v>-1.3246749999999999E-6</v>
      </c>
      <c r="I4370">
        <v>139.49209999999999</v>
      </c>
      <c r="J4370">
        <v>-385.29849999999999</v>
      </c>
      <c r="K4370">
        <v>1.1108199999999999</v>
      </c>
      <c r="L4370">
        <v>141.64519999999999</v>
      </c>
      <c r="M4370">
        <v>-0.99986339999999996</v>
      </c>
      <c r="N4370">
        <v>0</v>
      </c>
      <c r="O4370">
        <v>-9.4031510000000002E-3</v>
      </c>
      <c r="P4370">
        <v>-0.99820640000000005</v>
      </c>
      <c r="Q4370">
        <v>3.3026689999999998E-3</v>
      </c>
      <c r="R4370">
        <v>-5.9774599999999997E-2</v>
      </c>
      <c r="S4370">
        <v>-2.9712830000000001</v>
      </c>
      <c r="T4370">
        <v>-0.27890559999999998</v>
      </c>
      <c r="U4370">
        <v>-0.54113769999999894</v>
      </c>
      <c r="V4370">
        <v>-5.0389209999999997E-2</v>
      </c>
      <c r="W4370">
        <v>1.6860469999999999E-2</v>
      </c>
      <c r="X4370">
        <v>0.99858729999999996</v>
      </c>
      <c r="Y4370">
        <v>-0.16923579999999999</v>
      </c>
      <c r="Z4370">
        <v>-6.9877219999999896E-3</v>
      </c>
      <c r="AA4370">
        <v>0.98555079999999995</v>
      </c>
      <c r="AB4370">
        <v>21</v>
      </c>
      <c r="AC4370">
        <v>-11.6236999999999</v>
      </c>
      <c r="AD4370">
        <v>-1.1108213246750001</v>
      </c>
      <c r="AE4370">
        <v>-2.15309999999999</v>
      </c>
      <c r="AF4370">
        <v>-2.02580791545024</v>
      </c>
      <c r="AG4370">
        <v>-1.1108213246750001</v>
      </c>
      <c r="AH4370">
        <v>11.5415250580284</v>
      </c>
      <c r="AI4370">
        <v>95.415253371287903</v>
      </c>
      <c r="AJ4370">
        <v>99.955341362758801</v>
      </c>
      <c r="AK4370">
        <v>11.770497966982999</v>
      </c>
      <c r="AL4370">
        <v>89.033920425369899</v>
      </c>
      <c r="AM4370">
        <v>92.888723274212794</v>
      </c>
      <c r="AN4370">
        <v>0.99999997182716605</v>
      </c>
    </row>
    <row r="4371" spans="1:40" x14ac:dyDescent="0.3">
      <c r="A4371" t="str">
        <f>"20200111160545277"</f>
        <v>20200111160545277</v>
      </c>
      <c r="B4371" t="str">
        <f>"1578729945265902"</f>
        <v>1578729945265902</v>
      </c>
      <c r="C4371" t="s">
        <v>40</v>
      </c>
      <c r="D4371">
        <v>5.150188</v>
      </c>
      <c r="E4371">
        <v>0.46037820000000002</v>
      </c>
      <c r="F4371" t="s">
        <v>41</v>
      </c>
      <c r="G4371">
        <v>-397.55059999999997</v>
      </c>
      <c r="H4371" s="1">
        <v>-1.0450059999999999E-6</v>
      </c>
      <c r="I4371">
        <v>139.5489</v>
      </c>
      <c r="J4371">
        <v>-385.43920000000003</v>
      </c>
      <c r="K4371">
        <v>1.110838</v>
      </c>
      <c r="L4371">
        <v>141.6437</v>
      </c>
      <c r="M4371">
        <v>-0.99986209999999998</v>
      </c>
      <c r="N4371">
        <v>0</v>
      </c>
      <c r="O4371">
        <v>-9.5656070000000003E-3</v>
      </c>
      <c r="P4371">
        <v>-0.99830479999999999</v>
      </c>
      <c r="Q4371">
        <v>5.2047129999999997E-3</v>
      </c>
      <c r="R4371">
        <v>-5.7970929999999997E-2</v>
      </c>
      <c r="S4371">
        <v>-2.9758</v>
      </c>
      <c r="T4371">
        <v>-0.26979540000000002</v>
      </c>
      <c r="U4371">
        <v>-0.50912479999999904</v>
      </c>
      <c r="V4371">
        <v>-4.8423769999999998E-2</v>
      </c>
      <c r="W4371">
        <v>1.875893E-2</v>
      </c>
      <c r="X4371">
        <v>0.9986507</v>
      </c>
      <c r="Y4371">
        <v>-0.1586072</v>
      </c>
      <c r="Z4371">
        <v>-6.2645959999999999E-3</v>
      </c>
      <c r="AA4371">
        <v>0.98732189999999997</v>
      </c>
      <c r="AB4371">
        <v>21</v>
      </c>
      <c r="AC4371">
        <v>-12.1113999999999</v>
      </c>
      <c r="AD4371">
        <v>-1.1108390450059999</v>
      </c>
      <c r="AE4371">
        <v>-2.09479999999999</v>
      </c>
      <c r="AF4371">
        <v>-1.96280849207473</v>
      </c>
      <c r="AG4371">
        <v>-1.1108390450059999</v>
      </c>
      <c r="AH4371">
        <v>12.032604201371001</v>
      </c>
      <c r="AI4371">
        <v>95.206117641744896</v>
      </c>
      <c r="AJ4371">
        <v>99.264724673482306</v>
      </c>
      <c r="AK4371">
        <v>12.242146234518</v>
      </c>
      <c r="AL4371">
        <v>88.925129424846304</v>
      </c>
      <c r="AM4371">
        <v>92.776051985833703</v>
      </c>
      <c r="AN4371">
        <v>0.99999998978312299</v>
      </c>
    </row>
    <row r="4372" spans="1:40" x14ac:dyDescent="0.3">
      <c r="A4372" t="str">
        <f>"20200111160545295"</f>
        <v>20200111160545295</v>
      </c>
      <c r="B4372" t="str">
        <f>"1578729945286398"</f>
        <v>1578729945286398</v>
      </c>
      <c r="C4372" t="s">
        <v>40</v>
      </c>
      <c r="D4372">
        <v>5.7301699999999904</v>
      </c>
      <c r="E4372">
        <v>0.46275959999999999</v>
      </c>
      <c r="F4372" t="s">
        <v>41</v>
      </c>
      <c r="G4372">
        <v>-398.11219999999997</v>
      </c>
      <c r="H4372" s="1">
        <v>-8.0620269999999995E-7</v>
      </c>
      <c r="I4372">
        <v>139.53700000000001</v>
      </c>
      <c r="J4372">
        <v>-385.60149999999999</v>
      </c>
      <c r="K4372">
        <v>1.1108549999999999</v>
      </c>
      <c r="L4372">
        <v>141.642</v>
      </c>
      <c r="M4372">
        <v>-0.99986010000000003</v>
      </c>
      <c r="N4372">
        <v>0</v>
      </c>
      <c r="O4372">
        <v>-9.7645130000000007E-3</v>
      </c>
      <c r="P4372">
        <v>-0.99846880000000005</v>
      </c>
      <c r="Q4372">
        <v>8.1575160000000001E-3</v>
      </c>
      <c r="R4372">
        <v>-5.4716180000000003E-2</v>
      </c>
      <c r="S4372">
        <v>-2.977722</v>
      </c>
      <c r="T4372">
        <v>-0.2610093</v>
      </c>
      <c r="U4372">
        <v>-0.49499510000000002</v>
      </c>
      <c r="V4372">
        <v>-4.4971259999999999E-2</v>
      </c>
      <c r="W4372">
        <v>2.1708990000000001E-2</v>
      </c>
      <c r="X4372">
        <v>0.99875239999999998</v>
      </c>
      <c r="Y4372">
        <v>-0.15380429999999901</v>
      </c>
      <c r="Z4372">
        <v>-5.8339250000000002E-3</v>
      </c>
      <c r="AA4372">
        <v>0.98808410000000002</v>
      </c>
      <c r="AB4372">
        <v>21</v>
      </c>
      <c r="AC4372">
        <v>-12.5106999999999</v>
      </c>
      <c r="AD4372">
        <v>-1.1108558062027001</v>
      </c>
      <c r="AE4372">
        <v>-2.10499999999998</v>
      </c>
      <c r="AF4372">
        <v>-1.9676414703693399</v>
      </c>
      <c r="AG4372">
        <v>-1.1108558062027001</v>
      </c>
      <c r="AH4372">
        <v>12.435317499276</v>
      </c>
      <c r="AI4372">
        <v>95.0423211547092</v>
      </c>
      <c r="AJ4372">
        <v>98.991372875433996</v>
      </c>
      <c r="AK4372">
        <v>12.638937253024499</v>
      </c>
      <c r="AL4372">
        <v>88.756068807467898</v>
      </c>
      <c r="AM4372">
        <v>92.578140631661299</v>
      </c>
      <c r="AN4372">
        <v>1.00000002548928</v>
      </c>
    </row>
    <row r="4373" spans="1:40" x14ac:dyDescent="0.3">
      <c r="A4373" t="str">
        <f>"20200111160545317"</f>
        <v>20200111160545317</v>
      </c>
      <c r="B4373" t="str">
        <f>"1578729945305918"</f>
        <v>1578729945305918</v>
      </c>
      <c r="C4373" t="s">
        <v>40</v>
      </c>
      <c r="D4373">
        <v>5.7169280000000002</v>
      </c>
      <c r="E4373">
        <v>0.46453369999999999</v>
      </c>
      <c r="F4373" t="s">
        <v>41</v>
      </c>
      <c r="G4373">
        <v>-398.34660000000002</v>
      </c>
      <c r="H4373" s="1">
        <v>-6.9973449999999899E-7</v>
      </c>
      <c r="I4373">
        <v>139.64670000000001</v>
      </c>
      <c r="J4373">
        <v>-385.80759999999998</v>
      </c>
      <c r="K4373">
        <v>1.110865</v>
      </c>
      <c r="L4373">
        <v>141.6397</v>
      </c>
      <c r="M4373">
        <v>-0.99985769999999996</v>
      </c>
      <c r="N4373">
        <v>0</v>
      </c>
      <c r="O4373">
        <v>-1.0030219999999999E-2</v>
      </c>
      <c r="P4373">
        <v>-0.9985039</v>
      </c>
      <c r="Q4373">
        <v>1.0733309999999999E-2</v>
      </c>
      <c r="R4373">
        <v>-5.3621050000000003E-2</v>
      </c>
      <c r="S4373">
        <v>-2.9811399999999999</v>
      </c>
      <c r="T4373">
        <v>-0.2598335</v>
      </c>
      <c r="U4373">
        <v>-0.4666748</v>
      </c>
      <c r="V4373">
        <v>-4.361135E-2</v>
      </c>
      <c r="W4373">
        <v>2.42799E-2</v>
      </c>
      <c r="X4373">
        <v>0.99875349999999996</v>
      </c>
      <c r="Y4373">
        <v>-0.14424409999999999</v>
      </c>
      <c r="Z4373">
        <v>-5.3692219999999999E-3</v>
      </c>
      <c r="AA4373">
        <v>0.98952759999999995</v>
      </c>
      <c r="AB4373">
        <v>21</v>
      </c>
      <c r="AC4373">
        <v>-12.539</v>
      </c>
      <c r="AD4373">
        <v>-1.1108656997344999</v>
      </c>
      <c r="AE4373">
        <v>-1.9929999999999899</v>
      </c>
      <c r="AF4373">
        <v>-1.85293446661418</v>
      </c>
      <c r="AG4373">
        <v>-1.1108656997344999</v>
      </c>
      <c r="AH4373">
        <v>12.4629536045165</v>
      </c>
      <c r="AI4373">
        <v>95.0384170262992</v>
      </c>
      <c r="AJ4373">
        <v>98.456526619574802</v>
      </c>
      <c r="AK4373">
        <v>12.648818177551</v>
      </c>
      <c r="AL4373">
        <v>88.608727496432095</v>
      </c>
      <c r="AM4373">
        <v>92.500276582904604</v>
      </c>
      <c r="AN4373">
        <v>1.00000000857754</v>
      </c>
    </row>
    <row r="4374" spans="1:40" x14ac:dyDescent="0.3">
      <c r="A4374" t="str">
        <f>"20200111160545333"</f>
        <v>20200111160545333</v>
      </c>
      <c r="B4374" t="str">
        <f>"1578729945326414"</f>
        <v>1578729945326414</v>
      </c>
      <c r="C4374" t="s">
        <v>40</v>
      </c>
      <c r="D4374">
        <v>5.768249</v>
      </c>
      <c r="E4374">
        <v>0.4657676</v>
      </c>
      <c r="F4374" t="s">
        <v>41</v>
      </c>
      <c r="G4374">
        <v>-398.50110000000001</v>
      </c>
      <c r="H4374" s="1">
        <v>-6.5426970000000002E-7</v>
      </c>
      <c r="I4374">
        <v>139.72489999999999</v>
      </c>
      <c r="J4374">
        <v>-385.95890000000003</v>
      </c>
      <c r="K4374">
        <v>1.1108629999999999</v>
      </c>
      <c r="L4374">
        <v>141.63800000000001</v>
      </c>
      <c r="M4374">
        <v>-0.99985579999999996</v>
      </c>
      <c r="N4374">
        <v>0</v>
      </c>
      <c r="O4374">
        <v>-1.0226870000000001E-2</v>
      </c>
      <c r="P4374">
        <v>-0.99849929999999998</v>
      </c>
      <c r="Q4374">
        <v>1.164749E-2</v>
      </c>
      <c r="R4374">
        <v>-5.3519120000000003E-2</v>
      </c>
      <c r="S4374">
        <v>-2.9831240000000001</v>
      </c>
      <c r="T4374">
        <v>-0.26106570000000001</v>
      </c>
      <c r="U4374">
        <v>-0.44998169999999998</v>
      </c>
      <c r="V4374">
        <v>-4.3313200000000003E-2</v>
      </c>
      <c r="W4374">
        <v>2.5190850000000001E-2</v>
      </c>
      <c r="X4374">
        <v>0.99874390000000002</v>
      </c>
      <c r="Y4374">
        <v>-0.1385545</v>
      </c>
      <c r="Z4374">
        <v>-5.1291409999999898E-3</v>
      </c>
      <c r="AA4374">
        <v>0.99034149999999999</v>
      </c>
      <c r="AB4374">
        <v>21</v>
      </c>
      <c r="AC4374">
        <v>-12.5421999999999</v>
      </c>
      <c r="AD4374">
        <v>-1.1108636542696999</v>
      </c>
      <c r="AE4374">
        <v>-1.91310000000001</v>
      </c>
      <c r="AF4374">
        <v>-1.7711425995326699</v>
      </c>
      <c r="AG4374">
        <v>-1.1108636542696999</v>
      </c>
      <c r="AH4374">
        <v>12.465546273920699</v>
      </c>
      <c r="AI4374">
        <v>95.042070911542197</v>
      </c>
      <c r="AJ4374">
        <v>98.086631384255398</v>
      </c>
      <c r="AK4374">
        <v>12.639652213313299</v>
      </c>
      <c r="AL4374">
        <v>88.556517910761798</v>
      </c>
      <c r="AM4374">
        <v>92.483228693547304</v>
      </c>
      <c r="AN4374">
        <v>0.99999999500258596</v>
      </c>
    </row>
    <row r="4375" spans="1:40" x14ac:dyDescent="0.3">
      <c r="A4375" t="str">
        <f>"20200111160545351"</f>
        <v>20200111160545351</v>
      </c>
      <c r="B4375" t="str">
        <f>"1578729945345937"</f>
        <v>1578729945345937</v>
      </c>
      <c r="C4375" t="s">
        <v>40</v>
      </c>
      <c r="D4375">
        <v>5.7382229999999996</v>
      </c>
      <c r="E4375">
        <v>0.46688059999999998</v>
      </c>
      <c r="F4375" t="s">
        <v>41</v>
      </c>
      <c r="G4375">
        <v>-398.3297</v>
      </c>
      <c r="H4375" s="1">
        <v>-7.5100150000000003E-7</v>
      </c>
      <c r="I4375">
        <v>139.81209999999999</v>
      </c>
      <c r="J4375">
        <v>-386.12450000000001</v>
      </c>
      <c r="K4375">
        <v>1.110851</v>
      </c>
      <c r="L4375">
        <v>141.636</v>
      </c>
      <c r="M4375">
        <v>-0.99985349999999995</v>
      </c>
      <c r="N4375">
        <v>0</v>
      </c>
      <c r="O4375">
        <v>-1.0433660000000001E-2</v>
      </c>
      <c r="P4375">
        <v>-0.99845700000000004</v>
      </c>
      <c r="Q4375">
        <v>1.2358920000000001E-2</v>
      </c>
      <c r="R4375">
        <v>-5.4137049999999999E-2</v>
      </c>
      <c r="S4375">
        <v>-2.9840390000000001</v>
      </c>
      <c r="T4375">
        <v>-0.26795910000000001</v>
      </c>
      <c r="U4375">
        <v>-0.44041439999999998</v>
      </c>
      <c r="V4375">
        <v>-4.3724819999999998E-2</v>
      </c>
      <c r="W4375">
        <v>2.5899680000000001E-2</v>
      </c>
      <c r="X4375">
        <v>0.99870780000000003</v>
      </c>
      <c r="Y4375">
        <v>-0.13518649999999999</v>
      </c>
      <c r="Z4375">
        <v>-5.0951549999999996E-3</v>
      </c>
      <c r="AA4375">
        <v>0.99080710000000005</v>
      </c>
      <c r="AB4375">
        <v>21</v>
      </c>
      <c r="AC4375">
        <v>-12.2051999999999</v>
      </c>
      <c r="AD4375">
        <v>-1.1108517510014999</v>
      </c>
      <c r="AE4375">
        <v>-1.8239000000000001</v>
      </c>
      <c r="AF4375">
        <v>-1.6828087444333</v>
      </c>
      <c r="AG4375">
        <v>-1.1108517510014999</v>
      </c>
      <c r="AH4375">
        <v>12.1253191711079</v>
      </c>
      <c r="AI4375">
        <v>95.185074137605596</v>
      </c>
      <c r="AJ4375">
        <v>97.901305829514001</v>
      </c>
      <c r="AK4375">
        <v>12.291834764764801</v>
      </c>
      <c r="AL4375">
        <v>88.515891634947707</v>
      </c>
      <c r="AM4375">
        <v>92.506888190321405</v>
      </c>
      <c r="AN4375">
        <v>0.999999961544486</v>
      </c>
    </row>
    <row r="4376" spans="1:40" x14ac:dyDescent="0.3">
      <c r="A4376" t="str">
        <f>"20200111160545365"</f>
        <v>20200111160545365</v>
      </c>
      <c r="B4376" t="str">
        <f>"1578729945355694"</f>
        <v>1578729945355694</v>
      </c>
      <c r="C4376" t="s">
        <v>40</v>
      </c>
      <c r="D4376">
        <v>5.8583129999999999</v>
      </c>
      <c r="E4376">
        <v>0.46720050000000002</v>
      </c>
      <c r="F4376" t="s">
        <v>41</v>
      </c>
      <c r="G4376">
        <v>-398.23869999999999</v>
      </c>
      <c r="H4376" s="1">
        <v>-8.0684859999999995E-7</v>
      </c>
      <c r="I4376">
        <v>139.87530000000001</v>
      </c>
      <c r="J4376">
        <v>-386.25560000000002</v>
      </c>
      <c r="K4376">
        <v>1.110835</v>
      </c>
      <c r="L4376">
        <v>141.6345</v>
      </c>
      <c r="M4376">
        <v>-0.99985190000000002</v>
      </c>
      <c r="N4376">
        <v>0</v>
      </c>
      <c r="O4376">
        <v>-1.0587350000000001E-2</v>
      </c>
      <c r="P4376">
        <v>-0.99842379999999997</v>
      </c>
      <c r="Q4376">
        <v>1.164376E-2</v>
      </c>
      <c r="R4376">
        <v>-5.4905339999999997E-2</v>
      </c>
      <c r="S4376">
        <v>-2.984467</v>
      </c>
      <c r="T4376">
        <v>-0.2736692</v>
      </c>
      <c r="U4376">
        <v>-0.43374629999999997</v>
      </c>
      <c r="V4376">
        <v>-4.4339000000000003E-2</v>
      </c>
      <c r="W4376">
        <v>2.518227E-2</v>
      </c>
      <c r="X4376">
        <v>0.99869909999999995</v>
      </c>
      <c r="Y4376">
        <v>-0.13283529999999999</v>
      </c>
      <c r="Z4376">
        <v>-5.0823789999999997E-3</v>
      </c>
      <c r="AA4376">
        <v>0.99112509999999998</v>
      </c>
      <c r="AB4376">
        <v>21</v>
      </c>
      <c r="AC4376">
        <v>-11.983099999999901</v>
      </c>
      <c r="AD4376">
        <v>-1.1108358068485999</v>
      </c>
      <c r="AE4376">
        <v>-1.7591999999999901</v>
      </c>
      <c r="AF4376">
        <v>-1.6186046794062201</v>
      </c>
      <c r="AG4376">
        <v>-1.1108358068485999</v>
      </c>
      <c r="AH4376">
        <v>11.9009441371965</v>
      </c>
      <c r="AI4376">
        <v>95.284176034092795</v>
      </c>
      <c r="AJ4376">
        <v>97.745071103216105</v>
      </c>
      <c r="AK4376">
        <v>12.061770543939399</v>
      </c>
      <c r="AL4376">
        <v>88.557009661650696</v>
      </c>
      <c r="AM4376">
        <v>92.5420773991424</v>
      </c>
      <c r="AN4376">
        <v>0.99999999299208098</v>
      </c>
    </row>
    <row r="4377" spans="1:40" x14ac:dyDescent="0.3">
      <c r="A4377" t="str">
        <f>"20200111160545383"</f>
        <v>20200111160545383</v>
      </c>
      <c r="B4377" t="str">
        <f>"1578729945376192"</f>
        <v>1578729945376192</v>
      </c>
      <c r="C4377" t="s">
        <v>40</v>
      </c>
      <c r="D4377">
        <v>5.6622599999999998</v>
      </c>
      <c r="E4377">
        <v>0.46789449999999999</v>
      </c>
      <c r="F4377" t="s">
        <v>41</v>
      </c>
      <c r="G4377">
        <v>-398.15410000000003</v>
      </c>
      <c r="H4377" s="1">
        <v>-8.5123229999999996E-7</v>
      </c>
      <c r="I4377">
        <v>139.90559999999999</v>
      </c>
      <c r="J4377">
        <v>-386.42720000000003</v>
      </c>
      <c r="K4377">
        <v>1.110797</v>
      </c>
      <c r="L4377">
        <v>141.63249999999999</v>
      </c>
      <c r="M4377">
        <v>-0.99985020000000002</v>
      </c>
      <c r="N4377">
        <v>0</v>
      </c>
      <c r="O4377">
        <v>-1.07635E-2</v>
      </c>
      <c r="P4377">
        <v>-0.99836029999999998</v>
      </c>
      <c r="Q4377">
        <v>9.1219460000000006E-3</v>
      </c>
      <c r="R4377">
        <v>-5.6513920000000002E-2</v>
      </c>
      <c r="S4377">
        <v>-2.9841310000000001</v>
      </c>
      <c r="T4377">
        <v>-0.27859679999999998</v>
      </c>
      <c r="U4377">
        <v>-0.43357849999999998</v>
      </c>
      <c r="V4377">
        <v>-4.5770369999999998E-2</v>
      </c>
      <c r="W4377">
        <v>2.2659579999999999E-2</v>
      </c>
      <c r="X4377">
        <v>0.998695</v>
      </c>
      <c r="Y4377">
        <v>-0.13260529999999901</v>
      </c>
      <c r="Z4377">
        <v>-5.147123E-3</v>
      </c>
      <c r="AA4377">
        <v>0.99115560000000003</v>
      </c>
      <c r="AB4377">
        <v>21</v>
      </c>
      <c r="AC4377">
        <v>-11.726900000000001</v>
      </c>
      <c r="AD4377">
        <v>-1.1107978512323</v>
      </c>
      <c r="AE4377">
        <v>-1.7269000000000001</v>
      </c>
      <c r="AF4377">
        <v>-1.5866322809536</v>
      </c>
      <c r="AG4377">
        <v>-1.1107978512323</v>
      </c>
      <c r="AH4377">
        <v>11.6425663863499</v>
      </c>
      <c r="AI4377">
        <v>95.400380467294099</v>
      </c>
      <c r="AJ4377">
        <v>97.760380913362297</v>
      </c>
      <c r="AK4377">
        <v>11.802568615425701</v>
      </c>
      <c r="AL4377">
        <v>88.701590627559696</v>
      </c>
      <c r="AM4377">
        <v>92.624039641341994</v>
      </c>
      <c r="AN4377">
        <v>1.00000004318035</v>
      </c>
    </row>
    <row r="4378" spans="1:40" x14ac:dyDescent="0.3">
      <c r="A4378" t="str">
        <f>"20200111160545406"</f>
        <v>20200111160545406</v>
      </c>
      <c r="B4378" t="str">
        <f>"1578729945395710"</f>
        <v>1578729945395710</v>
      </c>
      <c r="C4378" t="s">
        <v>40</v>
      </c>
      <c r="D4378">
        <v>6.1310630000000002</v>
      </c>
      <c r="E4378">
        <v>0.46825699999999998</v>
      </c>
      <c r="F4378" t="s">
        <v>41</v>
      </c>
      <c r="G4378">
        <v>-397.74889999999999</v>
      </c>
      <c r="H4378" s="1">
        <v>-1.0475820000000001E-6</v>
      </c>
      <c r="I4378">
        <v>139.99019999999999</v>
      </c>
      <c r="J4378">
        <v>-386.63299999999998</v>
      </c>
      <c r="K4378">
        <v>1.1107530000000001</v>
      </c>
      <c r="L4378">
        <v>141.6301</v>
      </c>
      <c r="M4378">
        <v>-0.99984819999999996</v>
      </c>
      <c r="N4378">
        <v>0</v>
      </c>
      <c r="O4378">
        <v>-1.093041E-2</v>
      </c>
      <c r="P4378">
        <v>-0.99835289999999999</v>
      </c>
      <c r="Q4378">
        <v>5.0492169999999999E-3</v>
      </c>
      <c r="R4378">
        <v>-5.714996E-2</v>
      </c>
      <c r="S4378">
        <v>-2.9831539999999999</v>
      </c>
      <c r="T4378">
        <v>-0.29268650000000002</v>
      </c>
      <c r="U4378">
        <v>-0.43269350000000001</v>
      </c>
      <c r="V4378">
        <v>-4.6236649999999997E-2</v>
      </c>
      <c r="W4378">
        <v>1.8587300000000001E-2</v>
      </c>
      <c r="X4378">
        <v>0.99875749999999996</v>
      </c>
      <c r="Y4378">
        <v>-0.13214699999999999</v>
      </c>
      <c r="Z4378">
        <v>-5.3695330000000001E-3</v>
      </c>
      <c r="AA4378">
        <v>0.99121559999999997</v>
      </c>
      <c r="AB4378">
        <v>21</v>
      </c>
      <c r="AC4378">
        <v>-11.1158999999999</v>
      </c>
      <c r="AD4378">
        <v>-1.1107540475819999</v>
      </c>
      <c r="AE4378">
        <v>-1.6399000000000099</v>
      </c>
      <c r="AF4378">
        <v>-1.50359592882505</v>
      </c>
      <c r="AG4378">
        <v>-1.1107540475819999</v>
      </c>
      <c r="AH4378">
        <v>11.0254188019618</v>
      </c>
      <c r="AI4378">
        <v>95.7004311255548</v>
      </c>
      <c r="AJ4378">
        <v>97.765827870423806</v>
      </c>
      <c r="AK4378">
        <v>11.1827740310735</v>
      </c>
      <c r="AL4378">
        <v>88.934964750438894</v>
      </c>
      <c r="AM4378">
        <v>92.6505681451454</v>
      </c>
      <c r="AN4378">
        <v>0.99999992966537798</v>
      </c>
    </row>
    <row r="4379" spans="1:40" x14ac:dyDescent="0.3">
      <c r="A4379" t="str">
        <f>"20200111160545421"</f>
        <v>20200111160545421</v>
      </c>
      <c r="B4379" t="str">
        <f>"1578729945416206"</f>
        <v>1578729945416206</v>
      </c>
      <c r="C4379" t="s">
        <v>40</v>
      </c>
      <c r="D4379">
        <v>5.7415079999999996</v>
      </c>
      <c r="E4379">
        <v>0.46910479999999999</v>
      </c>
      <c r="F4379" t="s">
        <v>41</v>
      </c>
      <c r="G4379">
        <v>-397.36070000000001</v>
      </c>
      <c r="H4379" s="1">
        <v>-1.2370880000000001E-6</v>
      </c>
      <c r="I4379">
        <v>140.07660000000001</v>
      </c>
      <c r="J4379">
        <v>-386.76859999999999</v>
      </c>
      <c r="K4379">
        <v>1.110725</v>
      </c>
      <c r="L4379">
        <v>141.6285</v>
      </c>
      <c r="M4379">
        <v>-0.9998475</v>
      </c>
      <c r="N4379">
        <v>0</v>
      </c>
      <c r="O4379">
        <v>-1.101705E-2</v>
      </c>
      <c r="P4379">
        <v>-0.99836239999999998</v>
      </c>
      <c r="Q4379">
        <v>3.4366760000000001E-3</v>
      </c>
      <c r="R4379">
        <v>-5.7105499999999997E-2</v>
      </c>
      <c r="S4379">
        <v>-2.9817200000000001</v>
      </c>
      <c r="T4379">
        <v>-0.30873010000000001</v>
      </c>
      <c r="U4379">
        <v>-0.4317474</v>
      </c>
      <c r="V4379">
        <v>-4.6104619999999999E-2</v>
      </c>
      <c r="W4379">
        <v>1.697537E-2</v>
      </c>
      <c r="X4379">
        <v>0.99879240000000002</v>
      </c>
      <c r="Y4379">
        <v>-0.1317586</v>
      </c>
      <c r="Z4379">
        <v>-5.6363250000000002E-3</v>
      </c>
      <c r="AA4379">
        <v>0.99126579999999997</v>
      </c>
      <c r="AB4379">
        <v>21</v>
      </c>
      <c r="AC4379">
        <v>-10.5921</v>
      </c>
      <c r="AD4379">
        <v>-1.110726237088</v>
      </c>
      <c r="AE4379">
        <v>-1.5518999999999801</v>
      </c>
      <c r="AF4379">
        <v>-1.41981665087343</v>
      </c>
      <c r="AG4379">
        <v>-1.110726237088</v>
      </c>
      <c r="AH4379">
        <v>10.495568144191999</v>
      </c>
      <c r="AI4379">
        <v>95.986888806475093</v>
      </c>
      <c r="AJ4379">
        <v>97.704075224323702</v>
      </c>
      <c r="AK4379">
        <v>10.6492508076968</v>
      </c>
      <c r="AL4379">
        <v>89.027336253148903</v>
      </c>
      <c r="AM4379">
        <v>92.642917902601894</v>
      </c>
      <c r="AN4379">
        <v>1.00000002873487</v>
      </c>
    </row>
    <row r="4380" spans="1:40" x14ac:dyDescent="0.3">
      <c r="A4380" t="str">
        <f>"20200111160545433"</f>
        <v>20200111160545433</v>
      </c>
      <c r="B4380" t="str">
        <f>"1578729945425967"</f>
        <v>1578729945425967</v>
      </c>
      <c r="C4380" t="s">
        <v>40</v>
      </c>
      <c r="D4380">
        <v>5.6032950000000001</v>
      </c>
      <c r="E4380">
        <v>0.46944089999999999</v>
      </c>
      <c r="F4380" t="s">
        <v>41</v>
      </c>
      <c r="G4380">
        <v>-397.12450000000001</v>
      </c>
      <c r="H4380" s="1">
        <v>-1.358583E-6</v>
      </c>
      <c r="I4380">
        <v>140.1524</v>
      </c>
      <c r="J4380">
        <v>-386.88990000000001</v>
      </c>
      <c r="K4380">
        <v>1.1107009999999999</v>
      </c>
      <c r="L4380">
        <v>141.62700000000001</v>
      </c>
      <c r="M4380">
        <v>-0.99984689999999998</v>
      </c>
      <c r="N4380">
        <v>0</v>
      </c>
      <c r="O4380">
        <v>-1.10779E-2</v>
      </c>
      <c r="P4380">
        <v>-0.99836420000000003</v>
      </c>
      <c r="Q4380">
        <v>2.0177250000000002E-3</v>
      </c>
      <c r="R4380">
        <v>-5.7144519999999997E-2</v>
      </c>
      <c r="S4380">
        <v>-2.9817200000000001</v>
      </c>
      <c r="T4380">
        <v>-0.31980799999999998</v>
      </c>
      <c r="U4380">
        <v>-0.42497249999999998</v>
      </c>
      <c r="V4380">
        <v>-4.6081869999999997E-2</v>
      </c>
      <c r="W4380">
        <v>1.5556489999999999E-2</v>
      </c>
      <c r="X4380">
        <v>0.9988165</v>
      </c>
      <c r="Y4380">
        <v>-0.12945809999999999</v>
      </c>
      <c r="Z4380">
        <v>-5.7095009999999996E-3</v>
      </c>
      <c r="AA4380">
        <v>0.99156840000000002</v>
      </c>
      <c r="AB4380">
        <v>21</v>
      </c>
      <c r="AC4380">
        <v>-10.2346</v>
      </c>
      <c r="AD4380">
        <v>-1.110702358583</v>
      </c>
      <c r="AE4380">
        <v>-1.4745999999999999</v>
      </c>
      <c r="AF4380">
        <v>-1.34559574304096</v>
      </c>
      <c r="AG4380">
        <v>-1.110702358583</v>
      </c>
      <c r="AH4380">
        <v>10.1333898209502</v>
      </c>
      <c r="AI4380">
        <v>96.201113213668407</v>
      </c>
      <c r="AJ4380">
        <v>97.563959292795801</v>
      </c>
      <c r="AK4380">
        <v>10.2825034352724</v>
      </c>
      <c r="AL4380">
        <v>89.108642799389202</v>
      </c>
      <c r="AM4380">
        <v>92.641551973050397</v>
      </c>
      <c r="AN4380">
        <v>0.99999997189803302</v>
      </c>
    </row>
    <row r="4381" spans="1:40" x14ac:dyDescent="0.3">
      <c r="A4381" t="str">
        <f>"20200111160545448"</f>
        <v>20200111160545448</v>
      </c>
      <c r="B4381" t="str">
        <f>"1578729945446462"</f>
        <v>1578729945446462</v>
      </c>
      <c r="C4381" t="s">
        <v>40</v>
      </c>
      <c r="D4381">
        <v>5.6033739999999996</v>
      </c>
      <c r="E4381">
        <v>0.47007490000000002</v>
      </c>
      <c r="F4381" t="s">
        <v>41</v>
      </c>
      <c r="G4381">
        <v>-397.02510000000001</v>
      </c>
      <c r="H4381" s="1">
        <v>-1.4114289999999999E-6</v>
      </c>
      <c r="I4381">
        <v>140.1909</v>
      </c>
      <c r="J4381">
        <v>-387.02199999999999</v>
      </c>
      <c r="K4381">
        <v>1.110689</v>
      </c>
      <c r="L4381">
        <v>141.62549999999999</v>
      </c>
      <c r="M4381">
        <v>-0.99984620000000002</v>
      </c>
      <c r="N4381">
        <v>0</v>
      </c>
      <c r="O4381">
        <v>-1.11334E-2</v>
      </c>
      <c r="P4381">
        <v>-0.99838309999999997</v>
      </c>
      <c r="Q4381">
        <v>6.135181E-4</v>
      </c>
      <c r="R4381">
        <v>-5.6842799999999999E-2</v>
      </c>
      <c r="S4381">
        <v>-2.9813839999999998</v>
      </c>
      <c r="T4381">
        <v>-0.32672319999999999</v>
      </c>
      <c r="U4381">
        <v>-0.42243960000000003</v>
      </c>
      <c r="V4381">
        <v>-4.5723710000000001E-2</v>
      </c>
      <c r="W4381">
        <v>1.415283E-2</v>
      </c>
      <c r="X4381">
        <v>0.99885389999999996</v>
      </c>
      <c r="Y4381">
        <v>-0.12856919999999999</v>
      </c>
      <c r="Z4381">
        <v>-5.7788769999999904E-3</v>
      </c>
      <c r="AA4381">
        <v>0.99168369999999995</v>
      </c>
      <c r="AB4381">
        <v>21</v>
      </c>
      <c r="AC4381">
        <v>-10.0031</v>
      </c>
      <c r="AD4381">
        <v>-1.1106904114289999</v>
      </c>
      <c r="AE4381">
        <v>-1.4345999999999799</v>
      </c>
      <c r="AF4381">
        <v>-1.30733938150813</v>
      </c>
      <c r="AG4381">
        <v>-1.1106904114289999</v>
      </c>
      <c r="AH4381">
        <v>9.8988727857591794</v>
      </c>
      <c r="AI4381">
        <v>96.347361594886394</v>
      </c>
      <c r="AJ4381">
        <v>97.523485301335498</v>
      </c>
      <c r="AK4381">
        <v>10.046414876816799</v>
      </c>
      <c r="AL4381">
        <v>89.189075529507804</v>
      </c>
      <c r="AM4381">
        <v>92.620951900189993</v>
      </c>
      <c r="AN4381">
        <v>1.0000000368991899</v>
      </c>
    </row>
    <row r="4382" spans="1:40" x14ac:dyDescent="0.3">
      <c r="A4382" t="str">
        <f>"20200111160545463"</f>
        <v>20200111160545463</v>
      </c>
      <c r="B4382" t="str">
        <f>"1578729945456222"</f>
        <v>1578729945456222</v>
      </c>
      <c r="C4382" t="s">
        <v>40</v>
      </c>
      <c r="D4382">
        <v>6.2033060000000004</v>
      </c>
      <c r="E4382">
        <v>0.4703368</v>
      </c>
      <c r="F4382" t="s">
        <v>41</v>
      </c>
      <c r="G4382">
        <v>-397.20260000000002</v>
      </c>
      <c r="H4382" s="1">
        <v>-1.338616E-6</v>
      </c>
      <c r="I4382">
        <v>140.20330000000001</v>
      </c>
      <c r="J4382">
        <v>-387.15839999999997</v>
      </c>
      <c r="K4382">
        <v>1.110679</v>
      </c>
      <c r="L4382">
        <v>141.62389999999999</v>
      </c>
      <c r="M4382">
        <v>-0.9998456</v>
      </c>
      <c r="N4382">
        <v>0</v>
      </c>
      <c r="O4382">
        <v>-1.1178220000000001E-2</v>
      </c>
      <c r="P4382">
        <v>-0.99843000000000004</v>
      </c>
      <c r="Q4382">
        <v>-8.9883249999999997E-4</v>
      </c>
      <c r="R4382">
        <v>-5.6007639999999997E-2</v>
      </c>
      <c r="S4382">
        <v>-2.9813540000000001</v>
      </c>
      <c r="T4382">
        <v>-0.32526179999999999</v>
      </c>
      <c r="U4382">
        <v>-0.4164581</v>
      </c>
      <c r="V4382">
        <v>-4.4843000000000001E-2</v>
      </c>
      <c r="W4382">
        <v>1.2640439999999999E-2</v>
      </c>
      <c r="X4382">
        <v>0.99891410000000003</v>
      </c>
      <c r="Y4382">
        <v>-0.1265925</v>
      </c>
      <c r="Z4382">
        <v>-5.6421830000000003E-3</v>
      </c>
      <c r="AA4382">
        <v>0.99193880000000001</v>
      </c>
      <c r="AB4382">
        <v>21</v>
      </c>
      <c r="AC4382">
        <v>-10.0442</v>
      </c>
      <c r="AD4382">
        <v>-1.110680338616</v>
      </c>
      <c r="AE4382">
        <v>-1.4205999999999701</v>
      </c>
      <c r="AF4382">
        <v>-1.2927274502402899</v>
      </c>
      <c r="AG4382">
        <v>-1.110680338616</v>
      </c>
      <c r="AH4382">
        <v>9.9402896798922509</v>
      </c>
      <c r="AI4382">
        <v>96.322704806438495</v>
      </c>
      <c r="AJ4382">
        <v>97.409688350335202</v>
      </c>
      <c r="AK4382">
        <v>10.0853415408386</v>
      </c>
      <c r="AL4382">
        <v>89.2757368684791</v>
      </c>
      <c r="AM4382">
        <v>92.570381949009104</v>
      </c>
      <c r="AN4382">
        <v>1.0000000272756</v>
      </c>
    </row>
    <row r="4383" spans="1:40" x14ac:dyDescent="0.3">
      <c r="A4383" t="str">
        <f>"20200111160545485"</f>
        <v>20200111160545485</v>
      </c>
      <c r="B4383" t="str">
        <f>"1578729945475741"</f>
        <v>1578729945475741</v>
      </c>
      <c r="C4383" t="s">
        <v>40</v>
      </c>
      <c r="D4383">
        <v>5.7797999999999998</v>
      </c>
      <c r="E4383">
        <v>0.47094900000000001</v>
      </c>
      <c r="F4383" t="s">
        <v>41</v>
      </c>
      <c r="G4383">
        <v>-397.30220000000003</v>
      </c>
      <c r="H4383" s="1">
        <v>-1.3009670000000001E-6</v>
      </c>
      <c r="I4383">
        <v>140.2225</v>
      </c>
      <c r="J4383">
        <v>-387.35640000000001</v>
      </c>
      <c r="K4383">
        <v>1.1106689999999999</v>
      </c>
      <c r="L4383">
        <v>141.6216</v>
      </c>
      <c r="M4383">
        <v>-0.99984519999999999</v>
      </c>
      <c r="N4383">
        <v>0</v>
      </c>
      <c r="O4383">
        <v>-1.122476E-2</v>
      </c>
      <c r="P4383">
        <v>-0.99853340000000002</v>
      </c>
      <c r="Q4383">
        <v>-1.8415440000000001E-3</v>
      </c>
      <c r="R4383">
        <v>-5.4108820000000002E-2</v>
      </c>
      <c r="S4383">
        <v>-2.9813230000000002</v>
      </c>
      <c r="T4383">
        <v>-0.32643529999999998</v>
      </c>
      <c r="U4383">
        <v>-0.41186519999999999</v>
      </c>
      <c r="V4383">
        <v>-4.2896200000000002E-2</v>
      </c>
      <c r="W4383">
        <v>1.1697330000000001E-2</v>
      </c>
      <c r="X4383">
        <v>0.99901099999999998</v>
      </c>
      <c r="Y4383">
        <v>-0.12505260000000001</v>
      </c>
      <c r="Z4383">
        <v>-5.5743540000000001E-3</v>
      </c>
      <c r="AA4383">
        <v>0.99213450000000003</v>
      </c>
      <c r="AB4383">
        <v>21</v>
      </c>
      <c r="AC4383">
        <v>-9.9458000000000197</v>
      </c>
      <c r="AD4383">
        <v>-1.110670300967</v>
      </c>
      <c r="AE4383">
        <v>-1.3991</v>
      </c>
      <c r="AF4383">
        <v>-1.2718097806253501</v>
      </c>
      <c r="AG4383">
        <v>-1.110670300967</v>
      </c>
      <c r="AH4383">
        <v>9.8405421656363394</v>
      </c>
      <c r="AI4383">
        <v>96.3868621152142</v>
      </c>
      <c r="AJ4383">
        <v>97.364190578319395</v>
      </c>
      <c r="AK4383">
        <v>9.9843557002548309</v>
      </c>
      <c r="AL4383">
        <v>89.329777037688103</v>
      </c>
      <c r="AM4383">
        <v>92.458694046244005</v>
      </c>
      <c r="AN4383">
        <v>0.99999994481228205</v>
      </c>
    </row>
    <row r="4384" spans="1:40" x14ac:dyDescent="0.3">
      <c r="A4384" t="str">
        <f>"20200111160545507"</f>
        <v>20200111160545507</v>
      </c>
      <c r="B4384" t="str">
        <f>"1578729945496238"</f>
        <v>1578729945496238</v>
      </c>
      <c r="C4384" t="s">
        <v>40</v>
      </c>
      <c r="D4384">
        <v>7.9624449999999998</v>
      </c>
      <c r="E4384">
        <v>0.47148380000000001</v>
      </c>
      <c r="F4384" t="s">
        <v>41</v>
      </c>
      <c r="G4384">
        <v>-397.6112</v>
      </c>
      <c r="H4384" s="1">
        <v>-1.1730959999999999E-6</v>
      </c>
      <c r="I4384">
        <v>140.24010000000001</v>
      </c>
      <c r="J4384">
        <v>-387.56400000000002</v>
      </c>
      <c r="K4384">
        <v>1.11067</v>
      </c>
      <c r="L4384">
        <v>141.61920000000001</v>
      </c>
      <c r="M4384">
        <v>-0.99984479999999998</v>
      </c>
      <c r="N4384">
        <v>0</v>
      </c>
      <c r="O4384">
        <v>-1.1268459999999999E-2</v>
      </c>
      <c r="P4384">
        <v>-0.99865510000000002</v>
      </c>
      <c r="Q4384">
        <v>-2.2333940000000001E-3</v>
      </c>
      <c r="R4384">
        <v>-5.180121E-2</v>
      </c>
      <c r="S4384">
        <v>-2.982056</v>
      </c>
      <c r="T4384">
        <v>-0.3229784</v>
      </c>
      <c r="U4384">
        <v>-0.40171810000000002</v>
      </c>
      <c r="V4384">
        <v>-4.0543500000000003E-2</v>
      </c>
      <c r="W4384">
        <v>1.1304440000000001E-2</v>
      </c>
      <c r="X4384">
        <v>0.99911380000000005</v>
      </c>
      <c r="Y4384">
        <v>-0.1216947</v>
      </c>
      <c r="Z4384">
        <v>-5.3303730000000002E-3</v>
      </c>
      <c r="AA4384">
        <v>0.99255320000000002</v>
      </c>
      <c r="AB4384">
        <v>21</v>
      </c>
      <c r="AC4384">
        <v>-10.047199999999901</v>
      </c>
      <c r="AD4384">
        <v>-1.1106711730959999</v>
      </c>
      <c r="AE4384">
        <v>-1.37909999999999</v>
      </c>
      <c r="AF4384">
        <v>-1.2507833112438</v>
      </c>
      <c r="AG4384">
        <v>-1.1106711730959999</v>
      </c>
      <c r="AH4384">
        <v>9.9428463526818494</v>
      </c>
      <c r="AI4384">
        <v>96.324396723074599</v>
      </c>
      <c r="AJ4384">
        <v>97.1699915389935</v>
      </c>
      <c r="AK4384">
        <v>10.082571246436601</v>
      </c>
      <c r="AL4384">
        <v>89.352289486713104</v>
      </c>
      <c r="AM4384">
        <v>92.323756935030104</v>
      </c>
      <c r="AN4384">
        <v>0.99999997555320097</v>
      </c>
    </row>
    <row r="4385" spans="1:40" x14ac:dyDescent="0.3">
      <c r="A4385" t="str">
        <f>"20200111160545530"</f>
        <v>20200111160545530</v>
      </c>
      <c r="B4385" t="str">
        <f>"1578729945526494"</f>
        <v>1578729945526494</v>
      </c>
      <c r="C4385" t="s">
        <v>40</v>
      </c>
      <c r="D4385">
        <v>5.6080800000000002</v>
      </c>
      <c r="E4385">
        <v>0.55745149999999999</v>
      </c>
      <c r="F4385" t="s">
        <v>41</v>
      </c>
      <c r="G4385">
        <v>-397.8723</v>
      </c>
      <c r="H4385" s="1">
        <v>-1.0687780000000001E-6</v>
      </c>
      <c r="I4385">
        <v>140.2689</v>
      </c>
      <c r="J4385">
        <v>-387.76780000000002</v>
      </c>
      <c r="K4385">
        <v>1.110676</v>
      </c>
      <c r="L4385">
        <v>141.61689999999999</v>
      </c>
      <c r="M4385">
        <v>-0.99984430000000002</v>
      </c>
      <c r="N4385">
        <v>0</v>
      </c>
      <c r="O4385">
        <v>-1.1316669999999999E-2</v>
      </c>
      <c r="P4385">
        <v>-0.99880440000000004</v>
      </c>
      <c r="Q4385">
        <v>-1.7342049999999999E-3</v>
      </c>
      <c r="R4385">
        <v>-4.8856740000000003E-2</v>
      </c>
      <c r="S4385">
        <v>-2.983063</v>
      </c>
      <c r="T4385">
        <v>-0.3214108</v>
      </c>
      <c r="U4385">
        <v>-0.39074710000000001</v>
      </c>
      <c r="V4385">
        <v>-3.7549319999999997E-2</v>
      </c>
      <c r="W4385">
        <v>1.180175E-2</v>
      </c>
      <c r="X4385">
        <v>0.99922509999999998</v>
      </c>
      <c r="Y4385">
        <v>-0.1180418</v>
      </c>
      <c r="Z4385">
        <v>-5.103593E-3</v>
      </c>
      <c r="AA4385">
        <v>0.99299550000000003</v>
      </c>
      <c r="AB4385">
        <v>21</v>
      </c>
      <c r="AC4385">
        <v>-10.1044999999999</v>
      </c>
      <c r="AD4385">
        <v>-1.1106770687780001</v>
      </c>
      <c r="AE4385">
        <v>-1.3479999999999801</v>
      </c>
      <c r="AF4385">
        <v>-1.2190822505840999</v>
      </c>
      <c r="AG4385">
        <v>-1.1106770687780001</v>
      </c>
      <c r="AH4385">
        <v>10.000395117065001</v>
      </c>
      <c r="AI4385">
        <v>96.291291088923501</v>
      </c>
      <c r="AJ4385">
        <v>96.950258223606497</v>
      </c>
      <c r="AK4385">
        <v>10.1354658295619</v>
      </c>
      <c r="AL4385">
        <v>89.323793847593393</v>
      </c>
      <c r="AM4385">
        <v>92.152073358112901</v>
      </c>
      <c r="AN4385">
        <v>1.0000000166027601</v>
      </c>
    </row>
    <row r="4386" spans="1:40" x14ac:dyDescent="0.3">
      <c r="A4386" t="str">
        <f>"20200111160545553"</f>
        <v>20200111160545553</v>
      </c>
      <c r="B4386" t="str">
        <f>"1578729945546016"</f>
        <v>1578729945546016</v>
      </c>
      <c r="C4386" t="s">
        <v>40</v>
      </c>
      <c r="D4386">
        <v>5.5015070000000001</v>
      </c>
      <c r="E4386">
        <v>0.56016690000000002</v>
      </c>
      <c r="F4386" t="s">
        <v>75</v>
      </c>
      <c r="G4386">
        <v>-413.44819999999999</v>
      </c>
      <c r="H4386" s="1">
        <v>-1.2004580000000001E-5</v>
      </c>
      <c r="I4386">
        <v>144.2371</v>
      </c>
      <c r="J4386">
        <v>-387.98129999999998</v>
      </c>
      <c r="K4386">
        <v>1.1106879999999999</v>
      </c>
      <c r="L4386">
        <v>141.61439999999999</v>
      </c>
      <c r="M4386">
        <v>-0.9998437</v>
      </c>
      <c r="N4386">
        <v>0</v>
      </c>
      <c r="O4386">
        <v>-1.138222E-2</v>
      </c>
      <c r="P4386">
        <v>-0.99895630000000002</v>
      </c>
      <c r="Q4386">
        <v>-8.3492319999999996E-4</v>
      </c>
      <c r="R4386">
        <v>-4.5675430000000003E-2</v>
      </c>
      <c r="S4386">
        <v>-3.0184630000000001</v>
      </c>
      <c r="T4386">
        <v>-0.13055</v>
      </c>
      <c r="U4386">
        <v>0.30798340000000002</v>
      </c>
      <c r="V4386">
        <v>-3.4301140000000001E-2</v>
      </c>
      <c r="W4386">
        <v>1.269909E-2</v>
      </c>
      <c r="X4386">
        <v>0.99933090000000002</v>
      </c>
      <c r="Y4386">
        <v>0.112709199999999</v>
      </c>
      <c r="Z4386">
        <v>2.9208200000000002E-3</v>
      </c>
      <c r="AA4386">
        <v>0.9936237</v>
      </c>
      <c r="AB4386">
        <v>21</v>
      </c>
      <c r="AC4386">
        <v>-25.466899999999999</v>
      </c>
      <c r="AD4386">
        <v>-1.11070000458</v>
      </c>
      <c r="AE4386">
        <v>2.6227</v>
      </c>
      <c r="AF4386">
        <v>2.90695506695126</v>
      </c>
      <c r="AG4386">
        <v>-1.11070000458</v>
      </c>
      <c r="AH4386">
        <v>25.387611202166099</v>
      </c>
      <c r="AI4386">
        <v>92.488833220266997</v>
      </c>
      <c r="AJ4386">
        <v>83.467915249371202</v>
      </c>
      <c r="AK4386">
        <v>25.577623908678401</v>
      </c>
      <c r="AL4386">
        <v>89.272376211631993</v>
      </c>
      <c r="AM4386">
        <v>91.9658546464957</v>
      </c>
      <c r="AN4386">
        <v>1.00000004139346</v>
      </c>
    </row>
    <row r="4387" spans="1:40" x14ac:dyDescent="0.3">
      <c r="A4387" t="str">
        <f>"20200111160545575"</f>
        <v>20200111160545575</v>
      </c>
      <c r="B4387" t="str">
        <f>"1578729945565756"</f>
        <v>1578729945565756</v>
      </c>
      <c r="C4387" t="s">
        <v>40</v>
      </c>
      <c r="D4387">
        <v>5.5209820000000001</v>
      </c>
      <c r="E4387">
        <v>0.56068969999999996</v>
      </c>
      <c r="F4387" t="s">
        <v>42</v>
      </c>
      <c r="G4387">
        <v>-388.81790000000001</v>
      </c>
      <c r="H4387">
        <v>1.050133</v>
      </c>
      <c r="I4387">
        <v>141.708</v>
      </c>
      <c r="J4387">
        <v>-388.1814</v>
      </c>
      <c r="K4387">
        <v>1.1107020000000001</v>
      </c>
      <c r="L4387">
        <v>141.61199999999999</v>
      </c>
      <c r="M4387">
        <v>-0.99984280000000003</v>
      </c>
      <c r="N4387">
        <v>0</v>
      </c>
      <c r="O4387">
        <v>-1.146018E-2</v>
      </c>
      <c r="P4387">
        <v>-0.99910060000000001</v>
      </c>
      <c r="Q4387">
        <v>9.6274730000000001E-4</v>
      </c>
      <c r="R4387">
        <v>-4.2395090000000003E-2</v>
      </c>
      <c r="S4387">
        <v>-3.018402</v>
      </c>
      <c r="T4387">
        <v>-0.21854309999999999</v>
      </c>
      <c r="U4387">
        <v>0.33702090000000001</v>
      </c>
      <c r="V4387">
        <v>-3.094218E-2</v>
      </c>
      <c r="W4387">
        <v>1.449517E-2</v>
      </c>
      <c r="X4387">
        <v>0.99941610000000003</v>
      </c>
      <c r="Y4387">
        <v>0.1220038</v>
      </c>
      <c r="Z4387">
        <v>5.2236820000000003E-3</v>
      </c>
      <c r="AA4387">
        <v>0.99251590000000001</v>
      </c>
      <c r="AB4387">
        <v>20</v>
      </c>
      <c r="AC4387">
        <v>-0.63650000000001195</v>
      </c>
      <c r="AD4387">
        <v>-6.0569000000000102E-2</v>
      </c>
      <c r="AE4387">
        <v>9.6000000000003596E-2</v>
      </c>
      <c r="AF4387">
        <v>0.10238228284314101</v>
      </c>
      <c r="AG4387">
        <v>-6.0569000000000102E-2</v>
      </c>
      <c r="AH4387">
        <v>0.62978188080318098</v>
      </c>
      <c r="AI4387">
        <v>95.422743947063907</v>
      </c>
      <c r="AJ4387">
        <v>80.766326601279104</v>
      </c>
      <c r="AK4387">
        <v>0.64091805481603104</v>
      </c>
      <c r="AL4387">
        <v>89.169458878603294</v>
      </c>
      <c r="AM4387">
        <v>91.773325643543203</v>
      </c>
      <c r="AN4387">
        <v>1.0000000346978399</v>
      </c>
    </row>
    <row r="4388" spans="1:40" x14ac:dyDescent="0.3">
      <c r="A4388" t="str">
        <f>"20200111160545596"</f>
        <v>20200111160545596</v>
      </c>
      <c r="B4388" t="str">
        <f>"1578729945586252"</f>
        <v>1578729945586252</v>
      </c>
      <c r="C4388" t="s">
        <v>40</v>
      </c>
      <c r="D4388">
        <v>5.5589490000000001</v>
      </c>
      <c r="E4388">
        <v>0.55961070000000002</v>
      </c>
      <c r="F4388" t="s">
        <v>42</v>
      </c>
      <c r="G4388">
        <v>-388.99639999999999</v>
      </c>
      <c r="H4388">
        <v>1.04539</v>
      </c>
      <c r="I4388">
        <v>141.70670000000001</v>
      </c>
      <c r="J4388">
        <v>-388.3759</v>
      </c>
      <c r="K4388">
        <v>1.110714</v>
      </c>
      <c r="L4388">
        <v>141.6097</v>
      </c>
      <c r="M4388">
        <v>-0.9998416</v>
      </c>
      <c r="N4388">
        <v>0</v>
      </c>
      <c r="O4388">
        <v>-1.1548610000000001E-2</v>
      </c>
      <c r="P4388">
        <v>-0.99918390000000001</v>
      </c>
      <c r="Q4388">
        <v>3.0049009999999999E-3</v>
      </c>
      <c r="R4388">
        <v>-4.028288E-2</v>
      </c>
      <c r="S4388">
        <v>-3.017792</v>
      </c>
      <c r="T4388">
        <v>-0.24186530000000001</v>
      </c>
      <c r="U4388">
        <v>0.35025020000000001</v>
      </c>
      <c r="V4388">
        <v>-2.8740930000000001E-2</v>
      </c>
      <c r="W4388">
        <v>1.653483E-2</v>
      </c>
      <c r="X4388">
        <v>0.99945010000000001</v>
      </c>
      <c r="Y4388">
        <v>0.1263165</v>
      </c>
      <c r="Z4388">
        <v>5.9582259999999996E-3</v>
      </c>
      <c r="AA4388">
        <v>0.99197210000000002</v>
      </c>
      <c r="AB4388">
        <v>20</v>
      </c>
      <c r="AC4388">
        <v>-0.62049999999999195</v>
      </c>
      <c r="AD4388">
        <v>-6.5323999999999896E-2</v>
      </c>
      <c r="AE4388">
        <v>9.7000000000008399E-2</v>
      </c>
      <c r="AF4388">
        <v>0.103045280422743</v>
      </c>
      <c r="AG4388">
        <v>-6.5323999999999896E-2</v>
      </c>
      <c r="AH4388">
        <v>0.61270955352672196</v>
      </c>
      <c r="AI4388">
        <v>96.001937907874293</v>
      </c>
      <c r="AJ4388">
        <v>80.453353692829594</v>
      </c>
      <c r="AK4388">
        <v>0.62473878683520001</v>
      </c>
      <c r="AL4388">
        <v>89.052580825354994</v>
      </c>
      <c r="AM4388">
        <v>91.6471860786138</v>
      </c>
      <c r="AN4388">
        <v>0.99999997202520097</v>
      </c>
    </row>
    <row r="4389" spans="1:40" x14ac:dyDescent="0.3">
      <c r="A4389" t="str">
        <f>"20200111160545649"</f>
        <v>20200111160545649</v>
      </c>
      <c r="B4389" t="str">
        <f>"1578729945645789"</f>
        <v>1578729945645789</v>
      </c>
      <c r="C4389" t="s">
        <v>40</v>
      </c>
      <c r="D4389">
        <v>5.5415179999999999</v>
      </c>
      <c r="E4389">
        <v>0.55942209999999903</v>
      </c>
      <c r="F4389" t="s">
        <v>42</v>
      </c>
      <c r="G4389">
        <v>-389.17750000000001</v>
      </c>
      <c r="H4389">
        <v>1.0441780000000001</v>
      </c>
      <c r="I4389">
        <v>141.70230000000001</v>
      </c>
      <c r="J4389">
        <v>-388.8571</v>
      </c>
      <c r="K4389">
        <v>1.1107340000000001</v>
      </c>
      <c r="L4389">
        <v>141.60390000000001</v>
      </c>
      <c r="M4389">
        <v>-0.99983880000000003</v>
      </c>
      <c r="N4389">
        <v>0</v>
      </c>
      <c r="O4389">
        <v>-1.180173E-2</v>
      </c>
      <c r="P4389">
        <v>-0.99922860000000002</v>
      </c>
      <c r="Q4389">
        <v>4.4835409999999997E-3</v>
      </c>
      <c r="R4389">
        <v>-3.9015210000000002E-2</v>
      </c>
      <c r="S4389">
        <v>-3.017242</v>
      </c>
      <c r="T4389">
        <v>-0.25051960000000001</v>
      </c>
      <c r="U4389">
        <v>0.34770200000000001</v>
      </c>
      <c r="V4389">
        <v>-2.7220399999999999E-2</v>
      </c>
      <c r="W4389">
        <v>1.8007559999999999E-2</v>
      </c>
      <c r="X4389">
        <v>0.99946729999999995</v>
      </c>
      <c r="Y4389">
        <v>0.1257307</v>
      </c>
      <c r="Z4389">
        <v>6.1688410000000004E-3</v>
      </c>
      <c r="AA4389">
        <v>0.99204519999999996</v>
      </c>
      <c r="AB4389">
        <v>20</v>
      </c>
      <c r="AC4389">
        <v>-0.32040000000000601</v>
      </c>
      <c r="AD4389">
        <v>-6.6556000000000004E-2</v>
      </c>
      <c r="AE4389">
        <v>9.8399999999998003E-2</v>
      </c>
      <c r="AF4389">
        <v>9.8298686931694801E-2</v>
      </c>
      <c r="AG4389">
        <v>-6.6556000000000004E-2</v>
      </c>
      <c r="AH4389">
        <v>0.307106566996386</v>
      </c>
      <c r="AI4389">
        <v>101.66231181097901</v>
      </c>
      <c r="AJ4389">
        <v>72.251167706101597</v>
      </c>
      <c r="AK4389">
        <v>0.32925184354958598</v>
      </c>
      <c r="AL4389">
        <v>88.968187097610397</v>
      </c>
      <c r="AM4389">
        <v>91.560059642467806</v>
      </c>
      <c r="AN4389">
        <v>1.0000000530813</v>
      </c>
    </row>
    <row r="4390" spans="1:40" x14ac:dyDescent="0.3">
      <c r="A4390" t="str">
        <f>"20200111160545664"</f>
        <v>20200111160545664</v>
      </c>
      <c r="B4390" t="str">
        <f>"1578729945656524"</f>
        <v>1578729945656524</v>
      </c>
      <c r="C4390" t="s">
        <v>40</v>
      </c>
      <c r="D4390">
        <v>5.5633520000000001</v>
      </c>
      <c r="E4390">
        <v>0.55962029999999996</v>
      </c>
      <c r="F4390" t="s">
        <v>42</v>
      </c>
      <c r="G4390">
        <v>-389.71859999999998</v>
      </c>
      <c r="H4390">
        <v>1.035949</v>
      </c>
      <c r="I4390">
        <v>141.70400000000001</v>
      </c>
      <c r="J4390">
        <v>-388.99239999999998</v>
      </c>
      <c r="K4390">
        <v>1.1107309999999999</v>
      </c>
      <c r="L4390">
        <v>141.60220000000001</v>
      </c>
      <c r="M4390">
        <v>-0.9998378</v>
      </c>
      <c r="N4390">
        <v>0</v>
      </c>
      <c r="O4390">
        <v>-1.187711E-2</v>
      </c>
      <c r="P4390">
        <v>-0.99922129999999998</v>
      </c>
      <c r="Q4390">
        <v>4.5873830000000004E-3</v>
      </c>
      <c r="R4390">
        <v>-3.91892E-2</v>
      </c>
      <c r="S4390">
        <v>-3.0171199999999998</v>
      </c>
      <c r="T4390">
        <v>-0.2620285</v>
      </c>
      <c r="U4390">
        <v>0.34942630000000002</v>
      </c>
      <c r="V4390">
        <v>-2.731948E-2</v>
      </c>
      <c r="W4390">
        <v>1.8109589999999998E-2</v>
      </c>
      <c r="X4390">
        <v>0.99946270000000004</v>
      </c>
      <c r="Y4390">
        <v>0.1263232</v>
      </c>
      <c r="Z4390">
        <v>6.4833679999999998E-3</v>
      </c>
      <c r="AA4390">
        <v>0.99196790000000001</v>
      </c>
      <c r="AB4390">
        <v>20</v>
      </c>
      <c r="AC4390">
        <v>-0.72620000000000495</v>
      </c>
      <c r="AD4390">
        <v>-7.4781999999999904E-2</v>
      </c>
      <c r="AE4390">
        <v>0.101799999999997</v>
      </c>
      <c r="AF4390">
        <v>0.109282239179604</v>
      </c>
      <c r="AG4390">
        <v>-7.4781999999999904E-2</v>
      </c>
      <c r="AH4390">
        <v>0.71747785243716899</v>
      </c>
      <c r="AI4390">
        <v>95.883029334046398</v>
      </c>
      <c r="AJ4390">
        <v>81.339588855931595</v>
      </c>
      <c r="AK4390">
        <v>0.72959538379978806</v>
      </c>
      <c r="AL4390">
        <v>88.962340200970402</v>
      </c>
      <c r="AM4390">
        <v>91.565742511435303</v>
      </c>
      <c r="AN4390">
        <v>0.99999999996436395</v>
      </c>
    </row>
    <row r="4391" spans="1:40" x14ac:dyDescent="0.3">
      <c r="A4391" t="str">
        <f>"20200111160545685"</f>
        <v>20200111160545685</v>
      </c>
      <c r="B4391" t="str">
        <f>"1578729945676044"</f>
        <v>1578729945676044</v>
      </c>
      <c r="C4391" t="s">
        <v>40</v>
      </c>
      <c r="D4391">
        <v>5.6854170000000002</v>
      </c>
      <c r="E4391">
        <v>0.55984560000000005</v>
      </c>
      <c r="F4391" t="s">
        <v>42</v>
      </c>
      <c r="G4391">
        <v>-389.89760000000001</v>
      </c>
      <c r="H4391">
        <v>1.0306709999999999</v>
      </c>
      <c r="I4391">
        <v>141.7073</v>
      </c>
      <c r="J4391">
        <v>-389.18849999999998</v>
      </c>
      <c r="K4391">
        <v>1.110724</v>
      </c>
      <c r="L4391">
        <v>141.59970000000001</v>
      </c>
      <c r="M4391">
        <v>-0.99983670000000002</v>
      </c>
      <c r="N4391">
        <v>0</v>
      </c>
      <c r="O4391">
        <v>-1.1989690000000001E-2</v>
      </c>
      <c r="P4391">
        <v>-0.99916799999999995</v>
      </c>
      <c r="Q4391">
        <v>3.620734E-3</v>
      </c>
      <c r="R4391">
        <v>-4.0624880000000002E-2</v>
      </c>
      <c r="S4391">
        <v>-3.017334</v>
      </c>
      <c r="T4391">
        <v>-0.26689790000000002</v>
      </c>
      <c r="U4391">
        <v>0.35034179999999998</v>
      </c>
      <c r="V4391">
        <v>-2.8643410000000001E-2</v>
      </c>
      <c r="W4391">
        <v>1.7139850000000002E-2</v>
      </c>
      <c r="X4391">
        <v>0.99944279999999996</v>
      </c>
      <c r="Y4391">
        <v>0.1267028</v>
      </c>
      <c r="Z4391">
        <v>6.6294259999999999E-3</v>
      </c>
      <c r="AA4391">
        <v>0.99191859999999998</v>
      </c>
      <c r="AB4391">
        <v>20</v>
      </c>
      <c r="AC4391">
        <v>-0.70910000000003404</v>
      </c>
      <c r="AD4391">
        <v>-8.0053000000000096E-2</v>
      </c>
      <c r="AE4391">
        <v>0.10759999999999</v>
      </c>
      <c r="AF4391">
        <v>0.114666398916468</v>
      </c>
      <c r="AG4391">
        <v>-8.0053000000000096E-2</v>
      </c>
      <c r="AH4391">
        <v>0.69904993920263503</v>
      </c>
      <c r="AI4391">
        <v>96.447450832229606</v>
      </c>
      <c r="AJ4391">
        <v>80.6846284832734</v>
      </c>
      <c r="AK4391">
        <v>0.71290089307608395</v>
      </c>
      <c r="AL4391">
        <v>89.017910907834406</v>
      </c>
      <c r="AM4391">
        <v>91.641612107399695</v>
      </c>
      <c r="AN4391">
        <v>1.00000006493314</v>
      </c>
    </row>
    <row r="4392" spans="1:40" x14ac:dyDescent="0.3">
      <c r="A4392" t="str">
        <f>"20200111160545709"</f>
        <v>20200111160545709</v>
      </c>
      <c r="B4392" t="str">
        <f>"1578729945706301"</f>
        <v>1578729945706301</v>
      </c>
      <c r="C4392" t="s">
        <v>40</v>
      </c>
      <c r="D4392">
        <v>5.5658570000000003</v>
      </c>
      <c r="E4392">
        <v>0.56043909999999997</v>
      </c>
      <c r="F4392" t="s">
        <v>42</v>
      </c>
      <c r="G4392">
        <v>-390.07780000000002</v>
      </c>
      <c r="H4392">
        <v>1.0288539999999999</v>
      </c>
      <c r="I4392">
        <v>141.7021</v>
      </c>
      <c r="J4392">
        <v>-389.39400000000001</v>
      </c>
      <c r="K4392">
        <v>1.1107180000000001</v>
      </c>
      <c r="L4392">
        <v>141.59710000000001</v>
      </c>
      <c r="M4392">
        <v>-0.99983520000000004</v>
      </c>
      <c r="N4392">
        <v>0</v>
      </c>
      <c r="O4392">
        <v>-1.211519E-2</v>
      </c>
      <c r="P4392">
        <v>-0.99904939999999998</v>
      </c>
      <c r="Q4392">
        <v>1.1756360000000001E-3</v>
      </c>
      <c r="R4392">
        <v>-4.3576789999999997E-2</v>
      </c>
      <c r="S4392">
        <v>-3.017639</v>
      </c>
      <c r="T4392">
        <v>-0.27780369999999999</v>
      </c>
      <c r="U4392">
        <v>0.34736630000000002</v>
      </c>
      <c r="V4392">
        <v>-3.147059E-2</v>
      </c>
      <c r="W4392">
        <v>1.469113E-2</v>
      </c>
      <c r="X4392">
        <v>0.99939670000000003</v>
      </c>
      <c r="Y4392">
        <v>0.12580939999999999</v>
      </c>
      <c r="Z4392">
        <v>6.8694910000000001E-3</v>
      </c>
      <c r="AA4392">
        <v>0.99203059999999998</v>
      </c>
      <c r="AB4392">
        <v>20</v>
      </c>
      <c r="AC4392">
        <v>-0.68380000000001895</v>
      </c>
      <c r="AD4392">
        <v>-8.1863999999999895E-2</v>
      </c>
      <c r="AE4392">
        <v>0.104999999999989</v>
      </c>
      <c r="AF4392">
        <v>0.111713150059677</v>
      </c>
      <c r="AG4392">
        <v>-8.1863999999999895E-2</v>
      </c>
      <c r="AH4392">
        <v>0.67305314827120899</v>
      </c>
      <c r="AI4392">
        <v>96.842165253933501</v>
      </c>
      <c r="AJ4392">
        <v>80.575979345202995</v>
      </c>
      <c r="AK4392">
        <v>0.68715506458880304</v>
      </c>
      <c r="AL4392">
        <v>89.158229969438096</v>
      </c>
      <c r="AM4392">
        <v>91.803624475072098</v>
      </c>
      <c r="AN4392">
        <v>0.99999999565325703</v>
      </c>
    </row>
    <row r="4393" spans="1:40" x14ac:dyDescent="0.3">
      <c r="A4393" t="str">
        <f>"20200111160545731"</f>
        <v>20200111160545731</v>
      </c>
      <c r="B4393" t="str">
        <f>"1578729945725820"</f>
        <v>1578729945725820</v>
      </c>
      <c r="C4393" t="s">
        <v>40</v>
      </c>
      <c r="D4393">
        <v>5.5696370000000002</v>
      </c>
      <c r="E4393">
        <v>0.56081110000000001</v>
      </c>
      <c r="F4393" t="s">
        <v>42</v>
      </c>
      <c r="G4393">
        <v>-390.2577</v>
      </c>
      <c r="H4393">
        <v>1.026872</v>
      </c>
      <c r="I4393">
        <v>141.69560000000001</v>
      </c>
      <c r="J4393">
        <v>-389.59719999999999</v>
      </c>
      <c r="K4393">
        <v>1.110722</v>
      </c>
      <c r="L4393">
        <v>141.59440000000001</v>
      </c>
      <c r="M4393">
        <v>-0.99983350000000004</v>
      </c>
      <c r="N4393">
        <v>0</v>
      </c>
      <c r="O4393">
        <v>-1.2253740000000001E-2</v>
      </c>
      <c r="P4393">
        <v>-0.99888909999999997</v>
      </c>
      <c r="Q4393">
        <v>-1.807073E-3</v>
      </c>
      <c r="R4393">
        <v>-4.7091599999999997E-2</v>
      </c>
      <c r="S4393">
        <v>-3.0182190000000002</v>
      </c>
      <c r="T4393">
        <v>-0.29302850000000003</v>
      </c>
      <c r="U4393">
        <v>0.34336850000000002</v>
      </c>
      <c r="V4393">
        <v>-3.4848610000000002E-2</v>
      </c>
      <c r="W4393">
        <v>1.170353E-2</v>
      </c>
      <c r="X4393">
        <v>0.99932410000000005</v>
      </c>
      <c r="Y4393">
        <v>0.1245687</v>
      </c>
      <c r="Z4393">
        <v>7.1969139999999996E-3</v>
      </c>
      <c r="AA4393">
        <v>0.99218490000000004</v>
      </c>
      <c r="AB4393">
        <v>20</v>
      </c>
      <c r="AC4393">
        <v>-0.66050000000001297</v>
      </c>
      <c r="AD4393">
        <v>-8.3849999999999897E-2</v>
      </c>
      <c r="AE4393">
        <v>0.10120000000000499</v>
      </c>
      <c r="AF4393">
        <v>0.10759253383376299</v>
      </c>
      <c r="AG4393">
        <v>-8.3849999999999897E-2</v>
      </c>
      <c r="AH4393">
        <v>0.648990897421723</v>
      </c>
      <c r="AI4393">
        <v>97.263801551299395</v>
      </c>
      <c r="AJ4393">
        <v>80.586871563358699</v>
      </c>
      <c r="AK4393">
        <v>0.66317129067309799</v>
      </c>
      <c r="AL4393">
        <v>89.329421834993198</v>
      </c>
      <c r="AM4393">
        <v>91.997219419389495</v>
      </c>
      <c r="AN4393">
        <v>1.0000000275370999</v>
      </c>
    </row>
    <row r="4394" spans="1:40" x14ac:dyDescent="0.3">
      <c r="A4394" t="str">
        <f>"20200111160545754"</f>
        <v>20200111160545754</v>
      </c>
      <c r="B4394" t="str">
        <f>"1578729945746316"</f>
        <v>1578729945746316</v>
      </c>
      <c r="C4394" t="s">
        <v>40</v>
      </c>
      <c r="D4394">
        <v>5.4205990000000002</v>
      </c>
      <c r="E4394">
        <v>0.60468290000000002</v>
      </c>
      <c r="F4394" t="s">
        <v>42</v>
      </c>
      <c r="G4394">
        <v>-390.43819999999999</v>
      </c>
      <c r="H4394">
        <v>1.0266599999999999</v>
      </c>
      <c r="I4394">
        <v>141.68860000000001</v>
      </c>
      <c r="J4394">
        <v>-389.80399999999997</v>
      </c>
      <c r="K4394">
        <v>1.110733</v>
      </c>
      <c r="L4394">
        <v>141.5917</v>
      </c>
      <c r="M4394">
        <v>-0.99983160000000004</v>
      </c>
      <c r="N4394">
        <v>0</v>
      </c>
      <c r="O4394">
        <v>-1.242041E-2</v>
      </c>
      <c r="P4394">
        <v>-0.9987296</v>
      </c>
      <c r="Q4394">
        <v>-4.6151489999999998E-3</v>
      </c>
      <c r="R4394">
        <v>-5.0179469999999997E-2</v>
      </c>
      <c r="S4394">
        <v>-3.0186160000000002</v>
      </c>
      <c r="T4394">
        <v>-0.30191240000000003</v>
      </c>
      <c r="U4394">
        <v>0.33586120000000003</v>
      </c>
      <c r="V4394">
        <v>-3.7772010000000002E-2</v>
      </c>
      <c r="W4394">
        <v>8.8898599999999994E-3</v>
      </c>
      <c r="X4394">
        <v>0.99924679999999999</v>
      </c>
      <c r="Y4394">
        <v>0.1222538</v>
      </c>
      <c r="Z4394">
        <v>7.3155659999999999E-3</v>
      </c>
      <c r="AA4394">
        <v>0.99247189999999996</v>
      </c>
      <c r="AB4394">
        <v>20</v>
      </c>
      <c r="AC4394">
        <v>-0.63419999999996401</v>
      </c>
      <c r="AD4394">
        <v>-8.4072999999999801E-2</v>
      </c>
      <c r="AE4394">
        <v>9.6900000000005093E-2</v>
      </c>
      <c r="AF4394">
        <v>0.103001454254693</v>
      </c>
      <c r="AG4394">
        <v>-8.4072999999999801E-2</v>
      </c>
      <c r="AH4394">
        <v>0.62226151504027605</v>
      </c>
      <c r="AI4394">
        <v>97.5924869872415</v>
      </c>
      <c r="AJ4394">
        <v>80.601189406728807</v>
      </c>
      <c r="AK4394">
        <v>0.63630728583586205</v>
      </c>
      <c r="AL4394">
        <v>89.490641812372601</v>
      </c>
      <c r="AM4394">
        <v>92.164777369498395</v>
      </c>
      <c r="AN4394">
        <v>0.999999960830249</v>
      </c>
    </row>
    <row r="4395" spans="1:40" x14ac:dyDescent="0.3">
      <c r="A4395" t="str">
        <f>"20200111160545775"</f>
        <v>20200111160545775</v>
      </c>
      <c r="B4395" t="str">
        <f>"1578729945765839"</f>
        <v>1578729945765839</v>
      </c>
      <c r="C4395" t="s">
        <v>40</v>
      </c>
      <c r="D4395">
        <v>5.543634</v>
      </c>
      <c r="E4395">
        <v>0.60718219999999901</v>
      </c>
      <c r="F4395" t="s">
        <v>75</v>
      </c>
      <c r="G4395">
        <v>-400.56740000000002</v>
      </c>
      <c r="H4395" s="1">
        <v>-7.4144289999999999E-6</v>
      </c>
      <c r="I4395">
        <v>143.988</v>
      </c>
      <c r="J4395">
        <v>-389.99939999999998</v>
      </c>
      <c r="K4395">
        <v>1.110749</v>
      </c>
      <c r="L4395">
        <v>141.589</v>
      </c>
      <c r="M4395">
        <v>-0.99982899999999997</v>
      </c>
      <c r="N4395">
        <v>0</v>
      </c>
      <c r="O4395">
        <v>-1.26163E-2</v>
      </c>
      <c r="P4395">
        <v>-0.99859779999999998</v>
      </c>
      <c r="Q4395">
        <v>-6.8312939999999999E-3</v>
      </c>
      <c r="R4395">
        <v>-5.2499959999999998E-2</v>
      </c>
      <c r="S4395">
        <v>-3.036346</v>
      </c>
      <c r="T4395">
        <v>-0.31333640000000001</v>
      </c>
      <c r="U4395">
        <v>0.67597959999999901</v>
      </c>
      <c r="V4395">
        <v>-3.9897719999999998E-2</v>
      </c>
      <c r="W4395">
        <v>6.6678669999999897E-3</v>
      </c>
      <c r="X4395">
        <v>0.99918149999999994</v>
      </c>
      <c r="Y4395">
        <v>0.22838729999999999</v>
      </c>
      <c r="Z4395">
        <v>1.2895439999999999E-2</v>
      </c>
      <c r="AA4395">
        <v>0.97348489999999999</v>
      </c>
      <c r="AB4395">
        <v>20</v>
      </c>
      <c r="AC4395">
        <v>-10.568</v>
      </c>
      <c r="AD4395">
        <v>-1.1107564144290001</v>
      </c>
      <c r="AE4395">
        <v>2.399</v>
      </c>
      <c r="AF4395">
        <v>2.5058245543462201</v>
      </c>
      <c r="AG4395">
        <v>-1.1107564144290001</v>
      </c>
      <c r="AH4395">
        <v>10.427341781223801</v>
      </c>
      <c r="AI4395">
        <v>95.913307384035505</v>
      </c>
      <c r="AJ4395">
        <v>76.487317455801005</v>
      </c>
      <c r="AK4395">
        <v>10.7815765605878</v>
      </c>
      <c r="AL4395">
        <v>89.617956523602601</v>
      </c>
      <c r="AM4395">
        <v>92.286628789199</v>
      </c>
      <c r="AN4395">
        <v>0.99999997922688799</v>
      </c>
    </row>
    <row r="4396" spans="1:40" x14ac:dyDescent="0.3">
      <c r="A4396" t="str">
        <f>"20200111160545798"</f>
        <v>20200111160545798</v>
      </c>
      <c r="B4396" t="str">
        <f>"1578729945786332"</f>
        <v>1578729945786332</v>
      </c>
      <c r="C4396" t="s">
        <v>40</v>
      </c>
      <c r="D4396">
        <v>5.592117</v>
      </c>
      <c r="E4396">
        <v>0.61072839999999995</v>
      </c>
      <c r="F4396" t="s">
        <v>75</v>
      </c>
      <c r="G4396">
        <v>-400.51130000000001</v>
      </c>
      <c r="H4396" s="1">
        <v>-7.3819770000000002E-6</v>
      </c>
      <c r="I4396">
        <v>143.96960000000001</v>
      </c>
      <c r="J4396">
        <v>-390.19909999999999</v>
      </c>
      <c r="K4396">
        <v>1.1107769999999999</v>
      </c>
      <c r="L4396">
        <v>141.58619999999999</v>
      </c>
      <c r="M4396">
        <v>-0.99982570000000004</v>
      </c>
      <c r="N4396">
        <v>0</v>
      </c>
      <c r="O4396">
        <v>-1.287775E-2</v>
      </c>
      <c r="P4396">
        <v>-0.99849189999999999</v>
      </c>
      <c r="Q4396">
        <v>-8.5463099999999997E-3</v>
      </c>
      <c r="R4396">
        <v>-5.4227499999999998E-2</v>
      </c>
      <c r="S4396">
        <v>-3.0381770000000001</v>
      </c>
      <c r="T4396">
        <v>-0.32103480000000001</v>
      </c>
      <c r="U4396">
        <v>0.68804929999999997</v>
      </c>
      <c r="V4396">
        <v>-4.1365060000000002E-2</v>
      </c>
      <c r="W4396">
        <v>4.9460370000000003E-3</v>
      </c>
      <c r="X4396">
        <v>0.99913189999999996</v>
      </c>
      <c r="Y4396">
        <v>0.23211850000000001</v>
      </c>
      <c r="Z4396">
        <v>1.3418630000000001E-2</v>
      </c>
      <c r="AA4396">
        <v>0.97259490000000004</v>
      </c>
      <c r="AB4396">
        <v>20</v>
      </c>
      <c r="AC4396">
        <v>-10.312200000000001</v>
      </c>
      <c r="AD4396">
        <v>-1.110784381977</v>
      </c>
      <c r="AE4396">
        <v>2.3834000000000199</v>
      </c>
      <c r="AF4396">
        <v>2.4886022447464402</v>
      </c>
      <c r="AG4396">
        <v>-1.110784381977</v>
      </c>
      <c r="AH4396">
        <v>10.168648799787</v>
      </c>
      <c r="AI4396">
        <v>96.056699107520998</v>
      </c>
      <c r="AJ4396">
        <v>76.248140856235196</v>
      </c>
      <c r="AK4396">
        <v>10.5275068980842</v>
      </c>
      <c r="AL4396">
        <v>89.716611811196003</v>
      </c>
      <c r="AM4396">
        <v>92.3707486765406</v>
      </c>
      <c r="AN4396">
        <v>1.0000000425341999</v>
      </c>
    </row>
    <row r="4397" spans="1:40" x14ac:dyDescent="0.3">
      <c r="A4397" t="str">
        <f>"20200111160545820"</f>
        <v>20200111160545820</v>
      </c>
      <c r="B4397" t="str">
        <f>"1578729945816588"</f>
        <v>1578729945816588</v>
      </c>
      <c r="C4397" t="s">
        <v>40</v>
      </c>
      <c r="D4397">
        <v>5.5836940000000004</v>
      </c>
      <c r="E4397">
        <v>0.61255800000000005</v>
      </c>
      <c r="F4397" t="s">
        <v>75</v>
      </c>
      <c r="G4397">
        <v>-400.59</v>
      </c>
      <c r="H4397" s="1">
        <v>-7.4359369999999998E-6</v>
      </c>
      <c r="I4397">
        <v>144.01599999999999</v>
      </c>
      <c r="J4397">
        <v>-390.40249999999997</v>
      </c>
      <c r="K4397">
        <v>1.1108279999999999</v>
      </c>
      <c r="L4397">
        <v>141.58320000000001</v>
      </c>
      <c r="M4397">
        <v>-0.99982119999999997</v>
      </c>
      <c r="N4397">
        <v>0</v>
      </c>
      <c r="O4397">
        <v>-1.323393E-2</v>
      </c>
      <c r="P4397">
        <v>-0.9983303</v>
      </c>
      <c r="Q4397">
        <v>-1.014258E-2</v>
      </c>
      <c r="R4397">
        <v>-5.6868889999999998E-2</v>
      </c>
      <c r="S4397">
        <v>-3.0403440000000002</v>
      </c>
      <c r="T4397">
        <v>-0.32501219999999997</v>
      </c>
      <c r="U4397">
        <v>0.7109375</v>
      </c>
      <c r="V4397">
        <v>-4.3652070000000001E-2</v>
      </c>
      <c r="W4397">
        <v>3.3395859999999999E-3</v>
      </c>
      <c r="X4397">
        <v>0.99904119999999996</v>
      </c>
      <c r="Y4397">
        <v>0.23919509999999999</v>
      </c>
      <c r="Z4397">
        <v>1.3973060000000001E-2</v>
      </c>
      <c r="AA4397">
        <v>0.97087100000000004</v>
      </c>
      <c r="AB4397">
        <v>20</v>
      </c>
      <c r="AC4397">
        <v>-10.1875</v>
      </c>
      <c r="AD4397">
        <v>-1.1108354359370001</v>
      </c>
      <c r="AE4397">
        <v>2.4327999999999799</v>
      </c>
      <c r="AF4397">
        <v>2.5388625547156898</v>
      </c>
      <c r="AG4397">
        <v>-1.1108354359370001</v>
      </c>
      <c r="AH4397">
        <v>10.041462112115299</v>
      </c>
      <c r="AI4397">
        <v>96.121566377649103</v>
      </c>
      <c r="AJ4397">
        <v>75.810822071978393</v>
      </c>
      <c r="AK4397">
        <v>10.4168488414932</v>
      </c>
      <c r="AL4397">
        <v>89.8086554588469</v>
      </c>
      <c r="AM4397">
        <v>92.501888353690205</v>
      </c>
      <c r="AN4397">
        <v>0.99999998767368803</v>
      </c>
    </row>
    <row r="4398" spans="1:40" x14ac:dyDescent="0.3">
      <c r="A4398" t="str">
        <f>"20200111160545842"</f>
        <v>20200111160545842</v>
      </c>
      <c r="B4398" t="str">
        <f>"1578729945836108"</f>
        <v>1578729945836108</v>
      </c>
      <c r="C4398" t="s">
        <v>40</v>
      </c>
      <c r="D4398">
        <v>5.6670809999999996</v>
      </c>
      <c r="E4398">
        <v>0.61383319999999997</v>
      </c>
      <c r="F4398" t="s">
        <v>75</v>
      </c>
      <c r="G4398">
        <v>-400.68830000000003</v>
      </c>
      <c r="H4398" s="1">
        <v>-7.4768799999999998E-6</v>
      </c>
      <c r="I4398">
        <v>144.0095</v>
      </c>
      <c r="J4398">
        <v>-390.60419999999999</v>
      </c>
      <c r="K4398">
        <v>1.1108960000000001</v>
      </c>
      <c r="L4398">
        <v>141.58000000000001</v>
      </c>
      <c r="M4398">
        <v>-0.99981489999999995</v>
      </c>
      <c r="N4398">
        <v>0</v>
      </c>
      <c r="O4398">
        <v>-1.370092E-2</v>
      </c>
      <c r="P4398">
        <v>-0.99817429999999996</v>
      </c>
      <c r="Q4398">
        <v>-1.15061E-2</v>
      </c>
      <c r="R4398">
        <v>-5.9297059999999999E-2</v>
      </c>
      <c r="S4398">
        <v>-3.0425420000000001</v>
      </c>
      <c r="T4398">
        <v>-0.32858660000000001</v>
      </c>
      <c r="U4398">
        <v>0.71771240000000003</v>
      </c>
      <c r="V4398">
        <v>-4.5615799999999998E-2</v>
      </c>
      <c r="W4398">
        <v>1.964393E-3</v>
      </c>
      <c r="X4398">
        <v>0.99895710000000004</v>
      </c>
      <c r="Y4398">
        <v>0.24149860000000001</v>
      </c>
      <c r="Z4398">
        <v>1.428451E-2</v>
      </c>
      <c r="AA4398">
        <v>0.97029600000000005</v>
      </c>
      <c r="AB4398">
        <v>20</v>
      </c>
      <c r="AC4398">
        <v>-10.084099999999999</v>
      </c>
      <c r="AD4398">
        <v>-1.1109034768799999</v>
      </c>
      <c r="AE4398">
        <v>2.4294999999999898</v>
      </c>
      <c r="AF4398">
        <v>2.5383305778094498</v>
      </c>
      <c r="AG4398">
        <v>-1.1109034768799999</v>
      </c>
      <c r="AH4398">
        <v>9.9358962489878095</v>
      </c>
      <c r="AI4398">
        <v>96.182623399814105</v>
      </c>
      <c r="AJ4398">
        <v>75.669127356702205</v>
      </c>
      <c r="AK4398">
        <v>10.3150018384795</v>
      </c>
      <c r="AL4398">
        <v>89.8874484964647</v>
      </c>
      <c r="AM4398">
        <v>92.6145051798118</v>
      </c>
      <c r="AN4398">
        <v>0.99999997384495298</v>
      </c>
    </row>
    <row r="4399" spans="1:40" x14ac:dyDescent="0.3">
      <c r="A4399" t="str">
        <f>"20200111160545864"</f>
        <v>20200111160545864</v>
      </c>
      <c r="B4399" t="str">
        <f>"1578729945856604"</f>
        <v>1578729945856604</v>
      </c>
      <c r="C4399" t="s">
        <v>40</v>
      </c>
      <c r="D4399">
        <v>5.61998</v>
      </c>
      <c r="E4399">
        <v>0.61460079999999995</v>
      </c>
      <c r="F4399" t="s">
        <v>75</v>
      </c>
      <c r="G4399">
        <v>-400.83580000000001</v>
      </c>
      <c r="H4399" s="1">
        <v>-7.5393370000000004E-6</v>
      </c>
      <c r="I4399">
        <v>144.00229999999999</v>
      </c>
      <c r="J4399">
        <v>-390.79689999999999</v>
      </c>
      <c r="K4399">
        <v>1.1109789999999999</v>
      </c>
      <c r="L4399">
        <v>141.57679999999999</v>
      </c>
      <c r="M4399">
        <v>-0.99980690000000005</v>
      </c>
      <c r="N4399">
        <v>0</v>
      </c>
      <c r="O4399">
        <v>-1.4271320000000001E-2</v>
      </c>
      <c r="P4399">
        <v>-0.99808260000000004</v>
      </c>
      <c r="Q4399">
        <v>-1.192143E-2</v>
      </c>
      <c r="R4399">
        <v>-6.0737140000000002E-2</v>
      </c>
      <c r="S4399">
        <v>-3.044556</v>
      </c>
      <c r="T4399">
        <v>-0.33056459999999999</v>
      </c>
      <c r="U4399">
        <v>0.72076419999999997</v>
      </c>
      <c r="V4399">
        <v>-4.6487510000000003E-2</v>
      </c>
      <c r="W4399">
        <v>1.5371479999999999E-3</v>
      </c>
      <c r="X4399">
        <v>0.99891770000000002</v>
      </c>
      <c r="Y4399">
        <v>0.2428043</v>
      </c>
      <c r="Z4399">
        <v>1.448989E-2</v>
      </c>
      <c r="AA4399">
        <v>0.96996709999999997</v>
      </c>
      <c r="AB4399">
        <v>20</v>
      </c>
      <c r="AC4399">
        <v>-10.0389</v>
      </c>
      <c r="AD4399">
        <v>-1.110986539337</v>
      </c>
      <c r="AE4399">
        <v>2.4254999999999902</v>
      </c>
      <c r="AF4399">
        <v>2.5391515011602301</v>
      </c>
      <c r="AG4399">
        <v>-1.110986539337</v>
      </c>
      <c r="AH4399">
        <v>9.88882645215498</v>
      </c>
      <c r="AI4399">
        <v>96.210359172587204</v>
      </c>
      <c r="AJ4399">
        <v>75.599280251248203</v>
      </c>
      <c r="AK4399">
        <v>10.2698816953883</v>
      </c>
      <c r="AL4399">
        <v>89.9119278734331</v>
      </c>
      <c r="AM4399">
        <v>92.664501533983895</v>
      </c>
      <c r="AN4399">
        <v>1.0000000113916301</v>
      </c>
    </row>
    <row r="4400" spans="1:40" x14ac:dyDescent="0.3">
      <c r="A4400" t="str">
        <f>"20200111160545886"</f>
        <v>20200111160545886</v>
      </c>
      <c r="B4400" t="str">
        <f>"1578729945876124"</f>
        <v>1578729945876124</v>
      </c>
      <c r="C4400" t="s">
        <v>40</v>
      </c>
      <c r="D4400">
        <v>5.5959760000000003</v>
      </c>
      <c r="E4400">
        <v>0.61577799999999905</v>
      </c>
      <c r="F4400" t="s">
        <v>75</v>
      </c>
      <c r="G4400">
        <v>-401.12740000000002</v>
      </c>
      <c r="H4400" s="1">
        <v>-7.6789049999999905E-6</v>
      </c>
      <c r="I4400">
        <v>144.02719999999999</v>
      </c>
      <c r="J4400">
        <v>-390.99599999999998</v>
      </c>
      <c r="K4400">
        <v>1.111076</v>
      </c>
      <c r="L4400">
        <v>141.57310000000001</v>
      </c>
      <c r="M4400">
        <v>-0.99979620000000002</v>
      </c>
      <c r="N4400">
        <v>0</v>
      </c>
      <c r="O4400">
        <v>-1.5004E-2</v>
      </c>
      <c r="P4400">
        <v>-0.99800199999999994</v>
      </c>
      <c r="Q4400">
        <v>-1.051064E-2</v>
      </c>
      <c r="R4400">
        <v>-6.2305619999999999E-2</v>
      </c>
      <c r="S4400">
        <v>-3.0458069999999999</v>
      </c>
      <c r="T4400">
        <v>-0.32755840000000003</v>
      </c>
      <c r="U4400">
        <v>0.72248840000000003</v>
      </c>
      <c r="V4400">
        <v>-4.7326140000000003E-2</v>
      </c>
      <c r="W4400">
        <v>2.935708E-3</v>
      </c>
      <c r="X4400">
        <v>0.99887519999999996</v>
      </c>
      <c r="Y4400">
        <v>0.24396209999999999</v>
      </c>
      <c r="Z4400">
        <v>1.449103E-2</v>
      </c>
      <c r="AA4400">
        <v>0.96967650000000005</v>
      </c>
      <c r="AB4400">
        <v>20</v>
      </c>
      <c r="AC4400">
        <v>-10.131399999999999</v>
      </c>
      <c r="AD4400">
        <v>-1.111083678905</v>
      </c>
      <c r="AE4400">
        <v>2.45409999999998</v>
      </c>
      <c r="AF4400">
        <v>2.57657821960726</v>
      </c>
      <c r="AG4400">
        <v>-1.111083678905</v>
      </c>
      <c r="AH4400">
        <v>9.9800575428297496</v>
      </c>
      <c r="AI4400">
        <v>96.152491166603198</v>
      </c>
      <c r="AJ4400">
        <v>75.523895581466107</v>
      </c>
      <c r="AK4400">
        <v>10.367005875443301</v>
      </c>
      <c r="AL4400">
        <v>89.831796084068799</v>
      </c>
      <c r="AM4400">
        <v>92.712612957589997</v>
      </c>
      <c r="AN4400">
        <v>1.0000000235419</v>
      </c>
    </row>
    <row r="4401" spans="1:40" x14ac:dyDescent="0.3">
      <c r="A4401" t="str">
        <f>"20200111160545909"</f>
        <v>20200111160545909</v>
      </c>
      <c r="B4401" t="str">
        <f>"1578729945906380"</f>
        <v>1578729945906380</v>
      </c>
      <c r="C4401" t="s">
        <v>40</v>
      </c>
      <c r="D4401">
        <v>5.6911659999999999</v>
      </c>
      <c r="E4401">
        <v>0.61682090000000001</v>
      </c>
      <c r="F4401" t="s">
        <v>75</v>
      </c>
      <c r="G4401">
        <v>-401.6037</v>
      </c>
      <c r="H4401" s="1">
        <v>-7.9216269999999994E-6</v>
      </c>
      <c r="I4401">
        <v>144.10390000000001</v>
      </c>
      <c r="J4401">
        <v>-391.19729999999998</v>
      </c>
      <c r="K4401">
        <v>1.11117</v>
      </c>
      <c r="L4401">
        <v>141.56909999999999</v>
      </c>
      <c r="M4401">
        <v>-0.99978279999999997</v>
      </c>
      <c r="N4401">
        <v>0</v>
      </c>
      <c r="O4401">
        <v>-1.5868E-2</v>
      </c>
      <c r="P4401">
        <v>-0.99792329999999996</v>
      </c>
      <c r="Q4401">
        <v>-7.9356259999999994E-3</v>
      </c>
      <c r="R4401">
        <v>-6.3922320000000005E-2</v>
      </c>
      <c r="S4401">
        <v>-3.0480649999999998</v>
      </c>
      <c r="T4401">
        <v>-0.31926359999999998</v>
      </c>
      <c r="U4401">
        <v>0.72721859999999905</v>
      </c>
      <c r="V4401">
        <v>-4.8084839999999997E-2</v>
      </c>
      <c r="W4401">
        <v>5.4996380000000003E-3</v>
      </c>
      <c r="X4401">
        <v>0.9988281</v>
      </c>
      <c r="Y4401">
        <v>0.24611959999999999</v>
      </c>
      <c r="Z4401">
        <v>1.4313630000000001E-2</v>
      </c>
      <c r="AA4401">
        <v>0.96913380000000005</v>
      </c>
      <c r="AB4401">
        <v>20</v>
      </c>
      <c r="AC4401">
        <v>-10.4064</v>
      </c>
      <c r="AD4401">
        <v>-1.1111779216269999</v>
      </c>
      <c r="AE4401">
        <v>2.5348000000000099</v>
      </c>
      <c r="AF4401">
        <v>2.6708779108242</v>
      </c>
      <c r="AG4401">
        <v>-1.1111779216269999</v>
      </c>
      <c r="AH4401">
        <v>10.254494319331901</v>
      </c>
      <c r="AI4401">
        <v>95.986249317283097</v>
      </c>
      <c r="AJ4401">
        <v>75.401139548027203</v>
      </c>
      <c r="AK4401">
        <v>10.654715337973601</v>
      </c>
      <c r="AL4401">
        <v>89.684892360741301</v>
      </c>
      <c r="AM4401">
        <v>92.756162935972498</v>
      </c>
      <c r="AN4401">
        <v>0.99999998560278303</v>
      </c>
    </row>
    <row r="4402" spans="1:40" x14ac:dyDescent="0.3">
      <c r="A4402" t="str">
        <f>"20200111160545931"</f>
        <v>20200111160545931</v>
      </c>
      <c r="B4402" t="str">
        <f>"1578729945925903"</f>
        <v>1578729945925903</v>
      </c>
      <c r="C4402" t="s">
        <v>40</v>
      </c>
      <c r="D4402">
        <v>6.459581</v>
      </c>
      <c r="E4402">
        <v>0.61680059999999903</v>
      </c>
      <c r="F4402" t="s">
        <v>75</v>
      </c>
      <c r="G4402">
        <v>-402.24650000000003</v>
      </c>
      <c r="H4402" s="1">
        <v>-8.2525230000000006E-6</v>
      </c>
      <c r="I4402">
        <v>144.21549999999999</v>
      </c>
      <c r="J4402">
        <v>-391.40089999999998</v>
      </c>
      <c r="K4402">
        <v>1.111245</v>
      </c>
      <c r="L4402">
        <v>141.56469999999999</v>
      </c>
      <c r="M4402">
        <v>-0.9997665</v>
      </c>
      <c r="N4402">
        <v>0</v>
      </c>
      <c r="O4402">
        <v>-1.6864319999999999E-2</v>
      </c>
      <c r="P4402">
        <v>-0.99787550000000003</v>
      </c>
      <c r="Q4402">
        <v>-5.7356119999999898E-3</v>
      </c>
      <c r="R4402">
        <v>-6.4899090000000006E-2</v>
      </c>
      <c r="S4402">
        <v>-3.0505979999999999</v>
      </c>
      <c r="T4402">
        <v>-0.30678699999999998</v>
      </c>
      <c r="U4402">
        <v>0.73063659999999997</v>
      </c>
      <c r="V4402">
        <v>-4.8070809999999999E-2</v>
      </c>
      <c r="W4402">
        <v>7.6906559999999997E-3</v>
      </c>
      <c r="X4402">
        <v>0.99881430000000004</v>
      </c>
      <c r="Y4402">
        <v>0.24802250000000001</v>
      </c>
      <c r="Z4402">
        <v>1.393699E-2</v>
      </c>
      <c r="AA4402">
        <v>0.96865400000000002</v>
      </c>
      <c r="AB4402">
        <v>20</v>
      </c>
      <c r="AC4402">
        <v>-10.845599999999999</v>
      </c>
      <c r="AD4402">
        <v>-1.1112532525229999</v>
      </c>
      <c r="AE4402">
        <v>2.6507999999999998</v>
      </c>
      <c r="AF4402">
        <v>2.8055501111301702</v>
      </c>
      <c r="AG4402">
        <v>-1.1112532525229999</v>
      </c>
      <c r="AH4402">
        <v>10.6934149047545</v>
      </c>
      <c r="AI4402">
        <v>95.739946152431799</v>
      </c>
      <c r="AJ4402">
        <v>75.299071454976996</v>
      </c>
      <c r="AK4402">
        <v>11.1110358447145</v>
      </c>
      <c r="AL4402">
        <v>89.559353515731999</v>
      </c>
      <c r="AM4402">
        <v>92.755398003817106</v>
      </c>
      <c r="AN4402">
        <v>0.99999997742412805</v>
      </c>
    </row>
    <row r="4403" spans="1:40" x14ac:dyDescent="0.3">
      <c r="A4403" t="str">
        <f>"20200111160545976"</f>
        <v>20200111160545976</v>
      </c>
      <c r="B4403" t="str">
        <f>"1578729945965916"</f>
        <v>1578729945965916</v>
      </c>
      <c r="C4403" t="s">
        <v>40</v>
      </c>
      <c r="D4403">
        <v>5.5925310000000001</v>
      </c>
      <c r="E4403">
        <v>0.61680059999999903</v>
      </c>
      <c r="F4403" t="s">
        <v>75</v>
      </c>
      <c r="G4403">
        <v>-402.72210000000001</v>
      </c>
      <c r="H4403" s="1">
        <v>-8.4836289999999904E-6</v>
      </c>
      <c r="I4403">
        <v>144.2646</v>
      </c>
      <c r="J4403">
        <v>-391.79629999999997</v>
      </c>
      <c r="K4403">
        <v>1.111367</v>
      </c>
      <c r="L4403">
        <v>141.55529999999999</v>
      </c>
      <c r="M4403">
        <v>-0.999726</v>
      </c>
      <c r="N4403">
        <v>0</v>
      </c>
      <c r="O4403">
        <v>-1.911815E-2</v>
      </c>
      <c r="P4403">
        <v>-0.99790190000000001</v>
      </c>
      <c r="Q4403">
        <v>5.5754649999999997E-4</v>
      </c>
      <c r="R4403">
        <v>-6.4744529999999995E-2</v>
      </c>
      <c r="S4403">
        <v>-3.0520019999999999</v>
      </c>
      <c r="T4403">
        <v>-0.29957499999999998</v>
      </c>
      <c r="U4403">
        <v>0.72784419999999905</v>
      </c>
      <c r="V4403">
        <v>-4.5676189999999998E-2</v>
      </c>
      <c r="W4403">
        <v>1.397547E-2</v>
      </c>
      <c r="X4403">
        <v>0.99885849999999998</v>
      </c>
      <c r="Y4403">
        <v>0.24930939999999999</v>
      </c>
      <c r="Z4403">
        <v>1.3886259999999999E-2</v>
      </c>
      <c r="AA4403">
        <v>0.96832439999999997</v>
      </c>
      <c r="AB4403">
        <v>20</v>
      </c>
      <c r="AC4403">
        <v>-10.925800000000001</v>
      </c>
      <c r="AD4403">
        <v>-1.111375483629</v>
      </c>
      <c r="AE4403">
        <v>2.70930000000001</v>
      </c>
      <c r="AF4403">
        <v>2.8895387184308001</v>
      </c>
      <c r="AG4403">
        <v>-1.111375483629</v>
      </c>
      <c r="AH4403">
        <v>10.7670480134203</v>
      </c>
      <c r="AI4403">
        <v>95.693146965979295</v>
      </c>
      <c r="AJ4403">
        <v>74.977576247561203</v>
      </c>
      <c r="AK4403">
        <v>11.203299174538801</v>
      </c>
      <c r="AL4403">
        <v>89.199238456640401</v>
      </c>
      <c r="AM4403">
        <v>92.618219733821803</v>
      </c>
      <c r="AN4403">
        <v>0.99999996555844195</v>
      </c>
    </row>
    <row r="4404" spans="1:40" x14ac:dyDescent="0.3">
      <c r="A4404" t="str">
        <f>"20200111160545999"</f>
        <v>20200111160545999</v>
      </c>
      <c r="B4404" t="str">
        <f>"1578729945996172"</f>
        <v>1578729945996172</v>
      </c>
      <c r="C4404" t="s">
        <v>40</v>
      </c>
      <c r="D4404">
        <v>5.6330999999999998</v>
      </c>
      <c r="E4404">
        <v>0.45157910000000001</v>
      </c>
      <c r="F4404" t="s">
        <v>75</v>
      </c>
      <c r="G4404">
        <v>-403.99549999999999</v>
      </c>
      <c r="H4404" s="1">
        <v>-9.1315829999999993E-6</v>
      </c>
      <c r="I4404">
        <v>144.46709999999999</v>
      </c>
      <c r="J4404">
        <v>-391.99079999999998</v>
      </c>
      <c r="K4404">
        <v>1.1114299999999999</v>
      </c>
      <c r="L4404">
        <v>141.55019999999999</v>
      </c>
      <c r="M4404">
        <v>-0.99970190000000003</v>
      </c>
      <c r="N4404">
        <v>0</v>
      </c>
      <c r="O4404">
        <v>-2.0343340000000001E-2</v>
      </c>
      <c r="P4404">
        <v>-0.99794050000000001</v>
      </c>
      <c r="Q4404">
        <v>5.9772749999999998E-3</v>
      </c>
      <c r="R4404">
        <v>-6.3869510000000004E-2</v>
      </c>
      <c r="S4404">
        <v>-3.0538020000000001</v>
      </c>
      <c r="T4404">
        <v>-0.27820919999999999</v>
      </c>
      <c r="U4404">
        <v>0.72891240000000002</v>
      </c>
      <c r="V4404">
        <v>-4.3587910000000001E-2</v>
      </c>
      <c r="W4404">
        <v>1.9393959999999998E-2</v>
      </c>
      <c r="X4404">
        <v>0.99886129999999995</v>
      </c>
      <c r="Y4404">
        <v>0.25084529999999999</v>
      </c>
      <c r="Z4404">
        <v>1.307092E-2</v>
      </c>
      <c r="AA4404">
        <v>0.96793890000000005</v>
      </c>
      <c r="AB4404">
        <v>20</v>
      </c>
      <c r="AC4404">
        <v>-12.0047</v>
      </c>
      <c r="AD4404">
        <v>-1.1114391315829999</v>
      </c>
      <c r="AE4404">
        <v>2.9168999999999898</v>
      </c>
      <c r="AF4404">
        <v>3.1351586034286898</v>
      </c>
      <c r="AG4404">
        <v>-1.1114391315829999</v>
      </c>
      <c r="AH4404">
        <v>11.846982270557</v>
      </c>
      <c r="AI4404">
        <v>95.182215087232393</v>
      </c>
      <c r="AJ4404">
        <v>75.177168752239496</v>
      </c>
      <c r="AK4404">
        <v>12.305100785071099</v>
      </c>
      <c r="AL4404">
        <v>88.888738234294905</v>
      </c>
      <c r="AM4404">
        <v>92.498665100939704</v>
      </c>
      <c r="AN4404">
        <v>0.999999964110169</v>
      </c>
    </row>
    <row r="4405" spans="1:40" x14ac:dyDescent="0.3">
      <c r="A4405" t="str">
        <f>"20200111160546021"</f>
        <v>20200111160546021</v>
      </c>
      <c r="B4405" t="str">
        <f>"1578729946016668"</f>
        <v>1578729946016668</v>
      </c>
      <c r="C4405" t="s">
        <v>40</v>
      </c>
      <c r="D4405">
        <v>5.4979149999999999</v>
      </c>
      <c r="E4405">
        <v>0.45141700000000001</v>
      </c>
      <c r="F4405" t="s">
        <v>75</v>
      </c>
      <c r="G4405">
        <v>-409.19389999999999</v>
      </c>
      <c r="H4405" s="1">
        <v>-9.5741909999999993E-6</v>
      </c>
      <c r="I4405">
        <v>138.1807</v>
      </c>
      <c r="J4405">
        <v>-392.19409999999999</v>
      </c>
      <c r="K4405">
        <v>1.111477</v>
      </c>
      <c r="L4405">
        <v>141.5446</v>
      </c>
      <c r="M4405">
        <v>-0.99967399999999995</v>
      </c>
      <c r="N4405">
        <v>0</v>
      </c>
      <c r="O4405">
        <v>-2.1672440000000001E-2</v>
      </c>
      <c r="P4405">
        <v>-0.99793359999999998</v>
      </c>
      <c r="Q4405">
        <v>1.0173379999999999E-2</v>
      </c>
      <c r="R4405">
        <v>-6.3445870000000001E-2</v>
      </c>
      <c r="S4405">
        <v>-2.9701230000000001</v>
      </c>
      <c r="T4405">
        <v>-0.19189059999999999</v>
      </c>
      <c r="U4405">
        <v>-0.58175659999999996</v>
      </c>
      <c r="V4405">
        <v>-4.1845109999999998E-2</v>
      </c>
      <c r="W4405">
        <v>2.3589160000000001E-2</v>
      </c>
      <c r="X4405">
        <v>0.9988456</v>
      </c>
      <c r="Y4405">
        <v>-0.1706029</v>
      </c>
      <c r="Z4405">
        <v>-4.0687470000000002E-3</v>
      </c>
      <c r="AA4405">
        <v>0.98533150000000003</v>
      </c>
      <c r="AB4405">
        <v>20</v>
      </c>
      <c r="AC4405">
        <v>-16.999799999999901</v>
      </c>
      <c r="AD4405">
        <v>-1.1114865741910001</v>
      </c>
      <c r="AE4405">
        <v>-3.3639000000000001</v>
      </c>
      <c r="AF4405">
        <v>-2.98238021884635</v>
      </c>
      <c r="AG4405">
        <v>-1.1114865741910001</v>
      </c>
      <c r="AH4405">
        <v>16.998787896714699</v>
      </c>
      <c r="AI4405">
        <v>93.684904384163502</v>
      </c>
      <c r="AJ4405">
        <v>99.951073779773694</v>
      </c>
      <c r="AK4405">
        <v>17.2941835346994</v>
      </c>
      <c r="AL4405">
        <v>88.648315308999599</v>
      </c>
      <c r="AM4405">
        <v>92.398916364441803</v>
      </c>
      <c r="AN4405">
        <v>0.99999999716988797</v>
      </c>
    </row>
    <row r="4406" spans="1:40" x14ac:dyDescent="0.3">
      <c r="A4406" t="str">
        <f>"20200111160546043"</f>
        <v>20200111160546043</v>
      </c>
      <c r="B4406" t="str">
        <f>"1578729946016668"</f>
        <v>1578729946016668</v>
      </c>
      <c r="C4406" t="s">
        <v>40</v>
      </c>
      <c r="D4406">
        <v>5.4979149999999999</v>
      </c>
      <c r="E4406">
        <v>0.45141700000000001</v>
      </c>
      <c r="F4406" t="s">
        <v>75</v>
      </c>
      <c r="G4406">
        <v>-409.79939999999999</v>
      </c>
      <c r="H4406" s="1">
        <v>-9.9143010000000003E-6</v>
      </c>
      <c r="I4406">
        <v>138.09639999999999</v>
      </c>
      <c r="J4406">
        <v>-392.39019999999999</v>
      </c>
      <c r="K4406">
        <v>1.111491</v>
      </c>
      <c r="L4406">
        <v>141.53880000000001</v>
      </c>
      <c r="M4406">
        <v>-0.99964459999999999</v>
      </c>
      <c r="N4406">
        <v>0</v>
      </c>
      <c r="O4406">
        <v>-2.2985140000000001E-2</v>
      </c>
      <c r="P4406">
        <v>-0.99794519999999998</v>
      </c>
      <c r="Q4406">
        <v>1.18575E-2</v>
      </c>
      <c r="R4406">
        <v>-6.2967529999999994E-2</v>
      </c>
      <c r="S4406">
        <v>-2.97113</v>
      </c>
      <c r="T4406">
        <v>-0.18757860000000001</v>
      </c>
      <c r="U4406">
        <v>-0.58192440000000001</v>
      </c>
      <c r="V4406">
        <v>-4.0059230000000001E-2</v>
      </c>
      <c r="W4406">
        <v>2.5274270000000001E-2</v>
      </c>
      <c r="X4406">
        <v>0.99887760000000003</v>
      </c>
      <c r="Y4406">
        <v>-0.169318</v>
      </c>
      <c r="Z4406">
        <v>-3.8540929999999998E-3</v>
      </c>
      <c r="AA4406">
        <v>0.98555389999999998</v>
      </c>
      <c r="AB4406">
        <v>20</v>
      </c>
      <c r="AC4406">
        <v>-17.409199999999998</v>
      </c>
      <c r="AD4406">
        <v>-1.111500914301</v>
      </c>
      <c r="AE4406">
        <v>-3.4424000000000201</v>
      </c>
      <c r="AF4406">
        <v>-3.0294169440367802</v>
      </c>
      <c r="AG4406">
        <v>-1.111500914301</v>
      </c>
      <c r="AH4406">
        <v>17.415412441897601</v>
      </c>
      <c r="AI4406">
        <v>93.597942028356599</v>
      </c>
      <c r="AJ4406">
        <v>99.867881218755102</v>
      </c>
      <c r="AK4406">
        <v>17.711843264457499</v>
      </c>
      <c r="AL4406">
        <v>88.551736774831397</v>
      </c>
      <c r="AM4406">
        <v>92.296573160841504</v>
      </c>
      <c r="AN4406">
        <v>0.99999999520699301</v>
      </c>
    </row>
    <row r="4407" spans="1:40" x14ac:dyDescent="0.3">
      <c r="A4407" t="str">
        <f>"20200111160546066"</f>
        <v>20200111160546066</v>
      </c>
      <c r="B4407" t="str">
        <f>"1578729946056313"</f>
        <v>1578729946056313</v>
      </c>
      <c r="C4407" t="s">
        <v>40</v>
      </c>
      <c r="D4407">
        <v>5.5221879999999999</v>
      </c>
      <c r="E4407">
        <v>0.45154650000000002</v>
      </c>
      <c r="F4407" t="s">
        <v>75</v>
      </c>
      <c r="G4407">
        <v>-410.5163</v>
      </c>
      <c r="H4407" s="1">
        <v>-9.9198680000000005E-6</v>
      </c>
      <c r="I4407">
        <v>137.9958</v>
      </c>
      <c r="J4407">
        <v>-392.58359999999999</v>
      </c>
      <c r="K4407">
        <v>1.1114919999999999</v>
      </c>
      <c r="L4407">
        <v>141.53280000000001</v>
      </c>
      <c r="M4407">
        <v>-0.99961350000000004</v>
      </c>
      <c r="N4407">
        <v>0</v>
      </c>
      <c r="O4407">
        <v>-2.4300909999999998E-2</v>
      </c>
      <c r="P4407">
        <v>-0.99792130000000001</v>
      </c>
      <c r="Q4407">
        <v>1.0992689999999999E-2</v>
      </c>
      <c r="R4407">
        <v>-6.3501020000000005E-2</v>
      </c>
      <c r="S4407">
        <v>-2.9716800000000001</v>
      </c>
      <c r="T4407">
        <v>-0.18222530000000001</v>
      </c>
      <c r="U4407">
        <v>-0.58085629999999999</v>
      </c>
      <c r="V4407">
        <v>-3.9276539999999999E-2</v>
      </c>
      <c r="W4407">
        <v>2.441051E-2</v>
      </c>
      <c r="X4407">
        <v>0.99893019999999999</v>
      </c>
      <c r="Y4407">
        <v>-0.16766619999999999</v>
      </c>
      <c r="Z4407">
        <v>-3.6138759999999998E-3</v>
      </c>
      <c r="AA4407">
        <v>0.98583719999999997</v>
      </c>
      <c r="AB4407">
        <v>20</v>
      </c>
      <c r="AC4407">
        <v>-17.932700000000001</v>
      </c>
      <c r="AD4407">
        <v>-1.1115019198679901</v>
      </c>
      <c r="AE4407">
        <v>-3.5369999999999999</v>
      </c>
      <c r="AF4407">
        <v>-3.08871290935822</v>
      </c>
      <c r="AG4407">
        <v>-1.1115019198679901</v>
      </c>
      <c r="AH4407">
        <v>17.946997411434399</v>
      </c>
      <c r="AI4407">
        <v>93.492724551476698</v>
      </c>
      <c r="AJ4407">
        <v>99.765053572285794</v>
      </c>
      <c r="AK4407">
        <v>18.244733487786</v>
      </c>
      <c r="AL4407">
        <v>88.601241908891794</v>
      </c>
      <c r="AM4407">
        <v>92.251630184112003</v>
      </c>
      <c r="AN4407">
        <v>1.00000003203243</v>
      </c>
    </row>
    <row r="4408" spans="1:40" x14ac:dyDescent="0.3">
      <c r="A4408" t="str">
        <f>"20200111160546087"</f>
        <v>20200111160546087</v>
      </c>
      <c r="B4408" t="str">
        <f>"1578729946075833"</f>
        <v>1578729946075833</v>
      </c>
      <c r="C4408" t="s">
        <v>40</v>
      </c>
      <c r="D4408">
        <v>5.4890629999999998</v>
      </c>
      <c r="E4408">
        <v>0.45097720000000002</v>
      </c>
      <c r="F4408" t="s">
        <v>75</v>
      </c>
      <c r="G4408">
        <v>-409.98989999999998</v>
      </c>
      <c r="H4408" s="1">
        <v>-1.0023730000000001E-5</v>
      </c>
      <c r="I4408">
        <v>138.1276</v>
      </c>
      <c r="J4408">
        <v>-392.77800000000002</v>
      </c>
      <c r="K4408">
        <v>1.1114869999999999</v>
      </c>
      <c r="L4408">
        <v>141.5265</v>
      </c>
      <c r="M4408">
        <v>-0.99958009999999997</v>
      </c>
      <c r="N4408">
        <v>0</v>
      </c>
      <c r="O4408">
        <v>-2.5641110000000002E-2</v>
      </c>
      <c r="P4408">
        <v>-0.9978207</v>
      </c>
      <c r="Q4408">
        <v>8.6769499999999992E-3</v>
      </c>
      <c r="R4408">
        <v>-6.5410670000000004E-2</v>
      </c>
      <c r="S4408">
        <v>-2.9713750000000001</v>
      </c>
      <c r="T4408">
        <v>-0.1897404</v>
      </c>
      <c r="U4408">
        <v>-0.58128359999999901</v>
      </c>
      <c r="V4408">
        <v>-3.98436E-2</v>
      </c>
      <c r="W4408">
        <v>2.2092759999999999E-2</v>
      </c>
      <c r="X4408">
        <v>0.99896169999999995</v>
      </c>
      <c r="Y4408">
        <v>-0.16648309999999999</v>
      </c>
      <c r="Z4408">
        <v>-3.6409950000000002E-3</v>
      </c>
      <c r="AA4408">
        <v>0.98603759999999996</v>
      </c>
      <c r="AB4408">
        <v>20</v>
      </c>
      <c r="AC4408">
        <v>-17.211899999999901</v>
      </c>
      <c r="AD4408">
        <v>-1.1114970237299999</v>
      </c>
      <c r="AE4408">
        <v>-3.39889999999999</v>
      </c>
      <c r="AF4408">
        <v>-2.9445911468091901</v>
      </c>
      <c r="AG4408">
        <v>-1.1114970237299999</v>
      </c>
      <c r="AH4408">
        <v>17.2242663475031</v>
      </c>
      <c r="AI4408">
        <v>93.639570610055699</v>
      </c>
      <c r="AJ4408">
        <v>99.701271415266007</v>
      </c>
      <c r="AK4408">
        <v>17.5094658360943</v>
      </c>
      <c r="AL4408">
        <v>88.734075150076805</v>
      </c>
      <c r="AM4408">
        <v>92.284032244664701</v>
      </c>
      <c r="AN4408">
        <v>1.00000004028613</v>
      </c>
    </row>
    <row r="4409" spans="1:40" x14ac:dyDescent="0.3">
      <c r="A4409" t="str">
        <f>"20200111160546110"</f>
        <v>20200111160546110</v>
      </c>
      <c r="B4409" t="str">
        <f>"1578729946075833"</f>
        <v>1578729946075833</v>
      </c>
      <c r="C4409" t="s">
        <v>40</v>
      </c>
      <c r="D4409">
        <v>5.4890629999999998</v>
      </c>
      <c r="E4409">
        <v>0.45097720000000002</v>
      </c>
      <c r="F4409" t="s">
        <v>75</v>
      </c>
      <c r="G4409">
        <v>-408.41989999999998</v>
      </c>
      <c r="H4409" s="1">
        <v>-9.1929889999999998E-6</v>
      </c>
      <c r="I4409">
        <v>138.4109</v>
      </c>
      <c r="J4409">
        <v>-392.97609999999997</v>
      </c>
      <c r="K4409">
        <v>1.1114660000000001</v>
      </c>
      <c r="L4409">
        <v>141.5197</v>
      </c>
      <c r="M4409">
        <v>-0.99954390000000004</v>
      </c>
      <c r="N4409">
        <v>0</v>
      </c>
      <c r="O4409">
        <v>-2.7016189999999999E-2</v>
      </c>
      <c r="P4409">
        <v>-0.99760879999999996</v>
      </c>
      <c r="Q4409">
        <v>5.6969759999999899E-3</v>
      </c>
      <c r="R4409">
        <v>-6.8879460000000003E-2</v>
      </c>
      <c r="S4409">
        <v>-2.9696039999999999</v>
      </c>
      <c r="T4409">
        <v>-0.21101590000000001</v>
      </c>
      <c r="U4409">
        <v>-0.59149169999999995</v>
      </c>
      <c r="V4409">
        <v>-4.1936290000000001E-2</v>
      </c>
      <c r="W4409">
        <v>1.9107430000000002E-2</v>
      </c>
      <c r="X4409">
        <v>0.99893750000000003</v>
      </c>
      <c r="Y4409">
        <v>-0.16843269999999999</v>
      </c>
      <c r="Z4409">
        <v>-4.021368E-3</v>
      </c>
      <c r="AA4409">
        <v>0.98570500000000005</v>
      </c>
      <c r="AB4409">
        <v>20</v>
      </c>
      <c r="AC4409">
        <v>-15.4438</v>
      </c>
      <c r="AD4409">
        <v>-1.1114751929889899</v>
      </c>
      <c r="AE4409">
        <v>-3.1088</v>
      </c>
      <c r="AF4409">
        <v>-2.6770684319790998</v>
      </c>
      <c r="AG4409">
        <v>-1.1114751929889899</v>
      </c>
      <c r="AH4409">
        <v>15.445273487478101</v>
      </c>
      <c r="AI4409">
        <v>94.055768206714404</v>
      </c>
      <c r="AJ4409">
        <v>99.833159505696798</v>
      </c>
      <c r="AK4409">
        <v>15.7149147499159</v>
      </c>
      <c r="AL4409">
        <v>88.905158208440398</v>
      </c>
      <c r="AM4409">
        <v>92.403916532377096</v>
      </c>
      <c r="AN4409">
        <v>0.99999993760320705</v>
      </c>
    </row>
    <row r="4410" spans="1:40" x14ac:dyDescent="0.3">
      <c r="A4410" t="str">
        <f>"20200111160546132"</f>
        <v>20200111160546132</v>
      </c>
      <c r="B4410" t="str">
        <f>"1578729946075833"</f>
        <v>1578729946075833</v>
      </c>
      <c r="C4410" t="s">
        <v>40</v>
      </c>
      <c r="D4410">
        <v>5.4890629999999998</v>
      </c>
      <c r="E4410">
        <v>0.45097720000000002</v>
      </c>
      <c r="F4410" t="s">
        <v>75</v>
      </c>
      <c r="G4410">
        <v>-407.93049999999999</v>
      </c>
      <c r="H4410" s="1">
        <v>-8.9225410000000002E-6</v>
      </c>
      <c r="I4410">
        <v>138.48920000000001</v>
      </c>
      <c r="J4410">
        <v>-393.17910000000001</v>
      </c>
      <c r="K4410">
        <v>1.111451</v>
      </c>
      <c r="L4410">
        <v>141.51249999999999</v>
      </c>
      <c r="M4410">
        <v>-0.99950430000000001</v>
      </c>
      <c r="N4410">
        <v>0</v>
      </c>
      <c r="O4410">
        <v>-2.84417E-2</v>
      </c>
      <c r="P4410">
        <v>-0.99726689999999996</v>
      </c>
      <c r="Q4410">
        <v>1.8551640000000001E-3</v>
      </c>
      <c r="R4410">
        <v>-7.3859830000000001E-2</v>
      </c>
      <c r="S4410">
        <v>-2.96698</v>
      </c>
      <c r="T4410">
        <v>-0.22051789999999999</v>
      </c>
      <c r="U4410">
        <v>-0.60127259999999905</v>
      </c>
      <c r="V4410">
        <v>-4.549197E-2</v>
      </c>
      <c r="W4410">
        <v>1.525611E-2</v>
      </c>
      <c r="X4410">
        <v>0.99884819999999996</v>
      </c>
      <c r="Y4410">
        <v>-0.17028399999999999</v>
      </c>
      <c r="Z4410">
        <v>-4.1677270000000004E-3</v>
      </c>
      <c r="AA4410">
        <v>0.98538619999999999</v>
      </c>
      <c r="AB4410">
        <v>20</v>
      </c>
      <c r="AC4410">
        <v>-14.751399999999901</v>
      </c>
      <c r="AD4410">
        <v>-1.111459922541</v>
      </c>
      <c r="AE4410">
        <v>-3.0232999999999701</v>
      </c>
      <c r="AF4410">
        <v>-2.5883816133475701</v>
      </c>
      <c r="AG4410">
        <v>-1.111459922541</v>
      </c>
      <c r="AH4410">
        <v>14.751060456582399</v>
      </c>
      <c r="AI4410">
        <v>94.244364428136507</v>
      </c>
      <c r="AJ4410">
        <v>99.952421359065696</v>
      </c>
      <c r="AK4410">
        <v>15.017617891312799</v>
      </c>
      <c r="AL4410">
        <v>89.125855371368303</v>
      </c>
      <c r="AM4410">
        <v>92.607701457839298</v>
      </c>
      <c r="AN4410">
        <v>0.99999999743502599</v>
      </c>
    </row>
    <row r="4411" spans="1:40" x14ac:dyDescent="0.3">
      <c r="A4411" t="str">
        <f>"20200111160546155"</f>
        <v>20200111160546155</v>
      </c>
      <c r="B4411" t="str">
        <f>"1578729946135894"</f>
        <v>1578729946135894</v>
      </c>
      <c r="C4411" t="s">
        <v>40</v>
      </c>
      <c r="D4411">
        <v>5.2188679999999996</v>
      </c>
      <c r="E4411">
        <v>0.44785999999999998</v>
      </c>
      <c r="F4411" t="s">
        <v>75</v>
      </c>
      <c r="G4411">
        <v>-407.42189999999999</v>
      </c>
      <c r="H4411" s="1">
        <v>-8.6320619999999993E-6</v>
      </c>
      <c r="I4411">
        <v>138.54900000000001</v>
      </c>
      <c r="J4411">
        <v>-393.36970000000002</v>
      </c>
      <c r="K4411">
        <v>1.111443</v>
      </c>
      <c r="L4411">
        <v>141.50550000000001</v>
      </c>
      <c r="M4411">
        <v>-0.99946429999999997</v>
      </c>
      <c r="N4411">
        <v>0</v>
      </c>
      <c r="O4411">
        <v>-2.981516E-2</v>
      </c>
      <c r="P4411">
        <v>-0.99685489999999999</v>
      </c>
      <c r="Q4411">
        <v>-1.8854729999999999E-3</v>
      </c>
      <c r="R4411">
        <v>-7.9227399999999906E-2</v>
      </c>
      <c r="S4411">
        <v>-2.962952</v>
      </c>
      <c r="T4411">
        <v>-0.2312178</v>
      </c>
      <c r="U4411">
        <v>-0.61651610000000001</v>
      </c>
      <c r="V4411">
        <v>-4.9490140000000002E-2</v>
      </c>
      <c r="W4411">
        <v>1.1503269999999999E-2</v>
      </c>
      <c r="X4411">
        <v>0.99870840000000005</v>
      </c>
      <c r="Y4411">
        <v>-0.174009</v>
      </c>
      <c r="Z4411">
        <v>-4.4108719999999997E-3</v>
      </c>
      <c r="AA4411">
        <v>0.9847342</v>
      </c>
      <c r="AB4411">
        <v>20</v>
      </c>
      <c r="AC4411">
        <v>-14.0521999999999</v>
      </c>
      <c r="AD4411">
        <v>-1.111451632062</v>
      </c>
      <c r="AE4411">
        <v>-2.9565000000000001</v>
      </c>
      <c r="AF4411">
        <v>-2.5210754859434501</v>
      </c>
      <c r="AG4411">
        <v>-1.111451632062</v>
      </c>
      <c r="AH4411">
        <v>14.0499384903513</v>
      </c>
      <c r="AI4411">
        <v>94.452275087395705</v>
      </c>
      <c r="AJ4411">
        <v>100.17271233335801</v>
      </c>
      <c r="AK4411">
        <v>14.3175388219796</v>
      </c>
      <c r="AL4411">
        <v>89.340896664071494</v>
      </c>
      <c r="AM4411">
        <v>92.836922706543106</v>
      </c>
      <c r="AN4411">
        <v>1.0000000337042301</v>
      </c>
    </row>
    <row r="4412" spans="1:40" x14ac:dyDescent="0.3">
      <c r="A4412" t="str">
        <f>"20200111160546177"</f>
        <v>20200111160546177</v>
      </c>
      <c r="B4412" t="str">
        <f>"1578729946135894"</f>
        <v>1578729946135894</v>
      </c>
      <c r="C4412" t="s">
        <v>40</v>
      </c>
      <c r="D4412">
        <v>5.2188679999999996</v>
      </c>
      <c r="E4412">
        <v>0.44785999999999998</v>
      </c>
      <c r="F4412" t="s">
        <v>75</v>
      </c>
      <c r="G4412">
        <v>-407.0761</v>
      </c>
      <c r="H4412" s="1">
        <v>-8.3760150000000001E-6</v>
      </c>
      <c r="I4412">
        <v>138.45570000000001</v>
      </c>
      <c r="J4412">
        <v>-393.56369999999998</v>
      </c>
      <c r="K4412">
        <v>1.111453</v>
      </c>
      <c r="L4412">
        <v>141.49799999999999</v>
      </c>
      <c r="M4412">
        <v>-0.99941970000000002</v>
      </c>
      <c r="N4412">
        <v>0</v>
      </c>
      <c r="O4412">
        <v>-3.1277819999999998E-2</v>
      </c>
      <c r="P4412">
        <v>-0.99627069999999995</v>
      </c>
      <c r="Q4412">
        <v>-7.0850640000000003E-3</v>
      </c>
      <c r="R4412">
        <v>-8.5994230000000005E-2</v>
      </c>
      <c r="S4412">
        <v>-2.9567260000000002</v>
      </c>
      <c r="T4412">
        <v>-0.2397608</v>
      </c>
      <c r="U4412">
        <v>-0.65789790000000004</v>
      </c>
      <c r="V4412">
        <v>-5.4800880000000003E-2</v>
      </c>
      <c r="W4412">
        <v>6.2840209999999999E-3</v>
      </c>
      <c r="X4412">
        <v>0.99847750000000002</v>
      </c>
      <c r="Y4412">
        <v>-0.18607360000000001</v>
      </c>
      <c r="Z4412">
        <v>-4.9419360000000001E-3</v>
      </c>
      <c r="AA4412">
        <v>0.98252340000000005</v>
      </c>
      <c r="AB4412">
        <v>20</v>
      </c>
      <c r="AC4412">
        <v>-13.5124</v>
      </c>
      <c r="AD4412">
        <v>-1.1114613760150001</v>
      </c>
      <c r="AE4412">
        <v>-3.04229999999998</v>
      </c>
      <c r="AF4412">
        <v>-2.60138288979807</v>
      </c>
      <c r="AG4412">
        <v>-1.1114613760150001</v>
      </c>
      <c r="AH4412">
        <v>13.5139305494663</v>
      </c>
      <c r="AI4412">
        <v>94.617350768635006</v>
      </c>
      <c r="AJ4412">
        <v>100.89595287517299</v>
      </c>
      <c r="AK4412">
        <v>13.806840993706899</v>
      </c>
      <c r="AL4412">
        <v>89.639949738441899</v>
      </c>
      <c r="AM4412">
        <v>93.141495015149204</v>
      </c>
      <c r="AN4412">
        <v>0.99999997168747601</v>
      </c>
    </row>
    <row r="4413" spans="1:40" x14ac:dyDescent="0.3">
      <c r="A4413" t="str">
        <f>"20200111160546200"</f>
        <v>20200111160546200</v>
      </c>
      <c r="B4413" t="str">
        <f>"1578729946196405"</f>
        <v>1578729946196405</v>
      </c>
      <c r="C4413" t="s">
        <v>40</v>
      </c>
      <c r="D4413">
        <v>5.6947669999999997</v>
      </c>
      <c r="E4413">
        <v>0.4490555</v>
      </c>
      <c r="F4413" t="s">
        <v>75</v>
      </c>
      <c r="G4413">
        <v>-406.46120000000002</v>
      </c>
      <c r="H4413" s="1">
        <v>-8.0267069999999997E-6</v>
      </c>
      <c r="I4413">
        <v>138.53229999999999</v>
      </c>
      <c r="J4413">
        <v>-393.76010000000002</v>
      </c>
      <c r="K4413">
        <v>1.11148799999999</v>
      </c>
      <c r="L4413">
        <v>141.49</v>
      </c>
      <c r="M4413">
        <v>-0.99936899999999995</v>
      </c>
      <c r="N4413">
        <v>0</v>
      </c>
      <c r="O4413">
        <v>-3.2856349999999999E-2</v>
      </c>
      <c r="P4413">
        <v>-0.99585119999999905</v>
      </c>
      <c r="Q4413">
        <v>-1.017145E-2</v>
      </c>
      <c r="R4413">
        <v>-9.0426069999999997E-2</v>
      </c>
      <c r="S4413">
        <v>-2.9508969999999999</v>
      </c>
      <c r="T4413">
        <v>-0.25429800000000002</v>
      </c>
      <c r="U4413">
        <v>-0.67852780000000001</v>
      </c>
      <c r="V4413">
        <v>-5.7661490000000003E-2</v>
      </c>
      <c r="W4413">
        <v>3.1812770000000001E-3</v>
      </c>
      <c r="X4413">
        <v>0.99833110000000003</v>
      </c>
      <c r="Y4413">
        <v>-0.1913899</v>
      </c>
      <c r="Z4413">
        <v>-5.3386680000000004E-3</v>
      </c>
      <c r="AA4413">
        <v>0.98149960000000003</v>
      </c>
      <c r="AB4413">
        <v>20</v>
      </c>
      <c r="AC4413">
        <v>-12.701099999999901</v>
      </c>
      <c r="AD4413">
        <v>-1.11149602670699</v>
      </c>
      <c r="AE4413">
        <v>-2.9577000000000102</v>
      </c>
      <c r="AF4413">
        <v>-2.5204435622673</v>
      </c>
      <c r="AG4413">
        <v>-1.11149602670699</v>
      </c>
      <c r="AH4413">
        <v>12.699177659824199</v>
      </c>
      <c r="AI4413">
        <v>94.906838842207307</v>
      </c>
      <c r="AJ4413">
        <v>101.225780780805</v>
      </c>
      <c r="AK4413">
        <v>12.994505469764499</v>
      </c>
      <c r="AL4413">
        <v>89.817725942718496</v>
      </c>
      <c r="AM4413">
        <v>93.305610335020106</v>
      </c>
      <c r="AN4413">
        <v>0.99999997658979001</v>
      </c>
    </row>
    <row r="4414" spans="1:40" x14ac:dyDescent="0.3">
      <c r="A4414" t="str">
        <f>"20200111160546222"</f>
        <v>20200111160546222</v>
      </c>
      <c r="B4414" t="str">
        <f>"1578729946196405"</f>
        <v>1578729946196405</v>
      </c>
      <c r="C4414" t="s">
        <v>40</v>
      </c>
      <c r="D4414">
        <v>5.6947669999999997</v>
      </c>
      <c r="E4414">
        <v>0.4490555</v>
      </c>
      <c r="F4414" t="s">
        <v>75</v>
      </c>
      <c r="G4414">
        <v>-405.95159999999998</v>
      </c>
      <c r="H4414" s="1">
        <v>-7.7685440000000006E-6</v>
      </c>
      <c r="I4414">
        <v>138.66749999999999</v>
      </c>
      <c r="J4414">
        <v>-393.9597</v>
      </c>
      <c r="K4414">
        <v>1.1115549999999901</v>
      </c>
      <c r="L4414">
        <v>141.48140000000001</v>
      </c>
      <c r="M4414">
        <v>-0.99931049999999999</v>
      </c>
      <c r="N4414">
        <v>0</v>
      </c>
      <c r="O4414">
        <v>-3.4592449999999997E-2</v>
      </c>
      <c r="P4414">
        <v>-0.99525410000000003</v>
      </c>
      <c r="Q4414">
        <v>-1.319013E-2</v>
      </c>
      <c r="R4414">
        <v>-9.6412139999999993E-2</v>
      </c>
      <c r="S4414">
        <v>-2.9477229999999999</v>
      </c>
      <c r="T4414">
        <v>-0.26874389999999998</v>
      </c>
      <c r="U4414">
        <v>-0.68243409999999904</v>
      </c>
      <c r="V4414">
        <v>-6.1923739999999998E-2</v>
      </c>
      <c r="W4414">
        <v>1.385848E-4</v>
      </c>
      <c r="X4414">
        <v>0.99808079999999999</v>
      </c>
      <c r="Y4414">
        <v>-0.1910927</v>
      </c>
      <c r="Z4414">
        <v>-5.4769579999999997E-3</v>
      </c>
      <c r="AA4414">
        <v>0.98155669999999995</v>
      </c>
      <c r="AB4414">
        <v>20</v>
      </c>
      <c r="AC4414">
        <v>-11.9918999999999</v>
      </c>
      <c r="AD4414">
        <v>-1.1115627685439999</v>
      </c>
      <c r="AE4414">
        <v>-2.8139000000000101</v>
      </c>
      <c r="AF4414">
        <v>-2.3779833859401598</v>
      </c>
      <c r="AG4414">
        <v>-1.1115627685439999</v>
      </c>
      <c r="AH4414">
        <v>11.984473775672299</v>
      </c>
      <c r="AI4414">
        <v>95.198264701621099</v>
      </c>
      <c r="AJ4414">
        <v>101.22297142418201</v>
      </c>
      <c r="AK4414">
        <v>12.268577279049</v>
      </c>
      <c r="AL4414">
        <v>89.9920596752427</v>
      </c>
      <c r="AM4414">
        <v>93.550240649394595</v>
      </c>
      <c r="AN4414">
        <v>0.999999926054984</v>
      </c>
    </row>
    <row r="4415" spans="1:40" x14ac:dyDescent="0.3">
      <c r="A4415" t="str">
        <f>"20200111160546238"</f>
        <v>20200111160546238</v>
      </c>
      <c r="B4415" t="str">
        <f>"1578729946196405"</f>
        <v>1578729946196405</v>
      </c>
      <c r="C4415" t="s">
        <v>40</v>
      </c>
      <c r="D4415">
        <v>5.6947669999999997</v>
      </c>
      <c r="E4415">
        <v>0.4490555</v>
      </c>
      <c r="F4415" t="s">
        <v>75</v>
      </c>
      <c r="G4415">
        <v>-405.75389999999999</v>
      </c>
      <c r="H4415" s="1">
        <v>-7.6488689999999906E-6</v>
      </c>
      <c r="I4415">
        <v>138.67529999999999</v>
      </c>
      <c r="J4415">
        <v>-394.08909999999997</v>
      </c>
      <c r="K4415">
        <v>1.111613</v>
      </c>
      <c r="L4415">
        <v>141.47550000000001</v>
      </c>
      <c r="M4415">
        <v>-0.99926720000000002</v>
      </c>
      <c r="N4415">
        <v>0</v>
      </c>
      <c r="O4415">
        <v>-3.5817769999999999E-2</v>
      </c>
      <c r="P4415">
        <v>-0.99495149999999999</v>
      </c>
      <c r="Q4415">
        <v>-1.418137E-2</v>
      </c>
      <c r="R4415">
        <v>-9.9349220000000002E-2</v>
      </c>
      <c r="S4415">
        <v>-2.9428100000000001</v>
      </c>
      <c r="T4415">
        <v>-0.27734979999999998</v>
      </c>
      <c r="U4415">
        <v>-0.70016480000000003</v>
      </c>
      <c r="V4415">
        <v>-6.3643130000000006E-2</v>
      </c>
      <c r="W4415">
        <v>-8.669967E-4</v>
      </c>
      <c r="X4415">
        <v>0.99797239999999998</v>
      </c>
      <c r="Y4415">
        <v>-0.19579630000000001</v>
      </c>
      <c r="Z4415">
        <v>-5.7617939999999998E-3</v>
      </c>
      <c r="AA4415">
        <v>0.98062769999999999</v>
      </c>
      <c r="AB4415">
        <v>20</v>
      </c>
      <c r="AC4415">
        <v>-11.6648</v>
      </c>
      <c r="AD4415">
        <v>-1.1116206488689999</v>
      </c>
      <c r="AE4415">
        <v>-2.80020000000001</v>
      </c>
      <c r="AF4415">
        <v>-2.3602906052731401</v>
      </c>
      <c r="AG4415">
        <v>-1.1116206488689999</v>
      </c>
      <c r="AH4415">
        <v>11.657520216560901</v>
      </c>
      <c r="AI4415">
        <v>95.339360575359905</v>
      </c>
      <c r="AJ4415">
        <v>101.445909617214</v>
      </c>
      <c r="AK4415">
        <v>11.945896777046899</v>
      </c>
      <c r="AL4415">
        <v>90.049675255232003</v>
      </c>
      <c r="AM4415">
        <v>93.648950060604406</v>
      </c>
      <c r="AN4415">
        <v>1.0000000554206101</v>
      </c>
    </row>
    <row r="4416" spans="1:40" x14ac:dyDescent="0.3">
      <c r="A4416" t="str">
        <f>"20200111160546255"</f>
        <v>20200111160546255</v>
      </c>
      <c r="B4416" t="str">
        <f>"1578729946245890"</f>
        <v>1578729946245890</v>
      </c>
      <c r="C4416" t="s">
        <v>40</v>
      </c>
      <c r="D4416">
        <v>5.1790560000000001</v>
      </c>
      <c r="E4416">
        <v>0.44928129999999999</v>
      </c>
      <c r="F4416" t="s">
        <v>75</v>
      </c>
      <c r="G4416">
        <v>-405.7679</v>
      </c>
      <c r="H4416" s="1">
        <v>-7.6503310000000001E-6</v>
      </c>
      <c r="I4416">
        <v>138.65870000000001</v>
      </c>
      <c r="J4416">
        <v>-394.24349999999998</v>
      </c>
      <c r="K4416">
        <v>1.1116900000000001</v>
      </c>
      <c r="L4416">
        <v>141.4682</v>
      </c>
      <c r="M4416">
        <v>-0.99921040000000005</v>
      </c>
      <c r="N4416">
        <v>0</v>
      </c>
      <c r="O4416">
        <v>-3.7369329999999999E-2</v>
      </c>
      <c r="P4416">
        <v>-0.99441219999999997</v>
      </c>
      <c r="Q4416">
        <v>-1.525437E-2</v>
      </c>
      <c r="R4416">
        <v>-0.1044607</v>
      </c>
      <c r="S4416">
        <v>-2.9404300000000001</v>
      </c>
      <c r="T4416">
        <v>-0.27987709999999999</v>
      </c>
      <c r="U4416">
        <v>-0.709198</v>
      </c>
      <c r="V4416">
        <v>-6.7219249999999994E-2</v>
      </c>
      <c r="W4416">
        <v>-1.963359E-3</v>
      </c>
      <c r="X4416">
        <v>0.99773630000000002</v>
      </c>
      <c r="Y4416">
        <v>-0.19728889999999999</v>
      </c>
      <c r="Z4416">
        <v>-5.7416100000000003E-3</v>
      </c>
      <c r="AA4416">
        <v>0.98032859999999999</v>
      </c>
      <c r="AB4416">
        <v>20</v>
      </c>
      <c r="AC4416">
        <v>-11.5244</v>
      </c>
      <c r="AD4416">
        <v>-1.1116976503309901</v>
      </c>
      <c r="AE4416">
        <v>-2.8094999999999799</v>
      </c>
      <c r="AF4416">
        <v>-2.35614394616832</v>
      </c>
      <c r="AG4416">
        <v>-1.1116976503309901</v>
      </c>
      <c r="AH4416">
        <v>11.5201612957141</v>
      </c>
      <c r="AI4416">
        <v>95.400865693843997</v>
      </c>
      <c r="AJ4416">
        <v>101.558924535226</v>
      </c>
      <c r="AK4416">
        <v>11.811071172424899</v>
      </c>
      <c r="AL4416">
        <v>90.112492256265099</v>
      </c>
      <c r="AM4416">
        <v>93.8542930303704</v>
      </c>
      <c r="AN4416">
        <v>1.0000000033434</v>
      </c>
    </row>
    <row r="4417" spans="1:40" x14ac:dyDescent="0.3">
      <c r="A4417" t="str">
        <f>"20200111160546556"</f>
        <v>20200111160546556</v>
      </c>
      <c r="B4417" t="str">
        <f>"1578729946546261"</f>
        <v>1578729946546261</v>
      </c>
      <c r="C4417" t="s">
        <v>40</v>
      </c>
      <c r="D4417">
        <v>5.5391579999999996</v>
      </c>
      <c r="E4417">
        <v>0.44844909999999999</v>
      </c>
      <c r="F4417" t="s">
        <v>75</v>
      </c>
      <c r="G4417">
        <v>-405.94400000000002</v>
      </c>
      <c r="H4417" s="1">
        <v>-7.7288100000000003E-6</v>
      </c>
      <c r="I4417">
        <v>138.58750000000001</v>
      </c>
      <c r="J4417">
        <v>-396.827</v>
      </c>
      <c r="K4417">
        <v>1.1121179999999999</v>
      </c>
      <c r="L4417">
        <v>141.29060000000001</v>
      </c>
      <c r="M4417">
        <v>-0.99730680000000005</v>
      </c>
      <c r="N4417">
        <v>0</v>
      </c>
      <c r="O4417">
        <v>-7.2089429999999996E-2</v>
      </c>
      <c r="P4417">
        <v>-0.98897049999999997</v>
      </c>
      <c r="Q4417">
        <v>1.3698689999999999E-2</v>
      </c>
      <c r="R4417">
        <v>-0.147478</v>
      </c>
      <c r="S4417">
        <v>-2.9365839999999999</v>
      </c>
      <c r="T4417">
        <v>-0.27901290000000001</v>
      </c>
      <c r="U4417">
        <v>-0.72300719999999996</v>
      </c>
      <c r="V4417">
        <v>-7.5884209999999994E-2</v>
      </c>
      <c r="W4417">
        <v>2.6908789999999998E-2</v>
      </c>
      <c r="X4417">
        <v>0.99675349999999996</v>
      </c>
      <c r="Y4417">
        <v>-0.16803399999999999</v>
      </c>
      <c r="Z4417">
        <v>-1.132608E-3</v>
      </c>
      <c r="AA4417">
        <v>0.98578049999999995</v>
      </c>
      <c r="AB4417">
        <v>19</v>
      </c>
      <c r="AC4417">
        <v>-9.1170000000000098</v>
      </c>
      <c r="AD4417">
        <v>-1.1121257288099999</v>
      </c>
      <c r="AE4417">
        <v>-2.7031000000000001</v>
      </c>
      <c r="AF4417">
        <v>-2.0112571537035602</v>
      </c>
      <c r="AG4417">
        <v>-1.1121257288099999</v>
      </c>
      <c r="AH4417">
        <v>9.1628312576275999</v>
      </c>
      <c r="AI4417">
        <v>96.760929284237605</v>
      </c>
      <c r="AJ4417">
        <v>102.380183935677</v>
      </c>
      <c r="AK4417">
        <v>9.4466637301622196</v>
      </c>
      <c r="AL4417">
        <v>88.458053807985095</v>
      </c>
      <c r="AM4417">
        <v>94.353608029014495</v>
      </c>
      <c r="AN4417">
        <v>1.00000001803441</v>
      </c>
    </row>
    <row r="4418" spans="1:40" x14ac:dyDescent="0.3">
      <c r="A4418" t="str">
        <f>"20200111160546575"</f>
        <v>20200111160546575</v>
      </c>
      <c r="B4418" t="str">
        <f>"1578729946565783"</f>
        <v>1578729946565783</v>
      </c>
      <c r="C4418" t="s">
        <v>40</v>
      </c>
      <c r="D4418">
        <v>5.7525190000000004</v>
      </c>
      <c r="E4418">
        <v>0.44995079999999998</v>
      </c>
      <c r="F4418" t="s">
        <v>75</v>
      </c>
      <c r="G4418">
        <v>-413.67759999999998</v>
      </c>
      <c r="H4418" s="1">
        <v>-8.909026E-6</v>
      </c>
      <c r="I4418">
        <v>136.3185</v>
      </c>
      <c r="J4418">
        <v>-396.98349999999999</v>
      </c>
      <c r="K4418">
        <v>1.1120969999999999</v>
      </c>
      <c r="L4418">
        <v>141.27670000000001</v>
      </c>
      <c r="M4418">
        <v>-0.99714829999999999</v>
      </c>
      <c r="N4418">
        <v>0</v>
      </c>
      <c r="O4418">
        <v>-7.4247740000000007E-2</v>
      </c>
      <c r="P4418">
        <v>-0.98876050000000004</v>
      </c>
      <c r="Q4418">
        <v>1.270106E-2</v>
      </c>
      <c r="R4418">
        <v>-0.14896770000000001</v>
      </c>
      <c r="S4418">
        <v>-2.908112</v>
      </c>
      <c r="T4418">
        <v>-0.1919334</v>
      </c>
      <c r="U4418">
        <v>-0.85809329999999995</v>
      </c>
      <c r="V4418">
        <v>-7.5223120000000004E-2</v>
      </c>
      <c r="W4418">
        <v>2.591541E-2</v>
      </c>
      <c r="X4418">
        <v>0.99682990000000005</v>
      </c>
      <c r="Y4418">
        <v>-0.2107339</v>
      </c>
      <c r="Z4418">
        <v>-2.0245879999999999E-3</v>
      </c>
      <c r="AA4418">
        <v>0.9775414</v>
      </c>
      <c r="AB4418">
        <v>19</v>
      </c>
      <c r="AC4418">
        <v>-16.694099999999899</v>
      </c>
      <c r="AD4418">
        <v>-1.1121059090259999</v>
      </c>
      <c r="AE4418">
        <v>-4.9581999999999997</v>
      </c>
      <c r="AF4418">
        <v>-3.6898522427845699</v>
      </c>
      <c r="AG4418">
        <v>-1.1121059090259999</v>
      </c>
      <c r="AH4418">
        <v>16.947070616620898</v>
      </c>
      <c r="AI4418">
        <v>93.668787786787902</v>
      </c>
      <c r="AJ4418">
        <v>102.28319459402501</v>
      </c>
      <c r="AK4418">
        <v>17.379729330781</v>
      </c>
      <c r="AL4418">
        <v>88.514990108825899</v>
      </c>
      <c r="AM4418">
        <v>94.315494556706597</v>
      </c>
      <c r="AN4418">
        <v>0.99999998789600597</v>
      </c>
    </row>
    <row r="4419" spans="1:40" x14ac:dyDescent="0.3">
      <c r="A4419" t="str">
        <f>"20200111160546591"</f>
        <v>20200111160546591</v>
      </c>
      <c r="B4419" t="str">
        <f>"1578729946586278"</f>
        <v>1578729946586278</v>
      </c>
      <c r="C4419" t="s">
        <v>40</v>
      </c>
      <c r="D4419">
        <v>5.5662269999999996</v>
      </c>
      <c r="E4419">
        <v>0.45082549999999999</v>
      </c>
      <c r="F4419" t="s">
        <v>75</v>
      </c>
      <c r="G4419">
        <v>-412.87099999999998</v>
      </c>
      <c r="H4419" s="1">
        <v>-9.1153099999999996E-6</v>
      </c>
      <c r="I4419">
        <v>136.6284</v>
      </c>
      <c r="J4419">
        <v>-397.1164</v>
      </c>
      <c r="K4419">
        <v>1.11208</v>
      </c>
      <c r="L4419">
        <v>141.2647</v>
      </c>
      <c r="M4419">
        <v>-0.99701070000000003</v>
      </c>
      <c r="N4419">
        <v>0</v>
      </c>
      <c r="O4419">
        <v>-7.6075599999999993E-2</v>
      </c>
      <c r="P4419">
        <v>-0.98871679999999995</v>
      </c>
      <c r="Q4419">
        <v>1.057087E-2</v>
      </c>
      <c r="R4419">
        <v>-0.14942320000000001</v>
      </c>
      <c r="S4419">
        <v>-2.9085079999999999</v>
      </c>
      <c r="T4419">
        <v>-0.203592</v>
      </c>
      <c r="U4419">
        <v>-0.85096740000000004</v>
      </c>
      <c r="V4419">
        <v>-7.3844720000000003E-2</v>
      </c>
      <c r="W4419">
        <v>2.3792230000000001E-2</v>
      </c>
      <c r="X4419">
        <v>0.99698589999999998</v>
      </c>
      <c r="Y4419">
        <v>-0.20667830000000001</v>
      </c>
      <c r="Z4419">
        <v>-1.8845050000000001E-3</v>
      </c>
      <c r="AA4419">
        <v>0.97840709999999997</v>
      </c>
      <c r="AB4419">
        <v>19</v>
      </c>
      <c r="AC4419">
        <v>-15.7545999999999</v>
      </c>
      <c r="AD4419">
        <v>-1.1120891153100001</v>
      </c>
      <c r="AE4419">
        <v>-4.6363000000000003</v>
      </c>
      <c r="AF4419">
        <v>-3.4085816544140601</v>
      </c>
      <c r="AG4419">
        <v>-1.1120891153100001</v>
      </c>
      <c r="AH4419">
        <v>15.988361255948799</v>
      </c>
      <c r="AI4419">
        <v>93.891687164234</v>
      </c>
      <c r="AJ4419">
        <v>102.034798562962</v>
      </c>
      <c r="AK4419">
        <v>16.385446797262599</v>
      </c>
      <c r="AL4419">
        <v>88.636676990821201</v>
      </c>
      <c r="AM4419">
        <v>94.236046870775994</v>
      </c>
      <c r="AN4419">
        <v>0.99999999883952995</v>
      </c>
    </row>
    <row r="4420" spans="1:40" x14ac:dyDescent="0.3">
      <c r="A4420" t="str">
        <f>"20200111160546613"</f>
        <v>20200111160546613</v>
      </c>
      <c r="B4420" t="str">
        <f>"1578729946605797"</f>
        <v>1578729946605797</v>
      </c>
      <c r="C4420" t="s">
        <v>40</v>
      </c>
      <c r="D4420">
        <v>5.5453140000000003</v>
      </c>
      <c r="E4420">
        <v>0.45139449999999998</v>
      </c>
      <c r="F4420" t="s">
        <v>75</v>
      </c>
      <c r="G4420">
        <v>-411.96510000000001</v>
      </c>
      <c r="H4420" s="1">
        <v>-9.3345410000000007E-6</v>
      </c>
      <c r="I4420">
        <v>136.9479</v>
      </c>
      <c r="J4420">
        <v>-397.30880000000002</v>
      </c>
      <c r="K4420">
        <v>1.112055</v>
      </c>
      <c r="L4420">
        <v>141.24680000000001</v>
      </c>
      <c r="M4420">
        <v>-0.99680559999999996</v>
      </c>
      <c r="N4420">
        <v>0</v>
      </c>
      <c r="O4420">
        <v>-7.8717469999999998E-2</v>
      </c>
      <c r="P4420">
        <v>-0.98852010000000001</v>
      </c>
      <c r="Q4420">
        <v>7.5890389999999997E-3</v>
      </c>
      <c r="R4420">
        <v>-0.15089900000000001</v>
      </c>
      <c r="S4420">
        <v>-2.9087519999999998</v>
      </c>
      <c r="T4420">
        <v>-0.21784980000000001</v>
      </c>
      <c r="U4420">
        <v>-0.84562680000000001</v>
      </c>
      <c r="V4420">
        <v>-7.2678099999999995E-2</v>
      </c>
      <c r="W4420">
        <v>2.0816080000000001E-2</v>
      </c>
      <c r="X4420">
        <v>0.99713819999999997</v>
      </c>
      <c r="Y4420">
        <v>-0.20238120000000001</v>
      </c>
      <c r="Z4420">
        <v>-1.6668329999999999E-3</v>
      </c>
      <c r="AA4420">
        <v>0.97930539999999999</v>
      </c>
      <c r="AB4420">
        <v>19</v>
      </c>
      <c r="AC4420">
        <v>-14.6562999999999</v>
      </c>
      <c r="AD4420">
        <v>-1.112064334541</v>
      </c>
      <c r="AE4420">
        <v>-4.2988999999999997</v>
      </c>
      <c r="AF4420">
        <v>-3.11523175135259</v>
      </c>
      <c r="AG4420">
        <v>-1.112064334541</v>
      </c>
      <c r="AH4420">
        <v>14.8704121418124</v>
      </c>
      <c r="AI4420">
        <v>94.186287396751993</v>
      </c>
      <c r="AJ4420">
        <v>101.83189706733999</v>
      </c>
      <c r="AK4420">
        <v>15.2338607455942</v>
      </c>
      <c r="AL4420">
        <v>88.807240323625606</v>
      </c>
      <c r="AM4420">
        <v>94.168727904144106</v>
      </c>
      <c r="AN4420">
        <v>1.0000000026527001</v>
      </c>
    </row>
    <row r="4421" spans="1:40" x14ac:dyDescent="0.3">
      <c r="A4421" t="str">
        <f>"20200111160546634"</f>
        <v>20200111160546634</v>
      </c>
      <c r="B4421" t="str">
        <f>"1578729946626293"</f>
        <v>1578729946626293</v>
      </c>
      <c r="C4421" t="s">
        <v>40</v>
      </c>
      <c r="D4421">
        <v>5.5508249999999997</v>
      </c>
      <c r="E4421">
        <v>0.4518779</v>
      </c>
      <c r="F4421" t="s">
        <v>75</v>
      </c>
      <c r="G4421">
        <v>-411.44470000000001</v>
      </c>
      <c r="H4421" s="1">
        <v>-9.4628940000000007E-6</v>
      </c>
      <c r="I4421">
        <v>137.1369</v>
      </c>
      <c r="J4421">
        <v>-397.48669999999998</v>
      </c>
      <c r="K4421">
        <v>1.1120239999999999</v>
      </c>
      <c r="L4421">
        <v>141.22980000000001</v>
      </c>
      <c r="M4421">
        <v>-0.99660959999999998</v>
      </c>
      <c r="N4421">
        <v>0</v>
      </c>
      <c r="O4421">
        <v>-8.1160599999999999E-2</v>
      </c>
      <c r="P4421">
        <v>-0.98829869999999997</v>
      </c>
      <c r="Q4421">
        <v>3.9702909999999999E-3</v>
      </c>
      <c r="R4421">
        <v>-0.15248010000000001</v>
      </c>
      <c r="S4421">
        <v>-2.9075319999999998</v>
      </c>
      <c r="T4421">
        <v>-0.22873309999999999</v>
      </c>
      <c r="U4421">
        <v>-0.84532169999999895</v>
      </c>
      <c r="V4421">
        <v>-7.1814810000000007E-2</v>
      </c>
      <c r="W4421">
        <v>1.7200400000000001E-2</v>
      </c>
      <c r="X4421">
        <v>0.99726970000000004</v>
      </c>
      <c r="Y4421">
        <v>-0.19997670000000001</v>
      </c>
      <c r="Z4421">
        <v>-1.4715380000000001E-3</v>
      </c>
      <c r="AA4421">
        <v>0.97979959999999999</v>
      </c>
      <c r="AB4421">
        <v>19</v>
      </c>
      <c r="AC4421">
        <v>-13.958</v>
      </c>
      <c r="AD4421">
        <v>-1.1120334628939901</v>
      </c>
      <c r="AE4421">
        <v>-4.09290000000001</v>
      </c>
      <c r="AF4421">
        <v>-2.9293310909705501</v>
      </c>
      <c r="AG4421">
        <v>-1.1120334628939901</v>
      </c>
      <c r="AH4421">
        <v>14.161387373933101</v>
      </c>
      <c r="AI4421">
        <v>94.397266190573106</v>
      </c>
      <c r="AJ4421">
        <v>101.68699809372301</v>
      </c>
      <c r="AK4421">
        <v>14.503878495689101</v>
      </c>
      <c r="AL4421">
        <v>89.0144411101804</v>
      </c>
      <c r="AM4421">
        <v>94.118840805663993</v>
      </c>
      <c r="AN4421">
        <v>1.0000000376167899</v>
      </c>
    </row>
    <row r="4422" spans="1:40" x14ac:dyDescent="0.3">
      <c r="A4422" t="str">
        <f>"20200111160546658"</f>
        <v>20200111160546658</v>
      </c>
      <c r="B4422" t="str">
        <f>"1578729946646486"</f>
        <v>1578729946646486</v>
      </c>
      <c r="C4422" t="s">
        <v>40</v>
      </c>
      <c r="D4422">
        <v>5.5710610000000003</v>
      </c>
      <c r="E4422">
        <v>0.45241940000000003</v>
      </c>
      <c r="F4422" t="s">
        <v>75</v>
      </c>
      <c r="G4422">
        <v>-410.72809999999998</v>
      </c>
      <c r="H4422" s="1">
        <v>-9.6297069999999994E-6</v>
      </c>
      <c r="I4422">
        <v>137.37450000000001</v>
      </c>
      <c r="J4422">
        <v>-397.67660000000001</v>
      </c>
      <c r="K4422">
        <v>1.1120030000000001</v>
      </c>
      <c r="L4422">
        <v>141.21119999999999</v>
      </c>
      <c r="M4422">
        <v>-0.99639359999999999</v>
      </c>
      <c r="N4422">
        <v>0</v>
      </c>
      <c r="O4422">
        <v>-8.377126E-2</v>
      </c>
      <c r="P4422">
        <v>-0.98802069999999997</v>
      </c>
      <c r="Q4422">
        <v>1.555998E-4</v>
      </c>
      <c r="R4422">
        <v>-0.15432179999999901</v>
      </c>
      <c r="S4422">
        <v>-2.905945</v>
      </c>
      <c r="T4422">
        <v>-0.24404670000000001</v>
      </c>
      <c r="U4422">
        <v>-0.84606930000000002</v>
      </c>
      <c r="V4422">
        <v>-7.1047589999999994E-2</v>
      </c>
      <c r="W4422">
        <v>1.338901E-2</v>
      </c>
      <c r="X4422">
        <v>0.99738309999999997</v>
      </c>
      <c r="Y4422">
        <v>-0.19775409999999999</v>
      </c>
      <c r="Z4422">
        <v>-1.266596E-3</v>
      </c>
      <c r="AA4422">
        <v>0.98025079999999998</v>
      </c>
      <c r="AB4422">
        <v>19</v>
      </c>
      <c r="AC4422">
        <v>-13.0514999999999</v>
      </c>
      <c r="AD4422">
        <v>-1.1120126297069901</v>
      </c>
      <c r="AE4422">
        <v>-3.8366999999999698</v>
      </c>
      <c r="AF4422">
        <v>-2.7116522878036502</v>
      </c>
      <c r="AG4422">
        <v>-1.1120126297069901</v>
      </c>
      <c r="AH4422">
        <v>13.2385907826274</v>
      </c>
      <c r="AI4422">
        <v>94.704231464879101</v>
      </c>
      <c r="AJ4422">
        <v>101.575744138167</v>
      </c>
      <c r="AK4422">
        <v>13.5591266727782</v>
      </c>
      <c r="AL4422">
        <v>89.232843341487495</v>
      </c>
      <c r="AM4422">
        <v>94.074525223387298</v>
      </c>
      <c r="AN4422">
        <v>1.0000000368995901</v>
      </c>
    </row>
    <row r="4423" spans="1:40" x14ac:dyDescent="0.3">
      <c r="A4423" t="str">
        <f>"20200111160546679"</f>
        <v>20200111160546679</v>
      </c>
      <c r="B4423" t="str">
        <f>"1578729946675766"</f>
        <v>1578729946675766</v>
      </c>
      <c r="C4423" t="s">
        <v>40</v>
      </c>
      <c r="D4423">
        <v>5.5674219999999996</v>
      </c>
      <c r="E4423">
        <v>0.45301970000000003</v>
      </c>
      <c r="F4423" t="s">
        <v>75</v>
      </c>
      <c r="G4423">
        <v>-410.1465</v>
      </c>
      <c r="H4423" s="1">
        <v>-9.7681599999999997E-6</v>
      </c>
      <c r="I4423">
        <v>137.5744</v>
      </c>
      <c r="J4423">
        <v>-397.86340000000001</v>
      </c>
      <c r="K4423">
        <v>1.111985</v>
      </c>
      <c r="L4423">
        <v>141.19239999999999</v>
      </c>
      <c r="M4423">
        <v>-0.9961738</v>
      </c>
      <c r="N4423">
        <v>0</v>
      </c>
      <c r="O4423">
        <v>-8.6345599999999995E-2</v>
      </c>
      <c r="P4423">
        <v>-0.98771010000000004</v>
      </c>
      <c r="Q4423">
        <v>-4.9172E-3</v>
      </c>
      <c r="R4423">
        <v>-0.15621930000000001</v>
      </c>
      <c r="S4423">
        <v>-2.9041139999999999</v>
      </c>
      <c r="T4423">
        <v>-0.25897510000000001</v>
      </c>
      <c r="U4423">
        <v>-0.84695429999999905</v>
      </c>
      <c r="V4423">
        <v>-7.0370409999999994E-2</v>
      </c>
      <c r="W4423">
        <v>8.3176769999999903E-3</v>
      </c>
      <c r="X4423">
        <v>0.99748619999999999</v>
      </c>
      <c r="Y4423">
        <v>-0.19563240000000001</v>
      </c>
      <c r="Z4423">
        <v>-1.029559E-3</v>
      </c>
      <c r="AA4423">
        <v>0.98067680000000002</v>
      </c>
      <c r="AB4423">
        <v>19</v>
      </c>
      <c r="AC4423">
        <v>-12.2830999999999</v>
      </c>
      <c r="AD4423">
        <v>-1.11199476816</v>
      </c>
      <c r="AE4423">
        <v>-3.6179999999999901</v>
      </c>
      <c r="AF4423">
        <v>-2.5247565523553299</v>
      </c>
      <c r="AG4423">
        <v>-1.11199476816</v>
      </c>
      <c r="AH4423">
        <v>12.4557097892393</v>
      </c>
      <c r="AI4423">
        <v>95.000446930138907</v>
      </c>
      <c r="AJ4423">
        <v>101.458533695982</v>
      </c>
      <c r="AK4423">
        <v>12.757571648508501</v>
      </c>
      <c r="AL4423">
        <v>89.523426692837006</v>
      </c>
      <c r="AM4423">
        <v>94.035402646367103</v>
      </c>
      <c r="AN4423">
        <v>0.99999994877234</v>
      </c>
    </row>
    <row r="4424" spans="1:40" x14ac:dyDescent="0.3">
      <c r="A4424" t="str">
        <f>"20200111160546781"</f>
        <v>20200111160546781</v>
      </c>
      <c r="B4424" t="str">
        <f>"1578729946776294"</f>
        <v>1578729946776294</v>
      </c>
      <c r="C4424" t="s">
        <v>40</v>
      </c>
      <c r="D4424">
        <v>5.7322670000000002</v>
      </c>
      <c r="E4424">
        <v>0.45388600000000001</v>
      </c>
      <c r="F4424" t="s">
        <v>75</v>
      </c>
      <c r="G4424">
        <v>-409.5018</v>
      </c>
      <c r="H4424" s="1">
        <v>-9.5963210000000007E-6</v>
      </c>
      <c r="I4424">
        <v>137.7928</v>
      </c>
      <c r="J4424">
        <v>-398.7106</v>
      </c>
      <c r="K4424">
        <v>1.11195</v>
      </c>
      <c r="L4424">
        <v>141.1009</v>
      </c>
      <c r="M4424">
        <v>-0.99508869999999905</v>
      </c>
      <c r="N4424">
        <v>0</v>
      </c>
      <c r="O4424">
        <v>-9.806579E-2</v>
      </c>
      <c r="P4424">
        <v>-0.98492619999999997</v>
      </c>
      <c r="Q4424">
        <v>-1.419867E-2</v>
      </c>
      <c r="R4424">
        <v>-0.17239170000000001</v>
      </c>
      <c r="S4424">
        <v>-2.9018860000000002</v>
      </c>
      <c r="T4424">
        <v>-0.27726240000000002</v>
      </c>
      <c r="U4424">
        <v>-0.84764099999999998</v>
      </c>
      <c r="V4424">
        <v>-7.4961630000000001E-2</v>
      </c>
      <c r="W4424">
        <v>-9.9080700000000002E-4</v>
      </c>
      <c r="X4424">
        <v>0.99718589999999996</v>
      </c>
      <c r="Y4424">
        <v>-0.18452969999999999</v>
      </c>
      <c r="Z4424">
        <v>4.9965830000000004E-4</v>
      </c>
      <c r="AA4424">
        <v>0.9828268</v>
      </c>
      <c r="AB4424">
        <v>19</v>
      </c>
      <c r="AC4424">
        <v>-10.7912</v>
      </c>
      <c r="AD4424">
        <v>-1.1119595963210001</v>
      </c>
      <c r="AE4424">
        <v>-3.3080999999999898</v>
      </c>
      <c r="AF4424">
        <v>-2.2123357370451999</v>
      </c>
      <c r="AG4424">
        <v>-1.1119595963210001</v>
      </c>
      <c r="AH4424">
        <v>10.957268240915999</v>
      </c>
      <c r="AI4424">
        <v>95.680760139107406</v>
      </c>
      <c r="AJ4424">
        <v>101.414887034825</v>
      </c>
      <c r="AK4424">
        <v>11.2335484536564</v>
      </c>
      <c r="AL4424">
        <v>90.056769070209498</v>
      </c>
      <c r="AM4424">
        <v>94.299019888127802</v>
      </c>
      <c r="AN4424">
        <v>0.99999997341478797</v>
      </c>
    </row>
    <row r="4425" spans="1:40" x14ac:dyDescent="0.3">
      <c r="A4425" t="str">
        <f>"20200111160546803"</f>
        <v>20200111160546803</v>
      </c>
      <c r="B4425" t="str">
        <f>"1578729946795817"</f>
        <v>1578729946795817</v>
      </c>
      <c r="C4425" t="s">
        <v>40</v>
      </c>
      <c r="D4425">
        <v>5.7054450000000001</v>
      </c>
      <c r="E4425">
        <v>0.45440720000000001</v>
      </c>
      <c r="F4425" t="s">
        <v>75</v>
      </c>
      <c r="G4425">
        <v>-409.36759999999998</v>
      </c>
      <c r="H4425" s="1">
        <v>-9.5258829999999999E-6</v>
      </c>
      <c r="I4425">
        <v>137.8228</v>
      </c>
      <c r="J4425">
        <v>-398.89359999999999</v>
      </c>
      <c r="K4425">
        <v>1.111942</v>
      </c>
      <c r="L4425">
        <v>141.07980000000001</v>
      </c>
      <c r="M4425">
        <v>-0.99483520000000003</v>
      </c>
      <c r="N4425">
        <v>0</v>
      </c>
      <c r="O4425">
        <v>-0.10060429999999999</v>
      </c>
      <c r="P4425">
        <v>-0.98441000000000001</v>
      </c>
      <c r="Q4425">
        <v>-1.386451E-2</v>
      </c>
      <c r="R4425">
        <v>-0.1753432</v>
      </c>
      <c r="S4425">
        <v>-2.8862000000000001</v>
      </c>
      <c r="T4425">
        <v>-0.30114839999999998</v>
      </c>
      <c r="U4425">
        <v>-0.88780210000000004</v>
      </c>
      <c r="V4425">
        <v>-7.5406719999999997E-2</v>
      </c>
      <c r="W4425">
        <v>-6.6013589999999896E-4</v>
      </c>
      <c r="X4425">
        <v>0.99715259999999994</v>
      </c>
      <c r="Y4425">
        <v>-0.19587860000000001</v>
      </c>
      <c r="Z4425">
        <v>2.2066380000000001E-4</v>
      </c>
      <c r="AA4425">
        <v>0.9806281</v>
      </c>
      <c r="AB4425">
        <v>19</v>
      </c>
      <c r="AC4425">
        <v>-10.473999999999901</v>
      </c>
      <c r="AD4425">
        <v>-1.1119515258829999</v>
      </c>
      <c r="AE4425">
        <v>-3.2570000000000001</v>
      </c>
      <c r="AF4425">
        <v>-2.1644042097555101</v>
      </c>
      <c r="AG4425">
        <v>-1.1119515258829999</v>
      </c>
      <c r="AH4425">
        <v>10.6392110296791</v>
      </c>
      <c r="AI4425">
        <v>95.847651795174002</v>
      </c>
      <c r="AJ4425">
        <v>101.49913257454401</v>
      </c>
      <c r="AK4425">
        <v>10.9139311484528</v>
      </c>
      <c r="AL4425">
        <v>90.037823005293902</v>
      </c>
      <c r="AM4425">
        <v>94.324592945793995</v>
      </c>
      <c r="AN4425">
        <v>0.99999995844366096</v>
      </c>
    </row>
    <row r="4426" spans="1:40" x14ac:dyDescent="0.3">
      <c r="A4426" t="str">
        <f>"20200111160546825"</f>
        <v>20200111160546825</v>
      </c>
      <c r="B4426" t="str">
        <f>"1578729946816310"</f>
        <v>1578729946816310</v>
      </c>
      <c r="C4426" t="s">
        <v>40</v>
      </c>
      <c r="D4426">
        <v>5.6096059999999897</v>
      </c>
      <c r="E4426">
        <v>0.45487719999999998</v>
      </c>
      <c r="F4426" t="s">
        <v>75</v>
      </c>
      <c r="G4426">
        <v>-409.5489</v>
      </c>
      <c r="H4426" s="1">
        <v>-9.6216829999999999E-6</v>
      </c>
      <c r="I4426">
        <v>137.78380000000001</v>
      </c>
      <c r="J4426">
        <v>-399.07530000000003</v>
      </c>
      <c r="K4426">
        <v>1.111944</v>
      </c>
      <c r="L4426">
        <v>141.05840000000001</v>
      </c>
      <c r="M4426">
        <v>-0.9945775</v>
      </c>
      <c r="N4426">
        <v>0</v>
      </c>
      <c r="O4426">
        <v>-0.10312250000000001</v>
      </c>
      <c r="P4426">
        <v>-0.98384490000000002</v>
      </c>
      <c r="Q4426">
        <v>-1.347304E-2</v>
      </c>
      <c r="R4426">
        <v>-0.17851610000000001</v>
      </c>
      <c r="S4426">
        <v>-2.884369</v>
      </c>
      <c r="T4426">
        <v>-0.30100569999999999</v>
      </c>
      <c r="U4426">
        <v>-0.89224239999999999</v>
      </c>
      <c r="V4426">
        <v>-7.6098059999999995E-2</v>
      </c>
      <c r="W4426">
        <v>-2.7277379999999997E-4</v>
      </c>
      <c r="X4426">
        <v>0.99710030000000005</v>
      </c>
      <c r="Y4426">
        <v>-0.19496659999999999</v>
      </c>
      <c r="Z4426">
        <v>5.2003559999999995E-4</v>
      </c>
      <c r="AA4426">
        <v>0.98080970000000001</v>
      </c>
      <c r="AB4426">
        <v>19</v>
      </c>
      <c r="AC4426">
        <v>-10.4735999999999</v>
      </c>
      <c r="AD4426">
        <v>-1.1119536216829999</v>
      </c>
      <c r="AE4426">
        <v>-3.2745999999999902</v>
      </c>
      <c r="AF4426">
        <v>-2.1548514919886399</v>
      </c>
      <c r="AG4426">
        <v>-1.1119536216829999</v>
      </c>
      <c r="AH4426">
        <v>10.646154573971399</v>
      </c>
      <c r="AI4426">
        <v>95.845040318327193</v>
      </c>
      <c r="AJ4426">
        <v>101.442453172412</v>
      </c>
      <c r="AK4426">
        <v>10.9188109710806</v>
      </c>
      <c r="AL4426">
        <v>90.015628787715798</v>
      </c>
      <c r="AM4426">
        <v>94.364316998505799</v>
      </c>
      <c r="AN4426">
        <v>0.999999998700699</v>
      </c>
    </row>
    <row r="4427" spans="1:40" x14ac:dyDescent="0.3">
      <c r="A4427" t="str">
        <f>"20200111160546847"</f>
        <v>20200111160546847</v>
      </c>
      <c r="B4427" t="str">
        <f>"1578729946835830"</f>
        <v>1578729946835830</v>
      </c>
      <c r="C4427" t="s">
        <v>40</v>
      </c>
      <c r="D4427">
        <v>5.609057</v>
      </c>
      <c r="E4427">
        <v>0.45538410000000001</v>
      </c>
      <c r="F4427" t="s">
        <v>75</v>
      </c>
      <c r="G4427">
        <v>-409.77670000000001</v>
      </c>
      <c r="H4427" s="1">
        <v>-9.7378220000000004E-6</v>
      </c>
      <c r="I4427">
        <v>137.72499999999999</v>
      </c>
      <c r="J4427">
        <v>-399.25779999999997</v>
      </c>
      <c r="K4427">
        <v>1.111947</v>
      </c>
      <c r="L4427">
        <v>141.03639999999999</v>
      </c>
      <c r="M4427">
        <v>-0.99431190000000003</v>
      </c>
      <c r="N4427">
        <v>0</v>
      </c>
      <c r="O4427">
        <v>-0.1056512</v>
      </c>
      <c r="P4427">
        <v>-0.98335320000000004</v>
      </c>
      <c r="Q4427">
        <v>-1.2554020000000001E-2</v>
      </c>
      <c r="R4427">
        <v>-0.1812706</v>
      </c>
      <c r="S4427">
        <v>-2.882263</v>
      </c>
      <c r="T4427">
        <v>-0.29949029999999999</v>
      </c>
      <c r="U4427">
        <v>-0.8978119</v>
      </c>
      <c r="V4427">
        <v>-7.6356209999999994E-2</v>
      </c>
      <c r="W4427">
        <v>6.4403210000000004E-4</v>
      </c>
      <c r="X4427">
        <v>0.99708039999999998</v>
      </c>
      <c r="Y4427">
        <v>-0.19442280000000001</v>
      </c>
      <c r="Z4427">
        <v>7.9789659999999997E-4</v>
      </c>
      <c r="AA4427">
        <v>0.9809175</v>
      </c>
      <c r="AB4427">
        <v>19</v>
      </c>
      <c r="AC4427">
        <v>-10.5189</v>
      </c>
      <c r="AD4427">
        <v>-1.1119567378219899</v>
      </c>
      <c r="AE4427">
        <v>-3.3113999999999901</v>
      </c>
      <c r="AF4427">
        <v>-2.1594726017266801</v>
      </c>
      <c r="AG4427">
        <v>-1.1119567378219899</v>
      </c>
      <c r="AH4427">
        <v>10.701103593462101</v>
      </c>
      <c r="AI4427">
        <v>95.815930369346106</v>
      </c>
      <c r="AJ4427">
        <v>101.40901185360499</v>
      </c>
      <c r="AK4427">
        <v>10.9733034143052</v>
      </c>
      <c r="AL4427">
        <v>89.963099676426097</v>
      </c>
      <c r="AM4427">
        <v>94.379151784483895</v>
      </c>
      <c r="AN4427">
        <v>1.00000000482353</v>
      </c>
    </row>
    <row r="4428" spans="1:40" x14ac:dyDescent="0.3">
      <c r="A4428" t="str">
        <f>"20200111160547439"</f>
        <v>20200111160547439</v>
      </c>
      <c r="B4428" t="str">
        <f>"1578729947436188"</f>
        <v>1578729947436188</v>
      </c>
      <c r="C4428" t="s">
        <v>40</v>
      </c>
      <c r="D4428">
        <v>5.4435419999999999</v>
      </c>
      <c r="E4428">
        <v>0.4568506</v>
      </c>
      <c r="F4428" t="s">
        <v>75</v>
      </c>
      <c r="G4428">
        <v>-410.05470000000003</v>
      </c>
      <c r="H4428" s="1">
        <v>-9.8118910000000004E-6</v>
      </c>
      <c r="I4428">
        <v>137.65600000000001</v>
      </c>
      <c r="J4428">
        <v>-404.03480000000002</v>
      </c>
      <c r="K4428">
        <v>1.1118619999999999</v>
      </c>
      <c r="L4428">
        <v>140.29179999999999</v>
      </c>
      <c r="M4428">
        <v>-0.98502299999999998</v>
      </c>
      <c r="N4428">
        <v>0</v>
      </c>
      <c r="O4428">
        <v>-0.17190050000000001</v>
      </c>
      <c r="P4428">
        <v>-0.9694874</v>
      </c>
      <c r="Q4428">
        <v>-7.8135540000000003E-3</v>
      </c>
      <c r="R4428">
        <v>-0.24501719999999999</v>
      </c>
      <c r="S4428">
        <v>-2.8807070000000001</v>
      </c>
      <c r="T4428">
        <v>-0.2966801</v>
      </c>
      <c r="U4428">
        <v>-0.90191650000000001</v>
      </c>
      <c r="V4428">
        <v>-7.4715260000000006E-2</v>
      </c>
      <c r="W4428">
        <v>5.3546820000000004E-3</v>
      </c>
      <c r="X4428">
        <v>0.99719049999999998</v>
      </c>
      <c r="Y4428">
        <v>-0.13046630000000001</v>
      </c>
      <c r="Z4428">
        <v>1.05275E-2</v>
      </c>
      <c r="AA4428">
        <v>0.99139679999999997</v>
      </c>
      <c r="AB4428">
        <v>18</v>
      </c>
      <c r="AC4428">
        <v>-6.0198999999999998</v>
      </c>
      <c r="AD4428">
        <v>-1.111871811891</v>
      </c>
      <c r="AE4428">
        <v>-2.6357999999999802</v>
      </c>
      <c r="AF4428">
        <v>-1.5181809007456499</v>
      </c>
      <c r="AG4428">
        <v>-1.111871811891</v>
      </c>
      <c r="AH4428">
        <v>6.2057635979046397</v>
      </c>
      <c r="AI4428">
        <v>99.872609457916894</v>
      </c>
      <c r="AJ4428">
        <v>103.746865793841</v>
      </c>
      <c r="AK4428">
        <v>6.4848002287306503</v>
      </c>
      <c r="AL4428">
        <v>89.6931978447967</v>
      </c>
      <c r="AM4428">
        <v>94.284923683748303</v>
      </c>
      <c r="AN4428">
        <v>0.999999967993218</v>
      </c>
    </row>
    <row r="4429" spans="1:40" x14ac:dyDescent="0.3">
      <c r="A4429" t="str">
        <f>"20200111160547461"</f>
        <v>20200111160547461</v>
      </c>
      <c r="B4429" t="str">
        <f>"1578729947456684"</f>
        <v>1578729947456684</v>
      </c>
      <c r="C4429" t="s">
        <v>40</v>
      </c>
      <c r="D4429">
        <v>5.7546790000000003</v>
      </c>
      <c r="E4429">
        <v>0.45724409999999999</v>
      </c>
      <c r="F4429" t="s">
        <v>75</v>
      </c>
      <c r="G4429">
        <v>-415.05889999999999</v>
      </c>
      <c r="H4429" s="1">
        <v>-8.683585E-6</v>
      </c>
      <c r="I4429">
        <v>136.0804</v>
      </c>
      <c r="J4429">
        <v>-404.21609999999998</v>
      </c>
      <c r="K4429">
        <v>1.111855</v>
      </c>
      <c r="L4429">
        <v>140.25700000000001</v>
      </c>
      <c r="M4429">
        <v>-0.98457989999999995</v>
      </c>
      <c r="N4429">
        <v>0</v>
      </c>
      <c r="O4429">
        <v>-0.1744192</v>
      </c>
      <c r="P4429">
        <v>-0.96906999999999999</v>
      </c>
      <c r="Q4429">
        <v>-8.2600650000000005E-3</v>
      </c>
      <c r="R4429">
        <v>-0.2466469</v>
      </c>
      <c r="S4429">
        <v>-2.8199160000000001</v>
      </c>
      <c r="T4429">
        <v>-0.28441040000000001</v>
      </c>
      <c r="U4429">
        <v>-1.0772550000000001</v>
      </c>
      <c r="V4429">
        <v>-7.384048E-2</v>
      </c>
      <c r="W4429">
        <v>4.9102750000000004E-3</v>
      </c>
      <c r="X4429">
        <v>0.99725790000000003</v>
      </c>
      <c r="Y4429">
        <v>-0.18837609999999999</v>
      </c>
      <c r="Z4429">
        <v>7.6005659999999996E-3</v>
      </c>
      <c r="AA4429">
        <v>0.98206760000000004</v>
      </c>
      <c r="AB4429">
        <v>18</v>
      </c>
      <c r="AC4429">
        <v>-10.8428</v>
      </c>
      <c r="AD4429">
        <v>-1.111863683585</v>
      </c>
      <c r="AE4429">
        <v>-4.1765999999999996</v>
      </c>
      <c r="AF4429">
        <v>-2.2010500045061199</v>
      </c>
      <c r="AG4429">
        <v>-1.111863683585</v>
      </c>
      <c r="AH4429">
        <v>11.3016258168962</v>
      </c>
      <c r="AI4429">
        <v>95.515752721966507</v>
      </c>
      <c r="AJ4429">
        <v>101.02069426319601</v>
      </c>
      <c r="AK4429">
        <v>11.5675238525082</v>
      </c>
      <c r="AL4429">
        <v>89.718660814084501</v>
      </c>
      <c r="AM4429">
        <v>94.234653428050606</v>
      </c>
      <c r="AN4429">
        <v>0.99999992319980502</v>
      </c>
    </row>
    <row r="4430" spans="1:40" x14ac:dyDescent="0.3">
      <c r="A4430" t="str">
        <f>"20200111160547484"</f>
        <v>20200111160547484</v>
      </c>
      <c r="B4430" t="str">
        <f>"1578729947476207"</f>
        <v>1578729947476207</v>
      </c>
      <c r="C4430" t="s">
        <v>40</v>
      </c>
      <c r="D4430">
        <v>5.6443240000000001</v>
      </c>
      <c r="E4430">
        <v>0.45789239999999998</v>
      </c>
      <c r="F4430" t="s">
        <v>75</v>
      </c>
      <c r="G4430">
        <v>-415.12630000000001</v>
      </c>
      <c r="H4430" s="1">
        <v>-8.6781859999999994E-6</v>
      </c>
      <c r="I4430">
        <v>136.08160000000001</v>
      </c>
      <c r="J4430">
        <v>-404.3895</v>
      </c>
      <c r="K4430">
        <v>1.1118410000000001</v>
      </c>
      <c r="L4430">
        <v>140.22329999999999</v>
      </c>
      <c r="M4430">
        <v>-0.98415050000000004</v>
      </c>
      <c r="N4430">
        <v>0</v>
      </c>
      <c r="O4430">
        <v>-0.17682729999999999</v>
      </c>
      <c r="P4430">
        <v>-0.9686688</v>
      </c>
      <c r="Q4430">
        <v>-9.1354769999999995E-3</v>
      </c>
      <c r="R4430">
        <v>-0.24818850000000001</v>
      </c>
      <c r="S4430">
        <v>-2.8187259999999998</v>
      </c>
      <c r="T4430">
        <v>-0.28725719999999999</v>
      </c>
      <c r="U4430">
        <v>-1.078751</v>
      </c>
      <c r="V4430">
        <v>-7.2986670000000003E-2</v>
      </c>
      <c r="W4430">
        <v>4.0367179999999999E-3</v>
      </c>
      <c r="X4430">
        <v>0.99732480000000001</v>
      </c>
      <c r="Y4430">
        <v>-0.1865831</v>
      </c>
      <c r="Z4430">
        <v>7.9963569999999904E-3</v>
      </c>
      <c r="AA4430">
        <v>0.98240660000000002</v>
      </c>
      <c r="AB4430">
        <v>18</v>
      </c>
      <c r="AC4430">
        <v>-10.736800000000001</v>
      </c>
      <c r="AD4430">
        <v>-1.1118496781859999</v>
      </c>
      <c r="AE4430">
        <v>-4.1416999999999797</v>
      </c>
      <c r="AF4430">
        <v>-2.1575526932276898</v>
      </c>
      <c r="AG4430">
        <v>-1.1118496781859999</v>
      </c>
      <c r="AH4430">
        <v>11.1955032444742</v>
      </c>
      <c r="AI4430">
        <v>95.569747088605794</v>
      </c>
      <c r="AJ4430">
        <v>100.908085777718</v>
      </c>
      <c r="AK4430">
        <v>11.4555897372404</v>
      </c>
      <c r="AL4430">
        <v>89.768712479604105</v>
      </c>
      <c r="AM4430">
        <v>94.185583825725601</v>
      </c>
      <c r="AN4430">
        <v>1.00000005289246</v>
      </c>
    </row>
    <row r="4431" spans="1:40" x14ac:dyDescent="0.3">
      <c r="A4431" t="str">
        <f>"20200111160547506"</f>
        <v>20200111160547506</v>
      </c>
      <c r="B4431" t="str">
        <f>"1578729947496700"</f>
        <v>1578729947496700</v>
      </c>
      <c r="C4431" t="s">
        <v>40</v>
      </c>
      <c r="D4431">
        <v>5.5029709999999996</v>
      </c>
      <c r="E4431">
        <v>0.45858450000000001</v>
      </c>
      <c r="F4431" t="s">
        <v>75</v>
      </c>
      <c r="G4431">
        <v>-415.10219999999998</v>
      </c>
      <c r="H4431" s="1">
        <v>-8.6991419999999993E-6</v>
      </c>
      <c r="I4431">
        <v>136.12469999999999</v>
      </c>
      <c r="J4431">
        <v>-404.56229999999999</v>
      </c>
      <c r="K4431">
        <v>1.111831</v>
      </c>
      <c r="L4431">
        <v>140.1893</v>
      </c>
      <c r="M4431">
        <v>-0.98371609999999998</v>
      </c>
      <c r="N4431">
        <v>0</v>
      </c>
      <c r="O4431">
        <v>-0.17922839999999901</v>
      </c>
      <c r="P4431">
        <v>-0.96824410000000005</v>
      </c>
      <c r="Q4431">
        <v>-1.0195020000000001E-2</v>
      </c>
      <c r="R4431">
        <v>-0.24979960000000001</v>
      </c>
      <c r="S4431">
        <v>-2.8180239999999999</v>
      </c>
      <c r="T4431">
        <v>-0.29247640000000003</v>
      </c>
      <c r="U4431">
        <v>-1.078171</v>
      </c>
      <c r="V4431">
        <v>-7.2210330000000003E-2</v>
      </c>
      <c r="W4431">
        <v>2.9786230000000001E-3</v>
      </c>
      <c r="X4431">
        <v>0.99738499999999997</v>
      </c>
      <c r="Y4431">
        <v>-0.18411079999999999</v>
      </c>
      <c r="Z4431">
        <v>8.5001460000000001E-3</v>
      </c>
      <c r="AA4431">
        <v>0.98286870000000004</v>
      </c>
      <c r="AB4431">
        <v>18</v>
      </c>
      <c r="AC4431">
        <v>-10.5398999999999</v>
      </c>
      <c r="AD4431">
        <v>-1.1118396991419901</v>
      </c>
      <c r="AE4431">
        <v>-4.0646000000000102</v>
      </c>
      <c r="AF4431">
        <v>-2.0893131356004102</v>
      </c>
      <c r="AG4431">
        <v>-1.1118396991419901</v>
      </c>
      <c r="AH4431">
        <v>10.9912841769608</v>
      </c>
      <c r="AI4431">
        <v>95.675249077715804</v>
      </c>
      <c r="AJ4431">
        <v>100.76284296721499</v>
      </c>
      <c r="AK4431">
        <v>11.2432088281723</v>
      </c>
      <c r="AL4431">
        <v>89.829337224579007</v>
      </c>
      <c r="AM4431">
        <v>94.140969507170794</v>
      </c>
      <c r="AN4431">
        <v>1.0000000210893401</v>
      </c>
    </row>
    <row r="4432" spans="1:40" x14ac:dyDescent="0.3">
      <c r="A4432" t="str">
        <f>"20200111160547527"</f>
        <v>20200111160547527</v>
      </c>
      <c r="B4432" t="str">
        <f>"1578729947525980"</f>
        <v>1578729947525980</v>
      </c>
      <c r="C4432" t="s">
        <v>40</v>
      </c>
      <c r="D4432">
        <v>5.4514969999999998</v>
      </c>
      <c r="E4432">
        <v>0.45947470000000001</v>
      </c>
      <c r="F4432" t="s">
        <v>75</v>
      </c>
      <c r="G4432">
        <v>-415.1139</v>
      </c>
      <c r="H4432" s="1">
        <v>-8.7105980000000005E-6</v>
      </c>
      <c r="I4432">
        <v>136.1532</v>
      </c>
      <c r="J4432">
        <v>-404.73289999999997</v>
      </c>
      <c r="K4432">
        <v>1.1118189999999999</v>
      </c>
      <c r="L4432">
        <v>140.15530000000001</v>
      </c>
      <c r="M4432">
        <v>-0.98328099999999996</v>
      </c>
      <c r="N4432">
        <v>0</v>
      </c>
      <c r="O4432">
        <v>-0.18159980000000001</v>
      </c>
      <c r="P4432">
        <v>-0.96777060000000004</v>
      </c>
      <c r="Q4432">
        <v>-1.123393E-2</v>
      </c>
      <c r="R4432">
        <v>-0.25158199999999997</v>
      </c>
      <c r="S4432">
        <v>-2.8172000000000001</v>
      </c>
      <c r="T4432">
        <v>-0.29685440000000002</v>
      </c>
      <c r="U4432">
        <v>-1.0776059999999901</v>
      </c>
      <c r="V4432">
        <v>-7.1641220000000005E-2</v>
      </c>
      <c r="W4432">
        <v>1.940551E-3</v>
      </c>
      <c r="X4432">
        <v>0.9974286</v>
      </c>
      <c r="Y4432">
        <v>-0.18168599999999999</v>
      </c>
      <c r="Z4432">
        <v>8.9863519999999995E-3</v>
      </c>
      <c r="AA4432">
        <v>0.98331550000000001</v>
      </c>
      <c r="AB4432">
        <v>18</v>
      </c>
      <c r="AC4432">
        <v>-10.381</v>
      </c>
      <c r="AD4432">
        <v>-1.1118277105979999</v>
      </c>
      <c r="AE4432">
        <v>-4.0021000000000102</v>
      </c>
      <c r="AF4432">
        <v>-2.0299139420583199</v>
      </c>
      <c r="AG4432">
        <v>-1.1118277105979999</v>
      </c>
      <c r="AH4432">
        <v>10.827079068399399</v>
      </c>
      <c r="AI4432">
        <v>95.763400402301201</v>
      </c>
      <c r="AJ4432">
        <v>100.618820030592</v>
      </c>
      <c r="AK4432">
        <v>11.0716914978511</v>
      </c>
      <c r="AL4432">
        <v>89.888814550335596</v>
      </c>
      <c r="AM4432">
        <v>94.108266579589198</v>
      </c>
      <c r="AN4432">
        <v>1.0000000211196101</v>
      </c>
    </row>
    <row r="4433" spans="1:40" x14ac:dyDescent="0.3">
      <c r="A4433" t="str">
        <f>"20200111160547551"</f>
        <v>20200111160547551</v>
      </c>
      <c r="B4433" t="str">
        <f>"1578729947546476"</f>
        <v>1578729947546476</v>
      </c>
      <c r="C4433" t="s">
        <v>40</v>
      </c>
      <c r="D4433">
        <v>5.4592650000000003</v>
      </c>
      <c r="E4433">
        <v>0.45990619999999999</v>
      </c>
      <c r="F4433" t="s">
        <v>75</v>
      </c>
      <c r="G4433">
        <v>-415.08550000000002</v>
      </c>
      <c r="H4433" s="1">
        <v>-8.7341819999999992E-6</v>
      </c>
      <c r="I4433">
        <v>136.20150000000001</v>
      </c>
      <c r="J4433">
        <v>-404.91230000000002</v>
      </c>
      <c r="K4433">
        <v>1.1118170000000001</v>
      </c>
      <c r="L4433">
        <v>140.119</v>
      </c>
      <c r="M4433">
        <v>-0.98281750000000001</v>
      </c>
      <c r="N4433">
        <v>0</v>
      </c>
      <c r="O4433">
        <v>-0.18409159999999999</v>
      </c>
      <c r="P4433">
        <v>-0.9672385</v>
      </c>
      <c r="Q4433">
        <v>-1.2112929999999999E-2</v>
      </c>
      <c r="R4433">
        <v>-0.25358019999999998</v>
      </c>
      <c r="S4433">
        <v>-2.8167110000000002</v>
      </c>
      <c r="T4433">
        <v>-0.30250320000000003</v>
      </c>
      <c r="U4433">
        <v>-1.0757289999999999</v>
      </c>
      <c r="V4433">
        <v>-7.1172360000000004E-2</v>
      </c>
      <c r="W4433">
        <v>1.062218E-3</v>
      </c>
      <c r="X4433">
        <v>0.99746349999999995</v>
      </c>
      <c r="Y4433">
        <v>-0.1787041</v>
      </c>
      <c r="Z4433">
        <v>9.5638059999999993E-3</v>
      </c>
      <c r="AA4433">
        <v>0.98385639999999996</v>
      </c>
      <c r="AB4433">
        <v>18</v>
      </c>
      <c r="AC4433">
        <v>-10.1732</v>
      </c>
      <c r="AD4433">
        <v>-1.1118257341819999</v>
      </c>
      <c r="AE4433">
        <v>-3.91749999999998</v>
      </c>
      <c r="AF4433">
        <v>-1.9572064835144101</v>
      </c>
      <c r="AG4433">
        <v>-1.1118257341819999</v>
      </c>
      <c r="AH4433">
        <v>10.6101781757301</v>
      </c>
      <c r="AI4433">
        <v>95.883562810958793</v>
      </c>
      <c r="AJ4433">
        <v>100.45157628190999</v>
      </c>
      <c r="AK4433">
        <v>10.846321708442799</v>
      </c>
      <c r="AL4433">
        <v>89.939139382270099</v>
      </c>
      <c r="AM4433">
        <v>94.081328636873394</v>
      </c>
      <c r="AN4433">
        <v>1.0000000334836401</v>
      </c>
    </row>
    <row r="4434" spans="1:40" x14ac:dyDescent="0.3">
      <c r="A4434" t="str">
        <f>"20200111160547573"</f>
        <v>20200111160547573</v>
      </c>
      <c r="B4434" t="str">
        <f>"1578729947565999"</f>
        <v>1578729947565999</v>
      </c>
      <c r="C4434" t="s">
        <v>40</v>
      </c>
      <c r="D4434">
        <v>5.4629779999999997</v>
      </c>
      <c r="E4434">
        <v>0.4604876</v>
      </c>
      <c r="F4434" t="s">
        <v>75</v>
      </c>
      <c r="G4434">
        <v>-415.16</v>
      </c>
      <c r="H4434" s="1">
        <v>-8.7247349999999903E-6</v>
      </c>
      <c r="I4434">
        <v>136.19489999999999</v>
      </c>
      <c r="J4434">
        <v>-405.08760000000001</v>
      </c>
      <c r="K4434">
        <v>1.1118030000000001</v>
      </c>
      <c r="L4434">
        <v>140.08320000000001</v>
      </c>
      <c r="M4434">
        <v>-0.98235799999999995</v>
      </c>
      <c r="N4434">
        <v>0</v>
      </c>
      <c r="O4434">
        <v>-0.18652830000000001</v>
      </c>
      <c r="P4434">
        <v>-0.96661909999999895</v>
      </c>
      <c r="Q4434">
        <v>-1.3382430000000001E-2</v>
      </c>
      <c r="R4434">
        <v>-0.25586819999999999</v>
      </c>
      <c r="S4434">
        <v>-2.8151860000000002</v>
      </c>
      <c r="T4434">
        <v>-0.30543209999999998</v>
      </c>
      <c r="U4434">
        <v>-1.0780179999999999</v>
      </c>
      <c r="V4434">
        <v>-7.1058239999999995E-2</v>
      </c>
      <c r="W4434">
        <v>-2.087635E-4</v>
      </c>
      <c r="X4434">
        <v>0.99747220000000003</v>
      </c>
      <c r="Y4434">
        <v>-0.1771596</v>
      </c>
      <c r="Z4434">
        <v>9.9868000000000005E-3</v>
      </c>
      <c r="AA4434">
        <v>0.98413150000000005</v>
      </c>
      <c r="AB4434">
        <v>18</v>
      </c>
      <c r="AC4434">
        <v>-10.0724</v>
      </c>
      <c r="AD4434">
        <v>-1.1118117247349999</v>
      </c>
      <c r="AE4434">
        <v>-3.8883000000000099</v>
      </c>
      <c r="AF4434">
        <v>-1.92072237243161</v>
      </c>
      <c r="AG4434">
        <v>-1.1118117247349999</v>
      </c>
      <c r="AH4434">
        <v>10.509494199971</v>
      </c>
      <c r="AI4434">
        <v>95.941239111694799</v>
      </c>
      <c r="AJ4434">
        <v>100.357111263428</v>
      </c>
      <c r="AK4434">
        <v>10.7412647338403</v>
      </c>
      <c r="AL4434">
        <v>90.011961266914298</v>
      </c>
      <c r="AM4434">
        <v>94.074771146853294</v>
      </c>
      <c r="AN4434">
        <v>1.0000000534134601</v>
      </c>
    </row>
    <row r="4435" spans="1:40" x14ac:dyDescent="0.3">
      <c r="A4435" t="str">
        <f>"20200111160547595"</f>
        <v>20200111160547595</v>
      </c>
      <c r="B4435" t="str">
        <f>"1578729947586492"</f>
        <v>1578729947586492</v>
      </c>
      <c r="C4435" t="s">
        <v>40</v>
      </c>
      <c r="D4435">
        <v>5.532591</v>
      </c>
      <c r="E4435">
        <v>0.46102890000000002</v>
      </c>
      <c r="F4435" t="s">
        <v>75</v>
      </c>
      <c r="G4435">
        <v>-415.15940000000001</v>
      </c>
      <c r="H4435" s="1">
        <v>-8.7347260000000007E-6</v>
      </c>
      <c r="I4435">
        <v>136.2176</v>
      </c>
      <c r="J4435">
        <v>-405.25599999999997</v>
      </c>
      <c r="K4435">
        <v>1.1117939999999999</v>
      </c>
      <c r="L4435">
        <v>140.04830000000001</v>
      </c>
      <c r="M4435">
        <v>-0.98191059999999997</v>
      </c>
      <c r="N4435">
        <v>0</v>
      </c>
      <c r="O4435">
        <v>-0.1888698</v>
      </c>
      <c r="P4435">
        <v>-0.96602339999999998</v>
      </c>
      <c r="Q4435">
        <v>-1.4427550000000001E-2</v>
      </c>
      <c r="R4435">
        <v>-0.25805210000000001</v>
      </c>
      <c r="S4435">
        <v>-2.813507</v>
      </c>
      <c r="T4435">
        <v>-0.31057980000000002</v>
      </c>
      <c r="U4435">
        <v>-1.079834</v>
      </c>
      <c r="V4435">
        <v>-7.0934520000000001E-2</v>
      </c>
      <c r="W4435">
        <v>-1.2550199999999999E-3</v>
      </c>
      <c r="X4435">
        <v>0.99748020000000004</v>
      </c>
      <c r="Y4435">
        <v>-0.17558409999999999</v>
      </c>
      <c r="Z4435">
        <v>1.048345E-2</v>
      </c>
      <c r="AA4435">
        <v>0.98440859999999997</v>
      </c>
      <c r="AB4435">
        <v>18</v>
      </c>
      <c r="AC4435">
        <v>-9.9034000000000297</v>
      </c>
      <c r="AD4435">
        <v>-1.111802734726</v>
      </c>
      <c r="AE4435">
        <v>-3.8307000000000002</v>
      </c>
      <c r="AF4435">
        <v>-1.87061405032527</v>
      </c>
      <c r="AG4435">
        <v>-1.111802734726</v>
      </c>
      <c r="AH4435">
        <v>10.335388470592999</v>
      </c>
      <c r="AI4435">
        <v>96.042408557560606</v>
      </c>
      <c r="AJ4435">
        <v>100.25897180434799</v>
      </c>
      <c r="AK4435">
        <v>10.5619864175393</v>
      </c>
      <c r="AL4435">
        <v>90.071907366981094</v>
      </c>
      <c r="AM4435">
        <v>94.067667855683496</v>
      </c>
      <c r="AN4435">
        <v>1.00000001529743</v>
      </c>
    </row>
    <row r="4436" spans="1:40" x14ac:dyDescent="0.3">
      <c r="A4436" t="str">
        <f>"20200111160547617"</f>
        <v>20200111160547617</v>
      </c>
      <c r="B4436" t="str">
        <f>"1578729947606012"</f>
        <v>1578729947606012</v>
      </c>
      <c r="C4436" t="s">
        <v>40</v>
      </c>
      <c r="D4436">
        <v>5.5095479999999997</v>
      </c>
      <c r="E4436">
        <v>0.46150049999999998</v>
      </c>
      <c r="F4436" t="s">
        <v>75</v>
      </c>
      <c r="G4436">
        <v>-415.18189999999998</v>
      </c>
      <c r="H4436" s="1">
        <v>-8.7371410000000002E-6</v>
      </c>
      <c r="I4436">
        <v>136.2276</v>
      </c>
      <c r="J4436">
        <v>-405.42649999999998</v>
      </c>
      <c r="K4436">
        <v>1.1117939999999999</v>
      </c>
      <c r="L4436">
        <v>140.01249999999999</v>
      </c>
      <c r="M4436">
        <v>-0.98145190000000004</v>
      </c>
      <c r="N4436">
        <v>0</v>
      </c>
      <c r="O4436">
        <v>-0.19123979999999999</v>
      </c>
      <c r="P4436">
        <v>-0.96539589999999997</v>
      </c>
      <c r="Q4436">
        <v>-1.4558629999999999E-2</v>
      </c>
      <c r="R4436">
        <v>-0.26038329999999998</v>
      </c>
      <c r="S4436">
        <v>-2.8117070000000002</v>
      </c>
      <c r="T4436">
        <v>-0.31494139999999998</v>
      </c>
      <c r="U4436">
        <v>-1.0822750000000001</v>
      </c>
      <c r="V4436">
        <v>-7.0934520000000001E-2</v>
      </c>
      <c r="W4436">
        <v>-1.3875339999999999E-3</v>
      </c>
      <c r="X4436">
        <v>0.99748000000000003</v>
      </c>
      <c r="Y4436">
        <v>-0.17418439999999999</v>
      </c>
      <c r="Z4436">
        <v>1.095724E-2</v>
      </c>
      <c r="AA4436">
        <v>0.98465210000000003</v>
      </c>
      <c r="AB4436">
        <v>18</v>
      </c>
      <c r="AC4436">
        <v>-9.7553999999999998</v>
      </c>
      <c r="AD4436">
        <v>-1.111802737141</v>
      </c>
      <c r="AE4436">
        <v>-3.7848999999999902</v>
      </c>
      <c r="AF4436">
        <v>-1.8285988890824101</v>
      </c>
      <c r="AG4436">
        <v>-1.111802737141</v>
      </c>
      <c r="AH4436">
        <v>10.184230732577699</v>
      </c>
      <c r="AI4436">
        <v>96.132942951467797</v>
      </c>
      <c r="AJ4436">
        <v>100.179108246034</v>
      </c>
      <c r="AK4436">
        <v>10.406653392798599</v>
      </c>
      <c r="AL4436">
        <v>90.079499868364707</v>
      </c>
      <c r="AM4436">
        <v>94.067668668534694</v>
      </c>
      <c r="AN4436">
        <v>0.99999999088911495</v>
      </c>
    </row>
    <row r="4437" spans="1:40" x14ac:dyDescent="0.3">
      <c r="A4437" t="str">
        <f>"20200111160547640"</f>
        <v>20200111160547640</v>
      </c>
      <c r="B4437" t="str">
        <f>"1578729947636268"</f>
        <v>1578729947636268</v>
      </c>
      <c r="C4437" t="s">
        <v>40</v>
      </c>
      <c r="D4437">
        <v>6.1696479999999996</v>
      </c>
      <c r="E4437">
        <v>0.46204699999999999</v>
      </c>
      <c r="F4437" t="s">
        <v>75</v>
      </c>
      <c r="G4437">
        <v>-415.31740000000002</v>
      </c>
      <c r="H4437" s="1">
        <v>-8.7092869999999992E-6</v>
      </c>
      <c r="I4437">
        <v>136.19110000000001</v>
      </c>
      <c r="J4437">
        <v>-405.60239999999999</v>
      </c>
      <c r="K4437">
        <v>1.1117900000000001</v>
      </c>
      <c r="L4437">
        <v>139.9752</v>
      </c>
      <c r="M4437">
        <v>-0.98097230000000002</v>
      </c>
      <c r="N4437">
        <v>0</v>
      </c>
      <c r="O4437">
        <v>-0.19368440000000001</v>
      </c>
      <c r="P4437">
        <v>-0.96468529999999997</v>
      </c>
      <c r="Q4437">
        <v>-1.3819730000000001E-2</v>
      </c>
      <c r="R4437">
        <v>-0.26304260000000002</v>
      </c>
      <c r="S4437">
        <v>-2.8099370000000001</v>
      </c>
      <c r="T4437">
        <v>-0.31585600000000003</v>
      </c>
      <c r="U4437">
        <v>-1.0856319999999999</v>
      </c>
      <c r="V4437">
        <v>-7.1198059999999994E-2</v>
      </c>
      <c r="W4437">
        <v>-6.5100260000000001E-4</v>
      </c>
      <c r="X4437">
        <v>0.99746199999999996</v>
      </c>
      <c r="Y4437">
        <v>-0.17298250000000001</v>
      </c>
      <c r="Z4437">
        <v>1.131355E-2</v>
      </c>
      <c r="AA4437">
        <v>0.98485990000000001</v>
      </c>
      <c r="AB4437">
        <v>18</v>
      </c>
      <c r="AC4437">
        <v>-9.7150000000000301</v>
      </c>
      <c r="AD4437">
        <v>-1.1117987092870001</v>
      </c>
      <c r="AE4437">
        <v>-3.7840999999999898</v>
      </c>
      <c r="AF4437">
        <v>-1.81003489320851</v>
      </c>
      <c r="AG4437">
        <v>-1.1117987092870001</v>
      </c>
      <c r="AH4437">
        <v>10.148584009665599</v>
      </c>
      <c r="AI4437">
        <v>96.155567001792605</v>
      </c>
      <c r="AJ4437">
        <v>100.11256746984</v>
      </c>
      <c r="AK4437">
        <v>10.368513880293801</v>
      </c>
      <c r="AL4437">
        <v>90.037299703525903</v>
      </c>
      <c r="AM4437">
        <v>94.082803521294494</v>
      </c>
      <c r="AN4437">
        <v>1.0000000144980701</v>
      </c>
    </row>
    <row r="4438" spans="1:40" x14ac:dyDescent="0.3">
      <c r="A4438" t="str">
        <f>"20200111160548578"</f>
        <v>20200111160548578</v>
      </c>
      <c r="B4438" t="str">
        <f>"1578729948566396"</f>
        <v>1578729948566396</v>
      </c>
      <c r="C4438" t="s">
        <v>40</v>
      </c>
      <c r="D4438">
        <v>5.1760020000000004</v>
      </c>
      <c r="E4438">
        <v>0.46204699999999999</v>
      </c>
      <c r="F4438" t="s">
        <v>75</v>
      </c>
      <c r="G4438">
        <v>-415.5428</v>
      </c>
      <c r="H4438" s="1">
        <v>-8.6582839999999993E-6</v>
      </c>
      <c r="I4438">
        <v>136.1198</v>
      </c>
      <c r="J4438">
        <v>-412.48939999999999</v>
      </c>
      <c r="K4438">
        <v>1.113429</v>
      </c>
      <c r="L4438">
        <v>138.07570000000001</v>
      </c>
      <c r="M4438">
        <v>-0.94749680000000003</v>
      </c>
      <c r="N4438">
        <v>0</v>
      </c>
      <c r="O4438">
        <v>-0.31947880000000001</v>
      </c>
      <c r="P4438">
        <v>-0.88261529999999999</v>
      </c>
      <c r="Q4438">
        <v>-4.6814990000000001E-2</v>
      </c>
      <c r="R4438">
        <v>-0.46775939999999999</v>
      </c>
      <c r="S4438">
        <v>-2.808319</v>
      </c>
      <c r="T4438">
        <v>-0.31410100000000002</v>
      </c>
      <c r="U4438">
        <v>-1.0892329999999999</v>
      </c>
      <c r="V4438">
        <v>-0.16100539999999999</v>
      </c>
      <c r="W4438">
        <v>-3.4579060000000002E-2</v>
      </c>
      <c r="X4438">
        <v>0.98634759999999999</v>
      </c>
      <c r="Y4438">
        <v>-4.6163719999999998E-2</v>
      </c>
      <c r="Z4438">
        <v>3.0942709999999998E-2</v>
      </c>
      <c r="AA4438">
        <v>0.99845450000000002</v>
      </c>
      <c r="AB4438">
        <v>17</v>
      </c>
      <c r="AC4438">
        <v>-3.0534000000000101</v>
      </c>
      <c r="AD4438">
        <v>-1.113437658284</v>
      </c>
      <c r="AE4438">
        <v>-1.95590000000001</v>
      </c>
      <c r="AF4438">
        <v>-0.80216052943057803</v>
      </c>
      <c r="AG4438">
        <v>-1.113437658284</v>
      </c>
      <c r="AH4438">
        <v>3.2151360999710898</v>
      </c>
      <c r="AI4438">
        <v>108.572920132829</v>
      </c>
      <c r="AJ4438">
        <v>104.00901037250399</v>
      </c>
      <c r="AK4438">
        <v>3.4957552939527399</v>
      </c>
      <c r="AL4438">
        <v>91.981629202934499</v>
      </c>
      <c r="AM4438">
        <v>99.270851001720899</v>
      </c>
      <c r="AN4438">
        <v>1.0000000191227001</v>
      </c>
    </row>
    <row r="4439" spans="1:40" x14ac:dyDescent="0.3">
      <c r="A4439" t="str">
        <f>"20200111160548601"</f>
        <v>20200111160548601</v>
      </c>
      <c r="B4439" t="str">
        <f>"1578729948596652"</f>
        <v>1578729948596652</v>
      </c>
      <c r="C4439" t="s">
        <v>40</v>
      </c>
      <c r="D4439">
        <v>5.2511720000000004</v>
      </c>
      <c r="E4439">
        <v>0.26495449999999998</v>
      </c>
      <c r="F4439" t="s">
        <v>75</v>
      </c>
      <c r="G4439">
        <v>-419.14850000000001</v>
      </c>
      <c r="H4439" s="1">
        <v>-7.4006629999999998E-6</v>
      </c>
      <c r="I4439">
        <v>133.6131</v>
      </c>
      <c r="J4439">
        <v>-412.64690000000002</v>
      </c>
      <c r="K4439">
        <v>1.1135090000000001</v>
      </c>
      <c r="L4439">
        <v>138.01499999999999</v>
      </c>
      <c r="M4439">
        <v>-0.94553180000000003</v>
      </c>
      <c r="N4439">
        <v>0</v>
      </c>
      <c r="O4439">
        <v>-0.32524760000000003</v>
      </c>
      <c r="P4439">
        <v>-0.8762008</v>
      </c>
      <c r="Q4439">
        <v>-4.9946989999999997E-2</v>
      </c>
      <c r="R4439">
        <v>-0.47935109999999997</v>
      </c>
      <c r="S4439">
        <v>-2.4918819999999999</v>
      </c>
      <c r="T4439">
        <v>-0.41665679999999999</v>
      </c>
      <c r="U4439">
        <v>-1.6699520000000001</v>
      </c>
      <c r="V4439">
        <v>-0.16801070000000001</v>
      </c>
      <c r="W4439">
        <v>-3.7798079999999998E-2</v>
      </c>
      <c r="X4439">
        <v>0.9850603</v>
      </c>
      <c r="Y4439">
        <v>-0.25675809999999999</v>
      </c>
      <c r="Z4439">
        <v>2.7883930000000001E-2</v>
      </c>
      <c r="AA4439">
        <v>0.96607339999999997</v>
      </c>
      <c r="AB4439">
        <v>17</v>
      </c>
      <c r="AC4439">
        <v>-6.5015999999999901</v>
      </c>
      <c r="AD4439">
        <v>-1.1135164006630001</v>
      </c>
      <c r="AE4439">
        <v>-4.4018999999999799</v>
      </c>
      <c r="AF4439">
        <v>-2.0073213141309401</v>
      </c>
      <c r="AG4439">
        <v>-1.1135164006630001</v>
      </c>
      <c r="AH4439">
        <v>7.4304244994675903</v>
      </c>
      <c r="AI4439">
        <v>98.2320289939086</v>
      </c>
      <c r="AJ4439">
        <v>105.117528710625</v>
      </c>
      <c r="AK4439">
        <v>7.7769187905621102</v>
      </c>
      <c r="AL4439">
        <v>92.166186377997207</v>
      </c>
      <c r="AM4439">
        <v>99.679159871360596</v>
      </c>
      <c r="AN4439">
        <v>1.0000000424011299</v>
      </c>
    </row>
    <row r="4440" spans="1:40" x14ac:dyDescent="0.3">
      <c r="A4440" t="str">
        <f>"20200111160548734"</f>
        <v>20200111160548734</v>
      </c>
      <c r="B4440" t="str">
        <f>"1578729948725845"</f>
        <v>1578729948725845</v>
      </c>
      <c r="C4440" t="s">
        <v>40</v>
      </c>
      <c r="D4440">
        <v>5.721114</v>
      </c>
      <c r="E4440">
        <v>0.28886400000000001</v>
      </c>
      <c r="F4440" t="s">
        <v>75</v>
      </c>
      <c r="G4440">
        <v>-417.29649999999998</v>
      </c>
      <c r="H4440" s="1">
        <v>-5.8999580000000004E-6</v>
      </c>
      <c r="I4440">
        <v>129.66470000000001</v>
      </c>
      <c r="J4440">
        <v>-413.54149999999998</v>
      </c>
      <c r="K4440">
        <v>1.1137349999999999</v>
      </c>
      <c r="L4440">
        <v>137.6431</v>
      </c>
      <c r="M4440">
        <v>-0.9323437</v>
      </c>
      <c r="N4440">
        <v>0</v>
      </c>
      <c r="O4440">
        <v>-0.36131659999999999</v>
      </c>
      <c r="P4440">
        <v>-0.84083059999999998</v>
      </c>
      <c r="Q4440">
        <v>-5.5451460000000001E-2</v>
      </c>
      <c r="R4440">
        <v>-0.53845120000000002</v>
      </c>
      <c r="S4440">
        <v>-1.7152400000000001</v>
      </c>
      <c r="T4440">
        <v>-0.41077360000000002</v>
      </c>
      <c r="U4440">
        <v>-3.080444</v>
      </c>
      <c r="V4440">
        <v>-0.1979061</v>
      </c>
      <c r="W4440">
        <v>-4.3618089999999998E-2</v>
      </c>
      <c r="X4440">
        <v>0.97925010000000001</v>
      </c>
      <c r="Y4440">
        <v>-0.6371289</v>
      </c>
      <c r="Z4440">
        <v>3.0032320000000002E-3</v>
      </c>
      <c r="AA4440">
        <v>0.77075150000000003</v>
      </c>
      <c r="AB4440">
        <v>16</v>
      </c>
      <c r="AC4440">
        <v>-3.7549999999999901</v>
      </c>
      <c r="AD4440">
        <v>-1.1137408999580001</v>
      </c>
      <c r="AE4440">
        <v>-7.9783999999999899</v>
      </c>
      <c r="AF4440">
        <v>-5.9869224459626897</v>
      </c>
      <c r="AG4440">
        <v>-1.1137408999580001</v>
      </c>
      <c r="AH4440">
        <v>6.2840226404214299</v>
      </c>
      <c r="AI4440">
        <v>97.312227137553904</v>
      </c>
      <c r="AJ4440">
        <v>133.613043898396</v>
      </c>
      <c r="AK4440">
        <v>8.7505771073421297</v>
      </c>
      <c r="AL4440">
        <v>92.499925444858107</v>
      </c>
      <c r="AM4440">
        <v>101.425559608859</v>
      </c>
      <c r="AN4440">
        <v>1.00000006027123</v>
      </c>
    </row>
    <row r="4441" spans="1:40" x14ac:dyDescent="0.3">
      <c r="A4441" t="str">
        <f>"20200111160548768"</f>
        <v>20200111160548768</v>
      </c>
      <c r="B4441" t="str">
        <f>"1578729948765861"</f>
        <v>1578729948765861</v>
      </c>
      <c r="C4441" t="s">
        <v>40</v>
      </c>
      <c r="D4441">
        <v>5.7855889999999999</v>
      </c>
      <c r="E4441">
        <v>0.29208659999999997</v>
      </c>
      <c r="F4441" t="s">
        <v>75</v>
      </c>
      <c r="G4441">
        <v>-419.30200000000002</v>
      </c>
      <c r="H4441" s="1">
        <v>-4.3099309999999998E-6</v>
      </c>
      <c r="I4441">
        <v>126.7628</v>
      </c>
      <c r="J4441">
        <v>-413.76139999999998</v>
      </c>
      <c r="K4441">
        <v>1.113723</v>
      </c>
      <c r="L4441">
        <v>137.54470000000001</v>
      </c>
      <c r="M4441">
        <v>-0.92866340000000003</v>
      </c>
      <c r="N4441">
        <v>0</v>
      </c>
      <c r="O4441">
        <v>-0.37067260000000002</v>
      </c>
      <c r="P4441">
        <v>-0.83232039999999996</v>
      </c>
      <c r="Q4441">
        <v>-5.4630440000000002E-2</v>
      </c>
      <c r="R4441">
        <v>-0.55159590000000003</v>
      </c>
      <c r="S4441">
        <v>-1.6055299999999999</v>
      </c>
      <c r="T4441">
        <v>-0.310415</v>
      </c>
      <c r="U4441">
        <v>-3.032486</v>
      </c>
      <c r="V4441">
        <v>-0.2034281</v>
      </c>
      <c r="W4441">
        <v>-4.2834280000000002E-2</v>
      </c>
      <c r="X4441">
        <v>0.97815249999999998</v>
      </c>
      <c r="Y4441">
        <v>-0.64630569999999998</v>
      </c>
      <c r="Z4441">
        <v>2.7313720000000001E-3</v>
      </c>
      <c r="AA4441">
        <v>0.76307369999999997</v>
      </c>
      <c r="AB4441">
        <v>16</v>
      </c>
      <c r="AC4441">
        <v>-5.54059999999998</v>
      </c>
      <c r="AD4441">
        <v>-1.1137273099310001</v>
      </c>
      <c r="AE4441">
        <v>-10.7819</v>
      </c>
      <c r="AF4441">
        <v>-7.8931220048100599</v>
      </c>
      <c r="AG4441">
        <v>-1.1137273099310001</v>
      </c>
      <c r="AH4441">
        <v>9.0662298986339795</v>
      </c>
      <c r="AI4441">
        <v>95.293374891319203</v>
      </c>
      <c r="AJ4441">
        <v>131.04305413112999</v>
      </c>
      <c r="AK4441">
        <v>12.072211399680899</v>
      </c>
      <c r="AL4441">
        <v>92.454974475252001</v>
      </c>
      <c r="AM4441">
        <v>101.748432799741</v>
      </c>
      <c r="AN4441">
        <v>1.00000004033448</v>
      </c>
    </row>
    <row r="4442" spans="1:40" x14ac:dyDescent="0.3">
      <c r="A4442" t="str">
        <f>"20200111160548790"</f>
        <v>20200111160548790</v>
      </c>
      <c r="B4442" t="str">
        <f>"1578729948786356"</f>
        <v>1578729948786356</v>
      </c>
      <c r="C4442" t="s">
        <v>40</v>
      </c>
      <c r="D4442">
        <v>5.86829</v>
      </c>
      <c r="E4442">
        <v>0.29420059999999998</v>
      </c>
      <c r="F4442" t="s">
        <v>75</v>
      </c>
      <c r="G4442">
        <v>-419.5197</v>
      </c>
      <c r="H4442" s="1">
        <v>-4.1253159999999997E-6</v>
      </c>
      <c r="I4442">
        <v>126.42529999999999</v>
      </c>
      <c r="J4442">
        <v>-413.90609999999998</v>
      </c>
      <c r="K4442">
        <v>1.113734</v>
      </c>
      <c r="L4442">
        <v>137.47819999999999</v>
      </c>
      <c r="M4442">
        <v>-0.92616050000000005</v>
      </c>
      <c r="N4442">
        <v>0</v>
      </c>
      <c r="O4442">
        <v>-0.37688270000000001</v>
      </c>
      <c r="P4442">
        <v>-0.82616139999999905</v>
      </c>
      <c r="Q4442">
        <v>-5.1448069999999999E-2</v>
      </c>
      <c r="R4442">
        <v>-0.56107959999999901</v>
      </c>
      <c r="S4442">
        <v>-1.572327</v>
      </c>
      <c r="T4442">
        <v>-0.3041027</v>
      </c>
      <c r="U4442">
        <v>-3.036133</v>
      </c>
      <c r="V4442">
        <v>-0.2080089</v>
      </c>
      <c r="W4442">
        <v>-3.9687210000000001E-2</v>
      </c>
      <c r="X4442">
        <v>0.97732140000000001</v>
      </c>
      <c r="Y4442">
        <v>-0.64817239999999998</v>
      </c>
      <c r="Z4442">
        <v>3.204068E-3</v>
      </c>
      <c r="AA4442">
        <v>0.76148689999999997</v>
      </c>
      <c r="AB4442">
        <v>16</v>
      </c>
      <c r="AC4442">
        <v>-5.6136000000000204</v>
      </c>
      <c r="AD4442">
        <v>-1.1137381253159999</v>
      </c>
      <c r="AE4442">
        <v>-11.0528999999999</v>
      </c>
      <c r="AF4442">
        <v>-8.0568165161571006</v>
      </c>
      <c r="AG4442">
        <v>-1.1137381253159999</v>
      </c>
      <c r="AH4442">
        <v>9.2906243885712403</v>
      </c>
      <c r="AI4442">
        <v>95.174953154786806</v>
      </c>
      <c r="AJ4442">
        <v>130.931783509788</v>
      </c>
      <c r="AK4442">
        <v>12.347809786205699</v>
      </c>
      <c r="AL4442">
        <v>92.274507105025407</v>
      </c>
      <c r="AM4442">
        <v>102.01530210697101</v>
      </c>
      <c r="AN4442">
        <v>0.99999994800737502</v>
      </c>
    </row>
    <row r="4443" spans="1:40" x14ac:dyDescent="0.3">
      <c r="A4443" t="str">
        <f>"20200111160548813"</f>
        <v>20200111160548813</v>
      </c>
      <c r="B4443" t="str">
        <f>"1578729948805876"</f>
        <v>1578729948805876</v>
      </c>
      <c r="C4443" t="s">
        <v>40</v>
      </c>
      <c r="D4443">
        <v>5.719004</v>
      </c>
      <c r="E4443">
        <v>0.29519010000000001</v>
      </c>
      <c r="F4443" t="s">
        <v>75</v>
      </c>
      <c r="G4443">
        <v>-419.6909</v>
      </c>
      <c r="H4443" s="1">
        <v>-3.9601389999999996E-6</v>
      </c>
      <c r="I4443">
        <v>126.1207</v>
      </c>
      <c r="J4443">
        <v>-414.05430000000001</v>
      </c>
      <c r="K4443">
        <v>1.113747</v>
      </c>
      <c r="L4443">
        <v>137.40899999999999</v>
      </c>
      <c r="M4443">
        <v>-0.92353799999999997</v>
      </c>
      <c r="N4443">
        <v>0</v>
      </c>
      <c r="O4443">
        <v>-0.38326379999999999</v>
      </c>
      <c r="P4443">
        <v>-0.81938199999999894</v>
      </c>
      <c r="Q4443">
        <v>-4.6060120000000003E-2</v>
      </c>
      <c r="R4443">
        <v>-0.57139459999999997</v>
      </c>
      <c r="S4443">
        <v>-1.5482479999999901</v>
      </c>
      <c r="T4443">
        <v>-0.29808580000000001</v>
      </c>
      <c r="U4443">
        <v>-3.0397949999999998</v>
      </c>
      <c r="V4443">
        <v>-0.21343200000000001</v>
      </c>
      <c r="W4443">
        <v>-3.4343209999999999E-2</v>
      </c>
      <c r="X4443">
        <v>0.9763541</v>
      </c>
      <c r="Y4443">
        <v>-0.64812320000000001</v>
      </c>
      <c r="Z4443">
        <v>3.7917250000000001E-3</v>
      </c>
      <c r="AA4443">
        <v>0.76152600000000004</v>
      </c>
      <c r="AB4443">
        <v>16</v>
      </c>
      <c r="AC4443">
        <v>-5.6365999999999801</v>
      </c>
      <c r="AD4443">
        <v>-1.1137509601389901</v>
      </c>
      <c r="AE4443">
        <v>-11.2882999999999</v>
      </c>
      <c r="AF4443">
        <v>-8.2017329670261194</v>
      </c>
      <c r="AG4443">
        <v>-1.1137509601389901</v>
      </c>
      <c r="AH4443">
        <v>9.4591948967867197</v>
      </c>
      <c r="AI4443">
        <v>95.083612505994495</v>
      </c>
      <c r="AJ4443">
        <v>130.92740065316801</v>
      </c>
      <c r="AK4443">
        <v>12.569217674899599</v>
      </c>
      <c r="AL4443">
        <v>91.968107996887497</v>
      </c>
      <c r="AM4443">
        <v>102.330940784467</v>
      </c>
      <c r="AN4443">
        <v>1.0000000016419499</v>
      </c>
    </row>
    <row r="4444" spans="1:40" x14ac:dyDescent="0.3">
      <c r="A4444" t="str">
        <f>"20200111160548858"</f>
        <v>20200111160548858</v>
      </c>
      <c r="B4444" t="str">
        <f>"1578729948845966"</f>
        <v>1578729948845966</v>
      </c>
      <c r="C4444" t="s">
        <v>40</v>
      </c>
      <c r="D4444">
        <v>5.6169269999999996</v>
      </c>
      <c r="E4444">
        <v>0.26207599999999998</v>
      </c>
      <c r="F4444" t="s">
        <v>75</v>
      </c>
      <c r="G4444">
        <v>-419.74360000000001</v>
      </c>
      <c r="H4444" s="1">
        <v>-3.8696129999999999E-6</v>
      </c>
      <c r="I4444">
        <v>125.949</v>
      </c>
      <c r="J4444">
        <v>-414.34089999999998</v>
      </c>
      <c r="K4444">
        <v>1.1137680000000001</v>
      </c>
      <c r="L4444">
        <v>137.2714</v>
      </c>
      <c r="M4444">
        <v>-0.91827749999999997</v>
      </c>
      <c r="N4444">
        <v>0</v>
      </c>
      <c r="O4444">
        <v>-0.395702</v>
      </c>
      <c r="P4444">
        <v>-0.80524130000000005</v>
      </c>
      <c r="Q4444">
        <v>-3.6452999999999999E-2</v>
      </c>
      <c r="R4444">
        <v>-0.59182609999999902</v>
      </c>
      <c r="S4444">
        <v>-1.515625</v>
      </c>
      <c r="T4444">
        <v>-0.29670619999999998</v>
      </c>
      <c r="U4444">
        <v>-3.0529790000000001</v>
      </c>
      <c r="V4444">
        <v>-0.2246657</v>
      </c>
      <c r="W4444">
        <v>-2.483428E-2</v>
      </c>
      <c r="X4444">
        <v>0.97411939999999997</v>
      </c>
      <c r="Y4444">
        <v>-0.64572339999999995</v>
      </c>
      <c r="Z4444">
        <v>5.1688530000000002E-3</v>
      </c>
      <c r="AA4444">
        <v>0.76355390000000001</v>
      </c>
      <c r="AB4444">
        <v>16</v>
      </c>
      <c r="AC4444">
        <v>-5.4027000000000296</v>
      </c>
      <c r="AD4444">
        <v>-1.1137718696129999</v>
      </c>
      <c r="AE4444">
        <v>-11.3224</v>
      </c>
      <c r="AF4444">
        <v>-8.1954208243803297</v>
      </c>
      <c r="AG4444">
        <v>-1.1137718696129999</v>
      </c>
      <c r="AH4444">
        <v>9.3685130984466607</v>
      </c>
      <c r="AI4444">
        <v>95.113173154178497</v>
      </c>
      <c r="AJ4444">
        <v>131.17889934076501</v>
      </c>
      <c r="AK4444">
        <v>12.496977552272099</v>
      </c>
      <c r="AL4444">
        <v>91.423045715183207</v>
      </c>
      <c r="AM4444">
        <v>102.987296276344</v>
      </c>
      <c r="AN4444">
        <v>1.0000000118379799</v>
      </c>
    </row>
    <row r="4445" spans="1:40" x14ac:dyDescent="0.3">
      <c r="A4445" t="str">
        <f>"20200111160548880"</f>
        <v>20200111160548880</v>
      </c>
      <c r="B4445" t="str">
        <f>"1578729948876222"</f>
        <v>1578729948876222</v>
      </c>
      <c r="C4445" t="s">
        <v>40</v>
      </c>
      <c r="D4445">
        <v>5.504569</v>
      </c>
      <c r="E4445">
        <v>0.25755679999999997</v>
      </c>
      <c r="F4445" t="s">
        <v>41</v>
      </c>
      <c r="G4445">
        <v>-425.8252</v>
      </c>
      <c r="H4445" s="1">
        <v>-5.0995619999999996E-6</v>
      </c>
      <c r="I4445">
        <v>107.8749</v>
      </c>
      <c r="J4445">
        <v>-414.48090000000002</v>
      </c>
      <c r="K4445">
        <v>1.1137840000000001</v>
      </c>
      <c r="L4445">
        <v>137.20240000000001</v>
      </c>
      <c r="M4445">
        <v>-0.91561230000000005</v>
      </c>
      <c r="N4445">
        <v>0</v>
      </c>
      <c r="O4445">
        <v>-0.40183029999999997</v>
      </c>
      <c r="P4445">
        <v>-0.79779149999999999</v>
      </c>
      <c r="Q4445">
        <v>-3.256067E-2</v>
      </c>
      <c r="R4445">
        <v>-0.60205359999999997</v>
      </c>
      <c r="S4445">
        <v>-1.2910459999999999</v>
      </c>
      <c r="T4445">
        <v>-0.1252085</v>
      </c>
      <c r="U4445">
        <v>-3.3047029999999999</v>
      </c>
      <c r="V4445">
        <v>-0.23054189999999999</v>
      </c>
      <c r="W4445">
        <v>-2.0996580000000001E-2</v>
      </c>
      <c r="X4445">
        <v>0.97283580000000003</v>
      </c>
      <c r="Y4445">
        <v>-0.70651489999999995</v>
      </c>
      <c r="Z4445">
        <v>8.1224740000000002E-4</v>
      </c>
      <c r="AA4445">
        <v>0.70769780000000004</v>
      </c>
      <c r="AB4445">
        <v>16</v>
      </c>
      <c r="AC4445">
        <v>-11.344299999999899</v>
      </c>
      <c r="AD4445">
        <v>-1.1137890995619999</v>
      </c>
      <c r="AE4445">
        <v>-29.327500000000001</v>
      </c>
      <c r="AF4445">
        <v>-22.268278356582901</v>
      </c>
      <c r="AG4445">
        <v>-1.1137890995619999</v>
      </c>
      <c r="AH4445">
        <v>22.1459428945615</v>
      </c>
      <c r="AI4445">
        <v>92.031116891582599</v>
      </c>
      <c r="AJ4445">
        <v>135.157816297012</v>
      </c>
      <c r="AK4445">
        <v>31.4254599618485</v>
      </c>
      <c r="AL4445">
        <v>91.203103878046093</v>
      </c>
      <c r="AM4445">
        <v>103.331971578915</v>
      </c>
      <c r="AN4445">
        <v>0.99999995889447202</v>
      </c>
    </row>
    <row r="4446" spans="1:40" x14ac:dyDescent="0.3">
      <c r="A4446" t="str">
        <f>"20200111160548902"</f>
        <v>20200111160548902</v>
      </c>
      <c r="B4446" t="str">
        <f>"1578729948896718"</f>
        <v>1578729948896718</v>
      </c>
      <c r="C4446" t="s">
        <v>40</v>
      </c>
      <c r="D4446">
        <v>5.5023260000000001</v>
      </c>
      <c r="E4446">
        <v>0.25922859999999998</v>
      </c>
      <c r="F4446" t="s">
        <v>41</v>
      </c>
      <c r="G4446">
        <v>-424.22469999999998</v>
      </c>
      <c r="H4446" s="1">
        <v>-1.552431E-6</v>
      </c>
      <c r="I4446">
        <v>110.58759999999999</v>
      </c>
      <c r="J4446">
        <v>-414.62560000000002</v>
      </c>
      <c r="K4446">
        <v>1.1138030000000001</v>
      </c>
      <c r="L4446">
        <v>137.12979999999999</v>
      </c>
      <c r="M4446">
        <v>-0.91278550000000003</v>
      </c>
      <c r="N4446">
        <v>0</v>
      </c>
      <c r="O4446">
        <v>-0.40821089999999999</v>
      </c>
      <c r="P4446">
        <v>-0.79045390000000004</v>
      </c>
      <c r="Q4446">
        <v>-2.9236539999999998E-2</v>
      </c>
      <c r="R4446">
        <v>-0.61182380000000003</v>
      </c>
      <c r="S4446">
        <v>-1.2265010000000001</v>
      </c>
      <c r="T4446">
        <v>-0.14019719999999999</v>
      </c>
      <c r="U4446">
        <v>-3.3501280000000002</v>
      </c>
      <c r="V4446">
        <v>-0.23568790000000001</v>
      </c>
      <c r="W4446">
        <v>-1.7721569999999999E-2</v>
      </c>
      <c r="X4446">
        <v>0.97166719999999895</v>
      </c>
      <c r="Y4446">
        <v>-0.71666169999999996</v>
      </c>
      <c r="Z4446">
        <v>8.9683660000000002E-4</v>
      </c>
      <c r="AA4446">
        <v>0.69742040000000005</v>
      </c>
      <c r="AB4446">
        <v>16</v>
      </c>
      <c r="AC4446">
        <v>-9.5990999999999609</v>
      </c>
      <c r="AD4446">
        <v>-1.1138045524310001</v>
      </c>
      <c r="AE4446">
        <v>-26.542199999999902</v>
      </c>
      <c r="AF4446">
        <v>-20.279192090659802</v>
      </c>
      <c r="AG4446">
        <v>-1.1138045524310001</v>
      </c>
      <c r="AH4446">
        <v>19.5680896422827</v>
      </c>
      <c r="AI4446">
        <v>92.263355582845804</v>
      </c>
      <c r="AJ4446">
        <v>136.022374500962</v>
      </c>
      <c r="AK4446">
        <v>28.202771577972701</v>
      </c>
      <c r="AL4446">
        <v>91.015424327953298</v>
      </c>
      <c r="AM4446">
        <v>103.634358140581</v>
      </c>
      <c r="AN4446">
        <v>0.99999999390275696</v>
      </c>
    </row>
    <row r="4447" spans="1:40" x14ac:dyDescent="0.3">
      <c r="A4447" t="str">
        <f>"20200111160548925"</f>
        <v>20200111160548925</v>
      </c>
      <c r="B4447" t="str">
        <f>"1578729948916238"</f>
        <v>1578729948916238</v>
      </c>
      <c r="C4447" t="s">
        <v>40</v>
      </c>
      <c r="D4447">
        <v>5.1056800000000004</v>
      </c>
      <c r="E4447">
        <v>0.26002819999999999</v>
      </c>
      <c r="F4447" t="s">
        <v>41</v>
      </c>
      <c r="G4447">
        <v>-425.38389999999998</v>
      </c>
      <c r="H4447" s="1">
        <v>-4.6522899999999996E-6</v>
      </c>
      <c r="I4447">
        <v>106.914</v>
      </c>
      <c r="J4447">
        <v>-414.76479999999998</v>
      </c>
      <c r="K4447">
        <v>1.1138189999999999</v>
      </c>
      <c r="L4447">
        <v>137.05869999999999</v>
      </c>
      <c r="M4447">
        <v>-0.90999719999999995</v>
      </c>
      <c r="N4447">
        <v>0</v>
      </c>
      <c r="O4447">
        <v>-0.41438950000000002</v>
      </c>
      <c r="P4447">
        <v>-0.78350450000000005</v>
      </c>
      <c r="Q4447">
        <v>-2.5960150000000001E-2</v>
      </c>
      <c r="R4447">
        <v>-0.62084379999999995</v>
      </c>
      <c r="S4447">
        <v>-1.1943360000000001</v>
      </c>
      <c r="T4447">
        <v>-0.1236506</v>
      </c>
      <c r="U4447">
        <v>-3.3544309999999999</v>
      </c>
      <c r="V4447">
        <v>-0.24021120000000001</v>
      </c>
      <c r="W4447">
        <v>-1.449115E-2</v>
      </c>
      <c r="X4447">
        <v>0.97061249999999999</v>
      </c>
      <c r="Y4447">
        <v>-0.71818700000000002</v>
      </c>
      <c r="Z4447">
        <v>1.007197E-3</v>
      </c>
      <c r="AA4447">
        <v>0.69584939999999995</v>
      </c>
      <c r="AB4447">
        <v>16</v>
      </c>
      <c r="AC4447">
        <v>-10.6191</v>
      </c>
      <c r="AD4447">
        <v>-1.11382365229</v>
      </c>
      <c r="AE4447">
        <v>-30.144699999999901</v>
      </c>
      <c r="AF4447">
        <v>-23.0053556201525</v>
      </c>
      <c r="AG4447">
        <v>-1.11382365229</v>
      </c>
      <c r="AH4447">
        <v>22.130186225410402</v>
      </c>
      <c r="AI4447">
        <v>91.998377935313698</v>
      </c>
      <c r="AJ4447">
        <v>136.110814847532</v>
      </c>
      <c r="AK4447">
        <v>31.941072817133598</v>
      </c>
      <c r="AL4447">
        <v>90.830310780717596</v>
      </c>
      <c r="AM4447">
        <v>103.900494515679</v>
      </c>
      <c r="AN4447">
        <v>1.0000000195950001</v>
      </c>
    </row>
    <row r="4448" spans="1:40" x14ac:dyDescent="0.3">
      <c r="A4448" t="str">
        <f>"20200111160549014"</f>
        <v>20200111160549014</v>
      </c>
      <c r="B4448" t="str">
        <f>"1578729949005837"</f>
        <v>1578729949005837</v>
      </c>
      <c r="C4448" t="s">
        <v>40</v>
      </c>
      <c r="D4448">
        <v>5.3673299999999999</v>
      </c>
      <c r="E4448">
        <v>0.26141130000000001</v>
      </c>
      <c r="F4448" t="s">
        <v>41</v>
      </c>
      <c r="G4448">
        <v>-423.49900000000002</v>
      </c>
      <c r="H4448" s="1">
        <v>-1.8375580000000001E-6</v>
      </c>
      <c r="I4448">
        <v>111.7024</v>
      </c>
      <c r="J4448">
        <v>-415.32619999999997</v>
      </c>
      <c r="K4448">
        <v>1.11385</v>
      </c>
      <c r="L4448">
        <v>136.75880000000001</v>
      </c>
      <c r="M4448">
        <v>-0.89800949999999902</v>
      </c>
      <c r="N4448">
        <v>0</v>
      </c>
      <c r="O4448">
        <v>-0.4397643</v>
      </c>
      <c r="P4448">
        <v>-0.75862799999999997</v>
      </c>
      <c r="Q4448">
        <v>-1.438701E-2</v>
      </c>
      <c r="R4448">
        <v>-0.65136499999999997</v>
      </c>
      <c r="S4448">
        <v>-1.1586609999999999</v>
      </c>
      <c r="T4448">
        <v>-0.1477581</v>
      </c>
      <c r="U4448">
        <v>-3.3637389999999998</v>
      </c>
      <c r="V4448">
        <v>-0.25132159999999998</v>
      </c>
      <c r="W4448">
        <v>-3.0737410000000001E-3</v>
      </c>
      <c r="X4448">
        <v>0.9678987</v>
      </c>
      <c r="Y4448">
        <v>-0.70568599999999904</v>
      </c>
      <c r="Z4448">
        <v>2.8586729999999999E-3</v>
      </c>
      <c r="AA4448">
        <v>0.70851889999999995</v>
      </c>
      <c r="AB4448">
        <v>16</v>
      </c>
      <c r="AC4448">
        <v>-8.1728000000000502</v>
      </c>
      <c r="AD4448">
        <v>-1.113851837558</v>
      </c>
      <c r="AE4448">
        <v>-25.0564</v>
      </c>
      <c r="AF4448">
        <v>-18.874828386558899</v>
      </c>
      <c r="AG4448">
        <v>-1.113851837558</v>
      </c>
      <c r="AH4448">
        <v>18.3271381960638</v>
      </c>
      <c r="AI4448">
        <v>92.424335990328402</v>
      </c>
      <c r="AJ4448">
        <v>135.84345190465601</v>
      </c>
      <c r="AK4448">
        <v>26.3321819641993</v>
      </c>
      <c r="AL4448">
        <v>90.176112673797206</v>
      </c>
      <c r="AM4448">
        <v>104.555802559546</v>
      </c>
      <c r="AN4448">
        <v>0.99999994398599001</v>
      </c>
    </row>
    <row r="4449" spans="1:40" x14ac:dyDescent="0.3">
      <c r="A4449" t="str">
        <f>"20200111160549394"</f>
        <v>20200111160549394</v>
      </c>
      <c r="B4449" t="str">
        <f>"1578729949377032"</f>
        <v>1578729949377032</v>
      </c>
      <c r="C4449" t="s">
        <v>40</v>
      </c>
      <c r="D4449">
        <v>5.239547</v>
      </c>
      <c r="E4449">
        <v>0.26370559999999998</v>
      </c>
      <c r="F4449" t="s">
        <v>41</v>
      </c>
      <c r="G4449">
        <v>-424.38909999999998</v>
      </c>
      <c r="H4449" s="1">
        <v>-4.4753979999999999E-6</v>
      </c>
      <c r="I4449">
        <v>106.91289999999999</v>
      </c>
      <c r="J4449">
        <v>-417.75700000000001</v>
      </c>
      <c r="K4449">
        <v>1.113615</v>
      </c>
      <c r="L4449">
        <v>135.19450000000001</v>
      </c>
      <c r="M4449">
        <v>-0.83068489999999995</v>
      </c>
      <c r="N4449">
        <v>0</v>
      </c>
      <c r="O4449">
        <v>-0.5567337</v>
      </c>
      <c r="P4449">
        <v>-0.65104960000000001</v>
      </c>
      <c r="Q4449">
        <v>-2.4729279999999999E-2</v>
      </c>
      <c r="R4449">
        <v>-0.75863239999999998</v>
      </c>
      <c r="S4449">
        <v>-1.032532</v>
      </c>
      <c r="T4449">
        <v>-0.1269016</v>
      </c>
      <c r="U4449">
        <v>-3.4003450000000002</v>
      </c>
      <c r="V4449">
        <v>-0.2674802</v>
      </c>
      <c r="W4449">
        <v>-2.4460829999999999E-2</v>
      </c>
      <c r="X4449">
        <v>0.96325280000000002</v>
      </c>
      <c r="Y4449">
        <v>-0.63301830000000003</v>
      </c>
      <c r="Z4449">
        <v>9.2932640000000007E-3</v>
      </c>
      <c r="AA4449">
        <v>0.77408109999999997</v>
      </c>
      <c r="AB4449">
        <v>19</v>
      </c>
      <c r="AC4449">
        <v>-6.6321000000000296</v>
      </c>
      <c r="AD4449">
        <v>-1.113619475398</v>
      </c>
      <c r="AE4449">
        <v>-28.281600000000001</v>
      </c>
      <c r="AF4449">
        <v>-19.771827465686599</v>
      </c>
      <c r="AG4449">
        <v>-1.113619475398</v>
      </c>
      <c r="AH4449">
        <v>21.223422157103499</v>
      </c>
      <c r="AI4449">
        <v>92.198647376872202</v>
      </c>
      <c r="AJ4449">
        <v>132.972069519765</v>
      </c>
      <c r="AK4449">
        <v>29.027555145542301</v>
      </c>
      <c r="AL4449">
        <v>91.401642158331796</v>
      </c>
      <c r="AM4449">
        <v>105.519139786511</v>
      </c>
      <c r="AN4449">
        <v>0.999999973152084</v>
      </c>
    </row>
    <row r="4450" spans="1:40" x14ac:dyDescent="0.3">
      <c r="A4450" t="str">
        <f>"20200111160549806"</f>
        <v>20200111160549806</v>
      </c>
      <c r="B4450" t="str">
        <f>"1578729949796243"</f>
        <v>1578729949796243</v>
      </c>
      <c r="C4450" t="s">
        <v>40</v>
      </c>
      <c r="D4450">
        <v>5.3521879999999999</v>
      </c>
      <c r="E4450">
        <v>0.30247889999999999</v>
      </c>
      <c r="F4450" t="s">
        <v>41</v>
      </c>
      <c r="G4450">
        <v>-420.65550000000002</v>
      </c>
      <c r="H4450" s="1">
        <v>-2.7507589999999999E-6</v>
      </c>
      <c r="I4450">
        <v>115.5946</v>
      </c>
      <c r="J4450">
        <v>-420.5829</v>
      </c>
      <c r="K4450">
        <v>1.1175200000000001</v>
      </c>
      <c r="L4450">
        <v>132.61369999999999</v>
      </c>
      <c r="M4450">
        <v>-0.69799169999999999</v>
      </c>
      <c r="N4450">
        <v>0</v>
      </c>
      <c r="O4450">
        <v>-0.71610490000000004</v>
      </c>
      <c r="P4450">
        <v>-0.47489490000000001</v>
      </c>
      <c r="Q4450">
        <v>-1.1814989999999999E-2</v>
      </c>
      <c r="R4450">
        <v>-0.87996350000000001</v>
      </c>
      <c r="S4450">
        <v>-0.51809689999999997</v>
      </c>
      <c r="T4450">
        <v>-0.19904939999999999</v>
      </c>
      <c r="U4450">
        <v>-3.5033110000000001</v>
      </c>
      <c r="V4450">
        <v>-0.27384930000000002</v>
      </c>
      <c r="W4450">
        <v>-1.6391409999999999E-2</v>
      </c>
      <c r="X4450">
        <v>0.96163290000000001</v>
      </c>
      <c r="Y4450">
        <v>-0.58566560000000001</v>
      </c>
      <c r="Z4450">
        <v>2.752541E-2</v>
      </c>
      <c r="AA4450">
        <v>0.81008530000000001</v>
      </c>
      <c r="AB4450">
        <v>23</v>
      </c>
      <c r="AC4450">
        <v>-7.2600000000022605E-2</v>
      </c>
      <c r="AD4450">
        <v>-1.117522750759</v>
      </c>
      <c r="AE4450">
        <v>-17.019099999999899</v>
      </c>
      <c r="AF4450">
        <v>-11.7764348802183</v>
      </c>
      <c r="AG4450">
        <v>-1.117522750759</v>
      </c>
      <c r="AH4450">
        <v>12.1856047853707</v>
      </c>
      <c r="AI4450">
        <v>93.772928240584307</v>
      </c>
      <c r="AJ4450">
        <v>134.021726413458</v>
      </c>
      <c r="AK4450">
        <v>16.9829985447723</v>
      </c>
      <c r="AL4450">
        <v>90.939200696253295</v>
      </c>
      <c r="AM4450">
        <v>105.895644158987</v>
      </c>
      <c r="AN4450">
        <v>0.99999997589734302</v>
      </c>
    </row>
    <row r="4451" spans="1:40" x14ac:dyDescent="0.3">
      <c r="A4451" t="str">
        <f>"20200111160549829"</f>
        <v>20200111160549829</v>
      </c>
      <c r="B4451" t="str">
        <f>"1578729949826499"</f>
        <v>1578729949826499</v>
      </c>
      <c r="C4451" t="s">
        <v>40</v>
      </c>
      <c r="D4451">
        <v>5.2886569999999997</v>
      </c>
      <c r="E4451">
        <v>0.3041065</v>
      </c>
      <c r="F4451" t="s">
        <v>41</v>
      </c>
      <c r="G4451">
        <v>-420.7774</v>
      </c>
      <c r="H4451" s="1">
        <v>-1.3154050000000001E-6</v>
      </c>
      <c r="I4451">
        <v>112.17319999999999</v>
      </c>
      <c r="J4451">
        <v>-420.72949999999997</v>
      </c>
      <c r="K4451">
        <v>1.117756</v>
      </c>
      <c r="L4451">
        <v>132.44200000000001</v>
      </c>
      <c r="M4451">
        <v>-0.68760849999999996</v>
      </c>
      <c r="N4451">
        <v>0</v>
      </c>
      <c r="O4451">
        <v>-0.72608050000000002</v>
      </c>
      <c r="P4451">
        <v>-0.46306720000000001</v>
      </c>
      <c r="Q4451">
        <v>-1.058421E-2</v>
      </c>
      <c r="R4451">
        <v>-0.88626000000000005</v>
      </c>
      <c r="S4451">
        <v>-3.225708E-2</v>
      </c>
      <c r="T4451">
        <v>-0.1853002</v>
      </c>
      <c r="U4451">
        <v>-3.389313</v>
      </c>
      <c r="V4451">
        <v>-0.2729104</v>
      </c>
      <c r="W4451">
        <v>-1.52616E-2</v>
      </c>
      <c r="X4451">
        <v>0.96191839999999995</v>
      </c>
      <c r="Y4451">
        <v>-0.68051219999999901</v>
      </c>
      <c r="Z4451">
        <v>2.4901860000000001E-2</v>
      </c>
      <c r="AA4451">
        <v>0.73231349999999995</v>
      </c>
      <c r="AB4451">
        <v>23</v>
      </c>
      <c r="AC4451">
        <v>-4.79000000000269E-2</v>
      </c>
      <c r="AD4451">
        <v>-1.117757315405</v>
      </c>
      <c r="AE4451">
        <v>-20.268799999999999</v>
      </c>
      <c r="AF4451">
        <v>-13.8600809764351</v>
      </c>
      <c r="AG4451">
        <v>-1.117757315405</v>
      </c>
      <c r="AH4451">
        <v>14.705009110313201</v>
      </c>
      <c r="AI4451">
        <v>93.166046607241896</v>
      </c>
      <c r="AJ4451">
        <v>133.30573946055901</v>
      </c>
      <c r="AK4451">
        <v>20.2382933821969</v>
      </c>
      <c r="AL4451">
        <v>90.874459211981502</v>
      </c>
      <c r="AM4451">
        <v>105.83941938712999</v>
      </c>
      <c r="AN4451">
        <v>1.0000000055606399</v>
      </c>
    </row>
    <row r="4452" spans="1:40" x14ac:dyDescent="0.3">
      <c r="A4452" t="str">
        <f>"20200111160549851"</f>
        <v>20200111160549851</v>
      </c>
      <c r="B4452" t="str">
        <f>"1578729949846019"</f>
        <v>1578729949846019</v>
      </c>
      <c r="C4452" t="s">
        <v>40</v>
      </c>
      <c r="D4452">
        <v>5.2902459999999998</v>
      </c>
      <c r="E4452">
        <v>0.30699650000000001</v>
      </c>
      <c r="F4452" t="s">
        <v>41</v>
      </c>
      <c r="G4452">
        <v>-420.71910000000003</v>
      </c>
      <c r="H4452" s="1">
        <v>-1.6199670000000001E-6</v>
      </c>
      <c r="I4452">
        <v>112.91930000000001</v>
      </c>
      <c r="J4452">
        <v>-420.88080000000002</v>
      </c>
      <c r="K4452">
        <v>1.117988</v>
      </c>
      <c r="L4452">
        <v>132.2593</v>
      </c>
      <c r="M4452">
        <v>-0.67643129999999996</v>
      </c>
      <c r="N4452">
        <v>0</v>
      </c>
      <c r="O4452">
        <v>-0.73650470000000001</v>
      </c>
      <c r="P4452">
        <v>-0.44987159999999898</v>
      </c>
      <c r="Q4452">
        <v>-9.2633200000000002E-3</v>
      </c>
      <c r="R4452">
        <v>-0.89304539999999999</v>
      </c>
      <c r="S4452">
        <v>1.8005370000000001E-3</v>
      </c>
      <c r="T4452">
        <v>-0.19372809999999999</v>
      </c>
      <c r="U4452">
        <v>-3.3836520000000001</v>
      </c>
      <c r="V4452">
        <v>-0.2725069</v>
      </c>
      <c r="W4452">
        <v>-1.404708E-2</v>
      </c>
      <c r="X4452">
        <v>0.96205130000000005</v>
      </c>
      <c r="Y4452">
        <v>-0.67665529999999996</v>
      </c>
      <c r="Z4452">
        <v>2.7039899999999999E-2</v>
      </c>
      <c r="AA4452">
        <v>0.73580330000000005</v>
      </c>
      <c r="AB4452">
        <v>23</v>
      </c>
      <c r="AC4452">
        <v>0.16169999999999601</v>
      </c>
      <c r="AD4452">
        <v>-1.1179896199670001</v>
      </c>
      <c r="AE4452">
        <v>-19.3399999999999</v>
      </c>
      <c r="AF4452">
        <v>-13.157319955258901</v>
      </c>
      <c r="AG4452">
        <v>-1.1179896199670001</v>
      </c>
      <c r="AH4452">
        <v>14.087560139342999</v>
      </c>
      <c r="AI4452">
        <v>93.3193362506331</v>
      </c>
      <c r="AJ4452">
        <v>133.04447151103199</v>
      </c>
      <c r="AK4452">
        <v>19.308659194128801</v>
      </c>
      <c r="AL4452">
        <v>90.8048648553265</v>
      </c>
      <c r="AM4452">
        <v>105.81509760452801</v>
      </c>
      <c r="AN4452">
        <v>1.00000001741791</v>
      </c>
    </row>
    <row r="4453" spans="1:40" x14ac:dyDescent="0.3">
      <c r="A4453" t="str">
        <f>"20200111160549874"</f>
        <v>20200111160549874</v>
      </c>
      <c r="B4453" t="str">
        <f>"1578729949866515"</f>
        <v>1578729949866515</v>
      </c>
      <c r="C4453" t="s">
        <v>40</v>
      </c>
      <c r="D4453">
        <v>5.3205710000000002</v>
      </c>
      <c r="E4453">
        <v>0.30824179999999901</v>
      </c>
      <c r="F4453" t="s">
        <v>41</v>
      </c>
      <c r="G4453">
        <v>-420.7038</v>
      </c>
      <c r="H4453" s="1">
        <v>-1.8333699999999999E-6</v>
      </c>
      <c r="I4453">
        <v>113.42619999999999</v>
      </c>
      <c r="J4453">
        <v>-421.02730000000003</v>
      </c>
      <c r="K4453">
        <v>1.1182190000000001</v>
      </c>
      <c r="L4453">
        <v>132.07679999999999</v>
      </c>
      <c r="M4453">
        <v>-0.66515329999999995</v>
      </c>
      <c r="N4453">
        <v>0</v>
      </c>
      <c r="O4453">
        <v>-0.74670570000000003</v>
      </c>
      <c r="P4453">
        <v>-0.43596629999999997</v>
      </c>
      <c r="Q4453">
        <v>-7.9741900000000008E-3</v>
      </c>
      <c r="R4453">
        <v>-0.8999277</v>
      </c>
      <c r="S4453">
        <v>3.1707760000000001E-2</v>
      </c>
      <c r="T4453">
        <v>-0.20024400000000001</v>
      </c>
      <c r="U4453">
        <v>-3.3731990000000001</v>
      </c>
      <c r="V4453">
        <v>-0.27282919999999999</v>
      </c>
      <c r="W4453">
        <v>-1.2866499999999999E-2</v>
      </c>
      <c r="X4453">
        <v>0.96197650000000001</v>
      </c>
      <c r="Y4453">
        <v>-0.67196489999999998</v>
      </c>
      <c r="Z4453">
        <v>2.9040710000000001E-2</v>
      </c>
      <c r="AA4453">
        <v>0.74001340000000004</v>
      </c>
      <c r="AB4453">
        <v>23</v>
      </c>
      <c r="AC4453">
        <v>0.32350000000002399</v>
      </c>
      <c r="AD4453">
        <v>-1.1182208333699999</v>
      </c>
      <c r="AE4453">
        <v>-18.650600000000001</v>
      </c>
      <c r="AF4453">
        <v>-12.6017913334701</v>
      </c>
      <c r="AG4453">
        <v>-1.1182208333699999</v>
      </c>
      <c r="AH4453">
        <v>13.6622461044006</v>
      </c>
      <c r="AI4453">
        <v>93.442919236469805</v>
      </c>
      <c r="AJ4453">
        <v>132.68784228885099</v>
      </c>
      <c r="AK4453">
        <v>18.6202183462416</v>
      </c>
      <c r="AL4453">
        <v>90.7372164497189</v>
      </c>
      <c r="AM4453">
        <v>105.834034581528</v>
      </c>
      <c r="AN4453">
        <v>1.00000005287356</v>
      </c>
    </row>
    <row r="4454" spans="1:40" x14ac:dyDescent="0.3">
      <c r="A4454" t="str">
        <f>"20200111160549896"</f>
        <v>20200111160549896</v>
      </c>
      <c r="B4454" t="str">
        <f>"1578729949886035"</f>
        <v>1578729949886035</v>
      </c>
      <c r="C4454" t="s">
        <v>40</v>
      </c>
      <c r="D4454">
        <v>5.2916249999999998</v>
      </c>
      <c r="E4454">
        <v>0.30952679999999999</v>
      </c>
      <c r="F4454" t="s">
        <v>41</v>
      </c>
      <c r="G4454">
        <v>-420.62959999999998</v>
      </c>
      <c r="H4454" s="1">
        <v>-2.1910069999999998E-6</v>
      </c>
      <c r="I4454">
        <v>114.30589999999999</v>
      </c>
      <c r="J4454">
        <v>-421.16660000000002</v>
      </c>
      <c r="K4454">
        <v>1.1184339999999999</v>
      </c>
      <c r="L4454">
        <v>131.89769999999999</v>
      </c>
      <c r="M4454">
        <v>-0.65399319999999905</v>
      </c>
      <c r="N4454">
        <v>0</v>
      </c>
      <c r="O4454">
        <v>-0.75649889999999997</v>
      </c>
      <c r="P4454">
        <v>-0.42190250000000001</v>
      </c>
      <c r="Q4454">
        <v>-7.1103679999999997E-3</v>
      </c>
      <c r="R4454">
        <v>-0.90661329999999996</v>
      </c>
      <c r="S4454">
        <v>7.5378420000000002E-2</v>
      </c>
      <c r="T4454">
        <v>-0.21194250000000001</v>
      </c>
      <c r="U4454">
        <v>-3.3682099999999999</v>
      </c>
      <c r="V4454">
        <v>-0.27354319999999999</v>
      </c>
      <c r="W4454">
        <v>-1.2102679999999999E-2</v>
      </c>
      <c r="X4454">
        <v>0.96178359999999996</v>
      </c>
      <c r="Y4454">
        <v>-0.67055339999999997</v>
      </c>
      <c r="Z4454">
        <v>3.1701069999999998E-2</v>
      </c>
      <c r="AA4454">
        <v>0.74118359999999905</v>
      </c>
      <c r="AB4454">
        <v>24</v>
      </c>
      <c r="AC4454">
        <v>0.53700000000003401</v>
      </c>
      <c r="AD4454">
        <v>-1.118436191007</v>
      </c>
      <c r="AE4454">
        <v>-17.5917999999999</v>
      </c>
      <c r="AF4454">
        <v>-11.8632639486062</v>
      </c>
      <c r="AG4454">
        <v>-1.118436191007</v>
      </c>
      <c r="AH4454">
        <v>12.904884307571001</v>
      </c>
      <c r="AI4454">
        <v>93.650760120529199</v>
      </c>
      <c r="AJ4454">
        <v>132.59185453427699</v>
      </c>
      <c r="AK4454">
        <v>17.564850412669202</v>
      </c>
      <c r="AL4454">
        <v>90.693449396856593</v>
      </c>
      <c r="AM4454">
        <v>105.876410274679</v>
      </c>
      <c r="AN4454">
        <v>1.0000000251791901</v>
      </c>
    </row>
    <row r="4455" spans="1:40" x14ac:dyDescent="0.3">
      <c r="A4455" t="str">
        <f>"20200111160549919"</f>
        <v>20200111160549919</v>
      </c>
      <c r="B4455" t="str">
        <f>"1578729949916291"</f>
        <v>1578729949916291</v>
      </c>
      <c r="C4455" t="s">
        <v>40</v>
      </c>
      <c r="D4455">
        <v>5.327407</v>
      </c>
      <c r="E4455">
        <v>0.31166280000000002</v>
      </c>
      <c r="F4455" t="s">
        <v>41</v>
      </c>
      <c r="G4455">
        <v>-420.55149999999998</v>
      </c>
      <c r="H4455" s="1">
        <v>-2.1939240000000001E-6</v>
      </c>
      <c r="I4455">
        <v>114.36109999999999</v>
      </c>
      <c r="J4455">
        <v>-421.30720000000002</v>
      </c>
      <c r="K4455">
        <v>1.1186640000000001</v>
      </c>
      <c r="L4455">
        <v>131.71129999999999</v>
      </c>
      <c r="M4455">
        <v>-0.64229230000000004</v>
      </c>
      <c r="N4455">
        <v>0</v>
      </c>
      <c r="O4455">
        <v>-0.76645830000000004</v>
      </c>
      <c r="P4455">
        <v>-0.40737849999999998</v>
      </c>
      <c r="Q4455">
        <v>-6.6440859999999996E-3</v>
      </c>
      <c r="R4455">
        <v>-0.91323540000000003</v>
      </c>
      <c r="S4455">
        <v>0.11791989999999899</v>
      </c>
      <c r="T4455">
        <v>-0.2144325</v>
      </c>
      <c r="U4455">
        <v>-3.3622130000000001</v>
      </c>
      <c r="V4455">
        <v>-0.27412409999999998</v>
      </c>
      <c r="W4455">
        <v>-1.171521E-2</v>
      </c>
      <c r="X4455">
        <v>0.96162300000000001</v>
      </c>
      <c r="Y4455">
        <v>-0.66855229999999999</v>
      </c>
      <c r="Z4455">
        <v>3.3100480000000002E-2</v>
      </c>
      <c r="AA4455">
        <v>0.74292809999999998</v>
      </c>
      <c r="AB4455">
        <v>24</v>
      </c>
      <c r="AC4455">
        <v>0.755700000000047</v>
      </c>
      <c r="AD4455">
        <v>-1.1186661939239999</v>
      </c>
      <c r="AE4455">
        <v>-17.350200000000001</v>
      </c>
      <c r="AF4455">
        <v>-11.674684628982799</v>
      </c>
      <c r="AG4455">
        <v>-1.1186661939239999</v>
      </c>
      <c r="AH4455">
        <v>12.7598951707546</v>
      </c>
      <c r="AI4455">
        <v>93.700844203283694</v>
      </c>
      <c r="AJ4455">
        <v>132.45699944053601</v>
      </c>
      <c r="AK4455">
        <v>17.331029975402</v>
      </c>
      <c r="AL4455">
        <v>90.671247423091501</v>
      </c>
      <c r="AM4455">
        <v>105.91094339412599</v>
      </c>
      <c r="AN4455">
        <v>1.0000000312375701</v>
      </c>
    </row>
    <row r="4456" spans="1:40" x14ac:dyDescent="0.3">
      <c r="A4456" t="str">
        <f>"20200111160549942"</f>
        <v>20200111160549942</v>
      </c>
      <c r="B4456" t="str">
        <f>"1578729949936787"</f>
        <v>1578729949936787</v>
      </c>
      <c r="C4456" t="s">
        <v>40</v>
      </c>
      <c r="D4456">
        <v>5.2956310000000002</v>
      </c>
      <c r="E4456">
        <v>0.31324849999999999</v>
      </c>
      <c r="F4456" t="s">
        <v>41</v>
      </c>
      <c r="G4456">
        <v>-420.4742</v>
      </c>
      <c r="H4456" s="1">
        <v>-1.9302920000000002E-6</v>
      </c>
      <c r="I4456">
        <v>113.7946</v>
      </c>
      <c r="J4456">
        <v>-421.45600000000002</v>
      </c>
      <c r="K4456">
        <v>1.118919</v>
      </c>
      <c r="L4456">
        <v>131.50739999999999</v>
      </c>
      <c r="M4456">
        <v>-0.62942929999999997</v>
      </c>
      <c r="N4456">
        <v>0</v>
      </c>
      <c r="O4456">
        <v>-0.77705609999999903</v>
      </c>
      <c r="P4456">
        <v>-0.39185150000000002</v>
      </c>
      <c r="Q4456">
        <v>-7.1194580000000004E-3</v>
      </c>
      <c r="R4456">
        <v>-0.92000110000000002</v>
      </c>
      <c r="S4456">
        <v>0.15588379999999999</v>
      </c>
      <c r="T4456">
        <v>-0.2093506</v>
      </c>
      <c r="U4456">
        <v>-3.3529969999999998</v>
      </c>
      <c r="V4456">
        <v>-0.27436860000000002</v>
      </c>
      <c r="W4456">
        <v>-1.223365E-2</v>
      </c>
      <c r="X4456">
        <v>0.96154680000000003</v>
      </c>
      <c r="Y4456">
        <v>-0.66463459999999996</v>
      </c>
      <c r="Z4456">
        <v>3.347638E-2</v>
      </c>
      <c r="AA4456">
        <v>0.74641829999999998</v>
      </c>
      <c r="AB4456">
        <v>24</v>
      </c>
      <c r="AC4456">
        <v>0.98179999999996403</v>
      </c>
      <c r="AD4456">
        <v>-1.118920930292</v>
      </c>
      <c r="AE4456">
        <v>-17.712799999999898</v>
      </c>
      <c r="AF4456">
        <v>-11.8646836328655</v>
      </c>
      <c r="AG4456">
        <v>-1.118920930292</v>
      </c>
      <c r="AH4456">
        <v>13.093792137011301</v>
      </c>
      <c r="AI4456">
        <v>93.623376714012096</v>
      </c>
      <c r="AJ4456">
        <v>132.180681870006</v>
      </c>
      <c r="AK4456">
        <v>17.7050866782259</v>
      </c>
      <c r="AL4456">
        <v>90.700953984340501</v>
      </c>
      <c r="AM4456">
        <v>105.925613508642</v>
      </c>
      <c r="AN4456">
        <v>1.00000001972426</v>
      </c>
    </row>
    <row r="4457" spans="1:40" x14ac:dyDescent="0.3">
      <c r="A4457" t="str">
        <f>"20200111160549985"</f>
        <v>20200111160549985</v>
      </c>
      <c r="B4457" t="str">
        <f>"1578729949976803"</f>
        <v>1578729949976803</v>
      </c>
      <c r="C4457" t="s">
        <v>40</v>
      </c>
      <c r="D4457">
        <v>5.4510249999999996</v>
      </c>
      <c r="E4457">
        <v>0.31468859999999999</v>
      </c>
      <c r="F4457" t="s">
        <v>41</v>
      </c>
      <c r="G4457">
        <v>-420.39150000000001</v>
      </c>
      <c r="H4457" s="1">
        <v>-1.9355259999999998E-6</v>
      </c>
      <c r="I4457">
        <v>113.858</v>
      </c>
      <c r="J4457">
        <v>-421.72129999999999</v>
      </c>
      <c r="K4457">
        <v>1.1194090000000001</v>
      </c>
      <c r="L4457">
        <v>131.12370000000001</v>
      </c>
      <c r="M4457">
        <v>-0.6051919</v>
      </c>
      <c r="N4457">
        <v>0</v>
      </c>
      <c r="O4457">
        <v>-0.79607709999999998</v>
      </c>
      <c r="P4457">
        <v>-0.36380879999999999</v>
      </c>
      <c r="Q4457">
        <v>-8.8052129999999992E-3</v>
      </c>
      <c r="R4457">
        <v>-0.93143220000000004</v>
      </c>
      <c r="S4457">
        <v>0.20175170000000001</v>
      </c>
      <c r="T4457">
        <v>-0.2120717</v>
      </c>
      <c r="U4457">
        <v>-3.3451230000000001</v>
      </c>
      <c r="V4457">
        <v>-0.27381230000000001</v>
      </c>
      <c r="W4457">
        <v>-1.381803E-2</v>
      </c>
      <c r="X4457">
        <v>0.96168390000000004</v>
      </c>
      <c r="Y4457">
        <v>-0.651814</v>
      </c>
      <c r="Z4457">
        <v>3.6118909999999997E-2</v>
      </c>
      <c r="AA4457">
        <v>0.75751840000000004</v>
      </c>
      <c r="AB4457">
        <v>25</v>
      </c>
      <c r="AC4457">
        <v>1.3297999999999699</v>
      </c>
      <c r="AD4457">
        <v>-1.119410935526</v>
      </c>
      <c r="AE4457">
        <v>-17.265699999999999</v>
      </c>
      <c r="AF4457">
        <v>-11.459820967096499</v>
      </c>
      <c r="AG4457">
        <v>-1.119410935526</v>
      </c>
      <c r="AH4457">
        <v>12.886222408331401</v>
      </c>
      <c r="AI4457">
        <v>93.714033266868299</v>
      </c>
      <c r="AJ4457">
        <v>131.64695158920699</v>
      </c>
      <c r="AK4457">
        <v>17.2810678315162</v>
      </c>
      <c r="AL4457">
        <v>90.791739982394901</v>
      </c>
      <c r="AM4457">
        <v>105.89280468782501</v>
      </c>
      <c r="AN4457">
        <v>1.0000000185517901</v>
      </c>
    </row>
    <row r="4458" spans="1:40" x14ac:dyDescent="0.3">
      <c r="A4458" t="str">
        <f>"20200111160550009"</f>
        <v>20200111160550009</v>
      </c>
      <c r="B4458" t="str">
        <f>"1578729949996323"</f>
        <v>1578729949996323</v>
      </c>
      <c r="C4458" t="s">
        <v>40</v>
      </c>
      <c r="D4458">
        <v>5.344862</v>
      </c>
      <c r="E4458">
        <v>0.3313392</v>
      </c>
      <c r="F4458" t="s">
        <v>41</v>
      </c>
      <c r="G4458">
        <v>-420.2131</v>
      </c>
      <c r="H4458" s="1">
        <v>-1.9240970000000001E-6</v>
      </c>
      <c r="I4458">
        <v>113.9421</v>
      </c>
      <c r="J4458">
        <v>-421.85570000000001</v>
      </c>
      <c r="K4458">
        <v>1.1196569999999999</v>
      </c>
      <c r="L4458">
        <v>130.91839999999999</v>
      </c>
      <c r="M4458">
        <v>-0.59222350000000001</v>
      </c>
      <c r="N4458">
        <v>0</v>
      </c>
      <c r="O4458">
        <v>-0.80577049999999995</v>
      </c>
      <c r="P4458">
        <v>-0.3498426</v>
      </c>
      <c r="Q4458">
        <v>-9.225146E-3</v>
      </c>
      <c r="R4458">
        <v>-0.93676329999999997</v>
      </c>
      <c r="S4458">
        <v>0.292572</v>
      </c>
      <c r="T4458">
        <v>-0.21715499999999999</v>
      </c>
      <c r="U4458">
        <v>-3.3330690000000001</v>
      </c>
      <c r="V4458">
        <v>-0.27260679999999998</v>
      </c>
      <c r="W4458">
        <v>-1.407628E-2</v>
      </c>
      <c r="X4458">
        <v>0.9620225</v>
      </c>
      <c r="Y4458">
        <v>-0.66017289999999995</v>
      </c>
      <c r="Z4458">
        <v>3.7736579999999999E-2</v>
      </c>
      <c r="AA4458">
        <v>0.75016510000000003</v>
      </c>
      <c r="AB4458">
        <v>25</v>
      </c>
      <c r="AC4458">
        <v>1.6426000000000101</v>
      </c>
      <c r="AD4458">
        <v>-1.1196589240970001</v>
      </c>
      <c r="AE4458">
        <v>-16.976299999999899</v>
      </c>
      <c r="AF4458">
        <v>-11.3285305690234</v>
      </c>
      <c r="AG4458">
        <v>-1.1196589240970001</v>
      </c>
      <c r="AH4458">
        <v>12.651724578588301</v>
      </c>
      <c r="AI4458">
        <v>93.772083980265805</v>
      </c>
      <c r="AJ4458">
        <v>131.84170873683999</v>
      </c>
      <c r="AK4458">
        <v>17.019264842291602</v>
      </c>
      <c r="AL4458">
        <v>90.806538112040897</v>
      </c>
      <c r="AM4458">
        <v>105.821055087145</v>
      </c>
      <c r="AN4458">
        <v>0.99999994978556295</v>
      </c>
    </row>
    <row r="4459" spans="1:40" x14ac:dyDescent="0.3">
      <c r="A4459" t="str">
        <f>"20200111160550053"</f>
        <v>20200111160550053</v>
      </c>
      <c r="B4459" t="str">
        <f>"1578729950046101"</f>
        <v>1578729950046101</v>
      </c>
      <c r="C4459" t="s">
        <v>40</v>
      </c>
      <c r="D4459">
        <v>5.1769749999999997</v>
      </c>
      <c r="E4459">
        <v>0.3247178</v>
      </c>
      <c r="F4459" t="s">
        <v>41</v>
      </c>
      <c r="G4459">
        <v>-420.95499999999998</v>
      </c>
      <c r="H4459" s="1">
        <v>-3.6391320000000001E-6</v>
      </c>
      <c r="I4459">
        <v>117.47969999999999</v>
      </c>
      <c r="J4459">
        <v>-422.11419999999998</v>
      </c>
      <c r="K4459">
        <v>1.1200920000000001</v>
      </c>
      <c r="L4459">
        <v>130.50139999999999</v>
      </c>
      <c r="M4459">
        <v>-0.56576019999999905</v>
      </c>
      <c r="N4459">
        <v>0</v>
      </c>
      <c r="O4459">
        <v>-0.82456450000000003</v>
      </c>
      <c r="P4459">
        <v>-0.32307239999999998</v>
      </c>
      <c r="Q4459">
        <v>-1.18341E-2</v>
      </c>
      <c r="R4459">
        <v>-0.94630040000000004</v>
      </c>
      <c r="S4459">
        <v>0.21997069999999999</v>
      </c>
      <c r="T4459">
        <v>-0.27343879999999998</v>
      </c>
      <c r="U4459">
        <v>-3.2819370000000001</v>
      </c>
      <c r="V4459">
        <v>-0.26864829999999901</v>
      </c>
      <c r="W4459">
        <v>-1.6165229999999999E-2</v>
      </c>
      <c r="X4459">
        <v>0.96310269999999998</v>
      </c>
      <c r="Y4459">
        <v>-0.61930529999999995</v>
      </c>
      <c r="Z4459">
        <v>5.2070569999999997E-2</v>
      </c>
      <c r="AA4459">
        <v>0.7834217</v>
      </c>
      <c r="AB4459">
        <v>25</v>
      </c>
      <c r="AC4459">
        <v>1.15919999999999</v>
      </c>
      <c r="AD4459">
        <v>-1.1200956391320001</v>
      </c>
      <c r="AE4459">
        <v>-13.0216999999999</v>
      </c>
      <c r="AF4459">
        <v>-8.2623783706920495</v>
      </c>
      <c r="AG4459">
        <v>-1.1200956391320001</v>
      </c>
      <c r="AH4459">
        <v>10.007979444598201</v>
      </c>
      <c r="AI4459">
        <v>94.932846160925294</v>
      </c>
      <c r="AJ4459">
        <v>129.54236731243299</v>
      </c>
      <c r="AK4459">
        <v>13.026172236876899</v>
      </c>
      <c r="AL4459">
        <v>90.926239780872194</v>
      </c>
      <c r="AM4459">
        <v>105.585936682474</v>
      </c>
      <c r="AN4459">
        <v>1.0000000172505601</v>
      </c>
    </row>
    <row r="4460" spans="1:40" x14ac:dyDescent="0.3">
      <c r="A4460" t="str">
        <f>"20200111160550097"</f>
        <v>20200111160550097</v>
      </c>
      <c r="B4460" t="str">
        <f>"1578729950086117"</f>
        <v>1578729950086117</v>
      </c>
      <c r="C4460" t="s">
        <v>40</v>
      </c>
      <c r="D4460">
        <v>5.4989179999999998</v>
      </c>
      <c r="E4460">
        <v>0.342806</v>
      </c>
      <c r="F4460" t="s">
        <v>67</v>
      </c>
      <c r="G4460">
        <v>-412.28960000000001</v>
      </c>
      <c r="H4460" s="1">
        <v>-2.2158029999999999E-6</v>
      </c>
      <c r="I4460">
        <v>39.337699999999998</v>
      </c>
      <c r="J4460">
        <v>-422.35809999999998</v>
      </c>
      <c r="K4460">
        <v>1.120487</v>
      </c>
      <c r="L4460">
        <v>130.0771</v>
      </c>
      <c r="M4460">
        <v>-0.53849950000000002</v>
      </c>
      <c r="N4460">
        <v>0</v>
      </c>
      <c r="O4460">
        <v>-0.84261699999999995</v>
      </c>
      <c r="P4460">
        <v>-0.29805890000000002</v>
      </c>
      <c r="Q4460">
        <v>-1.330662E-2</v>
      </c>
      <c r="R4460">
        <v>-0.95445480000000005</v>
      </c>
      <c r="S4460">
        <v>0.35464479999999998</v>
      </c>
      <c r="T4460">
        <v>-4.0433049999999998E-2</v>
      </c>
      <c r="U4460">
        <v>-3.2908170000000001</v>
      </c>
      <c r="V4460">
        <v>-0.26246069999999999</v>
      </c>
      <c r="W4460">
        <v>-1.6842380000000001E-2</v>
      </c>
      <c r="X4460">
        <v>0.96479559999999998</v>
      </c>
      <c r="Y4460">
        <v>-0.62567989999999996</v>
      </c>
      <c r="Z4460">
        <v>7.9806519999999995E-3</v>
      </c>
      <c r="AA4460">
        <v>0.78003909999999999</v>
      </c>
      <c r="AB4460">
        <v>25</v>
      </c>
      <c r="AC4460">
        <v>10.068499999999901</v>
      </c>
      <c r="AD4460">
        <v>-1.120489215803</v>
      </c>
      <c r="AE4460">
        <v>-90.739400000000003</v>
      </c>
      <c r="AF4460">
        <v>-57.338800560428197</v>
      </c>
      <c r="AG4460">
        <v>-1.120489215803</v>
      </c>
      <c r="AH4460">
        <v>71.026508642654093</v>
      </c>
      <c r="AI4460">
        <v>90.703267849384304</v>
      </c>
      <c r="AJ4460">
        <v>128.91349824046901</v>
      </c>
      <c r="AK4460">
        <v>91.289421488781002</v>
      </c>
      <c r="AL4460">
        <v>90.965042999385005</v>
      </c>
      <c r="AM4460">
        <v>105.218333741297</v>
      </c>
      <c r="AN4460">
        <v>0.99999991729395299</v>
      </c>
    </row>
    <row r="4461" spans="1:40" x14ac:dyDescent="0.3">
      <c r="A4461" t="str">
        <f>"20200111160550121"</f>
        <v>20200111160550121</v>
      </c>
      <c r="B4461" t="str">
        <f>"1578729950116371"</f>
        <v>1578729950116371</v>
      </c>
      <c r="C4461" t="s">
        <v>40</v>
      </c>
      <c r="D4461">
        <v>5.3956799999999996</v>
      </c>
      <c r="E4461">
        <v>0.34680889999999998</v>
      </c>
      <c r="F4461" t="s">
        <v>42</v>
      </c>
      <c r="G4461">
        <v>-422.26650000000001</v>
      </c>
      <c r="H4461">
        <v>1.072316</v>
      </c>
      <c r="I4461">
        <v>129.1123</v>
      </c>
      <c r="J4461">
        <v>-422.47809999999998</v>
      </c>
      <c r="K4461">
        <v>1.1207</v>
      </c>
      <c r="L4461">
        <v>129.8554</v>
      </c>
      <c r="M4461">
        <v>-0.52407340000000002</v>
      </c>
      <c r="N4461">
        <v>0</v>
      </c>
      <c r="O4461">
        <v>-0.85166189999999997</v>
      </c>
      <c r="P4461">
        <v>-0.28472150000000002</v>
      </c>
      <c r="Q4461">
        <v>-1.231077E-2</v>
      </c>
      <c r="R4461">
        <v>-0.95853140000000003</v>
      </c>
      <c r="S4461">
        <v>0.30752560000000001</v>
      </c>
      <c r="T4461">
        <v>-0.16157679999999999</v>
      </c>
      <c r="U4461">
        <v>-3.2369379999999999</v>
      </c>
      <c r="V4461">
        <v>-0.2595288</v>
      </c>
      <c r="W4461">
        <v>-1.534487E-2</v>
      </c>
      <c r="X4461">
        <v>0.96561339999999996</v>
      </c>
      <c r="Y4461">
        <v>-0.60214899999999905</v>
      </c>
      <c r="Z4461">
        <v>3.3564169999999997E-2</v>
      </c>
      <c r="AA4461">
        <v>0.79767790000000005</v>
      </c>
      <c r="AB4461">
        <v>25</v>
      </c>
      <c r="AC4461">
        <v>0.211599999999975</v>
      </c>
      <c r="AD4461">
        <v>-4.8383999999999899E-2</v>
      </c>
      <c r="AE4461">
        <v>-0.74309999999999798</v>
      </c>
      <c r="AF4461">
        <v>-0.56743086999651104</v>
      </c>
      <c r="AG4461">
        <v>-4.8383999999999899E-2</v>
      </c>
      <c r="AH4461">
        <v>0.51994206621454298</v>
      </c>
      <c r="AI4461">
        <v>93.597293958748494</v>
      </c>
      <c r="AJ4461">
        <v>137.50068769333299</v>
      </c>
      <c r="AK4461">
        <v>0.77114107392904796</v>
      </c>
      <c r="AL4461">
        <v>90.879230838546903</v>
      </c>
      <c r="AM4461">
        <v>105.043918522627</v>
      </c>
      <c r="AN4461">
        <v>0.99999995066215697</v>
      </c>
    </row>
    <row r="4462" spans="1:40" x14ac:dyDescent="0.3">
      <c r="A4462" t="str">
        <f>"20200111160550143"</f>
        <v>20200111160550143</v>
      </c>
      <c r="B4462" t="str">
        <f>"1578729950136867"</f>
        <v>1578729950136867</v>
      </c>
      <c r="C4462" t="s">
        <v>40</v>
      </c>
      <c r="D4462">
        <v>5.4275010000000004</v>
      </c>
      <c r="E4462">
        <v>0.3487595</v>
      </c>
      <c r="F4462" t="s">
        <v>42</v>
      </c>
      <c r="G4462">
        <v>-422.3854</v>
      </c>
      <c r="H4462">
        <v>1.075099</v>
      </c>
      <c r="I4462">
        <v>128.92830000000001</v>
      </c>
      <c r="J4462">
        <v>-422.59530000000001</v>
      </c>
      <c r="K4462">
        <v>1.1209229999999999</v>
      </c>
      <c r="L4462">
        <v>129.62989999999999</v>
      </c>
      <c r="M4462">
        <v>-0.509254599999999</v>
      </c>
      <c r="N4462">
        <v>0</v>
      </c>
      <c r="O4462">
        <v>-0.86060149999999902</v>
      </c>
      <c r="P4462">
        <v>-0.27140059999999999</v>
      </c>
      <c r="Q4462">
        <v>-1.07864E-2</v>
      </c>
      <c r="R4462">
        <v>-0.96240610000000004</v>
      </c>
      <c r="S4462">
        <v>0.32192989999999999</v>
      </c>
      <c r="T4462">
        <v>-0.15857850000000001</v>
      </c>
      <c r="U4462">
        <v>-3.223373</v>
      </c>
      <c r="V4462">
        <v>-0.2562739</v>
      </c>
      <c r="W4462">
        <v>-1.321289E-2</v>
      </c>
      <c r="X4462">
        <v>0.96651390000000004</v>
      </c>
      <c r="Y4462">
        <v>-0.59213899999999997</v>
      </c>
      <c r="Z4462">
        <v>3.391752E-2</v>
      </c>
      <c r="AA4462">
        <v>0.8051218</v>
      </c>
      <c r="AB4462">
        <v>25</v>
      </c>
      <c r="AC4462">
        <v>0.209900000000004</v>
      </c>
      <c r="AD4462">
        <v>-4.5823999999999802E-2</v>
      </c>
      <c r="AE4462">
        <v>-0.70159999999998401</v>
      </c>
      <c r="AF4462">
        <v>-0.535841912410156</v>
      </c>
      <c r="AG4462">
        <v>-4.5823999999999802E-2</v>
      </c>
      <c r="AH4462">
        <v>0.49497360943096003</v>
      </c>
      <c r="AI4462">
        <v>93.594498733140199</v>
      </c>
      <c r="AJ4462">
        <v>137.27039223862599</v>
      </c>
      <c r="AK4462">
        <v>0.73090715422992403</v>
      </c>
      <c r="AL4462">
        <v>90.757064857151605</v>
      </c>
      <c r="AM4462">
        <v>104.85040891722301</v>
      </c>
      <c r="AN4462">
        <v>1.0000000055882801</v>
      </c>
    </row>
    <row r="4463" spans="1:40" x14ac:dyDescent="0.3">
      <c r="A4463" t="str">
        <f>"20200111160550165"</f>
        <v>20200111160550165</v>
      </c>
      <c r="B4463" t="str">
        <f>"1578729950156387"</f>
        <v>1578729950156387</v>
      </c>
      <c r="C4463" t="s">
        <v>40</v>
      </c>
      <c r="D4463">
        <v>5.503908</v>
      </c>
      <c r="E4463">
        <v>0.3507924</v>
      </c>
      <c r="F4463" t="s">
        <v>42</v>
      </c>
      <c r="G4463">
        <v>-422.4982</v>
      </c>
      <c r="H4463">
        <v>1.078627</v>
      </c>
      <c r="I4463">
        <v>128.7406</v>
      </c>
      <c r="J4463">
        <v>-422.7011</v>
      </c>
      <c r="K4463">
        <v>1.1211359999999999</v>
      </c>
      <c r="L4463">
        <v>129.41669999999999</v>
      </c>
      <c r="M4463">
        <v>-0.4950949</v>
      </c>
      <c r="N4463">
        <v>0</v>
      </c>
      <c r="O4463">
        <v>-0.86882029999999999</v>
      </c>
      <c r="P4463">
        <v>-0.25909579999999999</v>
      </c>
      <c r="Q4463">
        <v>-1.0790060000000001E-2</v>
      </c>
      <c r="R4463">
        <v>-0.96579159999999997</v>
      </c>
      <c r="S4463">
        <v>0.35122680000000001</v>
      </c>
      <c r="T4463">
        <v>-0.152869</v>
      </c>
      <c r="U4463">
        <v>-3.2145229999999998</v>
      </c>
      <c r="V4463">
        <v>-0.25280039999999998</v>
      </c>
      <c r="W4463">
        <v>-1.251854E-2</v>
      </c>
      <c r="X4463">
        <v>0.9674374</v>
      </c>
      <c r="Y4463">
        <v>-0.58641909999999997</v>
      </c>
      <c r="Z4463">
        <v>3.3455800000000001E-2</v>
      </c>
      <c r="AA4463">
        <v>0.80931660000000005</v>
      </c>
      <c r="AB4463">
        <v>25</v>
      </c>
      <c r="AC4463">
        <v>0.202899999999999</v>
      </c>
      <c r="AD4463">
        <v>-4.2509000000000102E-2</v>
      </c>
      <c r="AE4463">
        <v>-0.67609999999999004</v>
      </c>
      <c r="AF4463">
        <v>-0.509179018771029</v>
      </c>
      <c r="AG4463">
        <v>-4.2509000000000102E-2</v>
      </c>
      <c r="AH4463">
        <v>0.48520292818021299</v>
      </c>
      <c r="AI4463">
        <v>93.458685808143699</v>
      </c>
      <c r="AJ4463">
        <v>136.381222460483</v>
      </c>
      <c r="AK4463">
        <v>0.70462200487373405</v>
      </c>
      <c r="AL4463">
        <v>90.717278286465998</v>
      </c>
      <c r="AM4463">
        <v>104.644461625481</v>
      </c>
      <c r="AN4463">
        <v>0.99999993950132404</v>
      </c>
    </row>
    <row r="4464" spans="1:40" x14ac:dyDescent="0.3">
      <c r="A4464" t="str">
        <f>"20200111160550298"</f>
        <v>20200111160550298</v>
      </c>
      <c r="B4464" t="str">
        <f>"1578729950296932"</f>
        <v>1578729950296932</v>
      </c>
      <c r="C4464" t="s">
        <v>40</v>
      </c>
      <c r="D4464">
        <v>5.1912929999999999</v>
      </c>
      <c r="E4464">
        <v>0.3507924</v>
      </c>
      <c r="F4464" t="s">
        <v>41</v>
      </c>
      <c r="G4464">
        <v>-419.96519999999998</v>
      </c>
      <c r="H4464" s="1">
        <v>-3.0852320000000002E-6</v>
      </c>
      <c r="I4464">
        <v>106.1379</v>
      </c>
      <c r="J4464">
        <v>-423.27679999999998</v>
      </c>
      <c r="K4464">
        <v>1.1222209999999999</v>
      </c>
      <c r="L4464">
        <v>128.05000000000001</v>
      </c>
      <c r="M4464">
        <v>-0.40071859999999998</v>
      </c>
      <c r="N4464">
        <v>0</v>
      </c>
      <c r="O4464">
        <v>-0.91613440000000002</v>
      </c>
      <c r="P4464">
        <v>-0.18240419999999999</v>
      </c>
      <c r="Q4464">
        <v>-2.5643099999999999E-2</v>
      </c>
      <c r="R4464">
        <v>-0.98288929999999997</v>
      </c>
      <c r="S4464">
        <v>0.3767395</v>
      </c>
      <c r="T4464">
        <v>-0.15438659999999901</v>
      </c>
      <c r="U4464">
        <v>-3.2056119999999999</v>
      </c>
      <c r="V4464">
        <v>-0.22622929999999999</v>
      </c>
      <c r="W4464">
        <v>-2.158032E-2</v>
      </c>
      <c r="X4464">
        <v>0.97383500000000001</v>
      </c>
      <c r="Y4464">
        <v>-0.50481670000000001</v>
      </c>
      <c r="Z4464">
        <v>3.8587499999999997E-2</v>
      </c>
      <c r="AA4464">
        <v>0.86236369999999896</v>
      </c>
      <c r="AB4464">
        <v>25</v>
      </c>
      <c r="AC4464">
        <v>3.3115999999999901</v>
      </c>
      <c r="AD4464">
        <v>-1.122224085232</v>
      </c>
      <c r="AE4464">
        <v>-21.912099999999999</v>
      </c>
      <c r="AF4464">
        <v>-11.7849584479223</v>
      </c>
      <c r="AG4464">
        <v>-1.122224085232</v>
      </c>
      <c r="AH4464">
        <v>18.700600450051802</v>
      </c>
      <c r="AI4464">
        <v>92.906389288876895</v>
      </c>
      <c r="AJ4464">
        <v>122.218779487595</v>
      </c>
      <c r="AK4464">
        <v>22.1327153713504</v>
      </c>
      <c r="AL4464">
        <v>91.236557240346599</v>
      </c>
      <c r="AM4464">
        <v>103.078275560912</v>
      </c>
      <c r="AN4464">
        <v>1.00000000680739</v>
      </c>
    </row>
    <row r="4465" spans="1:40" x14ac:dyDescent="0.3">
      <c r="A4465" t="str">
        <f>"20200111160550322"</f>
        <v>20200111160550322</v>
      </c>
      <c r="B4465" t="str">
        <f>"1578729950316451"</f>
        <v>1578729950316451</v>
      </c>
      <c r="C4465" t="s">
        <v>40</v>
      </c>
      <c r="D4465">
        <v>5.4691679999999998</v>
      </c>
      <c r="E4465">
        <v>0.40450809999999998</v>
      </c>
      <c r="F4465" t="s">
        <v>42</v>
      </c>
      <c r="G4465">
        <v>-423.09550000000002</v>
      </c>
      <c r="H4465">
        <v>1.0673900000000001</v>
      </c>
      <c r="I4465">
        <v>127.137</v>
      </c>
      <c r="J4465">
        <v>-423.36</v>
      </c>
      <c r="K4465">
        <v>1.12229</v>
      </c>
      <c r="L4465">
        <v>127.8112</v>
      </c>
      <c r="M4465">
        <v>-0.38393379999999999</v>
      </c>
      <c r="N4465">
        <v>0</v>
      </c>
      <c r="O4465">
        <v>-0.92328540000000003</v>
      </c>
      <c r="P4465">
        <v>-0.16961499999999999</v>
      </c>
      <c r="Q4465">
        <v>-2.913928E-2</v>
      </c>
      <c r="R4465">
        <v>-0.98507999999999996</v>
      </c>
      <c r="S4465">
        <v>0.62890630000000003</v>
      </c>
      <c r="T4465">
        <v>-0.18996160000000001</v>
      </c>
      <c r="U4465">
        <v>-3.163986</v>
      </c>
      <c r="V4465">
        <v>-0.22099559999999999</v>
      </c>
      <c r="W4465">
        <v>-2.4214900000000001E-2</v>
      </c>
      <c r="X4465">
        <v>0.97497420000000001</v>
      </c>
      <c r="Y4465">
        <v>-0.55631299999999995</v>
      </c>
      <c r="Z4465">
        <v>4.7423239999999998E-2</v>
      </c>
      <c r="AA4465">
        <v>0.82961859999999998</v>
      </c>
      <c r="AB4465">
        <v>25</v>
      </c>
      <c r="AC4465">
        <v>0.26449999999999801</v>
      </c>
      <c r="AD4465">
        <v>-5.48999999999999E-2</v>
      </c>
      <c r="AE4465">
        <v>-0.67419999999999802</v>
      </c>
      <c r="AF4465">
        <v>-0.50021765847291</v>
      </c>
      <c r="AG4465">
        <v>-5.48999999999999E-2</v>
      </c>
      <c r="AH4465">
        <v>0.51798815413911903</v>
      </c>
      <c r="AI4465">
        <v>94.359823624413096</v>
      </c>
      <c r="AJ4465">
        <v>134.00013236063501</v>
      </c>
      <c r="AK4465">
        <v>0.72217964778618104</v>
      </c>
      <c r="AL4465">
        <v>91.387547120114405</v>
      </c>
      <c r="AM4465">
        <v>102.771323500417</v>
      </c>
      <c r="AN4465">
        <v>1.0000000536335001</v>
      </c>
    </row>
    <row r="4466" spans="1:40" x14ac:dyDescent="0.3">
      <c r="A4466" t="str">
        <f>"20200111160550344"</f>
        <v>20200111160550344</v>
      </c>
      <c r="B4466" t="str">
        <f>"1578729950335971"</f>
        <v>1578729950335971</v>
      </c>
      <c r="C4466" t="s">
        <v>40</v>
      </c>
      <c r="D4466">
        <v>5.392055</v>
      </c>
      <c r="E4466">
        <v>0.43322369999999999</v>
      </c>
      <c r="F4466" t="s">
        <v>41</v>
      </c>
      <c r="G4466">
        <v>-422.54770000000002</v>
      </c>
      <c r="H4466" s="1">
        <v>-4.1986300000000003E-6</v>
      </c>
      <c r="I4466">
        <v>117.9967</v>
      </c>
      <c r="J4466">
        <v>-423.43680000000001</v>
      </c>
      <c r="K4466">
        <v>1.1223030000000001</v>
      </c>
      <c r="L4466">
        <v>127.57680000000001</v>
      </c>
      <c r="M4466">
        <v>-0.36748720000000001</v>
      </c>
      <c r="N4466">
        <v>0</v>
      </c>
      <c r="O4466">
        <v>-0.92994560000000004</v>
      </c>
      <c r="P4466">
        <v>-0.15717809999999999</v>
      </c>
      <c r="Q4466">
        <v>-3.1217080000000001E-2</v>
      </c>
      <c r="R4466">
        <v>-0.98707679999999998</v>
      </c>
      <c r="S4466">
        <v>0.25482179999999999</v>
      </c>
      <c r="T4466">
        <v>-0.352072099999999</v>
      </c>
      <c r="U4466">
        <v>-3.0788880000000001</v>
      </c>
      <c r="V4466">
        <v>-0.21592620000000001</v>
      </c>
      <c r="W4466">
        <v>-2.550856E-2</v>
      </c>
      <c r="X4466">
        <v>0.97607639999999996</v>
      </c>
      <c r="Y4466">
        <v>-0.442442</v>
      </c>
      <c r="Z4466">
        <v>9.5617419999999995E-2</v>
      </c>
      <c r="AA4466">
        <v>0.89168510000000001</v>
      </c>
      <c r="AB4466">
        <v>25</v>
      </c>
      <c r="AC4466">
        <v>0.88909999999998401</v>
      </c>
      <c r="AD4466">
        <v>-1.1223071986299999</v>
      </c>
      <c r="AE4466">
        <v>-9.5800999999999998</v>
      </c>
      <c r="AF4466">
        <v>-4.2893495841108997</v>
      </c>
      <c r="AG4466">
        <v>-1.1223071986299999</v>
      </c>
      <c r="AH4466">
        <v>8.4676825327716898</v>
      </c>
      <c r="AI4466">
        <v>96.743105721865604</v>
      </c>
      <c r="AJ4466">
        <v>116.864736085251</v>
      </c>
      <c r="AK4466">
        <v>9.5582289561725702</v>
      </c>
      <c r="AL4466">
        <v>91.461691413059697</v>
      </c>
      <c r="AM4466">
        <v>102.47399573699499</v>
      </c>
      <c r="AN4466">
        <v>0.999999974558336</v>
      </c>
    </row>
    <row r="4467" spans="1:40" x14ac:dyDescent="0.3">
      <c r="A4467" t="str">
        <f>"20200111160550366"</f>
        <v>20200111160550366</v>
      </c>
      <c r="B4467" t="str">
        <f>"1578729950356467"</f>
        <v>1578729950356467</v>
      </c>
      <c r="C4467" t="s">
        <v>40</v>
      </c>
      <c r="D4467">
        <v>5.3883700000000001</v>
      </c>
      <c r="E4467">
        <v>0.4351332</v>
      </c>
      <c r="F4467" t="s">
        <v>41</v>
      </c>
      <c r="G4467">
        <v>-423.2355</v>
      </c>
      <c r="H4467" s="1">
        <v>-4.5038489999999998E-6</v>
      </c>
      <c r="I4467">
        <v>118.535</v>
      </c>
      <c r="J4467">
        <v>-423.50619999999998</v>
      </c>
      <c r="K4467">
        <v>1.1222570000000001</v>
      </c>
      <c r="L4467">
        <v>127.351</v>
      </c>
      <c r="M4467">
        <v>-0.35170050000000003</v>
      </c>
      <c r="N4467">
        <v>0</v>
      </c>
      <c r="O4467">
        <v>-0.93602320000000006</v>
      </c>
      <c r="P4467">
        <v>-0.1453161</v>
      </c>
      <c r="Q4467">
        <v>-3.2879270000000002E-2</v>
      </c>
      <c r="R4467">
        <v>-0.98883889999999997</v>
      </c>
      <c r="S4467">
        <v>6.7626950000000005E-2</v>
      </c>
      <c r="T4467">
        <v>-0.37710569999999999</v>
      </c>
      <c r="U4467">
        <v>-3.038116</v>
      </c>
      <c r="V4467">
        <v>-0.2110852</v>
      </c>
      <c r="W4467">
        <v>-2.6468519999999999E-2</v>
      </c>
      <c r="X4467">
        <v>0.97710929999999996</v>
      </c>
      <c r="Y4467">
        <v>-0.37223899999999999</v>
      </c>
      <c r="Z4467">
        <v>0.1069456</v>
      </c>
      <c r="AA4467">
        <v>0.92195490000000002</v>
      </c>
      <c r="AB4467">
        <v>25</v>
      </c>
      <c r="AC4467">
        <v>0.27069999999997602</v>
      </c>
      <c r="AD4467">
        <v>-1.122261503849</v>
      </c>
      <c r="AE4467">
        <v>-8.8160000000000007</v>
      </c>
      <c r="AF4467">
        <v>-3.3008149081879199</v>
      </c>
      <c r="AG4467">
        <v>-1.122261503849</v>
      </c>
      <c r="AH4467">
        <v>8.0274958963179603</v>
      </c>
      <c r="AI4467">
        <v>97.367368480670294</v>
      </c>
      <c r="AJ4467">
        <v>112.351906805464</v>
      </c>
      <c r="AK4467">
        <v>8.7518878138684304</v>
      </c>
      <c r="AL4467">
        <v>91.516711520710103</v>
      </c>
      <c r="AM4467">
        <v>102.19029101432101</v>
      </c>
      <c r="AN4467">
        <v>1.00000006417825</v>
      </c>
    </row>
    <row r="4468" spans="1:40" x14ac:dyDescent="0.3">
      <c r="A4468" t="str">
        <f>"20200111160550388"</f>
        <v>20200111160550388</v>
      </c>
      <c r="B4468" t="str">
        <f>"1578729950386724"</f>
        <v>1578729950386724</v>
      </c>
      <c r="C4468" t="s">
        <v>40</v>
      </c>
      <c r="D4468">
        <v>5.3399029999999996</v>
      </c>
      <c r="E4468">
        <v>0.43595080000000003</v>
      </c>
      <c r="F4468" t="s">
        <v>41</v>
      </c>
      <c r="G4468">
        <v>-423.24560000000002</v>
      </c>
      <c r="H4468" s="1">
        <v>-4.4925709999999998E-6</v>
      </c>
      <c r="I4468">
        <v>118.4966</v>
      </c>
      <c r="J4468">
        <v>-423.57400000000001</v>
      </c>
      <c r="K4468">
        <v>1.1221540000000001</v>
      </c>
      <c r="L4468">
        <v>127.11620000000001</v>
      </c>
      <c r="M4468">
        <v>-0.335343</v>
      </c>
      <c r="N4468">
        <v>0</v>
      </c>
      <c r="O4468">
        <v>-0.94200090000000003</v>
      </c>
      <c r="P4468">
        <v>-0.1327895</v>
      </c>
      <c r="Q4468">
        <v>-3.4208849999999999E-2</v>
      </c>
      <c r="R4468">
        <v>-0.99055389999999999</v>
      </c>
      <c r="S4468">
        <v>8.9294429999999994E-2</v>
      </c>
      <c r="T4468">
        <v>-0.38457429999999998</v>
      </c>
      <c r="U4468">
        <v>-3.034195</v>
      </c>
      <c r="V4468">
        <v>-0.2064018</v>
      </c>
      <c r="W4468">
        <v>-2.7132699999999999E-2</v>
      </c>
      <c r="X4468">
        <v>0.97809109999999999</v>
      </c>
      <c r="Y4468">
        <v>-0.36265649999999999</v>
      </c>
      <c r="Z4468">
        <v>0.11052140000000001</v>
      </c>
      <c r="AA4468">
        <v>0.92534609999999995</v>
      </c>
      <c r="AB4468">
        <v>25</v>
      </c>
      <c r="AC4468">
        <v>0.32839999999998698</v>
      </c>
      <c r="AD4468">
        <v>-1.122158492571</v>
      </c>
      <c r="AE4468">
        <v>-8.6196000000000002</v>
      </c>
      <c r="AF4468">
        <v>-3.14690429123003</v>
      </c>
      <c r="AG4468">
        <v>-1.122158492571</v>
      </c>
      <c r="AH4468">
        <v>7.8769528526613302</v>
      </c>
      <c r="AI4468">
        <v>97.536134508222602</v>
      </c>
      <c r="AJ4468">
        <v>111.777095337928</v>
      </c>
      <c r="AK4468">
        <v>8.5562043304061408</v>
      </c>
      <c r="AL4468">
        <v>91.554779936662698</v>
      </c>
      <c r="AM4468">
        <v>101.91602220701</v>
      </c>
      <c r="AN4468">
        <v>1.00000004317586</v>
      </c>
    </row>
    <row r="4469" spans="1:40" x14ac:dyDescent="0.3">
      <c r="A4469" t="str">
        <f>"20200111160550411"</f>
        <v>20200111160550411</v>
      </c>
      <c r="B4469" t="str">
        <f>"1578729950406243"</f>
        <v>1578729950406243</v>
      </c>
      <c r="C4469" t="s">
        <v>40</v>
      </c>
      <c r="D4469">
        <v>5.3956480000000004</v>
      </c>
      <c r="E4469">
        <v>0.43724669999999999</v>
      </c>
      <c r="F4469" t="s">
        <v>41</v>
      </c>
      <c r="G4469">
        <v>-423.22219999999999</v>
      </c>
      <c r="H4469" s="1">
        <v>-4.4361169999999996E-6</v>
      </c>
      <c r="I4469">
        <v>118.3429</v>
      </c>
      <c r="J4469">
        <v>-423.63830000000002</v>
      </c>
      <c r="K4469">
        <v>1.1220129999999999</v>
      </c>
      <c r="L4469">
        <v>126.8783</v>
      </c>
      <c r="M4469">
        <v>-0.3188589</v>
      </c>
      <c r="N4469">
        <v>0</v>
      </c>
      <c r="O4469">
        <v>-0.94770180000000004</v>
      </c>
      <c r="P4469">
        <v>-0.12068</v>
      </c>
      <c r="Q4469">
        <v>-3.619667E-2</v>
      </c>
      <c r="R4469">
        <v>-0.99203180000000002</v>
      </c>
      <c r="S4469">
        <v>0.12155150000000001</v>
      </c>
      <c r="T4469">
        <v>-0.38774730000000002</v>
      </c>
      <c r="U4469">
        <v>-3.0314939999999999</v>
      </c>
      <c r="V4469">
        <v>-0.2012312</v>
      </c>
      <c r="W4469">
        <v>-2.848608E-2</v>
      </c>
      <c r="X4469">
        <v>0.97912949999999999</v>
      </c>
      <c r="Y4469">
        <v>-0.3562495</v>
      </c>
      <c r="Z4469">
        <v>0.112732</v>
      </c>
      <c r="AA4469">
        <v>0.92756550000000004</v>
      </c>
      <c r="AB4469">
        <v>25</v>
      </c>
      <c r="AC4469">
        <v>0.416100000000028</v>
      </c>
      <c r="AD4469">
        <v>-1.1220174361170001</v>
      </c>
      <c r="AE4469">
        <v>-8.5353999999999903</v>
      </c>
      <c r="AF4469">
        <v>-3.0634123006058398</v>
      </c>
      <c r="AG4469">
        <v>-1.1220174361170001</v>
      </c>
      <c r="AH4469">
        <v>7.8222436172002103</v>
      </c>
      <c r="AI4469">
        <v>97.607524594489306</v>
      </c>
      <c r="AJ4469">
        <v>111.386719021947</v>
      </c>
      <c r="AK4469">
        <v>8.4753119858376404</v>
      </c>
      <c r="AL4469">
        <v>91.632352948823694</v>
      </c>
      <c r="AM4469">
        <v>101.613743877671</v>
      </c>
      <c r="AN4469">
        <v>1.0000000151887201</v>
      </c>
    </row>
    <row r="4470" spans="1:40" x14ac:dyDescent="0.3">
      <c r="A4470" t="str">
        <f>"20200111160550433"</f>
        <v>20200111160550433</v>
      </c>
      <c r="B4470" t="str">
        <f>"1578729950426739"</f>
        <v>1578729950426739</v>
      </c>
      <c r="C4470" t="s">
        <v>40</v>
      </c>
      <c r="D4470">
        <v>5.5728400000000002</v>
      </c>
      <c r="E4470">
        <v>0.4381293</v>
      </c>
      <c r="F4470" t="s">
        <v>41</v>
      </c>
      <c r="G4470">
        <v>-423.21429999999998</v>
      </c>
      <c r="H4470" s="1">
        <v>-4.4013999999999999E-6</v>
      </c>
      <c r="I4470">
        <v>118.245</v>
      </c>
      <c r="J4470">
        <v>-423.69839999999999</v>
      </c>
      <c r="K4470">
        <v>1.121845</v>
      </c>
      <c r="L4470">
        <v>126.6404</v>
      </c>
      <c r="M4470">
        <v>-0.3025195</v>
      </c>
      <c r="N4470">
        <v>0</v>
      </c>
      <c r="O4470">
        <v>-0.95303819999999995</v>
      </c>
      <c r="P4470">
        <v>-0.1075893</v>
      </c>
      <c r="Q4470">
        <v>-3.7094450000000001E-2</v>
      </c>
      <c r="R4470">
        <v>-0.99350329999999998</v>
      </c>
      <c r="S4470">
        <v>0.1486816</v>
      </c>
      <c r="T4470">
        <v>-0.39351150000000001</v>
      </c>
      <c r="U4470">
        <v>-3.0278320000000001</v>
      </c>
      <c r="V4470">
        <v>-0.1972978</v>
      </c>
      <c r="W4470">
        <v>-2.8838079999999999E-2</v>
      </c>
      <c r="X4470">
        <v>0.9799194</v>
      </c>
      <c r="Y4470">
        <v>-0.3485067</v>
      </c>
      <c r="Z4470">
        <v>0.1157102</v>
      </c>
      <c r="AA4470">
        <v>0.93013670000000004</v>
      </c>
      <c r="AB4470">
        <v>25</v>
      </c>
      <c r="AC4470">
        <v>0.48410000000001202</v>
      </c>
      <c r="AD4470">
        <v>-1.1218494014</v>
      </c>
      <c r="AE4470">
        <v>-8.3953999999999898</v>
      </c>
      <c r="AF4470">
        <v>-2.9489560551212399</v>
      </c>
      <c r="AG4470">
        <v>-1.1218494014</v>
      </c>
      <c r="AH4470">
        <v>7.7181147282280502</v>
      </c>
      <c r="AI4470">
        <v>97.732293274478096</v>
      </c>
      <c r="AJ4470">
        <v>110.910978408933</v>
      </c>
      <c r="AK4470">
        <v>8.3381162652333298</v>
      </c>
      <c r="AL4470">
        <v>91.652529305324407</v>
      </c>
      <c r="AM4470">
        <v>101.38378334978</v>
      </c>
      <c r="AN4470">
        <v>1.0000000436196399</v>
      </c>
    </row>
    <row r="4471" spans="1:40" x14ac:dyDescent="0.3">
      <c r="A4471" t="str">
        <f>"20200111160550455"</f>
        <v>20200111160550455</v>
      </c>
      <c r="B4471" t="str">
        <f>"1578729950446259"</f>
        <v>1578729950446259</v>
      </c>
      <c r="C4471" t="s">
        <v>40</v>
      </c>
      <c r="D4471">
        <v>5.376169</v>
      </c>
      <c r="E4471">
        <v>0.43911099999999997</v>
      </c>
      <c r="F4471" t="s">
        <v>41</v>
      </c>
      <c r="G4471">
        <v>-423.18099999999998</v>
      </c>
      <c r="H4471" s="1">
        <v>-4.3300839999999998E-6</v>
      </c>
      <c r="I4471">
        <v>118.0528</v>
      </c>
      <c r="J4471">
        <v>-423.7527</v>
      </c>
      <c r="K4471">
        <v>1.1216619999999999</v>
      </c>
      <c r="L4471">
        <v>126.4101</v>
      </c>
      <c r="M4471">
        <v>-0.28688590000000003</v>
      </c>
      <c r="N4471">
        <v>0</v>
      </c>
      <c r="O4471">
        <v>-0.95785600000000004</v>
      </c>
      <c r="P4471">
        <v>-9.4489470000000006E-2</v>
      </c>
      <c r="Q4471">
        <v>-3.6840779999999997E-2</v>
      </c>
      <c r="R4471">
        <v>-0.99484430000000001</v>
      </c>
      <c r="S4471">
        <v>0.18222050000000001</v>
      </c>
      <c r="T4471">
        <v>-0.39512340000000001</v>
      </c>
      <c r="U4471">
        <v>-3.024597</v>
      </c>
      <c r="V4471">
        <v>-0.19420989999999999</v>
      </c>
      <c r="W4471">
        <v>-2.812315E-2</v>
      </c>
      <c r="X4471">
        <v>0.98055680000000001</v>
      </c>
      <c r="Y4471">
        <v>-0.343497</v>
      </c>
      <c r="Z4471">
        <v>0.1173155</v>
      </c>
      <c r="AA4471">
        <v>0.93179769999999895</v>
      </c>
      <c r="AB4471">
        <v>25</v>
      </c>
      <c r="AC4471">
        <v>0.57170000000002097</v>
      </c>
      <c r="AD4471">
        <v>-1.121666330084</v>
      </c>
      <c r="AE4471">
        <v>-8.3572999999999897</v>
      </c>
      <c r="AF4471">
        <v>-2.8936235115327502</v>
      </c>
      <c r="AG4471">
        <v>-1.121666330084</v>
      </c>
      <c r="AH4471">
        <v>7.7037696810995797</v>
      </c>
      <c r="AI4471">
        <v>97.761687925939995</v>
      </c>
      <c r="AJ4471">
        <v>110.586749510744</v>
      </c>
      <c r="AK4471">
        <v>8.3053753486503101</v>
      </c>
      <c r="AL4471">
        <v>91.611550253440896</v>
      </c>
      <c r="AM4471">
        <v>101.20306015996501</v>
      </c>
      <c r="AN4471">
        <v>1.00000001742508</v>
      </c>
    </row>
    <row r="4472" spans="1:40" x14ac:dyDescent="0.3">
      <c r="A4472" t="str">
        <f>"20200111160550478"</f>
        <v>20200111160550478</v>
      </c>
      <c r="B4472" t="str">
        <f>"1578729950466755"</f>
        <v>1578729950466755</v>
      </c>
      <c r="C4472" t="s">
        <v>40</v>
      </c>
      <c r="D4472">
        <v>5.5066930000000003</v>
      </c>
      <c r="E4472">
        <v>0.44016670000000002</v>
      </c>
      <c r="F4472" t="s">
        <v>41</v>
      </c>
      <c r="G4472">
        <v>-423.13850000000002</v>
      </c>
      <c r="H4472" s="1">
        <v>-4.219185E-6</v>
      </c>
      <c r="I4472">
        <v>117.7491</v>
      </c>
      <c r="J4472">
        <v>-423.80520000000001</v>
      </c>
      <c r="K4472">
        <v>1.121448</v>
      </c>
      <c r="L4472">
        <v>126.1713</v>
      </c>
      <c r="M4472">
        <v>-0.27091989999999999</v>
      </c>
      <c r="N4472">
        <v>0</v>
      </c>
      <c r="O4472">
        <v>-0.96249010000000002</v>
      </c>
      <c r="P4472">
        <v>-8.0759910000000004E-2</v>
      </c>
      <c r="Q4472">
        <v>-3.5684390000000003E-2</v>
      </c>
      <c r="R4472">
        <v>-0.99609490000000001</v>
      </c>
      <c r="S4472">
        <v>0.21426390000000001</v>
      </c>
      <c r="T4472">
        <v>-0.39129639999999999</v>
      </c>
      <c r="U4472">
        <v>-3.0214080000000001</v>
      </c>
      <c r="V4472">
        <v>-0.19149749999999999</v>
      </c>
      <c r="W4472">
        <v>-2.6545470000000002E-2</v>
      </c>
      <c r="X4472">
        <v>0.98113410000000001</v>
      </c>
      <c r="Y4472">
        <v>-0.33778789999999997</v>
      </c>
      <c r="Z4472">
        <v>0.1173009</v>
      </c>
      <c r="AA4472">
        <v>0.9338843</v>
      </c>
      <c r="AB4472">
        <v>25</v>
      </c>
      <c r="AC4472">
        <v>0.66669999999999097</v>
      </c>
      <c r="AD4472">
        <v>-1.121452219185</v>
      </c>
      <c r="AE4472">
        <v>-8.4222000000000001</v>
      </c>
      <c r="AF4472">
        <v>-2.8731248817406598</v>
      </c>
      <c r="AG4472">
        <v>-1.121452219185</v>
      </c>
      <c r="AH4472">
        <v>7.7892705220695904</v>
      </c>
      <c r="AI4472">
        <v>97.692830357160204</v>
      </c>
      <c r="AJ4472">
        <v>110.246835659098</v>
      </c>
      <c r="AK4472">
        <v>8.3776629755543706</v>
      </c>
      <c r="AL4472">
        <v>91.521122019696804</v>
      </c>
      <c r="AM4472">
        <v>101.044129843945</v>
      </c>
      <c r="AN4472">
        <v>1.0000000383332801</v>
      </c>
    </row>
    <row r="4473" spans="1:40" x14ac:dyDescent="0.3">
      <c r="A4473" t="str">
        <f>"20200111160550500"</f>
        <v>20200111160550500</v>
      </c>
      <c r="B4473" t="str">
        <f>"1578729950496036"</f>
        <v>1578729950496036</v>
      </c>
      <c r="C4473" t="s">
        <v>40</v>
      </c>
      <c r="D4473">
        <v>5.4529999999999896</v>
      </c>
      <c r="E4473">
        <v>0.44173119999999999</v>
      </c>
      <c r="F4473" t="s">
        <v>41</v>
      </c>
      <c r="G4473">
        <v>-423.09230000000002</v>
      </c>
      <c r="H4473" s="1">
        <v>-4.1096940000000001E-6</v>
      </c>
      <c r="I4473">
        <v>117.4515</v>
      </c>
      <c r="J4473">
        <v>-423.85419999999999</v>
      </c>
      <c r="K4473">
        <v>1.1212040000000001</v>
      </c>
      <c r="L4473">
        <v>125.9306</v>
      </c>
      <c r="M4473">
        <v>-0.2551291</v>
      </c>
      <c r="N4473">
        <v>0</v>
      </c>
      <c r="O4473">
        <v>-0.96679309999999996</v>
      </c>
      <c r="P4473">
        <v>-6.7125439999999995E-2</v>
      </c>
      <c r="Q4473">
        <v>-3.4739260000000001E-2</v>
      </c>
      <c r="R4473">
        <v>-0.99713989999999997</v>
      </c>
      <c r="S4473">
        <v>0.2467346</v>
      </c>
      <c r="T4473">
        <v>-0.38812590000000002</v>
      </c>
      <c r="U4473">
        <v>-3.0178530000000001</v>
      </c>
      <c r="V4473">
        <v>-0.18891759999999999</v>
      </c>
      <c r="W4473">
        <v>-2.5218939999999999E-2</v>
      </c>
      <c r="X4473">
        <v>0.98166909999999996</v>
      </c>
      <c r="Y4473">
        <v>-0.33245540000000001</v>
      </c>
      <c r="Z4473">
        <v>0.117395</v>
      </c>
      <c r="AA4473">
        <v>0.93578399999999995</v>
      </c>
      <c r="AB4473">
        <v>25</v>
      </c>
      <c r="AC4473">
        <v>0.76189999999996805</v>
      </c>
      <c r="AD4473">
        <v>-1.1212081096940001</v>
      </c>
      <c r="AE4473">
        <v>-8.4791000000000007</v>
      </c>
      <c r="AF4473">
        <v>-2.85073746313717</v>
      </c>
      <c r="AG4473">
        <v>-1.1212081096940001</v>
      </c>
      <c r="AH4473">
        <v>7.8675690591259499</v>
      </c>
      <c r="AI4473">
        <v>97.631367730036402</v>
      </c>
      <c r="AJ4473">
        <v>109.917493680194</v>
      </c>
      <c r="AK4473">
        <v>8.4428937343243398</v>
      </c>
      <c r="AL4473">
        <v>91.445091976712405</v>
      </c>
      <c r="AM4473">
        <v>100.89312976824201</v>
      </c>
      <c r="AN4473">
        <v>1.0000000382096399</v>
      </c>
    </row>
    <row r="4474" spans="1:40" x14ac:dyDescent="0.3">
      <c r="A4474" t="str">
        <f>"20200111160550523"</f>
        <v>20200111160550523</v>
      </c>
      <c r="B4474" t="str">
        <f>"1578729950516532"</f>
        <v>1578729950516532</v>
      </c>
      <c r="C4474" t="s">
        <v>40</v>
      </c>
      <c r="D4474">
        <v>5.4193509999999998</v>
      </c>
      <c r="E4474">
        <v>0.45538479999999998</v>
      </c>
      <c r="F4474" t="s">
        <v>41</v>
      </c>
      <c r="G4474">
        <v>-423.05329999999998</v>
      </c>
      <c r="H4474" s="1">
        <v>-4.0059650000000004E-6</v>
      </c>
      <c r="I4474">
        <v>117.1669</v>
      </c>
      <c r="J4474">
        <v>-423.9</v>
      </c>
      <c r="K4474">
        <v>1.1209340000000001</v>
      </c>
      <c r="L4474">
        <v>125.6876</v>
      </c>
      <c r="M4474">
        <v>-0.23952270000000001</v>
      </c>
      <c r="N4474">
        <v>0</v>
      </c>
      <c r="O4474">
        <v>-0.97077500000000005</v>
      </c>
      <c r="P4474">
        <v>-5.2969670000000003E-2</v>
      </c>
      <c r="Q4474">
        <v>-3.3574840000000002E-2</v>
      </c>
      <c r="R4474">
        <v>-0.99803169999999997</v>
      </c>
      <c r="S4474">
        <v>0.27542109999999997</v>
      </c>
      <c r="T4474">
        <v>-0.38556659999999998</v>
      </c>
      <c r="U4474">
        <v>-3.0137019999999999</v>
      </c>
      <c r="V4474">
        <v>-0.1870967</v>
      </c>
      <c r="W4474">
        <v>-2.3726219999999999E-2</v>
      </c>
      <c r="X4474">
        <v>0.98205489999999995</v>
      </c>
      <c r="Y4474">
        <v>-0.3262119</v>
      </c>
      <c r="Z4474">
        <v>0.1176379</v>
      </c>
      <c r="AA4474">
        <v>0.93794829999999996</v>
      </c>
      <c r="AB4474">
        <v>25</v>
      </c>
      <c r="AC4474">
        <v>0.84669999999999801</v>
      </c>
      <c r="AD4474">
        <v>-1.120938005965</v>
      </c>
      <c r="AE4474">
        <v>-8.5206999999999997</v>
      </c>
      <c r="AF4474">
        <v>-2.8149373195058902</v>
      </c>
      <c r="AG4474">
        <v>-1.120938005965</v>
      </c>
      <c r="AH4474">
        <v>7.9338204994512296</v>
      </c>
      <c r="AI4474">
        <v>97.584514094416093</v>
      </c>
      <c r="AJ4474">
        <v>109.534799254989</v>
      </c>
      <c r="AK4474">
        <v>8.4926957936497605</v>
      </c>
      <c r="AL4474">
        <v>91.359539889242996</v>
      </c>
      <c r="AM4474">
        <v>100.786472376624</v>
      </c>
      <c r="AN4474">
        <v>0.99999996764019305</v>
      </c>
    </row>
    <row r="4475" spans="1:40" x14ac:dyDescent="0.3">
      <c r="A4475" t="str">
        <f>"20200111160550545"</f>
        <v>20200111160550545</v>
      </c>
      <c r="B4475" t="str">
        <f>"1578729950536051"</f>
        <v>1578729950536051</v>
      </c>
      <c r="C4475" t="s">
        <v>40</v>
      </c>
      <c r="D4475">
        <v>5.5000619999999998</v>
      </c>
      <c r="E4475">
        <v>0.45616649999999997</v>
      </c>
      <c r="F4475" t="s">
        <v>41</v>
      </c>
      <c r="G4475">
        <v>-423.2903</v>
      </c>
      <c r="H4475" s="1">
        <v>-3.9768459999999998E-6</v>
      </c>
      <c r="I4475">
        <v>116.95780000000001</v>
      </c>
      <c r="J4475">
        <v>-423.94080000000002</v>
      </c>
      <c r="K4475">
        <v>1.1206499999999999</v>
      </c>
      <c r="L4475">
        <v>125.45189999999999</v>
      </c>
      <c r="M4475">
        <v>-0.2247894</v>
      </c>
      <c r="N4475">
        <v>0</v>
      </c>
      <c r="O4475">
        <v>-0.97429069999999995</v>
      </c>
      <c r="P4475">
        <v>-3.930384E-2</v>
      </c>
      <c r="Q4475">
        <v>-3.0708470000000002E-2</v>
      </c>
      <c r="R4475">
        <v>-0.99875539999999996</v>
      </c>
      <c r="S4475">
        <v>0.2098083</v>
      </c>
      <c r="T4475">
        <v>-0.38573590000000002</v>
      </c>
      <c r="U4475">
        <v>-3.0040589999999998</v>
      </c>
      <c r="V4475">
        <v>-0.18577669999999999</v>
      </c>
      <c r="W4475">
        <v>-2.0584370000000001E-2</v>
      </c>
      <c r="X4475">
        <v>0.98237629999999998</v>
      </c>
      <c r="Y4475">
        <v>-0.29160409999999998</v>
      </c>
      <c r="Z4475">
        <v>0.11955449999999999</v>
      </c>
      <c r="AA4475">
        <v>0.9490383</v>
      </c>
      <c r="AB4475">
        <v>25</v>
      </c>
      <c r="AC4475">
        <v>0.65050000000002195</v>
      </c>
      <c r="AD4475">
        <v>-1.120653976846</v>
      </c>
      <c r="AE4475">
        <v>-8.49409999999998</v>
      </c>
      <c r="AF4475">
        <v>-2.5001835105874002</v>
      </c>
      <c r="AG4475">
        <v>-1.120653976846</v>
      </c>
      <c r="AH4475">
        <v>7.9921187534689402</v>
      </c>
      <c r="AI4475">
        <v>97.622289071883799</v>
      </c>
      <c r="AJ4475">
        <v>107.371307229392</v>
      </c>
      <c r="AK4475">
        <v>8.4487126292698491</v>
      </c>
      <c r="AL4475">
        <v>91.179480892047096</v>
      </c>
      <c r="AM4475">
        <v>100.708715392915</v>
      </c>
      <c r="AN4475">
        <v>0.99999994667643699</v>
      </c>
    </row>
    <row r="4476" spans="1:40" x14ac:dyDescent="0.3">
      <c r="A4476" t="str">
        <f>"20200111160550568"</f>
        <v>20200111160550568</v>
      </c>
      <c r="B4476" t="str">
        <f>"1578729950556547"</f>
        <v>1578729950556547</v>
      </c>
      <c r="C4476" t="s">
        <v>40</v>
      </c>
      <c r="D4476">
        <v>5.5663010000000002</v>
      </c>
      <c r="E4476">
        <v>0.4563971</v>
      </c>
      <c r="F4476" t="s">
        <v>41</v>
      </c>
      <c r="G4476">
        <v>-423.2106</v>
      </c>
      <c r="H4476" s="1">
        <v>-3.8082689999999998E-6</v>
      </c>
      <c r="I4476">
        <v>116.504</v>
      </c>
      <c r="J4476">
        <v>-423.97859999999997</v>
      </c>
      <c r="K4476">
        <v>1.1203730000000001</v>
      </c>
      <c r="L4476">
        <v>125.2144</v>
      </c>
      <c r="M4476">
        <v>-0.21033350000000001</v>
      </c>
      <c r="N4476">
        <v>0</v>
      </c>
      <c r="O4476">
        <v>-0.9775123</v>
      </c>
      <c r="P4476">
        <v>-2.722217E-2</v>
      </c>
      <c r="Q4476">
        <v>-2.6440290000000002E-2</v>
      </c>
      <c r="R4476">
        <v>-0.9992799</v>
      </c>
      <c r="S4476">
        <v>0.2449646</v>
      </c>
      <c r="T4476">
        <v>-0.3759516</v>
      </c>
      <c r="U4476">
        <v>-3.0018009999999999</v>
      </c>
      <c r="V4476">
        <v>-0.18325530000000001</v>
      </c>
      <c r="W4476">
        <v>-1.603371E-2</v>
      </c>
      <c r="X4476">
        <v>0.98293459999999999</v>
      </c>
      <c r="Y4476">
        <v>-0.28856739999999997</v>
      </c>
      <c r="Z4476">
        <v>0.1172598</v>
      </c>
      <c r="AA4476">
        <v>0.95025210000000004</v>
      </c>
      <c r="AB4476">
        <v>25</v>
      </c>
      <c r="AC4476">
        <v>0.76799999999997204</v>
      </c>
      <c r="AD4476">
        <v>-1.120376808269</v>
      </c>
      <c r="AE4476">
        <v>-8.7103999999999999</v>
      </c>
      <c r="AF4476">
        <v>-2.5413932443620899</v>
      </c>
      <c r="AG4476">
        <v>-1.120376808269</v>
      </c>
      <c r="AH4476">
        <v>8.2190157258305696</v>
      </c>
      <c r="AI4476">
        <v>97.419959122383403</v>
      </c>
      <c r="AJ4476">
        <v>107.182077000161</v>
      </c>
      <c r="AK4476">
        <v>8.6756062218410204</v>
      </c>
      <c r="AL4476">
        <v>90.918703273315799</v>
      </c>
      <c r="AM4476">
        <v>100.56080264305599</v>
      </c>
      <c r="AN4476">
        <v>1.0000000063558001</v>
      </c>
    </row>
    <row r="4477" spans="1:40" x14ac:dyDescent="0.3">
      <c r="A4477" t="str">
        <f>"20200111160550590"</f>
        <v>20200111160550590</v>
      </c>
      <c r="B4477" t="str">
        <f>"1578729950586803"</f>
        <v>1578729950586803</v>
      </c>
      <c r="C4477" t="s">
        <v>40</v>
      </c>
      <c r="D4477">
        <v>5.4483160000000002</v>
      </c>
      <c r="E4477">
        <v>0.45801449999999999</v>
      </c>
      <c r="F4477" t="s">
        <v>41</v>
      </c>
      <c r="G4477">
        <v>-423.11829999999998</v>
      </c>
      <c r="H4477" s="1">
        <v>-3.5698429999999998E-6</v>
      </c>
      <c r="I4477">
        <v>115.9764</v>
      </c>
      <c r="J4477">
        <v>-424.01310000000001</v>
      </c>
      <c r="K4477">
        <v>1.12012</v>
      </c>
      <c r="L4477">
        <v>124.9776</v>
      </c>
      <c r="M4477">
        <v>-0.1962565</v>
      </c>
      <c r="N4477">
        <v>0</v>
      </c>
      <c r="O4477">
        <v>-0.98043480000000005</v>
      </c>
      <c r="P4477">
        <v>-1.6808590000000002E-2</v>
      </c>
      <c r="Q4477">
        <v>-1.9944489999999999E-2</v>
      </c>
      <c r="R4477">
        <v>-0.99965970000000004</v>
      </c>
      <c r="S4477">
        <v>0.27938839999999998</v>
      </c>
      <c r="T4477">
        <v>-0.3638536</v>
      </c>
      <c r="U4477">
        <v>-3.0001220000000002</v>
      </c>
      <c r="V4477">
        <v>-0.17956150000000001</v>
      </c>
      <c r="W4477">
        <v>-9.2601939999999994E-3</v>
      </c>
      <c r="X4477">
        <v>0.9837032</v>
      </c>
      <c r="Y4477">
        <v>-0.28570669999999998</v>
      </c>
      <c r="Z4477">
        <v>0.1141257</v>
      </c>
      <c r="AA4477">
        <v>0.95149729999999999</v>
      </c>
      <c r="AB4477">
        <v>25</v>
      </c>
      <c r="AC4477">
        <v>0.89480000000003201</v>
      </c>
      <c r="AD4477">
        <v>-1.1201235698430001</v>
      </c>
      <c r="AE4477">
        <v>-9.0011999999999901</v>
      </c>
      <c r="AF4477">
        <v>-2.6042090763591998</v>
      </c>
      <c r="AG4477">
        <v>-1.1201235698430001</v>
      </c>
      <c r="AH4477">
        <v>8.5198339399423499</v>
      </c>
      <c r="AI4477">
        <v>97.166199424273799</v>
      </c>
      <c r="AJ4477">
        <v>106.996521669136</v>
      </c>
      <c r="AK4477">
        <v>8.9790952823379193</v>
      </c>
      <c r="AL4477">
        <v>90.530577598451202</v>
      </c>
      <c r="AM4477">
        <v>100.344667534181</v>
      </c>
      <c r="AN4477">
        <v>1.0000000345827</v>
      </c>
    </row>
    <row r="4478" spans="1:40" x14ac:dyDescent="0.3">
      <c r="A4478" t="str">
        <f>"20200111160550613"</f>
        <v>20200111160550613</v>
      </c>
      <c r="B4478" t="str">
        <f>"1578729950606323"</f>
        <v>1578729950606323</v>
      </c>
      <c r="C4478" t="s">
        <v>40</v>
      </c>
      <c r="D4478">
        <v>5.4461370000000002</v>
      </c>
      <c r="E4478">
        <v>0.4220102</v>
      </c>
      <c r="F4478" t="s">
        <v>41</v>
      </c>
      <c r="G4478">
        <v>-423.05279999999999</v>
      </c>
      <c r="H4478" s="1">
        <v>-3.2617539999999998E-6</v>
      </c>
      <c r="I4478">
        <v>115.2989</v>
      </c>
      <c r="J4478">
        <v>-424.04559999999998</v>
      </c>
      <c r="K4478">
        <v>1.119883</v>
      </c>
      <c r="L4478">
        <v>124.7329</v>
      </c>
      <c r="M4478">
        <v>-0.1820677</v>
      </c>
      <c r="N4478">
        <v>0</v>
      </c>
      <c r="O4478">
        <v>-0.98316809999999999</v>
      </c>
      <c r="P4478">
        <v>-7.7352879999999999E-3</v>
      </c>
      <c r="Q4478">
        <v>-1.463069E-2</v>
      </c>
      <c r="R4478">
        <v>-0.9998631</v>
      </c>
      <c r="S4478">
        <v>0.29757689999999998</v>
      </c>
      <c r="T4478">
        <v>-0.34708919999999999</v>
      </c>
      <c r="U4478">
        <v>-2.9990999999999999</v>
      </c>
      <c r="V4478">
        <v>-0.1744202</v>
      </c>
      <c r="W4478">
        <v>-3.6597130000000002E-3</v>
      </c>
      <c r="X4478">
        <v>0.98466450000000005</v>
      </c>
      <c r="Y4478">
        <v>-0.27765759999999901</v>
      </c>
      <c r="Z4478">
        <v>0.10954949999999999</v>
      </c>
      <c r="AA4478">
        <v>0.95441350000000003</v>
      </c>
      <c r="AB4478">
        <v>25</v>
      </c>
      <c r="AC4478">
        <v>0.99279999999998803</v>
      </c>
      <c r="AD4478">
        <v>-1.119886261754</v>
      </c>
      <c r="AE4478">
        <v>-9.4339999999999904</v>
      </c>
      <c r="AF4478">
        <v>-2.6569974055842298</v>
      </c>
      <c r="AG4478">
        <v>-1.119886261754</v>
      </c>
      <c r="AH4478">
        <v>8.9704828132872798</v>
      </c>
      <c r="AI4478">
        <v>96.825879367911597</v>
      </c>
      <c r="AJ4478">
        <v>106.498939171402</v>
      </c>
      <c r="AK4478">
        <v>9.4224913030487407</v>
      </c>
      <c r="AL4478">
        <v>90.209686579591306</v>
      </c>
      <c r="AM4478">
        <v>100.044987187974</v>
      </c>
      <c r="AN4478">
        <v>0.99999998861376604</v>
      </c>
    </row>
    <row r="4479" spans="1:40" x14ac:dyDescent="0.3">
      <c r="A4479" t="str">
        <f>"20200111160550634"</f>
        <v>20200111160550634</v>
      </c>
      <c r="B4479" t="str">
        <f>"1578729950626819"</f>
        <v>1578729950626819</v>
      </c>
      <c r="C4479" t="s">
        <v>40</v>
      </c>
      <c r="D4479">
        <v>5.4414730000000002</v>
      </c>
      <c r="E4479">
        <v>0.42225360000000001</v>
      </c>
      <c r="F4479" t="s">
        <v>41</v>
      </c>
      <c r="G4479">
        <v>-419.98939999999999</v>
      </c>
      <c r="H4479" s="1">
        <v>-2.3607889999999998E-6</v>
      </c>
      <c r="I4479">
        <v>104.59180000000001</v>
      </c>
      <c r="J4479">
        <v>-424.07400000000001</v>
      </c>
      <c r="K4479">
        <v>1.119659</v>
      </c>
      <c r="L4479">
        <v>124.4962</v>
      </c>
      <c r="M4479">
        <v>-0.16870180000000001</v>
      </c>
      <c r="N4479">
        <v>0</v>
      </c>
      <c r="O4479">
        <v>-0.98554929999999996</v>
      </c>
      <c r="P4479">
        <v>-1.270922E-4</v>
      </c>
      <c r="Q4479">
        <v>-1.0780410000000001E-2</v>
      </c>
      <c r="R4479">
        <v>-0.99994229999999995</v>
      </c>
      <c r="S4479">
        <v>0.60470579999999996</v>
      </c>
      <c r="T4479">
        <v>-0.1669525</v>
      </c>
      <c r="U4479">
        <v>-3.00264</v>
      </c>
      <c r="V4479">
        <v>-0.16863939999999999</v>
      </c>
      <c r="W4479">
        <v>4.6044979999999998E-4</v>
      </c>
      <c r="X4479">
        <v>0.98567769999999999</v>
      </c>
      <c r="Y4479">
        <v>-0.35971910000000001</v>
      </c>
      <c r="Z4479">
        <v>5.1937520000000001E-2</v>
      </c>
      <c r="AA4479">
        <v>0.93161400000000005</v>
      </c>
      <c r="AB4479">
        <v>25</v>
      </c>
      <c r="AC4479">
        <v>4.0846000000000204</v>
      </c>
      <c r="AD4479">
        <v>-1.119661360789</v>
      </c>
      <c r="AE4479">
        <v>-19.9043999999999</v>
      </c>
      <c r="AF4479">
        <v>-7.3619864059833802</v>
      </c>
      <c r="AG4479">
        <v>-1.119661360789</v>
      </c>
      <c r="AH4479">
        <v>18.872581784663801</v>
      </c>
      <c r="AI4479">
        <v>93.163575327382702</v>
      </c>
      <c r="AJ4479">
        <v>111.310209202363</v>
      </c>
      <c r="AK4479">
        <v>20.2885886306453</v>
      </c>
      <c r="AL4479">
        <v>89.973618168685505</v>
      </c>
      <c r="AM4479">
        <v>99.708721420242199</v>
      </c>
      <c r="AN4479">
        <v>0.99999999376183402</v>
      </c>
    </row>
    <row r="4480" spans="1:40" x14ac:dyDescent="0.3">
      <c r="A4480" t="str">
        <f>"20200111160550657"</f>
        <v>20200111160550657</v>
      </c>
      <c r="B4480" t="str">
        <f>"1578729950646339"</f>
        <v>1578729950646339</v>
      </c>
      <c r="C4480" t="s">
        <v>40</v>
      </c>
      <c r="D4480">
        <v>5.4370529999999997</v>
      </c>
      <c r="E4480">
        <v>0.42327110000000001</v>
      </c>
      <c r="F4480" t="s">
        <v>41</v>
      </c>
      <c r="G4480">
        <v>-420.59550000000002</v>
      </c>
      <c r="H4480" s="1">
        <v>-4.0709299999999998E-6</v>
      </c>
      <c r="I4480">
        <v>107.86839999999999</v>
      </c>
      <c r="J4480">
        <v>-424.09930000000003</v>
      </c>
      <c r="K4480">
        <v>1.119434</v>
      </c>
      <c r="L4480">
        <v>124.26179999999999</v>
      </c>
      <c r="M4480">
        <v>-0.1558146</v>
      </c>
      <c r="N4480">
        <v>0</v>
      </c>
      <c r="O4480">
        <v>-0.98766860000000001</v>
      </c>
      <c r="P4480">
        <v>6.4087290000000002E-3</v>
      </c>
      <c r="Q4480">
        <v>-8.9236760000000002E-3</v>
      </c>
      <c r="R4480">
        <v>-0.99993969999999999</v>
      </c>
      <c r="S4480">
        <v>0.62719729999999996</v>
      </c>
      <c r="T4480">
        <v>-0.20188039999999999</v>
      </c>
      <c r="U4480">
        <v>-2.9980769999999999</v>
      </c>
      <c r="V4480">
        <v>-0.1622489</v>
      </c>
      <c r="W4480">
        <v>2.5756970000000001E-3</v>
      </c>
      <c r="X4480">
        <v>0.98674649999999997</v>
      </c>
      <c r="Y4480">
        <v>-0.35437259999999998</v>
      </c>
      <c r="Z4480">
        <v>6.308656E-2</v>
      </c>
      <c r="AA4480">
        <v>0.93297379999999996</v>
      </c>
      <c r="AB4480">
        <v>25</v>
      </c>
      <c r="AC4480">
        <v>3.5038000000000098</v>
      </c>
      <c r="AD4480">
        <v>-1.11943807093</v>
      </c>
      <c r="AE4480">
        <v>-16.3934</v>
      </c>
      <c r="AF4480">
        <v>-5.9889176710805003</v>
      </c>
      <c r="AG4480">
        <v>-1.11943807093</v>
      </c>
      <c r="AH4480">
        <v>15.5776578812146</v>
      </c>
      <c r="AI4480">
        <v>93.837392579769201</v>
      </c>
      <c r="AJ4480">
        <v>111.029534943825</v>
      </c>
      <c r="AK4480">
        <v>16.726736129018001</v>
      </c>
      <c r="AL4480">
        <v>89.852423269052395</v>
      </c>
      <c r="AM4480">
        <v>99.337485867100895</v>
      </c>
      <c r="AN4480">
        <v>0.99999999751424695</v>
      </c>
    </row>
    <row r="4481" spans="1:40" x14ac:dyDescent="0.3">
      <c r="A4481" t="str">
        <f>"20200111160550679"</f>
        <v>20200111160550679</v>
      </c>
      <c r="B4481" t="str">
        <f>"1578729950676597"</f>
        <v>1578729950676597</v>
      </c>
      <c r="C4481" t="s">
        <v>40</v>
      </c>
      <c r="D4481">
        <v>5.4768220000000003</v>
      </c>
      <c r="E4481">
        <v>0.42536040000000003</v>
      </c>
      <c r="F4481" t="s">
        <v>41</v>
      </c>
      <c r="G4481">
        <v>-420.851</v>
      </c>
      <c r="H4481" s="1">
        <v>-4.6662140000000003E-6</v>
      </c>
      <c r="I4481">
        <v>109.0441</v>
      </c>
      <c r="J4481">
        <v>-424.1225</v>
      </c>
      <c r="K4481">
        <v>1.119189</v>
      </c>
      <c r="L4481">
        <v>124.0205</v>
      </c>
      <c r="M4481">
        <v>-0.14290700000000001</v>
      </c>
      <c r="N4481">
        <v>0</v>
      </c>
      <c r="O4481">
        <v>-0.98961909999999997</v>
      </c>
      <c r="P4481">
        <v>1.169517E-2</v>
      </c>
      <c r="Q4481">
        <v>-9.0605370000000005E-3</v>
      </c>
      <c r="R4481">
        <v>-0.99989090000000003</v>
      </c>
      <c r="S4481">
        <v>0.63909910000000003</v>
      </c>
      <c r="T4481">
        <v>-0.2202518</v>
      </c>
      <c r="U4481">
        <v>-2.9941249999999999</v>
      </c>
      <c r="V4481">
        <v>-0.1545755</v>
      </c>
      <c r="W4481">
        <v>2.7115949999999998E-3</v>
      </c>
      <c r="X4481">
        <v>0.98797729999999995</v>
      </c>
      <c r="Y4481">
        <v>-0.3458637</v>
      </c>
      <c r="Z4481">
        <v>6.9188169999999993E-2</v>
      </c>
      <c r="AA4481">
        <v>0.93573030000000001</v>
      </c>
      <c r="AB4481">
        <v>25</v>
      </c>
      <c r="AC4481">
        <v>3.2715000000000001</v>
      </c>
      <c r="AD4481">
        <v>-1.1191936662140001</v>
      </c>
      <c r="AE4481">
        <v>-14.9763999999999</v>
      </c>
      <c r="AF4481">
        <v>-5.3498777704180496</v>
      </c>
      <c r="AG4481">
        <v>-1.1191936662140001</v>
      </c>
      <c r="AH4481">
        <v>14.278962735912</v>
      </c>
      <c r="AI4481">
        <v>94.197870280040505</v>
      </c>
      <c r="AJ4481">
        <v>110.53939230098899</v>
      </c>
      <c r="AK4481">
        <v>15.2892957141417</v>
      </c>
      <c r="AL4481">
        <v>89.844636866827798</v>
      </c>
      <c r="AM4481">
        <v>98.892210065733195</v>
      </c>
      <c r="AN4481">
        <v>1.00000004163149</v>
      </c>
    </row>
    <row r="4482" spans="1:40" x14ac:dyDescent="0.3">
      <c r="A4482" t="str">
        <f>"20200111160550701"</f>
        <v>20200111160550701</v>
      </c>
      <c r="B4482" t="str">
        <f>"1578729950696130"</f>
        <v>1578729950696130</v>
      </c>
      <c r="C4482" t="s">
        <v>40</v>
      </c>
      <c r="D4482">
        <v>5.4460819999999996</v>
      </c>
      <c r="E4482">
        <v>0.42649290000000001</v>
      </c>
      <c r="F4482" t="s">
        <v>41</v>
      </c>
      <c r="G4482">
        <v>-421.3</v>
      </c>
      <c r="H4482" s="1">
        <v>-8.7591190000000002E-7</v>
      </c>
      <c r="I4482">
        <v>110.8246</v>
      </c>
      <c r="J4482">
        <v>-424.1431</v>
      </c>
      <c r="K4482">
        <v>1.1189209999999901</v>
      </c>
      <c r="L4482">
        <v>123.77760000000001</v>
      </c>
      <c r="M4482">
        <v>-0.13028019999999901</v>
      </c>
      <c r="N4482">
        <v>0</v>
      </c>
      <c r="O4482">
        <v>-0.99136060000000004</v>
      </c>
      <c r="P4482">
        <v>1.5878299999999901E-2</v>
      </c>
      <c r="Q4482">
        <v>-9.9325539999999997E-3</v>
      </c>
      <c r="R4482">
        <v>-0.9998245</v>
      </c>
      <c r="S4482">
        <v>0.63964840000000001</v>
      </c>
      <c r="T4482">
        <v>-0.2536369</v>
      </c>
      <c r="U4482">
        <v>-2.9905400000000002</v>
      </c>
      <c r="V4482">
        <v>-0.14608929999999901</v>
      </c>
      <c r="W4482">
        <v>2.1141189999999998E-3</v>
      </c>
      <c r="X4482">
        <v>0.98926910000000001</v>
      </c>
      <c r="Y4482">
        <v>-0.3340997</v>
      </c>
      <c r="Z4482">
        <v>8.0095760000000002E-2</v>
      </c>
      <c r="AA4482">
        <v>0.93912839999999997</v>
      </c>
      <c r="AB4482">
        <v>25</v>
      </c>
      <c r="AC4482">
        <v>2.84309999999999</v>
      </c>
      <c r="AD4482">
        <v>-1.11892187591189</v>
      </c>
      <c r="AE4482">
        <v>-12.952999999999999</v>
      </c>
      <c r="AF4482">
        <v>-4.4747218987846402</v>
      </c>
      <c r="AG4482">
        <v>-1.11892187591189</v>
      </c>
      <c r="AH4482">
        <v>12.3839737409539</v>
      </c>
      <c r="AI4482">
        <v>94.857059169729396</v>
      </c>
      <c r="AJ4482">
        <v>109.866392822227</v>
      </c>
      <c r="AK4482">
        <v>13.215064428616801</v>
      </c>
      <c r="AL4482">
        <v>89.878869807943303</v>
      </c>
      <c r="AM4482">
        <v>98.400382532748296</v>
      </c>
      <c r="AN4482">
        <v>0.99999995264422104</v>
      </c>
    </row>
    <row r="4483" spans="1:40" x14ac:dyDescent="0.3">
      <c r="A4483" t="str">
        <f>"20200111160550716"</f>
        <v>20200111160550716</v>
      </c>
      <c r="B4483" t="str">
        <f>"1578729950706852"</f>
        <v>1578729950706852</v>
      </c>
      <c r="C4483" t="s">
        <v>40</v>
      </c>
      <c r="D4483">
        <v>5.434901</v>
      </c>
      <c r="E4483">
        <v>0.42705569999999998</v>
      </c>
      <c r="F4483" t="s">
        <v>41</v>
      </c>
      <c r="G4483">
        <v>-421.4975</v>
      </c>
      <c r="H4483" s="1">
        <v>-1.2192999999999999E-6</v>
      </c>
      <c r="I4483">
        <v>111.5025</v>
      </c>
      <c r="J4483">
        <v>-424.1549</v>
      </c>
      <c r="K4483">
        <v>1.118735</v>
      </c>
      <c r="L4483">
        <v>123.6178</v>
      </c>
      <c r="M4483">
        <v>-0.1222106</v>
      </c>
      <c r="N4483">
        <v>0</v>
      </c>
      <c r="O4483">
        <v>-0.99238800000000005</v>
      </c>
      <c r="P4483">
        <v>1.933377E-2</v>
      </c>
      <c r="Q4483">
        <v>-1.0339630000000001E-2</v>
      </c>
      <c r="R4483">
        <v>-0.99975990000000003</v>
      </c>
      <c r="S4483">
        <v>0.64389039999999997</v>
      </c>
      <c r="T4483">
        <v>-0.2723314</v>
      </c>
      <c r="U4483">
        <v>-2.9875949999999998</v>
      </c>
      <c r="V4483">
        <v>-0.14144989999999999</v>
      </c>
      <c r="W4483">
        <v>1.8566279999999999E-3</v>
      </c>
      <c r="X4483">
        <v>0.98994369999999998</v>
      </c>
      <c r="Y4483">
        <v>-0.32778109999999999</v>
      </c>
      <c r="Z4483">
        <v>8.6261459999999998E-2</v>
      </c>
      <c r="AA4483">
        <v>0.94080739999999996</v>
      </c>
      <c r="AB4483">
        <v>25</v>
      </c>
      <c r="AC4483">
        <v>2.6573999999999902</v>
      </c>
      <c r="AD4483">
        <v>-1.1187362192999999</v>
      </c>
      <c r="AE4483">
        <v>-12.1153</v>
      </c>
      <c r="AF4483">
        <v>-4.0850314448876404</v>
      </c>
      <c r="AG4483">
        <v>-1.1187362192999999</v>
      </c>
      <c r="AH4483">
        <v>11.605251553765999</v>
      </c>
      <c r="AI4483">
        <v>95.195635423021699</v>
      </c>
      <c r="AJ4483">
        <v>109.391993385359</v>
      </c>
      <c r="AK4483">
        <v>12.3539838214352</v>
      </c>
      <c r="AL4483">
        <v>89.893622993042499</v>
      </c>
      <c r="AM4483">
        <v>98.131768302296905</v>
      </c>
      <c r="AN4483">
        <v>1.0000000252236101</v>
      </c>
    </row>
    <row r="4484" spans="1:40" x14ac:dyDescent="0.3">
      <c r="A4484" t="str">
        <f>"20200111160550736"</f>
        <v>20200111160550736</v>
      </c>
      <c r="B4484" t="str">
        <f>"1578729950726371"</f>
        <v>1578729950726371</v>
      </c>
      <c r="C4484" t="s">
        <v>40</v>
      </c>
      <c r="D4484">
        <v>5.4936889999999998</v>
      </c>
      <c r="E4484">
        <v>0.42822280000000001</v>
      </c>
      <c r="F4484" t="s">
        <v>41</v>
      </c>
      <c r="G4484">
        <v>-421.55739999999997</v>
      </c>
      <c r="H4484" s="1">
        <v>-1.3118680000000001E-6</v>
      </c>
      <c r="I4484">
        <v>111.6812</v>
      </c>
      <c r="J4484">
        <v>-424.16860000000003</v>
      </c>
      <c r="K4484">
        <v>1.1184909999999999</v>
      </c>
      <c r="L4484">
        <v>123.4143</v>
      </c>
      <c r="M4484">
        <v>-0.1121627</v>
      </c>
      <c r="N4484">
        <v>0</v>
      </c>
      <c r="O4484">
        <v>-0.99357439999999997</v>
      </c>
      <c r="P4484">
        <v>2.0637389999999999E-2</v>
      </c>
      <c r="Q4484">
        <v>-1.012738E-2</v>
      </c>
      <c r="R4484">
        <v>-0.99973599999999996</v>
      </c>
      <c r="S4484">
        <v>0.64962769999999903</v>
      </c>
      <c r="T4484">
        <v>-0.27978829999999999</v>
      </c>
      <c r="U4484">
        <v>-2.9852599999999998</v>
      </c>
      <c r="V4484">
        <v>-0.13272339999999999</v>
      </c>
      <c r="W4484">
        <v>2.3120060000000001E-3</v>
      </c>
      <c r="X4484">
        <v>0.99115039999999999</v>
      </c>
      <c r="Y4484">
        <v>-0.32004339999999998</v>
      </c>
      <c r="Z4484">
        <v>8.89403E-2</v>
      </c>
      <c r="AA4484">
        <v>0.94321889999999997</v>
      </c>
      <c r="AB4484">
        <v>25</v>
      </c>
      <c r="AC4484">
        <v>2.6112000000000499</v>
      </c>
      <c r="AD4484">
        <v>-1.1184923118679999</v>
      </c>
      <c r="AE4484">
        <v>-11.733099999999901</v>
      </c>
      <c r="AF4484">
        <v>-3.8773143287471901</v>
      </c>
      <c r="AG4484">
        <v>-1.1184923118679999</v>
      </c>
      <c r="AH4484">
        <v>11.2685628928089</v>
      </c>
      <c r="AI4484">
        <v>95.361910053445101</v>
      </c>
      <c r="AJ4484">
        <v>108.98743930243801</v>
      </c>
      <c r="AK4484">
        <v>11.9693400454998</v>
      </c>
      <c r="AL4484">
        <v>89.867531693438707</v>
      </c>
      <c r="AM4484">
        <v>97.627016324588496</v>
      </c>
      <c r="AN4484">
        <v>0.99999998084973096</v>
      </c>
    </row>
    <row r="4485" spans="1:40" x14ac:dyDescent="0.3">
      <c r="A4485" t="str">
        <f>"20200111160550757"</f>
        <v>20200111160550757</v>
      </c>
      <c r="B4485" t="str">
        <f>"1578729950746867"</f>
        <v>1578729950746867</v>
      </c>
      <c r="C4485" t="s">
        <v>40</v>
      </c>
      <c r="D4485">
        <v>5.4619260000000001</v>
      </c>
      <c r="E4485">
        <v>0.42896509999999999</v>
      </c>
      <c r="F4485" t="s">
        <v>41</v>
      </c>
      <c r="G4485">
        <v>-421.67570000000001</v>
      </c>
      <c r="H4485" s="1">
        <v>-1.419942E-6</v>
      </c>
      <c r="I4485">
        <v>111.8597</v>
      </c>
      <c r="J4485">
        <v>-424.18200000000002</v>
      </c>
      <c r="K4485">
        <v>1.1182110000000001</v>
      </c>
      <c r="L4485">
        <v>123.1829</v>
      </c>
      <c r="M4485">
        <v>-0.1010751</v>
      </c>
      <c r="N4485">
        <v>0</v>
      </c>
      <c r="O4485">
        <v>-0.99476410000000004</v>
      </c>
      <c r="P4485">
        <v>2.3412579999999999E-2</v>
      </c>
      <c r="Q4485">
        <v>-1.026324E-2</v>
      </c>
      <c r="R4485">
        <v>-0.99967320000000004</v>
      </c>
      <c r="S4485">
        <v>0.64392090000000002</v>
      </c>
      <c r="T4485">
        <v>-0.28890779999999999</v>
      </c>
      <c r="U4485">
        <v>-2.9845579999999998</v>
      </c>
      <c r="V4485">
        <v>-0.124413</v>
      </c>
      <c r="W4485">
        <v>2.4002210000000001E-3</v>
      </c>
      <c r="X4485">
        <v>0.99222759999999999</v>
      </c>
      <c r="Y4485">
        <v>-0.30771680000000001</v>
      </c>
      <c r="Z4485">
        <v>9.2217469999999996E-2</v>
      </c>
      <c r="AA4485">
        <v>0.94699860000000002</v>
      </c>
      <c r="AB4485">
        <v>25</v>
      </c>
      <c r="AC4485">
        <v>2.5062999999999498</v>
      </c>
      <c r="AD4485">
        <v>-1.118212419942</v>
      </c>
      <c r="AE4485">
        <v>-11.3232</v>
      </c>
      <c r="AF4485">
        <v>-3.6045746275214801</v>
      </c>
      <c r="AG4485">
        <v>-1.118212419942</v>
      </c>
      <c r="AH4485">
        <v>10.910411945020799</v>
      </c>
      <c r="AI4485">
        <v>95.558340457233896</v>
      </c>
      <c r="AJ4485">
        <v>108.282487524761</v>
      </c>
      <c r="AK4485">
        <v>11.544715071041701</v>
      </c>
      <c r="AL4485">
        <v>89.862477332405504</v>
      </c>
      <c r="AM4485">
        <v>97.146879362541895</v>
      </c>
      <c r="AN4485">
        <v>0.99999998291580405</v>
      </c>
    </row>
    <row r="4486" spans="1:40" x14ac:dyDescent="0.3">
      <c r="A4486" t="str">
        <f>"20200111160550780"</f>
        <v>20200111160550780</v>
      </c>
      <c r="B4486" t="str">
        <f>"1578729950776147"</f>
        <v>1578729950776147</v>
      </c>
      <c r="C4486" t="s">
        <v>40</v>
      </c>
      <c r="D4486">
        <v>5.5397930000000004</v>
      </c>
      <c r="E4486">
        <v>0.42501650000000002</v>
      </c>
      <c r="F4486" t="s">
        <v>41</v>
      </c>
      <c r="G4486">
        <v>-421.74680000000001</v>
      </c>
      <c r="H4486" s="1">
        <v>-1.479607E-6</v>
      </c>
      <c r="I4486">
        <v>111.9547</v>
      </c>
      <c r="J4486">
        <v>-424.1936</v>
      </c>
      <c r="K4486">
        <v>1.11792</v>
      </c>
      <c r="L4486">
        <v>122.944</v>
      </c>
      <c r="M4486">
        <v>-9.0015310000000001E-2</v>
      </c>
      <c r="N4486">
        <v>0</v>
      </c>
      <c r="O4486">
        <v>-0.9958264</v>
      </c>
      <c r="P4486">
        <v>2.6375369999999999E-2</v>
      </c>
      <c r="Q4486">
        <v>-1.065195E-2</v>
      </c>
      <c r="R4486">
        <v>-0.99959540000000002</v>
      </c>
      <c r="S4486">
        <v>0.64691160000000003</v>
      </c>
      <c r="T4486">
        <v>-0.2970526</v>
      </c>
      <c r="U4486">
        <v>-2.982758</v>
      </c>
      <c r="V4486">
        <v>-0.11631610000000001</v>
      </c>
      <c r="W4486">
        <v>2.213778E-3</v>
      </c>
      <c r="X4486">
        <v>0.99320980000000003</v>
      </c>
      <c r="Y4486">
        <v>-0.29810039999999999</v>
      </c>
      <c r="Z4486">
        <v>9.5144699999999999E-2</v>
      </c>
      <c r="AA4486">
        <v>0.94978079999999998</v>
      </c>
      <c r="AB4486">
        <v>25</v>
      </c>
      <c r="AC4486">
        <v>2.4467999999999899</v>
      </c>
      <c r="AD4486">
        <v>-1.1179214796070001</v>
      </c>
      <c r="AE4486">
        <v>-10.9893</v>
      </c>
      <c r="AF4486">
        <v>-3.3927304792330299</v>
      </c>
      <c r="AG4486">
        <v>-1.1179214796070001</v>
      </c>
      <c r="AH4486">
        <v>10.619694656932101</v>
      </c>
      <c r="AI4486">
        <v>95.726233599120505</v>
      </c>
      <c r="AJ4486">
        <v>107.717398563808</v>
      </c>
      <c r="AK4486">
        <v>11.204386781335</v>
      </c>
      <c r="AL4486">
        <v>89.873159762928594</v>
      </c>
      <c r="AM4486">
        <v>96.679557797172095</v>
      </c>
      <c r="AN4486">
        <v>1.00000002137414</v>
      </c>
    </row>
    <row r="4487" spans="1:40" x14ac:dyDescent="0.3">
      <c r="A4487" t="str">
        <f>"20200111160550802"</f>
        <v>20200111160550802</v>
      </c>
      <c r="B4487" t="str">
        <f>"1578729950796643"</f>
        <v>1578729950796643</v>
      </c>
      <c r="C4487" t="s">
        <v>40</v>
      </c>
      <c r="D4487">
        <v>5.4767760000000001</v>
      </c>
      <c r="E4487">
        <v>0.4390232</v>
      </c>
      <c r="F4487" t="s">
        <v>80</v>
      </c>
      <c r="G4487">
        <v>-396.53629999999998</v>
      </c>
      <c r="H4487">
        <v>1.7702690000000001</v>
      </c>
      <c r="I4487">
        <v>0.71601870000000001</v>
      </c>
      <c r="J4487">
        <v>-424.20339999999999</v>
      </c>
      <c r="K4487">
        <v>1.11761</v>
      </c>
      <c r="L4487">
        <v>122.69670000000001</v>
      </c>
      <c r="M4487">
        <v>-7.8997769999999995E-2</v>
      </c>
      <c r="N4487">
        <v>0</v>
      </c>
      <c r="O4487">
        <v>-0.99676200000000004</v>
      </c>
      <c r="P4487">
        <v>2.623288E-2</v>
      </c>
      <c r="Q4487">
        <v>-1.1767150000000001E-2</v>
      </c>
      <c r="R4487">
        <v>-0.99958659999999999</v>
      </c>
      <c r="S4487">
        <v>0.67510990000000004</v>
      </c>
      <c r="T4487">
        <v>1.5923260000000002E-2</v>
      </c>
      <c r="U4487">
        <v>-2.9835660000000002</v>
      </c>
      <c r="V4487">
        <v>-0.10516349999999999</v>
      </c>
      <c r="W4487">
        <v>1.3421220000000001E-3</v>
      </c>
      <c r="X4487">
        <v>0.99445399999999995</v>
      </c>
      <c r="Y4487">
        <v>-0.29706250000000001</v>
      </c>
      <c r="Z4487">
        <v>-5.126556E-3</v>
      </c>
      <c r="AA4487">
        <v>0.95484429999999998</v>
      </c>
      <c r="AB4487">
        <v>24</v>
      </c>
      <c r="AC4487">
        <v>27.667100000000001</v>
      </c>
      <c r="AD4487">
        <v>0.65265899999999899</v>
      </c>
      <c r="AE4487">
        <v>-121.9806813</v>
      </c>
      <c r="AF4487">
        <v>-37.216887209164497</v>
      </c>
      <c r="AG4487">
        <v>0.65265899999999899</v>
      </c>
      <c r="AH4487">
        <v>119.410244311508</v>
      </c>
      <c r="AI4487">
        <v>89.701026660339707</v>
      </c>
      <c r="AJ4487">
        <v>107.310819435813</v>
      </c>
      <c r="AK4487">
        <v>125.077292518842</v>
      </c>
      <c r="AL4487">
        <v>89.923102047690307</v>
      </c>
      <c r="AM4487">
        <v>96.036592269124</v>
      </c>
      <c r="AN4487">
        <v>0.99999996056985496</v>
      </c>
    </row>
    <row r="4488" spans="1:40" x14ac:dyDescent="0.3">
      <c r="A4488" t="str">
        <f>"20200111160550835"</f>
        <v>20200111160550835</v>
      </c>
      <c r="B4488" t="str">
        <f>"1578729950826899"</f>
        <v>1578729950826899</v>
      </c>
      <c r="C4488" t="s">
        <v>40</v>
      </c>
      <c r="D4488">
        <v>6.4089159999999996</v>
      </c>
      <c r="E4488">
        <v>0.43876409999999899</v>
      </c>
      <c r="F4488" t="s">
        <v>41</v>
      </c>
      <c r="G4488">
        <v>-422.18799999999999</v>
      </c>
      <c r="H4488" s="1">
        <v>-1.7232669999999901E-6</v>
      </c>
      <c r="I4488">
        <v>112.249</v>
      </c>
      <c r="J4488">
        <v>-424.21319999999997</v>
      </c>
      <c r="K4488">
        <v>1.117124</v>
      </c>
      <c r="L4488">
        <v>122.34439999999999</v>
      </c>
      <c r="M4488">
        <v>-6.4226019999999995E-2</v>
      </c>
      <c r="N4488">
        <v>0</v>
      </c>
      <c r="O4488">
        <v>-0.99782380000000004</v>
      </c>
      <c r="P4488">
        <v>3.128794E-2</v>
      </c>
      <c r="Q4488">
        <v>-1.444115E-2</v>
      </c>
      <c r="R4488">
        <v>-0.99940589999999996</v>
      </c>
      <c r="S4488">
        <v>0.57531739999999998</v>
      </c>
      <c r="T4488">
        <v>-0.31903209999999999</v>
      </c>
      <c r="U4488">
        <v>-2.9823909999999998</v>
      </c>
      <c r="V4488">
        <v>-9.5412570000000002E-2</v>
      </c>
      <c r="W4488">
        <v>-1.1280019999999999E-3</v>
      </c>
      <c r="X4488">
        <v>0.99543720000000002</v>
      </c>
      <c r="Y4488">
        <v>-0.25106919999999999</v>
      </c>
      <c r="Z4488">
        <v>0.1033879</v>
      </c>
      <c r="AA4488">
        <v>0.96243190000000001</v>
      </c>
      <c r="AB4488">
        <v>24</v>
      </c>
      <c r="AC4488">
        <v>2.02519999999992</v>
      </c>
      <c r="AD4488">
        <v>-1.117125723267</v>
      </c>
      <c r="AE4488">
        <v>-10.0953999999999</v>
      </c>
      <c r="AF4488">
        <v>-2.6384198817649498</v>
      </c>
      <c r="AG4488">
        <v>-1.117125723267</v>
      </c>
      <c r="AH4488">
        <v>9.8287703087511602</v>
      </c>
      <c r="AI4488">
        <v>96.264418164592399</v>
      </c>
      <c r="AJ4488">
        <v>105.02615145877699</v>
      </c>
      <c r="AK4488">
        <v>10.2378686813352</v>
      </c>
      <c r="AL4488">
        <v>90.064629765970693</v>
      </c>
      <c r="AM4488">
        <v>95.475069555194395</v>
      </c>
      <c r="AN4488">
        <v>1.00000002502317</v>
      </c>
    </row>
    <row r="4489" spans="1:40" x14ac:dyDescent="0.3">
      <c r="A4489" t="str">
        <f>"20200111160550857"</f>
        <v>20200111160550857</v>
      </c>
      <c r="B4489" t="str">
        <f>"1578729950846419"</f>
        <v>1578729950846419</v>
      </c>
      <c r="C4489" t="s">
        <v>40</v>
      </c>
      <c r="D4489">
        <v>5.5163409999999997</v>
      </c>
      <c r="E4489">
        <v>0.439139</v>
      </c>
      <c r="F4489" t="s">
        <v>41</v>
      </c>
      <c r="G4489">
        <v>-422.25450000000001</v>
      </c>
      <c r="H4489" s="1">
        <v>-1.849875E-6</v>
      </c>
      <c r="I4489">
        <v>112.5029</v>
      </c>
      <c r="J4489">
        <v>-424.21769999999998</v>
      </c>
      <c r="K4489">
        <v>1.116797</v>
      </c>
      <c r="L4489">
        <v>122.1056</v>
      </c>
      <c r="M4489">
        <v>-5.4760650000000001E-2</v>
      </c>
      <c r="N4489">
        <v>0</v>
      </c>
      <c r="O4489">
        <v>-0.99838910000000003</v>
      </c>
      <c r="P4489">
        <v>3.5825610000000001E-2</v>
      </c>
      <c r="Q4489">
        <v>-1.48766E-2</v>
      </c>
      <c r="R4489">
        <v>-0.99924749999999996</v>
      </c>
      <c r="S4489">
        <v>0.59274289999999996</v>
      </c>
      <c r="T4489">
        <v>-0.33807609999999999</v>
      </c>
      <c r="U4489">
        <v>-2.9783330000000001</v>
      </c>
      <c r="V4489">
        <v>-9.0485350000000006E-2</v>
      </c>
      <c r="W4489">
        <v>-1.4691719999999999E-3</v>
      </c>
      <c r="X4489">
        <v>0.99589669999999997</v>
      </c>
      <c r="Y4489">
        <v>-0.24742529999999999</v>
      </c>
      <c r="Z4489">
        <v>0.10971599999999999</v>
      </c>
      <c r="AA4489">
        <v>0.96267499999999995</v>
      </c>
      <c r="AB4489">
        <v>24</v>
      </c>
      <c r="AC4489">
        <v>1.9631999999999701</v>
      </c>
      <c r="AD4489">
        <v>-1.1167988498749899</v>
      </c>
      <c r="AE4489">
        <v>-9.6027000000000005</v>
      </c>
      <c r="AF4489">
        <v>-2.45429714250881</v>
      </c>
      <c r="AG4489">
        <v>-1.1167988498749899</v>
      </c>
      <c r="AH4489">
        <v>9.3592574238282005</v>
      </c>
      <c r="AI4489">
        <v>96.5841145090574</v>
      </c>
      <c r="AJ4489">
        <v>104.693939554906</v>
      </c>
      <c r="AK4489">
        <v>9.73994423291491</v>
      </c>
      <c r="AL4489">
        <v>90.084177385509406</v>
      </c>
      <c r="AM4489">
        <v>95.191535160291394</v>
      </c>
      <c r="AN4489">
        <v>0.999999997050939</v>
      </c>
    </row>
    <row r="4490" spans="1:40" x14ac:dyDescent="0.3">
      <c r="A4490" t="str">
        <f>"20200111160550880"</f>
        <v>20200111160550880</v>
      </c>
      <c r="B4490" t="str">
        <f>"1578729950876813"</f>
        <v>1578729950876813</v>
      </c>
      <c r="C4490" t="s">
        <v>40</v>
      </c>
      <c r="D4490">
        <v>5.4897609999999997</v>
      </c>
      <c r="E4490">
        <v>0.43977860000000002</v>
      </c>
      <c r="F4490" t="s">
        <v>41</v>
      </c>
      <c r="G4490">
        <v>-422.00490000000002</v>
      </c>
      <c r="H4490" s="1">
        <v>-1.211899E-6</v>
      </c>
      <c r="I4490">
        <v>111.17059999999999</v>
      </c>
      <c r="J4490">
        <v>-424.22039999999998</v>
      </c>
      <c r="K4490">
        <v>1.116458</v>
      </c>
      <c r="L4490">
        <v>121.86109999999999</v>
      </c>
      <c r="M4490">
        <v>-4.553347E-2</v>
      </c>
      <c r="N4490">
        <v>0</v>
      </c>
      <c r="O4490">
        <v>-0.99885349999999995</v>
      </c>
      <c r="P4490">
        <v>4.0569819999999999E-2</v>
      </c>
      <c r="Q4490">
        <v>-1.3487020000000001E-2</v>
      </c>
      <c r="R4490">
        <v>-0.99908549999999996</v>
      </c>
      <c r="S4490">
        <v>0.60223389999999999</v>
      </c>
      <c r="T4490">
        <v>-0.30395440000000001</v>
      </c>
      <c r="U4490">
        <v>-2.9761510000000002</v>
      </c>
      <c r="V4490">
        <v>-8.6033490000000004E-2</v>
      </c>
      <c r="W4490" s="1">
        <v>-5.3422990000000005E-7</v>
      </c>
      <c r="X4490">
        <v>0.99629219999999996</v>
      </c>
      <c r="Y4490">
        <v>-0.241784</v>
      </c>
      <c r="Z4490">
        <v>9.8942559999999999E-2</v>
      </c>
      <c r="AA4490">
        <v>0.96527240000000003</v>
      </c>
      <c r="AB4490">
        <v>24</v>
      </c>
      <c r="AC4490">
        <v>2.2154999999999601</v>
      </c>
      <c r="AD4490">
        <v>-1.116459211899</v>
      </c>
      <c r="AE4490">
        <v>-10.6905</v>
      </c>
      <c r="AF4490">
        <v>-2.6720870501999201</v>
      </c>
      <c r="AG4490">
        <v>-1.116459211899</v>
      </c>
      <c r="AH4490">
        <v>10.469039395995299</v>
      </c>
      <c r="AI4490">
        <v>95.899503981104203</v>
      </c>
      <c r="AJ4490">
        <v>104.31830547777901</v>
      </c>
      <c r="AK4490">
        <v>10.8621966586221</v>
      </c>
      <c r="AL4490">
        <v>90.000030609119904</v>
      </c>
      <c r="AM4490">
        <v>94.935457428649798</v>
      </c>
      <c r="AN4490">
        <v>0.99999995459135105</v>
      </c>
    </row>
    <row r="4491" spans="1:40" x14ac:dyDescent="0.3">
      <c r="A4491" t="str">
        <f>"20200111160550905"</f>
        <v>20200111160550905</v>
      </c>
      <c r="B4491" t="str">
        <f>"1578729950896332"</f>
        <v>1578729950896332</v>
      </c>
      <c r="C4491" t="s">
        <v>40</v>
      </c>
      <c r="D4491">
        <v>5.5166440000000003</v>
      </c>
      <c r="E4491">
        <v>0.44065179999999998</v>
      </c>
      <c r="F4491" t="s">
        <v>41</v>
      </c>
      <c r="G4491">
        <v>-422.06700000000001</v>
      </c>
      <c r="H4491" s="1">
        <v>-1.322837E-6</v>
      </c>
      <c r="I4491">
        <v>111.3907</v>
      </c>
      <c r="J4491">
        <v>-424.22149999999999</v>
      </c>
      <c r="K4491">
        <v>1.1160909999999999</v>
      </c>
      <c r="L4491">
        <v>121.60680000000001</v>
      </c>
      <c r="M4491">
        <v>-3.6516600000000003E-2</v>
      </c>
      <c r="N4491">
        <v>0</v>
      </c>
      <c r="O4491">
        <v>-0.99922500000000003</v>
      </c>
      <c r="P4491">
        <v>4.4626010000000001E-2</v>
      </c>
      <c r="Q4491">
        <v>-1.339913E-2</v>
      </c>
      <c r="R4491">
        <v>-0.99891390000000002</v>
      </c>
      <c r="S4491">
        <v>0.61157229999999996</v>
      </c>
      <c r="T4491">
        <v>-0.31707729999999901</v>
      </c>
      <c r="U4491">
        <v>-2.973633</v>
      </c>
      <c r="V4491">
        <v>-8.1086510000000001E-2</v>
      </c>
      <c r="W4491">
        <v>1.6957919999999901E-4</v>
      </c>
      <c r="X4491">
        <v>0.99670709999999996</v>
      </c>
      <c r="Y4491">
        <v>-0.23600380000000001</v>
      </c>
      <c r="Z4491">
        <v>0.1033543</v>
      </c>
      <c r="AA4491">
        <v>0.96624019999999999</v>
      </c>
      <c r="AB4491">
        <v>24</v>
      </c>
      <c r="AC4491">
        <v>2.15450000000004</v>
      </c>
      <c r="AD4491">
        <v>-1.1160923228370001</v>
      </c>
      <c r="AE4491">
        <v>-10.216100000000001</v>
      </c>
      <c r="AF4491">
        <v>-2.4976199959486598</v>
      </c>
      <c r="AG4491">
        <v>-1.1160923228370001</v>
      </c>
      <c r="AH4491">
        <v>10.0161469990238</v>
      </c>
      <c r="AI4491">
        <v>96.170768435629697</v>
      </c>
      <c r="AJ4491">
        <v>104.00169141960799</v>
      </c>
      <c r="AK4491">
        <v>10.3830134557994</v>
      </c>
      <c r="AL4491">
        <v>89.9902838279571</v>
      </c>
      <c r="AM4491">
        <v>94.651020934439202</v>
      </c>
      <c r="AN4491">
        <v>1.00000004702574</v>
      </c>
    </row>
    <row r="4492" spans="1:40" x14ac:dyDescent="0.3">
      <c r="A4492" t="str">
        <f>"20200111160550925"</f>
        <v>20200111160550925</v>
      </c>
      <c r="B4492" t="str">
        <f>"1578729950916828"</f>
        <v>1578729950916828</v>
      </c>
      <c r="C4492" t="s">
        <v>40</v>
      </c>
      <c r="D4492">
        <v>5.5205149999999996</v>
      </c>
      <c r="E4492">
        <v>0.44084440000000003</v>
      </c>
      <c r="F4492" t="s">
        <v>41</v>
      </c>
      <c r="G4492">
        <v>-422.09949999999998</v>
      </c>
      <c r="H4492" s="1">
        <v>-1.33231E-6</v>
      </c>
      <c r="I4492">
        <v>111.3926</v>
      </c>
      <c r="J4492">
        <v>-424.221</v>
      </c>
      <c r="K4492">
        <v>1.115726</v>
      </c>
      <c r="L4492">
        <v>121.378</v>
      </c>
      <c r="M4492">
        <v>-2.8995150000000001E-2</v>
      </c>
      <c r="N4492">
        <v>0</v>
      </c>
      <c r="O4492">
        <v>-0.99947229999999998</v>
      </c>
      <c r="P4492">
        <v>4.665097E-2</v>
      </c>
      <c r="Q4492">
        <v>-1.5056720000000001E-2</v>
      </c>
      <c r="R4492">
        <v>-0.99879779999999996</v>
      </c>
      <c r="S4492">
        <v>0.61730959999999901</v>
      </c>
      <c r="T4492">
        <v>-0.3246714</v>
      </c>
      <c r="U4492">
        <v>-2.9713129999999999</v>
      </c>
      <c r="V4492">
        <v>-7.5583059999999994E-2</v>
      </c>
      <c r="W4492">
        <v>-1.4073849999999999E-3</v>
      </c>
      <c r="X4492">
        <v>0.99713850000000004</v>
      </c>
      <c r="Y4492">
        <v>-0.23057130000000001</v>
      </c>
      <c r="Z4492">
        <v>0.1059711</v>
      </c>
      <c r="AA4492">
        <v>0.96726780000000001</v>
      </c>
      <c r="AB4492">
        <v>24</v>
      </c>
      <c r="AC4492">
        <v>2.1215000000000201</v>
      </c>
      <c r="AD4492">
        <v>-1.1157273323100001</v>
      </c>
      <c r="AE4492">
        <v>-9.9853999999999807</v>
      </c>
      <c r="AF4492">
        <v>-2.3817158180939302</v>
      </c>
      <c r="AG4492">
        <v>-1.1157273323100001</v>
      </c>
      <c r="AH4492">
        <v>9.8025824036088292</v>
      </c>
      <c r="AI4492">
        <v>96.311372078791806</v>
      </c>
      <c r="AJ4492">
        <v>103.656427784835</v>
      </c>
      <c r="AK4492">
        <v>10.149287634990101</v>
      </c>
      <c r="AL4492">
        <v>90.080637248565395</v>
      </c>
      <c r="AM4492">
        <v>94.334728646487207</v>
      </c>
      <c r="AN4492">
        <v>0.99999998393687495</v>
      </c>
    </row>
    <row r="4493" spans="1:40" x14ac:dyDescent="0.3">
      <c r="A4493" t="str">
        <f>"20200111160550948"</f>
        <v>20200111160550948</v>
      </c>
      <c r="B4493" t="str">
        <f>"1578729950936348"</f>
        <v>1578729950936348</v>
      </c>
      <c r="C4493" t="s">
        <v>40</v>
      </c>
      <c r="D4493">
        <v>5.5519410000000002</v>
      </c>
      <c r="E4493">
        <v>0.44114779999999998</v>
      </c>
      <c r="F4493" t="s">
        <v>41</v>
      </c>
      <c r="G4493">
        <v>-422.1207</v>
      </c>
      <c r="H4493" s="1">
        <v>-1.3195269999999999E-6</v>
      </c>
      <c r="I4493">
        <v>111.3496</v>
      </c>
      <c r="J4493">
        <v>-424.2192</v>
      </c>
      <c r="K4493">
        <v>1.1153869999999999</v>
      </c>
      <c r="L4493">
        <v>121.1387</v>
      </c>
      <c r="M4493">
        <v>-2.1589480000000001E-2</v>
      </c>
      <c r="N4493">
        <v>0</v>
      </c>
      <c r="O4493">
        <v>-0.99966089999999996</v>
      </c>
      <c r="P4493">
        <v>4.9013830000000001E-2</v>
      </c>
      <c r="Q4493">
        <v>-1.4851329999999999E-2</v>
      </c>
      <c r="R4493">
        <v>-0.99868789999999996</v>
      </c>
      <c r="S4493">
        <v>0.62194819999999995</v>
      </c>
      <c r="T4493">
        <v>-0.33038770000000001</v>
      </c>
      <c r="U4493">
        <v>-2.969589</v>
      </c>
      <c r="V4493">
        <v>-7.055736E-2</v>
      </c>
      <c r="W4493">
        <v>-1.1408049999999999E-3</v>
      </c>
      <c r="X4493">
        <v>0.99750709999999998</v>
      </c>
      <c r="Y4493">
        <v>-0.22487679999999999</v>
      </c>
      <c r="Z4493">
        <v>0.1079623</v>
      </c>
      <c r="AA4493">
        <v>0.96838760000000002</v>
      </c>
      <c r="AB4493">
        <v>24</v>
      </c>
      <c r="AC4493">
        <v>2.0985</v>
      </c>
      <c r="AD4493">
        <v>-1.115388319527</v>
      </c>
      <c r="AE4493">
        <v>-9.7890999999999995</v>
      </c>
      <c r="AF4493">
        <v>-2.28106144951157</v>
      </c>
      <c r="AG4493">
        <v>-1.115388319527</v>
      </c>
      <c r="AH4493">
        <v>9.6220750773520294</v>
      </c>
      <c r="AI4493">
        <v>96.435395145642104</v>
      </c>
      <c r="AJ4493">
        <v>103.33664705901801</v>
      </c>
      <c r="AK4493">
        <v>9.9514652807505808</v>
      </c>
      <c r="AL4493">
        <v>90.065363324060996</v>
      </c>
      <c r="AM4493">
        <v>94.046003272530399</v>
      </c>
      <c r="AN4493">
        <v>1.0000000285183099</v>
      </c>
    </row>
    <row r="4494" spans="1:40" x14ac:dyDescent="0.3">
      <c r="A4494" t="str">
        <f>"20200111160550970"</f>
        <v>20200111160550970</v>
      </c>
      <c r="B4494" t="str">
        <f>"1578729950966605"</f>
        <v>1578729950966605</v>
      </c>
      <c r="C4494" t="s">
        <v>40</v>
      </c>
      <c r="D4494">
        <v>5.5746520000000004</v>
      </c>
      <c r="E4494">
        <v>0.44179170000000001</v>
      </c>
      <c r="F4494" t="s">
        <v>41</v>
      </c>
      <c r="G4494">
        <v>-422.10210000000001</v>
      </c>
      <c r="H4494" s="1">
        <v>-1.2124199999999999E-6</v>
      </c>
      <c r="I4494">
        <v>111.11150000000001</v>
      </c>
      <c r="J4494">
        <v>-424.21640000000002</v>
      </c>
      <c r="K4494">
        <v>1.115083</v>
      </c>
      <c r="L4494">
        <v>120.90470000000001</v>
      </c>
      <c r="M4494">
        <v>-1.480859E-2</v>
      </c>
      <c r="N4494">
        <v>0</v>
      </c>
      <c r="O4494">
        <v>-0.99978509999999998</v>
      </c>
      <c r="P4494">
        <v>5.0628890000000003E-2</v>
      </c>
      <c r="Q4494">
        <v>-1.386563E-2</v>
      </c>
      <c r="R4494">
        <v>-0.9986216</v>
      </c>
      <c r="S4494">
        <v>0.62670899999999996</v>
      </c>
      <c r="T4494">
        <v>-0.33017659999999999</v>
      </c>
      <c r="U4494">
        <v>-2.9682620000000002</v>
      </c>
      <c r="V4494">
        <v>-6.5416150000000006E-2</v>
      </c>
      <c r="W4494">
        <v>-1.00356E-4</v>
      </c>
      <c r="X4494">
        <v>0.99785800000000002</v>
      </c>
      <c r="Y4494">
        <v>-0.2198407</v>
      </c>
      <c r="Z4494">
        <v>0.10800659999999999</v>
      </c>
      <c r="AA4494">
        <v>0.96953840000000002</v>
      </c>
      <c r="AB4494">
        <v>24</v>
      </c>
      <c r="AC4494">
        <v>2.1143000000000098</v>
      </c>
      <c r="AD4494">
        <v>-1.11508421242</v>
      </c>
      <c r="AE4494">
        <v>-9.7932000000000006</v>
      </c>
      <c r="AF4494">
        <v>-2.23146475900481</v>
      </c>
      <c r="AG4494">
        <v>-1.11508421242</v>
      </c>
      <c r="AH4494">
        <v>9.6413809512580997</v>
      </c>
      <c r="AI4494">
        <v>96.428829920699201</v>
      </c>
      <c r="AJ4494">
        <v>103.031458934008</v>
      </c>
      <c r="AK4494">
        <v>9.9588691335287294</v>
      </c>
      <c r="AL4494">
        <v>90.005749975629499</v>
      </c>
      <c r="AM4494">
        <v>93.750747897565802</v>
      </c>
      <c r="AN4494">
        <v>0.99999993545807198</v>
      </c>
    </row>
    <row r="4495" spans="1:40" x14ac:dyDescent="0.3">
      <c r="A4495" t="str">
        <f>"20200111160550992"</f>
        <v>20200111160550992</v>
      </c>
      <c r="B4495" t="str">
        <f>"1578729950986124"</f>
        <v>1578729950986124</v>
      </c>
      <c r="C4495" t="s">
        <v>40</v>
      </c>
      <c r="D4495">
        <v>5.5875490000000001</v>
      </c>
      <c r="E4495">
        <v>0.44225039999999999</v>
      </c>
      <c r="F4495" t="s">
        <v>41</v>
      </c>
      <c r="G4495">
        <v>-422.09559999999999</v>
      </c>
      <c r="H4495" s="1">
        <v>-1.0938359999999999E-6</v>
      </c>
      <c r="I4495">
        <v>110.8391</v>
      </c>
      <c r="J4495">
        <v>-424.2122</v>
      </c>
      <c r="K4495">
        <v>1.1147499999999999</v>
      </c>
      <c r="L4495">
        <v>120.6553</v>
      </c>
      <c r="M4495">
        <v>-8.1547289999999995E-3</v>
      </c>
      <c r="N4495">
        <v>0</v>
      </c>
      <c r="O4495">
        <v>-0.99986240000000004</v>
      </c>
      <c r="P4495">
        <v>5.3161220000000002E-2</v>
      </c>
      <c r="Q4495">
        <v>-1.229572E-2</v>
      </c>
      <c r="R4495">
        <v>-0.99851040000000002</v>
      </c>
      <c r="S4495">
        <v>0.62530520000000001</v>
      </c>
      <c r="T4495">
        <v>-0.3287872</v>
      </c>
      <c r="U4495">
        <v>-2.9678800000000001</v>
      </c>
      <c r="V4495">
        <v>-6.1321149999999998E-2</v>
      </c>
      <c r="W4495">
        <v>1.505677E-3</v>
      </c>
      <c r="X4495">
        <v>0.99811700000000003</v>
      </c>
      <c r="Y4495">
        <v>-0.21293899999999999</v>
      </c>
      <c r="Z4495">
        <v>0.10767210000000001</v>
      </c>
      <c r="AA4495">
        <v>0.97111460000000005</v>
      </c>
      <c r="AB4495">
        <v>24</v>
      </c>
      <c r="AC4495">
        <v>2.1166</v>
      </c>
      <c r="AD4495">
        <v>-1.1147510938359999</v>
      </c>
      <c r="AE4495">
        <v>-9.8161999999999896</v>
      </c>
      <c r="AF4495">
        <v>-2.1698464036169001</v>
      </c>
      <c r="AG4495">
        <v>-1.1147510938359999</v>
      </c>
      <c r="AH4495">
        <v>9.6793286505996008</v>
      </c>
      <c r="AI4495">
        <v>96.411946504494296</v>
      </c>
      <c r="AJ4495">
        <v>102.635287859366</v>
      </c>
      <c r="AK4495">
        <v>9.9819991255667802</v>
      </c>
      <c r="AL4495">
        <v>89.913731034142899</v>
      </c>
      <c r="AM4495">
        <v>93.515652568645706</v>
      </c>
      <c r="AN4495">
        <v>1.0000000480947699</v>
      </c>
    </row>
    <row r="4496" spans="1:40" x14ac:dyDescent="0.3">
      <c r="A4496" t="str">
        <f>"20200111160551015"</f>
        <v>20200111160551015</v>
      </c>
      <c r="B4496" t="str">
        <f>"1578729951006620"</f>
        <v>1578729951006620</v>
      </c>
      <c r="C4496" t="s">
        <v>40</v>
      </c>
      <c r="D4496">
        <v>5.658442</v>
      </c>
      <c r="E4496">
        <v>0.4431042</v>
      </c>
      <c r="F4496" t="s">
        <v>41</v>
      </c>
      <c r="G4496">
        <v>-422.06560000000002</v>
      </c>
      <c r="H4496" s="1">
        <v>-9.5140299999999999E-7</v>
      </c>
      <c r="I4496">
        <v>110.5257</v>
      </c>
      <c r="J4496">
        <v>-424.2072</v>
      </c>
      <c r="K4496">
        <v>1.114395</v>
      </c>
      <c r="L4496">
        <v>120.422</v>
      </c>
      <c r="M4496">
        <v>-2.482794E-3</v>
      </c>
      <c r="N4496">
        <v>0</v>
      </c>
      <c r="O4496">
        <v>-0.99989349999999999</v>
      </c>
      <c r="P4496">
        <v>5.5125500000000001E-2</v>
      </c>
      <c r="Q4496">
        <v>-1.2266259999999999E-2</v>
      </c>
      <c r="R4496">
        <v>-0.99840419999999996</v>
      </c>
      <c r="S4496">
        <v>0.62872309999999998</v>
      </c>
      <c r="T4496">
        <v>-0.32651249999999998</v>
      </c>
      <c r="U4496">
        <v>-2.9669949999999998</v>
      </c>
      <c r="V4496">
        <v>-5.7621249999999999E-2</v>
      </c>
      <c r="W4496">
        <v>1.563851E-3</v>
      </c>
      <c r="X4496">
        <v>0.99833729999999998</v>
      </c>
      <c r="Y4496">
        <v>-0.20854039999999999</v>
      </c>
      <c r="Z4496">
        <v>0.1070107</v>
      </c>
      <c r="AA4496">
        <v>0.9721417</v>
      </c>
      <c r="AB4496">
        <v>24</v>
      </c>
      <c r="AC4496">
        <v>2.14159999999998</v>
      </c>
      <c r="AD4496">
        <v>-1.114395951403</v>
      </c>
      <c r="AE4496">
        <v>-9.8963000000000001</v>
      </c>
      <c r="AF4496">
        <v>-2.14024136166109</v>
      </c>
      <c r="AG4496">
        <v>-1.114395951403</v>
      </c>
      <c r="AH4496">
        <v>9.7725751799428409</v>
      </c>
      <c r="AI4496">
        <v>96.356139592486002</v>
      </c>
      <c r="AJ4496">
        <v>102.353021555257</v>
      </c>
      <c r="AK4496">
        <v>10.066068600516401</v>
      </c>
      <c r="AL4496">
        <v>89.910397902225995</v>
      </c>
      <c r="AM4496">
        <v>93.303288102702396</v>
      </c>
      <c r="AN4496">
        <v>1.0000000093264001</v>
      </c>
    </row>
    <row r="4497" spans="1:40" x14ac:dyDescent="0.3">
      <c r="A4497" t="str">
        <f>"20200111160551036"</f>
        <v>20200111160551036</v>
      </c>
      <c r="B4497" t="str">
        <f>"1578729951026140"</f>
        <v>1578729951026140</v>
      </c>
      <c r="C4497" t="s">
        <v>40</v>
      </c>
      <c r="D4497">
        <v>5.6643239999999997</v>
      </c>
      <c r="E4497">
        <v>0.46102009999999999</v>
      </c>
      <c r="F4497" t="s">
        <v>41</v>
      </c>
      <c r="G4497">
        <v>-422.08800000000002</v>
      </c>
      <c r="H4497" s="1">
        <v>-8.9937119999999899E-7</v>
      </c>
      <c r="I4497">
        <v>110.3905</v>
      </c>
      <c r="J4497">
        <v>-424.20170000000002</v>
      </c>
      <c r="K4497">
        <v>1.114018</v>
      </c>
      <c r="L4497">
        <v>120.1902</v>
      </c>
      <c r="M4497">
        <v>2.6040170000000001E-3</v>
      </c>
      <c r="N4497">
        <v>0</v>
      </c>
      <c r="O4497">
        <v>-0.99989410000000001</v>
      </c>
      <c r="P4497">
        <v>5.6828969999999999E-2</v>
      </c>
      <c r="Q4497">
        <v>-1.24654E-2</v>
      </c>
      <c r="R4497">
        <v>-0.99830629999999998</v>
      </c>
      <c r="S4497">
        <v>0.62661739999999999</v>
      </c>
      <c r="T4497">
        <v>-0.329509</v>
      </c>
      <c r="U4497">
        <v>-2.9661409999999999</v>
      </c>
      <c r="V4497">
        <v>-5.4241989999999997E-2</v>
      </c>
      <c r="W4497">
        <v>1.3878979999999901E-3</v>
      </c>
      <c r="X4497">
        <v>0.9985269</v>
      </c>
      <c r="Y4497">
        <v>-0.20293539999999999</v>
      </c>
      <c r="Z4497">
        <v>0.108083399999999</v>
      </c>
      <c r="AA4497">
        <v>0.97320870000000004</v>
      </c>
      <c r="AB4497">
        <v>24</v>
      </c>
      <c r="AC4497">
        <v>2.1136999999999899</v>
      </c>
      <c r="AD4497">
        <v>-1.1140188993711999</v>
      </c>
      <c r="AE4497">
        <v>-9.7996999999999996</v>
      </c>
      <c r="AF4497">
        <v>-2.0627005566210199</v>
      </c>
      <c r="AG4497">
        <v>-1.1140188993711999</v>
      </c>
      <c r="AH4497">
        <v>9.6855700444467701</v>
      </c>
      <c r="AI4497">
        <v>96.418537845760994</v>
      </c>
      <c r="AJ4497">
        <v>102.022462649671</v>
      </c>
      <c r="AK4497">
        <v>9.96524153145951</v>
      </c>
      <c r="AL4497">
        <v>89.920479280244706</v>
      </c>
      <c r="AM4497">
        <v>93.109365954976298</v>
      </c>
      <c r="AN4497">
        <v>1.00000004488181</v>
      </c>
    </row>
    <row r="4498" spans="1:40" x14ac:dyDescent="0.3">
      <c r="A4498" t="str">
        <f>"20200111160551059"</f>
        <v>20200111160551059</v>
      </c>
      <c r="B4498" t="str">
        <f>"1578729951056396"</f>
        <v>1578729951056396</v>
      </c>
      <c r="C4498" t="s">
        <v>40</v>
      </c>
      <c r="D4498">
        <v>5.919149</v>
      </c>
      <c r="E4498">
        <v>0.46081470000000002</v>
      </c>
      <c r="F4498" t="s">
        <v>41</v>
      </c>
      <c r="G4498">
        <v>-422.37020000000001</v>
      </c>
      <c r="H4498" s="1">
        <v>-4.9184649999999997E-6</v>
      </c>
      <c r="I4498">
        <v>108.9992</v>
      </c>
      <c r="J4498">
        <v>-424.19529999999997</v>
      </c>
      <c r="K4498">
        <v>1.1135930000000001</v>
      </c>
      <c r="L4498">
        <v>119.949</v>
      </c>
      <c r="M4498">
        <v>7.3157059999999999E-3</v>
      </c>
      <c r="N4498">
        <v>0</v>
      </c>
      <c r="O4498">
        <v>-0.99987159999999997</v>
      </c>
      <c r="P4498">
        <v>5.7902049999999997E-2</v>
      </c>
      <c r="Q4498">
        <v>-1.1623430000000001E-2</v>
      </c>
      <c r="R4498">
        <v>-0.99825450000000004</v>
      </c>
      <c r="S4498">
        <v>0.48666379999999998</v>
      </c>
      <c r="T4498">
        <v>-0.29602070000000003</v>
      </c>
      <c r="U4498">
        <v>-2.9736790000000002</v>
      </c>
      <c r="V4498">
        <v>-5.0614350000000002E-2</v>
      </c>
      <c r="W4498">
        <v>2.255263E-3</v>
      </c>
      <c r="X4498">
        <v>0.99871569999999998</v>
      </c>
      <c r="Y4498">
        <v>-0.15350939999999999</v>
      </c>
      <c r="Z4498">
        <v>9.782217E-2</v>
      </c>
      <c r="AA4498">
        <v>0.98329330000000004</v>
      </c>
      <c r="AB4498">
        <v>24</v>
      </c>
      <c r="AC4498">
        <v>1.82509999999996</v>
      </c>
      <c r="AD4498">
        <v>-1.113597918465</v>
      </c>
      <c r="AE4498">
        <v>-10.9497999999999</v>
      </c>
      <c r="AF4498">
        <v>-1.72755248745851</v>
      </c>
      <c r="AG4498">
        <v>-1.113597918465</v>
      </c>
      <c r="AH4498">
        <v>10.853636002410299</v>
      </c>
      <c r="AI4498">
        <v>95.785798300260694</v>
      </c>
      <c r="AJ4498">
        <v>99.043795604244096</v>
      </c>
      <c r="AK4498">
        <v>11.046535764381099</v>
      </c>
      <c r="AL4498">
        <v>89.870782835514603</v>
      </c>
      <c r="AM4498">
        <v>92.901235731762796</v>
      </c>
      <c r="AN4498">
        <v>0.99999997403180496</v>
      </c>
    </row>
    <row r="4499" spans="1:40" x14ac:dyDescent="0.3">
      <c r="A4499" t="str">
        <f>"20200111160551081"</f>
        <v>20200111160551081</v>
      </c>
      <c r="B4499" t="str">
        <f>"1578729951076892"</f>
        <v>1578729951076892</v>
      </c>
      <c r="C4499" t="s">
        <v>40</v>
      </c>
      <c r="D4499">
        <v>5.6381329999999998</v>
      </c>
      <c r="E4499">
        <v>0.46163359999999898</v>
      </c>
      <c r="F4499" t="s">
        <v>41</v>
      </c>
      <c r="G4499">
        <v>-422.30849999999998</v>
      </c>
      <c r="H4499" s="1">
        <v>-4.7223170000000003E-6</v>
      </c>
      <c r="I4499">
        <v>108.517</v>
      </c>
      <c r="J4499">
        <v>-424.18860000000001</v>
      </c>
      <c r="K4499">
        <v>1.1131719999999901</v>
      </c>
      <c r="L4499">
        <v>119.71040000000001</v>
      </c>
      <c r="M4499">
        <v>1.1385630000000001E-2</v>
      </c>
      <c r="N4499">
        <v>0</v>
      </c>
      <c r="O4499">
        <v>-0.99983420000000001</v>
      </c>
      <c r="P4499">
        <v>5.8778400000000001E-2</v>
      </c>
      <c r="Q4499">
        <v>-1.2159079999999999E-2</v>
      </c>
      <c r="R4499">
        <v>-0.99819690000000005</v>
      </c>
      <c r="S4499">
        <v>0.4907532</v>
      </c>
      <c r="T4499">
        <v>-0.289637799999999</v>
      </c>
      <c r="U4499">
        <v>-2.9733890000000001</v>
      </c>
      <c r="V4499">
        <v>-4.7420110000000001E-2</v>
      </c>
      <c r="W4499">
        <v>1.739326E-3</v>
      </c>
      <c r="X4499">
        <v>0.99887349999999997</v>
      </c>
      <c r="Y4499">
        <v>-0.15085209999999999</v>
      </c>
      <c r="Z4499">
        <v>9.5745559999999993E-2</v>
      </c>
      <c r="AA4499">
        <v>0.98390880000000003</v>
      </c>
      <c r="AB4499">
        <v>24</v>
      </c>
      <c r="AC4499">
        <v>1.8801000000000201</v>
      </c>
      <c r="AD4499">
        <v>-1.1131767223169999</v>
      </c>
      <c r="AE4499">
        <v>-11.193399999999899</v>
      </c>
      <c r="AF4499">
        <v>-1.7358247586237201</v>
      </c>
      <c r="AG4499">
        <v>-1.1131767223169999</v>
      </c>
      <c r="AH4499">
        <v>11.1072441140851</v>
      </c>
      <c r="AI4499">
        <v>95.654931943048595</v>
      </c>
      <c r="AJ4499">
        <v>98.882259750064506</v>
      </c>
      <c r="AK4499">
        <v>11.2970404008147</v>
      </c>
      <c r="AL4499">
        <v>89.900343908816197</v>
      </c>
      <c r="AM4499">
        <v>92.717995626995304</v>
      </c>
      <c r="AN4499">
        <v>0.999999980544797</v>
      </c>
    </row>
    <row r="4500" spans="1:40" x14ac:dyDescent="0.3">
      <c r="A4500" t="str">
        <f>"20200111160551105"</f>
        <v>20200111160551105</v>
      </c>
      <c r="B4500" t="str">
        <f>"1578729951096412"</f>
        <v>1578729951096412</v>
      </c>
      <c r="C4500" t="s">
        <v>40</v>
      </c>
      <c r="D4500">
        <v>5.7792820000000003</v>
      </c>
      <c r="E4500">
        <v>0.46141339999999997</v>
      </c>
      <c r="F4500" t="s">
        <v>41</v>
      </c>
      <c r="G4500">
        <v>-422.32920000000001</v>
      </c>
      <c r="H4500" s="1">
        <v>-4.660926E-6</v>
      </c>
      <c r="I4500">
        <v>108.3475</v>
      </c>
      <c r="J4500">
        <v>-424.1814</v>
      </c>
      <c r="K4500">
        <v>1.112749</v>
      </c>
      <c r="L4500">
        <v>119.46550000000001</v>
      </c>
      <c r="M4500">
        <v>1.4938160000000001E-2</v>
      </c>
      <c r="N4500">
        <v>0</v>
      </c>
      <c r="O4500">
        <v>-0.99978849999999997</v>
      </c>
      <c r="P4500">
        <v>5.9679360000000001E-2</v>
      </c>
      <c r="Q4500">
        <v>-1.409058E-2</v>
      </c>
      <c r="R4500">
        <v>-0.99811819999999896</v>
      </c>
      <c r="S4500">
        <v>0.48654170000000002</v>
      </c>
      <c r="T4500">
        <v>-0.29127419999999998</v>
      </c>
      <c r="U4500">
        <v>-2.9732059999999998</v>
      </c>
      <c r="V4500">
        <v>-4.4760830000000001E-2</v>
      </c>
      <c r="W4500">
        <v>-1.8064559999999999E-4</v>
      </c>
      <c r="X4500">
        <v>0.99899769999999999</v>
      </c>
      <c r="Y4500">
        <v>-0.1459819</v>
      </c>
      <c r="Z4500">
        <v>9.6326830000000002E-2</v>
      </c>
      <c r="AA4500">
        <v>0.98458639999999997</v>
      </c>
      <c r="AB4500">
        <v>24</v>
      </c>
      <c r="AC4500">
        <v>1.8521999999999801</v>
      </c>
      <c r="AD4500">
        <v>-1.112753660926</v>
      </c>
      <c r="AE4500">
        <v>-11.118</v>
      </c>
      <c r="AF4500">
        <v>-1.6696210101970601</v>
      </c>
      <c r="AG4500">
        <v>-1.112753660926</v>
      </c>
      <c r="AH4500">
        <v>11.036857967358699</v>
      </c>
      <c r="AI4500">
        <v>95.692858889137497</v>
      </c>
      <c r="AJ4500">
        <v>98.602299960841407</v>
      </c>
      <c r="AK4500">
        <v>11.217757744720901</v>
      </c>
      <c r="AL4500">
        <v>90.010350230683599</v>
      </c>
      <c r="AM4500">
        <v>92.565463879563396</v>
      </c>
      <c r="AN4500">
        <v>0.999999984570205</v>
      </c>
    </row>
    <row r="4501" spans="1:40" x14ac:dyDescent="0.3">
      <c r="A4501" t="str">
        <f>"20200111160551126"</f>
        <v>20200111160551126</v>
      </c>
      <c r="B4501" t="str">
        <f>"1578729951116909"</f>
        <v>1578729951116909</v>
      </c>
      <c r="C4501" t="s">
        <v>40</v>
      </c>
      <c r="D4501">
        <v>5.6248800000000001</v>
      </c>
      <c r="E4501">
        <v>0.46160420000000002</v>
      </c>
      <c r="F4501" t="s">
        <v>41</v>
      </c>
      <c r="G4501">
        <v>-422.32819999999998</v>
      </c>
      <c r="H4501" s="1">
        <v>-4.6208529999999999E-6</v>
      </c>
      <c r="I4501">
        <v>108.2437</v>
      </c>
      <c r="J4501">
        <v>-424.17439999999999</v>
      </c>
      <c r="K4501">
        <v>1.1123609999999999</v>
      </c>
      <c r="L4501">
        <v>119.23</v>
      </c>
      <c r="M4501">
        <v>1.7735290000000001E-2</v>
      </c>
      <c r="N4501">
        <v>0</v>
      </c>
      <c r="O4501">
        <v>-0.99974320000000005</v>
      </c>
      <c r="P4501">
        <v>5.9805810000000001E-2</v>
      </c>
      <c r="Q4501">
        <v>-1.7932050000000001E-2</v>
      </c>
      <c r="R4501">
        <v>-0.99804899999999996</v>
      </c>
      <c r="S4501">
        <v>0.49084470000000002</v>
      </c>
      <c r="T4501">
        <v>-0.29471449999999999</v>
      </c>
      <c r="U4501">
        <v>-2.9721220000000002</v>
      </c>
      <c r="V4501">
        <v>-4.207748E-2</v>
      </c>
      <c r="W4501">
        <v>-4.0147539999999997E-3</v>
      </c>
      <c r="X4501">
        <v>0.9991063</v>
      </c>
      <c r="Y4501">
        <v>-0.14464109999999999</v>
      </c>
      <c r="Z4501">
        <v>9.7480150000000002E-2</v>
      </c>
      <c r="AA4501">
        <v>0.98467079999999996</v>
      </c>
      <c r="AB4501">
        <v>24</v>
      </c>
      <c r="AC4501">
        <v>1.8462000000000101</v>
      </c>
      <c r="AD4501">
        <v>-1.1123656208529999</v>
      </c>
      <c r="AE4501">
        <v>-10.9863</v>
      </c>
      <c r="AF4501">
        <v>-1.63474643288904</v>
      </c>
      <c r="AG4501">
        <v>-1.1123656208529999</v>
      </c>
      <c r="AH4501">
        <v>10.908558811936</v>
      </c>
      <c r="AI4501">
        <v>95.758565876295293</v>
      </c>
      <c r="AJ4501">
        <v>98.522868200478001</v>
      </c>
      <c r="AK4501">
        <v>11.0863162740274</v>
      </c>
      <c r="AL4501">
        <v>90.230029074333601</v>
      </c>
      <c r="AM4501">
        <v>92.411593404067801</v>
      </c>
      <c r="AN4501">
        <v>1.0000000156362601</v>
      </c>
    </row>
    <row r="4502" spans="1:40" x14ac:dyDescent="0.3">
      <c r="A4502" t="str">
        <f>"20200111160551148"</f>
        <v>20200111160551148</v>
      </c>
      <c r="B4502" t="str">
        <f>"1578729951136428"</f>
        <v>1578729951136428</v>
      </c>
      <c r="C4502" t="s">
        <v>40</v>
      </c>
      <c r="D4502">
        <v>5.6545550000000002</v>
      </c>
      <c r="E4502">
        <v>0.46179930000000002</v>
      </c>
      <c r="F4502" t="s">
        <v>41</v>
      </c>
      <c r="G4502">
        <v>-422.37950000000001</v>
      </c>
      <c r="H4502" s="1">
        <v>-4.6702730000000003E-6</v>
      </c>
      <c r="I4502">
        <v>108.3486</v>
      </c>
      <c r="J4502">
        <v>-424.16739999999999</v>
      </c>
      <c r="K4502">
        <v>1.112031</v>
      </c>
      <c r="L4502">
        <v>118.9974</v>
      </c>
      <c r="M4502">
        <v>2.0061869999999999E-2</v>
      </c>
      <c r="N4502">
        <v>0</v>
      </c>
      <c r="O4502">
        <v>-0.99969980000000003</v>
      </c>
      <c r="P4502">
        <v>6.0278720000000001E-2</v>
      </c>
      <c r="Q4502">
        <v>-2.2350370000000001E-2</v>
      </c>
      <c r="R4502">
        <v>-0.99793149999999997</v>
      </c>
      <c r="S4502">
        <v>0.49008180000000001</v>
      </c>
      <c r="T4502">
        <v>-0.30372009999999899</v>
      </c>
      <c r="U4502">
        <v>-2.9710390000000002</v>
      </c>
      <c r="V4502">
        <v>-4.0215439999999998E-2</v>
      </c>
      <c r="W4502">
        <v>-8.4362259999999998E-3</v>
      </c>
      <c r="X4502">
        <v>0.99915540000000003</v>
      </c>
      <c r="Y4502">
        <v>-0.14210130000000001</v>
      </c>
      <c r="Z4502">
        <v>0.10047879999999999</v>
      </c>
      <c r="AA4502">
        <v>0.98473920000000004</v>
      </c>
      <c r="AB4502">
        <v>24</v>
      </c>
      <c r="AC4502">
        <v>1.7878999999999701</v>
      </c>
      <c r="AD4502">
        <v>-1.1120356702730001</v>
      </c>
      <c r="AE4502">
        <v>-10.6487999999999</v>
      </c>
      <c r="AF4502">
        <v>-1.5573662615791799</v>
      </c>
      <c r="AG4502">
        <v>-1.1120356702730001</v>
      </c>
      <c r="AH4502">
        <v>10.570415803682501</v>
      </c>
      <c r="AI4502">
        <v>95.941899122085701</v>
      </c>
      <c r="AJ4502">
        <v>98.381236613884894</v>
      </c>
      <c r="AK4502">
        <v>10.7422392110494</v>
      </c>
      <c r="AL4502">
        <v>90.483365886941598</v>
      </c>
      <c r="AM4502">
        <v>92.304878624249199</v>
      </c>
      <c r="AN4502">
        <v>0.99999998243633803</v>
      </c>
    </row>
    <row r="4503" spans="1:40" x14ac:dyDescent="0.3">
      <c r="A4503" t="str">
        <f>"20200111160551170"</f>
        <v>20200111160551170</v>
      </c>
      <c r="B4503" t="str">
        <f>"1578729951166684"</f>
        <v>1578729951166684</v>
      </c>
      <c r="C4503" t="s">
        <v>40</v>
      </c>
      <c r="D4503">
        <v>5.7766789999999997</v>
      </c>
      <c r="E4503">
        <v>0.46249020000000002</v>
      </c>
      <c r="F4503" t="s">
        <v>41</v>
      </c>
      <c r="G4503">
        <v>-422.44639999999998</v>
      </c>
      <c r="H4503" s="1">
        <v>-4.7666950000000001E-6</v>
      </c>
      <c r="I4503">
        <v>108.5688</v>
      </c>
      <c r="J4503">
        <v>-424.16</v>
      </c>
      <c r="K4503">
        <v>1.1117669999999999</v>
      </c>
      <c r="L4503">
        <v>118.7597</v>
      </c>
      <c r="M4503">
        <v>2.2039599999999999E-2</v>
      </c>
      <c r="N4503">
        <v>0</v>
      </c>
      <c r="O4503">
        <v>-0.99965879999999996</v>
      </c>
      <c r="P4503">
        <v>6.1683010000000003E-2</v>
      </c>
      <c r="Q4503">
        <v>-2.6386610000000001E-2</v>
      </c>
      <c r="R4503">
        <v>-0.9977471</v>
      </c>
      <c r="S4503">
        <v>0.49005130000000002</v>
      </c>
      <c r="T4503">
        <v>-0.31665300000000002</v>
      </c>
      <c r="U4503">
        <v>-2.9695429999999998</v>
      </c>
      <c r="V4503">
        <v>-3.9641080000000002E-2</v>
      </c>
      <c r="W4503">
        <v>-1.248486E-2</v>
      </c>
      <c r="X4503">
        <v>0.99913600000000002</v>
      </c>
      <c r="Y4503">
        <v>-0.14014070000000001</v>
      </c>
      <c r="Z4503">
        <v>0.10477060000000001</v>
      </c>
      <c r="AA4503">
        <v>0.98457280000000003</v>
      </c>
      <c r="AB4503">
        <v>24</v>
      </c>
      <c r="AC4503">
        <v>1.71360000000004</v>
      </c>
      <c r="AD4503">
        <v>-1.111771766695</v>
      </c>
      <c r="AE4503">
        <v>-10.190899999999999</v>
      </c>
      <c r="AF4503">
        <v>-1.4715262657430099</v>
      </c>
      <c r="AG4503">
        <v>-1.111771766695</v>
      </c>
      <c r="AH4503">
        <v>10.1091874753591</v>
      </c>
      <c r="AI4503">
        <v>96.211023815503793</v>
      </c>
      <c r="AJ4503">
        <v>98.281992456833393</v>
      </c>
      <c r="AK4503">
        <v>10.2760448336872</v>
      </c>
      <c r="AL4503">
        <v>90.715348358432607</v>
      </c>
      <c r="AM4503">
        <v>92.272038985923203</v>
      </c>
      <c r="AN4503">
        <v>1.0000000167243901</v>
      </c>
    </row>
    <row r="4504" spans="1:40" x14ac:dyDescent="0.3">
      <c r="A4504" t="str">
        <f>"20200111160551194"</f>
        <v>20200111160551194</v>
      </c>
      <c r="B4504" t="str">
        <f>"1578729951186204"</f>
        <v>1578729951186204</v>
      </c>
      <c r="C4504" t="s">
        <v>40</v>
      </c>
      <c r="D4504">
        <v>5.7638199999999999</v>
      </c>
      <c r="E4504">
        <v>0.46280710000000003</v>
      </c>
      <c r="F4504" t="s">
        <v>41</v>
      </c>
      <c r="G4504">
        <v>-422.49279999999999</v>
      </c>
      <c r="H4504" s="1">
        <v>-4.8078729999999996E-6</v>
      </c>
      <c r="I4504">
        <v>108.6546</v>
      </c>
      <c r="J4504">
        <v>-424.15219999999999</v>
      </c>
      <c r="K4504">
        <v>1.1115280000000001</v>
      </c>
      <c r="L4504">
        <v>118.51090000000001</v>
      </c>
      <c r="M4504">
        <v>2.3711510000000002E-2</v>
      </c>
      <c r="N4504">
        <v>0</v>
      </c>
      <c r="O4504">
        <v>-0.99962099999999998</v>
      </c>
      <c r="P4504">
        <v>6.4054799999999995E-2</v>
      </c>
      <c r="Q4504">
        <v>-3.0068439999999998E-2</v>
      </c>
      <c r="R4504">
        <v>-0.99749299999999996</v>
      </c>
      <c r="S4504">
        <v>0.48965449999999999</v>
      </c>
      <c r="T4504">
        <v>-0.32652720000000002</v>
      </c>
      <c r="U4504">
        <v>-2.9678499999999999</v>
      </c>
      <c r="V4504">
        <v>-4.0345939999999997E-2</v>
      </c>
      <c r="W4504">
        <v>-1.6183719999999999E-2</v>
      </c>
      <c r="X4504">
        <v>0.99905469999999996</v>
      </c>
      <c r="Y4504">
        <v>-0.1383894</v>
      </c>
      <c r="Z4504">
        <v>0.10806830000000001</v>
      </c>
      <c r="AA4504">
        <v>0.98446409999999995</v>
      </c>
      <c r="AB4504">
        <v>24</v>
      </c>
      <c r="AC4504">
        <v>1.6594</v>
      </c>
      <c r="AD4504">
        <v>-1.111532807873</v>
      </c>
      <c r="AE4504">
        <v>-9.8562999999999992</v>
      </c>
      <c r="AF4504">
        <v>-1.4077920284913099</v>
      </c>
      <c r="AG4504">
        <v>-1.111532807873</v>
      </c>
      <c r="AH4504">
        <v>9.7720246020561596</v>
      </c>
      <c r="AI4504">
        <v>96.423546014777102</v>
      </c>
      <c r="AJ4504">
        <v>98.197827456958393</v>
      </c>
      <c r="AK4504">
        <v>9.9352830056145205</v>
      </c>
      <c r="AL4504">
        <v>90.927299333834696</v>
      </c>
      <c r="AM4504">
        <v>92.312582721978004</v>
      </c>
      <c r="AN4504">
        <v>1.0000000006298</v>
      </c>
    </row>
    <row r="4505" spans="1:40" x14ac:dyDescent="0.3">
      <c r="A4505" t="str">
        <f>"20200111160551215"</f>
        <v>20200111160551215</v>
      </c>
      <c r="B4505" t="str">
        <f>"1578729951206701"</f>
        <v>1578729951206701</v>
      </c>
      <c r="C4505" t="s">
        <v>40</v>
      </c>
      <c r="D4505">
        <v>5.8412629999999996</v>
      </c>
      <c r="E4505">
        <v>0.46281119999999998</v>
      </c>
      <c r="F4505" t="s">
        <v>41</v>
      </c>
      <c r="G4505">
        <v>-422.52280000000002</v>
      </c>
      <c r="H4505" s="1">
        <v>-4.8416999999999997E-6</v>
      </c>
      <c r="I4505">
        <v>108.72880000000001</v>
      </c>
      <c r="J4505">
        <v>-424.14510000000001</v>
      </c>
      <c r="K4505">
        <v>1.1113200000000001</v>
      </c>
      <c r="L4505">
        <v>118.28319999999999</v>
      </c>
      <c r="M4505">
        <v>2.4924160000000001E-2</v>
      </c>
      <c r="N4505">
        <v>0</v>
      </c>
      <c r="O4505">
        <v>-0.99959189999999998</v>
      </c>
      <c r="P4505">
        <v>6.7675780000000005E-2</v>
      </c>
      <c r="Q4505">
        <v>-3.2233030000000003E-2</v>
      </c>
      <c r="R4505">
        <v>-0.99718680000000004</v>
      </c>
      <c r="S4505">
        <v>0.49398799999999998</v>
      </c>
      <c r="T4505">
        <v>-0.33698669999999997</v>
      </c>
      <c r="U4505">
        <v>-2.965652</v>
      </c>
      <c r="V4505">
        <v>-4.276568E-2</v>
      </c>
      <c r="W4505">
        <v>-1.8364809999999999E-2</v>
      </c>
      <c r="X4505">
        <v>0.99891629999999998</v>
      </c>
      <c r="Y4505">
        <v>-0.13864219999999999</v>
      </c>
      <c r="Z4505">
        <v>0.1115477</v>
      </c>
      <c r="AA4505">
        <v>0.98404040000000004</v>
      </c>
      <c r="AB4505">
        <v>24</v>
      </c>
      <c r="AC4505">
        <v>1.6222999999999901</v>
      </c>
      <c r="AD4505">
        <v>-1.1113248416999999</v>
      </c>
      <c r="AE4505">
        <v>-9.5543999999999798</v>
      </c>
      <c r="AF4505">
        <v>-1.3656784315069599</v>
      </c>
      <c r="AG4505">
        <v>-1.1113248416999999</v>
      </c>
      <c r="AH4505">
        <v>9.4673721730365301</v>
      </c>
      <c r="AI4505">
        <v>96.627036338583807</v>
      </c>
      <c r="AJ4505">
        <v>98.208355056085907</v>
      </c>
      <c r="AK4505">
        <v>9.6297069708713998</v>
      </c>
      <c r="AL4505">
        <v>91.052285289710198</v>
      </c>
      <c r="AM4505">
        <v>92.451454231187299</v>
      </c>
      <c r="AN4505">
        <v>0.99999997201894297</v>
      </c>
    </row>
    <row r="4506" spans="1:40" x14ac:dyDescent="0.3">
      <c r="A4506" t="str">
        <f>"20200111160551237"</f>
        <v>20200111160551237</v>
      </c>
      <c r="B4506" t="str">
        <f>"1578729951226219"</f>
        <v>1578729951226219</v>
      </c>
      <c r="C4506" t="s">
        <v>40</v>
      </c>
      <c r="D4506">
        <v>5.8356560000000002</v>
      </c>
      <c r="E4506">
        <v>0.4629258</v>
      </c>
      <c r="F4506" t="s">
        <v>41</v>
      </c>
      <c r="G4506">
        <v>-422.51420000000002</v>
      </c>
      <c r="H4506" s="1">
        <v>-4.8349169999999999E-6</v>
      </c>
      <c r="I4506">
        <v>108.71510000000001</v>
      </c>
      <c r="J4506">
        <v>-424.13780000000003</v>
      </c>
      <c r="K4506">
        <v>1.111113</v>
      </c>
      <c r="L4506">
        <v>118.0463</v>
      </c>
      <c r="M4506">
        <v>2.5902410000000001E-2</v>
      </c>
      <c r="N4506">
        <v>0</v>
      </c>
      <c r="O4506">
        <v>-0.9995676</v>
      </c>
      <c r="P4506">
        <v>7.1227799999999994E-2</v>
      </c>
      <c r="Q4506">
        <v>-3.1753480000000001E-2</v>
      </c>
      <c r="R4506">
        <v>-0.99695489999999998</v>
      </c>
      <c r="S4506">
        <v>0.50506589999999996</v>
      </c>
      <c r="T4506">
        <v>-0.3441592</v>
      </c>
      <c r="U4506">
        <v>-2.9630740000000002</v>
      </c>
      <c r="V4506">
        <v>-4.5355199999999998E-2</v>
      </c>
      <c r="W4506">
        <v>-1.789574E-2</v>
      </c>
      <c r="X4506">
        <v>0.99881059999999999</v>
      </c>
      <c r="Y4506">
        <v>-0.14134330000000001</v>
      </c>
      <c r="Z4506">
        <v>0.11392679999999999</v>
      </c>
      <c r="AA4506">
        <v>0.98338329999999996</v>
      </c>
      <c r="AB4506">
        <v>24</v>
      </c>
      <c r="AC4506">
        <v>1.6236000000000099</v>
      </c>
      <c r="AD4506">
        <v>-1.1111178349169999</v>
      </c>
      <c r="AE4506">
        <v>-9.3311999999999902</v>
      </c>
      <c r="AF4506">
        <v>-1.36257889391339</v>
      </c>
      <c r="AG4506">
        <v>-1.1111178349169999</v>
      </c>
      <c r="AH4506">
        <v>9.2429235741631803</v>
      </c>
      <c r="AI4506">
        <v>96.782187059547198</v>
      </c>
      <c r="AJ4506">
        <v>98.386062638014295</v>
      </c>
      <c r="AK4506">
        <v>9.4086577301457002</v>
      </c>
      <c r="AL4506">
        <v>91.025405127766405</v>
      </c>
      <c r="AM4506">
        <v>92.599970006344506</v>
      </c>
      <c r="AN4506">
        <v>0.99999998317477301</v>
      </c>
    </row>
    <row r="4507" spans="1:40" x14ac:dyDescent="0.3">
      <c r="A4507" t="str">
        <f>"20200111160551260"</f>
        <v>20200111160551260</v>
      </c>
      <c r="B4507" t="str">
        <f>"1578729951256187"</f>
        <v>1578729951256187</v>
      </c>
      <c r="C4507" t="s">
        <v>40</v>
      </c>
      <c r="D4507">
        <v>5.7053089999999997</v>
      </c>
      <c r="E4507">
        <v>0.46350859999999999</v>
      </c>
      <c r="F4507" t="s">
        <v>41</v>
      </c>
      <c r="G4507">
        <v>-422.47379999999998</v>
      </c>
      <c r="H4507" s="1">
        <v>-4.7341070000000001E-6</v>
      </c>
      <c r="I4507">
        <v>108.4713</v>
      </c>
      <c r="J4507">
        <v>-424.13049999999998</v>
      </c>
      <c r="K4507">
        <v>1.1109230000000001</v>
      </c>
      <c r="L4507">
        <v>117.80800000000001</v>
      </c>
      <c r="M4507">
        <v>2.662072E-2</v>
      </c>
      <c r="N4507">
        <v>0</v>
      </c>
      <c r="O4507">
        <v>-0.99954909999999997</v>
      </c>
      <c r="P4507">
        <v>7.5684440000000006E-2</v>
      </c>
      <c r="Q4507">
        <v>-3.0318939999999999E-2</v>
      </c>
      <c r="R4507">
        <v>-0.99667130000000004</v>
      </c>
      <c r="S4507">
        <v>0.51464840000000001</v>
      </c>
      <c r="T4507">
        <v>-0.34365839999999998</v>
      </c>
      <c r="U4507">
        <v>-2.9614560000000001</v>
      </c>
      <c r="V4507">
        <v>-4.9110040000000001E-2</v>
      </c>
      <c r="W4507">
        <v>-1.6467369999999999E-2</v>
      </c>
      <c r="X4507">
        <v>0.99865760000000003</v>
      </c>
      <c r="Y4507">
        <v>-0.143814</v>
      </c>
      <c r="Z4507">
        <v>0.1137695</v>
      </c>
      <c r="AA4507">
        <v>0.98304329999999995</v>
      </c>
      <c r="AB4507">
        <v>24</v>
      </c>
      <c r="AC4507">
        <v>1.6567000000000001</v>
      </c>
      <c r="AD4507">
        <v>-1.1109277341070001</v>
      </c>
      <c r="AE4507">
        <v>-9.3366999999999898</v>
      </c>
      <c r="AF4507">
        <v>-1.3884817705669299</v>
      </c>
      <c r="AG4507">
        <v>-1.1109277341070001</v>
      </c>
      <c r="AH4507">
        <v>9.2505309407778995</v>
      </c>
      <c r="AI4507">
        <v>96.772896243749202</v>
      </c>
      <c r="AJ4507">
        <v>98.536230171245094</v>
      </c>
      <c r="AK4507">
        <v>9.4198919709248301</v>
      </c>
      <c r="AL4507">
        <v>90.943553461577494</v>
      </c>
      <c r="AM4507">
        <v>92.815312396636301</v>
      </c>
      <c r="AN4507">
        <v>0.99999998617063901</v>
      </c>
    </row>
    <row r="4508" spans="1:40" x14ac:dyDescent="0.3">
      <c r="A4508" t="str">
        <f>"20200111160551282"</f>
        <v>20200111160551282</v>
      </c>
      <c r="B4508" t="str">
        <f>"1578729951276685"</f>
        <v>1578729951276685</v>
      </c>
      <c r="C4508" t="s">
        <v>40</v>
      </c>
      <c r="D4508">
        <v>5.7427669999999997</v>
      </c>
      <c r="E4508">
        <v>0.46379300000000001</v>
      </c>
      <c r="F4508" t="s">
        <v>41</v>
      </c>
      <c r="G4508">
        <v>-422.42340000000002</v>
      </c>
      <c r="H4508" s="1">
        <v>-4.6058059999999998E-6</v>
      </c>
      <c r="I4508">
        <v>108.1605</v>
      </c>
      <c r="J4508">
        <v>-424.12329999999997</v>
      </c>
      <c r="K4508">
        <v>1.1107389999999999</v>
      </c>
      <c r="L4508">
        <v>117.5643</v>
      </c>
      <c r="M4508">
        <v>2.71022E-2</v>
      </c>
      <c r="N4508">
        <v>0</v>
      </c>
      <c r="O4508">
        <v>-0.99953630000000004</v>
      </c>
      <c r="P4508">
        <v>7.8701759999999996E-2</v>
      </c>
      <c r="Q4508">
        <v>-2.81731E-2</v>
      </c>
      <c r="R4508">
        <v>-0.99650030000000001</v>
      </c>
      <c r="S4508">
        <v>0.52374270000000001</v>
      </c>
      <c r="T4508">
        <v>-0.340837</v>
      </c>
      <c r="U4508">
        <v>-2.9598849999999999</v>
      </c>
      <c r="V4508">
        <v>-5.1658280000000001E-2</v>
      </c>
      <c r="W4508">
        <v>-1.432168E-2</v>
      </c>
      <c r="X4508">
        <v>0.99856210000000001</v>
      </c>
      <c r="Y4508">
        <v>-0.14637349999999999</v>
      </c>
      <c r="Z4508">
        <v>0.11285299999999999</v>
      </c>
      <c r="AA4508">
        <v>0.98277110000000001</v>
      </c>
      <c r="AB4508">
        <v>24</v>
      </c>
      <c r="AC4508">
        <v>1.69989999999995</v>
      </c>
      <c r="AD4508">
        <v>-1.1107436058059901</v>
      </c>
      <c r="AE4508">
        <v>-9.4038000000000004</v>
      </c>
      <c r="AF4508">
        <v>-1.42513362576812</v>
      </c>
      <c r="AG4508">
        <v>-1.1107436058059901</v>
      </c>
      <c r="AH4508">
        <v>9.3205002106967996</v>
      </c>
      <c r="AI4508">
        <v>96.718648257099204</v>
      </c>
      <c r="AJ4508">
        <v>98.693372609893999</v>
      </c>
      <c r="AK4508">
        <v>9.4940234561924797</v>
      </c>
      <c r="AL4508">
        <v>90.820599891512799</v>
      </c>
      <c r="AM4508">
        <v>92.961423475458204</v>
      </c>
      <c r="AN4508">
        <v>0.99999997798349505</v>
      </c>
    </row>
    <row r="4509" spans="1:40" x14ac:dyDescent="0.3">
      <c r="A4509" t="str">
        <f>"20200111160551304"</f>
        <v>20200111160551304</v>
      </c>
      <c r="B4509" t="str">
        <f>"1578729951296202"</f>
        <v>1578729951296202</v>
      </c>
      <c r="C4509" t="s">
        <v>40</v>
      </c>
      <c r="D4509">
        <v>6.0994659999999996</v>
      </c>
      <c r="E4509">
        <v>0.46832889999999999</v>
      </c>
      <c r="F4509" t="s">
        <v>41</v>
      </c>
      <c r="G4509">
        <v>-422.3535</v>
      </c>
      <c r="H4509" s="1">
        <v>-4.4147149999999996E-6</v>
      </c>
      <c r="I4509">
        <v>107.6951</v>
      </c>
      <c r="J4509">
        <v>-424.11660000000001</v>
      </c>
      <c r="K4509">
        <v>1.110595</v>
      </c>
      <c r="L4509">
        <v>117.3314</v>
      </c>
      <c r="M4509">
        <v>2.7336699999999999E-2</v>
      </c>
      <c r="N4509">
        <v>0</v>
      </c>
      <c r="O4509">
        <v>-0.99953009999999998</v>
      </c>
      <c r="P4509">
        <v>8.1528210000000004E-2</v>
      </c>
      <c r="Q4509">
        <v>-2.783646E-2</v>
      </c>
      <c r="R4509">
        <v>-0.99628249999999996</v>
      </c>
      <c r="S4509">
        <v>0.53063959999999999</v>
      </c>
      <c r="T4509">
        <v>-0.33304889999999998</v>
      </c>
      <c r="U4509">
        <v>-2.9591980000000002</v>
      </c>
      <c r="V4509">
        <v>-5.4261009999999998E-2</v>
      </c>
      <c r="W4509">
        <v>-1.398609E-2</v>
      </c>
      <c r="X4509">
        <v>0.99842880000000001</v>
      </c>
      <c r="Y4509">
        <v>-0.1484511</v>
      </c>
      <c r="Z4509">
        <v>0.110291</v>
      </c>
      <c r="AA4509">
        <v>0.98275029999999997</v>
      </c>
      <c r="AB4509">
        <v>24</v>
      </c>
      <c r="AC4509">
        <v>1.7630999999999999</v>
      </c>
      <c r="AD4509">
        <v>-1.110599414715</v>
      </c>
      <c r="AE4509">
        <v>-9.6363000000000003</v>
      </c>
      <c r="AF4509">
        <v>-1.47996941901014</v>
      </c>
      <c r="AG4509">
        <v>-1.110599414715</v>
      </c>
      <c r="AH4509">
        <v>9.5580533733433892</v>
      </c>
      <c r="AI4509">
        <v>96.550401460494598</v>
      </c>
      <c r="AJ4509">
        <v>98.801783066947806</v>
      </c>
      <c r="AK4509">
        <v>9.7355084525078297</v>
      </c>
      <c r="AL4509">
        <v>90.801370081842407</v>
      </c>
      <c r="AM4509">
        <v>93.110759131778494</v>
      </c>
      <c r="AN4509">
        <v>0.99999996829457305</v>
      </c>
    </row>
    <row r="4510" spans="1:40" x14ac:dyDescent="0.3">
      <c r="A4510" t="str">
        <f>"20200111160551326"</f>
        <v>20200111160551326</v>
      </c>
      <c r="B4510" t="str">
        <f>"1578729951316699"</f>
        <v>1578729951316699</v>
      </c>
      <c r="C4510" t="s">
        <v>40</v>
      </c>
      <c r="D4510">
        <v>5.9960259999999996</v>
      </c>
      <c r="E4510">
        <v>0.46726109999999998</v>
      </c>
      <c r="F4510" t="s">
        <v>41</v>
      </c>
      <c r="G4510">
        <v>-420.35590000000002</v>
      </c>
      <c r="H4510" s="1">
        <v>-2.393714E-6</v>
      </c>
      <c r="I4510">
        <v>94.9482</v>
      </c>
      <c r="J4510">
        <v>-424.11</v>
      </c>
      <c r="K4510">
        <v>1.1105069999999999</v>
      </c>
      <c r="L4510">
        <v>117.1007</v>
      </c>
      <c r="M4510">
        <v>2.7405490000000001E-2</v>
      </c>
      <c r="N4510">
        <v>0</v>
      </c>
      <c r="O4510">
        <v>-0.99952850000000004</v>
      </c>
      <c r="P4510">
        <v>8.198329E-2</v>
      </c>
      <c r="Q4510">
        <v>-2.733758E-2</v>
      </c>
      <c r="R4510">
        <v>-0.99625889999999995</v>
      </c>
      <c r="S4510">
        <v>0.49838260000000001</v>
      </c>
      <c r="T4510">
        <v>-0.1471799</v>
      </c>
      <c r="U4510">
        <v>-2.9662929999999998</v>
      </c>
      <c r="V4510">
        <v>-5.4650339999999999E-2</v>
      </c>
      <c r="W4510">
        <v>-1.349001E-2</v>
      </c>
      <c r="X4510">
        <v>0.99841440000000004</v>
      </c>
      <c r="Y4510">
        <v>-0.13840279999999999</v>
      </c>
      <c r="Z4510">
        <v>4.8947999999999998E-2</v>
      </c>
      <c r="AA4510">
        <v>0.98916570000000004</v>
      </c>
      <c r="AB4510">
        <v>24</v>
      </c>
      <c r="AC4510">
        <v>3.75409999999999</v>
      </c>
      <c r="AD4510">
        <v>-1.11050939371399</v>
      </c>
      <c r="AE4510">
        <v>-22.1525</v>
      </c>
      <c r="AF4510">
        <v>-3.1378659316752402</v>
      </c>
      <c r="AG4510">
        <v>-1.11050939371399</v>
      </c>
      <c r="AH4510">
        <v>22.1928562107238</v>
      </c>
      <c r="AI4510">
        <v>92.836471518741206</v>
      </c>
      <c r="AJ4510">
        <v>98.047751154913499</v>
      </c>
      <c r="AK4510">
        <v>22.441085100960599</v>
      </c>
      <c r="AL4510">
        <v>90.772944100957005</v>
      </c>
      <c r="AM4510">
        <v>93.133080033329506</v>
      </c>
      <c r="AN4510">
        <v>0.99999997707963695</v>
      </c>
    </row>
    <row r="4511" spans="1:40" x14ac:dyDescent="0.3">
      <c r="A4511" t="str">
        <f>"20200111160551349"</f>
        <v>20200111160551349</v>
      </c>
      <c r="B4511" t="str">
        <f>"1578729951346955"</f>
        <v>1578729951346955</v>
      </c>
      <c r="C4511" t="s">
        <v>40</v>
      </c>
      <c r="D4511">
        <v>5.9641999999999999</v>
      </c>
      <c r="E4511">
        <v>0.47010170000000001</v>
      </c>
      <c r="F4511" t="s">
        <v>41</v>
      </c>
      <c r="G4511">
        <v>-420.96969999999999</v>
      </c>
      <c r="H4511" s="1">
        <v>-4.1981989999999996E-6</v>
      </c>
      <c r="I4511">
        <v>98.817949999999996</v>
      </c>
      <c r="J4511">
        <v>-424.1035</v>
      </c>
      <c r="K4511">
        <v>1.1104719999999999</v>
      </c>
      <c r="L4511">
        <v>116.8634</v>
      </c>
      <c r="M4511">
        <v>2.737359E-2</v>
      </c>
      <c r="N4511">
        <v>0</v>
      </c>
      <c r="O4511">
        <v>-0.99952949999999996</v>
      </c>
      <c r="P4511">
        <v>8.1537689999999996E-2</v>
      </c>
      <c r="Q4511">
        <v>-2.6083309999999998E-2</v>
      </c>
      <c r="R4511">
        <v>-0.99632900000000002</v>
      </c>
      <c r="S4511">
        <v>0.50918580000000002</v>
      </c>
      <c r="T4511">
        <v>-0.18006</v>
      </c>
      <c r="U4511">
        <v>-2.9644010000000001</v>
      </c>
      <c r="V4511">
        <v>-5.4236050000000001E-2</v>
      </c>
      <c r="W4511">
        <v>-1.2242909999999999E-2</v>
      </c>
      <c r="X4511">
        <v>0.99845309999999998</v>
      </c>
      <c r="Y4511">
        <v>-0.1419398</v>
      </c>
      <c r="Z4511">
        <v>5.9851550000000003E-2</v>
      </c>
      <c r="AA4511">
        <v>0.98806419999999995</v>
      </c>
      <c r="AB4511">
        <v>24</v>
      </c>
      <c r="AC4511">
        <v>3.1337999999999999</v>
      </c>
      <c r="AD4511">
        <v>-1.1104761981989999</v>
      </c>
      <c r="AE4511">
        <v>-18.045449999999999</v>
      </c>
      <c r="AF4511">
        <v>-2.62894532735125</v>
      </c>
      <c r="AG4511">
        <v>-1.1104761981989999</v>
      </c>
      <c r="AH4511">
        <v>18.0580960473816</v>
      </c>
      <c r="AI4511">
        <v>93.482334734010095</v>
      </c>
      <c r="AJ4511">
        <v>98.283080010173194</v>
      </c>
      <c r="AK4511">
        <v>18.2822138642296</v>
      </c>
      <c r="AL4511">
        <v>90.701484585996099</v>
      </c>
      <c r="AM4511">
        <v>93.109255469394</v>
      </c>
      <c r="AN4511">
        <v>1.0000000154322399</v>
      </c>
    </row>
    <row r="4512" spans="1:40" x14ac:dyDescent="0.3">
      <c r="A4512" t="str">
        <f>"20200111160551372"</f>
        <v>20200111160551372</v>
      </c>
      <c r="B4512" t="str">
        <f>"1578729951366474"</f>
        <v>1578729951366474</v>
      </c>
      <c r="C4512" t="s">
        <v>40</v>
      </c>
      <c r="D4512">
        <v>5.8504940000000003</v>
      </c>
      <c r="E4512">
        <v>0.46999259999999898</v>
      </c>
      <c r="F4512" t="s">
        <v>41</v>
      </c>
      <c r="G4512">
        <v>-421.52260000000001</v>
      </c>
      <c r="H4512" s="1">
        <v>-1.13847E-6</v>
      </c>
      <c r="I4512">
        <v>101.143</v>
      </c>
      <c r="J4512">
        <v>-424.09679999999997</v>
      </c>
      <c r="K4512">
        <v>1.1104780000000001</v>
      </c>
      <c r="L4512">
        <v>116.619</v>
      </c>
      <c r="M4512">
        <v>2.7294769999999999E-2</v>
      </c>
      <c r="N4512">
        <v>0</v>
      </c>
      <c r="O4512">
        <v>-0.99953190000000003</v>
      </c>
      <c r="P4512">
        <v>7.9463880000000001E-2</v>
      </c>
      <c r="Q4512">
        <v>-2.4470970000000002E-2</v>
      </c>
      <c r="R4512">
        <v>-0.99653760000000002</v>
      </c>
      <c r="S4512">
        <v>0.48690800000000001</v>
      </c>
      <c r="T4512">
        <v>-0.20949570000000001</v>
      </c>
      <c r="U4512">
        <v>-2.9657290000000001</v>
      </c>
      <c r="V4512">
        <v>-5.2235869999999997E-2</v>
      </c>
      <c r="W4512">
        <v>-1.064147E-2</v>
      </c>
      <c r="X4512">
        <v>0.99857810000000002</v>
      </c>
      <c r="Y4512">
        <v>-0.13461899999999999</v>
      </c>
      <c r="Z4512">
        <v>6.9639610000000005E-2</v>
      </c>
      <c r="AA4512">
        <v>0.98844730000000003</v>
      </c>
      <c r="AB4512">
        <v>24</v>
      </c>
      <c r="AC4512">
        <v>2.5741999999999599</v>
      </c>
      <c r="AD4512">
        <v>-1.1104791384699999</v>
      </c>
      <c r="AE4512">
        <v>-15.476000000000001</v>
      </c>
      <c r="AF4512">
        <v>-2.1400644946446601</v>
      </c>
      <c r="AG4512">
        <v>-1.1104791384699999</v>
      </c>
      <c r="AH4512">
        <v>15.463029772022701</v>
      </c>
      <c r="AI4512">
        <v>94.068998337471001</v>
      </c>
      <c r="AJ4512">
        <v>97.879611274168596</v>
      </c>
      <c r="AK4512">
        <v>15.6498667626493</v>
      </c>
      <c r="AL4512">
        <v>90.609722811899005</v>
      </c>
      <c r="AM4512">
        <v>92.994427258006198</v>
      </c>
      <c r="AN4512">
        <v>1.0000000243990099</v>
      </c>
    </row>
    <row r="4513" spans="1:40" x14ac:dyDescent="0.3">
      <c r="A4513" t="str">
        <f>"20200111160551385"</f>
        <v>20200111160551385</v>
      </c>
      <c r="B4513" t="str">
        <f>"1578729951376236"</f>
        <v>1578729951376236</v>
      </c>
      <c r="C4513" t="s">
        <v>40</v>
      </c>
      <c r="D4513">
        <v>5.8881379999999996</v>
      </c>
      <c r="E4513">
        <v>0.4694583</v>
      </c>
      <c r="F4513" t="s">
        <v>41</v>
      </c>
      <c r="G4513">
        <v>-421.52749999999997</v>
      </c>
      <c r="H4513" s="1">
        <v>-9.8283869999999992E-7</v>
      </c>
      <c r="I4513">
        <v>100.81100000000001</v>
      </c>
      <c r="J4513">
        <v>-424.09289999999999</v>
      </c>
      <c r="K4513">
        <v>1.1104879999999999</v>
      </c>
      <c r="L4513">
        <v>116.4751</v>
      </c>
      <c r="M4513">
        <v>2.7246550000000001E-2</v>
      </c>
      <c r="N4513">
        <v>0</v>
      </c>
      <c r="O4513">
        <v>-0.99953340000000002</v>
      </c>
      <c r="P4513">
        <v>7.804962E-2</v>
      </c>
      <c r="Q4513">
        <v>-2.301127E-2</v>
      </c>
      <c r="R4513">
        <v>-0.99668420000000002</v>
      </c>
      <c r="S4513">
        <v>0.48220829999999998</v>
      </c>
      <c r="T4513">
        <v>-0.20841489999999999</v>
      </c>
      <c r="U4513">
        <v>-2.9668429999999999</v>
      </c>
      <c r="V4513">
        <v>-5.0865689999999998E-2</v>
      </c>
      <c r="W4513">
        <v>-9.1889910000000005E-3</v>
      </c>
      <c r="X4513">
        <v>0.99866319999999997</v>
      </c>
      <c r="Y4513">
        <v>-0.13308629999999999</v>
      </c>
      <c r="Z4513">
        <v>6.9272619999999993E-2</v>
      </c>
      <c r="AA4513">
        <v>0.98868060000000002</v>
      </c>
      <c r="AB4513">
        <v>24</v>
      </c>
      <c r="AC4513">
        <v>2.5654000000000101</v>
      </c>
      <c r="AD4513">
        <v>-1.1104889828386999</v>
      </c>
      <c r="AE4513">
        <v>-15.6640999999999</v>
      </c>
      <c r="AF4513">
        <v>-2.1272021091002502</v>
      </c>
      <c r="AG4513">
        <v>-1.1104889828386999</v>
      </c>
      <c r="AH4513">
        <v>15.651579351618</v>
      </c>
      <c r="AI4513">
        <v>94.021520513208401</v>
      </c>
      <c r="AJ4513">
        <v>97.739632987133703</v>
      </c>
      <c r="AK4513">
        <v>15.834459599050501</v>
      </c>
      <c r="AL4513">
        <v>90.526497826828901</v>
      </c>
      <c r="AM4513">
        <v>92.915770859121494</v>
      </c>
      <c r="AN4513">
        <v>0.99999997150450604</v>
      </c>
    </row>
    <row r="4514" spans="1:40" x14ac:dyDescent="0.3">
      <c r="A4514" t="str">
        <f>"20200111160551400"</f>
        <v>20200111160551400</v>
      </c>
      <c r="B4514" t="str">
        <f>"1578729951396731"</f>
        <v>1578729951396731</v>
      </c>
      <c r="C4514" t="s">
        <v>40</v>
      </c>
      <c r="D4514">
        <v>6.3453989999999996</v>
      </c>
      <c r="E4514">
        <v>0.46999489999999999</v>
      </c>
      <c r="F4514" t="s">
        <v>41</v>
      </c>
      <c r="G4514">
        <v>-421.44400000000002</v>
      </c>
      <c r="H4514" s="1">
        <v>-6.6656819999999995E-7</v>
      </c>
      <c r="I4514">
        <v>100.1889</v>
      </c>
      <c r="J4514">
        <v>-424.08879999999999</v>
      </c>
      <c r="K4514">
        <v>1.110511</v>
      </c>
      <c r="L4514">
        <v>116.3219</v>
      </c>
      <c r="M4514">
        <v>2.7208909999999999E-2</v>
      </c>
      <c r="N4514">
        <v>0</v>
      </c>
      <c r="O4514">
        <v>-0.99953420000000004</v>
      </c>
      <c r="P4514">
        <v>7.6809909999999995E-2</v>
      </c>
      <c r="Q4514">
        <v>-2.172572E-2</v>
      </c>
      <c r="R4514">
        <v>-0.99680919999999895</v>
      </c>
      <c r="S4514">
        <v>0.48266599999999998</v>
      </c>
      <c r="T4514">
        <v>-0.2023432</v>
      </c>
      <c r="U4514">
        <v>-2.967514</v>
      </c>
      <c r="V4514">
        <v>-4.9659979999999999E-2</v>
      </c>
      <c r="W4514">
        <v>-7.9118090000000005E-3</v>
      </c>
      <c r="X4514">
        <v>0.99873480000000003</v>
      </c>
      <c r="Y4514">
        <v>-0.13325899999999999</v>
      </c>
      <c r="Z4514">
        <v>6.7247399999999999E-2</v>
      </c>
      <c r="AA4514">
        <v>0.98879720000000004</v>
      </c>
      <c r="AB4514">
        <v>24</v>
      </c>
      <c r="AC4514">
        <v>2.6447999999999698</v>
      </c>
      <c r="AD4514">
        <v>-1.1105116665682</v>
      </c>
      <c r="AE4514">
        <v>-16.1329999999999</v>
      </c>
      <c r="AF4514">
        <v>-2.19469055816977</v>
      </c>
      <c r="AG4514">
        <v>-1.1105116665682</v>
      </c>
      <c r="AH4514">
        <v>16.1245925192428</v>
      </c>
      <c r="AI4514">
        <v>93.9038962296394</v>
      </c>
      <c r="AJ4514">
        <v>97.750801796553205</v>
      </c>
      <c r="AK4514">
        <v>16.3111123691587</v>
      </c>
      <c r="AL4514">
        <v>90.453318013625605</v>
      </c>
      <c r="AM4514">
        <v>92.846567333946794</v>
      </c>
      <c r="AN4514">
        <v>0.99999995553314502</v>
      </c>
    </row>
    <row r="4515" spans="1:40" x14ac:dyDescent="0.3">
      <c r="A4515" t="str">
        <f>"20200111160551416"</f>
        <v>20200111160551416</v>
      </c>
      <c r="B4515" t="str">
        <f>"1578729951406491"</f>
        <v>1578729951406491</v>
      </c>
      <c r="C4515" t="s">
        <v>40</v>
      </c>
      <c r="D4515">
        <v>5.767963</v>
      </c>
      <c r="E4515">
        <v>0.47080450000000001</v>
      </c>
      <c r="F4515" t="s">
        <v>41</v>
      </c>
      <c r="G4515">
        <v>-421.50880000000001</v>
      </c>
      <c r="H4515" s="1">
        <v>-6.8316840000000001E-7</v>
      </c>
      <c r="I4515">
        <v>100.1876</v>
      </c>
      <c r="J4515">
        <v>-424.08429999999998</v>
      </c>
      <c r="K4515">
        <v>1.110544</v>
      </c>
      <c r="L4515">
        <v>116.15649999999999</v>
      </c>
      <c r="M4515">
        <v>2.7195250000000001E-2</v>
      </c>
      <c r="N4515">
        <v>0</v>
      </c>
      <c r="O4515">
        <v>-0.99953499999999995</v>
      </c>
      <c r="P4515">
        <v>7.3534769999999999E-2</v>
      </c>
      <c r="Q4515">
        <v>-1.7926310000000001E-2</v>
      </c>
      <c r="R4515">
        <v>-0.99713180000000001</v>
      </c>
      <c r="S4515">
        <v>0.47470089999999998</v>
      </c>
      <c r="T4515">
        <v>-0.20432600000000001</v>
      </c>
      <c r="U4515">
        <v>-2.9685969999999999</v>
      </c>
      <c r="V4515">
        <v>-4.6389050000000001E-2</v>
      </c>
      <c r="W4515">
        <v>-4.1204029999999999E-3</v>
      </c>
      <c r="X4515">
        <v>0.998915</v>
      </c>
      <c r="Y4515">
        <v>-0.13062209999999999</v>
      </c>
      <c r="Z4515">
        <v>6.7905339999999995E-2</v>
      </c>
      <c r="AA4515">
        <v>0.98910399999999998</v>
      </c>
      <c r="AB4515">
        <v>24</v>
      </c>
      <c r="AC4515">
        <v>2.5754999999999701</v>
      </c>
      <c r="AD4515">
        <v>-1.1105446831683901</v>
      </c>
      <c r="AE4515">
        <v>-15.9688999999999</v>
      </c>
      <c r="AF4515">
        <v>-2.1301864741882799</v>
      </c>
      <c r="AG4515">
        <v>-1.1105446831683901</v>
      </c>
      <c r="AH4515">
        <v>15.957818953350699</v>
      </c>
      <c r="AI4515">
        <v>93.946048279076905</v>
      </c>
      <c r="AJ4515">
        <v>97.603382383235399</v>
      </c>
      <c r="AK4515">
        <v>16.137626518668899</v>
      </c>
      <c r="AL4515">
        <v>90.2360823581446</v>
      </c>
      <c r="AM4515">
        <v>92.658873434618897</v>
      </c>
      <c r="AN4515">
        <v>1.00000004945289</v>
      </c>
    </row>
    <row r="4516" spans="1:40" x14ac:dyDescent="0.3">
      <c r="A4516" t="str">
        <f>"20200111160551438"</f>
        <v>20200111160551438</v>
      </c>
      <c r="B4516" t="str">
        <f>"1578729951426986"</f>
        <v>1578729951426986</v>
      </c>
      <c r="C4516" t="s">
        <v>40</v>
      </c>
      <c r="D4516">
        <v>6.0292029999999999</v>
      </c>
      <c r="E4516">
        <v>0.47116849999999999</v>
      </c>
      <c r="F4516" t="s">
        <v>41</v>
      </c>
      <c r="G4516">
        <v>-421.48320000000001</v>
      </c>
      <c r="H4516" s="1">
        <v>-4.453667E-6</v>
      </c>
      <c r="I4516">
        <v>99.300970000000007</v>
      </c>
      <c r="J4516">
        <v>-424.0779</v>
      </c>
      <c r="K4516">
        <v>1.11059</v>
      </c>
      <c r="L4516">
        <v>115.9216</v>
      </c>
      <c r="M4516">
        <v>2.722873E-2</v>
      </c>
      <c r="N4516">
        <v>0</v>
      </c>
      <c r="O4516">
        <v>-0.99953400000000003</v>
      </c>
      <c r="P4516">
        <v>7.0959579999999994E-2</v>
      </c>
      <c r="Q4516">
        <v>-1.6014090000000002E-2</v>
      </c>
      <c r="R4516">
        <v>-0.99735079999999998</v>
      </c>
      <c r="S4516">
        <v>0.45852660000000001</v>
      </c>
      <c r="T4516">
        <v>-0.19576779999999999</v>
      </c>
      <c r="U4516">
        <v>-2.971298</v>
      </c>
      <c r="V4516">
        <v>-4.3774639999999997E-2</v>
      </c>
      <c r="W4516">
        <v>-2.2206919999999998E-3</v>
      </c>
      <c r="X4516">
        <v>0.99903889999999995</v>
      </c>
      <c r="Y4516">
        <v>-0.1252209</v>
      </c>
      <c r="Z4516">
        <v>6.5065199999999906E-2</v>
      </c>
      <c r="AA4516">
        <v>0.98999300000000001</v>
      </c>
      <c r="AB4516">
        <v>24</v>
      </c>
      <c r="AC4516">
        <v>2.59469999999998</v>
      </c>
      <c r="AD4516">
        <v>-1.1105944536669901</v>
      </c>
      <c r="AE4516">
        <v>-16.620629999999998</v>
      </c>
      <c r="AF4516">
        <v>-2.1318439432723402</v>
      </c>
      <c r="AG4516">
        <v>-1.1105944536669901</v>
      </c>
      <c r="AH4516">
        <v>16.6127133896935</v>
      </c>
      <c r="AI4516">
        <v>93.793634649747005</v>
      </c>
      <c r="AJ4516">
        <v>97.312575885650105</v>
      </c>
      <c r="AK4516">
        <v>16.785720860513699</v>
      </c>
      <c r="AL4516">
        <v>90.127236391772996</v>
      </c>
      <c r="AM4516">
        <v>92.508910173477105</v>
      </c>
      <c r="AN4516">
        <v>0.99999993714664703</v>
      </c>
    </row>
    <row r="4517" spans="1:40" x14ac:dyDescent="0.3">
      <c r="A4517" t="str">
        <f>"20200111160551454"</f>
        <v>20200111160551454</v>
      </c>
      <c r="B4517" t="str">
        <f>"1578729951446507"</f>
        <v>1578729951446507</v>
      </c>
      <c r="C4517" t="s">
        <v>40</v>
      </c>
      <c r="D4517">
        <v>5.6307729999999996</v>
      </c>
      <c r="E4517">
        <v>0.47116829999999998</v>
      </c>
      <c r="F4517" t="s">
        <v>41</v>
      </c>
      <c r="G4517">
        <v>-421.4572</v>
      </c>
      <c r="H4517" s="1">
        <v>-4.188009E-6</v>
      </c>
      <c r="I4517">
        <v>98.533860000000004</v>
      </c>
      <c r="J4517">
        <v>-424.07339999999999</v>
      </c>
      <c r="K4517">
        <v>1.1106240000000001</v>
      </c>
      <c r="L4517">
        <v>115.75709999999999</v>
      </c>
      <c r="M4517">
        <v>2.7299210000000001E-2</v>
      </c>
      <c r="N4517">
        <v>0</v>
      </c>
      <c r="O4517">
        <v>-0.99953199999999998</v>
      </c>
      <c r="P4517">
        <v>7.0274290000000003E-2</v>
      </c>
      <c r="Q4517">
        <v>-1.553359E-2</v>
      </c>
      <c r="R4517">
        <v>-0.99740680000000004</v>
      </c>
      <c r="S4517">
        <v>0.44808959999999998</v>
      </c>
      <c r="T4517">
        <v>-0.18989410000000001</v>
      </c>
      <c r="U4517">
        <v>-2.9730379999999998</v>
      </c>
      <c r="V4517">
        <v>-4.3017699999999999E-2</v>
      </c>
      <c r="W4517">
        <v>-1.7492499999999999E-3</v>
      </c>
      <c r="X4517">
        <v>0.99907279999999998</v>
      </c>
      <c r="Y4517">
        <v>-0.121685</v>
      </c>
      <c r="Z4517">
        <v>6.3114920000000005E-2</v>
      </c>
      <c r="AA4517">
        <v>0.99056010000000005</v>
      </c>
      <c r="AB4517">
        <v>24</v>
      </c>
      <c r="AC4517">
        <v>2.6161999999999899</v>
      </c>
      <c r="AD4517">
        <v>-1.1106281880089901</v>
      </c>
      <c r="AE4517">
        <v>-17.223239999999901</v>
      </c>
      <c r="AF4517">
        <v>-2.1363161981608001</v>
      </c>
      <c r="AG4517">
        <v>-1.1106281880089901</v>
      </c>
      <c r="AH4517">
        <v>17.218264169294599</v>
      </c>
      <c r="AI4517">
        <v>93.662625582111701</v>
      </c>
      <c r="AJ4517">
        <v>97.072696335940094</v>
      </c>
      <c r="AK4517">
        <v>17.385797734764399</v>
      </c>
      <c r="AL4517">
        <v>90.100224691316598</v>
      </c>
      <c r="AM4517">
        <v>92.465497184432394</v>
      </c>
      <c r="AN4517">
        <v>1.00000002104434</v>
      </c>
    </row>
    <row r="4518" spans="1:40" x14ac:dyDescent="0.3">
      <c r="A4518" t="str">
        <f>"20200111160551467"</f>
        <v>20200111160551467</v>
      </c>
      <c r="B4518" t="str">
        <f>"1578729951456267"</f>
        <v>1578729951456267</v>
      </c>
      <c r="C4518" t="s">
        <v>40</v>
      </c>
      <c r="D4518">
        <v>5.755916</v>
      </c>
      <c r="E4518">
        <v>0.47126689999999999</v>
      </c>
      <c r="F4518" t="s">
        <v>41</v>
      </c>
      <c r="G4518">
        <v>-421.2235</v>
      </c>
      <c r="H4518" s="1">
        <v>-3.3931109999999998E-6</v>
      </c>
      <c r="I4518">
        <v>96.739649999999997</v>
      </c>
      <c r="J4518">
        <v>-424.06939999999997</v>
      </c>
      <c r="K4518">
        <v>1.1106560000000001</v>
      </c>
      <c r="L4518">
        <v>115.6121</v>
      </c>
      <c r="M4518">
        <v>2.7387829999999998E-2</v>
      </c>
      <c r="N4518">
        <v>0</v>
      </c>
      <c r="O4518">
        <v>-0.99952980000000002</v>
      </c>
      <c r="P4518">
        <v>6.9550349999999997E-2</v>
      </c>
      <c r="Q4518">
        <v>-1.5853430000000002E-2</v>
      </c>
      <c r="R4518">
        <v>-0.99745260000000002</v>
      </c>
      <c r="S4518">
        <v>0.44561770000000001</v>
      </c>
      <c r="T4518">
        <v>-0.1736655</v>
      </c>
      <c r="U4518">
        <v>-2.9737089999999999</v>
      </c>
      <c r="V4518">
        <v>-4.2203980000000002E-2</v>
      </c>
      <c r="W4518">
        <v>-2.0768589999999999E-3</v>
      </c>
      <c r="X4518">
        <v>0.99910690000000002</v>
      </c>
      <c r="Y4518">
        <v>-0.1208071</v>
      </c>
      <c r="Z4518">
        <v>5.7733590000000001E-2</v>
      </c>
      <c r="AA4518">
        <v>0.99099570000000003</v>
      </c>
      <c r="AB4518">
        <v>24</v>
      </c>
      <c r="AC4518">
        <v>2.8458999999999701</v>
      </c>
      <c r="AD4518">
        <v>-1.11065939311099</v>
      </c>
      <c r="AE4518">
        <v>-18.872450000000001</v>
      </c>
      <c r="AF4518">
        <v>-2.3200510119594999</v>
      </c>
      <c r="AG4518">
        <v>-1.11065939311099</v>
      </c>
      <c r="AH4518">
        <v>18.879386279057702</v>
      </c>
      <c r="AI4518">
        <v>93.341704879839597</v>
      </c>
      <c r="AJ4518">
        <v>97.005841490075397</v>
      </c>
      <c r="AK4518">
        <v>19.053803485379799</v>
      </c>
      <c r="AL4518">
        <v>90.118995335718196</v>
      </c>
      <c r="AM4518">
        <v>92.418833469750993</v>
      </c>
      <c r="AN4518">
        <v>1.0000000434493701</v>
      </c>
    </row>
    <row r="4519" spans="1:40" x14ac:dyDescent="0.3">
      <c r="A4519" t="str">
        <f>"20200111160551483"</f>
        <v>20200111160551483</v>
      </c>
      <c r="B4519" t="str">
        <f>"1578729951476762"</f>
        <v>1578729951476762</v>
      </c>
      <c r="C4519" t="s">
        <v>40</v>
      </c>
      <c r="D4519">
        <v>5.7097910000000001</v>
      </c>
      <c r="E4519">
        <v>0.47135440000000001</v>
      </c>
      <c r="F4519" t="s">
        <v>41</v>
      </c>
      <c r="G4519">
        <v>-421.38979999999998</v>
      </c>
      <c r="H4519" s="1">
        <v>-3.812718E-6</v>
      </c>
      <c r="I4519">
        <v>97.614670000000004</v>
      </c>
      <c r="J4519">
        <v>-424.06459999999998</v>
      </c>
      <c r="K4519">
        <v>1.1107</v>
      </c>
      <c r="L4519">
        <v>115.4436</v>
      </c>
      <c r="M4519">
        <v>2.752396E-2</v>
      </c>
      <c r="N4519">
        <v>0</v>
      </c>
      <c r="O4519">
        <v>-0.99952629999999998</v>
      </c>
      <c r="P4519">
        <v>6.8396219999999994E-2</v>
      </c>
      <c r="Q4519">
        <v>-1.6361529999999999E-2</v>
      </c>
      <c r="R4519">
        <v>-0.99752430000000003</v>
      </c>
      <c r="S4519">
        <v>0.44277949999999999</v>
      </c>
      <c r="T4519">
        <v>-0.18352460000000001</v>
      </c>
      <c r="U4519">
        <v>-2.9738769999999999</v>
      </c>
      <c r="V4519">
        <v>-4.0911860000000001E-2</v>
      </c>
      <c r="W4519">
        <v>-2.5934310000000002E-3</v>
      </c>
      <c r="X4519">
        <v>0.99915940000000003</v>
      </c>
      <c r="Y4519">
        <v>-0.11970980000000001</v>
      </c>
      <c r="Z4519">
        <v>6.1003780000000001E-2</v>
      </c>
      <c r="AA4519">
        <v>0.99093290000000001</v>
      </c>
      <c r="AB4519">
        <v>23</v>
      </c>
      <c r="AC4519">
        <v>2.6747999999999998</v>
      </c>
      <c r="AD4519">
        <v>-1.110703812718</v>
      </c>
      <c r="AE4519">
        <v>-17.82893</v>
      </c>
      <c r="AF4519">
        <v>-2.17476265023106</v>
      </c>
      <c r="AG4519">
        <v>-1.110703812718</v>
      </c>
      <c r="AH4519">
        <v>17.828133894605699</v>
      </c>
      <c r="AI4519">
        <v>93.538790584848002</v>
      </c>
      <c r="AJ4519">
        <v>96.954857411134498</v>
      </c>
      <c r="AK4519">
        <v>17.994599570660501</v>
      </c>
      <c r="AL4519">
        <v>90.148592816378695</v>
      </c>
      <c r="AM4519">
        <v>92.344739189316897</v>
      </c>
      <c r="AN4519">
        <v>1.00000000639068</v>
      </c>
    </row>
    <row r="4520" spans="1:40" x14ac:dyDescent="0.3">
      <c r="A4520" t="str">
        <f>"20200111160551507"</f>
        <v>20200111160551507</v>
      </c>
      <c r="B4520" t="str">
        <f>"1578729951496282"</f>
        <v>1578729951496282</v>
      </c>
      <c r="C4520" t="s">
        <v>40</v>
      </c>
      <c r="D4520">
        <v>5.826263</v>
      </c>
      <c r="E4520">
        <v>0.47096650000000001</v>
      </c>
      <c r="F4520" t="s">
        <v>41</v>
      </c>
      <c r="G4520">
        <v>-421.62450000000001</v>
      </c>
      <c r="H4520" s="1">
        <v>-4.3488949999999996E-6</v>
      </c>
      <c r="I4520">
        <v>98.919430000000006</v>
      </c>
      <c r="J4520">
        <v>-424.05799999999999</v>
      </c>
      <c r="K4520">
        <v>1.110757</v>
      </c>
      <c r="L4520">
        <v>115.2085</v>
      </c>
      <c r="M4520">
        <v>2.778052E-2</v>
      </c>
      <c r="N4520">
        <v>0</v>
      </c>
      <c r="O4520">
        <v>-0.99951909999999999</v>
      </c>
      <c r="P4520">
        <v>6.7970520000000006E-2</v>
      </c>
      <c r="Q4520">
        <v>-1.7756419999999998E-2</v>
      </c>
      <c r="R4520">
        <v>-0.99752960000000002</v>
      </c>
      <c r="S4520">
        <v>0.43917850000000003</v>
      </c>
      <c r="T4520">
        <v>-0.1999068</v>
      </c>
      <c r="U4520">
        <v>-2.9740600000000001</v>
      </c>
      <c r="V4520">
        <v>-4.0228930000000003E-2</v>
      </c>
      <c r="W4520">
        <v>-4.0000870000000003E-3</v>
      </c>
      <c r="X4520">
        <v>0.99918249999999997</v>
      </c>
      <c r="Y4520">
        <v>-0.1182213</v>
      </c>
      <c r="Z4520">
        <v>6.6433060000000002E-2</v>
      </c>
      <c r="AA4520">
        <v>0.99076249999999999</v>
      </c>
      <c r="AB4520">
        <v>23</v>
      </c>
      <c r="AC4520">
        <v>2.4335000000000302</v>
      </c>
      <c r="AD4520">
        <v>-1.1107613488949999</v>
      </c>
      <c r="AE4520">
        <v>-16.289069999999899</v>
      </c>
      <c r="AF4520">
        <v>-1.9710336857752799</v>
      </c>
      <c r="AG4520">
        <v>-1.1107613488949999</v>
      </c>
      <c r="AH4520">
        <v>16.276360229744402</v>
      </c>
      <c r="AI4520">
        <v>93.875802873631997</v>
      </c>
      <c r="AJ4520">
        <v>96.904779626480206</v>
      </c>
      <c r="AK4520">
        <v>16.432853279119399</v>
      </c>
      <c r="AL4520">
        <v>90.229188709880603</v>
      </c>
      <c r="AM4520">
        <v>92.305588479303793</v>
      </c>
      <c r="AN4520">
        <v>1.0000000179055999</v>
      </c>
    </row>
    <row r="4521" spans="1:40" x14ac:dyDescent="0.3">
      <c r="A4521" t="str">
        <f>"20200111160551528"</f>
        <v>20200111160551528</v>
      </c>
      <c r="B4521" t="str">
        <f>"1578729951516779"</f>
        <v>1578729951516779</v>
      </c>
      <c r="C4521" t="s">
        <v>40</v>
      </c>
      <c r="D4521">
        <v>5.724189</v>
      </c>
      <c r="E4521">
        <v>0.46929789999999999</v>
      </c>
      <c r="F4521" t="s">
        <v>41</v>
      </c>
      <c r="G4521">
        <v>-421.76659999999998</v>
      </c>
      <c r="H4521" s="1">
        <v>-5.5260579999999998E-7</v>
      </c>
      <c r="I4521">
        <v>99.766260000000003</v>
      </c>
      <c r="J4521">
        <v>-424.05119999999999</v>
      </c>
      <c r="K4521">
        <v>1.1108119999999999</v>
      </c>
      <c r="L4521">
        <v>114.9791</v>
      </c>
      <c r="M4521">
        <v>2.808737E-2</v>
      </c>
      <c r="N4521">
        <v>0</v>
      </c>
      <c r="O4521">
        <v>-0.99951080000000003</v>
      </c>
      <c r="P4521">
        <v>6.782001E-2</v>
      </c>
      <c r="Q4521">
        <v>-1.806719E-2</v>
      </c>
      <c r="R4521">
        <v>-0.99753460000000005</v>
      </c>
      <c r="S4521">
        <v>0.44122309999999998</v>
      </c>
      <c r="T4521">
        <v>-0.21388670000000001</v>
      </c>
      <c r="U4521">
        <v>-2.973541</v>
      </c>
      <c r="V4521">
        <v>-3.9771010000000002E-2</v>
      </c>
      <c r="W4521">
        <v>-4.321185E-3</v>
      </c>
      <c r="X4521">
        <v>0.99919950000000002</v>
      </c>
      <c r="Y4521">
        <v>-0.1185614</v>
      </c>
      <c r="Z4521">
        <v>7.1062340000000002E-2</v>
      </c>
      <c r="AA4521">
        <v>0.99040059999999996</v>
      </c>
      <c r="AB4521">
        <v>23</v>
      </c>
      <c r="AC4521">
        <v>2.28460000000001</v>
      </c>
      <c r="AD4521">
        <v>-1.1108125526057999</v>
      </c>
      <c r="AE4521">
        <v>-15.21284</v>
      </c>
      <c r="AF4521">
        <v>-1.84674038700291</v>
      </c>
      <c r="AG4521">
        <v>-1.1108125526057999</v>
      </c>
      <c r="AH4521">
        <v>15.1918006346851</v>
      </c>
      <c r="AI4521">
        <v>94.151526682522601</v>
      </c>
      <c r="AJ4521">
        <v>96.930962973236404</v>
      </c>
      <c r="AK4521">
        <v>15.3438965425355</v>
      </c>
      <c r="AL4521">
        <v>90.247586427736394</v>
      </c>
      <c r="AM4521">
        <v>92.279333405475398</v>
      </c>
      <c r="AN4521">
        <v>1.00000002333823</v>
      </c>
    </row>
    <row r="4522" spans="1:40" x14ac:dyDescent="0.3">
      <c r="A4522" t="str">
        <f>"20200111160551550"</f>
        <v>20200111160551550</v>
      </c>
      <c r="B4522" t="str">
        <f>"1578729951546059"</f>
        <v>1578729951546059</v>
      </c>
      <c r="C4522" t="s">
        <v>40</v>
      </c>
      <c r="D4522">
        <v>5.5483919999999998</v>
      </c>
      <c r="E4522">
        <v>0.46696270000000001</v>
      </c>
      <c r="F4522" t="s">
        <v>41</v>
      </c>
      <c r="G4522">
        <v>-421.73250000000002</v>
      </c>
      <c r="H4522" s="1">
        <v>-5.6010750000000004E-7</v>
      </c>
      <c r="I4522">
        <v>99.801339999999996</v>
      </c>
      <c r="J4522">
        <v>-424.04450000000003</v>
      </c>
      <c r="K4522">
        <v>1.110865</v>
      </c>
      <c r="L4522">
        <v>114.7504</v>
      </c>
      <c r="M4522">
        <v>2.8444710000000002E-2</v>
      </c>
      <c r="N4522">
        <v>0</v>
      </c>
      <c r="O4522">
        <v>-0.99950079999999997</v>
      </c>
      <c r="P4522">
        <v>6.9030049999999996E-2</v>
      </c>
      <c r="Q4522">
        <v>-1.7553909999999999E-2</v>
      </c>
      <c r="R4522">
        <v>-0.99746060000000003</v>
      </c>
      <c r="S4522">
        <v>0.45413209999999998</v>
      </c>
      <c r="T4522">
        <v>-0.21755469999999999</v>
      </c>
      <c r="U4522">
        <v>-2.9725950000000001</v>
      </c>
      <c r="V4522">
        <v>-4.0625359999999999E-2</v>
      </c>
      <c r="W4522">
        <v>-3.818321E-3</v>
      </c>
      <c r="X4522">
        <v>0.99916709999999997</v>
      </c>
      <c r="Y4522">
        <v>-0.12244380000000001</v>
      </c>
      <c r="Z4522">
        <v>7.2255949999999999E-2</v>
      </c>
      <c r="AA4522">
        <v>0.98984170000000005</v>
      </c>
      <c r="AB4522">
        <v>23</v>
      </c>
      <c r="AC4522">
        <v>2.31200000000001</v>
      </c>
      <c r="AD4522">
        <v>-1.1108655601074999</v>
      </c>
      <c r="AE4522">
        <v>-14.949059999999999</v>
      </c>
      <c r="AF4522">
        <v>-1.87568687798723</v>
      </c>
      <c r="AG4522">
        <v>-1.1108655601074999</v>
      </c>
      <c r="AH4522">
        <v>14.928272359455301</v>
      </c>
      <c r="AI4522">
        <v>94.222658343346794</v>
      </c>
      <c r="AJ4522">
        <v>97.161491733102196</v>
      </c>
      <c r="AK4522">
        <v>15.0866013135816</v>
      </c>
      <c r="AL4522">
        <v>90.218774221419807</v>
      </c>
      <c r="AM4522">
        <v>92.328319521834402</v>
      </c>
      <c r="AN4522">
        <v>0.99999994658639701</v>
      </c>
    </row>
    <row r="4523" spans="1:40" x14ac:dyDescent="0.3">
      <c r="A4523" t="str">
        <f>"20200111160551564"</f>
        <v>20200111160551564</v>
      </c>
      <c r="B4523" t="str">
        <f>"1578729951556795"</f>
        <v>1578729951556795</v>
      </c>
      <c r="C4523" t="s">
        <v>40</v>
      </c>
      <c r="D4523">
        <v>5.5297700000000001</v>
      </c>
      <c r="E4523">
        <v>0.46632249999999997</v>
      </c>
      <c r="F4523" t="s">
        <v>41</v>
      </c>
      <c r="G4523">
        <v>-421.60180000000003</v>
      </c>
      <c r="H4523" s="1">
        <v>-4.5532010000000001E-6</v>
      </c>
      <c r="I4523">
        <v>99.531649999999999</v>
      </c>
      <c r="J4523">
        <v>-424.03989999999999</v>
      </c>
      <c r="K4523">
        <v>1.110895</v>
      </c>
      <c r="L4523">
        <v>114.5979</v>
      </c>
      <c r="M4523">
        <v>2.8706840000000001E-2</v>
      </c>
      <c r="N4523">
        <v>0</v>
      </c>
      <c r="O4523">
        <v>-0.99949339999999998</v>
      </c>
      <c r="P4523">
        <v>6.9446160000000007E-2</v>
      </c>
      <c r="Q4523">
        <v>-1.7093500000000001E-2</v>
      </c>
      <c r="R4523">
        <v>-0.99743979999999999</v>
      </c>
      <c r="S4523">
        <v>0.47683720000000002</v>
      </c>
      <c r="T4523">
        <v>-0.2168505</v>
      </c>
      <c r="U4523">
        <v>-2.970825</v>
      </c>
      <c r="V4523">
        <v>-4.0779799999999998E-2</v>
      </c>
      <c r="W4523">
        <v>-3.3639680000000002E-3</v>
      </c>
      <c r="X4523">
        <v>0.99916249999999995</v>
      </c>
      <c r="Y4523">
        <v>-0.1296551</v>
      </c>
      <c r="Z4523">
        <v>7.1989429999999993E-2</v>
      </c>
      <c r="AA4523">
        <v>0.9889424</v>
      </c>
      <c r="AB4523">
        <v>23</v>
      </c>
      <c r="AC4523">
        <v>2.43809999999996</v>
      </c>
      <c r="AD4523">
        <v>-1.110899553201</v>
      </c>
      <c r="AE4523">
        <v>-15.066249999999901</v>
      </c>
      <c r="AF4523">
        <v>-1.9939855793299801</v>
      </c>
      <c r="AG4523">
        <v>-1.110899553201</v>
      </c>
      <c r="AH4523">
        <v>15.0502997869874</v>
      </c>
      <c r="AI4523">
        <v>94.185047705633593</v>
      </c>
      <c r="AJ4523">
        <v>97.547055552539703</v>
      </c>
      <c r="AK4523">
        <v>15.222404540218699</v>
      </c>
      <c r="AL4523">
        <v>90.192741531395697</v>
      </c>
      <c r="AM4523">
        <v>92.337171734216298</v>
      </c>
      <c r="AN4523">
        <v>1.00000000488749</v>
      </c>
    </row>
    <row r="4524" spans="1:40" x14ac:dyDescent="0.3">
      <c r="A4524" t="str">
        <f>"20200111160551584"</f>
        <v>20200111160551584</v>
      </c>
      <c r="B4524" t="str">
        <f>"1578729951576314"</f>
        <v>1578729951576314</v>
      </c>
      <c r="C4524" t="s">
        <v>40</v>
      </c>
      <c r="D4524">
        <v>5.5856320000000004</v>
      </c>
      <c r="E4524">
        <v>0.46501480000000001</v>
      </c>
      <c r="F4524" t="s">
        <v>41</v>
      </c>
      <c r="G4524">
        <v>-421.55860000000001</v>
      </c>
      <c r="H4524" s="1">
        <v>-4.4788740000000001E-6</v>
      </c>
      <c r="I4524">
        <v>99.335719999999995</v>
      </c>
      <c r="J4524">
        <v>-424.03359999999998</v>
      </c>
      <c r="K4524">
        <v>1.1109290000000001</v>
      </c>
      <c r="L4524">
        <v>114.3933</v>
      </c>
      <c r="M4524">
        <v>2.9096549999999999E-2</v>
      </c>
      <c r="N4524">
        <v>0</v>
      </c>
      <c r="O4524">
        <v>-0.99948199999999998</v>
      </c>
      <c r="P4524">
        <v>7.0345080000000004E-2</v>
      </c>
      <c r="Q4524">
        <v>-1.6927979999999999E-2</v>
      </c>
      <c r="R4524">
        <v>-0.99737929999999997</v>
      </c>
      <c r="S4524">
        <v>0.48291020000000001</v>
      </c>
      <c r="T4524">
        <v>-0.2162076</v>
      </c>
      <c r="U4524">
        <v>-2.970383</v>
      </c>
      <c r="V4524">
        <v>-4.1290069999999998E-2</v>
      </c>
      <c r="W4524">
        <v>-3.2063880000000001E-3</v>
      </c>
      <c r="X4524">
        <v>0.99914210000000003</v>
      </c>
      <c r="Y4524">
        <v>-0.13126450000000001</v>
      </c>
      <c r="Z4524">
        <v>7.1767230000000001E-2</v>
      </c>
      <c r="AA4524">
        <v>0.98874620000000002</v>
      </c>
      <c r="AB4524">
        <v>23</v>
      </c>
      <c r="AC4524">
        <v>2.4749999999999601</v>
      </c>
      <c r="AD4524">
        <v>-1.110933478874</v>
      </c>
      <c r="AE4524">
        <v>-15.05758</v>
      </c>
      <c r="AF4524">
        <v>-2.0250537505616601</v>
      </c>
      <c r="AG4524">
        <v>-1.110933478874</v>
      </c>
      <c r="AH4524">
        <v>15.0434915332862</v>
      </c>
      <c r="AI4524">
        <v>94.185899181193605</v>
      </c>
      <c r="AJ4524">
        <v>97.666685869663198</v>
      </c>
      <c r="AK4524">
        <v>15.219778362354701</v>
      </c>
      <c r="AL4524">
        <v>90.183712806699006</v>
      </c>
      <c r="AM4524">
        <v>92.366431546849398</v>
      </c>
      <c r="AN4524">
        <v>1.0000000433985099</v>
      </c>
    </row>
    <row r="4525" spans="1:40" x14ac:dyDescent="0.3">
      <c r="A4525" t="str">
        <f>"20200111160551605"</f>
        <v>20200111160551605</v>
      </c>
      <c r="B4525" t="str">
        <f>"1578729951596811"</f>
        <v>1578729951596811</v>
      </c>
      <c r="C4525" t="s">
        <v>40</v>
      </c>
      <c r="D4525">
        <v>5.7452819999999996</v>
      </c>
      <c r="E4525">
        <v>0.46406730000000002</v>
      </c>
      <c r="F4525" t="s">
        <v>41</v>
      </c>
      <c r="G4525">
        <v>-421.48520000000002</v>
      </c>
      <c r="H4525" s="1">
        <v>-4.4044100000000004E-6</v>
      </c>
      <c r="I4525">
        <v>99.155169999999998</v>
      </c>
      <c r="J4525">
        <v>-424.02659999999997</v>
      </c>
      <c r="K4525">
        <v>1.1109560000000001</v>
      </c>
      <c r="L4525">
        <v>114.1703</v>
      </c>
      <c r="M4525">
        <v>2.9564110000000001E-2</v>
      </c>
      <c r="N4525">
        <v>0</v>
      </c>
      <c r="O4525">
        <v>-0.99946820000000003</v>
      </c>
      <c r="P4525">
        <v>7.1171960000000006E-2</v>
      </c>
      <c r="Q4525">
        <v>-1.735211E-2</v>
      </c>
      <c r="R4525">
        <v>-0.99731309999999995</v>
      </c>
      <c r="S4525">
        <v>0.49655149999999998</v>
      </c>
      <c r="T4525">
        <v>-0.2164682</v>
      </c>
      <c r="U4525">
        <v>-2.9691930000000002</v>
      </c>
      <c r="V4525">
        <v>-4.1650659999999999E-2</v>
      </c>
      <c r="W4525">
        <v>-3.6385329999999998E-3</v>
      </c>
      <c r="X4525">
        <v>0.99912559999999995</v>
      </c>
      <c r="Y4525">
        <v>-0.13528389999999901</v>
      </c>
      <c r="Z4525">
        <v>7.1833980000000006E-2</v>
      </c>
      <c r="AA4525">
        <v>0.98819939999999995</v>
      </c>
      <c r="AB4525">
        <v>23</v>
      </c>
      <c r="AC4525">
        <v>2.5413999999999501</v>
      </c>
      <c r="AD4525">
        <v>-1.1109604044100001</v>
      </c>
      <c r="AE4525">
        <v>-15.015129999999999</v>
      </c>
      <c r="AF4525">
        <v>-2.0852403508825401</v>
      </c>
      <c r="AG4525">
        <v>-1.1109604044100001</v>
      </c>
      <c r="AH4525">
        <v>15.0038567128592</v>
      </c>
      <c r="AI4525">
        <v>94.194567032233195</v>
      </c>
      <c r="AJ4525">
        <v>97.912300405090207</v>
      </c>
      <c r="AK4525">
        <v>15.1887516472265</v>
      </c>
      <c r="AL4525">
        <v>90.208473046496806</v>
      </c>
      <c r="AM4525">
        <v>92.387113385311906</v>
      </c>
      <c r="AN4525">
        <v>0.99999999048809296</v>
      </c>
    </row>
    <row r="4526" spans="1:40" x14ac:dyDescent="0.3">
      <c r="A4526" t="str">
        <f>"20200111160551628"</f>
        <v>20200111160551628</v>
      </c>
      <c r="B4526" t="str">
        <f>"1578729951616330"</f>
        <v>1578729951616330</v>
      </c>
      <c r="C4526" t="s">
        <v>40</v>
      </c>
      <c r="D4526">
        <v>5.4587770000000004</v>
      </c>
      <c r="E4526">
        <v>0.46280100000000002</v>
      </c>
      <c r="F4526" t="s">
        <v>41</v>
      </c>
      <c r="G4526">
        <v>-421.43049999999999</v>
      </c>
      <c r="H4526" s="1">
        <v>-4.3250099999999999E-6</v>
      </c>
      <c r="I4526">
        <v>98.950379999999996</v>
      </c>
      <c r="J4526">
        <v>-424.01920000000001</v>
      </c>
      <c r="K4526">
        <v>1.1109819999999999</v>
      </c>
      <c r="L4526">
        <v>113.9404</v>
      </c>
      <c r="M4526">
        <v>3.008473E-2</v>
      </c>
      <c r="N4526">
        <v>0</v>
      </c>
      <c r="O4526">
        <v>-0.99945280000000003</v>
      </c>
      <c r="P4526">
        <v>7.1305999999999994E-2</v>
      </c>
      <c r="Q4526">
        <v>-1.8148379999999999E-2</v>
      </c>
      <c r="R4526">
        <v>-0.99728939999999999</v>
      </c>
      <c r="S4526">
        <v>0.50628660000000003</v>
      </c>
      <c r="T4526">
        <v>-0.21666060000000001</v>
      </c>
      <c r="U4526">
        <v>-2.9682010000000001</v>
      </c>
      <c r="V4526">
        <v>-4.1264160000000001E-2</v>
      </c>
      <c r="W4526">
        <v>-4.4414770000000001E-3</v>
      </c>
      <c r="X4526">
        <v>0.99913839999999998</v>
      </c>
      <c r="Y4526">
        <v>-0.1379716</v>
      </c>
      <c r="Z4526">
        <v>7.1886619999999998E-2</v>
      </c>
      <c r="AA4526">
        <v>0.98782400000000004</v>
      </c>
      <c r="AB4526">
        <v>23</v>
      </c>
      <c r="AC4526">
        <v>2.58870000000001</v>
      </c>
      <c r="AD4526">
        <v>-1.1109863250099901</v>
      </c>
      <c r="AE4526">
        <v>-14.9900199999999</v>
      </c>
      <c r="AF4526">
        <v>-2.1251790479371899</v>
      </c>
      <c r="AG4526">
        <v>-1.1109863250099901</v>
      </c>
      <c r="AH4526">
        <v>14.9812119512595</v>
      </c>
      <c r="AI4526">
        <v>94.199324842020602</v>
      </c>
      <c r="AJ4526">
        <v>98.073896373148003</v>
      </c>
      <c r="AK4526">
        <v>15.171927633913601</v>
      </c>
      <c r="AL4526">
        <v>90.254478723584199</v>
      </c>
      <c r="AM4526">
        <v>92.364957017986796</v>
      </c>
      <c r="AN4526">
        <v>0.99999999998650302</v>
      </c>
    </row>
    <row r="4527" spans="1:40" x14ac:dyDescent="0.3">
      <c r="A4527" t="str">
        <f>"20200111160551642"</f>
        <v>20200111160551642</v>
      </c>
      <c r="B4527" t="str">
        <f>"1578729951636828"</f>
        <v>1578729951636828</v>
      </c>
      <c r="C4527" t="s">
        <v>40</v>
      </c>
      <c r="D4527">
        <v>5.6474169999999999</v>
      </c>
      <c r="E4527">
        <v>0.46188489999999999</v>
      </c>
      <c r="F4527" t="s">
        <v>41</v>
      </c>
      <c r="G4527">
        <v>-421.3999</v>
      </c>
      <c r="H4527" s="1">
        <v>-4.3031499999999996E-6</v>
      </c>
      <c r="I4527">
        <v>98.902109999999993</v>
      </c>
      <c r="J4527">
        <v>-424.01409999999998</v>
      </c>
      <c r="K4527">
        <v>1.110997</v>
      </c>
      <c r="L4527">
        <v>113.7859</v>
      </c>
      <c r="M4527">
        <v>3.0452509999999999E-2</v>
      </c>
      <c r="N4527">
        <v>0</v>
      </c>
      <c r="O4527">
        <v>-0.99944180000000005</v>
      </c>
      <c r="P4527">
        <v>7.1401119999999998E-2</v>
      </c>
      <c r="Q4527">
        <v>-1.8655930000000001E-2</v>
      </c>
      <c r="R4527">
        <v>-0.99727339999999998</v>
      </c>
      <c r="S4527">
        <v>0.51681520000000003</v>
      </c>
      <c r="T4527">
        <v>-0.2192093</v>
      </c>
      <c r="U4527">
        <v>-2.9672239999999999</v>
      </c>
      <c r="V4527">
        <v>-4.099154E-2</v>
      </c>
      <c r="W4527">
        <v>-4.9531159999999996E-3</v>
      </c>
      <c r="X4527">
        <v>0.99914720000000001</v>
      </c>
      <c r="Y4527">
        <v>-0.14105399999999901</v>
      </c>
      <c r="Z4527">
        <v>7.2712499999999999E-2</v>
      </c>
      <c r="AA4527">
        <v>0.98732810000000004</v>
      </c>
      <c r="AB4527">
        <v>23</v>
      </c>
      <c r="AC4527">
        <v>2.6141999999999799</v>
      </c>
      <c r="AD4527">
        <v>-1.1110013031499999</v>
      </c>
      <c r="AE4527">
        <v>-14.883789999999999</v>
      </c>
      <c r="AF4527">
        <v>-2.1480851073668199</v>
      </c>
      <c r="AG4527">
        <v>-1.1110013031499999</v>
      </c>
      <c r="AH4527">
        <v>14.8760949438206</v>
      </c>
      <c r="AI4527">
        <v>94.227445422511394</v>
      </c>
      <c r="AJ4527">
        <v>98.216628013095502</v>
      </c>
      <c r="AK4527">
        <v>15.0713899260041</v>
      </c>
      <c r="AL4527">
        <v>90.283793807335101</v>
      </c>
      <c r="AM4527">
        <v>92.349329348946398</v>
      </c>
      <c r="AN4527">
        <v>0.99999998348875996</v>
      </c>
    </row>
    <row r="4528" spans="1:40" x14ac:dyDescent="0.3">
      <c r="A4528" t="str">
        <f>"20200111160551657"</f>
        <v>20200111160551657</v>
      </c>
      <c r="B4528" t="str">
        <f>"1578729951646587"</f>
        <v>1578729951646587</v>
      </c>
      <c r="C4528" t="s">
        <v>40</v>
      </c>
      <c r="D4528">
        <v>5.3950550000000002</v>
      </c>
      <c r="E4528">
        <v>0.46188489999999999</v>
      </c>
      <c r="F4528" t="s">
        <v>41</v>
      </c>
      <c r="G4528">
        <v>-421.39179999999999</v>
      </c>
      <c r="H4528" s="1">
        <v>-4.3203370000000003E-6</v>
      </c>
      <c r="I4528">
        <v>98.95684</v>
      </c>
      <c r="J4528">
        <v>-424.00940000000003</v>
      </c>
      <c r="K4528">
        <v>1.1110120000000001</v>
      </c>
      <c r="L4528">
        <v>113.6437</v>
      </c>
      <c r="M4528">
        <v>3.0809690000000001E-2</v>
      </c>
      <c r="N4528">
        <v>0</v>
      </c>
      <c r="O4528">
        <v>-0.99943090000000001</v>
      </c>
      <c r="P4528">
        <v>7.0928309999999994E-2</v>
      </c>
      <c r="Q4528">
        <v>-1.8747670000000001E-2</v>
      </c>
      <c r="R4528">
        <v>-0.99730560000000001</v>
      </c>
      <c r="S4528">
        <v>0.52459719999999999</v>
      </c>
      <c r="T4528">
        <v>-0.2222519</v>
      </c>
      <c r="U4528">
        <v>-2.9664920000000001</v>
      </c>
      <c r="V4528">
        <v>-4.0161090000000003E-2</v>
      </c>
      <c r="W4528">
        <v>-5.0473499999999999E-3</v>
      </c>
      <c r="X4528">
        <v>0.99918050000000003</v>
      </c>
      <c r="Y4528">
        <v>-0.14324110000000001</v>
      </c>
      <c r="Z4528">
        <v>7.3704710000000007E-2</v>
      </c>
      <c r="AA4528">
        <v>0.98693949999999997</v>
      </c>
      <c r="AB4528">
        <v>23</v>
      </c>
      <c r="AC4528">
        <v>2.6176000000000301</v>
      </c>
      <c r="AD4528">
        <v>-1.111016320337</v>
      </c>
      <c r="AE4528">
        <v>-14.6868599999999</v>
      </c>
      <c r="AF4528">
        <v>-2.1518818699253202</v>
      </c>
      <c r="AG4528">
        <v>-1.111016320337</v>
      </c>
      <c r="AH4528">
        <v>14.6791268052727</v>
      </c>
      <c r="AI4528">
        <v>94.282682879745494</v>
      </c>
      <c r="AJ4528">
        <v>98.339853762747396</v>
      </c>
      <c r="AK4528">
        <v>14.8775574813692</v>
      </c>
      <c r="AL4528">
        <v>90.289193071891404</v>
      </c>
      <c r="AM4528">
        <v>92.301709240830803</v>
      </c>
      <c r="AN4528">
        <v>1.0000000302361201</v>
      </c>
    </row>
    <row r="4529" spans="1:40" x14ac:dyDescent="0.3">
      <c r="A4529" t="str">
        <f>"20200111160551717"</f>
        <v>20200111160551717</v>
      </c>
      <c r="B4529" t="str">
        <f>"1578729951706123"</f>
        <v>1578729951706123</v>
      </c>
      <c r="C4529" t="s">
        <v>40</v>
      </c>
      <c r="D4529">
        <v>6.0292629999999896</v>
      </c>
      <c r="E4529">
        <v>0.46188489999999999</v>
      </c>
      <c r="F4529" t="s">
        <v>41</v>
      </c>
      <c r="G4529">
        <v>-421.4006</v>
      </c>
      <c r="H4529" s="1">
        <v>-4.2801470000000001E-6</v>
      </c>
      <c r="I4529">
        <v>98.834130000000002</v>
      </c>
      <c r="J4529">
        <v>-423.98759999999999</v>
      </c>
      <c r="K4529">
        <v>1.1110719999999901</v>
      </c>
      <c r="L4529">
        <v>113.0155</v>
      </c>
      <c r="M4529">
        <v>3.254982E-2</v>
      </c>
      <c r="N4529">
        <v>0</v>
      </c>
      <c r="O4529">
        <v>-0.99937569999999998</v>
      </c>
      <c r="P4529">
        <v>6.8982879999999996E-2</v>
      </c>
      <c r="Q4529">
        <v>-2.0225630000000001E-2</v>
      </c>
      <c r="R4529">
        <v>-0.99741270000000004</v>
      </c>
      <c r="S4529">
        <v>0.52261349999999995</v>
      </c>
      <c r="T4529">
        <v>-0.22256699999999999</v>
      </c>
      <c r="U4529">
        <v>-2.9667659999999998</v>
      </c>
      <c r="V4529">
        <v>-3.6471389999999999E-2</v>
      </c>
      <c r="W4529">
        <v>-6.5343370000000003E-3</v>
      </c>
      <c r="X4529">
        <v>0.99931340000000002</v>
      </c>
      <c r="Y4529">
        <v>-0.1408606</v>
      </c>
      <c r="Z4529">
        <v>7.3812740000000002E-2</v>
      </c>
      <c r="AA4529">
        <v>0.98727399999999998</v>
      </c>
      <c r="AB4529">
        <v>23</v>
      </c>
      <c r="AC4529">
        <v>2.5869999999999802</v>
      </c>
      <c r="AD4529">
        <v>-1.11107628014699</v>
      </c>
      <c r="AE4529">
        <v>-14.181369999999999</v>
      </c>
      <c r="AF4529">
        <v>-2.1114409839743402</v>
      </c>
      <c r="AG4529">
        <v>-1.11107628014699</v>
      </c>
      <c r="AH4529">
        <v>14.1738663781504</v>
      </c>
      <c r="AI4529">
        <v>94.433473464133101</v>
      </c>
      <c r="AJ4529">
        <v>98.472883115020693</v>
      </c>
      <c r="AK4529">
        <v>14.373279432153801</v>
      </c>
      <c r="AL4529">
        <v>90.374392571750207</v>
      </c>
      <c r="AM4529">
        <v>92.090164766752494</v>
      </c>
      <c r="AN4529">
        <v>1.00000006563405</v>
      </c>
    </row>
    <row r="4530" spans="1:40" x14ac:dyDescent="0.3">
      <c r="A4530" t="str">
        <f>"20200111160551754"</f>
        <v>20200111160551754</v>
      </c>
      <c r="B4530" t="str">
        <f>"1578729951746138"</f>
        <v>1578729951746138</v>
      </c>
      <c r="C4530" t="s">
        <v>40</v>
      </c>
      <c r="D4530">
        <v>5.8288970000000004</v>
      </c>
      <c r="E4530">
        <v>0.58402989999999999</v>
      </c>
      <c r="F4530" t="s">
        <v>41</v>
      </c>
      <c r="G4530">
        <v>-421.46730000000002</v>
      </c>
      <c r="H4530" s="1">
        <v>-4.1914810000000001E-6</v>
      </c>
      <c r="I4530">
        <v>98.538790000000006</v>
      </c>
      <c r="J4530">
        <v>-423.97370000000001</v>
      </c>
      <c r="K4530">
        <v>1.1110960000000001</v>
      </c>
      <c r="L4530">
        <v>112.63249999999999</v>
      </c>
      <c r="M4530">
        <v>3.3726779999999998E-2</v>
      </c>
      <c r="N4530">
        <v>0</v>
      </c>
      <c r="O4530">
        <v>-0.99933680000000003</v>
      </c>
      <c r="P4530">
        <v>6.8319489999999997E-2</v>
      </c>
      <c r="Q4530">
        <v>-2.1797569999999999E-2</v>
      </c>
      <c r="R4530">
        <v>-0.99742549999999996</v>
      </c>
      <c r="S4530">
        <v>0.51660159999999999</v>
      </c>
      <c r="T4530">
        <v>-0.22774549999999999</v>
      </c>
      <c r="U4530">
        <v>-2.9674070000000001</v>
      </c>
      <c r="V4530">
        <v>-3.4628739999999998E-2</v>
      </c>
      <c r="W4530">
        <v>-8.1107530000000001E-3</v>
      </c>
      <c r="X4530">
        <v>0.99936740000000002</v>
      </c>
      <c r="Y4530">
        <v>-0.1376947</v>
      </c>
      <c r="Z4530">
        <v>7.5529929999999995E-2</v>
      </c>
      <c r="AA4530">
        <v>0.98759070000000004</v>
      </c>
      <c r="AB4530">
        <v>23</v>
      </c>
      <c r="AC4530">
        <v>2.5063999999999802</v>
      </c>
      <c r="AD4530">
        <v>-1.1111001914809999</v>
      </c>
      <c r="AE4530">
        <v>-14.0937099999999</v>
      </c>
      <c r="AF4530">
        <v>-2.0174391542532701</v>
      </c>
      <c r="AG4530">
        <v>-1.1111001914809999</v>
      </c>
      <c r="AH4530">
        <v>14.085371481435301</v>
      </c>
      <c r="AI4530">
        <v>94.464959753414604</v>
      </c>
      <c r="AJ4530">
        <v>98.151002846751993</v>
      </c>
      <c r="AK4530">
        <v>14.2724312626355</v>
      </c>
      <c r="AL4530">
        <v>90.464716979682507</v>
      </c>
      <c r="AM4530">
        <v>91.984542570840404</v>
      </c>
      <c r="AN4530">
        <v>1.0000000670654801</v>
      </c>
    </row>
    <row r="4531" spans="1:40" x14ac:dyDescent="0.3">
      <c r="A4531" t="str">
        <f>"20200111160551930"</f>
        <v>20200111160551930</v>
      </c>
      <c r="B4531" t="str">
        <f>"1578729951926699"</f>
        <v>1578729951926699</v>
      </c>
      <c r="C4531" t="s">
        <v>40</v>
      </c>
      <c r="D4531">
        <v>5.4826969999999999</v>
      </c>
      <c r="E4531">
        <v>0.52989849999999905</v>
      </c>
      <c r="F4531" t="s">
        <v>42</v>
      </c>
      <c r="G4531">
        <v>-423.91669999999999</v>
      </c>
      <c r="H4531">
        <v>1.047682</v>
      </c>
      <c r="I4531">
        <v>110.16800000000001</v>
      </c>
      <c r="J4531">
        <v>-423.90089999999998</v>
      </c>
      <c r="K4531">
        <v>1.111143</v>
      </c>
      <c r="L4531">
        <v>110.8399</v>
      </c>
      <c r="M4531">
        <v>4.0010230000000001E-2</v>
      </c>
      <c r="N4531">
        <v>0</v>
      </c>
      <c r="O4531">
        <v>-0.99910509999999997</v>
      </c>
      <c r="P4531">
        <v>7.4843049999999994E-2</v>
      </c>
      <c r="Q4531">
        <v>-2.6469619999999999E-2</v>
      </c>
      <c r="R4531">
        <v>-0.99684410000000001</v>
      </c>
      <c r="S4531">
        <v>-2.792358E-2</v>
      </c>
      <c r="T4531">
        <v>-0.2235277</v>
      </c>
      <c r="U4531">
        <v>-3.0051730000000001</v>
      </c>
      <c r="V4531">
        <v>-3.4879109999999998E-2</v>
      </c>
      <c r="W4531">
        <v>-1.281011E-2</v>
      </c>
      <c r="X4531">
        <v>0.99930940000000001</v>
      </c>
      <c r="Y4531">
        <v>4.9270670000000003E-2</v>
      </c>
      <c r="Z4531">
        <v>7.4040380000000003E-2</v>
      </c>
      <c r="AA4531">
        <v>0.99603739999999996</v>
      </c>
      <c r="AB4531">
        <v>23</v>
      </c>
      <c r="AC4531">
        <v>-1.5800000000012901E-2</v>
      </c>
      <c r="AD4531">
        <v>-6.3460999999999906E-2</v>
      </c>
      <c r="AE4531">
        <v>-0.67190000000000705</v>
      </c>
      <c r="AF4531">
        <v>4.22956462848528E-2</v>
      </c>
      <c r="AG4531">
        <v>-6.3460999999999906E-2</v>
      </c>
      <c r="AH4531">
        <v>0.66480236582456398</v>
      </c>
      <c r="AI4531">
        <v>95.441907211833495</v>
      </c>
      <c r="AJ4531">
        <v>86.359669578303297</v>
      </c>
      <c r="AK4531">
        <v>0.66916246593902096</v>
      </c>
      <c r="AL4531">
        <v>90.733985339763507</v>
      </c>
      <c r="AM4531">
        <v>91.998995378046303</v>
      </c>
      <c r="AN4531">
        <v>0.99999996408048097</v>
      </c>
    </row>
    <row r="4532" spans="1:40" x14ac:dyDescent="0.3">
      <c r="A4532" t="str">
        <f>"20200111160551954"</f>
        <v>20200111160551954</v>
      </c>
      <c r="B4532" t="str">
        <f>"1578729951946219"</f>
        <v>1578729951946219</v>
      </c>
      <c r="C4532" t="s">
        <v>40</v>
      </c>
      <c r="D4532">
        <v>5.4377259999999996</v>
      </c>
      <c r="E4532">
        <v>0.52929040000000005</v>
      </c>
      <c r="F4532" t="s">
        <v>41</v>
      </c>
      <c r="G4532">
        <v>-423.99509999999998</v>
      </c>
      <c r="H4532" s="1">
        <v>-4.108066E-6</v>
      </c>
      <c r="I4532">
        <v>86.976060000000004</v>
      </c>
      <c r="J4532">
        <v>-423.89010000000002</v>
      </c>
      <c r="K4532">
        <v>1.1111489999999999</v>
      </c>
      <c r="L4532">
        <v>110.5984</v>
      </c>
      <c r="M4532">
        <v>4.0924009999999997E-2</v>
      </c>
      <c r="N4532">
        <v>0</v>
      </c>
      <c r="O4532">
        <v>-0.99906839999999997</v>
      </c>
      <c r="P4532">
        <v>7.7214480000000002E-2</v>
      </c>
      <c r="Q4532">
        <v>-2.6492410000000001E-2</v>
      </c>
      <c r="R4532">
        <v>-0.99666259999999995</v>
      </c>
      <c r="S4532">
        <v>-1.1871339999999999E-2</v>
      </c>
      <c r="T4532">
        <v>-0.13999619999999999</v>
      </c>
      <c r="U4532">
        <v>-3.0066679999999999</v>
      </c>
      <c r="V4532">
        <v>-3.6342409999999999E-2</v>
      </c>
      <c r="W4532">
        <v>-1.2838530000000001E-2</v>
      </c>
      <c r="X4532">
        <v>0.9992569</v>
      </c>
      <c r="Y4532">
        <v>4.4868239999999997E-2</v>
      </c>
      <c r="Z4532">
        <v>4.642947E-2</v>
      </c>
      <c r="AA4532">
        <v>0.99791339999999995</v>
      </c>
      <c r="AB4532">
        <v>23</v>
      </c>
      <c r="AC4532">
        <v>-0.104999999999961</v>
      </c>
      <c r="AD4532">
        <v>-1.111153108066</v>
      </c>
      <c r="AE4532">
        <v>-23.622339999999902</v>
      </c>
      <c r="AF4532">
        <v>1.06935756127768</v>
      </c>
      <c r="AG4532">
        <v>-1.111153108066</v>
      </c>
      <c r="AH4532">
        <v>23.546152449340401</v>
      </c>
      <c r="AI4532">
        <v>92.699030298033094</v>
      </c>
      <c r="AJ4532">
        <v>87.399676946442696</v>
      </c>
      <c r="AK4532">
        <v>23.596598949658102</v>
      </c>
      <c r="AL4532">
        <v>90.735613811461207</v>
      </c>
      <c r="AM4532">
        <v>92.082897142853</v>
      </c>
      <c r="AN4532">
        <v>0.99999997540738905</v>
      </c>
    </row>
    <row r="4533" spans="1:40" x14ac:dyDescent="0.3">
      <c r="A4533" t="str">
        <f>"20200111160551976"</f>
        <v>20200111160551976</v>
      </c>
      <c r="B4533" t="str">
        <f>"1578729951966714"</f>
        <v>1578729951966714</v>
      </c>
      <c r="C4533" t="s">
        <v>40</v>
      </c>
      <c r="D4533">
        <v>5.3688379999999896</v>
      </c>
      <c r="E4533">
        <v>0.52866279999999999</v>
      </c>
      <c r="F4533" t="s">
        <v>41</v>
      </c>
      <c r="G4533">
        <v>-423.8802</v>
      </c>
      <c r="H4533" s="1">
        <v>-2.0924020000000001E-6</v>
      </c>
      <c r="I4533">
        <v>92.059970000000007</v>
      </c>
      <c r="J4533">
        <v>-423.87990000000002</v>
      </c>
      <c r="K4533">
        <v>1.111156</v>
      </c>
      <c r="L4533">
        <v>110.374</v>
      </c>
      <c r="M4533">
        <v>4.1778089999999997E-2</v>
      </c>
      <c r="N4533">
        <v>0</v>
      </c>
      <c r="O4533">
        <v>-0.99903310000000001</v>
      </c>
      <c r="P4533">
        <v>8.0397560000000007E-2</v>
      </c>
      <c r="Q4533">
        <v>-2.651771E-2</v>
      </c>
      <c r="R4533">
        <v>-0.99641040000000003</v>
      </c>
      <c r="S4533">
        <v>1.617432E-3</v>
      </c>
      <c r="T4533">
        <v>-0.1801208</v>
      </c>
      <c r="U4533">
        <v>-3.0051269999999999</v>
      </c>
      <c r="V4533">
        <v>-3.8678490000000003E-2</v>
      </c>
      <c r="W4533">
        <v>-1.28705E-2</v>
      </c>
      <c r="X4533">
        <v>0.99916879999999997</v>
      </c>
      <c r="Y4533">
        <v>4.1245169999999998E-2</v>
      </c>
      <c r="Z4533">
        <v>5.9726689999999999E-2</v>
      </c>
      <c r="AA4533">
        <v>0.99736230000000003</v>
      </c>
      <c r="AB4533">
        <v>23</v>
      </c>
      <c r="AC4533">
        <v>-2.9999999998153699E-4</v>
      </c>
      <c r="AD4533">
        <v>-1.1111580924019999</v>
      </c>
      <c r="AE4533">
        <v>-18.314029999999999</v>
      </c>
      <c r="AF4533">
        <v>0.76268908031099403</v>
      </c>
      <c r="AG4533">
        <v>-1.1111580924019999</v>
      </c>
      <c r="AH4533">
        <v>18.230913968336498</v>
      </c>
      <c r="AI4533">
        <v>93.484771949883196</v>
      </c>
      <c r="AJ4533">
        <v>87.604431745144197</v>
      </c>
      <c r="AK4533">
        <v>18.280661669108799</v>
      </c>
      <c r="AL4533">
        <v>90.737445703241093</v>
      </c>
      <c r="AM4533">
        <v>92.216850914986594</v>
      </c>
      <c r="AN4533">
        <v>0.99999998312618399</v>
      </c>
    </row>
    <row r="4534" spans="1:40" x14ac:dyDescent="0.3">
      <c r="A4534" t="str">
        <f>"20200111160551996"</f>
        <v>20200111160551996</v>
      </c>
      <c r="B4534" t="str">
        <f>"1578729951986235"</f>
        <v>1578729951986235</v>
      </c>
      <c r="C4534" t="s">
        <v>40</v>
      </c>
      <c r="D4534">
        <v>5.4536480000000003</v>
      </c>
      <c r="E4534">
        <v>0.52884039999999999</v>
      </c>
      <c r="F4534" t="s">
        <v>41</v>
      </c>
      <c r="G4534">
        <v>-423.7912</v>
      </c>
      <c r="H4534" s="1">
        <v>-3.2115870000000002E-6</v>
      </c>
      <c r="I4534">
        <v>94.723979999999997</v>
      </c>
      <c r="J4534">
        <v>-423.87009999999998</v>
      </c>
      <c r="K4534">
        <v>1.1111489999999999</v>
      </c>
      <c r="L4534">
        <v>110.1614</v>
      </c>
      <c r="M4534">
        <v>4.2589969999999998E-2</v>
      </c>
      <c r="N4534">
        <v>0</v>
      </c>
      <c r="O4534">
        <v>-0.99899879999999996</v>
      </c>
      <c r="P4534">
        <v>8.3587110000000006E-2</v>
      </c>
      <c r="Q4534">
        <v>-2.7007489999999999E-2</v>
      </c>
      <c r="R4534">
        <v>-0.99613459999999998</v>
      </c>
      <c r="S4534">
        <v>1.7028809999999998E-2</v>
      </c>
      <c r="T4534">
        <v>-0.21326919999999999</v>
      </c>
      <c r="U4534">
        <v>-3.0037690000000001</v>
      </c>
      <c r="V4534">
        <v>-4.1064599999999903E-2</v>
      </c>
      <c r="W4534">
        <v>-1.336677E-2</v>
      </c>
      <c r="X4534">
        <v>0.99906709999999999</v>
      </c>
      <c r="Y4534">
        <v>3.6943530000000002E-2</v>
      </c>
      <c r="Z4534">
        <v>7.0701199999999895E-2</v>
      </c>
      <c r="AA4534">
        <v>0.99681319999999995</v>
      </c>
      <c r="AB4534">
        <v>23</v>
      </c>
      <c r="AC4534">
        <v>7.8899999999975906E-2</v>
      </c>
      <c r="AD4534">
        <v>-1.1111522115869901</v>
      </c>
      <c r="AE4534">
        <v>-15.4374199999999</v>
      </c>
      <c r="AF4534">
        <v>0.57572983489371699</v>
      </c>
      <c r="AG4534">
        <v>-1.1111522115869901</v>
      </c>
      <c r="AH4534">
        <v>15.3472615002079</v>
      </c>
      <c r="AI4534">
        <v>94.138127508725304</v>
      </c>
      <c r="AJ4534">
        <v>87.851640895472798</v>
      </c>
      <c r="AK4534">
        <v>15.398199882968999</v>
      </c>
      <c r="AL4534">
        <v>90.765882298477393</v>
      </c>
      <c r="AM4534">
        <v>92.353700379097006</v>
      </c>
      <c r="AN4534">
        <v>1.0000000211079001</v>
      </c>
    </row>
    <row r="4535" spans="1:40" x14ac:dyDescent="0.3">
      <c r="A4535" t="str">
        <f>"20200111160552019"</f>
        <v>20200111160552019</v>
      </c>
      <c r="B4535" t="str">
        <f>"1578729952016491"</f>
        <v>1578729952016491</v>
      </c>
      <c r="C4535" t="s">
        <v>40</v>
      </c>
      <c r="D4535">
        <v>6.7129849999999998</v>
      </c>
      <c r="E4535">
        <v>0.52893669999999904</v>
      </c>
      <c r="F4535" t="s">
        <v>42</v>
      </c>
      <c r="G4535">
        <v>-423.86340000000001</v>
      </c>
      <c r="H4535">
        <v>1.047793</v>
      </c>
      <c r="I4535">
        <v>109.35590000000001</v>
      </c>
      <c r="J4535">
        <v>-423.85930000000002</v>
      </c>
      <c r="K4535">
        <v>1.1111340000000001</v>
      </c>
      <c r="L4535">
        <v>109.93259999999999</v>
      </c>
      <c r="M4535">
        <v>4.3453180000000001E-2</v>
      </c>
      <c r="N4535">
        <v>0</v>
      </c>
      <c r="O4535">
        <v>-0.99896160000000001</v>
      </c>
      <c r="P4535">
        <v>8.6700550000000001E-2</v>
      </c>
      <c r="Q4535">
        <v>-2.850405E-2</v>
      </c>
      <c r="R4535">
        <v>-0.99582649999999995</v>
      </c>
      <c r="S4535">
        <v>2.5451660000000001E-2</v>
      </c>
      <c r="T4535">
        <v>-0.23631959999999999</v>
      </c>
      <c r="U4535">
        <v>-3.003098</v>
      </c>
      <c r="V4535">
        <v>-4.3324059999999998E-2</v>
      </c>
      <c r="W4535">
        <v>-1.4869429999999999E-2</v>
      </c>
      <c r="X4535">
        <v>0.99895040000000002</v>
      </c>
      <c r="Y4535">
        <v>3.501489E-2</v>
      </c>
      <c r="Z4535">
        <v>7.8312969999999996E-2</v>
      </c>
      <c r="AA4535">
        <v>0.99631380000000003</v>
      </c>
      <c r="AB4535">
        <v>23</v>
      </c>
      <c r="AC4535">
        <v>-4.0999999999939904E-3</v>
      </c>
      <c r="AD4535">
        <v>-6.3340999999999995E-2</v>
      </c>
      <c r="AE4535">
        <v>-0.576699999999988</v>
      </c>
      <c r="AF4535">
        <v>2.88103918989429E-2</v>
      </c>
      <c r="AG4535">
        <v>-6.3340999999999995E-2</v>
      </c>
      <c r="AH4535">
        <v>0.56911192839790503</v>
      </c>
      <c r="AI4535">
        <v>96.342711149189995</v>
      </c>
      <c r="AJ4535">
        <v>87.101965655143701</v>
      </c>
      <c r="AK4535">
        <v>0.573350248981504</v>
      </c>
      <c r="AL4535">
        <v>90.851986990761901</v>
      </c>
      <c r="AM4535">
        <v>92.483337727255503</v>
      </c>
      <c r="AN4535">
        <v>0.99999998789178401</v>
      </c>
    </row>
    <row r="4536" spans="1:40" x14ac:dyDescent="0.3">
      <c r="A4536" t="str">
        <f>"20200111160552041"</f>
        <v>20200111160552041</v>
      </c>
      <c r="B4536" t="str">
        <f>"1578729952036987"</f>
        <v>1578729952036987</v>
      </c>
      <c r="C4536" t="s">
        <v>40</v>
      </c>
      <c r="D4536">
        <v>5.466704</v>
      </c>
      <c r="E4536">
        <v>0.52993409999999996</v>
      </c>
      <c r="F4536" t="s">
        <v>42</v>
      </c>
      <c r="G4536">
        <v>-423.85070000000002</v>
      </c>
      <c r="H4536">
        <v>1.0454920000000001</v>
      </c>
      <c r="I4536">
        <v>109.1558</v>
      </c>
      <c r="J4536">
        <v>-423.84840000000003</v>
      </c>
      <c r="K4536">
        <v>1.111094</v>
      </c>
      <c r="L4536">
        <v>109.70610000000001</v>
      </c>
      <c r="M4536">
        <v>4.4274300000000003E-2</v>
      </c>
      <c r="N4536">
        <v>0</v>
      </c>
      <c r="O4536">
        <v>-0.99892550000000002</v>
      </c>
      <c r="P4536">
        <v>8.9486490000000002E-2</v>
      </c>
      <c r="Q4536">
        <v>-3.051951E-2</v>
      </c>
      <c r="R4536">
        <v>-0.99552070000000004</v>
      </c>
      <c r="S4536">
        <v>3.4210209999999998E-2</v>
      </c>
      <c r="T4536">
        <v>-0.2538106</v>
      </c>
      <c r="U4536">
        <v>-3.002335</v>
      </c>
      <c r="V4536">
        <v>-4.5298360000000003E-2</v>
      </c>
      <c r="W4536">
        <v>-1.688924E-2</v>
      </c>
      <c r="X4536">
        <v>0.99883069999999896</v>
      </c>
      <c r="Y4536">
        <v>3.293331E-2</v>
      </c>
      <c r="Z4536">
        <v>8.4088010000000005E-2</v>
      </c>
      <c r="AA4536">
        <v>0.99591399999999997</v>
      </c>
      <c r="AB4536">
        <v>23</v>
      </c>
      <c r="AC4536">
        <v>-2.29999999999108E-3</v>
      </c>
      <c r="AD4536">
        <v>-6.5601999999999897E-2</v>
      </c>
      <c r="AE4536">
        <v>-0.55030000000000701</v>
      </c>
      <c r="AF4536">
        <v>2.6290559932191399E-2</v>
      </c>
      <c r="AG4536">
        <v>-6.5601999999999897E-2</v>
      </c>
      <c r="AH4536">
        <v>0.54195664344855099</v>
      </c>
      <c r="AI4536">
        <v>96.893851038841305</v>
      </c>
      <c r="AJ4536">
        <v>87.222733210587506</v>
      </c>
      <c r="AK4536">
        <v>0.54654534974105196</v>
      </c>
      <c r="AL4536">
        <v>90.967728203459998</v>
      </c>
      <c r="AM4536">
        <v>92.596663953603496</v>
      </c>
      <c r="AN4536">
        <v>0.999999977554478</v>
      </c>
    </row>
    <row r="4537" spans="1:40" x14ac:dyDescent="0.3">
      <c r="A4537" t="str">
        <f>"20200111160552065"</f>
        <v>20200111160552065</v>
      </c>
      <c r="B4537" t="str">
        <f>"1578729952056509"</f>
        <v>1578729952056509</v>
      </c>
      <c r="C4537" t="s">
        <v>40</v>
      </c>
      <c r="D4537">
        <v>5.4810809999999996</v>
      </c>
      <c r="E4537">
        <v>0.53022530000000001</v>
      </c>
      <c r="F4537" t="s">
        <v>42</v>
      </c>
      <c r="G4537">
        <v>-423.83960000000002</v>
      </c>
      <c r="H4537">
        <v>1.048187</v>
      </c>
      <c r="I4537">
        <v>108.9515</v>
      </c>
      <c r="J4537">
        <v>-423.83730000000003</v>
      </c>
      <c r="K4537">
        <v>1.1110340000000001</v>
      </c>
      <c r="L4537">
        <v>109.4782</v>
      </c>
      <c r="M4537">
        <v>4.5031750000000002E-2</v>
      </c>
      <c r="N4537">
        <v>0</v>
      </c>
      <c r="O4537">
        <v>-0.99889150000000004</v>
      </c>
      <c r="P4537">
        <v>9.188077E-2</v>
      </c>
      <c r="Q4537">
        <v>-3.2193279999999998E-2</v>
      </c>
      <c r="R4537">
        <v>-0.99524950000000001</v>
      </c>
      <c r="S4537">
        <v>3.463745E-2</v>
      </c>
      <c r="T4537">
        <v>-0.25026720000000002</v>
      </c>
      <c r="U4537">
        <v>-3.0027010000000001</v>
      </c>
      <c r="V4537">
        <v>-4.694483E-2</v>
      </c>
      <c r="W4537">
        <v>-1.8564339999999999E-2</v>
      </c>
      <c r="X4537">
        <v>0.99872490000000003</v>
      </c>
      <c r="Y4537">
        <v>3.354973E-2</v>
      </c>
      <c r="Z4537">
        <v>8.2907030000000007E-2</v>
      </c>
      <c r="AA4537">
        <v>0.9959924</v>
      </c>
      <c r="AB4537">
        <v>23</v>
      </c>
      <c r="AC4537">
        <v>-2.29999999999108E-3</v>
      </c>
      <c r="AD4537">
        <v>-6.2847000000000097E-2</v>
      </c>
      <c r="AE4537">
        <v>-0.52670000000000505</v>
      </c>
      <c r="AF4537">
        <v>2.5652884537417001E-2</v>
      </c>
      <c r="AG4537">
        <v>-6.2847000000000097E-2</v>
      </c>
      <c r="AH4537">
        <v>0.51867733307711295</v>
      </c>
      <c r="AI4537">
        <v>96.900372449558901</v>
      </c>
      <c r="AJ4537">
        <v>87.1685569412207</v>
      </c>
      <c r="AK4537">
        <v>0.52310036488428902</v>
      </c>
      <c r="AL4537">
        <v>91.063719501594704</v>
      </c>
      <c r="AM4537">
        <v>92.691193844817207</v>
      </c>
      <c r="AN4537">
        <v>0.99999993883168503</v>
      </c>
    </row>
    <row r="4538" spans="1:40" x14ac:dyDescent="0.3">
      <c r="A4538" t="str">
        <f>"20200111160552086"</f>
        <v>20200111160552086</v>
      </c>
      <c r="B4538" t="str">
        <f>"1578729952077002"</f>
        <v>1578729952077002</v>
      </c>
      <c r="C4538" t="s">
        <v>40</v>
      </c>
      <c r="D4538">
        <v>5.5970500000000003</v>
      </c>
      <c r="E4538">
        <v>0.52960769999999902</v>
      </c>
      <c r="F4538" t="s">
        <v>42</v>
      </c>
      <c r="G4538">
        <v>-423.82530000000003</v>
      </c>
      <c r="H4538">
        <v>1.030214</v>
      </c>
      <c r="I4538">
        <v>108.5603</v>
      </c>
      <c r="J4538">
        <v>-423.82670000000002</v>
      </c>
      <c r="K4538">
        <v>1.1109530000000001</v>
      </c>
      <c r="L4538">
        <v>109.2599</v>
      </c>
      <c r="M4538">
        <v>4.5660810000000003E-2</v>
      </c>
      <c r="N4538">
        <v>0</v>
      </c>
      <c r="O4538">
        <v>-0.99886330000000001</v>
      </c>
      <c r="P4538">
        <v>9.3947240000000001E-2</v>
      </c>
      <c r="Q4538">
        <v>-3.3791250000000002E-2</v>
      </c>
      <c r="R4538">
        <v>-0.99500379999999999</v>
      </c>
      <c r="S4538">
        <v>3.9459229999999998E-2</v>
      </c>
      <c r="T4538">
        <v>-0.2643298</v>
      </c>
      <c r="U4538">
        <v>-3.002151</v>
      </c>
      <c r="V4538">
        <v>-4.8393409999999998E-2</v>
      </c>
      <c r="W4538">
        <v>-2.0160330000000001E-2</v>
      </c>
      <c r="X4538">
        <v>0.99862490000000004</v>
      </c>
      <c r="Y4538">
        <v>3.2582819999999998E-2</v>
      </c>
      <c r="Z4538">
        <v>8.7543469999999998E-2</v>
      </c>
      <c r="AA4538">
        <v>0.9956277</v>
      </c>
      <c r="AB4538">
        <v>23</v>
      </c>
      <c r="AC4538">
        <v>1.39999999998963E-3</v>
      </c>
      <c r="AD4538">
        <v>-8.0739000000000102E-2</v>
      </c>
      <c r="AE4538">
        <v>-0.699600000000003</v>
      </c>
      <c r="AF4538">
        <v>3.0147228351072999E-2</v>
      </c>
      <c r="AG4538">
        <v>-8.0739000000000102E-2</v>
      </c>
      <c r="AH4538">
        <v>0.689747497343011</v>
      </c>
      <c r="AI4538">
        <v>96.670114214292497</v>
      </c>
      <c r="AJ4538">
        <v>87.497330126335598</v>
      </c>
      <c r="AK4538">
        <v>0.69511096350812795</v>
      </c>
      <c r="AL4538">
        <v>91.155180053289797</v>
      </c>
      <c r="AM4538">
        <v>92.774385782852406</v>
      </c>
      <c r="AN4538">
        <v>1.00000002596857</v>
      </c>
    </row>
    <row r="4539" spans="1:40" x14ac:dyDescent="0.3">
      <c r="A4539" t="str">
        <f>"20200111160552109"</f>
        <v>20200111160552109</v>
      </c>
      <c r="B4539" t="str">
        <f>"1578729952106283"</f>
        <v>1578729952106283</v>
      </c>
      <c r="C4539" t="s">
        <v>40</v>
      </c>
      <c r="D4539">
        <v>5.5746359999999999</v>
      </c>
      <c r="E4539">
        <v>0.48853210000000002</v>
      </c>
      <c r="F4539" t="s">
        <v>42</v>
      </c>
      <c r="G4539">
        <v>-423.81189999999998</v>
      </c>
      <c r="H4539">
        <v>1.0290520000000001</v>
      </c>
      <c r="I4539">
        <v>108.3596</v>
      </c>
      <c r="J4539">
        <v>-423.81560000000002</v>
      </c>
      <c r="K4539">
        <v>1.110873</v>
      </c>
      <c r="L4539">
        <v>109.0342</v>
      </c>
      <c r="M4539">
        <v>4.6214360000000003E-2</v>
      </c>
      <c r="N4539">
        <v>0</v>
      </c>
      <c r="O4539">
        <v>-0.99883789999999995</v>
      </c>
      <c r="P4539">
        <v>9.5436220000000002E-2</v>
      </c>
      <c r="Q4539">
        <v>-3.3930259999999997E-2</v>
      </c>
      <c r="R4539">
        <v>-0.99485749999999995</v>
      </c>
      <c r="S4539">
        <v>5.059814E-2</v>
      </c>
      <c r="T4539">
        <v>-0.27311970000000002</v>
      </c>
      <c r="U4539">
        <v>-3.001007</v>
      </c>
      <c r="V4539">
        <v>-4.9338E-2</v>
      </c>
      <c r="W4539">
        <v>-2.0294380000000001E-2</v>
      </c>
      <c r="X4539">
        <v>0.99857589999999996</v>
      </c>
      <c r="Y4539">
        <v>2.9441289999999998E-2</v>
      </c>
      <c r="Z4539">
        <v>9.0463740000000001E-2</v>
      </c>
      <c r="AA4539">
        <v>0.99546449999999997</v>
      </c>
      <c r="AB4539">
        <v>23</v>
      </c>
      <c r="AC4539">
        <v>3.70000000003756E-3</v>
      </c>
      <c r="AD4539">
        <v>-8.1820999999999894E-2</v>
      </c>
      <c r="AE4539">
        <v>-0.67459999999999798</v>
      </c>
      <c r="AF4539">
        <v>2.7084652475283799E-2</v>
      </c>
      <c r="AG4539">
        <v>-8.1820999999999894E-2</v>
      </c>
      <c r="AH4539">
        <v>0.66427830995923498</v>
      </c>
      <c r="AI4539">
        <v>97.016140038053706</v>
      </c>
      <c r="AJ4539">
        <v>87.665169607084593</v>
      </c>
      <c r="AK4539">
        <v>0.66984619691613101</v>
      </c>
      <c r="AL4539">
        <v>91.162862196019603</v>
      </c>
      <c r="AM4539">
        <v>92.828590432051598</v>
      </c>
      <c r="AN4539">
        <v>0.99999996408219605</v>
      </c>
    </row>
    <row r="4540" spans="1:40" x14ac:dyDescent="0.3">
      <c r="A4540" t="str">
        <f>"20200111160552132"</f>
        <v>20200111160552132</v>
      </c>
      <c r="B4540" t="str">
        <f>"1578729952126779"</f>
        <v>1578729952126779</v>
      </c>
      <c r="C4540" t="s">
        <v>40</v>
      </c>
      <c r="D4540">
        <v>5.5235390000000004</v>
      </c>
      <c r="E4540">
        <v>0.48861729999999998</v>
      </c>
      <c r="F4540" t="s">
        <v>41</v>
      </c>
      <c r="G4540">
        <v>-422.5299</v>
      </c>
      <c r="H4540" s="1">
        <v>-4.5508419999999996E-6</v>
      </c>
      <c r="I4540">
        <v>99.04092</v>
      </c>
      <c r="J4540">
        <v>-423.8039</v>
      </c>
      <c r="K4540">
        <v>1.1107800000000001</v>
      </c>
      <c r="L4540">
        <v>108.7948</v>
      </c>
      <c r="M4540">
        <v>4.6668059999999997E-2</v>
      </c>
      <c r="N4540">
        <v>0</v>
      </c>
      <c r="O4540">
        <v>-0.99881660000000005</v>
      </c>
      <c r="P4540">
        <v>9.620012E-2</v>
      </c>
      <c r="Q4540">
        <v>-3.411322E-2</v>
      </c>
      <c r="R4540">
        <v>-0.99477729999999998</v>
      </c>
      <c r="S4540">
        <v>0.38180540000000002</v>
      </c>
      <c r="T4540">
        <v>-0.32989069999999998</v>
      </c>
      <c r="U4540">
        <v>-2.9676360000000002</v>
      </c>
      <c r="V4540">
        <v>-4.9655890000000001E-2</v>
      </c>
      <c r="W4540">
        <v>-2.0469970000000001E-2</v>
      </c>
      <c r="X4540">
        <v>0.99855660000000002</v>
      </c>
      <c r="Y4540">
        <v>-8.0404509999999998E-2</v>
      </c>
      <c r="Z4540">
        <v>0.10967789999999999</v>
      </c>
      <c r="AA4540">
        <v>0.99070979999999997</v>
      </c>
      <c r="AB4540">
        <v>23</v>
      </c>
      <c r="AC4540">
        <v>1.274</v>
      </c>
      <c r="AD4540">
        <v>-1.11078455084199</v>
      </c>
      <c r="AE4540">
        <v>-9.7538799999999899</v>
      </c>
      <c r="AF4540">
        <v>-0.80708287627653297</v>
      </c>
      <c r="AG4540">
        <v>-1.11078455084199</v>
      </c>
      <c r="AH4540">
        <v>9.6792868254095801</v>
      </c>
      <c r="AI4540">
        <v>96.524119305494096</v>
      </c>
      <c r="AJ4540">
        <v>94.766437780561404</v>
      </c>
      <c r="AK4540">
        <v>9.7761862981489696</v>
      </c>
      <c r="AL4540">
        <v>91.172924804430096</v>
      </c>
      <c r="AM4540">
        <v>92.846840390219</v>
      </c>
      <c r="AN4540">
        <v>1.0000000052435201</v>
      </c>
    </row>
    <row r="4541" spans="1:40" x14ac:dyDescent="0.3">
      <c r="A4541" t="str">
        <f>"20200111160552154"</f>
        <v>20200111160552154</v>
      </c>
      <c r="B4541" t="str">
        <f>"1578729952146298"</f>
        <v>1578729952146298</v>
      </c>
      <c r="C4541" t="s">
        <v>40</v>
      </c>
      <c r="D4541">
        <v>5.4724969999999997</v>
      </c>
      <c r="E4541">
        <v>0.48902649999999998</v>
      </c>
      <c r="F4541" t="s">
        <v>41</v>
      </c>
      <c r="G4541">
        <v>-422.51429999999999</v>
      </c>
      <c r="H4541" s="1">
        <v>-4.4735699999999901E-6</v>
      </c>
      <c r="I4541">
        <v>98.821979999999996</v>
      </c>
      <c r="J4541">
        <v>-423.79340000000002</v>
      </c>
      <c r="K4541">
        <v>1.1106959999999999</v>
      </c>
      <c r="L4541">
        <v>108.5782</v>
      </c>
      <c r="M4541">
        <v>4.6939509999999997E-2</v>
      </c>
      <c r="N4541">
        <v>0</v>
      </c>
      <c r="O4541">
        <v>-0.99880420000000003</v>
      </c>
      <c r="P4541">
        <v>9.5656580000000005E-2</v>
      </c>
      <c r="Q4541">
        <v>-3.5120209999999999E-2</v>
      </c>
      <c r="R4541">
        <v>-0.99479510000000004</v>
      </c>
      <c r="S4541">
        <v>0.38369750000000002</v>
      </c>
      <c r="T4541">
        <v>-0.3305013</v>
      </c>
      <c r="U4541">
        <v>-2.9672999999999998</v>
      </c>
      <c r="V4541">
        <v>-4.8844909999999998E-2</v>
      </c>
      <c r="W4541">
        <v>-2.1468629999999999E-2</v>
      </c>
      <c r="X4541">
        <v>0.99857560000000001</v>
      </c>
      <c r="Y4541">
        <v>-8.0766320000000003E-2</v>
      </c>
      <c r="Z4541">
        <v>0.10988249999999999</v>
      </c>
      <c r="AA4541">
        <v>0.99065769999999997</v>
      </c>
      <c r="AB4541">
        <v>23</v>
      </c>
      <c r="AC4541">
        <v>1.2791000000000201</v>
      </c>
      <c r="AD4541">
        <v>-1.1107004735699999</v>
      </c>
      <c r="AE4541">
        <v>-9.7562199999999795</v>
      </c>
      <c r="AF4541">
        <v>-0.80938190649706299</v>
      </c>
      <c r="AG4541">
        <v>-1.1107004735699999</v>
      </c>
      <c r="AH4541">
        <v>9.6821425090666207</v>
      </c>
      <c r="AI4541">
        <v>96.521608113518994</v>
      </c>
      <c r="AJ4541">
        <v>94.778549193214403</v>
      </c>
      <c r="AK4541">
        <v>9.7791941477009399</v>
      </c>
      <c r="AL4541">
        <v>91.230156427141296</v>
      </c>
      <c r="AM4541">
        <v>92.800367218946107</v>
      </c>
      <c r="AN4541">
        <v>0.99999997811117203</v>
      </c>
    </row>
    <row r="4542" spans="1:40" x14ac:dyDescent="0.3">
      <c r="A4542" t="str">
        <f>"20200111160552176"</f>
        <v>20200111160552176</v>
      </c>
      <c r="B4542" t="str">
        <f>"1578729952166794"</f>
        <v>1578729952166794</v>
      </c>
      <c r="C4542" t="s">
        <v>40</v>
      </c>
      <c r="D4542">
        <v>5.4977919999999996</v>
      </c>
      <c r="E4542">
        <v>0.48924570000000001</v>
      </c>
      <c r="F4542" t="s">
        <v>41</v>
      </c>
      <c r="G4542">
        <v>-422.52229999999997</v>
      </c>
      <c r="H4542" s="1">
        <v>-4.4084400000000003E-6</v>
      </c>
      <c r="I4542">
        <v>98.626440000000002</v>
      </c>
      <c r="J4542">
        <v>-423.7826</v>
      </c>
      <c r="K4542">
        <v>1.1106119999999999</v>
      </c>
      <c r="L4542">
        <v>108.35599999999999</v>
      </c>
      <c r="M4542">
        <v>4.7082840000000001E-2</v>
      </c>
      <c r="N4542">
        <v>0</v>
      </c>
      <c r="O4542">
        <v>-0.99879739999999995</v>
      </c>
      <c r="P4542">
        <v>9.5434459999999999E-2</v>
      </c>
      <c r="Q4542">
        <v>-3.5577989999999997E-2</v>
      </c>
      <c r="R4542">
        <v>-0.99480000000000002</v>
      </c>
      <c r="S4542">
        <v>0.37902829999999998</v>
      </c>
      <c r="T4542">
        <v>-0.33120729999999998</v>
      </c>
      <c r="U4542">
        <v>-2.9675750000000001</v>
      </c>
      <c r="V4542">
        <v>-4.8483520000000002E-2</v>
      </c>
      <c r="W4542">
        <v>-2.1918429999999999E-2</v>
      </c>
      <c r="X4542">
        <v>0.99858340000000001</v>
      </c>
      <c r="Y4542">
        <v>-7.9074759999999994E-2</v>
      </c>
      <c r="Z4542">
        <v>0.1101216</v>
      </c>
      <c r="AA4542">
        <v>0.99076759999999997</v>
      </c>
      <c r="AB4542">
        <v>23</v>
      </c>
      <c r="AC4542">
        <v>1.26030000000002</v>
      </c>
      <c r="AD4542">
        <v>-1.1106164084399901</v>
      </c>
      <c r="AE4542">
        <v>-9.7295599999999993</v>
      </c>
      <c r="AF4542">
        <v>-0.79063203359058498</v>
      </c>
      <c r="AG4542">
        <v>-1.1106164084399901</v>
      </c>
      <c r="AH4542">
        <v>9.6543917537605406</v>
      </c>
      <c r="AI4542">
        <v>96.540607812344902</v>
      </c>
      <c r="AJ4542">
        <v>94.681705154638607</v>
      </c>
      <c r="AK4542">
        <v>9.7501716884532499</v>
      </c>
      <c r="AL4542">
        <v>91.255934186235606</v>
      </c>
      <c r="AM4542">
        <v>92.779659013142705</v>
      </c>
      <c r="AN4542">
        <v>0.99999993802040499</v>
      </c>
    </row>
    <row r="4543" spans="1:40" x14ac:dyDescent="0.3">
      <c r="A4543" t="str">
        <f>"20200111160552198"</f>
        <v>20200111160552198</v>
      </c>
      <c r="B4543" t="str">
        <f>"1578729952186314"</f>
        <v>1578729952186314</v>
      </c>
      <c r="C4543" t="s">
        <v>40</v>
      </c>
      <c r="D4543">
        <v>5.5512610000000002</v>
      </c>
      <c r="E4543">
        <v>0.48943150000000002</v>
      </c>
      <c r="F4543" t="s">
        <v>41</v>
      </c>
      <c r="G4543">
        <v>-422.52839999999998</v>
      </c>
      <c r="H4543" s="1">
        <v>-4.3465419999999997E-6</v>
      </c>
      <c r="I4543">
        <v>98.441379999999995</v>
      </c>
      <c r="J4543">
        <v>-423.7722</v>
      </c>
      <c r="K4543">
        <v>1.110576</v>
      </c>
      <c r="L4543">
        <v>108.13890000000001</v>
      </c>
      <c r="M4543">
        <v>4.7120490000000001E-2</v>
      </c>
      <c r="N4543">
        <v>0</v>
      </c>
      <c r="O4543">
        <v>-0.99879560000000001</v>
      </c>
      <c r="P4543">
        <v>9.5580960000000006E-2</v>
      </c>
      <c r="Q4543">
        <v>-3.3366479999999997E-2</v>
      </c>
      <c r="R4543">
        <v>-0.99486240000000004</v>
      </c>
      <c r="S4543">
        <v>0.37542720000000002</v>
      </c>
      <c r="T4543">
        <v>-0.33244439999999997</v>
      </c>
      <c r="U4543">
        <v>-2.9677730000000002</v>
      </c>
      <c r="V4543">
        <v>-4.8593369999999997E-2</v>
      </c>
      <c r="W4543">
        <v>-1.969986E-2</v>
      </c>
      <c r="X4543">
        <v>0.99862430000000002</v>
      </c>
      <c r="Y4543">
        <v>-7.783996E-2</v>
      </c>
      <c r="Z4543">
        <v>0.11053399999999999</v>
      </c>
      <c r="AA4543">
        <v>0.99081949999999996</v>
      </c>
      <c r="AB4543">
        <v>22</v>
      </c>
      <c r="AC4543">
        <v>1.24380000000002</v>
      </c>
      <c r="AD4543">
        <v>-1.1105803465420001</v>
      </c>
      <c r="AE4543">
        <v>-9.6975199999999901</v>
      </c>
      <c r="AF4543">
        <v>-0.77541825713009205</v>
      </c>
      <c r="AG4543">
        <v>-1.1105803465420001</v>
      </c>
      <c r="AH4543">
        <v>9.6212170121636493</v>
      </c>
      <c r="AI4543">
        <v>96.563434745575094</v>
      </c>
      <c r="AJ4543">
        <v>94.607771790527295</v>
      </c>
      <c r="AK4543">
        <v>9.7160938125752594</v>
      </c>
      <c r="AL4543">
        <v>91.128791914729007</v>
      </c>
      <c r="AM4543">
        <v>92.785833104209004</v>
      </c>
      <c r="AN4543">
        <v>0.99999994632123101</v>
      </c>
    </row>
    <row r="4544" spans="1:40" x14ac:dyDescent="0.3">
      <c r="A4544" t="str">
        <f>"20200111160552220"</f>
        <v>20200111160552220</v>
      </c>
      <c r="B4544" t="str">
        <f>"1578729952216571"</f>
        <v>1578729952216571</v>
      </c>
      <c r="C4544" t="s">
        <v>40</v>
      </c>
      <c r="D4544">
        <v>5.8609299999999998</v>
      </c>
      <c r="E4544">
        <v>0.48989339999999998</v>
      </c>
      <c r="F4544" t="s">
        <v>41</v>
      </c>
      <c r="G4544">
        <v>-422.49059999999997</v>
      </c>
      <c r="H4544" s="1">
        <v>-4.1841579999999998E-6</v>
      </c>
      <c r="I4544">
        <v>97.983879999999999</v>
      </c>
      <c r="J4544">
        <v>-423.76170000000002</v>
      </c>
      <c r="K4544">
        <v>1.11056</v>
      </c>
      <c r="L4544">
        <v>107.91719999999999</v>
      </c>
      <c r="M4544">
        <v>4.7089310000000002E-2</v>
      </c>
      <c r="N4544">
        <v>0</v>
      </c>
      <c r="O4544">
        <v>-0.99879709999999999</v>
      </c>
      <c r="P4544">
        <v>9.5747979999999996E-2</v>
      </c>
      <c r="Q4544">
        <v>-2.7544349999999999E-2</v>
      </c>
      <c r="R4544">
        <v>-0.99502469999999998</v>
      </c>
      <c r="S4544">
        <v>0.37463380000000002</v>
      </c>
      <c r="T4544">
        <v>-0.32465529999999998</v>
      </c>
      <c r="U4544">
        <v>-2.9686129999999999</v>
      </c>
      <c r="V4544">
        <v>-4.8785290000000002E-2</v>
      </c>
      <c r="W4544">
        <v>-1.3872209999999999E-2</v>
      </c>
      <c r="X4544">
        <v>0.99871299999999996</v>
      </c>
      <c r="Y4544">
        <v>-7.761113E-2</v>
      </c>
      <c r="Z4544">
        <v>0.107948</v>
      </c>
      <c r="AA4544">
        <v>0.99112250000000002</v>
      </c>
      <c r="AB4544">
        <v>22</v>
      </c>
      <c r="AC4544">
        <v>1.2711000000000401</v>
      </c>
      <c r="AD4544">
        <v>-1.1105641841580001</v>
      </c>
      <c r="AE4544">
        <v>-9.9333199999999895</v>
      </c>
      <c r="AF4544">
        <v>-0.79215067199282496</v>
      </c>
      <c r="AG4544">
        <v>-1.1105641841580001</v>
      </c>
      <c r="AH4544">
        <v>9.8608875184871092</v>
      </c>
      <c r="AI4544">
        <v>96.405292086422406</v>
      </c>
      <c r="AJ4544">
        <v>94.592855798082695</v>
      </c>
      <c r="AK4544">
        <v>9.9547957360524606</v>
      </c>
      <c r="AL4544">
        <v>90.794844540600394</v>
      </c>
      <c r="AM4544">
        <v>92.796570341398507</v>
      </c>
      <c r="AN4544">
        <v>1.00000004954983</v>
      </c>
    </row>
    <row r="4545" spans="1:40" x14ac:dyDescent="0.3">
      <c r="A4545" t="str">
        <f>"20200111160552243"</f>
        <v>20200111160552243</v>
      </c>
      <c r="B4545" t="str">
        <f>"1578729952236090"</f>
        <v>1578729952236090</v>
      </c>
      <c r="C4545" t="s">
        <v>40</v>
      </c>
      <c r="D4545">
        <v>5.5979390000000002</v>
      </c>
      <c r="E4545">
        <v>0.48972399999999999</v>
      </c>
      <c r="F4545" t="s">
        <v>41</v>
      </c>
      <c r="G4545">
        <v>-422.41079999999999</v>
      </c>
      <c r="H4545" s="1">
        <v>-3.8717240000000004E-6</v>
      </c>
      <c r="I4545">
        <v>97.118930000000006</v>
      </c>
      <c r="J4545">
        <v>-423.75049999999999</v>
      </c>
      <c r="K4545">
        <v>1.1105609999999999</v>
      </c>
      <c r="L4545">
        <v>107.6801</v>
      </c>
      <c r="M4545">
        <v>4.7010789999999997E-2</v>
      </c>
      <c r="N4545">
        <v>0</v>
      </c>
      <c r="O4545">
        <v>-0.99880069999999999</v>
      </c>
      <c r="P4545">
        <v>9.5554650000000005E-2</v>
      </c>
      <c r="Q4545">
        <v>-2.0009539999999999E-2</v>
      </c>
      <c r="R4545">
        <v>-0.99522299999999997</v>
      </c>
      <c r="S4545">
        <v>0.3716431</v>
      </c>
      <c r="T4545">
        <v>-0.30553350000000001</v>
      </c>
      <c r="U4545">
        <v>-2.9707789999999998</v>
      </c>
      <c r="V4545">
        <v>-4.8660410000000001E-2</v>
      </c>
      <c r="W4545">
        <v>-6.335111E-3</v>
      </c>
      <c r="X4545">
        <v>0.99879530000000005</v>
      </c>
      <c r="Y4545">
        <v>-7.6700489999999996E-2</v>
      </c>
      <c r="Z4545">
        <v>0.10159559999999999</v>
      </c>
      <c r="AA4545">
        <v>0.99186459999999999</v>
      </c>
      <c r="AB4545">
        <v>22</v>
      </c>
      <c r="AC4545">
        <v>1.3396999999999899</v>
      </c>
      <c r="AD4545">
        <v>-1.110564871724</v>
      </c>
      <c r="AE4545">
        <v>-10.561169999999899</v>
      </c>
      <c r="AF4545">
        <v>-0.83262205641508702</v>
      </c>
      <c r="AG4545">
        <v>-1.110564871724</v>
      </c>
      <c r="AH4545">
        <v>10.498229824066801</v>
      </c>
      <c r="AI4545">
        <v>96.019864105835396</v>
      </c>
      <c r="AJ4545">
        <v>94.534676832970405</v>
      </c>
      <c r="AK4545">
        <v>10.5895912698301</v>
      </c>
      <c r="AL4545">
        <v>90.362977547300304</v>
      </c>
      <c r="AM4545">
        <v>92.789193551407706</v>
      </c>
      <c r="AN4545">
        <v>1.00000001021742</v>
      </c>
    </row>
    <row r="4546" spans="1:40" x14ac:dyDescent="0.3">
      <c r="A4546" t="str">
        <f>"20200111160552264"</f>
        <v>20200111160552264</v>
      </c>
      <c r="B4546" t="str">
        <f>"1578729952256589"</f>
        <v>1578729952256589</v>
      </c>
      <c r="C4546" t="s">
        <v>40</v>
      </c>
      <c r="D4546">
        <v>5.5787550000000001</v>
      </c>
      <c r="E4546">
        <v>0.48980360000000001</v>
      </c>
      <c r="F4546" t="s">
        <v>41</v>
      </c>
      <c r="G4546">
        <v>-422.28739999999999</v>
      </c>
      <c r="H4546" s="1">
        <v>-3.358298E-6</v>
      </c>
      <c r="I4546">
        <v>95.998670000000004</v>
      </c>
      <c r="J4546">
        <v>-423.74079999999998</v>
      </c>
      <c r="K4546">
        <v>1.110582</v>
      </c>
      <c r="L4546">
        <v>107.4713</v>
      </c>
      <c r="M4546">
        <v>4.6923520000000003E-2</v>
      </c>
      <c r="N4546">
        <v>0</v>
      </c>
      <c r="O4546">
        <v>-0.9988049</v>
      </c>
      <c r="P4546">
        <v>9.4527139999999996E-2</v>
      </c>
      <c r="Q4546">
        <v>-1.3477879999999999E-2</v>
      </c>
      <c r="R4546">
        <v>-0.99543139999999997</v>
      </c>
      <c r="S4546">
        <v>0.37237550000000003</v>
      </c>
      <c r="T4546">
        <v>-0.28264099999999998</v>
      </c>
      <c r="U4546">
        <v>-2.9729459999999999</v>
      </c>
      <c r="V4546">
        <v>-4.7709290000000001E-2</v>
      </c>
      <c r="W4546">
        <v>1.9532840000000001E-4</v>
      </c>
      <c r="X4546">
        <v>0.99886129999999995</v>
      </c>
      <c r="Y4546">
        <v>-7.7032160000000002E-2</v>
      </c>
      <c r="Z4546">
        <v>9.3984330000000005E-2</v>
      </c>
      <c r="AA4546">
        <v>0.9925891</v>
      </c>
      <c r="AB4546">
        <v>22</v>
      </c>
      <c r="AC4546">
        <v>1.45339999999998</v>
      </c>
      <c r="AD4546">
        <v>-1.1105853582980001</v>
      </c>
      <c r="AE4546">
        <v>-11.472630000000001</v>
      </c>
      <c r="AF4546">
        <v>-0.90506500227916098</v>
      </c>
      <c r="AG4546">
        <v>-1.1105853582980001</v>
      </c>
      <c r="AH4546">
        <v>11.422844642016701</v>
      </c>
      <c r="AI4546">
        <v>95.535883896949997</v>
      </c>
      <c r="AJ4546">
        <v>94.530245990920207</v>
      </c>
      <c r="AK4546">
        <v>11.5123378256576</v>
      </c>
      <c r="AL4546">
        <v>89.988808507611694</v>
      </c>
      <c r="AM4546">
        <v>92.734578927862799</v>
      </c>
      <c r="AN4546">
        <v>1.00000005557158</v>
      </c>
    </row>
    <row r="4547" spans="1:40" x14ac:dyDescent="0.3">
      <c r="A4547" t="str">
        <f>"20200111160552286"</f>
        <v>20200111160552286</v>
      </c>
      <c r="B4547" t="str">
        <f>"1578729952276107"</f>
        <v>1578729952276107</v>
      </c>
      <c r="C4547" t="s">
        <v>40</v>
      </c>
      <c r="D4547">
        <v>5.4438000000000004</v>
      </c>
      <c r="E4547">
        <v>0.48999619999999999</v>
      </c>
      <c r="F4547" t="s">
        <v>41</v>
      </c>
      <c r="G4547">
        <v>-422.19029999999998</v>
      </c>
      <c r="H4547" s="1">
        <v>-2.8941240000000002E-6</v>
      </c>
      <c r="I4547">
        <v>94.976910000000004</v>
      </c>
      <c r="J4547">
        <v>-423.73039999999997</v>
      </c>
      <c r="K4547">
        <v>1.1105929999999999</v>
      </c>
      <c r="L4547">
        <v>107.2492</v>
      </c>
      <c r="M4547">
        <v>4.6836330000000002E-2</v>
      </c>
      <c r="N4547">
        <v>0</v>
      </c>
      <c r="O4547">
        <v>-0.99880919999999895</v>
      </c>
      <c r="P4547">
        <v>9.2655070000000006E-2</v>
      </c>
      <c r="Q4547">
        <v>-1.1020230000000001E-2</v>
      </c>
      <c r="R4547">
        <v>-0.99563760000000001</v>
      </c>
      <c r="S4547">
        <v>0.36920170000000002</v>
      </c>
      <c r="T4547">
        <v>-0.2644512</v>
      </c>
      <c r="U4547">
        <v>-2.9751430000000001</v>
      </c>
      <c r="V4547">
        <v>-4.5916289999999998E-2</v>
      </c>
      <c r="W4547">
        <v>2.650084E-3</v>
      </c>
      <c r="X4547">
        <v>0.99894179999999999</v>
      </c>
      <c r="Y4547">
        <v>-7.6054209999999997E-2</v>
      </c>
      <c r="Z4547">
        <v>8.7930049999999996E-2</v>
      </c>
      <c r="AA4547">
        <v>0.99321899999999996</v>
      </c>
      <c r="AB4547">
        <v>22</v>
      </c>
      <c r="AC4547">
        <v>1.54009999999999</v>
      </c>
      <c r="AD4547">
        <v>-1.1105958941239999</v>
      </c>
      <c r="AE4547">
        <v>-12.2722899999999</v>
      </c>
      <c r="AF4547">
        <v>-0.95586019147123902</v>
      </c>
      <c r="AG4547">
        <v>-1.1105958941239999</v>
      </c>
      <c r="AH4547">
        <v>12.232334646857201</v>
      </c>
      <c r="AI4547">
        <v>95.172083719190894</v>
      </c>
      <c r="AJ4547">
        <v>94.468132288863401</v>
      </c>
      <c r="AK4547">
        <v>12.3197850167276</v>
      </c>
      <c r="AL4547">
        <v>89.848161197394504</v>
      </c>
      <c r="AM4547">
        <v>92.631744115246804</v>
      </c>
      <c r="AN4547">
        <v>1.0000000242099001</v>
      </c>
    </row>
    <row r="4548" spans="1:40" x14ac:dyDescent="0.3">
      <c r="A4548" t="str">
        <f>"20200111160552310"</f>
        <v>20200111160552310</v>
      </c>
      <c r="B4548" t="str">
        <f>"1578729952306363"</f>
        <v>1578729952306363</v>
      </c>
      <c r="C4548" t="s">
        <v>40</v>
      </c>
      <c r="D4548">
        <v>5.5451350000000001</v>
      </c>
      <c r="E4548">
        <v>0.49011060000000001</v>
      </c>
      <c r="F4548" t="s">
        <v>41</v>
      </c>
      <c r="G4548">
        <v>-422.17329999999998</v>
      </c>
      <c r="H4548" s="1">
        <v>-2.657932E-6</v>
      </c>
      <c r="I4548">
        <v>94.436850000000007</v>
      </c>
      <c r="J4548">
        <v>-423.7201</v>
      </c>
      <c r="K4548">
        <v>1.1105969999999901</v>
      </c>
      <c r="L4548">
        <v>107.0277</v>
      </c>
      <c r="M4548">
        <v>4.6769709999999999E-2</v>
      </c>
      <c r="N4548">
        <v>0</v>
      </c>
      <c r="O4548">
        <v>-0.99881240000000004</v>
      </c>
      <c r="P4548">
        <v>9.1194310000000001E-2</v>
      </c>
      <c r="Q4548">
        <v>-1.228865E-2</v>
      </c>
      <c r="R4548">
        <v>-0.99575760000000002</v>
      </c>
      <c r="S4548">
        <v>0.3617554</v>
      </c>
      <c r="T4548">
        <v>-0.25801809999999997</v>
      </c>
      <c r="U4548">
        <v>-2.9766080000000001</v>
      </c>
      <c r="V4548">
        <v>-4.4518790000000003E-2</v>
      </c>
      <c r="W4548">
        <v>1.377884E-3</v>
      </c>
      <c r="X4548">
        <v>0.9990076</v>
      </c>
      <c r="Y4548">
        <v>-7.3635580000000006E-2</v>
      </c>
      <c r="Z4548">
        <v>8.5786600000000005E-2</v>
      </c>
      <c r="AA4548">
        <v>0.99358869999999999</v>
      </c>
      <c r="AB4548">
        <v>22</v>
      </c>
      <c r="AC4548">
        <v>1.5468000000000099</v>
      </c>
      <c r="AD4548">
        <v>-1.1105996579320001</v>
      </c>
      <c r="AE4548">
        <v>-12.5908499999999</v>
      </c>
      <c r="AF4548">
        <v>-0.948908559374537</v>
      </c>
      <c r="AG4548">
        <v>-1.1105996579320001</v>
      </c>
      <c r="AH4548">
        <v>12.553201907701199</v>
      </c>
      <c r="AI4548">
        <v>95.041566783313996</v>
      </c>
      <c r="AJ4548">
        <v>94.322821851992103</v>
      </c>
      <c r="AK4548">
        <v>12.637908734825</v>
      </c>
      <c r="AL4548">
        <v>89.921053037400597</v>
      </c>
      <c r="AM4548">
        <v>92.5515845055413</v>
      </c>
      <c r="AN4548">
        <v>1.00000000304257</v>
      </c>
    </row>
    <row r="4549" spans="1:40" x14ac:dyDescent="0.3">
      <c r="A4549" t="str">
        <f>"20200111160552332"</f>
        <v>20200111160552332</v>
      </c>
      <c r="B4549" t="str">
        <f>"1578729952326858"</f>
        <v>1578729952326858</v>
      </c>
      <c r="C4549" t="s">
        <v>40</v>
      </c>
      <c r="D4549">
        <v>5.5548510000000002</v>
      </c>
      <c r="E4549">
        <v>0.55089869999999996</v>
      </c>
      <c r="F4549" t="s">
        <v>41</v>
      </c>
      <c r="G4549">
        <v>-422.22519999999997</v>
      </c>
      <c r="H4549" s="1">
        <v>-2.7158720000000002E-6</v>
      </c>
      <c r="I4549">
        <v>94.539760000000001</v>
      </c>
      <c r="J4549">
        <v>-423.70920000000001</v>
      </c>
      <c r="K4549">
        <v>1.1105959999999999</v>
      </c>
      <c r="L4549">
        <v>106.79389999999999</v>
      </c>
      <c r="M4549">
        <v>4.6729930000000003E-2</v>
      </c>
      <c r="N4549">
        <v>0</v>
      </c>
      <c r="O4549">
        <v>-0.99881410000000004</v>
      </c>
      <c r="P4549">
        <v>9.0183769999999996E-2</v>
      </c>
      <c r="Q4549">
        <v>-1.626416E-2</v>
      </c>
      <c r="R4549">
        <v>-0.99579260000000003</v>
      </c>
      <c r="S4549">
        <v>0.3563538</v>
      </c>
      <c r="T4549">
        <v>-0.26474389999999998</v>
      </c>
      <c r="U4549">
        <v>-2.9768680000000001</v>
      </c>
      <c r="V4549">
        <v>-4.3547839999999997E-2</v>
      </c>
      <c r="W4549">
        <v>-2.6024260000000001E-3</v>
      </c>
      <c r="X4549">
        <v>0.99904789999999999</v>
      </c>
      <c r="Y4549">
        <v>-7.1864639999999994E-2</v>
      </c>
      <c r="Z4549">
        <v>8.8013480000000005E-2</v>
      </c>
      <c r="AA4549">
        <v>0.99352359999999995</v>
      </c>
      <c r="AB4549">
        <v>22</v>
      </c>
      <c r="AC4549">
        <v>1.48400000000003</v>
      </c>
      <c r="AD4549">
        <v>-1.1105987158720001</v>
      </c>
      <c r="AE4549">
        <v>-12.2541399999999</v>
      </c>
      <c r="AF4549">
        <v>-0.90238499170133502</v>
      </c>
      <c r="AG4549">
        <v>-1.1105987158720001</v>
      </c>
      <c r="AH4549">
        <v>12.2112521807222</v>
      </c>
      <c r="AI4549">
        <v>95.182630987934601</v>
      </c>
      <c r="AJ4549">
        <v>94.2263515175962</v>
      </c>
      <c r="AK4549">
        <v>12.2948122394015</v>
      </c>
      <c r="AL4549">
        <v>90.149108202545506</v>
      </c>
      <c r="AM4549">
        <v>92.495905329227398</v>
      </c>
      <c r="AN4549">
        <v>0.99999994674207904</v>
      </c>
    </row>
    <row r="4550" spans="1:40" x14ac:dyDescent="0.3">
      <c r="A4550" t="str">
        <f>"20200111160552354"</f>
        <v>20200111160552354</v>
      </c>
      <c r="B4550" t="str">
        <f>"1578729952346378"</f>
        <v>1578729952346378</v>
      </c>
      <c r="C4550" t="s">
        <v>40</v>
      </c>
      <c r="D4550">
        <v>6.3683350000000001</v>
      </c>
      <c r="E4550">
        <v>0.56150690000000003</v>
      </c>
      <c r="F4550" t="s">
        <v>41</v>
      </c>
      <c r="G4550">
        <v>-424.45100000000002</v>
      </c>
      <c r="H4550" s="1">
        <v>-1.2583549999999999E-6</v>
      </c>
      <c r="I4550">
        <v>89.761750000000006</v>
      </c>
      <c r="J4550">
        <v>-423.69929999999999</v>
      </c>
      <c r="K4550">
        <v>1.1105989999999999</v>
      </c>
      <c r="L4550">
        <v>106.5813</v>
      </c>
      <c r="M4550">
        <v>4.6717700000000001E-2</v>
      </c>
      <c r="N4550">
        <v>0</v>
      </c>
      <c r="O4550">
        <v>-0.9988148</v>
      </c>
      <c r="P4550">
        <v>8.9573269999999997E-2</v>
      </c>
      <c r="Q4550">
        <v>-1.9341580000000001E-2</v>
      </c>
      <c r="R4550">
        <v>-0.99579260000000003</v>
      </c>
      <c r="S4550">
        <v>-0.13159179999999901</v>
      </c>
      <c r="T4550">
        <v>-0.19701250000000001</v>
      </c>
      <c r="U4550">
        <v>-3.0213930000000002</v>
      </c>
      <c r="V4550">
        <v>-4.2950849999999999E-2</v>
      </c>
      <c r="W4550">
        <v>-5.6840450000000004E-3</v>
      </c>
      <c r="X4550">
        <v>0.99906099999999998</v>
      </c>
      <c r="Y4550">
        <v>9.0050669999999999E-2</v>
      </c>
      <c r="Z4550">
        <v>6.4798330000000001E-2</v>
      </c>
      <c r="AA4550">
        <v>0.99382700000000002</v>
      </c>
      <c r="AB4550">
        <v>22</v>
      </c>
      <c r="AC4550">
        <v>-0.75169999999997095</v>
      </c>
      <c r="AD4550">
        <v>-1.1106002583550001</v>
      </c>
      <c r="AE4550">
        <v>-16.8195499999999</v>
      </c>
      <c r="AF4550">
        <v>1.53006525417943</v>
      </c>
      <c r="AG4550">
        <v>-1.1106002583550001</v>
      </c>
      <c r="AH4550">
        <v>16.693422590571402</v>
      </c>
      <c r="AI4550">
        <v>93.790392494453002</v>
      </c>
      <c r="AJ4550">
        <v>84.763086044162804</v>
      </c>
      <c r="AK4550">
        <v>16.800145547086899</v>
      </c>
      <c r="AL4550">
        <v>90.325673548342806</v>
      </c>
      <c r="AM4550">
        <v>92.461699529653202</v>
      </c>
      <c r="AN4550">
        <v>0.99999998280214197</v>
      </c>
    </row>
    <row r="4551" spans="1:40" x14ac:dyDescent="0.3">
      <c r="A4551" t="str">
        <f>"20200111160552376"</f>
        <v>20200111160552376</v>
      </c>
      <c r="B4551" t="str">
        <f>"1578729952366874"</f>
        <v>1578729952366874</v>
      </c>
      <c r="C4551" t="s">
        <v>40</v>
      </c>
      <c r="D4551">
        <v>5.6585919999999996</v>
      </c>
      <c r="E4551">
        <v>0.56595960000000001</v>
      </c>
      <c r="F4551" t="s">
        <v>41</v>
      </c>
      <c r="G4551">
        <v>-425.3288</v>
      </c>
      <c r="H4551" s="1">
        <v>-3.3068709999999999E-6</v>
      </c>
      <c r="I4551">
        <v>83.992450000000005</v>
      </c>
      <c r="J4551">
        <v>-423.6891</v>
      </c>
      <c r="K4551">
        <v>1.1106069999999999</v>
      </c>
      <c r="L4551">
        <v>106.3621</v>
      </c>
      <c r="M4551">
        <v>4.6721360000000003E-2</v>
      </c>
      <c r="N4551">
        <v>0</v>
      </c>
      <c r="O4551">
        <v>-0.9988146</v>
      </c>
      <c r="P4551">
        <v>8.9238819999999996E-2</v>
      </c>
      <c r="Q4551">
        <v>-2.112232E-2</v>
      </c>
      <c r="R4551">
        <v>-0.99578639999999996</v>
      </c>
      <c r="S4551">
        <v>-0.21853639999999999</v>
      </c>
      <c r="T4551">
        <v>-0.1489444</v>
      </c>
      <c r="U4551">
        <v>-3.0294189999999999</v>
      </c>
      <c r="V4551">
        <v>-4.2613539999999998E-2</v>
      </c>
      <c r="W4551">
        <v>-7.4688699999999998E-3</v>
      </c>
      <c r="X4551">
        <v>0.9990637</v>
      </c>
      <c r="Y4551">
        <v>0.1183911</v>
      </c>
      <c r="Z4551">
        <v>4.8790239999999999E-2</v>
      </c>
      <c r="AA4551">
        <v>0.99176759999999997</v>
      </c>
      <c r="AB4551">
        <v>22</v>
      </c>
      <c r="AC4551">
        <v>-1.6396999999999999</v>
      </c>
      <c r="AD4551">
        <v>-1.11061030687099</v>
      </c>
      <c r="AE4551">
        <v>-22.36965</v>
      </c>
      <c r="AF4551">
        <v>2.6765846565911802</v>
      </c>
      <c r="AG4551">
        <v>-1.11061030687099</v>
      </c>
      <c r="AH4551">
        <v>22.214137032985501</v>
      </c>
      <c r="AI4551">
        <v>92.841637940835</v>
      </c>
      <c r="AJ4551">
        <v>83.129543448959097</v>
      </c>
      <c r="AK4551">
        <v>22.4023535548809</v>
      </c>
      <c r="AL4551">
        <v>90.427938712948006</v>
      </c>
      <c r="AM4551">
        <v>92.442383741622706</v>
      </c>
      <c r="AN4551">
        <v>0.99999998723404904</v>
      </c>
    </row>
    <row r="4552" spans="1:40" x14ac:dyDescent="0.3">
      <c r="A4552" t="str">
        <f>"20200111160552399"</f>
        <v>20200111160552399</v>
      </c>
      <c r="B4552" t="str">
        <f>"1578729952396154"</f>
        <v>1578729952396154</v>
      </c>
      <c r="C4552" t="s">
        <v>40</v>
      </c>
      <c r="D4552">
        <v>5.4510880000000004</v>
      </c>
      <c r="E4552">
        <v>0.57004390000000005</v>
      </c>
      <c r="F4552" t="s">
        <v>41</v>
      </c>
      <c r="G4552">
        <v>-426.9665</v>
      </c>
      <c r="H4552" s="1">
        <v>-4.8292649999999997E-6</v>
      </c>
      <c r="I4552">
        <v>67.546520000000001</v>
      </c>
      <c r="J4552">
        <v>-423.67880000000002</v>
      </c>
      <c r="K4552">
        <v>1.1106240000000001</v>
      </c>
      <c r="L4552">
        <v>106.1422</v>
      </c>
      <c r="M4552">
        <v>4.6733049999999998E-2</v>
      </c>
      <c r="N4552">
        <v>0</v>
      </c>
      <c r="O4552">
        <v>-0.99881399999999998</v>
      </c>
      <c r="P4552">
        <v>8.9534600000000006E-2</v>
      </c>
      <c r="Q4552">
        <v>-2.1304710000000001E-2</v>
      </c>
      <c r="R4552">
        <v>-0.99575599999999997</v>
      </c>
      <c r="S4552">
        <v>-0.25616460000000002</v>
      </c>
      <c r="T4552">
        <v>-8.6804989999999999E-2</v>
      </c>
      <c r="U4552">
        <v>-3.0338129999999999</v>
      </c>
      <c r="V4552">
        <v>-4.2898360000000003E-2</v>
      </c>
      <c r="W4552">
        <v>-7.6551809999999996E-3</v>
      </c>
      <c r="X4552">
        <v>0.99905010000000005</v>
      </c>
      <c r="Y4552">
        <v>0.1305828</v>
      </c>
      <c r="Z4552">
        <v>2.8380969999999998E-2</v>
      </c>
      <c r="AA4552">
        <v>0.99103110000000005</v>
      </c>
      <c r="AB4552">
        <v>22</v>
      </c>
      <c r="AC4552">
        <v>-3.2876999999999699</v>
      </c>
      <c r="AD4552">
        <v>-1.110628829265</v>
      </c>
      <c r="AE4552">
        <v>-38.595680000000002</v>
      </c>
      <c r="AF4552">
        <v>5.0837900555580999</v>
      </c>
      <c r="AG4552">
        <v>-1.110628829265</v>
      </c>
      <c r="AH4552">
        <v>38.368302160025102</v>
      </c>
      <c r="AI4552">
        <v>91.643692720134098</v>
      </c>
      <c r="AJ4552">
        <v>82.452288873209994</v>
      </c>
      <c r="AK4552">
        <v>38.7195690622762</v>
      </c>
      <c r="AL4552">
        <v>90.438613852540698</v>
      </c>
      <c r="AM4552">
        <v>92.458721586568601</v>
      </c>
      <c r="AN4552">
        <v>0.99999998669842105</v>
      </c>
    </row>
    <row r="4553" spans="1:40" x14ac:dyDescent="0.3">
      <c r="A4553" t="str">
        <f>"20200111160552421"</f>
        <v>20200111160552421</v>
      </c>
      <c r="B4553" t="str">
        <f>"1578729952416651"</f>
        <v>1578729952416651</v>
      </c>
      <c r="C4553" t="s">
        <v>40</v>
      </c>
      <c r="D4553">
        <v>5.4692699999999999</v>
      </c>
      <c r="E4553">
        <v>0.57152349999999996</v>
      </c>
      <c r="F4553" t="s">
        <v>41</v>
      </c>
      <c r="G4553">
        <v>-426.06220000000002</v>
      </c>
      <c r="H4553" s="1">
        <v>-2.1806419999999998E-6</v>
      </c>
      <c r="I4553">
        <v>80.912319999999994</v>
      </c>
      <c r="J4553">
        <v>-423.66829999999999</v>
      </c>
      <c r="K4553">
        <v>1.1106400000000001</v>
      </c>
      <c r="L4553">
        <v>105.9182</v>
      </c>
      <c r="M4553">
        <v>4.6746820000000001E-2</v>
      </c>
      <c r="N4553">
        <v>0</v>
      </c>
      <c r="O4553">
        <v>-0.99881330000000002</v>
      </c>
      <c r="P4553">
        <v>8.9713730000000005E-2</v>
      </c>
      <c r="Q4553">
        <v>-2.0616349999999999E-2</v>
      </c>
      <c r="R4553">
        <v>-0.99575409999999998</v>
      </c>
      <c r="S4553">
        <v>-0.28677370000000002</v>
      </c>
      <c r="T4553">
        <v>-0.1336328</v>
      </c>
      <c r="U4553">
        <v>-3.0357059999999998</v>
      </c>
      <c r="V4553">
        <v>-4.3063410000000003E-2</v>
      </c>
      <c r="W4553">
        <v>-6.9703019999999899E-3</v>
      </c>
      <c r="X4553">
        <v>0.99904809999999999</v>
      </c>
      <c r="Y4553">
        <v>0.14039960000000001</v>
      </c>
      <c r="Z4553">
        <v>4.3590919999999998E-2</v>
      </c>
      <c r="AA4553">
        <v>0.98913479999999998</v>
      </c>
      <c r="AB4553">
        <v>22</v>
      </c>
      <c r="AC4553">
        <v>-2.3939000000000301</v>
      </c>
      <c r="AD4553">
        <v>-1.1106421806419999</v>
      </c>
      <c r="AE4553">
        <v>-25.005880000000001</v>
      </c>
      <c r="AF4553">
        <v>3.5533907889282101</v>
      </c>
      <c r="AG4553">
        <v>-1.1106421806419999</v>
      </c>
      <c r="AH4553">
        <v>24.8181056620645</v>
      </c>
      <c r="AI4553">
        <v>92.536517493474093</v>
      </c>
      <c r="AJ4553">
        <v>81.851918439119103</v>
      </c>
      <c r="AK4553">
        <v>25.095786116510901</v>
      </c>
      <c r="AL4553">
        <v>90.399372090844395</v>
      </c>
      <c r="AM4553">
        <v>92.468174693969402</v>
      </c>
      <c r="AN4553">
        <v>1.0000000742521999</v>
      </c>
    </row>
    <row r="4554" spans="1:40" x14ac:dyDescent="0.3">
      <c r="A4554" t="str">
        <f>"20200111160552444"</f>
        <v>20200111160552444</v>
      </c>
      <c r="B4554" t="str">
        <f>"1578729952436170"</f>
        <v>1578729952436170</v>
      </c>
      <c r="C4554" t="s">
        <v>40</v>
      </c>
      <c r="D4554">
        <v>6.0901430000000003</v>
      </c>
      <c r="E4554">
        <v>0.57208819999999905</v>
      </c>
      <c r="F4554" t="s">
        <v>41</v>
      </c>
      <c r="G4554">
        <v>-425.8972</v>
      </c>
      <c r="H4554" s="1">
        <v>-3.1159640000000002E-6</v>
      </c>
      <c r="I4554">
        <v>83.194919999999996</v>
      </c>
      <c r="J4554">
        <v>-423.65769999999998</v>
      </c>
      <c r="K4554">
        <v>1.110649</v>
      </c>
      <c r="L4554">
        <v>105.69240000000001</v>
      </c>
      <c r="M4554">
        <v>4.6759299999999997E-2</v>
      </c>
      <c r="N4554">
        <v>0</v>
      </c>
      <c r="O4554">
        <v>-0.99881310000000001</v>
      </c>
      <c r="P4554">
        <v>8.9805629999999997E-2</v>
      </c>
      <c r="Q4554">
        <v>-1.949534E-2</v>
      </c>
      <c r="R4554">
        <v>-0.99576869999999995</v>
      </c>
      <c r="S4554">
        <v>-0.29785159999999899</v>
      </c>
      <c r="T4554">
        <v>-0.14841789999999999</v>
      </c>
      <c r="U4554">
        <v>-3.0365600000000001</v>
      </c>
      <c r="V4554">
        <v>-4.3141840000000001E-2</v>
      </c>
      <c r="W4554">
        <v>-5.8523119999999897E-3</v>
      </c>
      <c r="X4554">
        <v>0.99905180000000005</v>
      </c>
      <c r="Y4554">
        <v>0.14393880000000001</v>
      </c>
      <c r="Z4554">
        <v>4.836853E-2</v>
      </c>
      <c r="AA4554">
        <v>0.98840380000000005</v>
      </c>
      <c r="AB4554">
        <v>22</v>
      </c>
      <c r="AC4554">
        <v>-2.23950000000002</v>
      </c>
      <c r="AD4554">
        <v>-1.1106521159639999</v>
      </c>
      <c r="AE4554">
        <v>-22.497479999999999</v>
      </c>
      <c r="AF4554">
        <v>3.28119577464336</v>
      </c>
      <c r="AG4554">
        <v>-1.1106521159639999</v>
      </c>
      <c r="AH4554">
        <v>22.314289741123901</v>
      </c>
      <c r="AI4554">
        <v>92.819173430446497</v>
      </c>
      <c r="AJ4554">
        <v>81.634911661595794</v>
      </c>
      <c r="AK4554">
        <v>22.581570372431099</v>
      </c>
      <c r="AL4554">
        <v>90.335314697608695</v>
      </c>
      <c r="AM4554">
        <v>92.4726551805106</v>
      </c>
      <c r="AN4554">
        <v>0.99999998349878505</v>
      </c>
    </row>
    <row r="4555" spans="1:40" x14ac:dyDescent="0.3">
      <c r="A4555" t="str">
        <f>"20200111160552466"</f>
        <v>20200111160552466</v>
      </c>
      <c r="B4555" t="str">
        <f>"1578729952456667"</f>
        <v>1578729952456667</v>
      </c>
      <c r="C4555" t="s">
        <v>40</v>
      </c>
      <c r="D4555">
        <v>5.434183</v>
      </c>
      <c r="E4555">
        <v>0.57829079999999999</v>
      </c>
      <c r="F4555" t="s">
        <v>41</v>
      </c>
      <c r="G4555">
        <v>-425.8766</v>
      </c>
      <c r="H4555" s="1">
        <v>-3.1785679999999999E-6</v>
      </c>
      <c r="I4555">
        <v>83.353560000000002</v>
      </c>
      <c r="J4555">
        <v>-423.64780000000002</v>
      </c>
      <c r="K4555">
        <v>1.110657</v>
      </c>
      <c r="L4555">
        <v>105.48099999999999</v>
      </c>
      <c r="M4555">
        <v>4.6768990000000003E-2</v>
      </c>
      <c r="N4555">
        <v>0</v>
      </c>
      <c r="O4555">
        <v>-0.99881260000000005</v>
      </c>
      <c r="P4555">
        <v>8.9701909999999996E-2</v>
      </c>
      <c r="Q4555">
        <v>-1.853894E-2</v>
      </c>
      <c r="R4555">
        <v>-0.99579640000000003</v>
      </c>
      <c r="S4555">
        <v>-0.3016663</v>
      </c>
      <c r="T4555">
        <v>-0.15099570000000001</v>
      </c>
      <c r="U4555">
        <v>-3.0370180000000002</v>
      </c>
      <c r="V4555">
        <v>-4.3027259999999998E-2</v>
      </c>
      <c r="W4555">
        <v>-4.8982959999999999E-3</v>
      </c>
      <c r="X4555">
        <v>0.99906189999999995</v>
      </c>
      <c r="Y4555">
        <v>0.14515929999999999</v>
      </c>
      <c r="Z4555">
        <v>4.9191720000000001E-2</v>
      </c>
      <c r="AA4555">
        <v>0.98818470000000003</v>
      </c>
      <c r="AB4555">
        <v>22</v>
      </c>
      <c r="AC4555">
        <v>-2.2287999999999699</v>
      </c>
      <c r="AD4555">
        <v>-1.1106601785679999</v>
      </c>
      <c r="AE4555">
        <v>-22.12744</v>
      </c>
      <c r="AF4555">
        <v>3.25322104578024</v>
      </c>
      <c r="AG4555">
        <v>-1.1106601785679999</v>
      </c>
      <c r="AH4555">
        <v>21.944242308987501</v>
      </c>
      <c r="AI4555">
        <v>92.866157315915004</v>
      </c>
      <c r="AJ4555">
        <v>81.567353608895303</v>
      </c>
      <c r="AK4555">
        <v>22.211861329490599</v>
      </c>
      <c r="AL4555">
        <v>90.280652807324003</v>
      </c>
      <c r="AM4555">
        <v>92.466071297547302</v>
      </c>
      <c r="AN4555">
        <v>1.0000000092192101</v>
      </c>
    </row>
    <row r="4556" spans="1:40" x14ac:dyDescent="0.3">
      <c r="A4556" t="str">
        <f>"20200111160552481"</f>
        <v>20200111160552481</v>
      </c>
      <c r="B4556" t="str">
        <f>"1578729952476187"</f>
        <v>1578729952476187</v>
      </c>
      <c r="C4556" t="s">
        <v>40</v>
      </c>
      <c r="D4556">
        <v>5.4482809999999997</v>
      </c>
      <c r="E4556">
        <v>0.57877979999999996</v>
      </c>
      <c r="F4556" t="s">
        <v>80</v>
      </c>
      <c r="G4556">
        <v>-436.65879999999999</v>
      </c>
      <c r="H4556">
        <v>7.9507679999999903</v>
      </c>
      <c r="I4556">
        <v>-5.6840419999999998</v>
      </c>
      <c r="J4556">
        <v>-423.64089999999999</v>
      </c>
      <c r="K4556">
        <v>1.1106609999999999</v>
      </c>
      <c r="L4556">
        <v>105.3339</v>
      </c>
      <c r="M4556">
        <v>4.677369E-2</v>
      </c>
      <c r="N4556">
        <v>0</v>
      </c>
      <c r="O4556">
        <v>-0.99881240000000004</v>
      </c>
      <c r="P4556">
        <v>8.9860389999999998E-2</v>
      </c>
      <c r="Q4556">
        <v>-1.7822290000000001E-2</v>
      </c>
      <c r="R4556">
        <v>-0.99579519999999999</v>
      </c>
      <c r="S4556">
        <v>-0.35678100000000001</v>
      </c>
      <c r="T4556">
        <v>0.18756519999999999</v>
      </c>
      <c r="U4556">
        <v>-3.0483090000000002</v>
      </c>
      <c r="V4556">
        <v>-4.3180789999999997E-2</v>
      </c>
      <c r="W4556">
        <v>-4.1833520000000004E-3</v>
      </c>
      <c r="X4556">
        <v>0.99905849999999996</v>
      </c>
      <c r="Y4556">
        <v>0.16236719999999999</v>
      </c>
      <c r="Z4556">
        <v>-6.0699860000000001E-2</v>
      </c>
      <c r="AA4556">
        <v>0.9848616</v>
      </c>
      <c r="AB4556">
        <v>22</v>
      </c>
      <c r="AC4556">
        <v>-13.0178999999999</v>
      </c>
      <c r="AD4556">
        <v>6.8401069999999899</v>
      </c>
      <c r="AE4556">
        <v>-111.017941999999</v>
      </c>
      <c r="AF4556">
        <v>18.128965006920801</v>
      </c>
      <c r="AG4556">
        <v>6.8401069999999899</v>
      </c>
      <c r="AH4556">
        <v>109.87601492133599</v>
      </c>
      <c r="AI4556">
        <v>86.485165039088102</v>
      </c>
      <c r="AJ4556">
        <v>80.630908041930695</v>
      </c>
      <c r="AK4556">
        <v>111.571434923941</v>
      </c>
      <c r="AL4556">
        <v>90.239689116828899</v>
      </c>
      <c r="AM4556">
        <v>92.474868231024502</v>
      </c>
      <c r="AN4556">
        <v>0.99999998374061405</v>
      </c>
    </row>
    <row r="4557" spans="1:40" x14ac:dyDescent="0.3">
      <c r="A4557" t="str">
        <f>"20200111160552500"</f>
        <v>20200111160552500</v>
      </c>
      <c r="B4557" t="str">
        <f>"1578729952496683"</f>
        <v>1578729952496683</v>
      </c>
      <c r="C4557" t="s">
        <v>40</v>
      </c>
      <c r="D4557">
        <v>5.4449459999999998</v>
      </c>
      <c r="E4557">
        <v>0.57912719999999995</v>
      </c>
      <c r="F4557" t="s">
        <v>41</v>
      </c>
      <c r="G4557">
        <v>-425.39019999999999</v>
      </c>
      <c r="H4557" s="1">
        <v>-1.733269E-6</v>
      </c>
      <c r="I4557">
        <v>90.286270000000002</v>
      </c>
      <c r="J4557">
        <v>-423.63220000000001</v>
      </c>
      <c r="K4557">
        <v>1.110663</v>
      </c>
      <c r="L4557">
        <v>105.1469</v>
      </c>
      <c r="M4557">
        <v>4.6778210000000001E-2</v>
      </c>
      <c r="N4557">
        <v>0</v>
      </c>
      <c r="O4557">
        <v>-0.99881209999999998</v>
      </c>
      <c r="P4557">
        <v>8.9074780000000006E-2</v>
      </c>
      <c r="Q4557">
        <v>-1.6815569999999998E-2</v>
      </c>
      <c r="R4557">
        <v>-0.99588299999999996</v>
      </c>
      <c r="S4557">
        <v>-0.35345460000000001</v>
      </c>
      <c r="T4557">
        <v>-0.22442309999999999</v>
      </c>
      <c r="U4557">
        <v>-3.0405579999999999</v>
      </c>
      <c r="V4557">
        <v>-4.2387269999999998E-2</v>
      </c>
      <c r="W4557">
        <v>-3.1781869999999999E-3</v>
      </c>
      <c r="X4557">
        <v>0.99909619999999999</v>
      </c>
      <c r="Y4557">
        <v>0.16150510000000001</v>
      </c>
      <c r="Z4557">
        <v>7.2761610000000004E-2</v>
      </c>
      <c r="AA4557">
        <v>0.98418589999999995</v>
      </c>
      <c r="AB4557">
        <v>22</v>
      </c>
      <c r="AC4557">
        <v>-1.75799999999998</v>
      </c>
      <c r="AD4557">
        <v>-1.1106647332690001</v>
      </c>
      <c r="AE4557">
        <v>-14.860629999999899</v>
      </c>
      <c r="AF4557">
        <v>2.4378638854184</v>
      </c>
      <c r="AG4557">
        <v>-1.1106647332690001</v>
      </c>
      <c r="AH4557">
        <v>14.681239497270701</v>
      </c>
      <c r="AI4557">
        <v>94.268075297689606</v>
      </c>
      <c r="AJ4557">
        <v>80.571891330570494</v>
      </c>
      <c r="AK4557">
        <v>14.923657381814101</v>
      </c>
      <c r="AL4557">
        <v>90.182097008307693</v>
      </c>
      <c r="AM4557">
        <v>92.429351783264394</v>
      </c>
      <c r="AN4557">
        <v>0.99999999919254901</v>
      </c>
    </row>
    <row r="4558" spans="1:40" x14ac:dyDescent="0.3">
      <c r="A4558" t="str">
        <f>"20200111160552523"</f>
        <v>20200111160552523</v>
      </c>
      <c r="B4558" t="str">
        <f>"1578729952516202"</f>
        <v>1578729952516202</v>
      </c>
      <c r="C4558" t="s">
        <v>40</v>
      </c>
      <c r="D4558">
        <v>5.4217919999999999</v>
      </c>
      <c r="E4558">
        <v>0.57916749999999995</v>
      </c>
      <c r="F4558" t="s">
        <v>41</v>
      </c>
      <c r="G4558">
        <v>-425.43060000000003</v>
      </c>
      <c r="H4558" s="1">
        <v>-1.5663280000000001E-6</v>
      </c>
      <c r="I4558">
        <v>89.872029999999995</v>
      </c>
      <c r="J4558">
        <v>-423.6216</v>
      </c>
      <c r="K4558">
        <v>1.110665</v>
      </c>
      <c r="L4558">
        <v>104.9195</v>
      </c>
      <c r="M4558">
        <v>4.6781679999999999E-2</v>
      </c>
      <c r="N4558">
        <v>0</v>
      </c>
      <c r="O4558">
        <v>-0.99881189999999997</v>
      </c>
      <c r="P4558">
        <v>8.7952779999999994E-2</v>
      </c>
      <c r="Q4558">
        <v>-1.7517080000000001E-2</v>
      </c>
      <c r="R4558">
        <v>-0.99597060000000004</v>
      </c>
      <c r="S4558">
        <v>-0.35800169999999998</v>
      </c>
      <c r="T4558">
        <v>-0.22109390000000001</v>
      </c>
      <c r="U4558">
        <v>-3.04068</v>
      </c>
      <c r="V4558">
        <v>-4.1259009999999999E-2</v>
      </c>
      <c r="W4558">
        <v>-3.881593E-3</v>
      </c>
      <c r="X4558">
        <v>0.9991409</v>
      </c>
      <c r="Y4558">
        <v>0.1629649</v>
      </c>
      <c r="Z4558">
        <v>7.1670189999999995E-2</v>
      </c>
      <c r="AA4558">
        <v>0.98402529999999999</v>
      </c>
      <c r="AB4558">
        <v>22</v>
      </c>
      <c r="AC4558">
        <v>-1.8090000000000199</v>
      </c>
      <c r="AD4558">
        <v>-1.110666566328</v>
      </c>
      <c r="AE4558">
        <v>-15.047469999999899</v>
      </c>
      <c r="AF4558">
        <v>2.4976172555571599</v>
      </c>
      <c r="AG4558">
        <v>-1.110666566328</v>
      </c>
      <c r="AH4558">
        <v>14.8665165787638</v>
      </c>
      <c r="AI4558">
        <v>94.213752872074593</v>
      </c>
      <c r="AJ4558">
        <v>80.463205053273001</v>
      </c>
      <c r="AK4558">
        <v>15.115719875793999</v>
      </c>
      <c r="AL4558">
        <v>90.222399465090803</v>
      </c>
      <c r="AM4558">
        <v>92.364656283056704</v>
      </c>
      <c r="AN4558">
        <v>0.99999995536160202</v>
      </c>
    </row>
    <row r="4559" spans="1:40" x14ac:dyDescent="0.3">
      <c r="A4559" t="str">
        <f>"20200111160552544"</f>
        <v>20200111160552544</v>
      </c>
      <c r="B4559" t="str">
        <f>"1578729952536701"</f>
        <v>1578729952536701</v>
      </c>
      <c r="C4559" t="s">
        <v>40</v>
      </c>
      <c r="D4559">
        <v>5.4203229999999998</v>
      </c>
      <c r="E4559">
        <v>0.57945570000000002</v>
      </c>
      <c r="F4559" t="s">
        <v>41</v>
      </c>
      <c r="G4559">
        <v>-425.38889999999998</v>
      </c>
      <c r="H4559" s="1">
        <v>-1.644421E-6</v>
      </c>
      <c r="I4559">
        <v>90.079970000000003</v>
      </c>
      <c r="J4559">
        <v>-423.61160000000001</v>
      </c>
      <c r="K4559">
        <v>1.1106579999999999</v>
      </c>
      <c r="L4559">
        <v>104.7081</v>
      </c>
      <c r="M4559">
        <v>4.6782200000000003E-2</v>
      </c>
      <c r="N4559">
        <v>0</v>
      </c>
      <c r="O4559">
        <v>-0.99881209999999998</v>
      </c>
      <c r="P4559">
        <v>8.7230219999999997E-2</v>
      </c>
      <c r="Q4559">
        <v>-1.7642809999999998E-2</v>
      </c>
      <c r="R4559">
        <v>-0.99603220000000003</v>
      </c>
      <c r="S4559">
        <v>-0.36206050000000001</v>
      </c>
      <c r="T4559">
        <v>-0.2275373</v>
      </c>
      <c r="U4559">
        <v>-3.0400999999999998</v>
      </c>
      <c r="V4559">
        <v>-4.0534340000000002E-2</v>
      </c>
      <c r="W4559">
        <v>-4.0091349999999996E-3</v>
      </c>
      <c r="X4559">
        <v>0.99917009999999995</v>
      </c>
      <c r="Y4559">
        <v>0.16426470000000001</v>
      </c>
      <c r="Z4559">
        <v>7.3747640000000003E-2</v>
      </c>
      <c r="AA4559">
        <v>0.98365559999999996</v>
      </c>
      <c r="AB4559">
        <v>22</v>
      </c>
      <c r="AC4559">
        <v>-1.7772999999999599</v>
      </c>
      <c r="AD4559">
        <v>-1.110659644421</v>
      </c>
      <c r="AE4559">
        <v>-14.628130000000001</v>
      </c>
      <c r="AF4559">
        <v>2.4458586128598201</v>
      </c>
      <c r="AG4559">
        <v>-1.110659644421</v>
      </c>
      <c r="AH4559">
        <v>14.4468852644279</v>
      </c>
      <c r="AI4559">
        <v>94.334741835438393</v>
      </c>
      <c r="AJ4559">
        <v>80.390936080902407</v>
      </c>
      <c r="AK4559">
        <v>14.6944983937319</v>
      </c>
      <c r="AL4559">
        <v>90.229707130972599</v>
      </c>
      <c r="AM4559">
        <v>92.323101740353493</v>
      </c>
      <c r="AN4559">
        <v>0.99999999730834599</v>
      </c>
    </row>
    <row r="4560" spans="1:40" x14ac:dyDescent="0.3">
      <c r="A4560" t="str">
        <f>"20200111160552565"</f>
        <v>20200111160552565</v>
      </c>
      <c r="B4560" t="str">
        <f>"1578729952556218"</f>
        <v>1578729952556218</v>
      </c>
      <c r="C4560" t="s">
        <v>40</v>
      </c>
      <c r="D4560">
        <v>5.4122250000000003</v>
      </c>
      <c r="E4560">
        <v>0.57941940000000003</v>
      </c>
      <c r="F4560" t="s">
        <v>41</v>
      </c>
      <c r="G4560">
        <v>-425.38869999999997</v>
      </c>
      <c r="H4560" s="1">
        <v>-1.5934329999999999E-6</v>
      </c>
      <c r="I4560">
        <v>89.961240000000004</v>
      </c>
      <c r="J4560">
        <v>-423.60169999999999</v>
      </c>
      <c r="K4560">
        <v>1.1106590000000001</v>
      </c>
      <c r="L4560">
        <v>104.49509999999999</v>
      </c>
      <c r="M4560">
        <v>4.6781219999999998E-2</v>
      </c>
      <c r="N4560">
        <v>0</v>
      </c>
      <c r="O4560">
        <v>-0.99881209999999998</v>
      </c>
      <c r="P4560">
        <v>8.7171230000000002E-2</v>
      </c>
      <c r="Q4560">
        <v>-1.788182E-2</v>
      </c>
      <c r="R4560">
        <v>-0.99603299999999995</v>
      </c>
      <c r="S4560">
        <v>-0.36633300000000002</v>
      </c>
      <c r="T4560">
        <v>-0.2289563</v>
      </c>
      <c r="U4560">
        <v>-3.0399780000000001</v>
      </c>
      <c r="V4560">
        <v>-4.0476169999999999E-2</v>
      </c>
      <c r="W4560">
        <v>-4.2503999999999997E-3</v>
      </c>
      <c r="X4560">
        <v>0.99917140000000004</v>
      </c>
      <c r="Y4560">
        <v>0.1656271</v>
      </c>
      <c r="Z4560">
        <v>7.4193250000000002E-2</v>
      </c>
      <c r="AA4560">
        <v>0.98339359999999998</v>
      </c>
      <c r="AB4560">
        <v>22</v>
      </c>
      <c r="AC4560">
        <v>-1.7869999999999699</v>
      </c>
      <c r="AD4560">
        <v>-1.1106605934330001</v>
      </c>
      <c r="AE4560">
        <v>-14.533859999999899</v>
      </c>
      <c r="AF4560">
        <v>2.45091825909511</v>
      </c>
      <c r="AG4560">
        <v>-1.1106605934330001</v>
      </c>
      <c r="AH4560">
        <v>14.3517751091861</v>
      </c>
      <c r="AI4560">
        <v>94.3623025791765</v>
      </c>
      <c r="AJ4560">
        <v>80.308827024566995</v>
      </c>
      <c r="AK4560">
        <v>14.601849747591</v>
      </c>
      <c r="AL4560">
        <v>90.243530729999705</v>
      </c>
      <c r="AM4560">
        <v>92.319768534529601</v>
      </c>
      <c r="AN4560">
        <v>0.99999993640799201</v>
      </c>
    </row>
    <row r="4561" spans="1:40" x14ac:dyDescent="0.3">
      <c r="A4561" t="str">
        <f>"20200111160552589"</f>
        <v>20200111160552589</v>
      </c>
      <c r="B4561" t="str">
        <f>"1578729952586475"</f>
        <v>1578729952586475</v>
      </c>
      <c r="C4561" t="s">
        <v>40</v>
      </c>
      <c r="D4561">
        <v>5.4056930000000003</v>
      </c>
      <c r="E4561">
        <v>0.5794108</v>
      </c>
      <c r="F4561" t="s">
        <v>41</v>
      </c>
      <c r="G4561">
        <v>-425.3657</v>
      </c>
      <c r="H4561" s="1">
        <v>-1.5370679999999901E-6</v>
      </c>
      <c r="I4561">
        <v>89.844119999999904</v>
      </c>
      <c r="J4561">
        <v>-423.59140000000002</v>
      </c>
      <c r="K4561">
        <v>1.110654</v>
      </c>
      <c r="L4561">
        <v>104.2757</v>
      </c>
      <c r="M4561">
        <v>4.6779389999999997E-2</v>
      </c>
      <c r="N4561">
        <v>0</v>
      </c>
      <c r="O4561">
        <v>-0.99881209999999998</v>
      </c>
      <c r="P4561">
        <v>8.7004739999999997E-2</v>
      </c>
      <c r="Q4561">
        <v>-1.8101800000000001E-2</v>
      </c>
      <c r="R4561">
        <v>-0.99604340000000002</v>
      </c>
      <c r="S4561">
        <v>-0.36599730000000003</v>
      </c>
      <c r="T4561">
        <v>-0.23044590000000001</v>
      </c>
      <c r="U4561">
        <v>-3.0398559999999999</v>
      </c>
      <c r="V4561">
        <v>-4.0311279999999998E-2</v>
      </c>
      <c r="W4561">
        <v>-4.4726840000000002E-3</v>
      </c>
      <c r="X4561">
        <v>0.99917719999999999</v>
      </c>
      <c r="Y4561">
        <v>0.16551859999999999</v>
      </c>
      <c r="Z4561">
        <v>7.4677389999999996E-2</v>
      </c>
      <c r="AA4561">
        <v>0.98337529999999995</v>
      </c>
      <c r="AB4561">
        <v>22</v>
      </c>
      <c r="AC4561">
        <v>-1.77429999999998</v>
      </c>
      <c r="AD4561">
        <v>-1.110655537068</v>
      </c>
      <c r="AE4561">
        <v>-14.43158</v>
      </c>
      <c r="AF4561">
        <v>2.4333229330688599</v>
      </c>
      <c r="AG4561">
        <v>-1.110655537068</v>
      </c>
      <c r="AH4561">
        <v>14.2496278974955</v>
      </c>
      <c r="AI4561">
        <v>94.393439143279807</v>
      </c>
      <c r="AJ4561">
        <v>80.309417672304505</v>
      </c>
      <c r="AK4561">
        <v>14.498500316781</v>
      </c>
      <c r="AL4561">
        <v>90.256266760328302</v>
      </c>
      <c r="AM4561">
        <v>92.3103152305778</v>
      </c>
      <c r="AN4561">
        <v>1.00000004059862</v>
      </c>
    </row>
    <row r="4562" spans="1:40" x14ac:dyDescent="0.3">
      <c r="A4562" t="str">
        <f>"20200111160552611"</f>
        <v>20200111160552611</v>
      </c>
      <c r="B4562" t="str">
        <f>"1578729952606970"</f>
        <v>1578729952606970</v>
      </c>
      <c r="C4562" t="s">
        <v>40</v>
      </c>
      <c r="D4562">
        <v>5.3509209999999996</v>
      </c>
      <c r="E4562">
        <v>0.57943610000000001</v>
      </c>
      <c r="F4562" t="s">
        <v>41</v>
      </c>
      <c r="G4562">
        <v>-425.33359999999999</v>
      </c>
      <c r="H4562" s="1">
        <v>-1.525113E-6</v>
      </c>
      <c r="I4562">
        <v>89.836119999999994</v>
      </c>
      <c r="J4562">
        <v>-423.58100000000002</v>
      </c>
      <c r="K4562">
        <v>1.1106510000000001</v>
      </c>
      <c r="L4562">
        <v>104.0538</v>
      </c>
      <c r="M4562">
        <v>4.6777390000000002E-2</v>
      </c>
      <c r="N4562">
        <v>0</v>
      </c>
      <c r="O4562">
        <v>-0.99881240000000004</v>
      </c>
      <c r="P4562">
        <v>8.7331580000000006E-2</v>
      </c>
      <c r="Q4562">
        <v>-1.8861719999999998E-2</v>
      </c>
      <c r="R4562">
        <v>-0.99600109999999997</v>
      </c>
      <c r="S4562">
        <v>-0.36676029999999998</v>
      </c>
      <c r="T4562">
        <v>-0.23380680000000001</v>
      </c>
      <c r="U4562">
        <v>-3.0397029999999998</v>
      </c>
      <c r="V4562">
        <v>-4.064131E-2</v>
      </c>
      <c r="W4562">
        <v>-5.2352919999999999E-3</v>
      </c>
      <c r="X4562">
        <v>0.9991601</v>
      </c>
      <c r="Y4562">
        <v>0.16575599999999999</v>
      </c>
      <c r="Z4562">
        <v>7.5761289999999995E-2</v>
      </c>
      <c r="AA4562">
        <v>0.98325229999999997</v>
      </c>
      <c r="AB4562">
        <v>22</v>
      </c>
      <c r="AC4562">
        <v>-1.7526000000000199</v>
      </c>
      <c r="AD4562">
        <v>-1.1106525251129999</v>
      </c>
      <c r="AE4562">
        <v>-14.21768</v>
      </c>
      <c r="AF4562">
        <v>2.4013741035802201</v>
      </c>
      <c r="AG4562">
        <v>-1.1106525251129999</v>
      </c>
      <c r="AH4562">
        <v>14.035754467201899</v>
      </c>
      <c r="AI4562">
        <v>94.459864800596904</v>
      </c>
      <c r="AJ4562">
        <v>80.291279821620904</v>
      </c>
      <c r="AK4562">
        <v>14.282946127478899</v>
      </c>
      <c r="AL4562">
        <v>90.299961501899105</v>
      </c>
      <c r="AM4562">
        <v>92.329248941537003</v>
      </c>
      <c r="AN4562">
        <v>1.0000000148964201</v>
      </c>
    </row>
    <row r="4563" spans="1:40" x14ac:dyDescent="0.3">
      <c r="A4563" t="str">
        <f>"20200111160552634"</f>
        <v>20200111160552634</v>
      </c>
      <c r="B4563" t="str">
        <f>"1578729952626493"</f>
        <v>1578729952626493</v>
      </c>
      <c r="C4563" t="s">
        <v>40</v>
      </c>
      <c r="D4563">
        <v>5.3485969999999998</v>
      </c>
      <c r="E4563">
        <v>0.57948710000000003</v>
      </c>
      <c r="F4563" t="s">
        <v>41</v>
      </c>
      <c r="G4563">
        <v>-425.29919999999998</v>
      </c>
      <c r="H4563" s="1">
        <v>-1.4895530000000001E-6</v>
      </c>
      <c r="I4563">
        <v>89.774569999999997</v>
      </c>
      <c r="J4563">
        <v>-423.57080000000002</v>
      </c>
      <c r="K4563">
        <v>1.110644</v>
      </c>
      <c r="L4563">
        <v>103.8351</v>
      </c>
      <c r="M4563">
        <v>4.6775700000000003E-2</v>
      </c>
      <c r="N4563">
        <v>0</v>
      </c>
      <c r="O4563">
        <v>-0.99881240000000004</v>
      </c>
      <c r="P4563">
        <v>8.7354840000000003E-2</v>
      </c>
      <c r="Q4563">
        <v>-1.8805059999999998E-2</v>
      </c>
      <c r="R4563">
        <v>-0.99600010000000005</v>
      </c>
      <c r="S4563">
        <v>-0.3657532</v>
      </c>
      <c r="T4563">
        <v>-0.2364269</v>
      </c>
      <c r="U4563">
        <v>-3.0396420000000002</v>
      </c>
      <c r="V4563">
        <v>-4.0666569999999999E-2</v>
      </c>
      <c r="W4563">
        <v>-5.181008E-3</v>
      </c>
      <c r="X4563">
        <v>0.99915929999999997</v>
      </c>
      <c r="Y4563">
        <v>0.16542770000000001</v>
      </c>
      <c r="Z4563">
        <v>7.661039E-2</v>
      </c>
      <c r="AA4563">
        <v>0.9832419</v>
      </c>
      <c r="AB4563">
        <v>22</v>
      </c>
      <c r="AC4563">
        <v>-1.72839999999996</v>
      </c>
      <c r="AD4563">
        <v>-1.110645489553</v>
      </c>
      <c r="AE4563">
        <v>-14.0605299999999</v>
      </c>
      <c r="AF4563">
        <v>2.3696944851752701</v>
      </c>
      <c r="AG4563">
        <v>-1.110645489553</v>
      </c>
      <c r="AH4563">
        <v>13.8789737644396</v>
      </c>
      <c r="AI4563">
        <v>94.510270487069207</v>
      </c>
      <c r="AJ4563">
        <v>80.310757760503407</v>
      </c>
      <c r="AK4563">
        <v>14.123558266617399</v>
      </c>
      <c r="AL4563">
        <v>90.296851232031798</v>
      </c>
      <c r="AM4563">
        <v>92.330696919521898</v>
      </c>
      <c r="AN4563">
        <v>0.99999995976797396</v>
      </c>
    </row>
    <row r="4564" spans="1:40" x14ac:dyDescent="0.3">
      <c r="A4564" t="str">
        <f>"20200111160552655"</f>
        <v>20200111160552655</v>
      </c>
      <c r="B4564" t="str">
        <f>"1578729952646986"</f>
        <v>1578729952646986</v>
      </c>
      <c r="C4564" t="s">
        <v>40</v>
      </c>
      <c r="D4564">
        <v>5.332287</v>
      </c>
      <c r="E4564">
        <v>0.57955749999999995</v>
      </c>
      <c r="F4564" t="s">
        <v>41</v>
      </c>
      <c r="G4564">
        <v>-425.2867</v>
      </c>
      <c r="H4564" s="1">
        <v>-5.2233219999999998E-6</v>
      </c>
      <c r="I4564">
        <v>89.58005</v>
      </c>
      <c r="J4564">
        <v>-423.56079999999997</v>
      </c>
      <c r="K4564">
        <v>1.110636</v>
      </c>
      <c r="L4564">
        <v>103.621</v>
      </c>
      <c r="M4564">
        <v>4.6774580000000003E-2</v>
      </c>
      <c r="N4564">
        <v>0</v>
      </c>
      <c r="O4564">
        <v>-0.99881240000000004</v>
      </c>
      <c r="P4564">
        <v>8.8044579999999997E-2</v>
      </c>
      <c r="Q4564">
        <v>-1.982368E-2</v>
      </c>
      <c r="R4564">
        <v>-0.99591940000000001</v>
      </c>
      <c r="S4564">
        <v>-0.3659058</v>
      </c>
      <c r="T4564">
        <v>-0.2368294</v>
      </c>
      <c r="U4564">
        <v>-3.0396730000000001</v>
      </c>
      <c r="V4564">
        <v>-4.1360010000000003E-2</v>
      </c>
      <c r="W4564">
        <v>-6.2024480000000002E-3</v>
      </c>
      <c r="X4564">
        <v>0.99912509999999999</v>
      </c>
      <c r="Y4564">
        <v>0.16547290000000001</v>
      </c>
      <c r="Z4564">
        <v>7.6738769999999998E-2</v>
      </c>
      <c r="AA4564">
        <v>0.98322419999999999</v>
      </c>
      <c r="AB4564">
        <v>22</v>
      </c>
      <c r="AC4564">
        <v>-1.72590000000002</v>
      </c>
      <c r="AD4564">
        <v>-1.110641223322</v>
      </c>
      <c r="AE4564">
        <v>-14.04095</v>
      </c>
      <c r="AF4564">
        <v>2.3662463568639098</v>
      </c>
      <c r="AG4564">
        <v>-1.110641223322</v>
      </c>
      <c r="AH4564">
        <v>13.859417781883399</v>
      </c>
      <c r="AI4564">
        <v>94.5165968758036</v>
      </c>
      <c r="AJ4564">
        <v>80.311196180525798</v>
      </c>
      <c r="AK4564">
        <v>14.1037621577045</v>
      </c>
      <c r="AL4564">
        <v>90.355376356326602</v>
      </c>
      <c r="AM4564">
        <v>92.370475691761598</v>
      </c>
      <c r="AN4564">
        <v>1.0000000431192</v>
      </c>
    </row>
    <row r="4565" spans="1:40" x14ac:dyDescent="0.3">
      <c r="A4565" t="str">
        <f>"20200111160552678"</f>
        <v>20200111160552678</v>
      </c>
      <c r="B4565" t="str">
        <f>"1578729952666507"</f>
        <v>1578729952666507</v>
      </c>
      <c r="C4565" t="s">
        <v>40</v>
      </c>
      <c r="D4565">
        <v>5.2929089999999999</v>
      </c>
      <c r="E4565">
        <v>0.5796481</v>
      </c>
      <c r="F4565" t="s">
        <v>41</v>
      </c>
      <c r="G4565">
        <v>-425.24560000000002</v>
      </c>
      <c r="H4565" s="1">
        <v>-5.2091489999999997E-6</v>
      </c>
      <c r="I4565">
        <v>89.559809999999999</v>
      </c>
      <c r="J4565">
        <v>-423.55070000000001</v>
      </c>
      <c r="K4565">
        <v>1.1106309999999999</v>
      </c>
      <c r="L4565">
        <v>103.4059</v>
      </c>
      <c r="M4565">
        <v>4.6773950000000002E-2</v>
      </c>
      <c r="N4565">
        <v>0</v>
      </c>
      <c r="O4565">
        <v>-0.99881260000000005</v>
      </c>
      <c r="P4565">
        <v>8.83491E-2</v>
      </c>
      <c r="Q4565">
        <v>-2.1077329999999998E-2</v>
      </c>
      <c r="R4565">
        <v>-0.99586669999999999</v>
      </c>
      <c r="S4565">
        <v>-0.36422729999999998</v>
      </c>
      <c r="T4565">
        <v>-0.24009559999999999</v>
      </c>
      <c r="U4565">
        <v>-3.0397029999999998</v>
      </c>
      <c r="V4565">
        <v>-4.1667889999999999E-2</v>
      </c>
      <c r="W4565">
        <v>-7.4587619999999999E-3</v>
      </c>
      <c r="X4565">
        <v>0.99910370000000004</v>
      </c>
      <c r="Y4565">
        <v>0.16492609999999999</v>
      </c>
      <c r="Z4565">
        <v>7.7795980000000001E-2</v>
      </c>
      <c r="AA4565">
        <v>0.98323300000000002</v>
      </c>
      <c r="AB4565">
        <v>22</v>
      </c>
      <c r="AC4565">
        <v>-1.6949000000000101</v>
      </c>
      <c r="AD4565">
        <v>-1.1106362091490001</v>
      </c>
      <c r="AE4565">
        <v>-13.84609</v>
      </c>
      <c r="AF4565">
        <v>2.32599620720389</v>
      </c>
      <c r="AG4565">
        <v>-1.1106362091490001</v>
      </c>
      <c r="AH4565">
        <v>13.6650236687023</v>
      </c>
      <c r="AI4565">
        <v>94.580946816088897</v>
      </c>
      <c r="AJ4565">
        <v>80.339965396241396</v>
      </c>
      <c r="AK4565">
        <v>13.905993060950101</v>
      </c>
      <c r="AL4565">
        <v>90.427359535026994</v>
      </c>
      <c r="AM4565">
        <v>92.3881520264448</v>
      </c>
      <c r="AN4565">
        <v>1.00000002477065</v>
      </c>
    </row>
    <row r="4566" spans="1:40" x14ac:dyDescent="0.3">
      <c r="A4566" t="str">
        <f>"20200111160552701"</f>
        <v>20200111160552701</v>
      </c>
      <c r="B4566" t="str">
        <f>"1578729952696763"</f>
        <v>1578729952696763</v>
      </c>
      <c r="C4566" t="s">
        <v>40</v>
      </c>
      <c r="D4566">
        <v>5.2829689999999996</v>
      </c>
      <c r="E4566">
        <v>0.5797928</v>
      </c>
      <c r="F4566" t="s">
        <v>41</v>
      </c>
      <c r="G4566">
        <v>-425.20940000000002</v>
      </c>
      <c r="H4566" s="1">
        <v>-5.2025300000000001E-6</v>
      </c>
      <c r="I4566">
        <v>89.559269999999998</v>
      </c>
      <c r="J4566">
        <v>-423.5403</v>
      </c>
      <c r="K4566">
        <v>1.1106290000000001</v>
      </c>
      <c r="L4566">
        <v>103.1835</v>
      </c>
      <c r="M4566">
        <v>4.677369E-2</v>
      </c>
      <c r="N4566">
        <v>0</v>
      </c>
      <c r="O4566">
        <v>-0.9988129</v>
      </c>
      <c r="P4566">
        <v>8.8054950000000007E-2</v>
      </c>
      <c r="Q4566">
        <v>-2.232371E-2</v>
      </c>
      <c r="R4566">
        <v>-0.99586580000000002</v>
      </c>
      <c r="S4566">
        <v>-0.36410520000000002</v>
      </c>
      <c r="T4566">
        <v>-0.24380399999999999</v>
      </c>
      <c r="U4566">
        <v>-3.0395810000000001</v>
      </c>
      <c r="V4566">
        <v>-4.1374479999999998E-2</v>
      </c>
      <c r="W4566">
        <v>-8.7075780000000005E-3</v>
      </c>
      <c r="X4566">
        <v>0.99910580000000004</v>
      </c>
      <c r="Y4566">
        <v>0.16488039999999901</v>
      </c>
      <c r="Z4566">
        <v>7.8993649999999999E-2</v>
      </c>
      <c r="AA4566">
        <v>0.98314520000000005</v>
      </c>
      <c r="AB4566">
        <v>22</v>
      </c>
      <c r="AC4566">
        <v>-1.66910000000001</v>
      </c>
      <c r="AD4566">
        <v>-1.11063420253</v>
      </c>
      <c r="AE4566">
        <v>-13.624229999999899</v>
      </c>
      <c r="AF4566">
        <v>2.28959711847047</v>
      </c>
      <c r="AG4566">
        <v>-1.11063420253</v>
      </c>
      <c r="AH4566">
        <v>13.4432244708516</v>
      </c>
      <c r="AI4566">
        <v>94.656112354216404</v>
      </c>
      <c r="AJ4566">
        <v>80.334354962073903</v>
      </c>
      <c r="AK4566">
        <v>13.6819606588545</v>
      </c>
      <c r="AL4566">
        <v>90.498913756843905</v>
      </c>
      <c r="AM4566">
        <v>92.371349822475807</v>
      </c>
      <c r="AN4566">
        <v>1.0000000345517599</v>
      </c>
    </row>
    <row r="4567" spans="1:40" x14ac:dyDescent="0.3">
      <c r="A4567" t="str">
        <f>"20200111160552724"</f>
        <v>20200111160552724</v>
      </c>
      <c r="B4567" t="str">
        <f>"1578729952716282"</f>
        <v>1578729952716282</v>
      </c>
      <c r="C4567" t="s">
        <v>40</v>
      </c>
      <c r="D4567">
        <v>5.2621840000000004</v>
      </c>
      <c r="E4567">
        <v>0.57991369999999998</v>
      </c>
      <c r="F4567" t="s">
        <v>41</v>
      </c>
      <c r="G4567">
        <v>-425.1798</v>
      </c>
      <c r="H4567" s="1">
        <v>-5.2035040000000003E-6</v>
      </c>
      <c r="I4567">
        <v>89.577569999999994</v>
      </c>
      <c r="J4567">
        <v>-423.5301</v>
      </c>
      <c r="K4567">
        <v>1.110625</v>
      </c>
      <c r="L4567">
        <v>102.9652</v>
      </c>
      <c r="M4567">
        <v>4.6773710000000003E-2</v>
      </c>
      <c r="N4567">
        <v>0</v>
      </c>
      <c r="O4567">
        <v>-0.99881260000000005</v>
      </c>
      <c r="P4567">
        <v>8.6893360000000003E-2</v>
      </c>
      <c r="Q4567">
        <v>-2.30402E-2</v>
      </c>
      <c r="R4567">
        <v>-0.99595129999999998</v>
      </c>
      <c r="S4567">
        <v>-0.36621090000000001</v>
      </c>
      <c r="T4567">
        <v>-0.24809010000000001</v>
      </c>
      <c r="U4567">
        <v>-3.0392459999999999</v>
      </c>
      <c r="V4567">
        <v>-4.0210320000000001E-2</v>
      </c>
      <c r="W4567">
        <v>-9.4258599999999994E-3</v>
      </c>
      <c r="X4567">
        <v>0.9991468</v>
      </c>
      <c r="Y4567">
        <v>0.16555139999999999</v>
      </c>
      <c r="Z4567">
        <v>8.0374199999999896E-2</v>
      </c>
      <c r="AA4567">
        <v>0.98292049999999997</v>
      </c>
      <c r="AB4567">
        <v>22</v>
      </c>
      <c r="AC4567">
        <v>-1.64969999999999</v>
      </c>
      <c r="AD4567">
        <v>-1.1106302035040001</v>
      </c>
      <c r="AE4567">
        <v>-13.38763</v>
      </c>
      <c r="AF4567">
        <v>2.25882799861267</v>
      </c>
      <c r="AG4567">
        <v>-1.1106302035040001</v>
      </c>
      <c r="AH4567">
        <v>13.206275262590299</v>
      </c>
      <c r="AI4567">
        <v>94.738690951631696</v>
      </c>
      <c r="AJ4567">
        <v>80.293938302346106</v>
      </c>
      <c r="AK4567">
        <v>13.4440138979234</v>
      </c>
      <c r="AL4567">
        <v>90.540069981684496</v>
      </c>
      <c r="AM4567">
        <v>92.304605311664005</v>
      </c>
      <c r="AN4567">
        <v>1.0000000223107399</v>
      </c>
    </row>
    <row r="4568" spans="1:40" x14ac:dyDescent="0.3">
      <c r="A4568" t="str">
        <f>"20200111160552746"</f>
        <v>20200111160552746</v>
      </c>
      <c r="B4568" t="str">
        <f>"1578729952736779"</f>
        <v>1578729952736779</v>
      </c>
      <c r="C4568" t="s">
        <v>40</v>
      </c>
      <c r="D4568">
        <v>4.73787</v>
      </c>
      <c r="E4568">
        <v>0.57827890000000004</v>
      </c>
      <c r="F4568" t="s">
        <v>41</v>
      </c>
      <c r="G4568">
        <v>-425.16719999999998</v>
      </c>
      <c r="H4568" s="1">
        <v>-5.1813800000000004E-6</v>
      </c>
      <c r="I4568">
        <v>89.519099999999995</v>
      </c>
      <c r="J4568">
        <v>-423.52010000000001</v>
      </c>
      <c r="K4568">
        <v>1.110616</v>
      </c>
      <c r="L4568">
        <v>102.7501</v>
      </c>
      <c r="M4568">
        <v>4.6773969999999998E-2</v>
      </c>
      <c r="N4568">
        <v>0</v>
      </c>
      <c r="O4568">
        <v>-0.99881330000000002</v>
      </c>
      <c r="P4568">
        <v>8.5623809999999995E-2</v>
      </c>
      <c r="Q4568">
        <v>-2.3221499999999999E-2</v>
      </c>
      <c r="R4568">
        <v>-0.99605730000000003</v>
      </c>
      <c r="S4568">
        <v>-0.36996459999999998</v>
      </c>
      <c r="T4568">
        <v>-0.2509902</v>
      </c>
      <c r="U4568">
        <v>-3.0386660000000001</v>
      </c>
      <c r="V4568">
        <v>-3.8936709999999999E-2</v>
      </c>
      <c r="W4568">
        <v>-9.6479089999999997E-3</v>
      </c>
      <c r="X4568">
        <v>0.9991951</v>
      </c>
      <c r="Y4568">
        <v>0.1667612</v>
      </c>
      <c r="Z4568">
        <v>8.1308420000000006E-2</v>
      </c>
      <c r="AA4568">
        <v>0.98263909999999999</v>
      </c>
      <c r="AB4568">
        <v>22</v>
      </c>
      <c r="AC4568">
        <v>-1.64709999999996</v>
      </c>
      <c r="AD4568">
        <v>-1.11062118138</v>
      </c>
      <c r="AE4568">
        <v>-13.231</v>
      </c>
      <c r="AF4568">
        <v>2.2486181964534002</v>
      </c>
      <c r="AG4568">
        <v>-1.11062118138</v>
      </c>
      <c r="AH4568">
        <v>13.0489270413198</v>
      </c>
      <c r="AI4568">
        <v>94.794509122789805</v>
      </c>
      <c r="AJ4568">
        <v>80.222696349919204</v>
      </c>
      <c r="AK4568">
        <v>13.2877484974557</v>
      </c>
      <c r="AL4568">
        <v>90.552793043632406</v>
      </c>
      <c r="AM4568">
        <v>92.231577155347395</v>
      </c>
      <c r="AN4568">
        <v>0.99999999869885303</v>
      </c>
    </row>
    <row r="4569" spans="1:40" x14ac:dyDescent="0.3">
      <c r="A4569" t="str">
        <f>"20200111160552768"</f>
        <v>20200111160552768</v>
      </c>
      <c r="B4569" t="str">
        <f>"1578729952756299"</f>
        <v>1578729952756299</v>
      </c>
      <c r="C4569" t="s">
        <v>40</v>
      </c>
      <c r="D4569">
        <v>5.2774530000000004</v>
      </c>
      <c r="E4569">
        <v>0.49070190000000002</v>
      </c>
      <c r="F4569" t="s">
        <v>42</v>
      </c>
      <c r="G4569">
        <v>-423.62810000000002</v>
      </c>
      <c r="H4569">
        <v>1.035336</v>
      </c>
      <c r="I4569">
        <v>101.84010000000001</v>
      </c>
      <c r="J4569">
        <v>-423.51029999999997</v>
      </c>
      <c r="K4569">
        <v>1.110579</v>
      </c>
      <c r="L4569">
        <v>102.5403</v>
      </c>
      <c r="M4569">
        <v>4.6774419999999997E-2</v>
      </c>
      <c r="N4569">
        <v>0</v>
      </c>
      <c r="O4569">
        <v>-0.99881520000000001</v>
      </c>
      <c r="P4569">
        <v>8.5323270000000007E-2</v>
      </c>
      <c r="Q4569">
        <v>-2.313451E-2</v>
      </c>
      <c r="R4569">
        <v>-0.99608479999999999</v>
      </c>
      <c r="S4569">
        <v>-0.36062620000000001</v>
      </c>
      <c r="T4569">
        <v>-0.25125160000000002</v>
      </c>
      <c r="U4569">
        <v>-3.0370180000000002</v>
      </c>
      <c r="V4569">
        <v>-3.8634620000000001E-2</v>
      </c>
      <c r="W4569">
        <v>-9.7090059999999992E-3</v>
      </c>
      <c r="X4569">
        <v>0.99920620000000004</v>
      </c>
      <c r="Y4569">
        <v>0.16384489999999999</v>
      </c>
      <c r="Z4569">
        <v>8.1470940000000006E-2</v>
      </c>
      <c r="AA4569">
        <v>0.98311610000000005</v>
      </c>
      <c r="AB4569">
        <v>22</v>
      </c>
      <c r="AC4569">
        <v>-0.11780000000004499</v>
      </c>
      <c r="AD4569">
        <v>-7.5242999999999893E-2</v>
      </c>
      <c r="AE4569">
        <v>-0.70019999999999505</v>
      </c>
      <c r="AF4569">
        <v>0.148754977227359</v>
      </c>
      <c r="AG4569">
        <v>-7.5242999999999893E-2</v>
      </c>
      <c r="AH4569">
        <v>0.68621697213343902</v>
      </c>
      <c r="AI4569">
        <v>96.1164794807042</v>
      </c>
      <c r="AJ4569">
        <v>77.768925361497097</v>
      </c>
      <c r="AK4569">
        <v>0.70617510940481198</v>
      </c>
      <c r="AL4569">
        <v>90.556293826931807</v>
      </c>
      <c r="AM4569">
        <v>92.214256218404401</v>
      </c>
      <c r="AN4569">
        <v>0.99999996438924499</v>
      </c>
    </row>
    <row r="4570" spans="1:40" x14ac:dyDescent="0.3">
      <c r="A4570" t="str">
        <f>"20200111160552790"</f>
        <v>20200111160552790</v>
      </c>
      <c r="B4570" t="str">
        <f>"1578729952786730"</f>
        <v>1578729952786730</v>
      </c>
      <c r="C4570" t="s">
        <v>40</v>
      </c>
      <c r="D4570">
        <v>5.7059759999999997</v>
      </c>
      <c r="E4570">
        <v>0.43293160000000003</v>
      </c>
      <c r="F4570" t="s">
        <v>41</v>
      </c>
      <c r="G4570">
        <v>-422.01150000000001</v>
      </c>
      <c r="H4570" s="1">
        <v>-4.5108819999999901E-6</v>
      </c>
      <c r="I4570">
        <v>89.193730000000002</v>
      </c>
      <c r="J4570">
        <v>-423.5</v>
      </c>
      <c r="K4570">
        <v>1.1105309999999999</v>
      </c>
      <c r="L4570">
        <v>102.3215</v>
      </c>
      <c r="M4570">
        <v>4.6775049999999999E-2</v>
      </c>
      <c r="N4570">
        <v>0</v>
      </c>
      <c r="O4570">
        <v>-0.99881830000000005</v>
      </c>
      <c r="P4570">
        <v>8.5180169999999999E-2</v>
      </c>
      <c r="Q4570">
        <v>-2.2420280000000001E-2</v>
      </c>
      <c r="R4570">
        <v>-0.99611369999999999</v>
      </c>
      <c r="S4570">
        <v>0.3343506</v>
      </c>
      <c r="T4570">
        <v>-0.247755</v>
      </c>
      <c r="U4570">
        <v>-2.977417</v>
      </c>
      <c r="V4570">
        <v>-3.8490410000000003E-2</v>
      </c>
      <c r="W4570">
        <v>-9.2337540000000003E-3</v>
      </c>
      <c r="X4570">
        <v>0.99921629999999995</v>
      </c>
      <c r="Y4570">
        <v>-6.4604839999999997E-2</v>
      </c>
      <c r="Z4570">
        <v>8.2445320000000002E-2</v>
      </c>
      <c r="AA4570">
        <v>0.99449940000000003</v>
      </c>
      <c r="AB4570">
        <v>22</v>
      </c>
      <c r="AC4570">
        <v>1.48849999999998</v>
      </c>
      <c r="AD4570">
        <v>-1.1105355108820001</v>
      </c>
      <c r="AE4570">
        <v>-13.1277699999999</v>
      </c>
      <c r="AF4570">
        <v>-0.86664176998947895</v>
      </c>
      <c r="AG4570">
        <v>-1.1105355108820001</v>
      </c>
      <c r="AH4570">
        <v>13.0905396399772</v>
      </c>
      <c r="AI4570">
        <v>94.838533551689494</v>
      </c>
      <c r="AJ4570">
        <v>93.787663664504194</v>
      </c>
      <c r="AK4570">
        <v>13.1661150361158</v>
      </c>
      <c r="AL4570">
        <v>90.529062654777505</v>
      </c>
      <c r="AM4570">
        <v>92.205977052005196</v>
      </c>
      <c r="AN4570">
        <v>0.99999999403029505</v>
      </c>
    </row>
    <row r="4571" spans="1:40" x14ac:dyDescent="0.3">
      <c r="A4571" t="str">
        <f>"20200111160552805"</f>
        <v>20200111160552805</v>
      </c>
      <c r="B4571" t="str">
        <f>"1578729952796490"</f>
        <v>1578729952796490</v>
      </c>
      <c r="C4571" t="s">
        <v>40</v>
      </c>
      <c r="D4571">
        <v>5.3583339999999904</v>
      </c>
      <c r="E4571">
        <v>0.43293160000000003</v>
      </c>
      <c r="F4571" t="s">
        <v>80</v>
      </c>
      <c r="G4571">
        <v>-396.68209999999999</v>
      </c>
      <c r="H4571">
        <v>12.057320000000001</v>
      </c>
      <c r="I4571">
        <v>0.71456719999999996</v>
      </c>
      <c r="J4571">
        <v>-423.4932</v>
      </c>
      <c r="K4571">
        <v>1.110493</v>
      </c>
      <c r="L4571">
        <v>102.17529999999999</v>
      </c>
      <c r="M4571">
        <v>4.6775520000000001E-2</v>
      </c>
      <c r="N4571">
        <v>0</v>
      </c>
      <c r="O4571">
        <v>-0.99882099999999996</v>
      </c>
      <c r="P4571">
        <v>8.5348140000000003E-2</v>
      </c>
      <c r="Q4571">
        <v>-2.1535550000000001E-2</v>
      </c>
      <c r="R4571">
        <v>-0.99611879999999997</v>
      </c>
      <c r="S4571">
        <v>0.77920529999999999</v>
      </c>
      <c r="T4571">
        <v>0.3180635</v>
      </c>
      <c r="U4571">
        <v>-2.9522400000000002</v>
      </c>
      <c r="V4571">
        <v>-3.8656940000000001E-2</v>
      </c>
      <c r="W4571">
        <v>-8.5480139999999996E-3</v>
      </c>
      <c r="X4571">
        <v>0.99921599999999999</v>
      </c>
      <c r="Y4571">
        <v>-0.20830499999999999</v>
      </c>
      <c r="Z4571">
        <v>-0.1040075</v>
      </c>
      <c r="AA4571">
        <v>0.97251810000000005</v>
      </c>
      <c r="AB4571">
        <v>22</v>
      </c>
      <c r="AC4571">
        <v>26.8111</v>
      </c>
      <c r="AD4571">
        <v>10.946827000000001</v>
      </c>
      <c r="AE4571">
        <v>-101.4607328</v>
      </c>
      <c r="AF4571">
        <v>-21.7982837484325</v>
      </c>
      <c r="AG4571">
        <v>10.946827000000001</v>
      </c>
      <c r="AH4571">
        <v>101.49945746056601</v>
      </c>
      <c r="AI4571">
        <v>83.980590902249801</v>
      </c>
      <c r="AJ4571">
        <v>102.12087653066099</v>
      </c>
      <c r="AK4571">
        <v>104.389357985066</v>
      </c>
      <c r="AL4571">
        <v>90.4897710796821</v>
      </c>
      <c r="AM4571">
        <v>92.215512456895695</v>
      </c>
      <c r="AN4571">
        <v>1.0000000211047499</v>
      </c>
    </row>
    <row r="4572" spans="1:40" x14ac:dyDescent="0.3">
      <c r="A4572" t="str">
        <f>"20200111160552824"</f>
        <v>20200111160552824</v>
      </c>
      <c r="B4572" t="str">
        <f>"1578729952816985"</f>
        <v>1578729952816985</v>
      </c>
      <c r="C4572" t="s">
        <v>40</v>
      </c>
      <c r="D4572">
        <v>5.3138750000000003</v>
      </c>
      <c r="E4572">
        <v>0.45736359999999898</v>
      </c>
      <c r="F4572" t="s">
        <v>80</v>
      </c>
      <c r="G4572">
        <v>-396.71050000000002</v>
      </c>
      <c r="H4572">
        <v>12.14489</v>
      </c>
      <c r="I4572">
        <v>0.7142811</v>
      </c>
      <c r="J4572">
        <v>-423.48450000000003</v>
      </c>
      <c r="K4572">
        <v>1.1104270000000001</v>
      </c>
      <c r="L4572">
        <v>101.9894</v>
      </c>
      <c r="M4572">
        <v>4.6776180000000001E-2</v>
      </c>
      <c r="N4572">
        <v>0</v>
      </c>
      <c r="O4572">
        <v>-0.99882499999999996</v>
      </c>
      <c r="P4572">
        <v>8.4889370000000006E-2</v>
      </c>
      <c r="Q4572">
        <v>-1.9768009999999999E-2</v>
      </c>
      <c r="R4572">
        <v>-0.99619420000000003</v>
      </c>
      <c r="S4572">
        <v>0.77920529999999999</v>
      </c>
      <c r="T4572">
        <v>0.32103029999999999</v>
      </c>
      <c r="U4572">
        <v>-2.9518740000000001</v>
      </c>
      <c r="V4572">
        <v>-3.8195189999999997E-2</v>
      </c>
      <c r="W4572">
        <v>-7.1098009999999998E-3</v>
      </c>
      <c r="X4572">
        <v>0.99924500000000005</v>
      </c>
      <c r="Y4572">
        <v>-0.2083083</v>
      </c>
      <c r="Z4572">
        <v>-0.10497910000000001</v>
      </c>
      <c r="AA4572">
        <v>0.97241299999999997</v>
      </c>
      <c r="AB4572">
        <v>22</v>
      </c>
      <c r="AC4572">
        <v>26.774000000000001</v>
      </c>
      <c r="AD4572">
        <v>11.034463000000001</v>
      </c>
      <c r="AE4572">
        <v>-101.2751189</v>
      </c>
      <c r="AF4572">
        <v>-21.7655393143468</v>
      </c>
      <c r="AG4572">
        <v>11.034463000000001</v>
      </c>
      <c r="AH4572">
        <v>101.29280939442199</v>
      </c>
      <c r="AI4572">
        <v>83.9206170230064</v>
      </c>
      <c r="AJ4572">
        <v>102.127167949141</v>
      </c>
      <c r="AK4572">
        <v>104.19084081797899</v>
      </c>
      <c r="AL4572">
        <v>90.407365024190995</v>
      </c>
      <c r="AM4572">
        <v>92.189011002437994</v>
      </c>
      <c r="AN4572">
        <v>0.99999999591719702</v>
      </c>
    </row>
    <row r="4573" spans="1:40" x14ac:dyDescent="0.3">
      <c r="A4573" t="str">
        <f>"20200111160552846"</f>
        <v>20200111160552846</v>
      </c>
      <c r="B4573" t="str">
        <f>"1578729952836508"</f>
        <v>1578729952836508</v>
      </c>
      <c r="C4573" t="s">
        <v>40</v>
      </c>
      <c r="D4573">
        <v>5.5151300000000001</v>
      </c>
      <c r="E4573">
        <v>0.45821309999999899</v>
      </c>
      <c r="F4573" t="s">
        <v>41</v>
      </c>
      <c r="G4573">
        <v>-420.81900000000002</v>
      </c>
      <c r="H4573" s="1">
        <v>-4.1736290000000003E-6</v>
      </c>
      <c r="I4573">
        <v>88.824299999999994</v>
      </c>
      <c r="J4573">
        <v>-423.47469999999998</v>
      </c>
      <c r="K4573">
        <v>1.11032999999999</v>
      </c>
      <c r="L4573">
        <v>101.7801</v>
      </c>
      <c r="M4573">
        <v>4.6777399999999997E-2</v>
      </c>
      <c r="N4573">
        <v>0</v>
      </c>
      <c r="O4573">
        <v>-0.99883100000000002</v>
      </c>
      <c r="P4573">
        <v>8.4446270000000004E-2</v>
      </c>
      <c r="Q4573">
        <v>-1.9460020000000001E-2</v>
      </c>
      <c r="R4573">
        <v>-0.99623799999999996</v>
      </c>
      <c r="S4573">
        <v>0.5983887</v>
      </c>
      <c r="T4573">
        <v>-0.2492858</v>
      </c>
      <c r="U4573">
        <v>-2.955505</v>
      </c>
      <c r="V4573">
        <v>-3.7749629999999999E-2</v>
      </c>
      <c r="W4573">
        <v>-7.2815459999999999E-3</v>
      </c>
      <c r="X4573">
        <v>0.9992607</v>
      </c>
      <c r="Y4573">
        <v>-0.15169369999999999</v>
      </c>
      <c r="Z4573">
        <v>8.2592460000000006E-2</v>
      </c>
      <c r="AA4573">
        <v>0.98497080000000004</v>
      </c>
      <c r="AB4573">
        <v>22</v>
      </c>
      <c r="AC4573">
        <v>2.65569999999996</v>
      </c>
      <c r="AD4573">
        <v>-1.11033417362899</v>
      </c>
      <c r="AE4573">
        <v>-12.9558</v>
      </c>
      <c r="AF4573">
        <v>-2.0323833368590298</v>
      </c>
      <c r="AG4573">
        <v>-1.11033417362899</v>
      </c>
      <c r="AH4573">
        <v>12.9744000546668</v>
      </c>
      <c r="AI4573">
        <v>94.832739796506203</v>
      </c>
      <c r="AJ4573">
        <v>98.902786664739295</v>
      </c>
      <c r="AK4573">
        <v>13.179471946311301</v>
      </c>
      <c r="AL4573">
        <v>90.417205540529494</v>
      </c>
      <c r="AM4573">
        <v>92.163465887067701</v>
      </c>
      <c r="AN4573">
        <v>1.00000000102088</v>
      </c>
    </row>
    <row r="4574" spans="1:40" x14ac:dyDescent="0.3">
      <c r="A4574" t="str">
        <f>"20200111160552868"</f>
        <v>20200111160552868</v>
      </c>
      <c r="B4574" t="str">
        <f>"1578729952857001"</f>
        <v>1578729952857001</v>
      </c>
      <c r="C4574" t="s">
        <v>40</v>
      </c>
      <c r="D4574">
        <v>5.4980960000000003</v>
      </c>
      <c r="E4574">
        <v>0.45907740000000002</v>
      </c>
      <c r="F4574" t="s">
        <v>41</v>
      </c>
      <c r="G4574">
        <v>-420.91140000000001</v>
      </c>
      <c r="H4574" s="1">
        <v>-4.2379849999999997E-6</v>
      </c>
      <c r="I4574">
        <v>88.965230000000005</v>
      </c>
      <c r="J4574">
        <v>-423.46449999999999</v>
      </c>
      <c r="K4574">
        <v>1.1102160000000001</v>
      </c>
      <c r="L4574">
        <v>101.56229999999999</v>
      </c>
      <c r="M4574">
        <v>4.6778279999999998E-2</v>
      </c>
      <c r="N4574">
        <v>0</v>
      </c>
      <c r="O4574">
        <v>-0.99883789999999995</v>
      </c>
      <c r="P4574">
        <v>8.376016E-2</v>
      </c>
      <c r="Q4574">
        <v>-1.9494230000000001E-2</v>
      </c>
      <c r="R4574">
        <v>-0.99629540000000005</v>
      </c>
      <c r="S4574">
        <v>0.59130859999999996</v>
      </c>
      <c r="T4574">
        <v>-0.25613780000000003</v>
      </c>
      <c r="U4574">
        <v>-2.956207</v>
      </c>
      <c r="V4574">
        <v>-3.7060460000000003E-2</v>
      </c>
      <c r="W4574">
        <v>-7.8851100000000007E-3</v>
      </c>
      <c r="X4574">
        <v>0.99928189999999995</v>
      </c>
      <c r="Y4574">
        <v>-0.14934269999999999</v>
      </c>
      <c r="Z4574">
        <v>8.4861740000000005E-2</v>
      </c>
      <c r="AA4574">
        <v>0.98513720000000005</v>
      </c>
      <c r="AB4574">
        <v>22</v>
      </c>
      <c r="AC4574">
        <v>2.5530999999999699</v>
      </c>
      <c r="AD4574">
        <v>-1.1102202379849999</v>
      </c>
      <c r="AE4574">
        <v>-12.597069999999899</v>
      </c>
      <c r="AF4574">
        <v>-1.9464731796364401</v>
      </c>
      <c r="AG4574">
        <v>-1.1102202379849999</v>
      </c>
      <c r="AH4574">
        <v>12.608642808972499</v>
      </c>
      <c r="AI4574">
        <v>94.973434461242206</v>
      </c>
      <c r="AJ4574">
        <v>98.775821864828998</v>
      </c>
      <c r="AK4574">
        <v>12.806218032664001</v>
      </c>
      <c r="AL4574">
        <v>90.451788212886896</v>
      </c>
      <c r="AM4574">
        <v>92.123960414581703</v>
      </c>
      <c r="AN4574">
        <v>0.99999998416136604</v>
      </c>
    </row>
    <row r="4575" spans="1:40" x14ac:dyDescent="0.3">
      <c r="A4575" t="str">
        <f>"20200111160552891"</f>
        <v>20200111160552891</v>
      </c>
      <c r="B4575" t="str">
        <f>"1578729952886281"</f>
        <v>1578729952886281</v>
      </c>
      <c r="C4575" t="s">
        <v>40</v>
      </c>
      <c r="D4575">
        <v>5.2926000000000002</v>
      </c>
      <c r="E4575">
        <v>0.4604743</v>
      </c>
      <c r="F4575" t="s">
        <v>41</v>
      </c>
      <c r="G4575">
        <v>-421.02249999999998</v>
      </c>
      <c r="H4575" s="1">
        <v>-4.3280650000000002E-6</v>
      </c>
      <c r="I4575">
        <v>89.172049999999999</v>
      </c>
      <c r="J4575">
        <v>-423.45409999999998</v>
      </c>
      <c r="K4575">
        <v>1.1101080000000001</v>
      </c>
      <c r="L4575">
        <v>101.33969999999999</v>
      </c>
      <c r="M4575">
        <v>4.6779130000000002E-2</v>
      </c>
      <c r="N4575">
        <v>0</v>
      </c>
      <c r="O4575">
        <v>-0.99884479999999998</v>
      </c>
      <c r="P4575">
        <v>8.3643419999999996E-2</v>
      </c>
      <c r="Q4575">
        <v>-1.9968920000000001E-2</v>
      </c>
      <c r="R4575">
        <v>-0.99629570000000001</v>
      </c>
      <c r="S4575">
        <v>0.58279419999999904</v>
      </c>
      <c r="T4575">
        <v>-0.26495639999999998</v>
      </c>
      <c r="U4575">
        <v>-2.9569700000000001</v>
      </c>
      <c r="V4575">
        <v>-3.694385E-2</v>
      </c>
      <c r="W4575">
        <v>-8.9771150000000008E-3</v>
      </c>
      <c r="X4575">
        <v>0.99927699999999997</v>
      </c>
      <c r="Y4575">
        <v>-0.1465147</v>
      </c>
      <c r="Z4575">
        <v>8.7781860000000003E-2</v>
      </c>
      <c r="AA4575">
        <v>0.98530600000000002</v>
      </c>
      <c r="AB4575">
        <v>22</v>
      </c>
      <c r="AC4575">
        <v>2.4316</v>
      </c>
      <c r="AD4575">
        <v>-1.110112328065</v>
      </c>
      <c r="AE4575">
        <v>-12.167649999999901</v>
      </c>
      <c r="AF4575">
        <v>-1.8449440910006101</v>
      </c>
      <c r="AG4575">
        <v>-1.110112328065</v>
      </c>
      <c r="AH4575">
        <v>12.170667465718299</v>
      </c>
      <c r="AI4575">
        <v>95.153099397632303</v>
      </c>
      <c r="AJ4575">
        <v>98.619806389937395</v>
      </c>
      <c r="AK4575">
        <v>12.3596648272084</v>
      </c>
      <c r="AL4575">
        <v>90.514357720870095</v>
      </c>
      <c r="AM4575">
        <v>92.117293880119604</v>
      </c>
      <c r="AN4575">
        <v>0.99999997968777199</v>
      </c>
    </row>
    <row r="4576" spans="1:40" x14ac:dyDescent="0.3">
      <c r="A4576" t="str">
        <f>"20200111160552913"</f>
        <v>20200111160552913</v>
      </c>
      <c r="B4576" t="str">
        <f>"1578729952906777"</f>
        <v>1578729952906777</v>
      </c>
      <c r="C4576" t="s">
        <v>40</v>
      </c>
      <c r="D4576">
        <v>5.5281570000000002</v>
      </c>
      <c r="E4576">
        <v>0.46099879999999999</v>
      </c>
      <c r="F4576" t="s">
        <v>41</v>
      </c>
      <c r="G4576">
        <v>-421.15989999999999</v>
      </c>
      <c r="H4576" s="1">
        <v>-4.4543260000000002E-6</v>
      </c>
      <c r="I4576">
        <v>89.471419999999995</v>
      </c>
      <c r="J4576">
        <v>-423.44330000000002</v>
      </c>
      <c r="K4576">
        <v>1.110001</v>
      </c>
      <c r="L4576">
        <v>101.11020000000001</v>
      </c>
      <c r="M4576">
        <v>4.6779889999999998E-2</v>
      </c>
      <c r="N4576">
        <v>0</v>
      </c>
      <c r="O4576">
        <v>-0.99885199999999996</v>
      </c>
      <c r="P4576">
        <v>8.3486039999999997E-2</v>
      </c>
      <c r="Q4576">
        <v>-1.959019E-2</v>
      </c>
      <c r="R4576">
        <v>-0.9963166</v>
      </c>
      <c r="S4576">
        <v>0.57171629999999996</v>
      </c>
      <c r="T4576">
        <v>-0.2766458</v>
      </c>
      <c r="U4576">
        <v>-2.9576419999999999</v>
      </c>
      <c r="V4576">
        <v>-3.6785089999999999E-2</v>
      </c>
      <c r="W4576">
        <v>-9.2594359999999994E-3</v>
      </c>
      <c r="X4576">
        <v>0.99928030000000001</v>
      </c>
      <c r="Y4576">
        <v>-0.14284949999999999</v>
      </c>
      <c r="Z4576">
        <v>9.165922E-2</v>
      </c>
      <c r="AA4576">
        <v>0.98549100000000001</v>
      </c>
      <c r="AB4576">
        <v>22</v>
      </c>
      <c r="AC4576">
        <v>2.2834000000000199</v>
      </c>
      <c r="AD4576">
        <v>-1.1100054543260001</v>
      </c>
      <c r="AE4576">
        <v>-11.638780000000001</v>
      </c>
      <c r="AF4576">
        <v>-1.72133370937838</v>
      </c>
      <c r="AG4576">
        <v>-1.1100054543260001</v>
      </c>
      <c r="AH4576">
        <v>11.630988870940699</v>
      </c>
      <c r="AI4576">
        <v>95.393132078270497</v>
      </c>
      <c r="AJ4576">
        <v>98.418409107317203</v>
      </c>
      <c r="AK4576">
        <v>11.8099535970139</v>
      </c>
      <c r="AL4576">
        <v>90.530534185276196</v>
      </c>
      <c r="AM4576">
        <v>92.108196436773198</v>
      </c>
      <c r="AN4576">
        <v>0.99999999898471803</v>
      </c>
    </row>
    <row r="4577" spans="1:40" x14ac:dyDescent="0.3">
      <c r="A4577" t="str">
        <f>"20200111160552935"</f>
        <v>20200111160552935</v>
      </c>
      <c r="B4577" t="str">
        <f>"1578729952926297"</f>
        <v>1578729952926297</v>
      </c>
      <c r="C4577" t="s">
        <v>40</v>
      </c>
      <c r="D4577">
        <v>5.2916800000000004</v>
      </c>
      <c r="E4577">
        <v>0.46211180000000002</v>
      </c>
      <c r="F4577" t="s">
        <v>41</v>
      </c>
      <c r="G4577">
        <v>-421.1703</v>
      </c>
      <c r="H4577" s="1">
        <v>-4.3841720000000004E-6</v>
      </c>
      <c r="I4577">
        <v>89.259869999999907</v>
      </c>
      <c r="J4577">
        <v>-423.4332</v>
      </c>
      <c r="K4577">
        <v>1.1099139999999901</v>
      </c>
      <c r="L4577">
        <v>100.8955</v>
      </c>
      <c r="M4577">
        <v>4.6780549999999997E-2</v>
      </c>
      <c r="N4577">
        <v>0</v>
      </c>
      <c r="O4577">
        <v>-0.99885820000000003</v>
      </c>
      <c r="P4577">
        <v>8.3193589999999998E-2</v>
      </c>
      <c r="Q4577">
        <v>-1.8874249999999999E-2</v>
      </c>
      <c r="R4577">
        <v>-0.99635469999999904</v>
      </c>
      <c r="S4577">
        <v>0.56738279999999996</v>
      </c>
      <c r="T4577">
        <v>-0.27707789999999999</v>
      </c>
      <c r="U4577">
        <v>-2.9580690000000001</v>
      </c>
      <c r="V4577">
        <v>-3.6490639999999998E-2</v>
      </c>
      <c r="W4577">
        <v>-9.1737280000000008E-3</v>
      </c>
      <c r="X4577">
        <v>0.99929190000000001</v>
      </c>
      <c r="Y4577">
        <v>-0.14142769999999999</v>
      </c>
      <c r="Z4577">
        <v>9.1810169999999997E-2</v>
      </c>
      <c r="AA4577">
        <v>0.98568210000000001</v>
      </c>
      <c r="AB4577">
        <v>22</v>
      </c>
      <c r="AC4577">
        <v>2.2629000000000001</v>
      </c>
      <c r="AD4577">
        <v>-1.1099183841719999</v>
      </c>
      <c r="AE4577">
        <v>-11.635630000000001</v>
      </c>
      <c r="AF4577">
        <v>-1.7011605591390899</v>
      </c>
      <c r="AG4577">
        <v>-1.1099183841719999</v>
      </c>
      <c r="AH4577">
        <v>11.626815777974199</v>
      </c>
      <c r="AI4577">
        <v>95.395935001442595</v>
      </c>
      <c r="AJ4577">
        <v>98.324083896541794</v>
      </c>
      <c r="AK4577">
        <v>11.802911132531801</v>
      </c>
      <c r="AL4577">
        <v>90.525623262779803</v>
      </c>
      <c r="AM4577">
        <v>92.091311953519906</v>
      </c>
      <c r="AN4577">
        <v>1.0000000127493101</v>
      </c>
    </row>
    <row r="4578" spans="1:40" x14ac:dyDescent="0.3">
      <c r="A4578" t="str">
        <f>"20200111160552969"</f>
        <v>20200111160552969</v>
      </c>
      <c r="B4578" t="str">
        <f>"1578729952966314"</f>
        <v>1578729952966314</v>
      </c>
      <c r="C4578" t="s">
        <v>40</v>
      </c>
      <c r="D4578">
        <v>5.3436260000000004</v>
      </c>
      <c r="E4578">
        <v>0.46158569999999999</v>
      </c>
      <c r="F4578" t="s">
        <v>80</v>
      </c>
      <c r="G4578">
        <v>-405.04020000000003</v>
      </c>
      <c r="H4578">
        <v>6.2523339999999896</v>
      </c>
      <c r="I4578">
        <v>0.62955090000000002</v>
      </c>
      <c r="J4578">
        <v>-423.41739999999999</v>
      </c>
      <c r="K4578">
        <v>1.109785</v>
      </c>
      <c r="L4578">
        <v>100.5556</v>
      </c>
      <c r="M4578">
        <v>4.678098E-2</v>
      </c>
      <c r="N4578">
        <v>0</v>
      </c>
      <c r="O4578">
        <v>-0.99886739999999996</v>
      </c>
      <c r="P4578">
        <v>8.3350389999999996E-2</v>
      </c>
      <c r="Q4578">
        <v>-1.6831559999999999E-2</v>
      </c>
      <c r="R4578">
        <v>-0.9963784</v>
      </c>
      <c r="S4578">
        <v>0.54452509999999998</v>
      </c>
      <c r="T4578">
        <v>0.15224099999999999</v>
      </c>
      <c r="U4578">
        <v>-2.9683839999999999</v>
      </c>
      <c r="V4578">
        <v>-3.6646320000000003E-2</v>
      </c>
      <c r="W4578">
        <v>-8.1171860000000002E-3</v>
      </c>
      <c r="X4578">
        <v>0.99929539999999994</v>
      </c>
      <c r="Y4578">
        <v>-0.13398840000000001</v>
      </c>
      <c r="Z4578">
        <v>-5.048532E-2</v>
      </c>
      <c r="AA4578">
        <v>0.98969609999999997</v>
      </c>
      <c r="AB4578">
        <v>22</v>
      </c>
      <c r="AC4578">
        <v>18.377199999999899</v>
      </c>
      <c r="AD4578">
        <v>5.14254899999999</v>
      </c>
      <c r="AE4578">
        <v>-99.926049099999901</v>
      </c>
      <c r="AF4578">
        <v>-13.6473013688025</v>
      </c>
      <c r="AG4578">
        <v>5.14254899999999</v>
      </c>
      <c r="AH4578">
        <v>100.419116068599</v>
      </c>
      <c r="AI4578">
        <v>87.095052696022506</v>
      </c>
      <c r="AJ4578">
        <v>97.739277375819597</v>
      </c>
      <c r="AK4578">
        <v>101.472624470184</v>
      </c>
      <c r="AL4578">
        <v>90.465085574655504</v>
      </c>
      <c r="AM4578">
        <v>92.100218794226606</v>
      </c>
      <c r="AN4578">
        <v>1.00000006896962</v>
      </c>
    </row>
    <row r="4579" spans="1:40" x14ac:dyDescent="0.3">
      <c r="A4579" t="str">
        <f>"20200111160552992"</f>
        <v>20200111160552992</v>
      </c>
      <c r="B4579" t="str">
        <f>"1578729952986810"</f>
        <v>1578729952986810</v>
      </c>
      <c r="C4579" t="s">
        <v>40</v>
      </c>
      <c r="D4579">
        <v>5.5902219999999998</v>
      </c>
      <c r="E4579">
        <v>0.4604723</v>
      </c>
      <c r="F4579" t="s">
        <v>41</v>
      </c>
      <c r="G4579">
        <v>-420.95909999999998</v>
      </c>
      <c r="H4579" s="1">
        <v>-3.6979120000000001E-6</v>
      </c>
      <c r="I4579">
        <v>87.614180000000005</v>
      </c>
      <c r="J4579">
        <v>-423.40609999999998</v>
      </c>
      <c r="K4579">
        <v>1.109712</v>
      </c>
      <c r="L4579">
        <v>100.3151</v>
      </c>
      <c r="M4579">
        <v>4.6781320000000001E-2</v>
      </c>
      <c r="N4579">
        <v>0</v>
      </c>
      <c r="O4579">
        <v>-0.99887289999999995</v>
      </c>
      <c r="P4579">
        <v>8.335099E-2</v>
      </c>
      <c r="Q4579">
        <v>-1.5991479999999999E-2</v>
      </c>
      <c r="R4579">
        <v>-0.99639200000000006</v>
      </c>
      <c r="S4579">
        <v>0.56219479999999999</v>
      </c>
      <c r="T4579">
        <v>-0.25379940000000001</v>
      </c>
      <c r="U4579">
        <v>-2.9595950000000002</v>
      </c>
      <c r="V4579">
        <v>-3.664589E-2</v>
      </c>
      <c r="W4579">
        <v>-7.9398149999999994E-3</v>
      </c>
      <c r="X4579">
        <v>0.99929679999999999</v>
      </c>
      <c r="Y4579">
        <v>-0.13979269999999999</v>
      </c>
      <c r="Z4579">
        <v>8.4135660000000001E-2</v>
      </c>
      <c r="AA4579">
        <v>0.98659980000000003</v>
      </c>
      <c r="AB4579">
        <v>23</v>
      </c>
      <c r="AC4579">
        <v>2.4470000000000001</v>
      </c>
      <c r="AD4579">
        <v>-1.109715697912</v>
      </c>
      <c r="AE4579">
        <v>-12.700919999999901</v>
      </c>
      <c r="AF4579">
        <v>-1.8366168418272899</v>
      </c>
      <c r="AG4579">
        <v>-1.109715697912</v>
      </c>
      <c r="AH4579">
        <v>12.7079505767474</v>
      </c>
      <c r="AI4579">
        <v>94.939603176823994</v>
      </c>
      <c r="AJ4579">
        <v>98.223731617724098</v>
      </c>
      <c r="AK4579">
        <v>12.887848471134699</v>
      </c>
      <c r="AL4579">
        <v>90.454922656640505</v>
      </c>
      <c r="AM4579">
        <v>92.100191233075506</v>
      </c>
      <c r="AN4579">
        <v>1.00000002820318</v>
      </c>
    </row>
    <row r="4580" spans="1:40" x14ac:dyDescent="0.3">
      <c r="A4580" t="str">
        <f>"20200111160553015"</f>
        <v>20200111160553015</v>
      </c>
      <c r="B4580" t="str">
        <f>"1578729953006330"</f>
        <v>1578729953006330</v>
      </c>
      <c r="C4580" t="s">
        <v>40</v>
      </c>
      <c r="D4580">
        <v>5.6220210000000002</v>
      </c>
      <c r="E4580">
        <v>0.4609953</v>
      </c>
      <c r="F4580" t="s">
        <v>41</v>
      </c>
      <c r="G4580">
        <v>-420.92860000000002</v>
      </c>
      <c r="H4580" s="1">
        <v>-3.6333610000000002E-6</v>
      </c>
      <c r="I4580">
        <v>87.482600000000005</v>
      </c>
      <c r="J4580">
        <v>-423.3954</v>
      </c>
      <c r="K4580">
        <v>1.109653</v>
      </c>
      <c r="L4580">
        <v>100.08750000000001</v>
      </c>
      <c r="M4580">
        <v>4.6782259999999999E-2</v>
      </c>
      <c r="N4580">
        <v>0</v>
      </c>
      <c r="O4580">
        <v>-0.99887740000000003</v>
      </c>
      <c r="P4580">
        <v>8.3192530000000001E-2</v>
      </c>
      <c r="Q4580">
        <v>-1.394632E-2</v>
      </c>
      <c r="R4580">
        <v>-0.99643619999999999</v>
      </c>
      <c r="S4580">
        <v>0.5712585</v>
      </c>
      <c r="T4580">
        <v>-0.25588159999999999</v>
      </c>
      <c r="U4580">
        <v>-2.9589539999999999</v>
      </c>
      <c r="V4580">
        <v>-3.6485209999999997E-2</v>
      </c>
      <c r="W4580">
        <v>-6.4831130000000004E-3</v>
      </c>
      <c r="X4580">
        <v>0.99931320000000001</v>
      </c>
      <c r="Y4580">
        <v>-0.1427351</v>
      </c>
      <c r="Z4580">
        <v>8.4796850000000007E-2</v>
      </c>
      <c r="AA4580">
        <v>0.98612180000000005</v>
      </c>
      <c r="AB4580">
        <v>23</v>
      </c>
      <c r="AC4580">
        <v>2.4667999999999699</v>
      </c>
      <c r="AD4580">
        <v>-1.1096566333610001</v>
      </c>
      <c r="AE4580">
        <v>-12.604900000000001</v>
      </c>
      <c r="AF4580">
        <v>-1.8605099616236001</v>
      </c>
      <c r="AG4580">
        <v>-1.1096566333610001</v>
      </c>
      <c r="AH4580">
        <v>12.6123643211161</v>
      </c>
      <c r="AI4580">
        <v>94.974472329159397</v>
      </c>
      <c r="AJ4580">
        <v>98.391454982394706</v>
      </c>
      <c r="AK4580">
        <v>12.797053134601899</v>
      </c>
      <c r="AL4580">
        <v>90.371457601586798</v>
      </c>
      <c r="AM4580">
        <v>92.090956502148103</v>
      </c>
      <c r="AN4580">
        <v>1.0000000364985699</v>
      </c>
    </row>
    <row r="4581" spans="1:40" x14ac:dyDescent="0.3">
      <c r="A4581" t="str">
        <f>"20200111160553035"</f>
        <v>20200111160553035</v>
      </c>
      <c r="B4581" t="str">
        <f>"1578729953026825"</f>
        <v>1578729953026825</v>
      </c>
      <c r="C4581" t="s">
        <v>40</v>
      </c>
      <c r="D4581">
        <v>5.4832199999999904</v>
      </c>
      <c r="E4581">
        <v>0.45566859999999998</v>
      </c>
      <c r="F4581" t="s">
        <v>41</v>
      </c>
      <c r="G4581">
        <v>-420.82929999999999</v>
      </c>
      <c r="H4581" s="1">
        <v>-3.2671290000000002E-6</v>
      </c>
      <c r="I4581">
        <v>86.690479999999994</v>
      </c>
      <c r="J4581">
        <v>-423.38510000000002</v>
      </c>
      <c r="K4581">
        <v>1.109599</v>
      </c>
      <c r="L4581">
        <v>99.868440000000007</v>
      </c>
      <c r="M4581">
        <v>4.6783310000000002E-2</v>
      </c>
      <c r="N4581">
        <v>0</v>
      </c>
      <c r="O4581">
        <v>-0.99888120000000002</v>
      </c>
      <c r="P4581">
        <v>8.3532270000000006E-2</v>
      </c>
      <c r="Q4581">
        <v>-1.296074E-2</v>
      </c>
      <c r="R4581">
        <v>-0.99642109999999995</v>
      </c>
      <c r="S4581">
        <v>0.5669556</v>
      </c>
      <c r="T4581">
        <v>-0.24516930000000001</v>
      </c>
      <c r="U4581">
        <v>-2.9599609999999998</v>
      </c>
      <c r="V4581">
        <v>-3.682411E-2</v>
      </c>
      <c r="W4581">
        <v>-6.0308180000000003E-3</v>
      </c>
      <c r="X4581">
        <v>0.99930359999999996</v>
      </c>
      <c r="Y4581">
        <v>-0.14134449999999901</v>
      </c>
      <c r="Z4581">
        <v>8.1263260000000004E-2</v>
      </c>
      <c r="AA4581">
        <v>0.98661949999999998</v>
      </c>
      <c r="AB4581">
        <v>23</v>
      </c>
      <c r="AC4581">
        <v>2.5558000000000298</v>
      </c>
      <c r="AD4581">
        <v>-1.109602267129</v>
      </c>
      <c r="AE4581">
        <v>-13.177960000000001</v>
      </c>
      <c r="AF4581">
        <v>-1.9233362623367101</v>
      </c>
      <c r="AG4581">
        <v>-1.109602267129</v>
      </c>
      <c r="AH4581">
        <v>13.192956334431599</v>
      </c>
      <c r="AI4581">
        <v>94.757528344819704</v>
      </c>
      <c r="AJ4581">
        <v>98.294438100365994</v>
      </c>
      <c r="AK4581">
        <v>13.3785102463412</v>
      </c>
      <c r="AL4581">
        <v>90.345542500805607</v>
      </c>
      <c r="AM4581">
        <v>92.110381534616394</v>
      </c>
      <c r="AN4581">
        <v>1.0000000354080001</v>
      </c>
    </row>
    <row r="4582" spans="1:40" x14ac:dyDescent="0.3">
      <c r="A4582" t="str">
        <f>"20200111160553058"</f>
        <v>20200111160553058</v>
      </c>
      <c r="B4582" t="str">
        <f>"1578729953046345"</f>
        <v>1578729953046345</v>
      </c>
      <c r="C4582" t="s">
        <v>40</v>
      </c>
      <c r="D4582">
        <v>6.2518699999999896</v>
      </c>
      <c r="E4582">
        <v>0.45699469999999998</v>
      </c>
      <c r="F4582" t="s">
        <v>41</v>
      </c>
      <c r="G4582">
        <v>-413.42180000000002</v>
      </c>
      <c r="H4582" s="1">
        <v>-2.2270349999999999E-6</v>
      </c>
      <c r="I4582">
        <v>51.048969999999997</v>
      </c>
      <c r="J4582">
        <v>-423.37430000000001</v>
      </c>
      <c r="K4582">
        <v>1.10955</v>
      </c>
      <c r="L4582">
        <v>99.637050000000002</v>
      </c>
      <c r="M4582">
        <v>4.6784319999999997E-2</v>
      </c>
      <c r="N4582">
        <v>0</v>
      </c>
      <c r="O4582">
        <v>-0.99888480000000002</v>
      </c>
      <c r="P4582">
        <v>8.4723140000000002E-2</v>
      </c>
      <c r="Q4582">
        <v>-1.1338229999999999E-2</v>
      </c>
      <c r="R4582">
        <v>-0.99634029999999996</v>
      </c>
      <c r="S4582">
        <v>0.60394289999999995</v>
      </c>
      <c r="T4582">
        <v>-6.7260029999999998E-2</v>
      </c>
      <c r="U4582">
        <v>-2.9592589999999999</v>
      </c>
      <c r="V4582">
        <v>-3.801653E-2</v>
      </c>
      <c r="W4582">
        <v>-4.93897E-3</v>
      </c>
      <c r="X4582">
        <v>0.99926490000000001</v>
      </c>
      <c r="Y4582">
        <v>-0.15385480000000001</v>
      </c>
      <c r="Z4582">
        <v>2.2320349999999999E-2</v>
      </c>
      <c r="AA4582">
        <v>0.98784130000000003</v>
      </c>
      <c r="AB4582">
        <v>23</v>
      </c>
      <c r="AC4582">
        <v>9.9524999999999793</v>
      </c>
      <c r="AD4582">
        <v>-1.109552227035</v>
      </c>
      <c r="AE4582">
        <v>-48.588079999999998</v>
      </c>
      <c r="AF4582">
        <v>-7.6645595756807197</v>
      </c>
      <c r="AG4582">
        <v>-1.109552227035</v>
      </c>
      <c r="AH4582">
        <v>48.975993463688901</v>
      </c>
      <c r="AI4582">
        <v>91.282214041926593</v>
      </c>
      <c r="AJ4582">
        <v>98.894431763111399</v>
      </c>
      <c r="AK4582">
        <v>49.584518908516003</v>
      </c>
      <c r="AL4582">
        <v>90.282983288003607</v>
      </c>
      <c r="AM4582">
        <v>92.178738332300895</v>
      </c>
      <c r="AN4582">
        <v>0.99999999517495597</v>
      </c>
    </row>
    <row r="4583" spans="1:40" x14ac:dyDescent="0.3">
      <c r="A4583" t="str">
        <f>"20200111160553081"</f>
        <v>20200111160553081</v>
      </c>
      <c r="B4583" t="str">
        <f>"1578729953076602"</f>
        <v>1578729953076602</v>
      </c>
      <c r="C4583" t="s">
        <v>40</v>
      </c>
      <c r="D4583">
        <v>5.4781019999999998</v>
      </c>
      <c r="E4583">
        <v>0.4581423</v>
      </c>
      <c r="F4583" t="s">
        <v>41</v>
      </c>
      <c r="G4583">
        <v>-412.85649999999998</v>
      </c>
      <c r="H4583" s="1">
        <v>-4.651835E-6</v>
      </c>
      <c r="I4583">
        <v>47.522590000000001</v>
      </c>
      <c r="J4583">
        <v>-423.363</v>
      </c>
      <c r="K4583">
        <v>1.1095090000000001</v>
      </c>
      <c r="L4583">
        <v>99.396060000000006</v>
      </c>
      <c r="M4583">
        <v>4.6785309999999997E-2</v>
      </c>
      <c r="N4583">
        <v>0</v>
      </c>
      <c r="O4583">
        <v>-0.99888770000000005</v>
      </c>
      <c r="P4583">
        <v>8.5048289999999999E-2</v>
      </c>
      <c r="Q4583">
        <v>-1.0531459999999999E-2</v>
      </c>
      <c r="R4583">
        <v>-0.99632140000000002</v>
      </c>
      <c r="S4583">
        <v>0.59728999999999999</v>
      </c>
      <c r="T4583">
        <v>-6.3009979999999993E-2</v>
      </c>
      <c r="U4583">
        <v>-2.9595030000000002</v>
      </c>
      <c r="V4583">
        <v>-3.8341550000000002E-2</v>
      </c>
      <c r="W4583">
        <v>-4.6488349999999996E-3</v>
      </c>
      <c r="X4583">
        <v>0.99925390000000003</v>
      </c>
      <c r="Y4583">
        <v>-0.15171089999999901</v>
      </c>
      <c r="Z4583">
        <v>2.0917040000000001E-2</v>
      </c>
      <c r="AA4583">
        <v>0.98820359999999996</v>
      </c>
      <c r="AB4583">
        <v>23</v>
      </c>
      <c r="AC4583">
        <v>10.506500000000001</v>
      </c>
      <c r="AD4583">
        <v>-1.1095136518349999</v>
      </c>
      <c r="AE4583">
        <v>-51.873469999999898</v>
      </c>
      <c r="AF4583">
        <v>-8.0644924284570507</v>
      </c>
      <c r="AG4583">
        <v>-1.1095136518349999</v>
      </c>
      <c r="AH4583">
        <v>52.285246244606697</v>
      </c>
      <c r="AI4583">
        <v>91.2014536098647</v>
      </c>
      <c r="AJ4583">
        <v>98.768222105243197</v>
      </c>
      <c r="AK4583">
        <v>52.915158825533297</v>
      </c>
      <c r="AL4583">
        <v>90.266359578872397</v>
      </c>
      <c r="AM4583">
        <v>92.197371306003902</v>
      </c>
      <c r="AN4583">
        <v>1.0000000213942299</v>
      </c>
    </row>
    <row r="4584" spans="1:40" x14ac:dyDescent="0.3">
      <c r="A4584" t="str">
        <f>"20200111160553103"</f>
        <v>20200111160553103</v>
      </c>
      <c r="B4584" t="str">
        <f>"1578729953096121"</f>
        <v>1578729953096121</v>
      </c>
      <c r="C4584" t="s">
        <v>40</v>
      </c>
      <c r="D4584">
        <v>5.4757959999999999</v>
      </c>
      <c r="E4584">
        <v>0.45918599999999998</v>
      </c>
      <c r="F4584" t="s">
        <v>41</v>
      </c>
      <c r="G4584">
        <v>-416.93079999999998</v>
      </c>
      <c r="H4584" s="1">
        <v>-3.768661E-6</v>
      </c>
      <c r="I4584">
        <v>67.148529999999994</v>
      </c>
      <c r="J4584">
        <v>-423.35169999999999</v>
      </c>
      <c r="K4584">
        <v>1.1094660000000001</v>
      </c>
      <c r="L4584">
        <v>99.156490000000005</v>
      </c>
      <c r="M4584">
        <v>4.6786179999999997E-2</v>
      </c>
      <c r="N4584">
        <v>0</v>
      </c>
      <c r="O4584">
        <v>-0.99889050000000001</v>
      </c>
      <c r="P4584">
        <v>8.5473510000000003E-2</v>
      </c>
      <c r="Q4584">
        <v>-9.9004309999999995E-3</v>
      </c>
      <c r="R4584">
        <v>-0.9962917</v>
      </c>
      <c r="S4584">
        <v>0.59033199999999997</v>
      </c>
      <c r="T4584">
        <v>-0.10182819999999999</v>
      </c>
      <c r="U4584">
        <v>-2.9595950000000002</v>
      </c>
      <c r="V4584">
        <v>-3.8766589999999997E-2</v>
      </c>
      <c r="W4584">
        <v>-4.4925779999999997E-3</v>
      </c>
      <c r="X4584">
        <v>0.99923819999999997</v>
      </c>
      <c r="Y4584">
        <v>-0.14940149999999999</v>
      </c>
      <c r="Z4584">
        <v>3.3803930000000003E-2</v>
      </c>
      <c r="AA4584">
        <v>0.98819860000000004</v>
      </c>
      <c r="AB4584">
        <v>23</v>
      </c>
      <c r="AC4584">
        <v>6.4209000000000103</v>
      </c>
      <c r="AD4584">
        <v>-1.109469768661</v>
      </c>
      <c r="AE4584">
        <v>-32.007959999999997</v>
      </c>
      <c r="AF4584">
        <v>-4.9106449056357597</v>
      </c>
      <c r="AG4584">
        <v>-1.109469768661</v>
      </c>
      <c r="AH4584">
        <v>32.236089077688803</v>
      </c>
      <c r="AI4584">
        <v>91.948708159050398</v>
      </c>
      <c r="AJ4584">
        <v>98.661493282573801</v>
      </c>
      <c r="AK4584">
        <v>32.626841642756503</v>
      </c>
      <c r="AL4584">
        <v>90.257406622865403</v>
      </c>
      <c r="AM4584">
        <v>92.221741133590996</v>
      </c>
      <c r="AN4584">
        <v>1.0000000060482701</v>
      </c>
    </row>
    <row r="4585" spans="1:40" x14ac:dyDescent="0.3">
      <c r="A4585" t="str">
        <f>"20200111160553126"</f>
        <v>20200111160553126</v>
      </c>
      <c r="B4585" t="str">
        <f>"1578729953116617"</f>
        <v>1578729953116617</v>
      </c>
      <c r="C4585" t="s">
        <v>40</v>
      </c>
      <c r="D4585">
        <v>5.3725860000000001</v>
      </c>
      <c r="E4585">
        <v>0.4600071</v>
      </c>
      <c r="F4585" t="s">
        <v>41</v>
      </c>
      <c r="G4585">
        <v>-418.46300000000002</v>
      </c>
      <c r="H4585" s="1">
        <v>-2.3178859999999999E-6</v>
      </c>
      <c r="I4585">
        <v>74.400269999999907</v>
      </c>
      <c r="J4585">
        <v>-423.34070000000003</v>
      </c>
      <c r="K4585">
        <v>1.109426</v>
      </c>
      <c r="L4585">
        <v>98.919070000000005</v>
      </c>
      <c r="M4585">
        <v>4.6786950000000001E-2</v>
      </c>
      <c r="N4585">
        <v>0</v>
      </c>
      <c r="O4585">
        <v>-0.99889240000000001</v>
      </c>
      <c r="P4585">
        <v>8.5837029999999995E-2</v>
      </c>
      <c r="Q4585">
        <v>-1.0510230000000001E-2</v>
      </c>
      <c r="R4585">
        <v>-0.99625390000000003</v>
      </c>
      <c r="S4585">
        <v>0.58447269999999996</v>
      </c>
      <c r="T4585">
        <v>-0.13264049999999999</v>
      </c>
      <c r="U4585">
        <v>-2.959686</v>
      </c>
      <c r="V4585">
        <v>-3.9130890000000002E-2</v>
      </c>
      <c r="W4585">
        <v>-5.5263990000000004E-3</v>
      </c>
      <c r="X4585">
        <v>0.99921879999999996</v>
      </c>
      <c r="Y4585">
        <v>-0.14743539999999999</v>
      </c>
      <c r="Z4585">
        <v>4.402855E-2</v>
      </c>
      <c r="AA4585">
        <v>0.98809119999999995</v>
      </c>
      <c r="AB4585">
        <v>24</v>
      </c>
      <c r="AC4585">
        <v>4.8776999999999999</v>
      </c>
      <c r="AD4585">
        <v>-1.109428317886</v>
      </c>
      <c r="AE4585">
        <v>-24.518799999999999</v>
      </c>
      <c r="AF4585">
        <v>-3.7178619460117899</v>
      </c>
      <c r="AG4585">
        <v>-1.109428317886</v>
      </c>
      <c r="AH4585">
        <v>24.671574818172498</v>
      </c>
      <c r="AI4585">
        <v>92.546027212093605</v>
      </c>
      <c r="AJ4585">
        <v>98.569658218917098</v>
      </c>
      <c r="AK4585">
        <v>24.974785938037801</v>
      </c>
      <c r="AL4585">
        <v>90.316640953876103</v>
      </c>
      <c r="AM4585">
        <v>92.242641706323397</v>
      </c>
      <c r="AN4585">
        <v>0.99999998895576903</v>
      </c>
    </row>
    <row r="4586" spans="1:40" x14ac:dyDescent="0.3">
      <c r="A4586" t="str">
        <f>"20200111160553147"</f>
        <v>20200111160553147</v>
      </c>
      <c r="B4586" t="str">
        <f>"1578729953136138"</f>
        <v>1578729953136138</v>
      </c>
      <c r="C4586" t="s">
        <v>40</v>
      </c>
      <c r="D4586">
        <v>5.4725789999999996</v>
      </c>
      <c r="E4586">
        <v>0.46037070000000002</v>
      </c>
      <c r="F4586" t="s">
        <v>41</v>
      </c>
      <c r="G4586">
        <v>-419.21800000000002</v>
      </c>
      <c r="H4586" s="1">
        <v>-3.6728109999999999E-6</v>
      </c>
      <c r="I4586">
        <v>77.870819999999995</v>
      </c>
      <c r="J4586">
        <v>-423.3297</v>
      </c>
      <c r="K4586">
        <v>1.10938799999999</v>
      </c>
      <c r="L4586">
        <v>98.683899999999994</v>
      </c>
      <c r="M4586">
        <v>4.6787670000000003E-2</v>
      </c>
      <c r="N4586">
        <v>0</v>
      </c>
      <c r="O4586">
        <v>-0.99889430000000001</v>
      </c>
      <c r="P4586">
        <v>8.6712730000000002E-2</v>
      </c>
      <c r="Q4586">
        <v>-1.187407E-2</v>
      </c>
      <c r="R4586">
        <v>-0.99616309999999997</v>
      </c>
      <c r="S4586">
        <v>0.57971189999999995</v>
      </c>
      <c r="T4586">
        <v>-0.156001799999999</v>
      </c>
      <c r="U4586">
        <v>-2.959686</v>
      </c>
      <c r="V4586">
        <v>-4.0009030000000001E-2</v>
      </c>
      <c r="W4586">
        <v>-7.2638290000000003E-3</v>
      </c>
      <c r="X4586">
        <v>0.99917290000000003</v>
      </c>
      <c r="Y4586">
        <v>-0.14583289999999999</v>
      </c>
      <c r="Z4586">
        <v>5.1777759999999999E-2</v>
      </c>
      <c r="AA4586">
        <v>0.98795339999999998</v>
      </c>
      <c r="AB4586">
        <v>24</v>
      </c>
      <c r="AC4586">
        <v>4.1116999999999804</v>
      </c>
      <c r="AD4586">
        <v>-1.10939167281099</v>
      </c>
      <c r="AE4586">
        <v>-20.813079999999999</v>
      </c>
      <c r="AF4586">
        <v>-3.1248464802779998</v>
      </c>
      <c r="AG4586">
        <v>-1.10939167281099</v>
      </c>
      <c r="AH4586">
        <v>20.925445521491199</v>
      </c>
      <c r="AI4586">
        <v>93.001553302721007</v>
      </c>
      <c r="AJ4586">
        <v>98.493351596291404</v>
      </c>
      <c r="AK4586">
        <v>21.1865449208196</v>
      </c>
      <c r="AL4586">
        <v>90.416190411070303</v>
      </c>
      <c r="AM4586">
        <v>92.293021132693099</v>
      </c>
      <c r="AN4586">
        <v>0.99999998489384501</v>
      </c>
    </row>
    <row r="4587" spans="1:40" x14ac:dyDescent="0.3">
      <c r="A4587" t="str">
        <f>"20200111160553170"</f>
        <v>20200111160553170</v>
      </c>
      <c r="B4587" t="str">
        <f>"1578729953166393"</f>
        <v>1578729953166393</v>
      </c>
      <c r="C4587" t="s">
        <v>40</v>
      </c>
      <c r="D4587">
        <v>5.4232969999999998</v>
      </c>
      <c r="E4587">
        <v>0.46063480000000001</v>
      </c>
      <c r="F4587" t="s">
        <v>41</v>
      </c>
      <c r="G4587">
        <v>-419.28680000000003</v>
      </c>
      <c r="H4587" s="1">
        <v>-3.7270230000000001E-6</v>
      </c>
      <c r="I4587">
        <v>78.025649999999999</v>
      </c>
      <c r="J4587">
        <v>-423.3184</v>
      </c>
      <c r="K4587">
        <v>1.1093500000000001</v>
      </c>
      <c r="L4587">
        <v>98.443939999999998</v>
      </c>
      <c r="M4587">
        <v>4.678831E-2</v>
      </c>
      <c r="N4587">
        <v>0</v>
      </c>
      <c r="O4587">
        <v>-0.9988958</v>
      </c>
      <c r="P4587">
        <v>8.7898100000000007E-2</v>
      </c>
      <c r="Q4587">
        <v>-1.304367E-2</v>
      </c>
      <c r="R4587">
        <v>-0.99604429999999999</v>
      </c>
      <c r="S4587">
        <v>0.57913210000000004</v>
      </c>
      <c r="T4587">
        <v>-0.15891849999999999</v>
      </c>
      <c r="U4587">
        <v>-2.9592589999999999</v>
      </c>
      <c r="V4587">
        <v>-4.1198659999999998E-2</v>
      </c>
      <c r="W4587">
        <v>-8.7687800000000003E-3</v>
      </c>
      <c r="X4587">
        <v>0.99911249999999996</v>
      </c>
      <c r="Y4587">
        <v>-0.14566309999999999</v>
      </c>
      <c r="Z4587">
        <v>5.2752229999999997E-2</v>
      </c>
      <c r="AA4587">
        <v>0.98792679999999999</v>
      </c>
      <c r="AB4587">
        <v>24</v>
      </c>
      <c r="AC4587">
        <v>4.0315999999999601</v>
      </c>
      <c r="AD4587">
        <v>-1.1093537270230001</v>
      </c>
      <c r="AE4587">
        <v>-20.418289999999999</v>
      </c>
      <c r="AF4587">
        <v>-3.0631359522084001</v>
      </c>
      <c r="AG4587">
        <v>-1.1093537270230001</v>
      </c>
      <c r="AH4587">
        <v>20.52624373075</v>
      </c>
      <c r="AI4587">
        <v>93.059759817259504</v>
      </c>
      <c r="AJ4587">
        <v>98.487626360952504</v>
      </c>
      <c r="AK4587">
        <v>20.783169855619299</v>
      </c>
      <c r="AL4587">
        <v>90.502420522066998</v>
      </c>
      <c r="AM4587">
        <v>92.361268434115701</v>
      </c>
      <c r="AN4587">
        <v>1.00000000437236</v>
      </c>
    </row>
    <row r="4588" spans="1:40" x14ac:dyDescent="0.3">
      <c r="A4588" t="str">
        <f>"20200111160553193"</f>
        <v>20200111160553193</v>
      </c>
      <c r="B4588" t="str">
        <f>"1578729953186889"</f>
        <v>1578729953186889</v>
      </c>
      <c r="C4588" t="s">
        <v>40</v>
      </c>
      <c r="D4588">
        <v>5.4194969999999998</v>
      </c>
      <c r="E4588">
        <v>0.46080189999999999</v>
      </c>
      <c r="F4588" t="s">
        <v>41</v>
      </c>
      <c r="G4588">
        <v>-419.65940000000001</v>
      </c>
      <c r="H4588" s="1">
        <v>-1.503902E-7</v>
      </c>
      <c r="I4588">
        <v>79.823700000000002</v>
      </c>
      <c r="J4588">
        <v>-423.30630000000002</v>
      </c>
      <c r="K4588">
        <v>1.1093219999999999</v>
      </c>
      <c r="L4588">
        <v>98.185389999999998</v>
      </c>
      <c r="M4588">
        <v>4.6788879999999998E-2</v>
      </c>
      <c r="N4588">
        <v>0</v>
      </c>
      <c r="O4588">
        <v>-0.99889700000000003</v>
      </c>
      <c r="P4588">
        <v>8.9611319999999994E-2</v>
      </c>
      <c r="Q4588">
        <v>-1.397076E-2</v>
      </c>
      <c r="R4588">
        <v>-0.99587890000000001</v>
      </c>
      <c r="S4588">
        <v>0.58132930000000005</v>
      </c>
      <c r="T4588">
        <v>-0.1762494</v>
      </c>
      <c r="U4588">
        <v>-2.958313</v>
      </c>
      <c r="V4588">
        <v>-4.2916999999999997E-2</v>
      </c>
      <c r="W4588">
        <v>-1.0002840000000001E-2</v>
      </c>
      <c r="X4588">
        <v>0.99902860000000004</v>
      </c>
      <c r="Y4588">
        <v>-0.14636689999999999</v>
      </c>
      <c r="Z4588">
        <v>5.8497300000000002E-2</v>
      </c>
      <c r="AA4588">
        <v>0.98749920000000002</v>
      </c>
      <c r="AB4588">
        <v>24</v>
      </c>
      <c r="AC4588">
        <v>3.6469000000000098</v>
      </c>
      <c r="AD4588">
        <v>-1.1093221503902</v>
      </c>
      <c r="AE4588">
        <v>-18.361689999999999</v>
      </c>
      <c r="AF4588">
        <v>-2.77403534390286</v>
      </c>
      <c r="AG4588">
        <v>-1.1093221503902</v>
      </c>
      <c r="AH4588">
        <v>18.447438278338399</v>
      </c>
      <c r="AI4588">
        <v>93.403122148860106</v>
      </c>
      <c r="AJ4588">
        <v>98.551783081016694</v>
      </c>
      <c r="AK4588">
        <v>18.687799409124501</v>
      </c>
      <c r="AL4588">
        <v>90.573130053145903</v>
      </c>
      <c r="AM4588">
        <v>92.459841498972096</v>
      </c>
      <c r="AN4588">
        <v>1.00000003465751</v>
      </c>
    </row>
    <row r="4589" spans="1:40" x14ac:dyDescent="0.3">
      <c r="A4589" t="str">
        <f>"20200111160553215"</f>
        <v>20200111160553215</v>
      </c>
      <c r="B4589" t="str">
        <f>"1578729953206409"</f>
        <v>1578729953206409</v>
      </c>
      <c r="C4589" t="s">
        <v>40</v>
      </c>
      <c r="D4589">
        <v>5.6833229999999997</v>
      </c>
      <c r="E4589">
        <v>0.46082719999999999</v>
      </c>
      <c r="F4589" t="s">
        <v>41</v>
      </c>
      <c r="G4589">
        <v>-419.863</v>
      </c>
      <c r="H4589" s="1">
        <v>-5.1979659999999898E-7</v>
      </c>
      <c r="I4589">
        <v>80.787769999999995</v>
      </c>
      <c r="J4589">
        <v>-423.29520000000002</v>
      </c>
      <c r="K4589">
        <v>1.109302</v>
      </c>
      <c r="L4589">
        <v>97.949010000000001</v>
      </c>
      <c r="M4589">
        <v>4.6789499999999998E-2</v>
      </c>
      <c r="N4589">
        <v>0</v>
      </c>
      <c r="O4589">
        <v>-0.99889790000000001</v>
      </c>
      <c r="P4589">
        <v>9.1459540000000006E-2</v>
      </c>
      <c r="Q4589">
        <v>-1.4467539999999999E-2</v>
      </c>
      <c r="R4589">
        <v>-0.99570389999999998</v>
      </c>
      <c r="S4589">
        <v>0.58526610000000001</v>
      </c>
      <c r="T4589">
        <v>-0.18855479999999999</v>
      </c>
      <c r="U4589">
        <v>-2.9571230000000002</v>
      </c>
      <c r="V4589">
        <v>-4.4771110000000003E-2</v>
      </c>
      <c r="W4589">
        <v>-1.073323E-2</v>
      </c>
      <c r="X4589">
        <v>0.99893960000000004</v>
      </c>
      <c r="Y4589">
        <v>-0.14765880000000001</v>
      </c>
      <c r="Z4589">
        <v>6.2576430000000002E-2</v>
      </c>
      <c r="AA4589">
        <v>0.98705679999999996</v>
      </c>
      <c r="AB4589">
        <v>24</v>
      </c>
      <c r="AC4589">
        <v>3.4321999999999599</v>
      </c>
      <c r="AD4589">
        <v>-1.1093025197966</v>
      </c>
      <c r="AE4589">
        <v>-17.161239999999999</v>
      </c>
      <c r="AF4589">
        <v>-2.6149636019733702</v>
      </c>
      <c r="AG4589">
        <v>-1.1093025197966</v>
      </c>
      <c r="AH4589">
        <v>17.2337972898369</v>
      </c>
      <c r="AI4589">
        <v>93.641359867889605</v>
      </c>
      <c r="AJ4589">
        <v>98.627939944032605</v>
      </c>
      <c r="AK4589">
        <v>17.466320612746699</v>
      </c>
      <c r="AL4589">
        <v>90.614980594252401</v>
      </c>
      <c r="AM4589">
        <v>92.566201335978405</v>
      </c>
      <c r="AN4589">
        <v>0.99999998948251201</v>
      </c>
    </row>
    <row r="4590" spans="1:40" x14ac:dyDescent="0.3">
      <c r="A4590" t="str">
        <f>"20200111160553236"</f>
        <v>20200111160553236</v>
      </c>
      <c r="B4590" t="str">
        <f>"1578729953226906"</f>
        <v>1578729953226906</v>
      </c>
      <c r="C4590" t="s">
        <v>40</v>
      </c>
      <c r="D4590">
        <v>5.521725</v>
      </c>
      <c r="E4590">
        <v>0.46073520000000001</v>
      </c>
      <c r="F4590" t="s">
        <v>41</v>
      </c>
      <c r="G4590">
        <v>-419.99990000000003</v>
      </c>
      <c r="H4590" s="1">
        <v>-8.0106590000000002E-7</v>
      </c>
      <c r="I4590">
        <v>81.456450000000004</v>
      </c>
      <c r="J4590">
        <v>-423.28390000000002</v>
      </c>
      <c r="K4590">
        <v>1.109286</v>
      </c>
      <c r="L4590">
        <v>97.707340000000002</v>
      </c>
      <c r="M4590">
        <v>4.6790060000000001E-2</v>
      </c>
      <c r="N4590">
        <v>0</v>
      </c>
      <c r="O4590">
        <v>-0.99889859999999997</v>
      </c>
      <c r="P4590">
        <v>9.2720979999999995E-2</v>
      </c>
      <c r="Q4590">
        <v>-1.4619460000000001E-2</v>
      </c>
      <c r="R4590">
        <v>-0.9955851</v>
      </c>
      <c r="S4590">
        <v>0.5905762</v>
      </c>
      <c r="T4590">
        <v>-0.19881019999999999</v>
      </c>
      <c r="U4590">
        <v>-2.9558110000000002</v>
      </c>
      <c r="V4590">
        <v>-4.603604E-2</v>
      </c>
      <c r="W4590">
        <v>-1.107671E-2</v>
      </c>
      <c r="X4590">
        <v>0.99887840000000006</v>
      </c>
      <c r="Y4590">
        <v>-0.14940439999999999</v>
      </c>
      <c r="Z4590">
        <v>6.5973840000000006E-2</v>
      </c>
      <c r="AA4590">
        <v>0.98657269999999997</v>
      </c>
      <c r="AB4590">
        <v>25</v>
      </c>
      <c r="AC4590">
        <v>3.28399999999999</v>
      </c>
      <c r="AD4590">
        <v>-1.1092868010658901</v>
      </c>
      <c r="AE4590">
        <v>-16.250889999999998</v>
      </c>
      <c r="AF4590">
        <v>-2.5087874524386899</v>
      </c>
      <c r="AG4590">
        <v>-1.1092868010658901</v>
      </c>
      <c r="AH4590">
        <v>16.3137200080063</v>
      </c>
      <c r="AI4590">
        <v>93.844901693783001</v>
      </c>
      <c r="AJ4590">
        <v>98.742677702278499</v>
      </c>
      <c r="AK4590">
        <v>16.5427323072145</v>
      </c>
      <c r="AL4590">
        <v>90.634661690757994</v>
      </c>
      <c r="AM4590">
        <v>92.638765272682903</v>
      </c>
      <c r="AN4590">
        <v>1.00000003423493</v>
      </c>
    </row>
    <row r="4591" spans="1:40" x14ac:dyDescent="0.3">
      <c r="A4591" t="str">
        <f>"20200111160553259"</f>
        <v>20200111160553259</v>
      </c>
      <c r="B4591" t="str">
        <f>"1578729953256185"</f>
        <v>1578729953256185</v>
      </c>
      <c r="C4591" t="s">
        <v>40</v>
      </c>
      <c r="D4591">
        <v>5.5294910000000002</v>
      </c>
      <c r="E4591">
        <v>0.460949</v>
      </c>
      <c r="F4591" t="s">
        <v>41</v>
      </c>
      <c r="G4591">
        <v>-420.03629999999998</v>
      </c>
      <c r="H4591" s="1">
        <v>-8.6454579999999995E-7</v>
      </c>
      <c r="I4591">
        <v>81.581850000000003</v>
      </c>
      <c r="J4591">
        <v>-423.27199999999999</v>
      </c>
      <c r="K4591">
        <v>1.1092770000000001</v>
      </c>
      <c r="L4591">
        <v>97.455110000000005</v>
      </c>
      <c r="M4591">
        <v>4.6790749999999999E-2</v>
      </c>
      <c r="N4591">
        <v>0</v>
      </c>
      <c r="O4591">
        <v>-0.99889910000000004</v>
      </c>
      <c r="P4591">
        <v>9.3256649999999996E-2</v>
      </c>
      <c r="Q4591">
        <v>-1.420073E-2</v>
      </c>
      <c r="R4591">
        <v>-0.99554120000000002</v>
      </c>
      <c r="S4591">
        <v>0.59509279999999998</v>
      </c>
      <c r="T4591">
        <v>-0.2032698</v>
      </c>
      <c r="U4591">
        <v>-2.954895</v>
      </c>
      <c r="V4591">
        <v>-4.6572479999999999E-2</v>
      </c>
      <c r="W4591">
        <v>-1.0807560000000001E-2</v>
      </c>
      <c r="X4591">
        <v>0.99885639999999998</v>
      </c>
      <c r="Y4591">
        <v>-0.15089249999999901</v>
      </c>
      <c r="Z4591">
        <v>6.7449729999999999E-2</v>
      </c>
      <c r="AA4591">
        <v>0.98624639999999997</v>
      </c>
      <c r="AB4591">
        <v>25</v>
      </c>
      <c r="AC4591">
        <v>3.2357</v>
      </c>
      <c r="AD4591">
        <v>-1.1092778645457999</v>
      </c>
      <c r="AE4591">
        <v>-15.873259999999901</v>
      </c>
      <c r="AF4591">
        <v>-2.4778119297171899</v>
      </c>
      <c r="AG4591">
        <v>-1.1092778645457999</v>
      </c>
      <c r="AH4591">
        <v>15.9325701660016</v>
      </c>
      <c r="AI4591">
        <v>93.935536548652294</v>
      </c>
      <c r="AJ4591">
        <v>98.839750417727402</v>
      </c>
      <c r="AK4591">
        <v>16.162204101990099</v>
      </c>
      <c r="AL4591">
        <v>90.619239658885803</v>
      </c>
      <c r="AM4591">
        <v>92.669528261861501</v>
      </c>
      <c r="AN4591">
        <v>0.99999995353372995</v>
      </c>
    </row>
    <row r="4592" spans="1:40" x14ac:dyDescent="0.3">
      <c r="A4592" t="str">
        <f>"20200111160553282"</f>
        <v>20200111160553282</v>
      </c>
      <c r="B4592" t="str">
        <f>"1578729953276214"</f>
        <v>1578729953276214</v>
      </c>
      <c r="C4592" t="s">
        <v>40</v>
      </c>
      <c r="D4592">
        <v>6.2054169999999997</v>
      </c>
      <c r="E4592">
        <v>0.46108949999999999</v>
      </c>
      <c r="F4592" t="s">
        <v>41</v>
      </c>
      <c r="G4592">
        <v>-420.13549999999998</v>
      </c>
      <c r="H4592" s="1">
        <v>-1.0197890000000001E-6</v>
      </c>
      <c r="I4592">
        <v>81.882189999999994</v>
      </c>
      <c r="J4592">
        <v>-423.26010000000002</v>
      </c>
      <c r="K4592">
        <v>1.1092759999999999</v>
      </c>
      <c r="L4592">
        <v>97.199309999999997</v>
      </c>
      <c r="M4592">
        <v>4.6791529999999998E-2</v>
      </c>
      <c r="N4592">
        <v>0</v>
      </c>
      <c r="O4592">
        <v>-0.99889930000000005</v>
      </c>
      <c r="P4592">
        <v>9.3352439999999995E-2</v>
      </c>
      <c r="Q4592">
        <v>-1.362318E-2</v>
      </c>
      <c r="R4592">
        <v>-0.99554010000000004</v>
      </c>
      <c r="S4592">
        <v>0.59509279999999998</v>
      </c>
      <c r="T4592">
        <v>-0.2104656</v>
      </c>
      <c r="U4592">
        <v>-2.9546809999999999</v>
      </c>
      <c r="V4592">
        <v>-4.6667510000000002E-2</v>
      </c>
      <c r="W4592">
        <v>-1.033216E-2</v>
      </c>
      <c r="X4592">
        <v>0.99885699999999999</v>
      </c>
      <c r="Y4592">
        <v>-0.15087320000000001</v>
      </c>
      <c r="Z4592">
        <v>6.9830879999999998E-2</v>
      </c>
      <c r="AA4592">
        <v>0.98608359999999995</v>
      </c>
      <c r="AB4592">
        <v>25</v>
      </c>
      <c r="AC4592">
        <v>3.12460000000004</v>
      </c>
      <c r="AD4592">
        <v>-1.1092770197889901</v>
      </c>
      <c r="AE4592">
        <v>-15.3171199999999</v>
      </c>
      <c r="AF4592">
        <v>-2.3924158257539201</v>
      </c>
      <c r="AG4592">
        <v>-1.1092770197889901</v>
      </c>
      <c r="AH4592">
        <v>15.369160979936799</v>
      </c>
      <c r="AI4592">
        <v>94.079236130546306</v>
      </c>
      <c r="AJ4592">
        <v>98.847847407825995</v>
      </c>
      <c r="AK4592">
        <v>15.593757027001599</v>
      </c>
      <c r="AL4592">
        <v>90.591999719308106</v>
      </c>
      <c r="AM4592">
        <v>92.674965860345196</v>
      </c>
      <c r="AN4592">
        <v>0.999999958234431</v>
      </c>
    </row>
    <row r="4593" spans="1:40" x14ac:dyDescent="0.3">
      <c r="A4593" t="str">
        <f>"20200111160553304"</f>
        <v>20200111160553304</v>
      </c>
      <c r="B4593" t="str">
        <f>"1578729953296710"</f>
        <v>1578729953296710</v>
      </c>
      <c r="C4593" t="s">
        <v>40</v>
      </c>
      <c r="D4593">
        <v>5.2970129999999997</v>
      </c>
      <c r="E4593">
        <v>0.46379789999999999</v>
      </c>
      <c r="F4593" t="s">
        <v>41</v>
      </c>
      <c r="G4593">
        <v>-420.15100000000001</v>
      </c>
      <c r="H4593" s="1">
        <v>-9.6513329999999997E-7</v>
      </c>
      <c r="I4593">
        <v>81.745170000000002</v>
      </c>
      <c r="J4593">
        <v>-423.2482</v>
      </c>
      <c r="K4593">
        <v>1.1092740000000001</v>
      </c>
      <c r="L4593">
        <v>96.944339999999997</v>
      </c>
      <c r="M4593">
        <v>4.6792359999999998E-2</v>
      </c>
      <c r="N4593">
        <v>0</v>
      </c>
      <c r="O4593">
        <v>-0.9988996</v>
      </c>
      <c r="P4593">
        <v>9.2592019999999997E-2</v>
      </c>
      <c r="Q4593">
        <v>-1.333874E-2</v>
      </c>
      <c r="R4593">
        <v>-0.99561500000000003</v>
      </c>
      <c r="S4593">
        <v>0.59445190000000003</v>
      </c>
      <c r="T4593">
        <v>-0.21209169999999999</v>
      </c>
      <c r="U4593">
        <v>-2.9548030000000001</v>
      </c>
      <c r="V4593">
        <v>-4.5903619999999999E-2</v>
      </c>
      <c r="W4593">
        <v>-1.0099489999999999E-2</v>
      </c>
      <c r="X4593">
        <v>0.99889479999999997</v>
      </c>
      <c r="Y4593">
        <v>-0.15065149999999999</v>
      </c>
      <c r="Z4593">
        <v>7.0367540000000006E-2</v>
      </c>
      <c r="AA4593">
        <v>0.98607940000000005</v>
      </c>
      <c r="AB4593">
        <v>25</v>
      </c>
      <c r="AC4593">
        <v>3.09719999999998</v>
      </c>
      <c r="AD4593">
        <v>-1.10927496513329</v>
      </c>
      <c r="AE4593">
        <v>-15.199169999999899</v>
      </c>
      <c r="AF4593">
        <v>-2.3704759397286002</v>
      </c>
      <c r="AG4593">
        <v>-1.10927496513329</v>
      </c>
      <c r="AH4593">
        <v>15.2494599612586</v>
      </c>
      <c r="AI4593">
        <v>94.111274180814604</v>
      </c>
      <c r="AJ4593">
        <v>98.835716455317197</v>
      </c>
      <c r="AK4593">
        <v>15.472416625696599</v>
      </c>
      <c r="AL4593">
        <v>90.5786680004083</v>
      </c>
      <c r="AM4593">
        <v>92.631142561171302</v>
      </c>
      <c r="AN4593">
        <v>0.99999998174720195</v>
      </c>
    </row>
    <row r="4594" spans="1:40" x14ac:dyDescent="0.3">
      <c r="A4594" t="str">
        <f>"20200111160553325"</f>
        <v>20200111160553325</v>
      </c>
      <c r="B4594" t="str">
        <f>"1578729953316231"</f>
        <v>1578729953316231</v>
      </c>
      <c r="C4594" t="s">
        <v>40</v>
      </c>
      <c r="D4594">
        <v>5.2609620000000001</v>
      </c>
      <c r="E4594">
        <v>0.46705760000000002</v>
      </c>
      <c r="F4594" t="s">
        <v>41</v>
      </c>
      <c r="G4594">
        <v>-420.18099999999998</v>
      </c>
      <c r="H4594" s="1">
        <v>-6.7610790000000004E-7</v>
      </c>
      <c r="I4594">
        <v>81.052869999999999</v>
      </c>
      <c r="J4594">
        <v>-423.23669999999998</v>
      </c>
      <c r="K4594">
        <v>1.1092789999999999</v>
      </c>
      <c r="L4594">
        <v>96.700230000000005</v>
      </c>
      <c r="M4594">
        <v>4.6793099999999997E-2</v>
      </c>
      <c r="N4594">
        <v>0</v>
      </c>
      <c r="O4594">
        <v>-0.9988996</v>
      </c>
      <c r="P4594">
        <v>9.1891780000000006E-2</v>
      </c>
      <c r="Q4594">
        <v>-1.3322179999999999E-2</v>
      </c>
      <c r="R4594">
        <v>-0.99568049999999997</v>
      </c>
      <c r="S4594">
        <v>0.5708008</v>
      </c>
      <c r="T4594">
        <v>-0.2064337</v>
      </c>
      <c r="U4594">
        <v>-2.9573670000000001</v>
      </c>
      <c r="V4594">
        <v>-4.5200110000000002E-2</v>
      </c>
      <c r="W4594">
        <v>-1.008156E-2</v>
      </c>
      <c r="X4594">
        <v>0.99892709999999996</v>
      </c>
      <c r="Y4594">
        <v>-0.1429137</v>
      </c>
      <c r="Z4594">
        <v>6.8533200000000002E-2</v>
      </c>
      <c r="AA4594">
        <v>0.98735949999999995</v>
      </c>
      <c r="AB4594">
        <v>25</v>
      </c>
      <c r="AC4594">
        <v>3.0556999999999999</v>
      </c>
      <c r="AD4594">
        <v>-1.1092796761079</v>
      </c>
      <c r="AE4594">
        <v>-15.647360000000001</v>
      </c>
      <c r="AF4594">
        <v>-2.3089825671747</v>
      </c>
      <c r="AG4594">
        <v>-1.1092796761079</v>
      </c>
      <c r="AH4594">
        <v>15.697214100191101</v>
      </c>
      <c r="AI4594">
        <v>93.999324822020895</v>
      </c>
      <c r="AJ4594">
        <v>98.367918064726297</v>
      </c>
      <c r="AK4594">
        <v>15.904855623443501</v>
      </c>
      <c r="AL4594">
        <v>90.577640612976495</v>
      </c>
      <c r="AM4594">
        <v>92.590789892248097</v>
      </c>
      <c r="AN4594">
        <v>1.0000000194552201</v>
      </c>
    </row>
    <row r="4595" spans="1:40" x14ac:dyDescent="0.3">
      <c r="A4595" t="str">
        <f>"20200111160553348"</f>
        <v>20200111160553348</v>
      </c>
      <c r="B4595" t="str">
        <f>"1578729953336726"</f>
        <v>1578729953336726</v>
      </c>
      <c r="C4595" t="s">
        <v>40</v>
      </c>
      <c r="D4595">
        <v>5.3294350000000001</v>
      </c>
      <c r="E4595">
        <v>0.47003620000000002</v>
      </c>
      <c r="F4595" t="s">
        <v>41</v>
      </c>
      <c r="G4595">
        <v>-420.43150000000003</v>
      </c>
      <c r="H4595" s="1">
        <v>-8.9345310000000002E-7</v>
      </c>
      <c r="I4595">
        <v>81.404110000000003</v>
      </c>
      <c r="J4595">
        <v>-423.22480000000002</v>
      </c>
      <c r="K4595">
        <v>1.109297</v>
      </c>
      <c r="L4595">
        <v>96.444789999999998</v>
      </c>
      <c r="M4595">
        <v>4.6793800000000003E-2</v>
      </c>
      <c r="N4595">
        <v>0</v>
      </c>
      <c r="O4595">
        <v>-0.99889930000000005</v>
      </c>
      <c r="P4595">
        <v>9.0767780000000006E-2</v>
      </c>
      <c r="Q4595">
        <v>-1.3995830000000001E-2</v>
      </c>
      <c r="R4595">
        <v>-0.9957741</v>
      </c>
      <c r="S4595">
        <v>0.54284670000000002</v>
      </c>
      <c r="T4595">
        <v>-0.21466399999999999</v>
      </c>
      <c r="U4595">
        <v>-2.9600520000000001</v>
      </c>
      <c r="V4595">
        <v>-4.407233E-2</v>
      </c>
      <c r="W4595">
        <v>-1.0715199999999999E-2</v>
      </c>
      <c r="X4595">
        <v>0.99897089999999999</v>
      </c>
      <c r="Y4595">
        <v>-0.1336996</v>
      </c>
      <c r="Z4595">
        <v>7.1296100000000001E-2</v>
      </c>
      <c r="AA4595">
        <v>0.98845400000000005</v>
      </c>
      <c r="AB4595">
        <v>25</v>
      </c>
      <c r="AC4595">
        <v>2.7932999999999799</v>
      </c>
      <c r="AD4595">
        <v>-1.1092978934530999</v>
      </c>
      <c r="AE4595">
        <v>-15.040679999999901</v>
      </c>
      <c r="AF4595">
        <v>-2.0755124224758399</v>
      </c>
      <c r="AG4595">
        <v>-1.1092978934530999</v>
      </c>
      <c r="AH4595">
        <v>15.0756432801149</v>
      </c>
      <c r="AI4595">
        <v>94.169176079438699</v>
      </c>
      <c r="AJ4595">
        <v>97.838817154285906</v>
      </c>
      <c r="AK4595">
        <v>15.258221191919599</v>
      </c>
      <c r="AL4595">
        <v>90.613947471707803</v>
      </c>
      <c r="AM4595">
        <v>92.526121743634803</v>
      </c>
      <c r="AN4595">
        <v>1.0000000224147301</v>
      </c>
    </row>
    <row r="4596" spans="1:40" x14ac:dyDescent="0.3">
      <c r="A4596" t="str">
        <f>"20200111160553371"</f>
        <v>20200111160553371</v>
      </c>
      <c r="B4596" t="str">
        <f>"1578729953366514"</f>
        <v>1578729953366514</v>
      </c>
      <c r="C4596" t="s">
        <v>40</v>
      </c>
      <c r="D4596">
        <v>8.8053209999999993</v>
      </c>
      <c r="E4596">
        <v>0.47259679999999998</v>
      </c>
      <c r="F4596" t="s">
        <v>41</v>
      </c>
      <c r="G4596">
        <v>-420.6764</v>
      </c>
      <c r="H4596" s="1">
        <v>-1.13577E-6</v>
      </c>
      <c r="I4596">
        <v>81.817089999999993</v>
      </c>
      <c r="J4596">
        <v>-423.21249999999998</v>
      </c>
      <c r="K4596">
        <v>1.1093139999999999</v>
      </c>
      <c r="L4596">
        <v>96.181700000000006</v>
      </c>
      <c r="M4596">
        <v>4.6794450000000001E-2</v>
      </c>
      <c r="N4596">
        <v>0</v>
      </c>
      <c r="O4596">
        <v>-0.99889910000000004</v>
      </c>
      <c r="P4596">
        <v>8.9540800000000004E-2</v>
      </c>
      <c r="Q4596">
        <v>-1.4303339999999999E-2</v>
      </c>
      <c r="R4596">
        <v>-0.99588100000000002</v>
      </c>
      <c r="S4596">
        <v>0.5161133</v>
      </c>
      <c r="T4596">
        <v>-0.22466420000000001</v>
      </c>
      <c r="U4596">
        <v>-2.9625240000000002</v>
      </c>
      <c r="V4596">
        <v>-4.284085E-2</v>
      </c>
      <c r="W4596">
        <v>-1.093062E-2</v>
      </c>
      <c r="X4596">
        <v>0.99902210000000002</v>
      </c>
      <c r="Y4596">
        <v>-0.1248619</v>
      </c>
      <c r="Z4596">
        <v>7.4639940000000002E-2</v>
      </c>
      <c r="AA4596">
        <v>0.98936259999999998</v>
      </c>
      <c r="AB4596">
        <v>26</v>
      </c>
      <c r="AC4596">
        <v>2.53609999999997</v>
      </c>
      <c r="AD4596">
        <v>-1.10931513577</v>
      </c>
      <c r="AE4596">
        <v>-14.364610000000001</v>
      </c>
      <c r="AF4596">
        <v>-1.8504320988427301</v>
      </c>
      <c r="AG4596">
        <v>-1.10931513577</v>
      </c>
      <c r="AH4596">
        <v>14.384357904674699</v>
      </c>
      <c r="AI4596">
        <v>94.373993788831001</v>
      </c>
      <c r="AJ4596">
        <v>97.330382471507505</v>
      </c>
      <c r="AK4596">
        <v>14.545254599100501</v>
      </c>
      <c r="AL4596">
        <v>90.626290873662597</v>
      </c>
      <c r="AM4596">
        <v>92.455498170242194</v>
      </c>
      <c r="AN4596">
        <v>0.99999998658535805</v>
      </c>
    </row>
    <row r="4597" spans="1:40" x14ac:dyDescent="0.3">
      <c r="A4597" t="str">
        <f>"20200111160553638"</f>
        <v>20200111160553638</v>
      </c>
      <c r="B4597" t="str">
        <f>"1578729953636903"</f>
        <v>1578729953636903</v>
      </c>
      <c r="C4597" t="s">
        <v>40</v>
      </c>
      <c r="D4597">
        <v>5.4071410000000002</v>
      </c>
      <c r="E4597">
        <v>0.47647699999999998</v>
      </c>
      <c r="F4597" t="s">
        <v>41</v>
      </c>
      <c r="G4597">
        <v>-420.86149999999998</v>
      </c>
      <c r="H4597" s="1">
        <v>-1.27792E-6</v>
      </c>
      <c r="I4597">
        <v>82.033619999999999</v>
      </c>
      <c r="J4597">
        <v>-423.06479999999999</v>
      </c>
      <c r="K4597">
        <v>1.109542</v>
      </c>
      <c r="L4597">
        <v>93.028080000000003</v>
      </c>
      <c r="M4597">
        <v>4.680024E-2</v>
      </c>
      <c r="N4597">
        <v>0</v>
      </c>
      <c r="O4597">
        <v>-0.99888580000000005</v>
      </c>
      <c r="P4597">
        <v>8.6773370000000002E-2</v>
      </c>
      <c r="Q4597">
        <v>-1.90403E-2</v>
      </c>
      <c r="R4597">
        <v>-0.99604649999999995</v>
      </c>
      <c r="S4597">
        <v>0.49264530000000001</v>
      </c>
      <c r="T4597">
        <v>-0.23246120000000001</v>
      </c>
      <c r="U4597">
        <v>-2.9647830000000002</v>
      </c>
      <c r="V4597">
        <v>-4.0062939999999998E-2</v>
      </c>
      <c r="W4597">
        <v>-1.2959899999999899E-2</v>
      </c>
      <c r="X4597">
        <v>0.99911309999999998</v>
      </c>
      <c r="Y4597">
        <v>-0.1170807</v>
      </c>
      <c r="Z4597">
        <v>7.7244699999999999E-2</v>
      </c>
      <c r="AA4597">
        <v>0.99011380000000004</v>
      </c>
      <c r="AB4597">
        <v>27</v>
      </c>
      <c r="AC4597">
        <v>2.2033000000000098</v>
      </c>
      <c r="AD4597">
        <v>-1.1095432779200001</v>
      </c>
      <c r="AE4597">
        <v>-10.99446</v>
      </c>
      <c r="AF4597">
        <v>-1.66998153766277</v>
      </c>
      <c r="AG4597">
        <v>-1.1095432779200001</v>
      </c>
      <c r="AH4597">
        <v>10.978040175388999</v>
      </c>
      <c r="AI4597">
        <v>95.706046422233399</v>
      </c>
      <c r="AJ4597">
        <v>98.649533229301596</v>
      </c>
      <c r="AK4597">
        <v>11.1596277139592</v>
      </c>
      <c r="AL4597">
        <v>90.742568366399993</v>
      </c>
      <c r="AM4597">
        <v>92.296244831702694</v>
      </c>
      <c r="AN4597">
        <v>0.99999999238053106</v>
      </c>
    </row>
    <row r="4598" spans="1:40" x14ac:dyDescent="0.3">
      <c r="A4598" t="str">
        <f>"20200111160553661"</f>
        <v>20200111160553661</v>
      </c>
      <c r="B4598" t="str">
        <f>"1578729953656422"</f>
        <v>1578729953656422</v>
      </c>
      <c r="C4598" t="s">
        <v>40</v>
      </c>
      <c r="D4598">
        <v>6.3826580000000002</v>
      </c>
      <c r="E4598">
        <v>0.47787099999999999</v>
      </c>
      <c r="F4598" t="s">
        <v>41</v>
      </c>
      <c r="G4598">
        <v>-421.05540000000002</v>
      </c>
      <c r="H4598" s="1">
        <v>-4.1042559999999902E-7</v>
      </c>
      <c r="I4598">
        <v>79.891260000000003</v>
      </c>
      <c r="J4598">
        <v>-423.05180000000001</v>
      </c>
      <c r="K4598">
        <v>1.109545</v>
      </c>
      <c r="L4598">
        <v>92.751400000000004</v>
      </c>
      <c r="M4598">
        <v>4.680053E-2</v>
      </c>
      <c r="N4598">
        <v>0</v>
      </c>
      <c r="O4598">
        <v>-0.99888480000000002</v>
      </c>
      <c r="P4598">
        <v>8.6218219999999998E-2</v>
      </c>
      <c r="Q4598">
        <v>-2.0355310000000001E-2</v>
      </c>
      <c r="R4598">
        <v>-0.99606859999999997</v>
      </c>
      <c r="S4598">
        <v>0.4539185</v>
      </c>
      <c r="T4598">
        <v>-0.25064160000000002</v>
      </c>
      <c r="U4598">
        <v>-2.9675600000000002</v>
      </c>
      <c r="V4598">
        <v>-3.9507300000000002E-2</v>
      </c>
      <c r="W4598">
        <v>-1.411893E-2</v>
      </c>
      <c r="X4598">
        <v>0.99911950000000005</v>
      </c>
      <c r="Y4598">
        <v>-0.1042468</v>
      </c>
      <c r="Z4598">
        <v>8.3313020000000002E-2</v>
      </c>
      <c r="AA4598">
        <v>0.99105580000000004</v>
      </c>
      <c r="AB4598">
        <v>27</v>
      </c>
      <c r="AC4598">
        <v>1.99639999999999</v>
      </c>
      <c r="AD4598">
        <v>-1.1095454104256</v>
      </c>
      <c r="AE4598">
        <v>-12.860139999999999</v>
      </c>
      <c r="AF4598">
        <v>-1.3822918408804501</v>
      </c>
      <c r="AG4598">
        <v>-1.1095454104256</v>
      </c>
      <c r="AH4598">
        <v>12.8461079114418</v>
      </c>
      <c r="AI4598">
        <v>94.90831154912</v>
      </c>
      <c r="AJ4598">
        <v>96.141620633782594</v>
      </c>
      <c r="AK4598">
        <v>12.967818252257</v>
      </c>
      <c r="AL4598">
        <v>90.808982001156807</v>
      </c>
      <c r="AM4598">
        <v>92.264416701143702</v>
      </c>
      <c r="AN4598">
        <v>0.99999997310894195</v>
      </c>
    </row>
    <row r="4599" spans="1:40" x14ac:dyDescent="0.3">
      <c r="A4599" t="str">
        <f>"20200111160553684"</f>
        <v>20200111160553684</v>
      </c>
      <c r="B4599" t="str">
        <f>"1578729953676386"</f>
        <v>1578729953676386</v>
      </c>
      <c r="C4599" t="s">
        <v>40</v>
      </c>
      <c r="D4599">
        <v>5.3827910000000001</v>
      </c>
      <c r="E4599">
        <v>0.4792614</v>
      </c>
      <c r="F4599" t="s">
        <v>41</v>
      </c>
      <c r="G4599">
        <v>-421.08420000000001</v>
      </c>
      <c r="H4599" s="1">
        <v>-4.4581120000000001E-6</v>
      </c>
      <c r="I4599">
        <v>79.521999999999906</v>
      </c>
      <c r="J4599">
        <v>-423.03899999999999</v>
      </c>
      <c r="K4599">
        <v>1.109548</v>
      </c>
      <c r="L4599">
        <v>92.477109999999996</v>
      </c>
      <c r="M4599">
        <v>4.6800830000000002E-2</v>
      </c>
      <c r="N4599">
        <v>0</v>
      </c>
      <c r="O4599">
        <v>-0.99888410000000005</v>
      </c>
      <c r="P4599">
        <v>8.5750359999999998E-2</v>
      </c>
      <c r="Q4599">
        <v>-2.138135E-2</v>
      </c>
      <c r="R4599">
        <v>-0.99608770000000002</v>
      </c>
      <c r="S4599">
        <v>0.4414978</v>
      </c>
      <c r="T4599">
        <v>-0.248971</v>
      </c>
      <c r="U4599">
        <v>-2.9685359999999998</v>
      </c>
      <c r="V4599">
        <v>-3.9038469999999999E-2</v>
      </c>
      <c r="W4599">
        <v>-1.5007960000000001E-2</v>
      </c>
      <c r="X4599">
        <v>0.99912500000000004</v>
      </c>
      <c r="Y4599">
        <v>-0.1001489</v>
      </c>
      <c r="Z4599">
        <v>8.2777790000000004E-2</v>
      </c>
      <c r="AA4599">
        <v>0.99152309999999999</v>
      </c>
      <c r="AB4599">
        <v>27</v>
      </c>
      <c r="AC4599">
        <v>1.9547999999999699</v>
      </c>
      <c r="AD4599">
        <v>-1.109552458112</v>
      </c>
      <c r="AE4599">
        <v>-12.955109999999999</v>
      </c>
      <c r="AF4599">
        <v>-1.3367487483312299</v>
      </c>
      <c r="AG4599">
        <v>-1.109552458112</v>
      </c>
      <c r="AH4599">
        <v>12.939599871338499</v>
      </c>
      <c r="AI4599">
        <v>94.875223836838003</v>
      </c>
      <c r="AJ4599">
        <v>95.898121260372605</v>
      </c>
      <c r="AK4599">
        <v>13.055697940126</v>
      </c>
      <c r="AL4599">
        <v>90.859925047734805</v>
      </c>
      <c r="AM4599">
        <v>92.237560219977695</v>
      </c>
      <c r="AN4599">
        <v>1.0000000033141501</v>
      </c>
    </row>
    <row r="4600" spans="1:40" x14ac:dyDescent="0.3">
      <c r="A4600" t="str">
        <f>"20200111160553705"</f>
        <v>20200111160553705</v>
      </c>
      <c r="B4600" t="str">
        <f>"1578729953696882"</f>
        <v>1578729953696882</v>
      </c>
      <c r="C4600" t="s">
        <v>40</v>
      </c>
      <c r="D4600">
        <v>6.2633999999999999</v>
      </c>
      <c r="E4600">
        <v>0.48023080000000001</v>
      </c>
      <c r="F4600" t="s">
        <v>41</v>
      </c>
      <c r="G4600">
        <v>-421.13959999999997</v>
      </c>
      <c r="H4600" s="1">
        <v>-4.3997149999999998E-6</v>
      </c>
      <c r="I4600">
        <v>79.3215</v>
      </c>
      <c r="J4600">
        <v>-423.02690000000001</v>
      </c>
      <c r="K4600">
        <v>1.10955</v>
      </c>
      <c r="L4600">
        <v>92.219639999999998</v>
      </c>
      <c r="M4600">
        <v>4.6801210000000003E-2</v>
      </c>
      <c r="N4600">
        <v>0</v>
      </c>
      <c r="O4600">
        <v>-0.99888310000000002</v>
      </c>
      <c r="P4600">
        <v>8.5492150000000003E-2</v>
      </c>
      <c r="Q4600">
        <v>-2.1259179999999999E-2</v>
      </c>
      <c r="R4600">
        <v>-0.99611229999999995</v>
      </c>
      <c r="S4600">
        <v>0.42871090000000001</v>
      </c>
      <c r="T4600">
        <v>-0.250448</v>
      </c>
      <c r="U4600">
        <v>-2.9694820000000002</v>
      </c>
      <c r="V4600">
        <v>-3.877895E-2</v>
      </c>
      <c r="W4600">
        <v>-1.477239E-2</v>
      </c>
      <c r="X4600">
        <v>0.99913859999999999</v>
      </c>
      <c r="Y4600">
        <v>-9.5915700000000007E-2</v>
      </c>
      <c r="Z4600">
        <v>8.3282480000000006E-2</v>
      </c>
      <c r="AA4600">
        <v>0.99189930000000004</v>
      </c>
      <c r="AB4600">
        <v>27</v>
      </c>
      <c r="AC4600">
        <v>1.88730000000003</v>
      </c>
      <c r="AD4600">
        <v>-1.1095543997149999</v>
      </c>
      <c r="AE4600">
        <v>-12.8981399999999</v>
      </c>
      <c r="AF4600">
        <v>-1.27235227335182</v>
      </c>
      <c r="AG4600">
        <v>-1.1095543997149999</v>
      </c>
      <c r="AH4600">
        <v>12.8790262366183</v>
      </c>
      <c r="AI4600">
        <v>94.900252040608805</v>
      </c>
      <c r="AJ4600">
        <v>95.642090053762203</v>
      </c>
      <c r="AK4600">
        <v>12.989199670377401</v>
      </c>
      <c r="AL4600">
        <v>90.846426398895105</v>
      </c>
      <c r="AM4600">
        <v>92.222670108420701</v>
      </c>
      <c r="AN4600">
        <v>0.999999986239687</v>
      </c>
    </row>
    <row r="4601" spans="1:40" x14ac:dyDescent="0.3">
      <c r="A4601" t="str">
        <f>"20200111160553728"</f>
        <v>20200111160553728</v>
      </c>
      <c r="B4601" t="str">
        <f>"1578729953716402"</f>
        <v>1578729953716402</v>
      </c>
      <c r="C4601" t="s">
        <v>40</v>
      </c>
      <c r="D4601">
        <v>5.4055</v>
      </c>
      <c r="E4601">
        <v>0.48114400000000002</v>
      </c>
      <c r="F4601" t="s">
        <v>41</v>
      </c>
      <c r="G4601">
        <v>-421.14339999999999</v>
      </c>
      <c r="H4601" s="1">
        <v>-4.253992E-6</v>
      </c>
      <c r="I4601">
        <v>78.891350000000003</v>
      </c>
      <c r="J4601">
        <v>-423.01400000000001</v>
      </c>
      <c r="K4601">
        <v>1.109553</v>
      </c>
      <c r="L4601">
        <v>91.944059999999993</v>
      </c>
      <c r="M4601">
        <v>4.6801700000000002E-2</v>
      </c>
      <c r="N4601">
        <v>0</v>
      </c>
      <c r="O4601">
        <v>-0.99888239999999995</v>
      </c>
      <c r="P4601">
        <v>8.5355909999999993E-2</v>
      </c>
      <c r="Q4601">
        <v>-2.0816999999999999E-2</v>
      </c>
      <c r="R4601">
        <v>-0.9961333</v>
      </c>
      <c r="S4601">
        <v>0.41976930000000001</v>
      </c>
      <c r="T4601">
        <v>-0.2472801</v>
      </c>
      <c r="U4601">
        <v>-2.9703979999999999</v>
      </c>
      <c r="V4601">
        <v>-3.8641099999999998E-2</v>
      </c>
      <c r="W4601">
        <v>-1.4222520000000001E-2</v>
      </c>
      <c r="X4601">
        <v>0.99915189999999998</v>
      </c>
      <c r="Y4601">
        <v>-9.2957440000000002E-2</v>
      </c>
      <c r="Z4601">
        <v>8.2240170000000001E-2</v>
      </c>
      <c r="AA4601">
        <v>0.99226780000000003</v>
      </c>
      <c r="AB4601">
        <v>27</v>
      </c>
      <c r="AC4601">
        <v>1.87060000000002</v>
      </c>
      <c r="AD4601">
        <v>-1.109557253992</v>
      </c>
      <c r="AE4601">
        <v>-13.0527099999999</v>
      </c>
      <c r="AF4601">
        <v>-1.2488055193019001</v>
      </c>
      <c r="AG4601">
        <v>-1.109557253992</v>
      </c>
      <c r="AH4601">
        <v>13.033669446203801</v>
      </c>
      <c r="AI4601">
        <v>94.843785503073207</v>
      </c>
      <c r="AJ4601">
        <v>95.473019736210006</v>
      </c>
      <c r="AK4601">
        <v>13.1402881154802</v>
      </c>
      <c r="AL4601">
        <v>90.814917872133506</v>
      </c>
      <c r="AM4601">
        <v>92.214747471726398</v>
      </c>
      <c r="AN4601">
        <v>0.99999996697898397</v>
      </c>
    </row>
    <row r="4602" spans="1:40" x14ac:dyDescent="0.3">
      <c r="A4602" t="str">
        <f>"20200111160553751"</f>
        <v>20200111160553751</v>
      </c>
      <c r="B4602" t="str">
        <f>"1578729953746659"</f>
        <v>1578729953746659</v>
      </c>
      <c r="C4602" t="s">
        <v>40</v>
      </c>
      <c r="D4602">
        <v>5.370088</v>
      </c>
      <c r="E4602">
        <v>0.48273749999999999</v>
      </c>
      <c r="F4602" t="s">
        <v>41</v>
      </c>
      <c r="G4602">
        <v>-421.0505</v>
      </c>
      <c r="H4602" s="1">
        <v>-3.788062E-6</v>
      </c>
      <c r="I4602">
        <v>77.767589999999998</v>
      </c>
      <c r="J4602">
        <v>-423.00119999999998</v>
      </c>
      <c r="K4602">
        <v>1.109548</v>
      </c>
      <c r="L4602">
        <v>91.670559999999995</v>
      </c>
      <c r="M4602">
        <v>4.6802040000000003E-2</v>
      </c>
      <c r="N4602">
        <v>0</v>
      </c>
      <c r="O4602">
        <v>-0.99888169999999998</v>
      </c>
      <c r="P4602">
        <v>8.5165569999999996E-2</v>
      </c>
      <c r="Q4602">
        <v>-2.0636450000000001E-2</v>
      </c>
      <c r="R4602">
        <v>-0.99615319999999996</v>
      </c>
      <c r="S4602">
        <v>0.41156009999999998</v>
      </c>
      <c r="T4602">
        <v>-0.2325739</v>
      </c>
      <c r="U4602">
        <v>-2.971527</v>
      </c>
      <c r="V4602">
        <v>-3.844972E-2</v>
      </c>
      <c r="W4602">
        <v>-1.394603E-2</v>
      </c>
      <c r="X4602">
        <v>0.99916320000000003</v>
      </c>
      <c r="Y4602">
        <v>-9.0269279999999993E-2</v>
      </c>
      <c r="Z4602">
        <v>7.7374910000000005E-2</v>
      </c>
      <c r="AA4602">
        <v>0.99290719999999999</v>
      </c>
      <c r="AB4602">
        <v>27</v>
      </c>
      <c r="AC4602">
        <v>1.9506999999999799</v>
      </c>
      <c r="AD4602">
        <v>-1.1095517880620001</v>
      </c>
      <c r="AE4602">
        <v>-13.9029699999999</v>
      </c>
      <c r="AF4602">
        <v>-1.2898039964091601</v>
      </c>
      <c r="AG4602">
        <v>-1.1095517880620001</v>
      </c>
      <c r="AH4602">
        <v>13.8922596808174</v>
      </c>
      <c r="AI4602">
        <v>94.546953333988498</v>
      </c>
      <c r="AJ4602">
        <v>95.304326368941005</v>
      </c>
      <c r="AK4602">
        <v>13.996055821509501</v>
      </c>
      <c r="AL4602">
        <v>90.799074574431899</v>
      </c>
      <c r="AM4602">
        <v>92.203764307718899</v>
      </c>
      <c r="AN4602">
        <v>0.99999998647753896</v>
      </c>
    </row>
    <row r="4603" spans="1:40" x14ac:dyDescent="0.3">
      <c r="A4603" t="str">
        <f>"20200111160553774"</f>
        <v>20200111160553774</v>
      </c>
      <c r="B4603" t="str">
        <f>"1578729953766684"</f>
        <v>1578729953766684</v>
      </c>
      <c r="C4603" t="s">
        <v>40</v>
      </c>
      <c r="D4603">
        <v>6.333272</v>
      </c>
      <c r="E4603">
        <v>0.48344310000000001</v>
      </c>
      <c r="F4603" t="s">
        <v>41</v>
      </c>
      <c r="G4603">
        <v>-421.09879999999998</v>
      </c>
      <c r="H4603" s="1">
        <v>-3.6674240000000001E-6</v>
      </c>
      <c r="I4603">
        <v>77.456419999999994</v>
      </c>
      <c r="J4603">
        <v>-422.98770000000002</v>
      </c>
      <c r="K4603">
        <v>1.109551</v>
      </c>
      <c r="L4603">
        <v>91.382840000000002</v>
      </c>
      <c r="M4603">
        <v>4.680219E-2</v>
      </c>
      <c r="N4603">
        <v>0</v>
      </c>
      <c r="O4603">
        <v>-0.99888149999999998</v>
      </c>
      <c r="P4603">
        <v>8.5591239999999999E-2</v>
      </c>
      <c r="Q4603">
        <v>-2.1180000000000001E-2</v>
      </c>
      <c r="R4603">
        <v>-0.99610580000000004</v>
      </c>
      <c r="S4603">
        <v>0.39785769999999998</v>
      </c>
      <c r="T4603">
        <v>-0.23205410000000001</v>
      </c>
      <c r="U4603">
        <v>-2.9727779999999999</v>
      </c>
      <c r="V4603">
        <v>-3.8876840000000003E-2</v>
      </c>
      <c r="W4603">
        <v>-1.4395399999999999E-2</v>
      </c>
      <c r="X4603">
        <v>0.99914029999999998</v>
      </c>
      <c r="Y4603">
        <v>-8.5719729999999994E-2</v>
      </c>
      <c r="Z4603">
        <v>7.7210280000000006E-2</v>
      </c>
      <c r="AA4603">
        <v>0.99332310000000001</v>
      </c>
      <c r="AB4603">
        <v>27</v>
      </c>
      <c r="AC4603">
        <v>1.88890000000003</v>
      </c>
      <c r="AD4603">
        <v>-1.109554667424</v>
      </c>
      <c r="AE4603">
        <v>-13.92642</v>
      </c>
      <c r="AF4603">
        <v>-1.2273779633667901</v>
      </c>
      <c r="AG4603">
        <v>-1.109554667424</v>
      </c>
      <c r="AH4603">
        <v>13.9128454453461</v>
      </c>
      <c r="AI4603">
        <v>94.542143236729004</v>
      </c>
      <c r="AJ4603">
        <v>95.0415273562528</v>
      </c>
      <c r="AK4603">
        <v>14.010882791996</v>
      </c>
      <c r="AL4603">
        <v>90.824824163970604</v>
      </c>
      <c r="AM4603">
        <v>92.228271375465397</v>
      </c>
      <c r="AN4603">
        <v>0.99999998765681697</v>
      </c>
    </row>
    <row r="4604" spans="1:40" x14ac:dyDescent="0.3">
      <c r="A4604" t="str">
        <f>"20200111160553794"</f>
        <v>20200111160553794</v>
      </c>
      <c r="B4604" t="str">
        <f>"1578729953786204"</f>
        <v>1578729953786204</v>
      </c>
      <c r="C4604" t="s">
        <v>40</v>
      </c>
      <c r="D4604">
        <v>5.3612070000000003</v>
      </c>
      <c r="E4604">
        <v>0.48436089999999998</v>
      </c>
      <c r="F4604" t="s">
        <v>41</v>
      </c>
      <c r="G4604">
        <v>-421.08280000000002</v>
      </c>
      <c r="H4604" s="1">
        <v>-3.4730809999999999E-6</v>
      </c>
      <c r="I4604">
        <v>77.013390000000001</v>
      </c>
      <c r="J4604">
        <v>-422.97559999999999</v>
      </c>
      <c r="K4604">
        <v>1.109556</v>
      </c>
      <c r="L4604">
        <v>91.125429999999994</v>
      </c>
      <c r="M4604">
        <v>4.6802490000000002E-2</v>
      </c>
      <c r="N4604">
        <v>0</v>
      </c>
      <c r="O4604">
        <v>-0.99888049999999995</v>
      </c>
      <c r="P4604">
        <v>8.6399669999999998E-2</v>
      </c>
      <c r="Q4604">
        <v>-2.1725789999999998E-2</v>
      </c>
      <c r="R4604">
        <v>-0.99602389999999996</v>
      </c>
      <c r="S4604">
        <v>0.3941345</v>
      </c>
      <c r="T4604">
        <v>-0.22956309999999999</v>
      </c>
      <c r="U4604">
        <v>-2.9729920000000001</v>
      </c>
      <c r="V4604">
        <v>-3.9688380000000002E-2</v>
      </c>
      <c r="W4604">
        <v>-1.486356E-2</v>
      </c>
      <c r="X4604">
        <v>0.99910160000000003</v>
      </c>
      <c r="Y4604">
        <v>-8.449595E-2</v>
      </c>
      <c r="Z4604">
        <v>7.6391199999999895E-2</v>
      </c>
      <c r="AA4604">
        <v>0.99349120000000002</v>
      </c>
      <c r="AB4604">
        <v>27</v>
      </c>
      <c r="AC4604">
        <v>1.8927999999999601</v>
      </c>
      <c r="AD4604">
        <v>-1.1095594730809999</v>
      </c>
      <c r="AE4604">
        <v>-14.11204</v>
      </c>
      <c r="AF4604">
        <v>-1.22280580966958</v>
      </c>
      <c r="AG4604">
        <v>-1.1095594730809999</v>
      </c>
      <c r="AH4604">
        <v>14.0995430630669</v>
      </c>
      <c r="AI4604">
        <v>94.482843347569101</v>
      </c>
      <c r="AJ4604">
        <v>94.956667312628198</v>
      </c>
      <c r="AK4604">
        <v>14.1958969727081</v>
      </c>
      <c r="AL4604">
        <v>90.851650574442004</v>
      </c>
      <c r="AM4604">
        <v>92.274825391117801</v>
      </c>
      <c r="AN4604">
        <v>1.00000005002272</v>
      </c>
    </row>
    <row r="4605" spans="1:40" x14ac:dyDescent="0.3">
      <c r="A4605" t="str">
        <f>"20200111160553817"</f>
        <v>20200111160553817</v>
      </c>
      <c r="B4605" t="str">
        <f>"1578729953806700"</f>
        <v>1578729953806700</v>
      </c>
      <c r="C4605" t="s">
        <v>40</v>
      </c>
      <c r="D4605">
        <v>5.5552409999999997</v>
      </c>
      <c r="E4605">
        <v>0.48499550000000002</v>
      </c>
      <c r="F4605" t="s">
        <v>41</v>
      </c>
      <c r="G4605">
        <v>-421.12689999999998</v>
      </c>
      <c r="H4605" s="1">
        <v>-3.481645E-6</v>
      </c>
      <c r="I4605">
        <v>77.005960000000002</v>
      </c>
      <c r="J4605">
        <v>-422.96280000000002</v>
      </c>
      <c r="K4605">
        <v>1.109561</v>
      </c>
      <c r="L4605">
        <v>90.850070000000002</v>
      </c>
      <c r="M4605">
        <v>4.6802999999999997E-2</v>
      </c>
      <c r="N4605">
        <v>0</v>
      </c>
      <c r="O4605">
        <v>-0.99887999999999999</v>
      </c>
      <c r="P4605">
        <v>8.6974839999999998E-2</v>
      </c>
      <c r="Q4605">
        <v>-2.162621E-2</v>
      </c>
      <c r="R4605">
        <v>-0.99597599999999997</v>
      </c>
      <c r="S4605">
        <v>0.38928220000000002</v>
      </c>
      <c r="T4605">
        <v>-0.23363809999999999</v>
      </c>
      <c r="U4605">
        <v>-2.9731139999999998</v>
      </c>
      <c r="V4605">
        <v>-4.0264460000000002E-2</v>
      </c>
      <c r="W4605">
        <v>-1.468916E-2</v>
      </c>
      <c r="X4605">
        <v>0.99908110000000006</v>
      </c>
      <c r="Y4605">
        <v>-8.2882579999999997E-2</v>
      </c>
      <c r="Z4605">
        <v>7.7749399999999996E-2</v>
      </c>
      <c r="AA4605">
        <v>0.99352169999999895</v>
      </c>
      <c r="AB4605">
        <v>27</v>
      </c>
      <c r="AC4605">
        <v>1.8359000000000301</v>
      </c>
      <c r="AD4605">
        <v>-1.1095644816449901</v>
      </c>
      <c r="AE4605">
        <v>-13.844110000000001</v>
      </c>
      <c r="AF4605">
        <v>-1.1784872642157</v>
      </c>
      <c r="AG4605">
        <v>-1.1095644816449901</v>
      </c>
      <c r="AH4605">
        <v>13.827578660649699</v>
      </c>
      <c r="AI4605">
        <v>94.571246041532603</v>
      </c>
      <c r="AJ4605">
        <v>94.871392868486097</v>
      </c>
      <c r="AK4605">
        <v>13.9219932907362</v>
      </c>
      <c r="AL4605">
        <v>90.841657124133505</v>
      </c>
      <c r="AM4605">
        <v>92.307856518624106</v>
      </c>
      <c r="AN4605">
        <v>1.0000000212689</v>
      </c>
    </row>
    <row r="4606" spans="1:40" x14ac:dyDescent="0.3">
      <c r="A4606" t="str">
        <f>"20200111160553840"</f>
        <v>20200111160553840</v>
      </c>
      <c r="B4606" t="str">
        <f>"1578729953836956"</f>
        <v>1578729953836956</v>
      </c>
      <c r="C4606" t="s">
        <v>40</v>
      </c>
      <c r="D4606">
        <v>5.4297810000000002</v>
      </c>
      <c r="E4606">
        <v>0.4861548</v>
      </c>
      <c r="F4606" t="s">
        <v>41</v>
      </c>
      <c r="G4606">
        <v>-421.15809999999999</v>
      </c>
      <c r="H4606" s="1">
        <v>-3.4677599999999998E-6</v>
      </c>
      <c r="I4606">
        <v>76.954250000000002</v>
      </c>
      <c r="J4606">
        <v>-422.94970000000001</v>
      </c>
      <c r="K4606">
        <v>1.109567</v>
      </c>
      <c r="L4606">
        <v>90.571560000000005</v>
      </c>
      <c r="M4606">
        <v>4.6803530000000003E-2</v>
      </c>
      <c r="N4606">
        <v>0</v>
      </c>
      <c r="O4606">
        <v>-0.99887959999999998</v>
      </c>
      <c r="P4606">
        <v>8.726486E-2</v>
      </c>
      <c r="Q4606">
        <v>-2.1219809999999999E-2</v>
      </c>
      <c r="R4606">
        <v>-0.99595929999999999</v>
      </c>
      <c r="S4606">
        <v>0.38613890000000001</v>
      </c>
      <c r="T4606">
        <v>-0.23740939999999999</v>
      </c>
      <c r="U4606">
        <v>-2.973236</v>
      </c>
      <c r="V4606">
        <v>-4.0554390000000003E-2</v>
      </c>
      <c r="W4606">
        <v>-1.4215419999999999E-2</v>
      </c>
      <c r="X4606">
        <v>0.99907619999999997</v>
      </c>
      <c r="Y4606">
        <v>-8.1831249999999994E-2</v>
      </c>
      <c r="Z4606">
        <v>7.9002180000000005E-2</v>
      </c>
      <c r="AA4606">
        <v>0.99351009999999995</v>
      </c>
      <c r="AB4606">
        <v>28</v>
      </c>
      <c r="AC4606">
        <v>1.7916000000000101</v>
      </c>
      <c r="AD4606">
        <v>-1.10957046776</v>
      </c>
      <c r="AE4606">
        <v>-13.6173099999999</v>
      </c>
      <c r="AF4606">
        <v>-1.1448112331789799</v>
      </c>
      <c r="AG4606">
        <v>-1.10957046776</v>
      </c>
      <c r="AH4606">
        <v>13.5974987774194</v>
      </c>
      <c r="AI4606">
        <v>94.648686473071194</v>
      </c>
      <c r="AJ4606">
        <v>94.812541305007301</v>
      </c>
      <c r="AK4606">
        <v>13.690643242173101</v>
      </c>
      <c r="AL4606">
        <v>90.814511008081993</v>
      </c>
      <c r="AM4606">
        <v>92.324467794116003</v>
      </c>
      <c r="AN4606">
        <v>0.99999999506024395</v>
      </c>
    </row>
    <row r="4607" spans="1:40" x14ac:dyDescent="0.3">
      <c r="A4607" t="str">
        <f>"20200111160553862"</f>
        <v>20200111160553862</v>
      </c>
      <c r="B4607" t="str">
        <f>"1578729953856490"</f>
        <v>1578729953856490</v>
      </c>
      <c r="C4607" t="s">
        <v>40</v>
      </c>
      <c r="D4607">
        <v>5.4001640000000002</v>
      </c>
      <c r="E4607">
        <v>0.48704750000000002</v>
      </c>
      <c r="F4607" t="s">
        <v>41</v>
      </c>
      <c r="G4607">
        <v>-421.15269999999998</v>
      </c>
      <c r="H4607" s="1">
        <v>-3.2341219999999998E-6</v>
      </c>
      <c r="I4607">
        <v>76.412970000000001</v>
      </c>
      <c r="J4607">
        <v>-422.93650000000002</v>
      </c>
      <c r="K4607">
        <v>1.1095759999999999</v>
      </c>
      <c r="L4607">
        <v>90.290679999999995</v>
      </c>
      <c r="M4607">
        <v>4.6803919999999999E-2</v>
      </c>
      <c r="N4607">
        <v>0</v>
      </c>
      <c r="O4607">
        <v>-0.99887930000000003</v>
      </c>
      <c r="P4607">
        <v>8.7383559999999999E-2</v>
      </c>
      <c r="Q4607">
        <v>-2.0472199999999999E-2</v>
      </c>
      <c r="R4607">
        <v>-0.99596479999999998</v>
      </c>
      <c r="S4607">
        <v>0.37747190000000003</v>
      </c>
      <c r="T4607">
        <v>-0.23307600000000001</v>
      </c>
      <c r="U4607">
        <v>-2.9741520000000001</v>
      </c>
      <c r="V4607">
        <v>-4.067204E-2</v>
      </c>
      <c r="W4607">
        <v>-1.34071E-2</v>
      </c>
      <c r="X4607">
        <v>0.99908260000000004</v>
      </c>
      <c r="Y4607">
        <v>-7.8957349999999996E-2</v>
      </c>
      <c r="Z4607">
        <v>7.7568670000000006E-2</v>
      </c>
      <c r="AA4607">
        <v>0.9938555</v>
      </c>
      <c r="AB4607">
        <v>28</v>
      </c>
      <c r="AC4607">
        <v>1.78380000000004</v>
      </c>
      <c r="AD4607">
        <v>-1.1095792341220001</v>
      </c>
      <c r="AE4607">
        <v>-13.87771</v>
      </c>
      <c r="AF4607">
        <v>-1.1252214757474801</v>
      </c>
      <c r="AG4607">
        <v>-1.1095792341220001</v>
      </c>
      <c r="AH4607">
        <v>13.858836747921099</v>
      </c>
      <c r="AI4607">
        <v>94.562554624478295</v>
      </c>
      <c r="AJ4607">
        <v>94.641755702412397</v>
      </c>
      <c r="AK4607">
        <v>13.9486431401698</v>
      </c>
      <c r="AL4607">
        <v>90.768193257905494</v>
      </c>
      <c r="AM4607">
        <v>92.331188827536707</v>
      </c>
      <c r="AN4607">
        <v>1.0000000033954599</v>
      </c>
    </row>
    <row r="4608" spans="1:40" x14ac:dyDescent="0.3">
      <c r="A4608" t="str">
        <f>"20200111160553884"</f>
        <v>20200111160553884</v>
      </c>
      <c r="B4608" t="str">
        <f>"1578729953876508"</f>
        <v>1578729953876508</v>
      </c>
      <c r="C4608" t="s">
        <v>40</v>
      </c>
      <c r="D4608">
        <v>6.3980639999999998</v>
      </c>
      <c r="E4608">
        <v>0.48767450000000001</v>
      </c>
      <c r="F4608" t="s">
        <v>41</v>
      </c>
      <c r="G4608">
        <v>-421.1454</v>
      </c>
      <c r="H4608" s="1">
        <v>-3.0259219999999999E-6</v>
      </c>
      <c r="I4608">
        <v>75.932190000000006</v>
      </c>
      <c r="J4608">
        <v>-422.92380000000003</v>
      </c>
      <c r="K4608">
        <v>1.1095790000000001</v>
      </c>
      <c r="L4608">
        <v>90.019199999999998</v>
      </c>
      <c r="M4608">
        <v>4.6804249999999999E-2</v>
      </c>
      <c r="N4608">
        <v>0</v>
      </c>
      <c r="O4608">
        <v>-0.99887859999999995</v>
      </c>
      <c r="P4608">
        <v>8.7179069999999997E-2</v>
      </c>
      <c r="Q4608">
        <v>-2.0426099999999999E-2</v>
      </c>
      <c r="R4608">
        <v>-0.99598330000000002</v>
      </c>
      <c r="S4608">
        <v>0.37109379999999997</v>
      </c>
      <c r="T4608">
        <v>-0.2298897</v>
      </c>
      <c r="U4608">
        <v>-2.9748839999999999</v>
      </c>
      <c r="V4608">
        <v>-4.0466759999999997E-2</v>
      </c>
      <c r="W4608">
        <v>-1.330863E-2</v>
      </c>
      <c r="X4608">
        <v>0.99909219999999999</v>
      </c>
      <c r="Y4608">
        <v>-7.6838729999999994E-2</v>
      </c>
      <c r="Z4608">
        <v>7.6512430000000006E-2</v>
      </c>
      <c r="AA4608">
        <v>0.99410339999999997</v>
      </c>
      <c r="AB4608">
        <v>28</v>
      </c>
      <c r="AC4608">
        <v>1.77840000000003</v>
      </c>
      <c r="AD4608">
        <v>-1.1095820259219999</v>
      </c>
      <c r="AE4608">
        <v>-14.0870099999999</v>
      </c>
      <c r="AF4608">
        <v>-1.11032167780753</v>
      </c>
      <c r="AG4608">
        <v>-1.1095820259219999</v>
      </c>
      <c r="AH4608">
        <v>14.068893768007101</v>
      </c>
      <c r="AI4608">
        <v>94.495534269625196</v>
      </c>
      <c r="AJ4608">
        <v>94.512448615832696</v>
      </c>
      <c r="AK4608">
        <v>14.156191520176799</v>
      </c>
      <c r="AL4608">
        <v>90.762550878900399</v>
      </c>
      <c r="AM4608">
        <v>92.319413467099693</v>
      </c>
      <c r="AN4608">
        <v>0.99999995119910601</v>
      </c>
    </row>
    <row r="4609" spans="1:40" x14ac:dyDescent="0.3">
      <c r="A4609" t="str">
        <f>"20200111160553906"</f>
        <v>20200111160553906</v>
      </c>
      <c r="B4609" t="str">
        <f>"1578729953897001"</f>
        <v>1578729953897001</v>
      </c>
      <c r="C4609" t="s">
        <v>40</v>
      </c>
      <c r="D4609">
        <v>5.4378849999999996</v>
      </c>
      <c r="E4609">
        <v>0.48823420000000001</v>
      </c>
      <c r="F4609" t="s">
        <v>41</v>
      </c>
      <c r="G4609">
        <v>-421.12849999999997</v>
      </c>
      <c r="H4609" s="1">
        <v>-2.7897199999999999E-6</v>
      </c>
      <c r="I4609">
        <v>75.392080000000007</v>
      </c>
      <c r="J4609">
        <v>-422.91079999999999</v>
      </c>
      <c r="K4609">
        <v>1.109586</v>
      </c>
      <c r="L4609">
        <v>89.742800000000003</v>
      </c>
      <c r="M4609">
        <v>4.680467E-2</v>
      </c>
      <c r="N4609">
        <v>0</v>
      </c>
      <c r="O4609">
        <v>-0.99887840000000006</v>
      </c>
      <c r="P4609">
        <v>8.6787799999999998E-2</v>
      </c>
      <c r="Q4609">
        <v>-2.0313899999999999E-2</v>
      </c>
      <c r="R4609">
        <v>-0.99601989999999996</v>
      </c>
      <c r="S4609">
        <v>0.36520390000000003</v>
      </c>
      <c r="T4609">
        <v>-0.22571469999999999</v>
      </c>
      <c r="U4609">
        <v>-2.9754939999999999</v>
      </c>
      <c r="V4609">
        <v>-4.00738E-2</v>
      </c>
      <c r="W4609">
        <v>-1.314908E-2</v>
      </c>
      <c r="X4609">
        <v>0.99911019999999995</v>
      </c>
      <c r="Y4609">
        <v>-7.4887770000000006E-2</v>
      </c>
      <c r="Z4609">
        <v>7.5130279999999994E-2</v>
      </c>
      <c r="AA4609">
        <v>0.99435770000000001</v>
      </c>
      <c r="AB4609">
        <v>28</v>
      </c>
      <c r="AC4609">
        <v>1.78230000000002</v>
      </c>
      <c r="AD4609">
        <v>-1.1095887897200001</v>
      </c>
      <c r="AE4609">
        <v>-14.3507199999999</v>
      </c>
      <c r="AF4609">
        <v>-1.10215973862157</v>
      </c>
      <c r="AG4609">
        <v>-1.1095887897200001</v>
      </c>
      <c r="AH4609">
        <v>14.334022584409199</v>
      </c>
      <c r="AI4609">
        <v>94.413431728931499</v>
      </c>
      <c r="AJ4609">
        <v>94.396887858204806</v>
      </c>
      <c r="AK4609">
        <v>14.419089666898699</v>
      </c>
      <c r="AL4609">
        <v>90.753408500242401</v>
      </c>
      <c r="AM4609">
        <v>92.2968732758887</v>
      </c>
      <c r="AN4609">
        <v>0.99999999974766296</v>
      </c>
    </row>
    <row r="4610" spans="1:40" x14ac:dyDescent="0.3">
      <c r="A4610" t="str">
        <f>"20200111160553929"</f>
        <v>20200111160553929</v>
      </c>
      <c r="B4610" t="str">
        <f>"1578729953926282"</f>
        <v>1578729953926282</v>
      </c>
      <c r="C4610" t="s">
        <v>40</v>
      </c>
      <c r="D4610">
        <v>5.4319769999999998</v>
      </c>
      <c r="E4610">
        <v>0.48902469999999998</v>
      </c>
      <c r="F4610" t="s">
        <v>41</v>
      </c>
      <c r="G4610">
        <v>-421.15620000000001</v>
      </c>
      <c r="H4610" s="1">
        <v>-2.719024E-6</v>
      </c>
      <c r="I4610">
        <v>75.210099999999997</v>
      </c>
      <c r="J4610">
        <v>-422.89760000000001</v>
      </c>
      <c r="K4610">
        <v>1.1095889999999999</v>
      </c>
      <c r="L4610">
        <v>89.460939999999994</v>
      </c>
      <c r="M4610">
        <v>4.6805149999999997E-2</v>
      </c>
      <c r="N4610">
        <v>0</v>
      </c>
      <c r="O4610">
        <v>-0.99887809999999999</v>
      </c>
      <c r="P4610">
        <v>8.666546E-2</v>
      </c>
      <c r="Q4610">
        <v>-2.0000960000000002E-2</v>
      </c>
      <c r="R4610">
        <v>-0.99603710000000001</v>
      </c>
      <c r="S4610">
        <v>0.35931400000000002</v>
      </c>
      <c r="T4610">
        <v>-0.2272246</v>
      </c>
      <c r="U4610">
        <v>-2.9760439999999999</v>
      </c>
      <c r="V4610">
        <v>-3.9950119999999999E-2</v>
      </c>
      <c r="W4610">
        <v>-1.27931E-2</v>
      </c>
      <c r="X4610">
        <v>0.9991198</v>
      </c>
      <c r="Y4610">
        <v>-7.2921189999999997E-2</v>
      </c>
      <c r="Z4610">
        <v>7.5630660000000002E-2</v>
      </c>
      <c r="AA4610">
        <v>0.99446590000000001</v>
      </c>
      <c r="AB4610">
        <v>28</v>
      </c>
      <c r="AC4610">
        <v>1.7413999999999901</v>
      </c>
      <c r="AD4610">
        <v>-1.1095917190239999</v>
      </c>
      <c r="AE4610">
        <v>-14.25084</v>
      </c>
      <c r="AF4610">
        <v>-1.0660933957415399</v>
      </c>
      <c r="AG4610">
        <v>-1.1095917190239999</v>
      </c>
      <c r="AH4610">
        <v>14.231720210077</v>
      </c>
      <c r="AI4610">
        <v>94.445704025884496</v>
      </c>
      <c r="AJ4610">
        <v>94.284006440751995</v>
      </c>
      <c r="AK4610">
        <v>14.3146641263176</v>
      </c>
      <c r="AL4610">
        <v>90.733010613901996</v>
      </c>
      <c r="AM4610">
        <v>92.289770001946806</v>
      </c>
      <c r="AN4610">
        <v>1.0000000251238299</v>
      </c>
    </row>
    <row r="4611" spans="1:40" x14ac:dyDescent="0.3">
      <c r="A4611" t="str">
        <f>"20200111160553952"</f>
        <v>20200111160553952</v>
      </c>
      <c r="B4611" t="str">
        <f>"1578729953946777"</f>
        <v>1578729953946777</v>
      </c>
      <c r="C4611" t="s">
        <v>40</v>
      </c>
      <c r="D4611">
        <v>5.4442640000000004</v>
      </c>
      <c r="E4611">
        <v>0.48951040000000001</v>
      </c>
      <c r="F4611" t="s">
        <v>41</v>
      </c>
      <c r="G4611">
        <v>-421.15339999999998</v>
      </c>
      <c r="H4611" s="1">
        <v>-2.5098289999999998E-6</v>
      </c>
      <c r="I4611">
        <v>74.724209999999999</v>
      </c>
      <c r="J4611">
        <v>-422.88409999999999</v>
      </c>
      <c r="K4611">
        <v>1.109594</v>
      </c>
      <c r="L4611">
        <v>89.172609999999906</v>
      </c>
      <c r="M4611">
        <v>4.6805680000000002E-2</v>
      </c>
      <c r="N4611">
        <v>0</v>
      </c>
      <c r="O4611">
        <v>-0.99887789999999999</v>
      </c>
      <c r="P4611">
        <v>8.6261580000000004E-2</v>
      </c>
      <c r="Q4611">
        <v>-2.0112979999999999E-2</v>
      </c>
      <c r="R4611">
        <v>-0.99606980000000001</v>
      </c>
      <c r="S4611">
        <v>0.35232540000000001</v>
      </c>
      <c r="T4611">
        <v>-0.22413420000000001</v>
      </c>
      <c r="U4611">
        <v>-2.9767760000000001</v>
      </c>
      <c r="V4611">
        <v>-3.9544650000000001E-2</v>
      </c>
      <c r="W4611">
        <v>-1.286579E-2</v>
      </c>
      <c r="X4611">
        <v>0.999135</v>
      </c>
      <c r="Y4611">
        <v>-7.0598620000000001E-2</v>
      </c>
      <c r="Z4611">
        <v>7.4606249999999999E-2</v>
      </c>
      <c r="AA4611">
        <v>0.99471089999999995</v>
      </c>
      <c r="AB4611">
        <v>28</v>
      </c>
      <c r="AC4611">
        <v>1.7307000000000099</v>
      </c>
      <c r="AD4611">
        <v>-1.1095965098289999</v>
      </c>
      <c r="AE4611">
        <v>-14.4483999999999</v>
      </c>
      <c r="AF4611">
        <v>-1.04643388409844</v>
      </c>
      <c r="AG4611">
        <v>-1.1095965098289999</v>
      </c>
      <c r="AH4611">
        <v>14.4296730084311</v>
      </c>
      <c r="AI4611">
        <v>94.385739664621099</v>
      </c>
      <c r="AJ4611">
        <v>94.1478050389087</v>
      </c>
      <c r="AK4611">
        <v>14.510054838582001</v>
      </c>
      <c r="AL4611">
        <v>90.737175784642801</v>
      </c>
      <c r="AM4611">
        <v>92.266520112153799</v>
      </c>
      <c r="AN4611">
        <v>1.0000000280604699</v>
      </c>
    </row>
    <row r="4612" spans="1:40" x14ac:dyDescent="0.3">
      <c r="A4612" t="str">
        <f>"20200111160553976"</f>
        <v>20200111160553976</v>
      </c>
      <c r="B4612" t="str">
        <f>"1578729953966297"</f>
        <v>1578729953966297</v>
      </c>
      <c r="C4612" t="s">
        <v>40</v>
      </c>
      <c r="D4612">
        <v>5.432766</v>
      </c>
      <c r="E4612">
        <v>0.49001099999999997</v>
      </c>
      <c r="F4612" t="s">
        <v>41</v>
      </c>
      <c r="G4612">
        <v>-421.19589999999999</v>
      </c>
      <c r="H4612" s="1">
        <v>-2.5182829999999998E-6</v>
      </c>
      <c r="I4612">
        <v>74.71754</v>
      </c>
      <c r="J4612">
        <v>-422.87029999999999</v>
      </c>
      <c r="K4612">
        <v>1.10959599999999</v>
      </c>
      <c r="L4612">
        <v>88.878509999999906</v>
      </c>
      <c r="M4612">
        <v>4.6806210000000001E-2</v>
      </c>
      <c r="N4612">
        <v>0</v>
      </c>
      <c r="O4612">
        <v>-0.99887740000000003</v>
      </c>
      <c r="P4612">
        <v>8.6119650000000006E-2</v>
      </c>
      <c r="Q4612">
        <v>-1.9990580000000001E-2</v>
      </c>
      <c r="R4612">
        <v>-0.99608430000000003</v>
      </c>
      <c r="S4612">
        <v>0.34768680000000002</v>
      </c>
      <c r="T4612">
        <v>-0.22852829999999999</v>
      </c>
      <c r="U4612">
        <v>-2.977112</v>
      </c>
      <c r="V4612">
        <v>-3.9401319999999997E-2</v>
      </c>
      <c r="W4612">
        <v>-1.2707599999999999E-2</v>
      </c>
      <c r="X4612">
        <v>0.99914259999999999</v>
      </c>
      <c r="Y4612">
        <v>-6.9043359999999998E-2</v>
      </c>
      <c r="Z4612">
        <v>7.6062989999999997E-2</v>
      </c>
      <c r="AA4612">
        <v>0.99470970000000003</v>
      </c>
      <c r="AB4612">
        <v>28</v>
      </c>
      <c r="AC4612">
        <v>1.6743999999999899</v>
      </c>
      <c r="AD4612">
        <v>-1.1095985182829899</v>
      </c>
      <c r="AE4612">
        <v>-14.160969999999899</v>
      </c>
      <c r="AF4612">
        <v>-1.00364868223518</v>
      </c>
      <c r="AG4612">
        <v>-1.1095985182829899</v>
      </c>
      <c r="AH4612">
        <v>14.138215731841401</v>
      </c>
      <c r="AI4612">
        <v>94.476282729369899</v>
      </c>
      <c r="AJ4612">
        <v>94.060521505615</v>
      </c>
      <c r="AK4612">
        <v>14.2171608849733</v>
      </c>
      <c r="AL4612">
        <v>90.728111487788794</v>
      </c>
      <c r="AM4612">
        <v>92.258296447098203</v>
      </c>
      <c r="AN4612">
        <v>0.99999994112512902</v>
      </c>
    </row>
    <row r="4613" spans="1:40" x14ac:dyDescent="0.3">
      <c r="A4613" t="str">
        <f>"20200111160554009"</f>
        <v>20200111160554009</v>
      </c>
      <c r="B4613" t="str">
        <f>"1578729953996554"</f>
        <v>1578729953996554</v>
      </c>
      <c r="C4613" t="s">
        <v>40</v>
      </c>
      <c r="D4613">
        <v>5.4717859999999998</v>
      </c>
      <c r="E4613">
        <v>0.49058829999999998</v>
      </c>
      <c r="F4613" t="s">
        <v>41</v>
      </c>
      <c r="G4613">
        <v>-421.22669999999999</v>
      </c>
      <c r="H4613" s="1">
        <v>-2.4913810000000001E-6</v>
      </c>
      <c r="I4613">
        <v>74.635729999999995</v>
      </c>
      <c r="J4613">
        <v>-422.85109999999997</v>
      </c>
      <c r="K4613">
        <v>1.1096010000000001</v>
      </c>
      <c r="L4613">
        <v>88.468170000000001</v>
      </c>
      <c r="M4613">
        <v>4.6806939999999998E-2</v>
      </c>
      <c r="N4613">
        <v>0</v>
      </c>
      <c r="O4613">
        <v>-0.99887740000000003</v>
      </c>
      <c r="P4613">
        <v>8.6625809999999998E-2</v>
      </c>
      <c r="Q4613">
        <v>-2.0071579999999999E-2</v>
      </c>
      <c r="R4613">
        <v>-0.99603929999999996</v>
      </c>
      <c r="S4613">
        <v>0.3435974</v>
      </c>
      <c r="T4613">
        <v>-0.23196120000000001</v>
      </c>
      <c r="U4613">
        <v>-2.9774479999999999</v>
      </c>
      <c r="V4613">
        <v>-3.9908689999999997E-2</v>
      </c>
      <c r="W4613">
        <v>-1.2745100000000001E-2</v>
      </c>
      <c r="X4613">
        <v>0.99912199999999995</v>
      </c>
      <c r="Y4613">
        <v>-6.7671599999999998E-2</v>
      </c>
      <c r="Z4613">
        <v>7.7199909999999997E-2</v>
      </c>
      <c r="AA4613">
        <v>0.99471639999999995</v>
      </c>
      <c r="AB4613">
        <v>28</v>
      </c>
      <c r="AC4613">
        <v>1.6243999999999801</v>
      </c>
      <c r="AD4613">
        <v>-1.109603491381</v>
      </c>
      <c r="AE4613">
        <v>-13.832439999999901</v>
      </c>
      <c r="AF4613">
        <v>-0.96899759752132897</v>
      </c>
      <c r="AG4613">
        <v>-1.109603491381</v>
      </c>
      <c r="AH4613">
        <v>13.8056844634286</v>
      </c>
      <c r="AI4613">
        <v>94.583923799038502</v>
      </c>
      <c r="AJ4613">
        <v>94.014909296207307</v>
      </c>
      <c r="AK4613">
        <v>13.8840591959211</v>
      </c>
      <c r="AL4613">
        <v>90.730260242799801</v>
      </c>
      <c r="AM4613">
        <v>92.287392903815004</v>
      </c>
      <c r="AN4613">
        <v>0.99999995599776204</v>
      </c>
    </row>
    <row r="4614" spans="1:40" x14ac:dyDescent="0.3">
      <c r="A4614" t="str">
        <f>"20200111160554030"</f>
        <v>20200111160554030</v>
      </c>
      <c r="B4614" t="str">
        <f>"1578729954026810"</f>
        <v>1578729954026810</v>
      </c>
      <c r="C4614" t="s">
        <v>40</v>
      </c>
      <c r="D4614">
        <v>5.7582990000000001</v>
      </c>
      <c r="E4614">
        <v>0.49124020000000002</v>
      </c>
      <c r="F4614" t="s">
        <v>41</v>
      </c>
      <c r="G4614">
        <v>-421.26029999999997</v>
      </c>
      <c r="H4614" s="1">
        <v>-2.4654120000000001E-6</v>
      </c>
      <c r="I4614">
        <v>74.554369999999906</v>
      </c>
      <c r="J4614">
        <v>-422.8381</v>
      </c>
      <c r="K4614">
        <v>1.1096010000000001</v>
      </c>
      <c r="L4614">
        <v>88.191800000000001</v>
      </c>
      <c r="M4614">
        <v>4.680749E-2</v>
      </c>
      <c r="N4614">
        <v>0</v>
      </c>
      <c r="O4614">
        <v>-0.99887689999999996</v>
      </c>
      <c r="P4614">
        <v>8.6838310000000002E-2</v>
      </c>
      <c r="Q4614">
        <v>-2.0194139999999999E-2</v>
      </c>
      <c r="R4614">
        <v>-0.99601790000000001</v>
      </c>
      <c r="S4614">
        <v>0.34042359999999999</v>
      </c>
      <c r="T4614">
        <v>-0.2374539</v>
      </c>
      <c r="U4614">
        <v>-2.9775390000000002</v>
      </c>
      <c r="V4614">
        <v>-4.01216E-2</v>
      </c>
      <c r="W4614">
        <v>-1.2841989999999999E-2</v>
      </c>
      <c r="X4614">
        <v>0.99911220000000001</v>
      </c>
      <c r="Y4614">
        <v>-6.6604819999999995E-2</v>
      </c>
      <c r="Z4614">
        <v>7.9021859999999999E-2</v>
      </c>
      <c r="AA4614">
        <v>0.99464540000000001</v>
      </c>
      <c r="AB4614">
        <v>28</v>
      </c>
      <c r="AC4614">
        <v>1.5778000000000201</v>
      </c>
      <c r="AD4614">
        <v>-1.1096034654119999</v>
      </c>
      <c r="AE4614">
        <v>-13.63743</v>
      </c>
      <c r="AF4614">
        <v>-0.93163329801753403</v>
      </c>
      <c r="AG4614">
        <v>-1.1096034654119999</v>
      </c>
      <c r="AH4614">
        <v>13.6074424785874</v>
      </c>
      <c r="AI4614">
        <v>94.650964969728506</v>
      </c>
      <c r="AJ4614">
        <v>93.916642423802898</v>
      </c>
      <c r="AK4614">
        <v>13.6843579045746</v>
      </c>
      <c r="AL4614">
        <v>90.735812109152704</v>
      </c>
      <c r="AM4614">
        <v>92.299605446794899</v>
      </c>
      <c r="AN4614">
        <v>0.99999992384127701</v>
      </c>
    </row>
    <row r="4615" spans="1:40" x14ac:dyDescent="0.3">
      <c r="A4615" t="str">
        <f>"20200111160554499"</f>
        <v>20200111160554499</v>
      </c>
      <c r="B4615" t="str">
        <f>"1578729954496265"</f>
        <v>1578729954496265</v>
      </c>
      <c r="C4615" t="s">
        <v>40</v>
      </c>
      <c r="D4615">
        <v>5.6482080000000003</v>
      </c>
      <c r="E4615">
        <v>0.49110769999999998</v>
      </c>
      <c r="F4615" t="s">
        <v>41</v>
      </c>
      <c r="G4615">
        <v>-421.28280000000001</v>
      </c>
      <c r="H4615" s="1">
        <v>-2.405498E-6</v>
      </c>
      <c r="I4615">
        <v>74.400769999999994</v>
      </c>
      <c r="J4615">
        <v>-422.55419999999998</v>
      </c>
      <c r="K4615">
        <v>1.1103080000000001</v>
      </c>
      <c r="L4615">
        <v>82.137180000000001</v>
      </c>
      <c r="M4615">
        <v>4.6811699999999998E-2</v>
      </c>
      <c r="N4615">
        <v>0</v>
      </c>
      <c r="O4615">
        <v>-0.99883100000000002</v>
      </c>
      <c r="P4615">
        <v>9.3456189999999995E-2</v>
      </c>
      <c r="Q4615">
        <v>-2.0799459999999999E-2</v>
      </c>
      <c r="R4615">
        <v>-0.99540600000000001</v>
      </c>
      <c r="S4615">
        <v>0.33584589999999998</v>
      </c>
      <c r="T4615">
        <v>-0.2395949</v>
      </c>
      <c r="U4615">
        <v>-2.977875</v>
      </c>
      <c r="V4615">
        <v>-4.6754419999999998E-2</v>
      </c>
      <c r="W4615">
        <v>-8.7492750000000008E-3</v>
      </c>
      <c r="X4615">
        <v>0.99886810000000004</v>
      </c>
      <c r="Y4615">
        <v>-6.5069849999999999E-2</v>
      </c>
      <c r="Z4615">
        <v>7.9731769999999993E-2</v>
      </c>
      <c r="AA4615">
        <v>0.99469030000000003</v>
      </c>
      <c r="AB4615">
        <v>29</v>
      </c>
      <c r="AC4615">
        <v>1.2713999999999701</v>
      </c>
      <c r="AD4615">
        <v>-1.110310405498</v>
      </c>
      <c r="AE4615">
        <v>-7.7364100000000002</v>
      </c>
      <c r="AF4615">
        <v>-0.88997615559209398</v>
      </c>
      <c r="AG4615">
        <v>-1.110310405498</v>
      </c>
      <c r="AH4615">
        <v>7.6343368984687796</v>
      </c>
      <c r="AI4615">
        <v>98.219976924422895</v>
      </c>
      <c r="AJ4615">
        <v>96.649268074218199</v>
      </c>
      <c r="AK4615">
        <v>7.7658191218571098</v>
      </c>
      <c r="AL4615">
        <v>90.501302925507702</v>
      </c>
      <c r="AM4615">
        <v>92.679910518519506</v>
      </c>
      <c r="AN4615">
        <v>1.00000000340008</v>
      </c>
    </row>
    <row r="4616" spans="1:40" x14ac:dyDescent="0.3">
      <c r="A4616" t="str">
        <f>"20200111160554545"</f>
        <v>20200111160554545</v>
      </c>
      <c r="B4616" t="str">
        <f>"1578729954536281"</f>
        <v>1578729954536281</v>
      </c>
      <c r="C4616" t="s">
        <v>40</v>
      </c>
      <c r="D4616">
        <v>5.5393080000000001</v>
      </c>
      <c r="E4616">
        <v>0.49076130000000001</v>
      </c>
      <c r="F4616" t="s">
        <v>41</v>
      </c>
      <c r="G4616">
        <v>-420.91739999999999</v>
      </c>
      <c r="H4616" s="1">
        <v>-4.056744E-6</v>
      </c>
      <c r="I4616">
        <v>68.476489999999998</v>
      </c>
      <c r="J4616">
        <v>-422.52659999999997</v>
      </c>
      <c r="K4616">
        <v>1.110331</v>
      </c>
      <c r="L4616">
        <v>81.548100000000005</v>
      </c>
      <c r="M4616">
        <v>4.6811569999999997E-2</v>
      </c>
      <c r="N4616">
        <v>0</v>
      </c>
      <c r="O4616">
        <v>-0.99882479999999996</v>
      </c>
      <c r="P4616">
        <v>9.5061919999999994E-2</v>
      </c>
      <c r="Q4616">
        <v>-1.9735249999999999E-2</v>
      </c>
      <c r="R4616">
        <v>-0.99527619999999895</v>
      </c>
      <c r="S4616">
        <v>0.3565063</v>
      </c>
      <c r="T4616">
        <v>-0.24182960000000001</v>
      </c>
      <c r="U4616">
        <v>-2.9753419999999999</v>
      </c>
      <c r="V4616">
        <v>-4.8363900000000001E-2</v>
      </c>
      <c r="W4616">
        <v>-7.1593330000000004E-3</v>
      </c>
      <c r="X4616">
        <v>0.99880420000000003</v>
      </c>
      <c r="Y4616">
        <v>-7.1969909999999998E-2</v>
      </c>
      <c r="Z4616">
        <v>8.0487180000000005E-2</v>
      </c>
      <c r="AA4616">
        <v>0.99415399999999998</v>
      </c>
      <c r="AB4616">
        <v>29</v>
      </c>
      <c r="AC4616">
        <v>1.60919999999998</v>
      </c>
      <c r="AD4616">
        <v>-1.110335056744</v>
      </c>
      <c r="AE4616">
        <v>-13.07161</v>
      </c>
      <c r="AF4616">
        <v>-0.98845929208877503</v>
      </c>
      <c r="AG4616">
        <v>-1.110335056744</v>
      </c>
      <c r="AH4616">
        <v>13.0399314957525</v>
      </c>
      <c r="AI4616">
        <v>94.853073446122593</v>
      </c>
      <c r="AJ4616">
        <v>94.334872752837995</v>
      </c>
      <c r="AK4616">
        <v>13.1243936669192</v>
      </c>
      <c r="AL4616">
        <v>90.410203037968998</v>
      </c>
      <c r="AM4616">
        <v>92.772199657365206</v>
      </c>
      <c r="AN4616">
        <v>1.0000000764049199</v>
      </c>
    </row>
    <row r="4617" spans="1:40" x14ac:dyDescent="0.3">
      <c r="A4617" t="str">
        <f>"20200111160554565"</f>
        <v>20200111160554565</v>
      </c>
      <c r="B4617" t="str">
        <f>"1578729954556777"</f>
        <v>1578729954556777</v>
      </c>
      <c r="C4617" t="s">
        <v>40</v>
      </c>
      <c r="D4617">
        <v>5.8099119999999997</v>
      </c>
      <c r="E4617">
        <v>0.49017309999999997</v>
      </c>
      <c r="F4617" t="s">
        <v>41</v>
      </c>
      <c r="G4617">
        <v>-420.8272</v>
      </c>
      <c r="H4617" s="1">
        <v>-3.6786499999999999E-6</v>
      </c>
      <c r="I4617">
        <v>67.651060000000001</v>
      </c>
      <c r="J4617">
        <v>-422.51389999999998</v>
      </c>
      <c r="K4617">
        <v>1.1103479999999999</v>
      </c>
      <c r="L4617">
        <v>81.276820000000001</v>
      </c>
      <c r="M4617">
        <v>4.6811539999999999E-2</v>
      </c>
      <c r="N4617">
        <v>0</v>
      </c>
      <c r="O4617">
        <v>-0.99882190000000004</v>
      </c>
      <c r="P4617">
        <v>9.5388899999999902E-2</v>
      </c>
      <c r="Q4617">
        <v>-1.9537470000000001E-2</v>
      </c>
      <c r="R4617">
        <v>-0.99524829999999997</v>
      </c>
      <c r="S4617">
        <v>0.36376950000000002</v>
      </c>
      <c r="T4617">
        <v>-0.23767769999999999</v>
      </c>
      <c r="U4617">
        <v>-2.9747919999999999</v>
      </c>
      <c r="V4617">
        <v>-4.8691699999999997E-2</v>
      </c>
      <c r="W4617">
        <v>-6.7650139999999997E-3</v>
      </c>
      <c r="X4617">
        <v>0.99879090000000004</v>
      </c>
      <c r="Y4617">
        <v>-7.439693E-2</v>
      </c>
      <c r="Z4617">
        <v>7.9109940000000004E-2</v>
      </c>
      <c r="AA4617">
        <v>0.99408580000000002</v>
      </c>
      <c r="AB4617">
        <v>29</v>
      </c>
      <c r="AC4617">
        <v>1.6866999999999699</v>
      </c>
      <c r="AD4617">
        <v>-1.1103516786499901</v>
      </c>
      <c r="AE4617">
        <v>-13.62576</v>
      </c>
      <c r="AF4617">
        <v>-1.04015280373284</v>
      </c>
      <c r="AG4617">
        <v>-1.1103516786499901</v>
      </c>
      <c r="AH4617">
        <v>13.600830628100599</v>
      </c>
      <c r="AI4617">
        <v>94.653662998150395</v>
      </c>
      <c r="AJ4617">
        <v>94.373305218486806</v>
      </c>
      <c r="AK4617">
        <v>13.6856637573658</v>
      </c>
      <c r="AL4617">
        <v>90.387609724744195</v>
      </c>
      <c r="AM4617">
        <v>92.790996521440206</v>
      </c>
      <c r="AN4617">
        <v>0.99999995449305901</v>
      </c>
    </row>
    <row r="4618" spans="1:40" x14ac:dyDescent="0.3">
      <c r="A4618" t="str">
        <f>"20200111160554588"</f>
        <v>20200111160554588</v>
      </c>
      <c r="B4618" t="str">
        <f>"1578729954576297"</f>
        <v>1578729954576297</v>
      </c>
      <c r="C4618" t="s">
        <v>40</v>
      </c>
      <c r="D4618">
        <v>6.0115689999999997</v>
      </c>
      <c r="E4618">
        <v>0.48989179999999999</v>
      </c>
      <c r="F4618" t="s">
        <v>41</v>
      </c>
      <c r="G4618">
        <v>-420.77870000000001</v>
      </c>
      <c r="H4618" s="1">
        <v>-3.524313E-6</v>
      </c>
      <c r="I4618">
        <v>67.321399999999997</v>
      </c>
      <c r="J4618">
        <v>-422.50049999999999</v>
      </c>
      <c r="K4618">
        <v>1.110358</v>
      </c>
      <c r="L4618">
        <v>80.990259999999907</v>
      </c>
      <c r="M4618">
        <v>4.6811560000000002E-2</v>
      </c>
      <c r="N4618">
        <v>0</v>
      </c>
      <c r="O4618">
        <v>-0.99881980000000004</v>
      </c>
      <c r="P4618">
        <v>9.6028920000000004E-2</v>
      </c>
      <c r="Q4618">
        <v>-1.936746E-2</v>
      </c>
      <c r="R4618">
        <v>-0.99519049999999998</v>
      </c>
      <c r="S4618">
        <v>0.36981199999999997</v>
      </c>
      <c r="T4618">
        <v>-0.2366432</v>
      </c>
      <c r="U4618">
        <v>-2.974243</v>
      </c>
      <c r="V4618">
        <v>-4.9333799999999997E-2</v>
      </c>
      <c r="W4618">
        <v>-6.4139560000000002E-3</v>
      </c>
      <c r="X4618">
        <v>0.99876180000000003</v>
      </c>
      <c r="Y4618">
        <v>-7.6411469999999995E-2</v>
      </c>
      <c r="Z4618">
        <v>7.8766409999999995E-2</v>
      </c>
      <c r="AA4618">
        <v>0.99396030000000002</v>
      </c>
      <c r="AB4618">
        <v>29</v>
      </c>
      <c r="AC4618">
        <v>1.72179999999997</v>
      </c>
      <c r="AD4618">
        <v>-1.1103615243130001</v>
      </c>
      <c r="AE4618">
        <v>-13.668859999999899</v>
      </c>
      <c r="AF4618">
        <v>-1.0730277377764801</v>
      </c>
      <c r="AG4618">
        <v>-1.1103615243130001</v>
      </c>
      <c r="AH4618">
        <v>13.645840184672</v>
      </c>
      <c r="AI4618">
        <v>94.637653507365499</v>
      </c>
      <c r="AJ4618">
        <v>94.496147635595193</v>
      </c>
      <c r="AK4618">
        <v>13.732925601863601</v>
      </c>
      <c r="AL4618">
        <v>90.367495110929994</v>
      </c>
      <c r="AM4618">
        <v>92.827824445856606</v>
      </c>
      <c r="AN4618">
        <v>1.00000004789662</v>
      </c>
    </row>
    <row r="4619" spans="1:40" x14ac:dyDescent="0.3">
      <c r="A4619" t="str">
        <f>"20200111160554610"</f>
        <v>20200111160554610</v>
      </c>
      <c r="B4619" t="str">
        <f>"1578729954606554"</f>
        <v>1578729954606554</v>
      </c>
      <c r="C4619" t="s">
        <v>40</v>
      </c>
      <c r="D4619">
        <v>5.7476070000000004</v>
      </c>
      <c r="E4619">
        <v>0.4890813</v>
      </c>
      <c r="F4619" t="s">
        <v>41</v>
      </c>
      <c r="G4619">
        <v>-420.74689999999998</v>
      </c>
      <c r="H4619" s="1">
        <v>-3.3953189999999998E-6</v>
      </c>
      <c r="I4619">
        <v>67.040459999999996</v>
      </c>
      <c r="J4619">
        <v>-422.48719999999997</v>
      </c>
      <c r="K4619">
        <v>1.110365</v>
      </c>
      <c r="L4619">
        <v>80.706789999999998</v>
      </c>
      <c r="M4619">
        <v>4.6811730000000003E-2</v>
      </c>
      <c r="N4619">
        <v>0</v>
      </c>
      <c r="O4619">
        <v>-0.99881759999999997</v>
      </c>
      <c r="P4619">
        <v>9.6042249999999996E-2</v>
      </c>
      <c r="Q4619">
        <v>-1.9830509999999999E-2</v>
      </c>
      <c r="R4619">
        <v>-0.99517999999999995</v>
      </c>
      <c r="S4619">
        <v>0.37384030000000001</v>
      </c>
      <c r="T4619">
        <v>-0.23670669999999999</v>
      </c>
      <c r="U4619">
        <v>-2.9738159999999998</v>
      </c>
      <c r="V4619">
        <v>-4.9347040000000002E-2</v>
      </c>
      <c r="W4619">
        <v>-6.7208769999999897E-3</v>
      </c>
      <c r="X4619">
        <v>0.99875910000000001</v>
      </c>
      <c r="Y4619">
        <v>-7.7754089999999998E-2</v>
      </c>
      <c r="Z4619">
        <v>7.8787899999999994E-2</v>
      </c>
      <c r="AA4619">
        <v>0.99385449999999997</v>
      </c>
      <c r="AB4619">
        <v>29</v>
      </c>
      <c r="AC4619">
        <v>1.74029999999999</v>
      </c>
      <c r="AD4619">
        <v>-1.110368395319</v>
      </c>
      <c r="AE4619">
        <v>-13.66633</v>
      </c>
      <c r="AF4619">
        <v>-1.0915018685797999</v>
      </c>
      <c r="AG4619">
        <v>-1.110368395319</v>
      </c>
      <c r="AH4619">
        <v>13.644186603359399</v>
      </c>
      <c r="AI4619">
        <v>94.637745399912106</v>
      </c>
      <c r="AJ4619">
        <v>94.5737833157784</v>
      </c>
      <c r="AK4619">
        <v>13.7327390701829</v>
      </c>
      <c r="AL4619">
        <v>90.385080778017795</v>
      </c>
      <c r="AM4619">
        <v>92.828589767528598</v>
      </c>
      <c r="AN4619">
        <v>1.0000000201886099</v>
      </c>
    </row>
    <row r="4620" spans="1:40" x14ac:dyDescent="0.3">
      <c r="A4620" t="str">
        <f>"20200111160554633"</f>
        <v>20200111160554633</v>
      </c>
      <c r="B4620" t="str">
        <f>"1578729954627049"</f>
        <v>1578729954627049</v>
      </c>
      <c r="C4620" t="s">
        <v>40</v>
      </c>
      <c r="D4620">
        <v>5.746219</v>
      </c>
      <c r="E4620">
        <v>0.48879099999999998</v>
      </c>
      <c r="F4620" t="s">
        <v>41</v>
      </c>
      <c r="G4620">
        <v>-420.71609999999998</v>
      </c>
      <c r="H4620" s="1">
        <v>-3.3052850000000002E-6</v>
      </c>
      <c r="I4620">
        <v>66.849689999999995</v>
      </c>
      <c r="J4620">
        <v>-422.47309999999999</v>
      </c>
      <c r="K4620">
        <v>1.1103730000000001</v>
      </c>
      <c r="L4620">
        <v>80.405760000000001</v>
      </c>
      <c r="M4620">
        <v>4.6811600000000002E-2</v>
      </c>
      <c r="N4620">
        <v>0</v>
      </c>
      <c r="O4620">
        <v>-0.99881569999999997</v>
      </c>
      <c r="P4620">
        <v>9.6280050000000006E-2</v>
      </c>
      <c r="Q4620">
        <v>-1.9640999999999999E-2</v>
      </c>
      <c r="R4620">
        <v>-0.99516070000000001</v>
      </c>
      <c r="S4620">
        <v>0.38000489999999998</v>
      </c>
      <c r="T4620">
        <v>-0.23823540000000001</v>
      </c>
      <c r="U4620">
        <v>-2.9731139999999998</v>
      </c>
      <c r="V4620">
        <v>-4.9585270000000001E-2</v>
      </c>
      <c r="W4620">
        <v>-6.3879890000000002E-3</v>
      </c>
      <c r="X4620">
        <v>0.99874949999999996</v>
      </c>
      <c r="Y4620">
        <v>-7.9806009999999997E-2</v>
      </c>
      <c r="Z4620">
        <v>7.9295299999999999E-2</v>
      </c>
      <c r="AA4620">
        <v>0.99365139999999996</v>
      </c>
      <c r="AB4620">
        <v>29</v>
      </c>
      <c r="AC4620">
        <v>1.7569999999999999</v>
      </c>
      <c r="AD4620">
        <v>-1.110376305285</v>
      </c>
      <c r="AE4620">
        <v>-13.55607</v>
      </c>
      <c r="AF4620">
        <v>-1.11309177900235</v>
      </c>
      <c r="AG4620">
        <v>-1.110376305285</v>
      </c>
      <c r="AH4620">
        <v>13.534157958677101</v>
      </c>
      <c r="AI4620">
        <v>94.674473296738</v>
      </c>
      <c r="AJ4620">
        <v>94.701603975239195</v>
      </c>
      <c r="AK4620">
        <v>13.6251730447082</v>
      </c>
      <c r="AL4620">
        <v>90.366007285889296</v>
      </c>
      <c r="AM4620">
        <v>92.842250132763695</v>
      </c>
      <c r="AN4620">
        <v>1.0000000345773401</v>
      </c>
    </row>
    <row r="4621" spans="1:40" x14ac:dyDescent="0.3">
      <c r="A4621" t="str">
        <f>"20200111160554655"</f>
        <v>20200111160554655</v>
      </c>
      <c r="B4621" t="str">
        <f>"1578729954646572"</f>
        <v>1578729954646572</v>
      </c>
      <c r="C4621" t="s">
        <v>40</v>
      </c>
      <c r="D4621">
        <v>5.6447779999999996</v>
      </c>
      <c r="E4621">
        <v>0.48840020000000001</v>
      </c>
      <c r="F4621" t="s">
        <v>41</v>
      </c>
      <c r="G4621">
        <v>-420.69650000000001</v>
      </c>
      <c r="H4621" s="1">
        <v>-3.2080789999999999E-6</v>
      </c>
      <c r="I4621">
        <v>66.635210000000001</v>
      </c>
      <c r="J4621">
        <v>-422.46039999999999</v>
      </c>
      <c r="K4621">
        <v>1.1103860000000001</v>
      </c>
      <c r="L4621">
        <v>80.134829999999994</v>
      </c>
      <c r="M4621">
        <v>4.6811449999999998E-2</v>
      </c>
      <c r="N4621">
        <v>0</v>
      </c>
      <c r="O4621">
        <v>-0.99881430000000004</v>
      </c>
      <c r="P4621">
        <v>9.6310820000000005E-2</v>
      </c>
      <c r="Q4621">
        <v>-1.9407259999999999E-2</v>
      </c>
      <c r="R4621">
        <v>-0.99516249999999995</v>
      </c>
      <c r="S4621">
        <v>0.38351439999999998</v>
      </c>
      <c r="T4621">
        <v>-0.2397048</v>
      </c>
      <c r="U4621">
        <v>-2.9727480000000002</v>
      </c>
      <c r="V4621">
        <v>-4.9616340000000002E-2</v>
      </c>
      <c r="W4621">
        <v>-6.0422330000000002E-3</v>
      </c>
      <c r="X4621">
        <v>0.99875009999999997</v>
      </c>
      <c r="Y4621">
        <v>-8.0970529999999999E-2</v>
      </c>
      <c r="Z4621">
        <v>7.9781290000000005E-2</v>
      </c>
      <c r="AA4621">
        <v>0.99351840000000002</v>
      </c>
      <c r="AB4621">
        <v>29</v>
      </c>
      <c r="AC4621">
        <v>1.76389999999997</v>
      </c>
      <c r="AD4621">
        <v>-1.1103892080789901</v>
      </c>
      <c r="AE4621">
        <v>-13.49962</v>
      </c>
      <c r="AF4621">
        <v>-1.12250575318782</v>
      </c>
      <c r="AG4621">
        <v>-1.1103892080789901</v>
      </c>
      <c r="AH4621">
        <v>13.4777418203984</v>
      </c>
      <c r="AI4621">
        <v>94.693606573140201</v>
      </c>
      <c r="AJ4621">
        <v>94.760942252984606</v>
      </c>
      <c r="AK4621">
        <v>13.569911861787199</v>
      </c>
      <c r="AL4621">
        <v>90.346196547274999</v>
      </c>
      <c r="AM4621">
        <v>92.844026450462906</v>
      </c>
      <c r="AN4621">
        <v>1.0000000260123101</v>
      </c>
    </row>
    <row r="4622" spans="1:40" x14ac:dyDescent="0.3">
      <c r="A4622" t="str">
        <f>"20200111160554676"</f>
        <v>20200111160554676</v>
      </c>
      <c r="B4622" t="str">
        <f>"1578729954667065"</f>
        <v>1578729954667065</v>
      </c>
      <c r="C4622" t="s">
        <v>40</v>
      </c>
      <c r="D4622">
        <v>6.3352040000000001</v>
      </c>
      <c r="E4622">
        <v>0.48817169999999999</v>
      </c>
      <c r="F4622" t="s">
        <v>41</v>
      </c>
      <c r="G4622">
        <v>-420.66809999999998</v>
      </c>
      <c r="H4622" s="1">
        <v>-3.087091E-6</v>
      </c>
      <c r="I4622">
        <v>66.370809999999906</v>
      </c>
      <c r="J4622">
        <v>-422.44709999999998</v>
      </c>
      <c r="K4622">
        <v>1.1103879999999999</v>
      </c>
      <c r="L4622">
        <v>79.850859999999997</v>
      </c>
      <c r="M4622">
        <v>4.6811390000000001E-2</v>
      </c>
      <c r="N4622">
        <v>0</v>
      </c>
      <c r="O4622">
        <v>-0.9988129</v>
      </c>
      <c r="P4622">
        <v>9.6367069999999999E-2</v>
      </c>
      <c r="Q4622">
        <v>-1.9121429999999998E-2</v>
      </c>
      <c r="R4622">
        <v>-0.9951624</v>
      </c>
      <c r="S4622">
        <v>0.38705440000000002</v>
      </c>
      <c r="T4622">
        <v>-0.23979690000000001</v>
      </c>
      <c r="U4622">
        <v>-2.9724430000000002</v>
      </c>
      <c r="V4622">
        <v>-4.9672170000000002E-2</v>
      </c>
      <c r="W4622">
        <v>-5.6545659999999998E-3</v>
      </c>
      <c r="X4622">
        <v>0.99874960000000002</v>
      </c>
      <c r="Y4622">
        <v>-8.2146769999999994E-2</v>
      </c>
      <c r="Z4622">
        <v>7.9809899999999906E-2</v>
      </c>
      <c r="AA4622">
        <v>0.99341950000000001</v>
      </c>
      <c r="AB4622">
        <v>29</v>
      </c>
      <c r="AC4622">
        <v>1.7789999999999899</v>
      </c>
      <c r="AD4622">
        <v>-1.1103910870910001</v>
      </c>
      <c r="AE4622">
        <v>-13.48005</v>
      </c>
      <c r="AF4622">
        <v>-1.1383802438160899</v>
      </c>
      <c r="AG4622">
        <v>-1.1103910870910001</v>
      </c>
      <c r="AH4622">
        <v>13.4587961450307</v>
      </c>
      <c r="AI4622">
        <v>94.699686318574095</v>
      </c>
      <c r="AJ4622">
        <v>94.834719527877297</v>
      </c>
      <c r="AK4622">
        <v>13.5524194009519</v>
      </c>
      <c r="AL4622">
        <v>90.323984483255302</v>
      </c>
      <c r="AM4622">
        <v>92.847222806294099</v>
      </c>
      <c r="AN4622">
        <v>1.00000003104465</v>
      </c>
    </row>
    <row r="4623" spans="1:40" x14ac:dyDescent="0.3">
      <c r="A4623" t="str">
        <f>"20200111160554700"</f>
        <v>20200111160554700</v>
      </c>
      <c r="B4623" t="str">
        <f>"1578729954696346"</f>
        <v>1578729954696346</v>
      </c>
      <c r="C4623" t="s">
        <v>40</v>
      </c>
      <c r="D4623">
        <v>5.6199199999999996</v>
      </c>
      <c r="E4623">
        <v>0.48765950000000002</v>
      </c>
      <c r="F4623" t="s">
        <v>41</v>
      </c>
      <c r="G4623">
        <v>-420.62389999999999</v>
      </c>
      <c r="H4623" s="1">
        <v>-2.878627E-6</v>
      </c>
      <c r="I4623">
        <v>65.912319999999994</v>
      </c>
      <c r="J4623">
        <v>-422.43360000000001</v>
      </c>
      <c r="K4623">
        <v>1.110401</v>
      </c>
      <c r="L4623">
        <v>79.562469999999905</v>
      </c>
      <c r="M4623">
        <v>4.6811459999999999E-2</v>
      </c>
      <c r="N4623">
        <v>0</v>
      </c>
      <c r="O4623">
        <v>-0.99881169999999997</v>
      </c>
      <c r="P4623">
        <v>9.6342999999999998E-2</v>
      </c>
      <c r="Q4623">
        <v>-1.9589820000000001E-2</v>
      </c>
      <c r="R4623">
        <v>-0.99515549999999997</v>
      </c>
      <c r="S4623">
        <v>0.38879390000000003</v>
      </c>
      <c r="T4623">
        <v>-0.23678979999999999</v>
      </c>
      <c r="U4623">
        <v>-2.9723820000000001</v>
      </c>
      <c r="V4623">
        <v>-4.964872E-2</v>
      </c>
      <c r="W4623">
        <v>-6.0338479999999996E-3</v>
      </c>
      <c r="X4623">
        <v>0.99874850000000004</v>
      </c>
      <c r="Y4623">
        <v>-8.2731200000000005E-2</v>
      </c>
      <c r="Z4623">
        <v>7.8812119999999999E-2</v>
      </c>
      <c r="AA4623">
        <v>0.99345059999999996</v>
      </c>
      <c r="AB4623">
        <v>29</v>
      </c>
      <c r="AC4623">
        <v>1.8097000000000201</v>
      </c>
      <c r="AD4623">
        <v>-1.1104038786270001</v>
      </c>
      <c r="AE4623">
        <v>-13.650149999999901</v>
      </c>
      <c r="AF4623">
        <v>-1.1611226449354299</v>
      </c>
      <c r="AG4623">
        <v>-1.1104038786270001</v>
      </c>
      <c r="AH4623">
        <v>13.631260314138499</v>
      </c>
      <c r="AI4623">
        <v>94.640307010906596</v>
      </c>
      <c r="AJ4623">
        <v>94.868751647582897</v>
      </c>
      <c r="AK4623">
        <v>13.7256132949337</v>
      </c>
      <c r="AL4623">
        <v>90.345716127775006</v>
      </c>
      <c r="AM4623">
        <v>92.845883985136098</v>
      </c>
      <c r="AN4623">
        <v>0.99999998448578697</v>
      </c>
    </row>
    <row r="4624" spans="1:40" x14ac:dyDescent="0.3">
      <c r="A4624" t="str">
        <f>"20200111160554723"</f>
        <v>20200111160554723</v>
      </c>
      <c r="B4624" t="str">
        <f>"1578729954716844"</f>
        <v>1578729954716844</v>
      </c>
      <c r="C4624" t="s">
        <v>40</v>
      </c>
      <c r="D4624">
        <v>5.604006</v>
      </c>
      <c r="E4624">
        <v>0.4874134</v>
      </c>
      <c r="F4624" t="s">
        <v>41</v>
      </c>
      <c r="G4624">
        <v>-420.58269999999999</v>
      </c>
      <c r="H4624" s="1">
        <v>-2.7061760000000002E-6</v>
      </c>
      <c r="I4624">
        <v>65.535880000000006</v>
      </c>
      <c r="J4624">
        <v>-422.41950000000003</v>
      </c>
      <c r="K4624">
        <v>1.110409</v>
      </c>
      <c r="L4624">
        <v>79.263490000000004</v>
      </c>
      <c r="M4624">
        <v>4.6811600000000002E-2</v>
      </c>
      <c r="N4624">
        <v>0</v>
      </c>
      <c r="O4624">
        <v>-0.99881050000000005</v>
      </c>
      <c r="P4624">
        <v>9.6399360000000003E-2</v>
      </c>
      <c r="Q4624">
        <v>-1.956548E-2</v>
      </c>
      <c r="R4624">
        <v>-0.99515050000000005</v>
      </c>
      <c r="S4624">
        <v>0.39218140000000001</v>
      </c>
      <c r="T4624">
        <v>-0.23527719999999999</v>
      </c>
      <c r="U4624">
        <v>-2.9720149999999999</v>
      </c>
      <c r="V4624">
        <v>-4.970542E-2</v>
      </c>
      <c r="W4624">
        <v>-5.9301060000000001E-3</v>
      </c>
      <c r="X4624">
        <v>0.99874629999999998</v>
      </c>
      <c r="Y4624">
        <v>-8.3864949999999994E-2</v>
      </c>
      <c r="Z4624">
        <v>7.8311820000000004E-2</v>
      </c>
      <c r="AA4624">
        <v>0.99339509999999998</v>
      </c>
      <c r="AB4624">
        <v>28</v>
      </c>
      <c r="AC4624">
        <v>1.83680000000003</v>
      </c>
      <c r="AD4624">
        <v>-1.1104117061759999</v>
      </c>
      <c r="AE4624">
        <v>-13.72761</v>
      </c>
      <c r="AF4624">
        <v>-1.18450086663038</v>
      </c>
      <c r="AG4624">
        <v>-1.1104117061759999</v>
      </c>
      <c r="AH4624">
        <v>13.7104199421318</v>
      </c>
      <c r="AI4624">
        <v>94.613189081607004</v>
      </c>
      <c r="AJ4624">
        <v>94.937762739874699</v>
      </c>
      <c r="AK4624">
        <v>13.8062185789545</v>
      </c>
      <c r="AL4624">
        <v>90.339772042955403</v>
      </c>
      <c r="AM4624">
        <v>92.849134964828096</v>
      </c>
      <c r="AN4624">
        <v>0.99999998334911799</v>
      </c>
    </row>
    <row r="4625" spans="1:40" x14ac:dyDescent="0.3">
      <c r="A4625" t="str">
        <f>"20200111160554745"</f>
        <v>20200111160554745</v>
      </c>
      <c r="B4625" t="str">
        <f>"1578729954736361"</f>
        <v>1578729954736361</v>
      </c>
      <c r="C4625" t="s">
        <v>40</v>
      </c>
      <c r="D4625">
        <v>5.5899380000000001</v>
      </c>
      <c r="E4625">
        <v>0.48718349999999999</v>
      </c>
      <c r="F4625" t="s">
        <v>41</v>
      </c>
      <c r="G4625">
        <v>-420.57080000000002</v>
      </c>
      <c r="H4625" s="1">
        <v>-2.625611E-6</v>
      </c>
      <c r="I4625">
        <v>65.355469999999997</v>
      </c>
      <c r="J4625">
        <v>-422.40690000000001</v>
      </c>
      <c r="K4625">
        <v>1.110417</v>
      </c>
      <c r="L4625">
        <v>78.992829999999998</v>
      </c>
      <c r="M4625">
        <v>4.6811720000000001E-2</v>
      </c>
      <c r="N4625">
        <v>0</v>
      </c>
      <c r="O4625">
        <v>-0.99880979999999997</v>
      </c>
      <c r="P4625">
        <v>9.6523910000000004E-2</v>
      </c>
      <c r="Q4625">
        <v>-1.949178E-2</v>
      </c>
      <c r="R4625">
        <v>-0.99513989999999997</v>
      </c>
      <c r="S4625">
        <v>0.39501950000000002</v>
      </c>
      <c r="T4625">
        <v>-0.23725779999999999</v>
      </c>
      <c r="U4625">
        <v>-2.9716800000000001</v>
      </c>
      <c r="V4625">
        <v>-4.9829760000000001E-2</v>
      </c>
      <c r="W4625">
        <v>-5.795382E-3</v>
      </c>
      <c r="X4625">
        <v>0.99874090000000004</v>
      </c>
      <c r="Y4625">
        <v>-8.4804889999999994E-2</v>
      </c>
      <c r="Z4625">
        <v>7.8967689999999993E-2</v>
      </c>
      <c r="AA4625">
        <v>0.99326340000000002</v>
      </c>
      <c r="AB4625">
        <v>28</v>
      </c>
      <c r="AC4625">
        <v>1.8360999999999801</v>
      </c>
      <c r="AD4625">
        <v>-1.1104196256109999</v>
      </c>
      <c r="AE4625">
        <v>-13.637359999999999</v>
      </c>
      <c r="AF4625">
        <v>-1.1879030054044499</v>
      </c>
      <c r="AG4625">
        <v>-1.1104196256109999</v>
      </c>
      <c r="AH4625">
        <v>13.619675283624201</v>
      </c>
      <c r="AI4625">
        <v>94.643495855317795</v>
      </c>
      <c r="AJ4625">
        <v>94.984702107694602</v>
      </c>
      <c r="AK4625">
        <v>13.7164025942138</v>
      </c>
      <c r="AL4625">
        <v>90.332052791886895</v>
      </c>
      <c r="AM4625">
        <v>92.856265814567294</v>
      </c>
      <c r="AN4625">
        <v>0.99999998838349602</v>
      </c>
    </row>
    <row r="4626" spans="1:40" x14ac:dyDescent="0.3">
      <c r="A4626" t="str">
        <f>"20200111160554766"</f>
        <v>20200111160554766</v>
      </c>
      <c r="B4626" t="str">
        <f>"1578729954756857"</f>
        <v>1578729954756857</v>
      </c>
      <c r="C4626" t="s">
        <v>40</v>
      </c>
      <c r="D4626">
        <v>6.15395</v>
      </c>
      <c r="E4626">
        <v>0.48688369999999997</v>
      </c>
      <c r="F4626" t="s">
        <v>41</v>
      </c>
      <c r="G4626">
        <v>-420.56319999999999</v>
      </c>
      <c r="H4626" s="1">
        <v>-2.554005E-6</v>
      </c>
      <c r="I4626">
        <v>65.193259999999995</v>
      </c>
      <c r="J4626">
        <v>-422.39400000000001</v>
      </c>
      <c r="K4626">
        <v>1.1104160000000001</v>
      </c>
      <c r="L4626">
        <v>78.71808</v>
      </c>
      <c r="M4626">
        <v>4.6811800000000001E-2</v>
      </c>
      <c r="N4626">
        <v>0</v>
      </c>
      <c r="O4626">
        <v>-0.99880899999999995</v>
      </c>
      <c r="P4626">
        <v>9.6531820000000004E-2</v>
      </c>
      <c r="Q4626">
        <v>-1.964283E-2</v>
      </c>
      <c r="R4626">
        <v>-0.99513620000000003</v>
      </c>
      <c r="S4626">
        <v>0.3970032</v>
      </c>
      <c r="T4626">
        <v>-0.23910709999999999</v>
      </c>
      <c r="U4626">
        <v>-2.9714659999999999</v>
      </c>
      <c r="V4626">
        <v>-4.983783E-2</v>
      </c>
      <c r="W4626">
        <v>-5.8929990000000003E-3</v>
      </c>
      <c r="X4626">
        <v>0.99873999999999996</v>
      </c>
      <c r="Y4626">
        <v>-8.5459170000000001E-2</v>
      </c>
      <c r="Z4626">
        <v>7.9579209999999997E-2</v>
      </c>
      <c r="AA4626">
        <v>0.99315850000000006</v>
      </c>
      <c r="AB4626">
        <v>28</v>
      </c>
      <c r="AC4626">
        <v>1.83080000000001</v>
      </c>
      <c r="AD4626">
        <v>-1.110418554005</v>
      </c>
      <c r="AE4626">
        <v>-13.52482</v>
      </c>
      <c r="AF4626">
        <v>-1.1877491876450099</v>
      </c>
      <c r="AG4626">
        <v>-1.110418554005</v>
      </c>
      <c r="AH4626">
        <v>13.5062966628018</v>
      </c>
      <c r="AI4626">
        <v>94.682006576287705</v>
      </c>
      <c r="AJ4626">
        <v>95.0256852151754</v>
      </c>
      <c r="AK4626">
        <v>13.6038166351006</v>
      </c>
      <c r="AL4626">
        <v>90.337645904665905</v>
      </c>
      <c r="AM4626">
        <v>92.856730194698898</v>
      </c>
      <c r="AN4626">
        <v>1.00000006216815</v>
      </c>
    </row>
    <row r="4627" spans="1:40" x14ac:dyDescent="0.3">
      <c r="A4627" t="str">
        <f>"20200111160554790"</f>
        <v>20200111160554790</v>
      </c>
      <c r="B4627" t="str">
        <f>"1578729954787113"</f>
        <v>1578729954787113</v>
      </c>
      <c r="C4627" t="s">
        <v>40</v>
      </c>
      <c r="D4627">
        <v>5.8075890000000001</v>
      </c>
      <c r="E4627">
        <v>0.48646650000000002</v>
      </c>
      <c r="F4627" t="s">
        <v>41</v>
      </c>
      <c r="G4627">
        <v>-420.53809999999999</v>
      </c>
      <c r="H4627" s="1">
        <v>-2.4275920000000001E-6</v>
      </c>
      <c r="I4627">
        <v>64.914150000000006</v>
      </c>
      <c r="J4627">
        <v>-422.38060000000002</v>
      </c>
      <c r="K4627">
        <v>1.11042</v>
      </c>
      <c r="L4627">
        <v>78.432339999999996</v>
      </c>
      <c r="M4627">
        <v>4.6811819999999997E-2</v>
      </c>
      <c r="N4627">
        <v>0</v>
      </c>
      <c r="O4627">
        <v>-0.99880829999999998</v>
      </c>
      <c r="P4627">
        <v>9.6652119999999994E-2</v>
      </c>
      <c r="Q4627">
        <v>-2.0062360000000001E-2</v>
      </c>
      <c r="R4627">
        <v>-0.99511620000000001</v>
      </c>
      <c r="S4627">
        <v>0.39947510000000003</v>
      </c>
      <c r="T4627">
        <v>-0.2390091</v>
      </c>
      <c r="U4627">
        <v>-2.9711910000000001</v>
      </c>
      <c r="V4627">
        <v>-4.9958679999999998E-2</v>
      </c>
      <c r="W4627">
        <v>-6.2650630000000004E-3</v>
      </c>
      <c r="X4627">
        <v>0.99873160000000005</v>
      </c>
      <c r="Y4627">
        <v>-8.6283170000000006E-2</v>
      </c>
      <c r="Z4627">
        <v>7.9546859999999997E-2</v>
      </c>
      <c r="AA4627">
        <v>0.99308989999999997</v>
      </c>
      <c r="AB4627">
        <v>28</v>
      </c>
      <c r="AC4627">
        <v>1.84250000000002</v>
      </c>
      <c r="AD4627">
        <v>-1.110422427592</v>
      </c>
      <c r="AE4627">
        <v>-13.518189999999899</v>
      </c>
      <c r="AF4627">
        <v>-1.19966131017365</v>
      </c>
      <c r="AG4627">
        <v>-1.110422427592</v>
      </c>
      <c r="AH4627">
        <v>13.500196058681</v>
      </c>
      <c r="AI4627">
        <v>94.683752015879094</v>
      </c>
      <c r="AJ4627">
        <v>95.078108318068004</v>
      </c>
      <c r="AK4627">
        <v>13.598805787629001</v>
      </c>
      <c r="AL4627">
        <v>90.358964029236105</v>
      </c>
      <c r="AM4627">
        <v>92.863669907869493</v>
      </c>
      <c r="AN4627">
        <v>0.99999996478014697</v>
      </c>
    </row>
    <row r="4628" spans="1:40" x14ac:dyDescent="0.3">
      <c r="A4628" t="str">
        <f>"20200111160554812"</f>
        <v>20200111160554812</v>
      </c>
      <c r="B4628" t="str">
        <f>"1578729954806634"</f>
        <v>1578729954806634</v>
      </c>
      <c r="C4628" t="s">
        <v>40</v>
      </c>
      <c r="D4628">
        <v>5.8120050000000001</v>
      </c>
      <c r="E4628">
        <v>0.48624210000000001</v>
      </c>
      <c r="F4628" t="s">
        <v>41</v>
      </c>
      <c r="G4628">
        <v>-420.52100000000002</v>
      </c>
      <c r="H4628" s="1">
        <v>-2.3427570000000001E-6</v>
      </c>
      <c r="I4628">
        <v>64.726969999999994</v>
      </c>
      <c r="J4628">
        <v>-422.36689999999999</v>
      </c>
      <c r="K4628">
        <v>1.1104309999999999</v>
      </c>
      <c r="L4628">
        <v>78.138949999999994</v>
      </c>
      <c r="M4628">
        <v>4.6811949999999998E-2</v>
      </c>
      <c r="N4628">
        <v>0</v>
      </c>
      <c r="O4628">
        <v>-0.99880760000000002</v>
      </c>
      <c r="P4628">
        <v>9.6701720000000005E-2</v>
      </c>
      <c r="Q4628">
        <v>-2.0229270000000001E-2</v>
      </c>
      <c r="R4628">
        <v>-0.99510779999999999</v>
      </c>
      <c r="S4628">
        <v>0.4030762</v>
      </c>
      <c r="T4628">
        <v>-0.24069170000000001</v>
      </c>
      <c r="U4628">
        <v>-2.9707340000000002</v>
      </c>
      <c r="V4628">
        <v>-5.000864E-2</v>
      </c>
      <c r="W4628">
        <v>-6.3905069999999897E-3</v>
      </c>
      <c r="X4628">
        <v>0.99872830000000001</v>
      </c>
      <c r="Y4628">
        <v>-8.7479379999999995E-2</v>
      </c>
      <c r="Z4628">
        <v>8.0104800000000004E-2</v>
      </c>
      <c r="AA4628">
        <v>0.99294039999999995</v>
      </c>
      <c r="AB4628">
        <v>28</v>
      </c>
      <c r="AC4628">
        <v>1.8459000000000201</v>
      </c>
      <c r="AD4628">
        <v>-1.1104333427569999</v>
      </c>
      <c r="AE4628">
        <v>-13.4119799999999</v>
      </c>
      <c r="AF4628">
        <v>-1.2078490344005901</v>
      </c>
      <c r="AG4628">
        <v>-1.1104333427569999</v>
      </c>
      <c r="AH4628">
        <v>13.393587842866999</v>
      </c>
      <c r="AI4628">
        <v>94.720361052690095</v>
      </c>
      <c r="AJ4628">
        <v>95.1530596175173</v>
      </c>
      <c r="AK4628">
        <v>13.4937080449817</v>
      </c>
      <c r="AL4628">
        <v>90.366151586931693</v>
      </c>
      <c r="AM4628">
        <v>92.866538335296397</v>
      </c>
      <c r="AN4628">
        <v>0.99999995993762703</v>
      </c>
    </row>
    <row r="4629" spans="1:40" x14ac:dyDescent="0.3">
      <c r="A4629" t="str">
        <f>"20200111160554834"</f>
        <v>20200111160554834</v>
      </c>
      <c r="B4629" t="str">
        <f>"1578729954827129"</f>
        <v>1578729954827129</v>
      </c>
      <c r="C4629" t="s">
        <v>40</v>
      </c>
      <c r="D4629">
        <v>5.8233309999999996</v>
      </c>
      <c r="E4629">
        <v>0.48592760000000002</v>
      </c>
      <c r="F4629" t="s">
        <v>41</v>
      </c>
      <c r="G4629">
        <v>-420.51069999999999</v>
      </c>
      <c r="H4629" s="1">
        <v>-2.2452230000000001E-6</v>
      </c>
      <c r="I4629">
        <v>64.506039999999999</v>
      </c>
      <c r="J4629">
        <v>-422.3537</v>
      </c>
      <c r="K4629">
        <v>1.1104430000000001</v>
      </c>
      <c r="L4629">
        <v>77.858310000000003</v>
      </c>
      <c r="M4629">
        <v>4.681188E-2</v>
      </c>
      <c r="N4629">
        <v>0</v>
      </c>
      <c r="O4629">
        <v>-0.99880740000000001</v>
      </c>
      <c r="P4629">
        <v>9.6620259999999999E-2</v>
      </c>
      <c r="Q4629">
        <v>-1.9805550000000002E-2</v>
      </c>
      <c r="R4629">
        <v>-0.99512460000000003</v>
      </c>
      <c r="S4629">
        <v>0.40444950000000002</v>
      </c>
      <c r="T4629">
        <v>-0.24195620000000001</v>
      </c>
      <c r="U4629">
        <v>-2.97052</v>
      </c>
      <c r="V4629">
        <v>-4.9926400000000003E-2</v>
      </c>
      <c r="W4629">
        <v>-5.9327669999999898E-3</v>
      </c>
      <c r="X4629">
        <v>0.99873520000000005</v>
      </c>
      <c r="Y4629">
        <v>-8.7935100000000002E-2</v>
      </c>
      <c r="Z4629">
        <v>8.0524499999999999E-2</v>
      </c>
      <c r="AA4629">
        <v>0.99286620000000003</v>
      </c>
      <c r="AB4629">
        <v>28</v>
      </c>
      <c r="AC4629">
        <v>1.84300000000001</v>
      </c>
      <c r="AD4629">
        <v>-1.110445245223</v>
      </c>
      <c r="AE4629">
        <v>-13.352270000000001</v>
      </c>
      <c r="AF4629">
        <v>-1.20767747179198</v>
      </c>
      <c r="AG4629">
        <v>-1.110445245223</v>
      </c>
      <c r="AH4629">
        <v>13.3334160357504</v>
      </c>
      <c r="AI4629">
        <v>94.741450296149907</v>
      </c>
      <c r="AJ4629">
        <v>95.175457365499696</v>
      </c>
      <c r="AK4629">
        <v>13.4339702508573</v>
      </c>
      <c r="AL4629">
        <v>90.339924530757301</v>
      </c>
      <c r="AM4629">
        <v>92.861812371947707</v>
      </c>
      <c r="AN4629">
        <v>0.99999992143013505</v>
      </c>
    </row>
    <row r="4630" spans="1:40" x14ac:dyDescent="0.3">
      <c r="A4630" t="str">
        <f>"20200111160555134"</f>
        <v>20200111160555134</v>
      </c>
      <c r="B4630" t="str">
        <f>"1578729955126761"</f>
        <v>1578729955126761</v>
      </c>
      <c r="C4630" t="s">
        <v>40</v>
      </c>
      <c r="D4630">
        <v>5.2593769999999997</v>
      </c>
      <c r="E4630">
        <v>0.4208076</v>
      </c>
      <c r="F4630" t="s">
        <v>41</v>
      </c>
      <c r="G4630">
        <v>-420.45769999999999</v>
      </c>
      <c r="H4630" s="1">
        <v>-2.0231780000000002E-6</v>
      </c>
      <c r="I4630">
        <v>64.02131</v>
      </c>
      <c r="J4630">
        <v>-422.17770000000002</v>
      </c>
      <c r="K4630">
        <v>1.110525</v>
      </c>
      <c r="L4630">
        <v>74.103359999999995</v>
      </c>
      <c r="M4630">
        <v>4.681275E-2</v>
      </c>
      <c r="N4630">
        <v>0</v>
      </c>
      <c r="O4630">
        <v>-0.99880500000000005</v>
      </c>
      <c r="P4630">
        <v>9.066109E-2</v>
      </c>
      <c r="Q4630">
        <v>-1.9968739999999999E-2</v>
      </c>
      <c r="R4630">
        <v>-0.99568179999999995</v>
      </c>
      <c r="S4630">
        <v>0.40701290000000001</v>
      </c>
      <c r="T4630">
        <v>-0.23838229999999999</v>
      </c>
      <c r="U4630">
        <v>-2.9704280000000001</v>
      </c>
      <c r="V4630">
        <v>-4.3946899999999997E-2</v>
      </c>
      <c r="W4630">
        <v>-5.9326569999999896E-3</v>
      </c>
      <c r="X4630">
        <v>0.99901620000000002</v>
      </c>
      <c r="Y4630">
        <v>-8.8792259999999998E-2</v>
      </c>
      <c r="Z4630">
        <v>7.9337469999999993E-2</v>
      </c>
      <c r="AA4630">
        <v>0.99288549999999998</v>
      </c>
      <c r="AB4630">
        <v>28</v>
      </c>
      <c r="AC4630">
        <v>1.72000000000002</v>
      </c>
      <c r="AD4630">
        <v>-1.110527023178</v>
      </c>
      <c r="AE4630">
        <v>-10.082049999999899</v>
      </c>
      <c r="AF4630">
        <v>-1.23157905404587</v>
      </c>
      <c r="AG4630">
        <v>-1.110527023178</v>
      </c>
      <c r="AH4630">
        <v>10.0332322049405</v>
      </c>
      <c r="AI4630">
        <v>96.269390029370797</v>
      </c>
      <c r="AJ4630">
        <v>96.998048087920395</v>
      </c>
      <c r="AK4630">
        <v>10.1693562094081</v>
      </c>
      <c r="AL4630">
        <v>90.339918219367206</v>
      </c>
      <c r="AM4630">
        <v>92.518827592717997</v>
      </c>
      <c r="AN4630">
        <v>0.99999994715056295</v>
      </c>
    </row>
    <row r="4631" spans="1:40" x14ac:dyDescent="0.3">
      <c r="A4631" t="str">
        <f>"20200111160555157"</f>
        <v>20200111160555157</v>
      </c>
      <c r="B4631" t="str">
        <f>"1578729955146281"</f>
        <v>1578729955146281</v>
      </c>
      <c r="C4631" t="s">
        <v>40</v>
      </c>
      <c r="D4631">
        <v>5.1068030000000002</v>
      </c>
      <c r="E4631">
        <v>0.48945620000000001</v>
      </c>
      <c r="F4631" t="s">
        <v>80</v>
      </c>
      <c r="G4631">
        <v>-399.6447</v>
      </c>
      <c r="H4631">
        <v>0.91328549999999997</v>
      </c>
      <c r="I4631">
        <v>0.68440249999999903</v>
      </c>
      <c r="J4631">
        <v>-422.16469999999998</v>
      </c>
      <c r="K4631">
        <v>1.1105309999999999</v>
      </c>
      <c r="L4631">
        <v>73.82526</v>
      </c>
      <c r="M4631">
        <v>4.6812840000000001E-2</v>
      </c>
      <c r="N4631">
        <v>0</v>
      </c>
      <c r="O4631">
        <v>-0.99880500000000005</v>
      </c>
      <c r="P4631">
        <v>8.9625830000000004E-2</v>
      </c>
      <c r="Q4631">
        <v>-1.9881119999999999E-2</v>
      </c>
      <c r="R4631">
        <v>-0.99577749999999998</v>
      </c>
      <c r="S4631">
        <v>0.89953609999999995</v>
      </c>
      <c r="T4631">
        <v>-7.8750850000000004E-3</v>
      </c>
      <c r="U4631">
        <v>-2.930939</v>
      </c>
      <c r="V4631">
        <v>-4.2908410000000001E-2</v>
      </c>
      <c r="W4631">
        <v>-5.8430139999999997E-3</v>
      </c>
      <c r="X4631">
        <v>0.99906189999999995</v>
      </c>
      <c r="Y4631">
        <v>-0.2483235</v>
      </c>
      <c r="Z4631">
        <v>2.5809729999999999E-3</v>
      </c>
      <c r="AA4631">
        <v>0.96867369999999997</v>
      </c>
      <c r="AB4631">
        <v>28</v>
      </c>
      <c r="AC4631">
        <v>22.5199999999999</v>
      </c>
      <c r="AD4631">
        <v>-0.19724549999999999</v>
      </c>
      <c r="AE4631">
        <v>-73.140857499999996</v>
      </c>
      <c r="AF4631">
        <v>-19.070910483273401</v>
      </c>
      <c r="AG4631">
        <v>-0.19724549999999999</v>
      </c>
      <c r="AH4631">
        <v>74.114492498937494</v>
      </c>
      <c r="AI4631">
        <v>90.147673938065594</v>
      </c>
      <c r="AJ4631">
        <v>104.430125478576</v>
      </c>
      <c r="AK4631">
        <v>76.529056774687604</v>
      </c>
      <c r="AL4631">
        <v>90.334781954761198</v>
      </c>
      <c r="AM4631">
        <v>92.459267884371002</v>
      </c>
      <c r="AN4631">
        <v>0.99999997624646997</v>
      </c>
    </row>
    <row r="4632" spans="1:40" x14ac:dyDescent="0.3">
      <c r="A4632" t="str">
        <f>"20200111160555180"</f>
        <v>20200111160555180</v>
      </c>
      <c r="B4632" t="str">
        <f>"1578729955176538"</f>
        <v>1578729955176538</v>
      </c>
      <c r="C4632" t="s">
        <v>40</v>
      </c>
      <c r="D4632">
        <v>5.1002660000000004</v>
      </c>
      <c r="E4632">
        <v>0.50600119999999904</v>
      </c>
      <c r="F4632" t="s">
        <v>41</v>
      </c>
      <c r="G4632">
        <v>-419.97840000000002</v>
      </c>
      <c r="H4632" s="1">
        <v>-2.567599E-6</v>
      </c>
      <c r="I4632">
        <v>55.58764</v>
      </c>
      <c r="J4632">
        <v>-422.15170000000001</v>
      </c>
      <c r="K4632">
        <v>1.110533</v>
      </c>
      <c r="L4632">
        <v>73.54956</v>
      </c>
      <c r="M4632">
        <v>4.6812930000000003E-2</v>
      </c>
      <c r="N4632">
        <v>0</v>
      </c>
      <c r="O4632">
        <v>-0.99880469999999999</v>
      </c>
      <c r="P4632">
        <v>8.9085570000000003E-2</v>
      </c>
      <c r="Q4632">
        <v>-1.9622219999999999E-2</v>
      </c>
      <c r="R4632">
        <v>-0.99583080000000002</v>
      </c>
      <c r="S4632">
        <v>0.35687259999999998</v>
      </c>
      <c r="T4632">
        <v>-0.1812763</v>
      </c>
      <c r="U4632">
        <v>-2.9769899999999998</v>
      </c>
      <c r="V4632">
        <v>-4.2365380000000001E-2</v>
      </c>
      <c r="W4632">
        <v>-5.5828639999999999E-3</v>
      </c>
      <c r="X4632">
        <v>0.99908660000000005</v>
      </c>
      <c r="Y4632">
        <v>-7.2192220000000001E-2</v>
      </c>
      <c r="Z4632">
        <v>6.0385580000000001E-2</v>
      </c>
      <c r="AA4632">
        <v>0.99556109999999998</v>
      </c>
      <c r="AB4632">
        <v>28</v>
      </c>
      <c r="AC4632">
        <v>2.1732999999999798</v>
      </c>
      <c r="AD4632">
        <v>-1.1105355675990001</v>
      </c>
      <c r="AE4632">
        <v>-17.961919999999999</v>
      </c>
      <c r="AF4632">
        <v>-1.3249917991185001</v>
      </c>
      <c r="AG4632">
        <v>-1.1105355675990001</v>
      </c>
      <c r="AH4632">
        <v>17.976247956456401</v>
      </c>
      <c r="AI4632">
        <v>93.525582715450895</v>
      </c>
      <c r="AJ4632">
        <v>94.215529487968894</v>
      </c>
      <c r="AK4632">
        <v>18.059191097793899</v>
      </c>
      <c r="AL4632">
        <v>90.3198762019871</v>
      </c>
      <c r="AM4632">
        <v>92.428122001513103</v>
      </c>
      <c r="AN4632">
        <v>1.0000000140462699</v>
      </c>
    </row>
    <row r="4633" spans="1:40" x14ac:dyDescent="0.3">
      <c r="A4633" t="str">
        <f>"20200111160555203"</f>
        <v>20200111160555203</v>
      </c>
      <c r="B4633" t="str">
        <f>"1578729955197033"</f>
        <v>1578729955197033</v>
      </c>
      <c r="C4633" t="s">
        <v>40</v>
      </c>
      <c r="D4633">
        <v>5.0527579999999999</v>
      </c>
      <c r="E4633">
        <v>0.50847609999999999</v>
      </c>
      <c r="F4633" t="s">
        <v>41</v>
      </c>
      <c r="G4633">
        <v>-421.24079999999998</v>
      </c>
      <c r="H4633" s="1">
        <v>-1.170297E-6</v>
      </c>
      <c r="I4633">
        <v>61.547490000000003</v>
      </c>
      <c r="J4633">
        <v>-422.13799999999998</v>
      </c>
      <c r="K4633">
        <v>1.1105419999999999</v>
      </c>
      <c r="L4633">
        <v>73.257509999999996</v>
      </c>
      <c r="M4633">
        <v>4.6813029999999999E-2</v>
      </c>
      <c r="N4633">
        <v>0</v>
      </c>
      <c r="O4633">
        <v>-0.99880469999999999</v>
      </c>
      <c r="P4633">
        <v>8.8862440000000001E-2</v>
      </c>
      <c r="Q4633">
        <v>-2.030266E-2</v>
      </c>
      <c r="R4633">
        <v>-0.99583719999999998</v>
      </c>
      <c r="S4633">
        <v>0.22668460000000001</v>
      </c>
      <c r="T4633">
        <v>-0.27636870000000002</v>
      </c>
      <c r="U4633">
        <v>-2.986847</v>
      </c>
      <c r="V4633">
        <v>-4.2142260000000001E-2</v>
      </c>
      <c r="W4633">
        <v>-6.2628900000000001E-3</v>
      </c>
      <c r="X4633">
        <v>0.99909199999999998</v>
      </c>
      <c r="Y4633">
        <v>-2.8590150000000002E-2</v>
      </c>
      <c r="Z4633">
        <v>9.183434E-2</v>
      </c>
      <c r="AA4633">
        <v>0.99536380000000002</v>
      </c>
      <c r="AB4633">
        <v>28</v>
      </c>
      <c r="AC4633">
        <v>0.89720000000005395</v>
      </c>
      <c r="AD4633">
        <v>-1.1105431702969999</v>
      </c>
      <c r="AE4633">
        <v>-11.710019999999901</v>
      </c>
      <c r="AF4633">
        <v>-0.34489654541822201</v>
      </c>
      <c r="AG4633">
        <v>-1.1105431702969999</v>
      </c>
      <c r="AH4633">
        <v>11.6351477582475</v>
      </c>
      <c r="AI4633">
        <v>95.449829894448499</v>
      </c>
      <c r="AJ4633">
        <v>91.697901216212003</v>
      </c>
      <c r="AK4633">
        <v>11.693114346331701</v>
      </c>
      <c r="AL4633">
        <v>90.358839507132402</v>
      </c>
      <c r="AM4633">
        <v>92.4153362863956</v>
      </c>
      <c r="AN4633">
        <v>1.00000000916652</v>
      </c>
    </row>
    <row r="4634" spans="1:40" x14ac:dyDescent="0.3">
      <c r="A4634" t="str">
        <f>"20200111160555225"</f>
        <v>20200111160555225</v>
      </c>
      <c r="B4634" t="str">
        <f>"1578729955216553"</f>
        <v>1578729955216553</v>
      </c>
      <c r="C4634" t="s">
        <v>40</v>
      </c>
      <c r="D4634">
        <v>5.0418000000000003</v>
      </c>
      <c r="E4634">
        <v>0.5091135</v>
      </c>
      <c r="F4634" t="s">
        <v>41</v>
      </c>
      <c r="G4634">
        <v>-421.37790000000001</v>
      </c>
      <c r="H4634" s="1">
        <v>-1.523848E-6</v>
      </c>
      <c r="I4634">
        <v>62.286639999999998</v>
      </c>
      <c r="J4634">
        <v>-422.12580000000003</v>
      </c>
      <c r="K4634">
        <v>1.110547</v>
      </c>
      <c r="L4634">
        <v>72.996250000000003</v>
      </c>
      <c r="M4634">
        <v>4.6813109999999998E-2</v>
      </c>
      <c r="N4634">
        <v>0</v>
      </c>
      <c r="O4634">
        <v>-0.99880500000000005</v>
      </c>
      <c r="P4634">
        <v>8.815692E-2</v>
      </c>
      <c r="Q4634">
        <v>-2.1035809999999999E-2</v>
      </c>
      <c r="R4634">
        <v>-0.99588469999999996</v>
      </c>
      <c r="S4634">
        <v>0.2070313</v>
      </c>
      <c r="T4634">
        <v>-0.30245650000000002</v>
      </c>
      <c r="U4634">
        <v>-2.9879150000000001</v>
      </c>
      <c r="V4634">
        <v>-4.143554E-2</v>
      </c>
      <c r="W4634">
        <v>-6.9958529999999998E-3</v>
      </c>
      <c r="X4634">
        <v>0.99911669999999997</v>
      </c>
      <c r="Y4634">
        <v>-2.199253E-2</v>
      </c>
      <c r="Z4634">
        <v>0.1004157</v>
      </c>
      <c r="AA4634">
        <v>0.99470250000000004</v>
      </c>
      <c r="AB4634">
        <v>28</v>
      </c>
      <c r="AC4634">
        <v>0.747900000000015</v>
      </c>
      <c r="AD4634">
        <v>-1.110548523848</v>
      </c>
      <c r="AE4634">
        <v>-10.7096099999999</v>
      </c>
      <c r="AF4634">
        <v>-0.24307918822938299</v>
      </c>
      <c r="AG4634">
        <v>-1.110548523848</v>
      </c>
      <c r="AH4634">
        <v>10.619247249187501</v>
      </c>
      <c r="AI4634">
        <v>95.968671955726705</v>
      </c>
      <c r="AJ4634">
        <v>91.311296317534598</v>
      </c>
      <c r="AK4634">
        <v>10.679925919918499</v>
      </c>
      <c r="AL4634">
        <v>90.400836115415103</v>
      </c>
      <c r="AM4634">
        <v>92.374819551361796</v>
      </c>
      <c r="AN4634">
        <v>1.00000001307658</v>
      </c>
    </row>
    <row r="4635" spans="1:40" x14ac:dyDescent="0.3">
      <c r="A4635" t="str">
        <f>"20200111160555247"</f>
        <v>20200111160555247</v>
      </c>
      <c r="B4635" t="str">
        <f>"1578729955237050"</f>
        <v>1578729955237050</v>
      </c>
      <c r="C4635" t="s">
        <v>40</v>
      </c>
      <c r="D4635">
        <v>5.1035649999999997</v>
      </c>
      <c r="E4635">
        <v>0.50947790000000004</v>
      </c>
      <c r="F4635" t="s">
        <v>42</v>
      </c>
      <c r="G4635">
        <v>-422.06209999999999</v>
      </c>
      <c r="H4635">
        <v>1.014867</v>
      </c>
      <c r="I4635">
        <v>72.047389999999993</v>
      </c>
      <c r="J4635">
        <v>-422.113</v>
      </c>
      <c r="K4635">
        <v>1.110557</v>
      </c>
      <c r="L4635">
        <v>72.723969999999994</v>
      </c>
      <c r="M4635">
        <v>4.6813170000000001E-2</v>
      </c>
      <c r="N4635">
        <v>0</v>
      </c>
      <c r="O4635">
        <v>-0.99880469999999999</v>
      </c>
      <c r="P4635">
        <v>8.6979340000000002E-2</v>
      </c>
      <c r="Q4635">
        <v>-2.2567340000000002E-2</v>
      </c>
      <c r="R4635">
        <v>-0.99595449999999996</v>
      </c>
      <c r="S4635">
        <v>0.1999512</v>
      </c>
      <c r="T4635">
        <v>-0.30131599999999997</v>
      </c>
      <c r="U4635">
        <v>-2.9883419999999998</v>
      </c>
      <c r="V4635">
        <v>-4.0255899999999997E-2</v>
      </c>
      <c r="W4635">
        <v>-8.5274949999999995E-3</v>
      </c>
      <c r="X4635">
        <v>0.99915299999999996</v>
      </c>
      <c r="Y4635">
        <v>-1.9639340000000002E-2</v>
      </c>
      <c r="Z4635">
        <v>0.1000371</v>
      </c>
      <c r="AA4635">
        <v>0.99478979999999995</v>
      </c>
      <c r="AB4635">
        <v>28</v>
      </c>
      <c r="AC4635">
        <v>5.0900000000069598E-2</v>
      </c>
      <c r="AD4635">
        <v>-9.5689999999999997E-2</v>
      </c>
      <c r="AE4635">
        <v>-0.67657999999998697</v>
      </c>
      <c r="AF4635">
        <v>-1.8794371771072099E-2</v>
      </c>
      <c r="AG4635">
        <v>-9.5689999999999997E-2</v>
      </c>
      <c r="AH4635">
        <v>0.66499411381259899</v>
      </c>
      <c r="AI4635">
        <v>98.185202061745002</v>
      </c>
      <c r="AJ4635">
        <v>91.618888922240103</v>
      </c>
      <c r="AK4635">
        <v>0.67210637247066196</v>
      </c>
      <c r="AL4635">
        <v>90.488595401648496</v>
      </c>
      <c r="AM4635">
        <v>92.307200550688805</v>
      </c>
      <c r="AN4635">
        <v>0.99999998653239197</v>
      </c>
    </row>
    <row r="4636" spans="1:40" x14ac:dyDescent="0.3">
      <c r="A4636" t="str">
        <f>"20200111160555271"</f>
        <v>20200111160555271</v>
      </c>
      <c r="B4636" t="str">
        <f>"1578729955266329"</f>
        <v>1578729955266329</v>
      </c>
      <c r="C4636" t="s">
        <v>40</v>
      </c>
      <c r="D4636">
        <v>5.0918299999999999</v>
      </c>
      <c r="E4636">
        <v>0.50998849999999996</v>
      </c>
      <c r="F4636" t="s">
        <v>42</v>
      </c>
      <c r="G4636">
        <v>-422.05340000000001</v>
      </c>
      <c r="H4636">
        <v>1.015657</v>
      </c>
      <c r="I4636">
        <v>71.801169999999999</v>
      </c>
      <c r="J4636">
        <v>-422.1001</v>
      </c>
      <c r="K4636">
        <v>1.110552</v>
      </c>
      <c r="L4636">
        <v>72.4465</v>
      </c>
      <c r="M4636">
        <v>4.6813250000000001E-2</v>
      </c>
      <c r="N4636">
        <v>0</v>
      </c>
      <c r="O4636">
        <v>-0.99880500000000005</v>
      </c>
      <c r="P4636">
        <v>8.5167039999999999E-2</v>
      </c>
      <c r="Q4636">
        <v>-2.35953E-2</v>
      </c>
      <c r="R4636">
        <v>-0.99608770000000002</v>
      </c>
      <c r="S4636">
        <v>0.19329830000000001</v>
      </c>
      <c r="T4636">
        <v>-0.30732939999999997</v>
      </c>
      <c r="U4636">
        <v>-2.9883419999999998</v>
      </c>
      <c r="V4636">
        <v>-3.8439319999999999E-2</v>
      </c>
      <c r="W4636">
        <v>-9.5555280000000006E-3</v>
      </c>
      <c r="X4636">
        <v>0.99921519999999997</v>
      </c>
      <c r="Y4636">
        <v>-1.7421079999999999E-2</v>
      </c>
      <c r="Z4636">
        <v>0.1020224</v>
      </c>
      <c r="AA4636">
        <v>0.9946296</v>
      </c>
      <c r="AB4636">
        <v>28</v>
      </c>
      <c r="AC4636">
        <v>4.6699999999987002E-2</v>
      </c>
      <c r="AD4636">
        <v>-9.4894999999999896E-2</v>
      </c>
      <c r="AE4636">
        <v>-0.64533000000000096</v>
      </c>
      <c r="AF4636">
        <v>-1.60897175456238E-2</v>
      </c>
      <c r="AG4636">
        <v>-9.4894999999999896E-2</v>
      </c>
      <c r="AH4636">
        <v>0.633188426357981</v>
      </c>
      <c r="AI4636">
        <v>98.520686827263503</v>
      </c>
      <c r="AJ4636">
        <v>91.455608677539999</v>
      </c>
      <c r="AK4636">
        <v>0.64046196086059204</v>
      </c>
      <c r="AL4636">
        <v>90.547499783408099</v>
      </c>
      <c r="AM4636">
        <v>92.2030542723856</v>
      </c>
      <c r="AN4636">
        <v>0.99999995267422903</v>
      </c>
    </row>
    <row r="4637" spans="1:40" x14ac:dyDescent="0.3">
      <c r="A4637" t="str">
        <f>"20200111160555292"</f>
        <v>20200111160555292</v>
      </c>
      <c r="B4637" t="str">
        <f>"1578729955286828"</f>
        <v>1578729955286828</v>
      </c>
      <c r="C4637" t="s">
        <v>40</v>
      </c>
      <c r="D4637">
        <v>5.1257769999999896</v>
      </c>
      <c r="E4637">
        <v>0.50993999999999995</v>
      </c>
      <c r="F4637" t="s">
        <v>42</v>
      </c>
      <c r="G4637">
        <v>-422.04509999999999</v>
      </c>
      <c r="H4637">
        <v>1.0196889999999901</v>
      </c>
      <c r="I4637">
        <v>71.553650000000005</v>
      </c>
      <c r="J4637">
        <v>-422.08690000000001</v>
      </c>
      <c r="K4637">
        <v>1.110552</v>
      </c>
      <c r="L4637">
        <v>72.164950000000005</v>
      </c>
      <c r="M4637">
        <v>4.681333E-2</v>
      </c>
      <c r="N4637">
        <v>0</v>
      </c>
      <c r="O4637">
        <v>-0.99880500000000005</v>
      </c>
      <c r="P4637">
        <v>8.2838960000000003E-2</v>
      </c>
      <c r="Q4637">
        <v>-2.4353590000000001E-2</v>
      </c>
      <c r="R4637">
        <v>-0.99626559999999997</v>
      </c>
      <c r="S4637">
        <v>0.1836853</v>
      </c>
      <c r="T4637">
        <v>-0.30414720000000001</v>
      </c>
      <c r="U4637">
        <v>-2.988861</v>
      </c>
      <c r="V4637">
        <v>-3.610522E-2</v>
      </c>
      <c r="W4637">
        <v>-1.031399E-2</v>
      </c>
      <c r="X4637">
        <v>0.99929480000000004</v>
      </c>
      <c r="Y4637">
        <v>-1.423001E-2</v>
      </c>
      <c r="Z4637">
        <v>0.1009723</v>
      </c>
      <c r="AA4637">
        <v>0.99478750000000005</v>
      </c>
      <c r="AB4637">
        <v>28</v>
      </c>
      <c r="AC4637">
        <v>4.1800000000023298E-2</v>
      </c>
      <c r="AD4637">
        <v>-9.0863000000000096E-2</v>
      </c>
      <c r="AE4637">
        <v>-0.61129999999999995</v>
      </c>
      <c r="AF4637">
        <v>-1.2851735786100001E-2</v>
      </c>
      <c r="AG4637">
        <v>-9.0863000000000096E-2</v>
      </c>
      <c r="AH4637">
        <v>0.59940530738465203</v>
      </c>
      <c r="AI4637">
        <v>98.617810057983903</v>
      </c>
      <c r="AJ4637">
        <v>91.228279774220297</v>
      </c>
      <c r="AK4637">
        <v>0.60638929278360798</v>
      </c>
      <c r="AL4637">
        <v>90.590958556292804</v>
      </c>
      <c r="AM4637">
        <v>92.069236485249206</v>
      </c>
      <c r="AN4637">
        <v>1.0000000313040001</v>
      </c>
    </row>
    <row r="4638" spans="1:40" x14ac:dyDescent="0.3">
      <c r="A4638" t="str">
        <f>"20200111160555315"</f>
        <v>20200111160555315</v>
      </c>
      <c r="B4638" t="str">
        <f>"1578729955306345"</f>
        <v>1578729955306345</v>
      </c>
      <c r="C4638" t="s">
        <v>40</v>
      </c>
      <c r="D4638">
        <v>5.0894139999999997</v>
      </c>
      <c r="E4638">
        <v>0.50994510000000004</v>
      </c>
      <c r="F4638" t="s">
        <v>42</v>
      </c>
      <c r="G4638">
        <v>-422.03590000000003</v>
      </c>
      <c r="H4638">
        <v>1.0220739999999999</v>
      </c>
      <c r="I4638">
        <v>71.307249999999996</v>
      </c>
      <c r="J4638">
        <v>-422.07409999999999</v>
      </c>
      <c r="K4638">
        <v>1.110552</v>
      </c>
      <c r="L4638">
        <v>71.893100000000004</v>
      </c>
      <c r="M4638">
        <v>4.681341E-2</v>
      </c>
      <c r="N4638">
        <v>0</v>
      </c>
      <c r="O4638">
        <v>-0.99880500000000005</v>
      </c>
      <c r="P4638">
        <v>8.0447820000000003E-2</v>
      </c>
      <c r="Q4638">
        <v>-2.4247729999999999E-2</v>
      </c>
      <c r="R4638">
        <v>-0.99646420000000002</v>
      </c>
      <c r="S4638">
        <v>0.17758180000000001</v>
      </c>
      <c r="T4638">
        <v>-0.30832100000000001</v>
      </c>
      <c r="U4638">
        <v>-2.9889220000000001</v>
      </c>
      <c r="V4638">
        <v>-3.370741E-2</v>
      </c>
      <c r="W4638">
        <v>-1.020835E-2</v>
      </c>
      <c r="X4638">
        <v>0.99937960000000003</v>
      </c>
      <c r="Y4638">
        <v>-1.21963E-2</v>
      </c>
      <c r="Z4638">
        <v>0.10234890000000001</v>
      </c>
      <c r="AA4638">
        <v>0.99467380000000005</v>
      </c>
      <c r="AB4638">
        <v>27</v>
      </c>
      <c r="AC4638">
        <v>3.8199999999960703E-2</v>
      </c>
      <c r="AD4638">
        <v>-8.8478000000000001E-2</v>
      </c>
      <c r="AE4638">
        <v>-0.58585000000000698</v>
      </c>
      <c r="AF4638">
        <v>-1.04914894933585E-2</v>
      </c>
      <c r="AG4638">
        <v>-8.8478000000000001E-2</v>
      </c>
      <c r="AH4638">
        <v>0.57396024661257306</v>
      </c>
      <c r="AI4638">
        <v>98.761924856482295</v>
      </c>
      <c r="AJ4638">
        <v>91.047199934061695</v>
      </c>
      <c r="AK4638">
        <v>0.580834565541131</v>
      </c>
      <c r="AL4638">
        <v>90.584905534413394</v>
      </c>
      <c r="AM4638">
        <v>91.931758947603697</v>
      </c>
      <c r="AN4638">
        <v>0.99999999239739501</v>
      </c>
    </row>
    <row r="4639" spans="1:40" x14ac:dyDescent="0.3">
      <c r="A4639" t="str">
        <f>"20200111160555335"</f>
        <v>20200111160555335</v>
      </c>
      <c r="B4639" t="str">
        <f>"1578729955326841"</f>
        <v>1578729955326841</v>
      </c>
      <c r="C4639" t="s">
        <v>40</v>
      </c>
      <c r="D4639">
        <v>6.1172370000000003</v>
      </c>
      <c r="E4639">
        <v>0.51007959999999997</v>
      </c>
      <c r="F4639" t="s">
        <v>42</v>
      </c>
      <c r="G4639">
        <v>-422.02659999999997</v>
      </c>
      <c r="H4639">
        <v>1.0246189999999999</v>
      </c>
      <c r="I4639">
        <v>71.061080000000004</v>
      </c>
      <c r="J4639">
        <v>-422.06169999999997</v>
      </c>
      <c r="K4639">
        <v>1.1105430000000001</v>
      </c>
      <c r="L4639">
        <v>71.630160000000004</v>
      </c>
      <c r="M4639">
        <v>4.6813479999999998E-2</v>
      </c>
      <c r="N4639">
        <v>0</v>
      </c>
      <c r="O4639">
        <v>-0.99880500000000005</v>
      </c>
      <c r="P4639">
        <v>7.8277360000000004E-2</v>
      </c>
      <c r="Q4639">
        <v>-2.4700489999999999E-2</v>
      </c>
      <c r="R4639">
        <v>-0.99662580000000001</v>
      </c>
      <c r="S4639">
        <v>0.17037959999999999</v>
      </c>
      <c r="T4639">
        <v>-0.30873060000000002</v>
      </c>
      <c r="U4639">
        <v>-2.9893489999999998</v>
      </c>
      <c r="V4639">
        <v>-3.1531780000000002E-2</v>
      </c>
      <c r="W4639">
        <v>-1.0661800000000001E-2</v>
      </c>
      <c r="X4639">
        <v>0.9994459</v>
      </c>
      <c r="Y4639">
        <v>-9.7986730000000008E-3</v>
      </c>
      <c r="Z4639">
        <v>0.1024775</v>
      </c>
      <c r="AA4639">
        <v>0.99468710000000005</v>
      </c>
      <c r="AB4639">
        <v>27</v>
      </c>
      <c r="AC4639">
        <v>3.5099999999999902E-2</v>
      </c>
      <c r="AD4639">
        <v>-8.5924000000000098E-2</v>
      </c>
      <c r="AE4639">
        <v>-0.56907999999999903</v>
      </c>
      <c r="AF4639">
        <v>-8.2313293870811197E-3</v>
      </c>
      <c r="AG4639">
        <v>-8.5924000000000098E-2</v>
      </c>
      <c r="AH4639">
        <v>0.55743936087249402</v>
      </c>
      <c r="AI4639">
        <v>98.761697871809403</v>
      </c>
      <c r="AJ4639">
        <v>90.845986475302595</v>
      </c>
      <c r="AK4639">
        <v>0.56408273294740496</v>
      </c>
      <c r="AL4639">
        <v>90.610887705625103</v>
      </c>
      <c r="AM4639">
        <v>91.807040137298898</v>
      </c>
      <c r="AN4639">
        <v>1.0000000170779999</v>
      </c>
    </row>
    <row r="4640" spans="1:40" x14ac:dyDescent="0.3">
      <c r="A4640" t="str">
        <f>"20200111160555359"</f>
        <v>20200111160555359</v>
      </c>
      <c r="B4640" t="str">
        <f>"1578729955357097"</f>
        <v>1578729955357097</v>
      </c>
      <c r="C4640" t="s">
        <v>40</v>
      </c>
      <c r="D4640">
        <v>5.1731410000000002</v>
      </c>
      <c r="E4640">
        <v>0.51394669999999998</v>
      </c>
      <c r="F4640" t="s">
        <v>42</v>
      </c>
      <c r="G4640">
        <v>-422.01749999999998</v>
      </c>
      <c r="H4640">
        <v>1.0252159999999999</v>
      </c>
      <c r="I4640">
        <v>70.816140000000004</v>
      </c>
      <c r="J4640">
        <v>-422.04860000000002</v>
      </c>
      <c r="K4640">
        <v>1.110538</v>
      </c>
      <c r="L4640">
        <v>71.350009999999997</v>
      </c>
      <c r="M4640">
        <v>4.6813550000000002E-2</v>
      </c>
      <c r="N4640">
        <v>0</v>
      </c>
      <c r="O4640">
        <v>-0.99880500000000005</v>
      </c>
      <c r="P4640">
        <v>7.6628799999999997E-2</v>
      </c>
      <c r="Q4640">
        <v>-2.4454819999999999E-2</v>
      </c>
      <c r="R4640">
        <v>-0.99676010000000004</v>
      </c>
      <c r="S4640">
        <v>0.162384</v>
      </c>
      <c r="T4640">
        <v>-0.31337510000000002</v>
      </c>
      <c r="U4640">
        <v>-2.989655</v>
      </c>
      <c r="V4640">
        <v>-2.9879050000000001E-2</v>
      </c>
      <c r="W4640">
        <v>-1.041716E-2</v>
      </c>
      <c r="X4640">
        <v>0.99949929999999998</v>
      </c>
      <c r="Y4640">
        <v>-7.1322180000000001E-3</v>
      </c>
      <c r="Z4640">
        <v>0.1040008</v>
      </c>
      <c r="AA4640">
        <v>0.99455170000000004</v>
      </c>
      <c r="AB4640">
        <v>27</v>
      </c>
      <c r="AC4640">
        <v>3.1100000000037601E-2</v>
      </c>
      <c r="AD4640">
        <v>-8.5322000000000106E-2</v>
      </c>
      <c r="AE4640">
        <v>-0.53386999999999296</v>
      </c>
      <c r="AF4640">
        <v>-5.9203782567454699E-3</v>
      </c>
      <c r="AG4640">
        <v>-8.5322000000000106E-2</v>
      </c>
      <c r="AH4640">
        <v>0.521466486266151</v>
      </c>
      <c r="AI4640">
        <v>99.291770022474694</v>
      </c>
      <c r="AJ4640">
        <v>90.650469632628699</v>
      </c>
      <c r="AK4640">
        <v>0.52843371472822298</v>
      </c>
      <c r="AL4640">
        <v>90.5968700604882</v>
      </c>
      <c r="AM4640">
        <v>91.712291117543202</v>
      </c>
      <c r="AN4640">
        <v>1.00000006277592</v>
      </c>
    </row>
    <row r="4641" spans="1:40" x14ac:dyDescent="0.3">
      <c r="A4641" t="str">
        <f>"20200111160555381"</f>
        <v>20200111160555381</v>
      </c>
      <c r="B4641" t="str">
        <f>"1578729955376617"</f>
        <v>1578729955376617</v>
      </c>
      <c r="C4641" t="s">
        <v>40</v>
      </c>
      <c r="D4641">
        <v>5.1881820000000003</v>
      </c>
      <c r="E4641">
        <v>0.54613909999999999</v>
      </c>
      <c r="F4641" t="s">
        <v>41</v>
      </c>
      <c r="G4641">
        <v>-421.25389999999999</v>
      </c>
      <c r="H4641" s="1">
        <v>-1.3200019999999999E-6</v>
      </c>
      <c r="I4641">
        <v>51.888370000000002</v>
      </c>
      <c r="J4641">
        <v>-422.03590000000003</v>
      </c>
      <c r="K4641">
        <v>1.1105339999999999</v>
      </c>
      <c r="L4641">
        <v>71.079350000000005</v>
      </c>
      <c r="M4641">
        <v>4.681362E-2</v>
      </c>
      <c r="N4641">
        <v>0</v>
      </c>
      <c r="O4641">
        <v>-0.99880500000000005</v>
      </c>
      <c r="P4641">
        <v>7.6021859999999997E-2</v>
      </c>
      <c r="Q4641">
        <v>-2.4846440000000001E-2</v>
      </c>
      <c r="R4641">
        <v>-0.99679680000000004</v>
      </c>
      <c r="S4641">
        <v>0.122345</v>
      </c>
      <c r="T4641">
        <v>-0.1709696</v>
      </c>
      <c r="U4641">
        <v>-2.9961549999999999</v>
      </c>
      <c r="V4641">
        <v>-2.927078E-2</v>
      </c>
      <c r="W4641">
        <v>-1.0810480000000001E-2</v>
      </c>
      <c r="X4641">
        <v>0.99951299999999998</v>
      </c>
      <c r="Y4641">
        <v>6.0900579999999998E-3</v>
      </c>
      <c r="Z4641">
        <v>5.6852600000000003E-2</v>
      </c>
      <c r="AA4641">
        <v>0.99836400000000003</v>
      </c>
      <c r="AB4641">
        <v>27</v>
      </c>
      <c r="AC4641">
        <v>0.782000000000039</v>
      </c>
      <c r="AD4641">
        <v>-1.1105353200019901</v>
      </c>
      <c r="AE4641">
        <v>-19.19098</v>
      </c>
      <c r="AF4641">
        <v>0.116954307120127</v>
      </c>
      <c r="AG4641">
        <v>-1.1105353200019901</v>
      </c>
      <c r="AH4641">
        <v>19.1425519664879</v>
      </c>
      <c r="AI4641">
        <v>93.320171915360206</v>
      </c>
      <c r="AJ4641">
        <v>89.649947152831501</v>
      </c>
      <c r="AK4641">
        <v>19.175094857565</v>
      </c>
      <c r="AL4641">
        <v>90.619406980043195</v>
      </c>
      <c r="AM4641">
        <v>91.677429879567995</v>
      </c>
      <c r="AN4641">
        <v>0.999999941104317</v>
      </c>
    </row>
    <row r="4642" spans="1:40" x14ac:dyDescent="0.3">
      <c r="A4642" t="str">
        <f>"20200111160555404"</f>
        <v>20200111160555404</v>
      </c>
      <c r="B4642" t="str">
        <f>"1578729955397113"</f>
        <v>1578729955397113</v>
      </c>
      <c r="C4642" t="s">
        <v>40</v>
      </c>
      <c r="D4642">
        <v>5.2151680000000002</v>
      </c>
      <c r="E4642">
        <v>0.55370489999999895</v>
      </c>
      <c r="F4642" t="s">
        <v>42</v>
      </c>
      <c r="G4642">
        <v>-422.06740000000002</v>
      </c>
      <c r="H4642">
        <v>1.0006839999999999</v>
      </c>
      <c r="I4642">
        <v>70.337519999999998</v>
      </c>
      <c r="J4642">
        <v>-422.02289999999999</v>
      </c>
      <c r="K4642">
        <v>1.110541</v>
      </c>
      <c r="L4642">
        <v>70.803340000000006</v>
      </c>
      <c r="M4642">
        <v>4.6813920000000002E-2</v>
      </c>
      <c r="N4642">
        <v>0</v>
      </c>
      <c r="O4642">
        <v>-0.99880500000000005</v>
      </c>
      <c r="P4642">
        <v>7.6242340000000006E-2</v>
      </c>
      <c r="Q4642">
        <v>-2.470058E-2</v>
      </c>
      <c r="R4642">
        <v>-0.99678339999999999</v>
      </c>
      <c r="S4642">
        <v>-0.1273193</v>
      </c>
      <c r="T4642">
        <v>-0.44548120000000002</v>
      </c>
      <c r="U4642">
        <v>-3.0082399999999998</v>
      </c>
      <c r="V4642">
        <v>-2.9491489999999999E-2</v>
      </c>
      <c r="W4642">
        <v>-1.066684E-2</v>
      </c>
      <c r="X4642">
        <v>0.99950810000000001</v>
      </c>
      <c r="Y4642">
        <v>8.8562009999999997E-2</v>
      </c>
      <c r="Z4642">
        <v>0.1458969</v>
      </c>
      <c r="AA4642">
        <v>0.98532779999999998</v>
      </c>
      <c r="AB4642">
        <v>27</v>
      </c>
      <c r="AC4642">
        <v>-4.4500000000027698E-2</v>
      </c>
      <c r="AD4642">
        <v>-0.109857</v>
      </c>
      <c r="AE4642">
        <v>-0.46582000000000701</v>
      </c>
      <c r="AF4642">
        <v>6.2799011462383605E-2</v>
      </c>
      <c r="AG4642">
        <v>-0.109857</v>
      </c>
      <c r="AH4642">
        <v>0.43902848609707101</v>
      </c>
      <c r="AI4642">
        <v>103.912483270385</v>
      </c>
      <c r="AJ4642">
        <v>81.859582315057395</v>
      </c>
      <c r="AK4642">
        <v>0.456900741840433</v>
      </c>
      <c r="AL4642">
        <v>90.611176511942006</v>
      </c>
      <c r="AM4642">
        <v>91.690079150127602</v>
      </c>
      <c r="AN4642">
        <v>0.99999998571180704</v>
      </c>
    </row>
    <row r="4643" spans="1:40" x14ac:dyDescent="0.3">
      <c r="A4643" t="str">
        <f>"20200111160555426"</f>
        <v>20200111160555426</v>
      </c>
      <c r="B4643" t="str">
        <f>"1578729955416633"</f>
        <v>1578729955416633</v>
      </c>
      <c r="C4643" t="s">
        <v>40</v>
      </c>
      <c r="D4643">
        <v>5.2138010000000001</v>
      </c>
      <c r="E4643">
        <v>0.55563280000000004</v>
      </c>
      <c r="F4643" t="s">
        <v>42</v>
      </c>
      <c r="G4643">
        <v>-422.07819999999998</v>
      </c>
      <c r="H4643">
        <v>0.91762860000000002</v>
      </c>
      <c r="I4643">
        <v>69.889080000000007</v>
      </c>
      <c r="J4643">
        <v>-422.01010000000002</v>
      </c>
      <c r="K4643">
        <v>1.11054599999999</v>
      </c>
      <c r="L4643">
        <v>70.531130000000005</v>
      </c>
      <c r="M4643">
        <v>4.6813960000000002E-2</v>
      </c>
      <c r="N4643">
        <v>0</v>
      </c>
      <c r="O4643">
        <v>-0.99880500000000005</v>
      </c>
      <c r="P4643">
        <v>7.7703320000000006E-2</v>
      </c>
      <c r="Q4643">
        <v>-2.4797820000000002E-2</v>
      </c>
      <c r="R4643">
        <v>-0.9966682</v>
      </c>
      <c r="S4643">
        <v>-0.18170169999999999</v>
      </c>
      <c r="T4643">
        <v>-0.63467399999999996</v>
      </c>
      <c r="U4643">
        <v>-3.0078740000000002</v>
      </c>
      <c r="V4643">
        <v>-3.0955549999999998E-2</v>
      </c>
      <c r="W4643">
        <v>-1.076705E-2</v>
      </c>
      <c r="X4643">
        <v>0.99946279999999998</v>
      </c>
      <c r="Y4643">
        <v>0.10567650000000001</v>
      </c>
      <c r="Z4643">
        <v>0.2053606</v>
      </c>
      <c r="AA4643">
        <v>0.9729643</v>
      </c>
      <c r="AB4643">
        <v>27</v>
      </c>
      <c r="AC4643">
        <v>-6.8099999999958499E-2</v>
      </c>
      <c r="AD4643">
        <v>-0.19291739999999899</v>
      </c>
      <c r="AE4643">
        <v>-0.64204999999999701</v>
      </c>
      <c r="AF4643">
        <v>9.0046019783195305E-2</v>
      </c>
      <c r="AG4643">
        <v>-0.19291739999999899</v>
      </c>
      <c r="AH4643">
        <v>0.585853510450972</v>
      </c>
      <c r="AI4643">
        <v>108.028561136199</v>
      </c>
      <c r="AJ4643">
        <v>81.2619862689928</v>
      </c>
      <c r="AK4643">
        <v>0.62333758478795598</v>
      </c>
      <c r="AL4643">
        <v>90.616918423275195</v>
      </c>
      <c r="AM4643">
        <v>91.774008559715597</v>
      </c>
      <c r="AN4643">
        <v>1.0000000320126701</v>
      </c>
    </row>
    <row r="4644" spans="1:40" x14ac:dyDescent="0.3">
      <c r="A4644" t="str">
        <f>"20200111160555447"</f>
        <v>20200111160555447</v>
      </c>
      <c r="B4644" t="str">
        <f>"1578729955437130"</f>
        <v>1578729955437130</v>
      </c>
      <c r="C4644" t="s">
        <v>40</v>
      </c>
      <c r="D4644">
        <v>5.2398559999999996</v>
      </c>
      <c r="E4644">
        <v>0.55678729999999999</v>
      </c>
      <c r="F4644" t="s">
        <v>42</v>
      </c>
      <c r="G4644">
        <v>-422.06599999999997</v>
      </c>
      <c r="H4644">
        <v>0.90819629999999996</v>
      </c>
      <c r="I4644">
        <v>69.650499999999994</v>
      </c>
      <c r="J4644">
        <v>-421.99779999999998</v>
      </c>
      <c r="K4644">
        <v>1.110554</v>
      </c>
      <c r="L4644">
        <v>70.269350000000003</v>
      </c>
      <c r="M4644">
        <v>4.6813849999999997E-2</v>
      </c>
      <c r="N4644">
        <v>0</v>
      </c>
      <c r="O4644">
        <v>-0.99880519999999995</v>
      </c>
      <c r="P4644">
        <v>7.9995570000000002E-2</v>
      </c>
      <c r="Q4644">
        <v>-2.6034689999999999E-2</v>
      </c>
      <c r="R4644">
        <v>-0.9964556</v>
      </c>
      <c r="S4644">
        <v>-0.19122310000000001</v>
      </c>
      <c r="T4644">
        <v>-0.69111489999999998</v>
      </c>
      <c r="U4644">
        <v>-3.0077509999999998</v>
      </c>
      <c r="V4644">
        <v>-3.3255930000000003E-2</v>
      </c>
      <c r="W4644">
        <v>-1.20074E-2</v>
      </c>
      <c r="X4644">
        <v>0.99937469999999995</v>
      </c>
      <c r="Y4644">
        <v>0.1085044</v>
      </c>
      <c r="Z4644">
        <v>0.22269800000000001</v>
      </c>
      <c r="AA4644">
        <v>0.96883039999999998</v>
      </c>
      <c r="AB4644">
        <v>27</v>
      </c>
      <c r="AC4644">
        <v>-6.8199999999990199E-2</v>
      </c>
      <c r="AD4644">
        <v>-0.2023577</v>
      </c>
      <c r="AE4644">
        <v>-0.618850000000009</v>
      </c>
      <c r="AF4644">
        <v>8.7821411259422402E-2</v>
      </c>
      <c r="AG4644">
        <v>-0.2023577</v>
      </c>
      <c r="AH4644">
        <v>0.55621964812638802</v>
      </c>
      <c r="AI4644">
        <v>109.766270781743</v>
      </c>
      <c r="AJ4644">
        <v>81.027649137940003</v>
      </c>
      <c r="AK4644">
        <v>0.59836572093221496</v>
      </c>
      <c r="AL4644">
        <v>90.687989901345304</v>
      </c>
      <c r="AM4644">
        <v>91.905913348936394</v>
      </c>
      <c r="AN4644">
        <v>0.99999996276750602</v>
      </c>
    </row>
    <row r="4645" spans="1:40" x14ac:dyDescent="0.3">
      <c r="A4645" t="str">
        <f>"20200111160555471"</f>
        <v>20200111160555471</v>
      </c>
      <c r="B4645" t="str">
        <f>"1578729955466409"</f>
        <v>1578729955466409</v>
      </c>
      <c r="C4645" t="s">
        <v>40</v>
      </c>
      <c r="D4645">
        <v>5.3241699999999996</v>
      </c>
      <c r="E4645">
        <v>0.55618769999999995</v>
      </c>
      <c r="F4645" t="s">
        <v>42</v>
      </c>
      <c r="G4645">
        <v>-422.053</v>
      </c>
      <c r="H4645">
        <v>0.90287360000000005</v>
      </c>
      <c r="I4645">
        <v>69.410200000000003</v>
      </c>
      <c r="J4645">
        <v>-421.98500000000001</v>
      </c>
      <c r="K4645">
        <v>1.1105419999999999</v>
      </c>
      <c r="L4645">
        <v>69.995450000000005</v>
      </c>
      <c r="M4645">
        <v>4.6813779999999999E-2</v>
      </c>
      <c r="N4645">
        <v>0</v>
      </c>
      <c r="O4645">
        <v>-0.99880519999999995</v>
      </c>
      <c r="P4645">
        <v>8.2667130000000005E-2</v>
      </c>
      <c r="Q4645">
        <v>-2.739639E-2</v>
      </c>
      <c r="R4645">
        <v>-0.99620109999999995</v>
      </c>
      <c r="S4645">
        <v>-0.19265750000000001</v>
      </c>
      <c r="T4645">
        <v>-0.7269139</v>
      </c>
      <c r="U4645">
        <v>-3.0071409999999998</v>
      </c>
      <c r="V4645">
        <v>-3.5936679999999999E-2</v>
      </c>
      <c r="W4645">
        <v>-1.337293E-2</v>
      </c>
      <c r="X4645">
        <v>0.99926459999999995</v>
      </c>
      <c r="Y4645">
        <v>0.1088123</v>
      </c>
      <c r="Z4645">
        <v>0.2336502</v>
      </c>
      <c r="AA4645">
        <v>0.96621290000000004</v>
      </c>
      <c r="AB4645">
        <v>27</v>
      </c>
      <c r="AC4645">
        <v>-6.8000000000040403E-2</v>
      </c>
      <c r="AD4645">
        <v>-0.2076684</v>
      </c>
      <c r="AE4645">
        <v>-0.58525000000000205</v>
      </c>
      <c r="AF4645">
        <v>8.4791994309515006E-2</v>
      </c>
      <c r="AG4645">
        <v>-0.2076684</v>
      </c>
      <c r="AH4645">
        <v>0.51717480515695202</v>
      </c>
      <c r="AI4645">
        <v>111.61612127205601</v>
      </c>
      <c r="AJ4645">
        <v>80.689063023185099</v>
      </c>
      <c r="AK4645">
        <v>0.56372477836855495</v>
      </c>
      <c r="AL4645">
        <v>90.766235280134197</v>
      </c>
      <c r="AM4645">
        <v>92.059647771396996</v>
      </c>
      <c r="AN4645">
        <v>1.00000001051968</v>
      </c>
    </row>
    <row r="4646" spans="1:40" x14ac:dyDescent="0.3">
      <c r="A4646" t="str">
        <f>"20200111160555493"</f>
        <v>20200111160555493</v>
      </c>
      <c r="B4646" t="str">
        <f>"1578729955486905"</f>
        <v>1578729955486905</v>
      </c>
      <c r="C4646" t="s">
        <v>40</v>
      </c>
      <c r="D4646">
        <v>5.2985410000000002</v>
      </c>
      <c r="E4646">
        <v>0.55597619999999903</v>
      </c>
      <c r="F4646" t="s">
        <v>42</v>
      </c>
      <c r="G4646">
        <v>-422.03449999999998</v>
      </c>
      <c r="H4646">
        <v>0.9017925</v>
      </c>
      <c r="I4646">
        <v>69.168880000000001</v>
      </c>
      <c r="J4646">
        <v>-421.97179999999997</v>
      </c>
      <c r="K4646">
        <v>1.110535</v>
      </c>
      <c r="L4646">
        <v>69.713560000000001</v>
      </c>
      <c r="M4646">
        <v>4.6813849999999997E-2</v>
      </c>
      <c r="N4646">
        <v>0</v>
      </c>
      <c r="O4646">
        <v>-0.99880519999999995</v>
      </c>
      <c r="P4646">
        <v>8.5367170000000006E-2</v>
      </c>
      <c r="Q4646">
        <v>-2.8805399999999998E-2</v>
      </c>
      <c r="R4646">
        <v>-0.99593339999999997</v>
      </c>
      <c r="S4646">
        <v>-0.1802368</v>
      </c>
      <c r="T4646">
        <v>-0.75903889999999996</v>
      </c>
      <c r="U4646">
        <v>-3.0055239999999999</v>
      </c>
      <c r="V4646">
        <v>-3.8646020000000003E-2</v>
      </c>
      <c r="W4646">
        <v>-1.478606E-2</v>
      </c>
      <c r="X4646">
        <v>0.99914349999999996</v>
      </c>
      <c r="Y4646">
        <v>0.1047208</v>
      </c>
      <c r="Z4646">
        <v>0.24357719999999999</v>
      </c>
      <c r="AA4646">
        <v>0.9642115</v>
      </c>
      <c r="AB4646">
        <v>27</v>
      </c>
      <c r="AC4646">
        <v>-6.2700000000006598E-2</v>
      </c>
      <c r="AD4646">
        <v>-0.2087425</v>
      </c>
      <c r="AE4646">
        <v>-0.54467999999999905</v>
      </c>
      <c r="AF4646">
        <v>7.6974738537305507E-2</v>
      </c>
      <c r="AG4646">
        <v>-0.2087425</v>
      </c>
      <c r="AH4646">
        <v>0.47263778137227203</v>
      </c>
      <c r="AI4646">
        <v>113.552919460295</v>
      </c>
      <c r="AJ4646">
        <v>80.749906951943103</v>
      </c>
      <c r="AK4646">
        <v>0.52238397186326502</v>
      </c>
      <c r="AL4646">
        <v>90.847209758626704</v>
      </c>
      <c r="AM4646">
        <v>92.215047788481897</v>
      </c>
      <c r="AN4646">
        <v>0.99999993801220499</v>
      </c>
    </row>
    <row r="4647" spans="1:40" x14ac:dyDescent="0.3">
      <c r="A4647" t="str">
        <f>"20200111160555516"</f>
        <v>20200111160555516</v>
      </c>
      <c r="B4647" t="str">
        <f>"1578729955506425"</f>
        <v>1578729955506425</v>
      </c>
      <c r="C4647" t="s">
        <v>40</v>
      </c>
      <c r="D4647">
        <v>5.3227200000000003</v>
      </c>
      <c r="E4647">
        <v>0.55588769999999998</v>
      </c>
      <c r="F4647" t="s">
        <v>42</v>
      </c>
      <c r="G4647">
        <v>-422.017</v>
      </c>
      <c r="H4647">
        <v>0.90691270000000002</v>
      </c>
      <c r="I4647">
        <v>68.924769999999995</v>
      </c>
      <c r="J4647">
        <v>-421.95920000000001</v>
      </c>
      <c r="K4647">
        <v>1.110525</v>
      </c>
      <c r="L4647">
        <v>69.446690000000004</v>
      </c>
      <c r="M4647">
        <v>4.6814000000000001E-2</v>
      </c>
      <c r="N4647">
        <v>0</v>
      </c>
      <c r="O4647">
        <v>-0.99880519999999995</v>
      </c>
      <c r="P4647">
        <v>8.7721380000000002E-2</v>
      </c>
      <c r="Q4647">
        <v>-2.9630150000000001E-2</v>
      </c>
      <c r="R4647">
        <v>-0.99570440000000004</v>
      </c>
      <c r="S4647">
        <v>-0.17153929999999901</v>
      </c>
      <c r="T4647">
        <v>-0.7756113</v>
      </c>
      <c r="U4647">
        <v>-3.0045169999999999</v>
      </c>
      <c r="V4647">
        <v>-4.100848E-2</v>
      </c>
      <c r="W4647">
        <v>-1.5614609999999999E-2</v>
      </c>
      <c r="X4647">
        <v>0.99903679999999995</v>
      </c>
      <c r="Y4647">
        <v>0.1018839</v>
      </c>
      <c r="Z4647">
        <v>0.2487019</v>
      </c>
      <c r="AA4647">
        <v>0.96320660000000002</v>
      </c>
      <c r="AB4647">
        <v>27</v>
      </c>
      <c r="AC4647">
        <v>-5.7799999999986001E-2</v>
      </c>
      <c r="AD4647">
        <v>-0.2036123</v>
      </c>
      <c r="AE4647">
        <v>-0.52192000000000804</v>
      </c>
      <c r="AF4647">
        <v>7.1432272640412395E-2</v>
      </c>
      <c r="AG4647">
        <v>-0.2036123</v>
      </c>
      <c r="AH4647">
        <v>0.45085506657691599</v>
      </c>
      <c r="AI4647">
        <v>114.03925542793699</v>
      </c>
      <c r="AJ4647">
        <v>80.997043867337297</v>
      </c>
      <c r="AK4647">
        <v>0.49983080071554098</v>
      </c>
      <c r="AL4647">
        <v>90.894687593235702</v>
      </c>
      <c r="AM4647">
        <v>92.350558566768399</v>
      </c>
      <c r="AN4647">
        <v>1.0000000196158001</v>
      </c>
    </row>
    <row r="4648" spans="1:40" x14ac:dyDescent="0.3">
      <c r="A4648" t="str">
        <f>"20200111160555537"</f>
        <v>20200111160555537</v>
      </c>
      <c r="B4648" t="str">
        <f>"1578729955526921"</f>
        <v>1578729955526921</v>
      </c>
      <c r="C4648" t="s">
        <v>40</v>
      </c>
      <c r="D4648">
        <v>5.2555259999999997</v>
      </c>
      <c r="E4648">
        <v>0.55602819999999997</v>
      </c>
      <c r="F4648" t="s">
        <v>42</v>
      </c>
      <c r="G4648">
        <v>-422.0009</v>
      </c>
      <c r="H4648">
        <v>0.91011169999999997</v>
      </c>
      <c r="I4648">
        <v>68.681709999999995</v>
      </c>
      <c r="J4648">
        <v>-421.94690000000003</v>
      </c>
      <c r="K4648">
        <v>1.1105259999999999</v>
      </c>
      <c r="L4648">
        <v>69.183619999999905</v>
      </c>
      <c r="M4648">
        <v>4.6814139999999997E-2</v>
      </c>
      <c r="N4648">
        <v>0</v>
      </c>
      <c r="O4648">
        <v>-0.99880519999999995</v>
      </c>
      <c r="P4648">
        <v>8.9140549999999999E-2</v>
      </c>
      <c r="Q4648">
        <v>-2.9426419999999998E-2</v>
      </c>
      <c r="R4648">
        <v>-0.99558449999999998</v>
      </c>
      <c r="S4648">
        <v>-0.16424559999999999</v>
      </c>
      <c r="T4648">
        <v>-0.78699680000000005</v>
      </c>
      <c r="U4648">
        <v>-3.0039980000000002</v>
      </c>
      <c r="V4648">
        <v>-4.243152E-2</v>
      </c>
      <c r="W4648">
        <v>-1.541389E-2</v>
      </c>
      <c r="X4648">
        <v>0.99898050000000005</v>
      </c>
      <c r="Y4648">
        <v>9.9512349999999999E-2</v>
      </c>
      <c r="Z4648">
        <v>0.25220749999999997</v>
      </c>
      <c r="AA4648">
        <v>0.96254280000000003</v>
      </c>
      <c r="AB4648">
        <v>27</v>
      </c>
      <c r="AC4648">
        <v>-5.3999999999973597E-2</v>
      </c>
      <c r="AD4648">
        <v>-0.20041429999999999</v>
      </c>
      <c r="AE4648">
        <v>-0.50190999999999497</v>
      </c>
      <c r="AF4648">
        <v>6.6895589809917305E-2</v>
      </c>
      <c r="AG4648">
        <v>-0.20041429999999999</v>
      </c>
      <c r="AH4648">
        <v>0.43091169692758302</v>
      </c>
      <c r="AI4648">
        <v>114.682971171227</v>
      </c>
      <c r="AJ4648">
        <v>81.175727735811705</v>
      </c>
      <c r="AK4648">
        <v>0.47992270432801598</v>
      </c>
      <c r="AL4648">
        <v>90.883185790565506</v>
      </c>
      <c r="AM4648">
        <v>92.432166168921498</v>
      </c>
      <c r="AN4648">
        <v>1.00000003063734</v>
      </c>
    </row>
    <row r="4649" spans="1:40" x14ac:dyDescent="0.3">
      <c r="A4649" t="str">
        <f>"20200111160555560"</f>
        <v>20200111160555560</v>
      </c>
      <c r="B4649" t="str">
        <f>"1578729955557177"</f>
        <v>1578729955557177</v>
      </c>
      <c r="C4649" t="s">
        <v>40</v>
      </c>
      <c r="D4649">
        <v>5.1228569999999998</v>
      </c>
      <c r="E4649">
        <v>0.55658160000000001</v>
      </c>
      <c r="F4649" t="s">
        <v>42</v>
      </c>
      <c r="G4649">
        <v>-421.98700000000002</v>
      </c>
      <c r="H4649">
        <v>0.91366760000000002</v>
      </c>
      <c r="I4649">
        <v>68.438599999999994</v>
      </c>
      <c r="J4649">
        <v>-421.9341</v>
      </c>
      <c r="K4649">
        <v>1.1105179999999999</v>
      </c>
      <c r="L4649">
        <v>68.912229999999994</v>
      </c>
      <c r="M4649">
        <v>4.681424E-2</v>
      </c>
      <c r="N4649">
        <v>0</v>
      </c>
      <c r="O4649">
        <v>-0.99880519999999995</v>
      </c>
      <c r="P4649">
        <v>9.1121030000000006E-2</v>
      </c>
      <c r="Q4649">
        <v>-2.9205060000000001E-2</v>
      </c>
      <c r="R4649">
        <v>-0.99541179999999996</v>
      </c>
      <c r="S4649">
        <v>-0.16122439999999999</v>
      </c>
      <c r="T4649">
        <v>-0.79382189999999997</v>
      </c>
      <c r="U4649">
        <v>-3.0042719999999998</v>
      </c>
      <c r="V4649">
        <v>-4.4417959999999999E-2</v>
      </c>
      <c r="W4649">
        <v>-1.519597E-2</v>
      </c>
      <c r="X4649">
        <v>0.99889740000000005</v>
      </c>
      <c r="Y4649">
        <v>9.8513770000000001E-2</v>
      </c>
      <c r="Z4649">
        <v>0.25425029999999998</v>
      </c>
      <c r="AA4649">
        <v>0.96210799999999996</v>
      </c>
      <c r="AB4649">
        <v>27</v>
      </c>
      <c r="AC4649">
        <v>-5.2899999999965502E-2</v>
      </c>
      <c r="AD4649">
        <v>-0.19685040000000001</v>
      </c>
      <c r="AE4649">
        <v>-0.47363000000001398</v>
      </c>
      <c r="AF4649">
        <v>6.4083392086832197E-2</v>
      </c>
      <c r="AG4649">
        <v>-0.19685040000000001</v>
      </c>
      <c r="AH4649">
        <v>0.40204084231244502</v>
      </c>
      <c r="AI4649">
        <v>115.80488079246901</v>
      </c>
      <c r="AJ4649">
        <v>80.943512175543304</v>
      </c>
      <c r="AK4649">
        <v>0.45220968588566901</v>
      </c>
      <c r="AL4649">
        <v>90.870698507307296</v>
      </c>
      <c r="AM4649">
        <v>92.546093557208707</v>
      </c>
      <c r="AN4649">
        <v>0.99999994420077898</v>
      </c>
    </row>
    <row r="4650" spans="1:40" x14ac:dyDescent="0.3">
      <c r="A4650" t="str">
        <f>"20200111160555584"</f>
        <v>20200111160555584</v>
      </c>
      <c r="B4650" t="str">
        <f>"1578729955576700"</f>
        <v>1578729955576700</v>
      </c>
      <c r="C4650" t="s">
        <v>40</v>
      </c>
      <c r="D4650">
        <v>5.0845510000000003</v>
      </c>
      <c r="E4650">
        <v>0.57371369999999999</v>
      </c>
      <c r="F4650" t="s">
        <v>42</v>
      </c>
      <c r="G4650">
        <v>-421.97219999999999</v>
      </c>
      <c r="H4650">
        <v>0.91937389999999997</v>
      </c>
      <c r="I4650">
        <v>68.194769999999906</v>
      </c>
      <c r="J4650">
        <v>-421.92070000000001</v>
      </c>
      <c r="K4650">
        <v>1.110509</v>
      </c>
      <c r="L4650">
        <v>68.624969999999905</v>
      </c>
      <c r="M4650">
        <v>4.6814290000000001E-2</v>
      </c>
      <c r="N4650">
        <v>0</v>
      </c>
      <c r="O4650">
        <v>-0.99880519999999995</v>
      </c>
      <c r="P4650">
        <v>9.2684249999999996E-2</v>
      </c>
      <c r="Q4650">
        <v>-2.9015030000000001E-2</v>
      </c>
      <c r="R4650">
        <v>-0.99527279999999996</v>
      </c>
      <c r="S4650">
        <v>-0.1600037</v>
      </c>
      <c r="T4650">
        <v>-0.80058660000000004</v>
      </c>
      <c r="U4650">
        <v>-3.0050050000000001</v>
      </c>
      <c r="V4650">
        <v>-4.5986060000000002E-2</v>
      </c>
      <c r="W4650">
        <v>-1.5009430000000001E-2</v>
      </c>
      <c r="X4650">
        <v>0.99882930000000003</v>
      </c>
      <c r="Y4650">
        <v>9.8083799999999999E-2</v>
      </c>
      <c r="Z4650">
        <v>0.2562238</v>
      </c>
      <c r="AA4650">
        <v>0.96162829999999999</v>
      </c>
      <c r="AB4650">
        <v>27</v>
      </c>
      <c r="AC4650">
        <v>-5.1499999999975898E-2</v>
      </c>
      <c r="AD4650">
        <v>-0.1911351</v>
      </c>
      <c r="AE4650">
        <v>-0.43019999999999903</v>
      </c>
      <c r="AF4650">
        <v>5.9923438818363303E-2</v>
      </c>
      <c r="AG4650">
        <v>-0.1911351</v>
      </c>
      <c r="AH4650">
        <v>0.35770487855640198</v>
      </c>
      <c r="AI4650">
        <v>117.78895703990101</v>
      </c>
      <c r="AJ4650">
        <v>80.490001603497404</v>
      </c>
      <c r="AK4650">
        <v>0.40997100521241597</v>
      </c>
      <c r="AL4650">
        <v>90.860009297235905</v>
      </c>
      <c r="AM4650">
        <v>92.636033875939702</v>
      </c>
      <c r="AN4650">
        <v>0.999999985620869</v>
      </c>
    </row>
    <row r="4651" spans="1:40" x14ac:dyDescent="0.3">
      <c r="A4651" t="str">
        <f>"20200111160555605"</f>
        <v>20200111160555605</v>
      </c>
      <c r="B4651" t="str">
        <f>"1578729955597193"</f>
        <v>1578729955597193</v>
      </c>
      <c r="C4651" t="s">
        <v>40</v>
      </c>
      <c r="D4651">
        <v>5.0895599999999996</v>
      </c>
      <c r="E4651">
        <v>0.5734302</v>
      </c>
      <c r="F4651" t="s">
        <v>42</v>
      </c>
      <c r="G4651">
        <v>-422.0059</v>
      </c>
      <c r="H4651">
        <v>0.85214840000000003</v>
      </c>
      <c r="I4651">
        <v>67.737369999999999</v>
      </c>
      <c r="J4651">
        <v>-421.90879999999999</v>
      </c>
      <c r="K4651">
        <v>1.1105050000000001</v>
      </c>
      <c r="L4651">
        <v>68.372069999999994</v>
      </c>
      <c r="M4651">
        <v>4.6814359999999999E-2</v>
      </c>
      <c r="N4651">
        <v>0</v>
      </c>
      <c r="O4651">
        <v>-0.99880550000000001</v>
      </c>
      <c r="P4651">
        <v>9.3873559999999995E-2</v>
      </c>
      <c r="Q4651">
        <v>-2.8752300000000001E-2</v>
      </c>
      <c r="R4651">
        <v>-0.99516919999999998</v>
      </c>
      <c r="S4651">
        <v>-0.29003909999999899</v>
      </c>
      <c r="T4651">
        <v>-0.87778690000000004</v>
      </c>
      <c r="U4651">
        <v>-3.0156559999999999</v>
      </c>
      <c r="V4651">
        <v>-4.71788E-2</v>
      </c>
      <c r="W4651">
        <v>-1.4749719999999999E-2</v>
      </c>
      <c r="X4651">
        <v>0.99877760000000004</v>
      </c>
      <c r="Y4651">
        <v>0.13847290000000001</v>
      </c>
      <c r="Z4651">
        <v>0.27707619999999999</v>
      </c>
      <c r="AA4651">
        <v>0.95081760000000004</v>
      </c>
      <c r="AB4651">
        <v>27</v>
      </c>
      <c r="AC4651">
        <v>-9.7100000000011705E-2</v>
      </c>
      <c r="AD4651">
        <v>-0.25835659999999899</v>
      </c>
      <c r="AE4651">
        <v>-0.63469999999999505</v>
      </c>
      <c r="AF4651">
        <v>0.109053433500269</v>
      </c>
      <c r="AG4651">
        <v>-0.25835659999999899</v>
      </c>
      <c r="AH4651">
        <v>0.54174736749536101</v>
      </c>
      <c r="AI4651">
        <v>115.056879197177</v>
      </c>
      <c r="AJ4651">
        <v>78.618497408693301</v>
      </c>
      <c r="AK4651">
        <v>0.610025404643045</v>
      </c>
      <c r="AL4651">
        <v>90.845127313345799</v>
      </c>
      <c r="AM4651">
        <v>92.704444220656001</v>
      </c>
      <c r="AN4651">
        <v>1.00000004383563</v>
      </c>
    </row>
    <row r="4652" spans="1:40" x14ac:dyDescent="0.3">
      <c r="A4652" t="str">
        <f>"20200111160555627"</f>
        <v>20200111160555627</v>
      </c>
      <c r="B4652" t="str">
        <f>"1578729955616713"</f>
        <v>1578729955616713</v>
      </c>
      <c r="C4652" t="s">
        <v>40</v>
      </c>
      <c r="D4652">
        <v>5.1560040000000003</v>
      </c>
      <c r="E4652">
        <v>0.57231069999999995</v>
      </c>
      <c r="F4652" t="s">
        <v>42</v>
      </c>
      <c r="G4652">
        <v>-421.99160000000001</v>
      </c>
      <c r="H4652">
        <v>0.85623130000000003</v>
      </c>
      <c r="I4652">
        <v>67.495469999999997</v>
      </c>
      <c r="J4652">
        <v>-421.89640000000003</v>
      </c>
      <c r="K4652">
        <v>1.1105069999999999</v>
      </c>
      <c r="L4652">
        <v>68.105680000000007</v>
      </c>
      <c r="M4652">
        <v>4.6814399999999999E-2</v>
      </c>
      <c r="N4652">
        <v>0</v>
      </c>
      <c r="O4652">
        <v>-0.99880550000000001</v>
      </c>
      <c r="P4652">
        <v>9.4549170000000002E-2</v>
      </c>
      <c r="Q4652">
        <v>-2.8613719999999999E-2</v>
      </c>
      <c r="R4652">
        <v>-0.99510929999999997</v>
      </c>
      <c r="S4652">
        <v>-0.28466799999999998</v>
      </c>
      <c r="T4652">
        <v>-0.87488779999999999</v>
      </c>
      <c r="U4652">
        <v>-3.0161440000000002</v>
      </c>
      <c r="V4652">
        <v>-4.7856120000000002E-2</v>
      </c>
      <c r="W4652">
        <v>-1.4614169999999999E-2</v>
      </c>
      <c r="X4652">
        <v>0.9987473</v>
      </c>
      <c r="Y4652">
        <v>0.13680290000000001</v>
      </c>
      <c r="Z4652">
        <v>0.27624480000000001</v>
      </c>
      <c r="AA4652">
        <v>0.95130110000000001</v>
      </c>
      <c r="AB4652">
        <v>27</v>
      </c>
      <c r="AC4652">
        <v>-9.5199999999976997E-2</v>
      </c>
      <c r="AD4652">
        <v>-0.25427569999999899</v>
      </c>
      <c r="AE4652">
        <v>-0.61021000000000902</v>
      </c>
      <c r="AF4652">
        <v>0.105740466231102</v>
      </c>
      <c r="AG4652">
        <v>-0.25427569999999899</v>
      </c>
      <c r="AH4652">
        <v>0.51738018294117705</v>
      </c>
      <c r="AI4652">
        <v>115.711479634686</v>
      </c>
      <c r="AJ4652">
        <v>78.449148891548006</v>
      </c>
      <c r="AK4652">
        <v>0.58610530752545398</v>
      </c>
      <c r="AL4652">
        <v>90.837360090606595</v>
      </c>
      <c r="AM4652">
        <v>92.743294641953696</v>
      </c>
      <c r="AN4652">
        <v>0.99999997572176602</v>
      </c>
    </row>
    <row r="4653" spans="1:40" x14ac:dyDescent="0.3">
      <c r="A4653" t="str">
        <f>"20200111160555648"</f>
        <v>20200111160555648</v>
      </c>
      <c r="B4653" t="str">
        <f>"1578729955637210"</f>
        <v>1578729955637210</v>
      </c>
      <c r="C4653" t="s">
        <v>40</v>
      </c>
      <c r="D4653">
        <v>5.1195089999999999</v>
      </c>
      <c r="E4653">
        <v>0.57147999999999999</v>
      </c>
      <c r="F4653" t="s">
        <v>42</v>
      </c>
      <c r="G4653">
        <v>-421.97379999999998</v>
      </c>
      <c r="H4653">
        <v>0.86262659999999902</v>
      </c>
      <c r="I4653">
        <v>67.253159999999994</v>
      </c>
      <c r="J4653">
        <v>-421.88409999999999</v>
      </c>
      <c r="K4653">
        <v>1.110522</v>
      </c>
      <c r="L4653">
        <v>67.84384</v>
      </c>
      <c r="M4653">
        <v>4.6814460000000002E-2</v>
      </c>
      <c r="N4653">
        <v>0</v>
      </c>
      <c r="O4653">
        <v>-0.99880519999999995</v>
      </c>
      <c r="P4653">
        <v>9.4979659999999994E-2</v>
      </c>
      <c r="Q4653">
        <v>-2.8537400000000001E-2</v>
      </c>
      <c r="R4653">
        <v>-0.99507049999999997</v>
      </c>
      <c r="S4653">
        <v>-0.27374270000000001</v>
      </c>
      <c r="T4653">
        <v>-0.87680400000000003</v>
      </c>
      <c r="U4653">
        <v>-3.015533</v>
      </c>
      <c r="V4653">
        <v>-4.828814E-2</v>
      </c>
      <c r="W4653">
        <v>-1.451411E-2</v>
      </c>
      <c r="X4653">
        <v>0.99872799999999995</v>
      </c>
      <c r="Y4653">
        <v>0.13338449999999999</v>
      </c>
      <c r="Z4653">
        <v>0.27696229999999999</v>
      </c>
      <c r="AA4653">
        <v>0.95157789999999998</v>
      </c>
      <c r="AB4653">
        <v>27</v>
      </c>
      <c r="AC4653">
        <v>-8.9699999999993396E-2</v>
      </c>
      <c r="AD4653">
        <v>-0.24789539999999999</v>
      </c>
      <c r="AE4653">
        <v>-0.59068000000000598</v>
      </c>
      <c r="AF4653">
        <v>0.10003478537617801</v>
      </c>
      <c r="AG4653">
        <v>-0.24789539999999999</v>
      </c>
      <c r="AH4653">
        <v>0.49978916333398399</v>
      </c>
      <c r="AI4653">
        <v>115.93613658522899</v>
      </c>
      <c r="AJ4653">
        <v>78.681585228278195</v>
      </c>
      <c r="AK4653">
        <v>0.56678769871310897</v>
      </c>
      <c r="AL4653">
        <v>90.831626437370304</v>
      </c>
      <c r="AM4653">
        <v>92.768074733713206</v>
      </c>
      <c r="AN4653">
        <v>1.00000001091887</v>
      </c>
    </row>
    <row r="4654" spans="1:40" x14ac:dyDescent="0.3">
      <c r="A4654" t="str">
        <f>"20200111160555672"</f>
        <v>20200111160555672</v>
      </c>
      <c r="B4654" t="str">
        <f>"1578729955666489"</f>
        <v>1578729955666489</v>
      </c>
      <c r="C4654" t="s">
        <v>40</v>
      </c>
      <c r="D4654">
        <v>5.0262900000000004</v>
      </c>
      <c r="E4654">
        <v>0.57114929999999997</v>
      </c>
      <c r="F4654" t="s">
        <v>42</v>
      </c>
      <c r="G4654">
        <v>-421.95729999999998</v>
      </c>
      <c r="H4654">
        <v>0.86839679999999997</v>
      </c>
      <c r="I4654">
        <v>67.011700000000005</v>
      </c>
      <c r="J4654">
        <v>-421.87099999999998</v>
      </c>
      <c r="K4654">
        <v>1.1105780000000001</v>
      </c>
      <c r="L4654">
        <v>67.565430000000006</v>
      </c>
      <c r="M4654">
        <v>4.6814370000000001E-2</v>
      </c>
      <c r="N4654">
        <v>0</v>
      </c>
      <c r="O4654">
        <v>-0.99880250000000004</v>
      </c>
      <c r="P4654">
        <v>9.4577190000000005E-2</v>
      </c>
      <c r="Q4654">
        <v>-2.810702E-2</v>
      </c>
      <c r="R4654">
        <v>-0.99512080000000003</v>
      </c>
      <c r="S4654">
        <v>-0.26464840000000001</v>
      </c>
      <c r="T4654">
        <v>-0.87726990000000005</v>
      </c>
      <c r="U4654">
        <v>-3.0149840000000001</v>
      </c>
      <c r="V4654">
        <v>-4.7883759999999997E-2</v>
      </c>
      <c r="W4654">
        <v>-1.3901169999999999E-2</v>
      </c>
      <c r="X4654">
        <v>0.99875619999999998</v>
      </c>
      <c r="Y4654">
        <v>0.13054560000000001</v>
      </c>
      <c r="Z4654">
        <v>0.27723179999999997</v>
      </c>
      <c r="AA4654">
        <v>0.95189310000000005</v>
      </c>
      <c r="AB4654">
        <v>27</v>
      </c>
      <c r="AC4654">
        <v>-8.6299999999994201E-2</v>
      </c>
      <c r="AD4654">
        <v>-0.24218120000000001</v>
      </c>
      <c r="AE4654">
        <v>-0.55373000000000105</v>
      </c>
      <c r="AF4654">
        <v>9.4485317605190702E-2</v>
      </c>
      <c r="AG4654">
        <v>-0.24218120000000001</v>
      </c>
      <c r="AH4654">
        <v>0.46267708783697697</v>
      </c>
      <c r="AI4654">
        <v>117.151019839306</v>
      </c>
      <c r="AJ4654">
        <v>78.458077433089798</v>
      </c>
      <c r="AK4654">
        <v>0.53070641270451901</v>
      </c>
      <c r="AL4654">
        <v>90.796504008234507</v>
      </c>
      <c r="AM4654">
        <v>92.744852226895802</v>
      </c>
      <c r="AN4654">
        <v>1.0000000220187699</v>
      </c>
    </row>
    <row r="4655" spans="1:40" x14ac:dyDescent="0.3">
      <c r="A4655" t="str">
        <f>"20200111160555694"</f>
        <v>20200111160555694</v>
      </c>
      <c r="B4655" t="str">
        <f>"1578729955686989"</f>
        <v>1578729955686989</v>
      </c>
      <c r="C4655" t="s">
        <v>40</v>
      </c>
      <c r="D4655">
        <v>4.9983969999999998</v>
      </c>
      <c r="E4655">
        <v>0.57108130000000001</v>
      </c>
      <c r="F4655" t="s">
        <v>42</v>
      </c>
      <c r="G4655">
        <v>-421.94029999999998</v>
      </c>
      <c r="H4655">
        <v>0.87899629999999995</v>
      </c>
      <c r="I4655">
        <v>66.769310000000004</v>
      </c>
      <c r="J4655">
        <v>-421.85849999999999</v>
      </c>
      <c r="K4655">
        <v>1.1106689999999999</v>
      </c>
      <c r="L4655">
        <v>67.297300000000007</v>
      </c>
      <c r="M4655">
        <v>4.6813830000000001E-2</v>
      </c>
      <c r="N4655">
        <v>0</v>
      </c>
      <c r="O4655">
        <v>-0.99879770000000001</v>
      </c>
      <c r="P4655">
        <v>9.3988840000000004E-2</v>
      </c>
      <c r="Q4655">
        <v>-2.665004E-2</v>
      </c>
      <c r="R4655">
        <v>-0.99521660000000001</v>
      </c>
      <c r="S4655">
        <v>-0.26293949999999999</v>
      </c>
      <c r="T4655">
        <v>-0.87701779999999996</v>
      </c>
      <c r="U4655">
        <v>-3.014923</v>
      </c>
      <c r="V4655">
        <v>-4.7291449999999999E-2</v>
      </c>
      <c r="W4655">
        <v>-1.210925E-2</v>
      </c>
      <c r="X4655">
        <v>0.99880769999999997</v>
      </c>
      <c r="Y4655">
        <v>0.13001279999999901</v>
      </c>
      <c r="Z4655">
        <v>0.27717960000000003</v>
      </c>
      <c r="AA4655">
        <v>0.95198119999999997</v>
      </c>
      <c r="AB4655">
        <v>27</v>
      </c>
      <c r="AC4655">
        <v>-8.1799999999986994E-2</v>
      </c>
      <c r="AD4655">
        <v>-0.23167270000000001</v>
      </c>
      <c r="AE4655">
        <v>-0.52799000000000196</v>
      </c>
      <c r="AF4655">
        <v>8.9586377463366396E-2</v>
      </c>
      <c r="AG4655">
        <v>-0.23167270000000001</v>
      </c>
      <c r="AH4655">
        <v>0.44071859863498403</v>
      </c>
      <c r="AI4655">
        <v>117.254596741434</v>
      </c>
      <c r="AJ4655">
        <v>78.509841923008196</v>
      </c>
      <c r="AK4655">
        <v>0.50589607839464701</v>
      </c>
      <c r="AL4655">
        <v>90.693825897116994</v>
      </c>
      <c r="AM4655">
        <v>92.710810494898794</v>
      </c>
      <c r="AN4655">
        <v>0.99999996837897598</v>
      </c>
    </row>
    <row r="4656" spans="1:40" x14ac:dyDescent="0.3">
      <c r="A4656" t="str">
        <f>"20200111160555716"</f>
        <v>20200111160555716</v>
      </c>
      <c r="B4656" t="str">
        <f>"1578729955706505"</f>
        <v>1578729955706505</v>
      </c>
      <c r="C4656" t="s">
        <v>40</v>
      </c>
      <c r="D4656">
        <v>4.9383589999999904</v>
      </c>
      <c r="E4656">
        <v>0.57108639999999999</v>
      </c>
      <c r="F4656" t="s">
        <v>42</v>
      </c>
      <c r="G4656">
        <v>-421.92599999999999</v>
      </c>
      <c r="H4656">
        <v>0.888665699999999</v>
      </c>
      <c r="I4656">
        <v>66.528019999999998</v>
      </c>
      <c r="J4656">
        <v>-421.84660000000002</v>
      </c>
      <c r="K4656">
        <v>1.110751</v>
      </c>
      <c r="L4656">
        <v>67.043669999999906</v>
      </c>
      <c r="M4656">
        <v>4.6813109999999998E-2</v>
      </c>
      <c r="N4656">
        <v>0</v>
      </c>
      <c r="O4656">
        <v>-0.99879200000000001</v>
      </c>
      <c r="P4656">
        <v>9.2968999999999996E-2</v>
      </c>
      <c r="Q4656">
        <v>-2.480663E-2</v>
      </c>
      <c r="R4656">
        <v>-0.99536000000000002</v>
      </c>
      <c r="S4656">
        <v>-0.26382450000000002</v>
      </c>
      <c r="T4656">
        <v>-0.8703902</v>
      </c>
      <c r="U4656">
        <v>-3.016022</v>
      </c>
      <c r="V4656">
        <v>-4.6266670000000003E-2</v>
      </c>
      <c r="W4656">
        <v>-9.8843009999999999E-3</v>
      </c>
      <c r="X4656">
        <v>0.9988802</v>
      </c>
      <c r="Y4656">
        <v>0.1303107</v>
      </c>
      <c r="Z4656">
        <v>0.27514519999999998</v>
      </c>
      <c r="AA4656">
        <v>0.9525304</v>
      </c>
      <c r="AB4656">
        <v>27</v>
      </c>
      <c r="AC4656">
        <v>-7.9399999999964097E-2</v>
      </c>
      <c r="AD4656">
        <v>-0.22208530000000001</v>
      </c>
      <c r="AE4656">
        <v>-0.51564999999999295</v>
      </c>
      <c r="AF4656">
        <v>8.7584665748706103E-2</v>
      </c>
      <c r="AG4656">
        <v>-0.22208530000000001</v>
      </c>
      <c r="AH4656">
        <v>0.432922599464869</v>
      </c>
      <c r="AI4656">
        <v>116.693442875861</v>
      </c>
      <c r="AJ4656">
        <v>78.562849468702794</v>
      </c>
      <c r="AK4656">
        <v>0.494383384912784</v>
      </c>
      <c r="AL4656">
        <v>90.566337964667795</v>
      </c>
      <c r="AM4656">
        <v>92.651961283637206</v>
      </c>
      <c r="AN4656">
        <v>0.99999997905559301</v>
      </c>
    </row>
    <row r="4657" spans="1:40" x14ac:dyDescent="0.3">
      <c r="A4657" t="str">
        <f>"20200111160555737"</f>
        <v>20200111160555737</v>
      </c>
      <c r="B4657" t="str">
        <f>"1578729955727002"</f>
        <v>1578729955727002</v>
      </c>
      <c r="C4657" t="s">
        <v>40</v>
      </c>
      <c r="D4657">
        <v>4.9175800000000001</v>
      </c>
      <c r="E4657">
        <v>0.57105760000000005</v>
      </c>
      <c r="F4657" t="s">
        <v>42</v>
      </c>
      <c r="G4657">
        <v>-421.91309999999999</v>
      </c>
      <c r="H4657">
        <v>0.89497169999999904</v>
      </c>
      <c r="I4657">
        <v>66.289029999999997</v>
      </c>
      <c r="J4657">
        <v>-421.83440000000002</v>
      </c>
      <c r="K4657">
        <v>1.1108290000000001</v>
      </c>
      <c r="L4657">
        <v>66.783289999999994</v>
      </c>
      <c r="M4657">
        <v>4.6812520000000003E-2</v>
      </c>
      <c r="N4657">
        <v>0</v>
      </c>
      <c r="O4657">
        <v>-0.99878630000000002</v>
      </c>
      <c r="P4657">
        <v>9.1194540000000004E-2</v>
      </c>
      <c r="Q4657">
        <v>-2.2956319999999999E-2</v>
      </c>
      <c r="R4657">
        <v>-0.99556860000000003</v>
      </c>
      <c r="S4657">
        <v>-0.266571</v>
      </c>
      <c r="T4657">
        <v>-0.86276620000000004</v>
      </c>
      <c r="U4657">
        <v>-3.0173649999999999</v>
      </c>
      <c r="V4657">
        <v>-4.4484179999999998E-2</v>
      </c>
      <c r="W4657">
        <v>-7.6530779999999998E-3</v>
      </c>
      <c r="X4657">
        <v>0.9989808</v>
      </c>
      <c r="Y4657">
        <v>0.13119330000000001</v>
      </c>
      <c r="Z4657">
        <v>0.27277970000000001</v>
      </c>
      <c r="AA4657">
        <v>0.95308950000000003</v>
      </c>
      <c r="AB4657">
        <v>27</v>
      </c>
      <c r="AC4657">
        <v>-7.8699999999969295E-2</v>
      </c>
      <c r="AD4657">
        <v>-0.2158573</v>
      </c>
      <c r="AE4657">
        <v>-0.49425999999999698</v>
      </c>
      <c r="AF4657">
        <v>8.5794812962495304E-2</v>
      </c>
      <c r="AG4657">
        <v>-0.2158573</v>
      </c>
      <c r="AH4657">
        <v>0.41317628056218197</v>
      </c>
      <c r="AI4657">
        <v>117.09076842328101</v>
      </c>
      <c r="AJ4657">
        <v>78.269404745602003</v>
      </c>
      <c r="AK4657">
        <v>0.47399342053846999</v>
      </c>
      <c r="AL4657">
        <v>90.438493339049103</v>
      </c>
      <c r="AM4657">
        <v>92.549671768570903</v>
      </c>
      <c r="AN4657">
        <v>1.0000000253208901</v>
      </c>
    </row>
    <row r="4658" spans="1:40" x14ac:dyDescent="0.3">
      <c r="A4658" t="str">
        <f>"20200111160555761"</f>
        <v>20200111160555761</v>
      </c>
      <c r="B4658" t="str">
        <f>"1578729955756281"</f>
        <v>1578729955756281</v>
      </c>
      <c r="C4658" t="s">
        <v>40</v>
      </c>
      <c r="D4658">
        <v>4.7974180000000004</v>
      </c>
      <c r="E4658">
        <v>0.57093470000000002</v>
      </c>
      <c r="F4658" t="s">
        <v>42</v>
      </c>
      <c r="G4658">
        <v>-421.90010000000001</v>
      </c>
      <c r="H4658">
        <v>0.9026092</v>
      </c>
      <c r="I4658">
        <v>66.050389999999993</v>
      </c>
      <c r="J4658">
        <v>-421.82209999999998</v>
      </c>
      <c r="K4658">
        <v>1.1108849999999999</v>
      </c>
      <c r="L4658">
        <v>66.518709999999999</v>
      </c>
      <c r="M4658">
        <v>4.6812039999999999E-2</v>
      </c>
      <c r="N4658">
        <v>0</v>
      </c>
      <c r="O4658">
        <v>-0.99878100000000003</v>
      </c>
      <c r="P4658">
        <v>8.9680469999999998E-2</v>
      </c>
      <c r="Q4658">
        <v>-2.066751E-2</v>
      </c>
      <c r="R4658">
        <v>-0.99575630000000004</v>
      </c>
      <c r="S4658">
        <v>-0.27044679999999999</v>
      </c>
      <c r="T4658">
        <v>-0.85752240000000002</v>
      </c>
      <c r="U4658">
        <v>-3.0183719999999998</v>
      </c>
      <c r="V4658">
        <v>-4.2963389999999997E-2</v>
      </c>
      <c r="W4658">
        <v>-5.027241E-3</v>
      </c>
      <c r="X4658">
        <v>0.99906399999999995</v>
      </c>
      <c r="Y4658">
        <v>0.13242100000000001</v>
      </c>
      <c r="Z4658">
        <v>0.27112550000000002</v>
      </c>
      <c r="AA4658">
        <v>0.95339169999999995</v>
      </c>
      <c r="AB4658">
        <v>26</v>
      </c>
      <c r="AC4658">
        <v>-7.8000000000031294E-2</v>
      </c>
      <c r="AD4658">
        <v>-0.20827580000000001</v>
      </c>
      <c r="AE4658">
        <v>-0.46831999999999102</v>
      </c>
      <c r="AF4658">
        <v>8.3727201098302298E-2</v>
      </c>
      <c r="AG4658">
        <v>-0.20827580000000001</v>
      </c>
      <c r="AH4658">
        <v>0.38924584586095701</v>
      </c>
      <c r="AI4658">
        <v>117.614528457337</v>
      </c>
      <c r="AJ4658">
        <v>77.860584471916695</v>
      </c>
      <c r="AK4658">
        <v>0.44933437614921901</v>
      </c>
      <c r="AL4658">
        <v>90.288040904880802</v>
      </c>
      <c r="AM4658">
        <v>92.462409981825701</v>
      </c>
      <c r="AN4658">
        <v>1.0000000010641801</v>
      </c>
    </row>
    <row r="4659" spans="1:40" x14ac:dyDescent="0.3">
      <c r="A4659" t="str">
        <f>"20200111160555784"</f>
        <v>20200111160555784</v>
      </c>
      <c r="B4659" t="str">
        <f>"1578729955776309"</f>
        <v>1578729955776309</v>
      </c>
      <c r="C4659" t="s">
        <v>40</v>
      </c>
      <c r="D4659">
        <v>4.7941750000000001</v>
      </c>
      <c r="E4659">
        <v>0.57080180000000003</v>
      </c>
      <c r="F4659" t="s">
        <v>42</v>
      </c>
      <c r="G4659">
        <v>-421.88600000000002</v>
      </c>
      <c r="H4659">
        <v>0.91172439999999999</v>
      </c>
      <c r="I4659">
        <v>65.811890000000005</v>
      </c>
      <c r="J4659">
        <v>-421.80939999999998</v>
      </c>
      <c r="K4659">
        <v>1.1109209999999901</v>
      </c>
      <c r="L4659">
        <v>66.249880000000005</v>
      </c>
      <c r="M4659">
        <v>4.6811789999999999E-2</v>
      </c>
      <c r="N4659">
        <v>0</v>
      </c>
      <c r="O4659">
        <v>-0.99877669999999996</v>
      </c>
      <c r="P4659">
        <v>8.895335E-2</v>
      </c>
      <c r="Q4659">
        <v>-1.8044129999999999E-2</v>
      </c>
      <c r="R4659">
        <v>-0.9958726</v>
      </c>
      <c r="S4659">
        <v>-0.27374270000000001</v>
      </c>
      <c r="T4659">
        <v>-0.85087169999999901</v>
      </c>
      <c r="U4659">
        <v>-3.0197750000000001</v>
      </c>
      <c r="V4659">
        <v>-4.2231600000000001E-2</v>
      </c>
      <c r="W4659">
        <v>-2.124E-3</v>
      </c>
      <c r="X4659">
        <v>0.99910560000000004</v>
      </c>
      <c r="Y4659">
        <v>0.1334668</v>
      </c>
      <c r="Z4659">
        <v>0.26903070000000001</v>
      </c>
      <c r="AA4659">
        <v>0.95383910000000005</v>
      </c>
      <c r="AB4659">
        <v>26</v>
      </c>
      <c r="AC4659">
        <v>-7.6599999999984902E-2</v>
      </c>
      <c r="AD4659">
        <v>-0.199196599999999</v>
      </c>
      <c r="AE4659">
        <v>-0.43798999999999899</v>
      </c>
      <c r="AF4659">
        <v>8.0804168996996301E-2</v>
      </c>
      <c r="AG4659">
        <v>-0.199196599999999</v>
      </c>
      <c r="AH4659">
        <v>0.36139158309456798</v>
      </c>
      <c r="AI4659">
        <v>118.276308038823</v>
      </c>
      <c r="AJ4659">
        <v>77.396439603792103</v>
      </c>
      <c r="AK4659">
        <v>0.42049075555885101</v>
      </c>
      <c r="AL4659">
        <v>90.121696326010493</v>
      </c>
      <c r="AM4659">
        <v>92.420417716291198</v>
      </c>
      <c r="AN4659">
        <v>1.00000000968296</v>
      </c>
    </row>
    <row r="4660" spans="1:40" x14ac:dyDescent="0.3">
      <c r="A4660" t="str">
        <f>"20200111160555805"</f>
        <v>20200111160555805</v>
      </c>
      <c r="B4660" t="str">
        <f>"1578729955796808"</f>
        <v>1578729955796808</v>
      </c>
      <c r="C4660" t="s">
        <v>40</v>
      </c>
      <c r="D4660">
        <v>4.748005</v>
      </c>
      <c r="E4660">
        <v>0.57063750000000002</v>
      </c>
      <c r="F4660" t="s">
        <v>42</v>
      </c>
      <c r="G4660">
        <v>-421.8707</v>
      </c>
      <c r="H4660">
        <v>0.92224779999999995</v>
      </c>
      <c r="I4660">
        <v>65.573400000000007</v>
      </c>
      <c r="J4660">
        <v>-421.7978</v>
      </c>
      <c r="K4660">
        <v>1.110938</v>
      </c>
      <c r="L4660">
        <v>66.000950000000003</v>
      </c>
      <c r="M4660">
        <v>4.6811640000000002E-2</v>
      </c>
      <c r="N4660">
        <v>0</v>
      </c>
      <c r="O4660">
        <v>-0.99877360000000004</v>
      </c>
      <c r="P4660">
        <v>8.8401950000000007E-2</v>
      </c>
      <c r="Q4660">
        <v>-1.711118E-2</v>
      </c>
      <c r="R4660">
        <v>-0.9959382</v>
      </c>
      <c r="S4660">
        <v>-0.27380369999999998</v>
      </c>
      <c r="T4660">
        <v>-0.84274110000000002</v>
      </c>
      <c r="U4660">
        <v>-3.0216370000000001</v>
      </c>
      <c r="V4660">
        <v>-4.1677609999999997E-2</v>
      </c>
      <c r="W4660">
        <v>-9.884809E-4</v>
      </c>
      <c r="X4660">
        <v>0.99913059999999998</v>
      </c>
      <c r="Y4660">
        <v>0.133497</v>
      </c>
      <c r="Z4660">
        <v>0.26649339999999999</v>
      </c>
      <c r="AA4660">
        <v>0.95454689999999998</v>
      </c>
      <c r="AB4660">
        <v>26</v>
      </c>
      <c r="AC4660">
        <v>-7.29000000000041E-2</v>
      </c>
      <c r="AD4660">
        <v>-0.188690199999999</v>
      </c>
      <c r="AE4660">
        <v>-0.42754999999999599</v>
      </c>
      <c r="AF4660">
        <v>7.8062237554887295E-2</v>
      </c>
      <c r="AG4660">
        <v>-0.188690199999999</v>
      </c>
      <c r="AH4660">
        <v>0.35624256946004801</v>
      </c>
      <c r="AI4660">
        <v>117.356671069447</v>
      </c>
      <c r="AJ4660">
        <v>77.640319890311801</v>
      </c>
      <c r="AK4660">
        <v>0.41061718522683899</v>
      </c>
      <c r="AL4660">
        <v>90.056635794164706</v>
      </c>
      <c r="AM4660">
        <v>92.388644235284602</v>
      </c>
      <c r="AN4660">
        <v>0.99999997806308005</v>
      </c>
    </row>
    <row r="4661" spans="1:40" x14ac:dyDescent="0.3">
      <c r="A4661" t="str">
        <f>"20200111160555828"</f>
        <v>20200111160555828</v>
      </c>
      <c r="B4661" t="str">
        <f>"1578729955816325"</f>
        <v>1578729955816325</v>
      </c>
      <c r="C4661" t="s">
        <v>40</v>
      </c>
      <c r="D4661">
        <v>4.7558160000000003</v>
      </c>
      <c r="E4661">
        <v>0.57044589999999995</v>
      </c>
      <c r="F4661" t="s">
        <v>42</v>
      </c>
      <c r="G4661">
        <v>-421.87670000000003</v>
      </c>
      <c r="H4661">
        <v>0.86843049999999999</v>
      </c>
      <c r="I4661">
        <v>65.129589999999993</v>
      </c>
      <c r="J4661">
        <v>-421.78539999999998</v>
      </c>
      <c r="K4661">
        <v>1.1109450000000001</v>
      </c>
      <c r="L4661">
        <v>65.736359999999905</v>
      </c>
      <c r="M4661">
        <v>4.6811489999999997E-2</v>
      </c>
      <c r="N4661">
        <v>0</v>
      </c>
      <c r="O4661">
        <v>-0.99877050000000001</v>
      </c>
      <c r="P4661">
        <v>8.7833049999999996E-2</v>
      </c>
      <c r="Q4661">
        <v>-1.7331349999999999E-2</v>
      </c>
      <c r="R4661">
        <v>-0.99598439999999999</v>
      </c>
      <c r="S4661">
        <v>-0.27340700000000001</v>
      </c>
      <c r="T4661">
        <v>-0.84106669999999994</v>
      </c>
      <c r="U4661">
        <v>-3.0220639999999999</v>
      </c>
      <c r="V4661">
        <v>-4.1107320000000003E-2</v>
      </c>
      <c r="W4661">
        <v>-1.032898E-3</v>
      </c>
      <c r="X4661">
        <v>0.99915419999999999</v>
      </c>
      <c r="Y4661">
        <v>0.13337360000000001</v>
      </c>
      <c r="Z4661">
        <v>0.26597080000000001</v>
      </c>
      <c r="AA4661">
        <v>0.9547099</v>
      </c>
      <c r="AB4661">
        <v>26</v>
      </c>
      <c r="AC4661">
        <v>-9.1300000000046497E-2</v>
      </c>
      <c r="AD4661">
        <v>-0.24251449999999999</v>
      </c>
      <c r="AE4661">
        <v>-0.60676999999998305</v>
      </c>
      <c r="AF4661">
        <v>0.103448033528517</v>
      </c>
      <c r="AG4661">
        <v>-0.24251449999999999</v>
      </c>
      <c r="AH4661">
        <v>0.52052056262911395</v>
      </c>
      <c r="AI4661">
        <v>114.558999851011</v>
      </c>
      <c r="AJ4661">
        <v>78.7595239798476</v>
      </c>
      <c r="AK4661">
        <v>0.58348644754689605</v>
      </c>
      <c r="AL4661">
        <v>90.059180706767705</v>
      </c>
      <c r="AM4661">
        <v>92.355941041353304</v>
      </c>
      <c r="AN4661">
        <v>0.99999999700675002</v>
      </c>
    </row>
    <row r="4662" spans="1:40" x14ac:dyDescent="0.3">
      <c r="A4662" t="str">
        <f>"20200111160555850"</f>
        <v>20200111160555850</v>
      </c>
      <c r="B4662" t="str">
        <f>"1578729955846582"</f>
        <v>1578729955846582</v>
      </c>
      <c r="C4662" t="s">
        <v>40</v>
      </c>
      <c r="D4662">
        <v>4.662445</v>
      </c>
      <c r="E4662">
        <v>0.57011540000000005</v>
      </c>
      <c r="F4662" t="s">
        <v>42</v>
      </c>
      <c r="G4662">
        <v>-421.8614</v>
      </c>
      <c r="H4662">
        <v>0.87625520000000001</v>
      </c>
      <c r="I4662">
        <v>64.895189999999999</v>
      </c>
      <c r="J4662">
        <v>-421.77350000000001</v>
      </c>
      <c r="K4662">
        <v>1.1109340000000001</v>
      </c>
      <c r="L4662">
        <v>65.481169999999906</v>
      </c>
      <c r="M4662">
        <v>4.6811640000000002E-2</v>
      </c>
      <c r="N4662">
        <v>0</v>
      </c>
      <c r="O4662">
        <v>-0.99876819999999999</v>
      </c>
      <c r="P4662">
        <v>8.7863469999999999E-2</v>
      </c>
      <c r="Q4662">
        <v>-1.8751790000000001E-2</v>
      </c>
      <c r="R4662">
        <v>-0.99595599999999995</v>
      </c>
      <c r="S4662">
        <v>-0.27355960000000001</v>
      </c>
      <c r="T4662">
        <v>-0.84299829999999998</v>
      </c>
      <c r="U4662">
        <v>-3.021515</v>
      </c>
      <c r="V4662">
        <v>-4.1138199999999903E-2</v>
      </c>
      <c r="W4662">
        <v>-2.3116780000000002E-3</v>
      </c>
      <c r="X4662">
        <v>0.99915080000000001</v>
      </c>
      <c r="Y4662">
        <v>0.13342200000000001</v>
      </c>
      <c r="Z4662">
        <v>0.26658110000000002</v>
      </c>
      <c r="AA4662">
        <v>0.95453290000000002</v>
      </c>
      <c r="AB4662">
        <v>26</v>
      </c>
      <c r="AC4662">
        <v>-8.78999999999905E-2</v>
      </c>
      <c r="AD4662">
        <v>-0.23467879999999999</v>
      </c>
      <c r="AE4662">
        <v>-0.58597999999999195</v>
      </c>
      <c r="AF4662">
        <v>9.9612569412524998E-2</v>
      </c>
      <c r="AG4662">
        <v>-0.23467879999999999</v>
      </c>
      <c r="AH4662">
        <v>0.50241261338350496</v>
      </c>
      <c r="AI4662">
        <v>114.61653221989501</v>
      </c>
      <c r="AJ4662">
        <v>78.785494009325006</v>
      </c>
      <c r="AK4662">
        <v>0.56339616367281697</v>
      </c>
      <c r="AL4662">
        <v>90.132449509866206</v>
      </c>
      <c r="AM4662">
        <v>92.357716852177404</v>
      </c>
      <c r="AN4662">
        <v>1.00000000824752</v>
      </c>
    </row>
    <row r="4663" spans="1:40" x14ac:dyDescent="0.3">
      <c r="A4663" t="str">
        <f>"20200111160555873"</f>
        <v>20200111160555873</v>
      </c>
      <c r="B4663" t="str">
        <f>"1578729955867077"</f>
        <v>1578729955867077</v>
      </c>
      <c r="C4663" t="s">
        <v>40</v>
      </c>
      <c r="D4663">
        <v>4.5831569999999999</v>
      </c>
      <c r="E4663">
        <v>0.57015740000000004</v>
      </c>
      <c r="F4663" t="s">
        <v>42</v>
      </c>
      <c r="G4663">
        <v>-421.8467</v>
      </c>
      <c r="H4663">
        <v>0.88069959999999903</v>
      </c>
      <c r="I4663">
        <v>64.662999999999997</v>
      </c>
      <c r="J4663">
        <v>-421.76060000000001</v>
      </c>
      <c r="K4663">
        <v>1.1109260000000001</v>
      </c>
      <c r="L4663">
        <v>65.206209999999999</v>
      </c>
      <c r="M4663">
        <v>4.6811489999999997E-2</v>
      </c>
      <c r="N4663">
        <v>0</v>
      </c>
      <c r="O4663">
        <v>-0.9987663</v>
      </c>
      <c r="P4663">
        <v>8.8027460000000002E-2</v>
      </c>
      <c r="Q4663">
        <v>-2.064935E-2</v>
      </c>
      <c r="R4663">
        <v>-0.99590429999999996</v>
      </c>
      <c r="S4663">
        <v>-0.27038570000000001</v>
      </c>
      <c r="T4663">
        <v>-0.84985259999999996</v>
      </c>
      <c r="U4663">
        <v>-3.0200499999999999</v>
      </c>
      <c r="V4663">
        <v>-4.1304720000000003E-2</v>
      </c>
      <c r="W4663">
        <v>-4.0865540000000001E-3</v>
      </c>
      <c r="X4663">
        <v>0.99913819999999998</v>
      </c>
      <c r="Y4663">
        <v>0.1324148</v>
      </c>
      <c r="Z4663">
        <v>0.26874110000000001</v>
      </c>
      <c r="AA4663">
        <v>0.95406729999999995</v>
      </c>
      <c r="AB4663">
        <v>26</v>
      </c>
      <c r="AC4663">
        <v>-8.6099999999987603E-2</v>
      </c>
      <c r="AD4663">
        <v>-0.2302264</v>
      </c>
      <c r="AE4663">
        <v>-0.54321000000000197</v>
      </c>
      <c r="AF4663">
        <v>9.4822220261416207E-2</v>
      </c>
      <c r="AG4663">
        <v>-0.2302264</v>
      </c>
      <c r="AH4663">
        <v>0.458280597382832</v>
      </c>
      <c r="AI4663">
        <v>116.19487147887899</v>
      </c>
      <c r="AJ4663">
        <v>78.3099660361529</v>
      </c>
      <c r="AK4663">
        <v>0.52155206322075798</v>
      </c>
      <c r="AL4663">
        <v>90.234142957721303</v>
      </c>
      <c r="AM4663">
        <v>92.367279447759401</v>
      </c>
      <c r="AN4663">
        <v>0.99999996125855495</v>
      </c>
    </row>
    <row r="4664" spans="1:40" x14ac:dyDescent="0.3">
      <c r="A4664" t="str">
        <f>"20200111160555894"</f>
        <v>20200111160555894</v>
      </c>
      <c r="B4664" t="str">
        <f>"1578729955886600"</f>
        <v>1578729955886600</v>
      </c>
      <c r="C4664" t="s">
        <v>40</v>
      </c>
      <c r="D4664">
        <v>4.9310499999999999</v>
      </c>
      <c r="E4664">
        <v>0.53668590000000005</v>
      </c>
      <c r="F4664" t="s">
        <v>42</v>
      </c>
      <c r="G4664">
        <v>-421.82990000000001</v>
      </c>
      <c r="H4664">
        <v>0.89073930000000001</v>
      </c>
      <c r="I4664">
        <v>64.429339999999996</v>
      </c>
      <c r="J4664">
        <v>-421.74919999999997</v>
      </c>
      <c r="K4664">
        <v>1.110914</v>
      </c>
      <c r="L4664">
        <v>64.963930000000005</v>
      </c>
      <c r="M4664">
        <v>4.6811369999999998E-2</v>
      </c>
      <c r="N4664">
        <v>0</v>
      </c>
      <c r="O4664">
        <v>-0.99876489999999996</v>
      </c>
      <c r="P4664">
        <v>8.8490170000000007E-2</v>
      </c>
      <c r="Q4664">
        <v>-2.2434550000000001E-2</v>
      </c>
      <c r="R4664">
        <v>-0.9958243</v>
      </c>
      <c r="S4664">
        <v>-0.26965329999999998</v>
      </c>
      <c r="T4664">
        <v>-0.85551299999999997</v>
      </c>
      <c r="U4664">
        <v>-3.0184630000000001</v>
      </c>
      <c r="V4664">
        <v>-4.1771259999999998E-2</v>
      </c>
      <c r="W4664">
        <v>-5.7919019999999998E-3</v>
      </c>
      <c r="X4664">
        <v>0.99911039999999995</v>
      </c>
      <c r="Y4664">
        <v>0.13218469999999999</v>
      </c>
      <c r="Z4664">
        <v>0.27053700000000003</v>
      </c>
      <c r="AA4664">
        <v>0.95359159999999998</v>
      </c>
      <c r="AB4664">
        <v>26</v>
      </c>
      <c r="AC4664">
        <v>-8.0700000000035702E-2</v>
      </c>
      <c r="AD4664">
        <v>-0.220174699999999</v>
      </c>
      <c r="AE4664">
        <v>-0.534590000000008</v>
      </c>
      <c r="AF4664">
        <v>9.0612122784113194E-2</v>
      </c>
      <c r="AG4664">
        <v>-0.220174699999999</v>
      </c>
      <c r="AH4664">
        <v>0.45479861454140103</v>
      </c>
      <c r="AI4664">
        <v>115.39758159202</v>
      </c>
      <c r="AJ4664">
        <v>78.732180299233704</v>
      </c>
      <c r="AK4664">
        <v>0.51335098626993103</v>
      </c>
      <c r="AL4664">
        <v>90.331853399406</v>
      </c>
      <c r="AM4664">
        <v>92.394053650234895</v>
      </c>
      <c r="AN4664">
        <v>0.99999998783946198</v>
      </c>
    </row>
    <row r="4665" spans="1:40" x14ac:dyDescent="0.3">
      <c r="A4665" t="str">
        <f>"20200111160555916"</f>
        <v>20200111160555916</v>
      </c>
      <c r="B4665" t="str">
        <f>"1578729955907094"</f>
        <v>1578729955907094</v>
      </c>
      <c r="C4665" t="s">
        <v>40</v>
      </c>
      <c r="D4665">
        <v>4.6267290000000001</v>
      </c>
      <c r="E4665">
        <v>0.52274200000000004</v>
      </c>
      <c r="F4665" t="s">
        <v>42</v>
      </c>
      <c r="G4665">
        <v>-421.75200000000001</v>
      </c>
      <c r="H4665">
        <v>0.95740769999999997</v>
      </c>
      <c r="I4665">
        <v>64.172259999999994</v>
      </c>
      <c r="J4665">
        <v>-421.73750000000001</v>
      </c>
      <c r="K4665">
        <v>1.1108979999999999</v>
      </c>
      <c r="L4665">
        <v>64.714109999999906</v>
      </c>
      <c r="M4665">
        <v>4.6811199999999997E-2</v>
      </c>
      <c r="N4665">
        <v>0</v>
      </c>
      <c r="O4665">
        <v>-0.99876390000000004</v>
      </c>
      <c r="P4665">
        <v>8.8912820000000004E-2</v>
      </c>
      <c r="Q4665">
        <v>-2.3299819999999999E-2</v>
      </c>
      <c r="R4665">
        <v>-0.99576690000000001</v>
      </c>
      <c r="S4665">
        <v>-1.071167E-2</v>
      </c>
      <c r="T4665">
        <v>-0.581798699999999</v>
      </c>
      <c r="U4665">
        <v>-3.0004270000000002</v>
      </c>
      <c r="V4665">
        <v>-4.2196009999999999E-2</v>
      </c>
      <c r="W4665">
        <v>-6.5952819999999896E-3</v>
      </c>
      <c r="X4665">
        <v>0.99908759999999996</v>
      </c>
      <c r="Y4665">
        <v>5.0317939999999999E-2</v>
      </c>
      <c r="Z4665">
        <v>0.18992709999999999</v>
      </c>
      <c r="AA4665">
        <v>0.98050789999999999</v>
      </c>
      <c r="AB4665">
        <v>26</v>
      </c>
      <c r="AC4665">
        <v>-1.4499999999941299E-2</v>
      </c>
      <c r="AD4665">
        <v>-0.153490299999999</v>
      </c>
      <c r="AE4665">
        <v>-0.54184999999999595</v>
      </c>
      <c r="AF4665">
        <v>3.6893953168003903E-2</v>
      </c>
      <c r="AG4665">
        <v>-0.153490299999999</v>
      </c>
      <c r="AH4665">
        <v>0.50044853874135897</v>
      </c>
      <c r="AI4665">
        <v>107.007581969585</v>
      </c>
      <c r="AJ4665">
        <v>85.783680979688796</v>
      </c>
      <c r="AK4665">
        <v>0.52475630144174001</v>
      </c>
      <c r="AL4665">
        <v>90.377884556527803</v>
      </c>
      <c r="AM4665">
        <v>92.418423889975102</v>
      </c>
      <c r="AN4665">
        <v>1.0000000167391601</v>
      </c>
    </row>
    <row r="4666" spans="1:40" x14ac:dyDescent="0.3">
      <c r="A4666" t="str">
        <f>"20200111160555939"</f>
        <v>20200111160555939</v>
      </c>
      <c r="B4666" t="str">
        <f>"1578729955936375"</f>
        <v>1578729955936375</v>
      </c>
      <c r="C4666" t="s">
        <v>40</v>
      </c>
      <c r="D4666">
        <v>4.6163669999999897</v>
      </c>
      <c r="E4666">
        <v>0.51280340000000002</v>
      </c>
      <c r="F4666" t="s">
        <v>42</v>
      </c>
      <c r="G4666">
        <v>-421.71159999999998</v>
      </c>
      <c r="H4666">
        <v>0.9825448</v>
      </c>
      <c r="I4666">
        <v>63.932220000000001</v>
      </c>
      <c r="J4666">
        <v>-421.72550000000001</v>
      </c>
      <c r="K4666">
        <v>1.110895</v>
      </c>
      <c r="L4666">
        <v>64.458500000000001</v>
      </c>
      <c r="M4666">
        <v>4.6811039999999998E-2</v>
      </c>
      <c r="N4666">
        <v>0</v>
      </c>
      <c r="O4666">
        <v>-0.99876319999999996</v>
      </c>
      <c r="P4666">
        <v>8.9703720000000001E-2</v>
      </c>
      <c r="Q4666">
        <v>-2.3417830000000001E-2</v>
      </c>
      <c r="R4666">
        <v>-0.99569339999999995</v>
      </c>
      <c r="S4666">
        <v>9.8907469999999997E-2</v>
      </c>
      <c r="T4666">
        <v>-0.49122710000000003</v>
      </c>
      <c r="U4666">
        <v>-2.992432</v>
      </c>
      <c r="V4666">
        <v>-4.2989659999999999E-2</v>
      </c>
      <c r="W4666">
        <v>-6.6634750000000003E-3</v>
      </c>
      <c r="X4666">
        <v>0.99905330000000003</v>
      </c>
      <c r="Y4666">
        <v>1.422882E-2</v>
      </c>
      <c r="Z4666">
        <v>0.16167290000000001</v>
      </c>
      <c r="AA4666">
        <v>0.9867418</v>
      </c>
      <c r="AB4666">
        <v>26</v>
      </c>
      <c r="AC4666">
        <v>1.39000000000351E-2</v>
      </c>
      <c r="AD4666">
        <v>-0.128350199999999</v>
      </c>
      <c r="AE4666">
        <v>-0.52628000000000696</v>
      </c>
      <c r="AF4666">
        <v>1.01510671859712E-2</v>
      </c>
      <c r="AG4666">
        <v>-0.128350199999999</v>
      </c>
      <c r="AH4666">
        <v>0.49682397305158599</v>
      </c>
      <c r="AI4666">
        <v>104.48227129989399</v>
      </c>
      <c r="AJ4666">
        <v>88.829500134763805</v>
      </c>
      <c r="AK4666">
        <v>0.51323569459247198</v>
      </c>
      <c r="AL4666">
        <v>90.381791818087393</v>
      </c>
      <c r="AM4666">
        <v>92.463940125765603</v>
      </c>
      <c r="AN4666">
        <v>1.0000000045034401</v>
      </c>
    </row>
    <row r="4667" spans="1:40" x14ac:dyDescent="0.3">
      <c r="A4667" t="str">
        <f>"20200111160555962"</f>
        <v>20200111160555962</v>
      </c>
      <c r="B4667" t="str">
        <f>"1578729955956869"</f>
        <v>1578729955956869</v>
      </c>
      <c r="C4667" t="s">
        <v>40</v>
      </c>
      <c r="D4667">
        <v>4.593458</v>
      </c>
      <c r="E4667">
        <v>0.50983940000000005</v>
      </c>
      <c r="F4667" t="s">
        <v>42</v>
      </c>
      <c r="G4667">
        <v>-421.68</v>
      </c>
      <c r="H4667">
        <v>0.99947949999999997</v>
      </c>
      <c r="I4667">
        <v>63.696750000000002</v>
      </c>
      <c r="J4667">
        <v>-421.7131</v>
      </c>
      <c r="K4667">
        <v>1.110894</v>
      </c>
      <c r="L4667">
        <v>64.192409999999995</v>
      </c>
      <c r="M4667">
        <v>4.6810869999999997E-2</v>
      </c>
      <c r="N4667">
        <v>0</v>
      </c>
      <c r="O4667">
        <v>-0.9987625</v>
      </c>
      <c r="P4667">
        <v>9.0399339999999995E-2</v>
      </c>
      <c r="Q4667">
        <v>-2.3219920000000002E-2</v>
      </c>
      <c r="R4667">
        <v>-0.99563500000000005</v>
      </c>
      <c r="S4667">
        <v>0.17861939999999901</v>
      </c>
      <c r="T4667">
        <v>-0.43683080000000002</v>
      </c>
      <c r="U4667">
        <v>-2.9866030000000001</v>
      </c>
      <c r="V4667">
        <v>-4.3687139999999999E-2</v>
      </c>
      <c r="W4667">
        <v>-6.4239479999999996E-3</v>
      </c>
      <c r="X4667">
        <v>0.99902460000000004</v>
      </c>
      <c r="Y4667">
        <v>-1.2274790000000001E-2</v>
      </c>
      <c r="Z4667">
        <v>0.14435580000000001</v>
      </c>
      <c r="AA4667">
        <v>0.98944969999999999</v>
      </c>
      <c r="AB4667">
        <v>26</v>
      </c>
      <c r="AC4667">
        <v>3.3099999999990297E-2</v>
      </c>
      <c r="AD4667">
        <v>-0.1114145</v>
      </c>
      <c r="AE4667">
        <v>-0.495659999999993</v>
      </c>
      <c r="AF4667">
        <v>-9.3860206353071195E-3</v>
      </c>
      <c r="AG4667">
        <v>-0.1114145</v>
      </c>
      <c r="AH4667">
        <v>0.47287947440740602</v>
      </c>
      <c r="AI4667">
        <v>103.25507673225501</v>
      </c>
      <c r="AJ4667">
        <v>91.137094739380601</v>
      </c>
      <c r="AK4667">
        <v>0.48591798228656002</v>
      </c>
      <c r="AL4667">
        <v>90.368067642568704</v>
      </c>
      <c r="AM4667">
        <v>92.503937361764201</v>
      </c>
      <c r="AN4667">
        <v>0.99999999235722303</v>
      </c>
    </row>
    <row r="4668" spans="1:40" x14ac:dyDescent="0.3">
      <c r="A4668" t="str">
        <f>"20200111160555985"</f>
        <v>20200111160555985</v>
      </c>
      <c r="B4668" t="str">
        <f>"1578729955976899"</f>
        <v>1578729955976899</v>
      </c>
      <c r="C4668" t="s">
        <v>40</v>
      </c>
      <c r="D4668">
        <v>4.7360660000000001</v>
      </c>
      <c r="E4668">
        <v>0.50832909999999998</v>
      </c>
      <c r="F4668" t="s">
        <v>42</v>
      </c>
      <c r="G4668">
        <v>-421.66329999999999</v>
      </c>
      <c r="H4668">
        <v>1.0085170000000001</v>
      </c>
      <c r="I4668">
        <v>63.465589999999999</v>
      </c>
      <c r="J4668">
        <v>-421.7011</v>
      </c>
      <c r="K4668">
        <v>1.110895</v>
      </c>
      <c r="L4668">
        <v>63.93674</v>
      </c>
      <c r="M4668">
        <v>4.681076E-2</v>
      </c>
      <c r="N4668">
        <v>0</v>
      </c>
      <c r="O4668">
        <v>-0.99876200000000004</v>
      </c>
      <c r="P4668">
        <v>9.1149599999999997E-2</v>
      </c>
      <c r="Q4668">
        <v>-2.3080980000000001E-2</v>
      </c>
      <c r="R4668">
        <v>-0.99556990000000001</v>
      </c>
      <c r="S4668">
        <v>0.20397950000000001</v>
      </c>
      <c r="T4668">
        <v>-0.42041260000000003</v>
      </c>
      <c r="U4668">
        <v>-2.9848330000000001</v>
      </c>
      <c r="V4668">
        <v>-4.4440319999999998E-2</v>
      </c>
      <c r="W4668">
        <v>-6.254613E-3</v>
      </c>
      <c r="X4668">
        <v>0.9989924</v>
      </c>
      <c r="Y4668">
        <v>-2.07332E-2</v>
      </c>
      <c r="Z4668">
        <v>0.13907149999999999</v>
      </c>
      <c r="AA4668">
        <v>0.99006530000000004</v>
      </c>
      <c r="AB4668">
        <v>25</v>
      </c>
      <c r="AC4668">
        <v>3.7800000000004198E-2</v>
      </c>
      <c r="AD4668">
        <v>-0.102377999999999</v>
      </c>
      <c r="AE4668">
        <v>-0.47115000000000101</v>
      </c>
      <c r="AF4668">
        <v>-1.49969604929276E-2</v>
      </c>
      <c r="AG4668">
        <v>-0.102377999999999</v>
      </c>
      <c r="AH4668">
        <v>0.45123360155606401</v>
      </c>
      <c r="AI4668">
        <v>102.776301227104</v>
      </c>
      <c r="AJ4668">
        <v>91.903551439616194</v>
      </c>
      <c r="AK4668">
        <v>0.46294484215863502</v>
      </c>
      <c r="AL4668">
        <v>90.358365285919206</v>
      </c>
      <c r="AM4668">
        <v>92.5471316471927</v>
      </c>
      <c r="AN4668">
        <v>0.99999993874161897</v>
      </c>
    </row>
    <row r="4669" spans="1:40" x14ac:dyDescent="0.3">
      <c r="A4669" t="str">
        <f>"20200111160556007"</f>
        <v>20200111160556007</v>
      </c>
      <c r="B4669" t="str">
        <f>"1578729955996419"</f>
        <v>1578729955996419</v>
      </c>
      <c r="C4669" t="s">
        <v>40</v>
      </c>
      <c r="D4669">
        <v>4.6159790000000003</v>
      </c>
      <c r="E4669">
        <v>0.50755969999999995</v>
      </c>
      <c r="F4669" t="s">
        <v>42</v>
      </c>
      <c r="G4669">
        <v>-421.6343</v>
      </c>
      <c r="H4669">
        <v>0.98574720000000005</v>
      </c>
      <c r="I4669">
        <v>63.025260000000003</v>
      </c>
      <c r="J4669">
        <v>-421.68979999999999</v>
      </c>
      <c r="K4669">
        <v>1.1108979999999999</v>
      </c>
      <c r="L4669">
        <v>63.695619999999998</v>
      </c>
      <c r="M4669">
        <v>4.6810690000000002E-2</v>
      </c>
      <c r="N4669">
        <v>0</v>
      </c>
      <c r="O4669">
        <v>-0.99876149999999997</v>
      </c>
      <c r="P4669">
        <v>9.1034100000000007E-2</v>
      </c>
      <c r="Q4669">
        <v>-2.3133580000000001E-2</v>
      </c>
      <c r="R4669">
        <v>-0.9955792</v>
      </c>
      <c r="S4669">
        <v>0.2182007</v>
      </c>
      <c r="T4669">
        <v>-0.40966609999999998</v>
      </c>
      <c r="U4669">
        <v>-2.9838870000000002</v>
      </c>
      <c r="V4669">
        <v>-4.4324080000000002E-2</v>
      </c>
      <c r="W4669">
        <v>-6.2847349999999996E-3</v>
      </c>
      <c r="X4669">
        <v>0.99899740000000004</v>
      </c>
      <c r="Y4669">
        <v>-2.5484710000000001E-2</v>
      </c>
      <c r="Z4669">
        <v>0.1355952</v>
      </c>
      <c r="AA4669">
        <v>0.99043650000000005</v>
      </c>
      <c r="AB4669">
        <v>25</v>
      </c>
      <c r="AC4669">
        <v>5.5499999999994998E-2</v>
      </c>
      <c r="AD4669">
        <v>-0.12515080000000001</v>
      </c>
      <c r="AE4669">
        <v>-0.67036000000000195</v>
      </c>
      <c r="AF4669">
        <v>-2.3249837509643202E-2</v>
      </c>
      <c r="AG4669">
        <v>-0.12515080000000001</v>
      </c>
      <c r="AH4669">
        <v>0.64973178581395297</v>
      </c>
      <c r="AI4669">
        <v>100.89592950557901</v>
      </c>
      <c r="AJ4669">
        <v>92.049383218465593</v>
      </c>
      <c r="AK4669">
        <v>0.66208358322937899</v>
      </c>
      <c r="AL4669">
        <v>90.360091174471506</v>
      </c>
      <c r="AM4669">
        <v>92.540465302532297</v>
      </c>
      <c r="AN4669">
        <v>0.99999996358431198</v>
      </c>
    </row>
    <row r="4670" spans="1:40" x14ac:dyDescent="0.3">
      <c r="A4670" t="str">
        <f>"20200111160556028"</f>
        <v>20200111160556028</v>
      </c>
      <c r="B4670" t="str">
        <f>"1578729956016915"</f>
        <v>1578729956016915</v>
      </c>
      <c r="C4670" t="s">
        <v>40</v>
      </c>
      <c r="D4670">
        <v>4.6168950000000004</v>
      </c>
      <c r="E4670">
        <v>0.50663709999999995</v>
      </c>
      <c r="F4670" t="s">
        <v>42</v>
      </c>
      <c r="G4670">
        <v>-421.62270000000001</v>
      </c>
      <c r="H4670">
        <v>0.99159399999999998</v>
      </c>
      <c r="I4670">
        <v>62.797809999999998</v>
      </c>
      <c r="J4670">
        <v>-421.6782</v>
      </c>
      <c r="K4670">
        <v>1.1108960000000001</v>
      </c>
      <c r="L4670">
        <v>63.448459999999997</v>
      </c>
      <c r="M4670">
        <v>4.6810640000000001E-2</v>
      </c>
      <c r="N4670">
        <v>0</v>
      </c>
      <c r="O4670">
        <v>-0.99876129999999996</v>
      </c>
      <c r="P4670">
        <v>9.0125999999999998E-2</v>
      </c>
      <c r="Q4670">
        <v>-2.3933079999999999E-2</v>
      </c>
      <c r="R4670">
        <v>-0.9956431</v>
      </c>
      <c r="S4670">
        <v>0.2236938</v>
      </c>
      <c r="T4670">
        <v>-0.39648689999999998</v>
      </c>
      <c r="U4670">
        <v>-2.9836429999999998</v>
      </c>
      <c r="V4670">
        <v>-4.341399E-2</v>
      </c>
      <c r="W4670">
        <v>-7.0659140000000004E-3</v>
      </c>
      <c r="X4670">
        <v>0.99903220000000004</v>
      </c>
      <c r="Y4670">
        <v>-2.7347349999999999E-2</v>
      </c>
      <c r="Z4670">
        <v>0.13130820000000001</v>
      </c>
      <c r="AA4670">
        <v>0.99096430000000002</v>
      </c>
      <c r="AB4670">
        <v>25</v>
      </c>
      <c r="AC4670">
        <v>5.5499999999994998E-2</v>
      </c>
      <c r="AD4670">
        <v>-0.11930199999999901</v>
      </c>
      <c r="AE4670">
        <v>-0.65064999999999795</v>
      </c>
      <c r="AF4670">
        <v>-2.4170709451195801E-2</v>
      </c>
      <c r="AG4670">
        <v>-0.11930199999999901</v>
      </c>
      <c r="AH4670">
        <v>0.63145847940514599</v>
      </c>
      <c r="AI4670">
        <v>100.69118451672399</v>
      </c>
      <c r="AJ4670">
        <v>92.192074246058596</v>
      </c>
      <c r="AK4670">
        <v>0.64308397710721499</v>
      </c>
      <c r="AL4670">
        <v>90.404850411733307</v>
      </c>
      <c r="AM4670">
        <v>92.488282547630305</v>
      </c>
      <c r="AN4670">
        <v>1.0000000191526</v>
      </c>
    </row>
    <row r="4671" spans="1:40" x14ac:dyDescent="0.3">
      <c r="A4671" t="str">
        <f>"20200111160556052"</f>
        <v>20200111160556052</v>
      </c>
      <c r="B4671" t="str">
        <f>"1578729956047170"</f>
        <v>1578729956047170</v>
      </c>
      <c r="C4671" t="s">
        <v>40</v>
      </c>
      <c r="D4671">
        <v>4.704936</v>
      </c>
      <c r="E4671">
        <v>0.50516709999999998</v>
      </c>
      <c r="F4671" t="s">
        <v>42</v>
      </c>
      <c r="G4671">
        <v>-421.61110000000002</v>
      </c>
      <c r="H4671">
        <v>0.99466940000000004</v>
      </c>
      <c r="I4671">
        <v>62.572450000000003</v>
      </c>
      <c r="J4671">
        <v>-421.66629999999998</v>
      </c>
      <c r="K4671">
        <v>1.1108979999999999</v>
      </c>
      <c r="L4671">
        <v>63.193269999999998</v>
      </c>
      <c r="M4671">
        <v>4.6810560000000001E-2</v>
      </c>
      <c r="N4671">
        <v>0</v>
      </c>
      <c r="O4671">
        <v>-0.99876109999999896</v>
      </c>
      <c r="P4671">
        <v>8.9012240000000006E-2</v>
      </c>
      <c r="Q4671">
        <v>-2.504783E-2</v>
      </c>
      <c r="R4671">
        <v>-0.99571569999999998</v>
      </c>
      <c r="S4671">
        <v>0.22842409999999999</v>
      </c>
      <c r="T4671">
        <v>-0.39576800000000001</v>
      </c>
      <c r="U4671">
        <v>-2.9829409999999998</v>
      </c>
      <c r="V4671">
        <v>-4.2298420000000003E-2</v>
      </c>
      <c r="W4671">
        <v>-8.1628299999999994E-3</v>
      </c>
      <c r="X4671">
        <v>0.99907170000000001</v>
      </c>
      <c r="Y4671">
        <v>-2.8929400000000001E-2</v>
      </c>
      <c r="Z4671">
        <v>0.13109390000000001</v>
      </c>
      <c r="AA4671">
        <v>0.99094780000000005</v>
      </c>
      <c r="AB4671">
        <v>25</v>
      </c>
      <c r="AC4671">
        <v>5.5199999999956603E-2</v>
      </c>
      <c r="AD4671">
        <v>-0.1162286</v>
      </c>
      <c r="AE4671">
        <v>-0.62081999999999404</v>
      </c>
      <c r="AF4671">
        <v>-2.5198117487546402E-2</v>
      </c>
      <c r="AG4671">
        <v>-0.1162286</v>
      </c>
      <c r="AH4671">
        <v>0.60179575490055404</v>
      </c>
      <c r="AI4671">
        <v>100.92196240035</v>
      </c>
      <c r="AJ4671">
        <v>92.397662198116294</v>
      </c>
      <c r="AK4671">
        <v>0.61343472611126604</v>
      </c>
      <c r="AL4671">
        <v>90.467700890277001</v>
      </c>
      <c r="AM4671">
        <v>92.424324962494694</v>
      </c>
      <c r="AN4671">
        <v>1.00000002493449</v>
      </c>
    </row>
    <row r="4672" spans="1:40" x14ac:dyDescent="0.3">
      <c r="A4672" t="str">
        <f>"20200111160556085"</f>
        <v>20200111160556085</v>
      </c>
      <c r="B4672" t="str">
        <f>"1578729956076970"</f>
        <v>1578729956076970</v>
      </c>
      <c r="C4672" t="s">
        <v>40</v>
      </c>
      <c r="D4672">
        <v>4.6883749999999997</v>
      </c>
      <c r="E4672">
        <v>0.50418689999999999</v>
      </c>
      <c r="F4672" t="s">
        <v>42</v>
      </c>
      <c r="G4672">
        <v>-421.59949999999998</v>
      </c>
      <c r="H4672">
        <v>0.99919449999999999</v>
      </c>
      <c r="I4672">
        <v>62.347160000000002</v>
      </c>
      <c r="J4672">
        <v>-421.64870000000002</v>
      </c>
      <c r="K4672">
        <v>1.1109070000000001</v>
      </c>
      <c r="L4672">
        <v>62.818240000000003</v>
      </c>
      <c r="M4672">
        <v>4.6810360000000002E-2</v>
      </c>
      <c r="N4672">
        <v>0</v>
      </c>
      <c r="O4672">
        <v>-0.9987606</v>
      </c>
      <c r="P4672">
        <v>8.7065959999999998E-2</v>
      </c>
      <c r="Q4672">
        <v>-2.5170250000000002E-2</v>
      </c>
      <c r="R4672">
        <v>-0.99588480000000001</v>
      </c>
      <c r="S4672">
        <v>0.2363586</v>
      </c>
      <c r="T4672">
        <v>-0.39369019999999999</v>
      </c>
      <c r="U4672">
        <v>-2.9818730000000002</v>
      </c>
      <c r="V4672">
        <v>-4.0346519999999997E-2</v>
      </c>
      <c r="W4672">
        <v>-8.2474439999999996E-3</v>
      </c>
      <c r="X4672">
        <v>0.99915169999999998</v>
      </c>
      <c r="Y4672">
        <v>-3.1584210000000001E-2</v>
      </c>
      <c r="Z4672">
        <v>0.1304447</v>
      </c>
      <c r="AA4672">
        <v>0.99095239999999996</v>
      </c>
      <c r="AB4672">
        <v>25</v>
      </c>
      <c r="AC4672">
        <v>4.9200000000041599E-2</v>
      </c>
      <c r="AD4672">
        <v>-0.11171249999999899</v>
      </c>
      <c r="AE4672">
        <v>-0.47108000000000699</v>
      </c>
      <c r="AF4672">
        <v>-2.56638153390507E-2</v>
      </c>
      <c r="AG4672">
        <v>-0.11171249999999899</v>
      </c>
      <c r="AH4672">
        <v>0.447947879621722</v>
      </c>
      <c r="AI4672">
        <v>103.98117167526399</v>
      </c>
      <c r="AJ4672">
        <v>93.279003436147704</v>
      </c>
      <c r="AK4672">
        <v>0.46238038121399999</v>
      </c>
      <c r="AL4672">
        <v>90.472549094573907</v>
      </c>
      <c r="AM4672">
        <v>92.312391660342996</v>
      </c>
      <c r="AN4672">
        <v>0.99999999081076596</v>
      </c>
    </row>
    <row r="4673" spans="1:40" x14ac:dyDescent="0.3">
      <c r="A4673" t="str">
        <f>"20200111160556107"</f>
        <v>20200111160556107</v>
      </c>
      <c r="B4673" t="str">
        <f>"1578729956096478"</f>
        <v>1578729956096478</v>
      </c>
      <c r="C4673" t="s">
        <v>40</v>
      </c>
      <c r="D4673">
        <v>4.7111710000000002</v>
      </c>
      <c r="E4673">
        <v>0.50364979999999904</v>
      </c>
      <c r="F4673" t="s">
        <v>42</v>
      </c>
      <c r="G4673">
        <v>-421.5761</v>
      </c>
      <c r="H4673">
        <v>0.99274309999999999</v>
      </c>
      <c r="I4673">
        <v>61.906410000000001</v>
      </c>
      <c r="J4673">
        <v>-421.63740000000001</v>
      </c>
      <c r="K4673">
        <v>1.1109100000000001</v>
      </c>
      <c r="L4673">
        <v>62.575409999999998</v>
      </c>
      <c r="M4673">
        <v>4.6810259999999999E-2</v>
      </c>
      <c r="N4673">
        <v>0</v>
      </c>
      <c r="O4673">
        <v>-0.99876010000000004</v>
      </c>
      <c r="P4673">
        <v>8.6287859999999994E-2</v>
      </c>
      <c r="Q4673">
        <v>-2.528064E-2</v>
      </c>
      <c r="R4673">
        <v>-0.9959498</v>
      </c>
      <c r="S4673">
        <v>0.23846439999999999</v>
      </c>
      <c r="T4673">
        <v>-0.38643060000000001</v>
      </c>
      <c r="U4673">
        <v>-2.9817809999999998</v>
      </c>
      <c r="V4673">
        <v>-3.9566080000000003E-2</v>
      </c>
      <c r="W4673">
        <v>-8.3320819999999993E-3</v>
      </c>
      <c r="X4673">
        <v>0.99918220000000002</v>
      </c>
      <c r="Y4673">
        <v>-3.2306700000000001E-2</v>
      </c>
      <c r="Z4673">
        <v>0.1280781</v>
      </c>
      <c r="AA4673">
        <v>0.99123779999999995</v>
      </c>
      <c r="AB4673">
        <v>25</v>
      </c>
      <c r="AC4673">
        <v>6.1300000000017001E-2</v>
      </c>
      <c r="AD4673">
        <v>-0.11816689999999901</v>
      </c>
      <c r="AE4673">
        <v>-0.66899999999999604</v>
      </c>
      <c r="AF4673">
        <v>-2.9014538693067599E-2</v>
      </c>
      <c r="AG4673">
        <v>-0.11816689999999901</v>
      </c>
      <c r="AH4673">
        <v>0.65099507788892497</v>
      </c>
      <c r="AI4673">
        <v>100.27817501107501</v>
      </c>
      <c r="AJ4673">
        <v>92.551956562039507</v>
      </c>
      <c r="AK4673">
        <v>0.66226871521066799</v>
      </c>
      <c r="AL4673">
        <v>90.477398664913295</v>
      </c>
      <c r="AM4673">
        <v>92.267640087177398</v>
      </c>
      <c r="AN4673">
        <v>0.99999998353692998</v>
      </c>
    </row>
    <row r="4674" spans="1:40" x14ac:dyDescent="0.3">
      <c r="A4674" t="str">
        <f>"20200111160556129"</f>
        <v>20200111160556129</v>
      </c>
      <c r="B4674" t="str">
        <f>"1578729956126734"</f>
        <v>1578729956126734</v>
      </c>
      <c r="C4674" t="s">
        <v>40</v>
      </c>
      <c r="D4674">
        <v>4.7181309999999996</v>
      </c>
      <c r="E4674">
        <v>0.50307360000000001</v>
      </c>
      <c r="F4674" t="s">
        <v>42</v>
      </c>
      <c r="G4674">
        <v>-421.56549999999999</v>
      </c>
      <c r="H4674">
        <v>0.99578809999999995</v>
      </c>
      <c r="I4674">
        <v>61.684150000000002</v>
      </c>
      <c r="J4674">
        <v>-421.6259</v>
      </c>
      <c r="K4674">
        <v>1.1109150000000001</v>
      </c>
      <c r="L4674">
        <v>62.329189999999997</v>
      </c>
      <c r="M4674">
        <v>4.6810150000000002E-2</v>
      </c>
      <c r="N4674">
        <v>0</v>
      </c>
      <c r="O4674">
        <v>-0.99875959999999997</v>
      </c>
      <c r="P4674">
        <v>8.6116880000000007E-2</v>
      </c>
      <c r="Q4674">
        <v>-2.5420080000000001E-2</v>
      </c>
      <c r="R4674">
        <v>-0.99596079999999998</v>
      </c>
      <c r="S4674">
        <v>0.240448</v>
      </c>
      <c r="T4674">
        <v>-0.38512590000000002</v>
      </c>
      <c r="U4674">
        <v>-2.981598</v>
      </c>
      <c r="V4674">
        <v>-3.9395479999999997E-2</v>
      </c>
      <c r="W4674">
        <v>-8.449214E-3</v>
      </c>
      <c r="X4674">
        <v>0.99918790000000002</v>
      </c>
      <c r="Y4674">
        <v>-3.2971229999999997E-2</v>
      </c>
      <c r="Z4674">
        <v>0.12765570000000001</v>
      </c>
      <c r="AA4674">
        <v>0.9912704</v>
      </c>
      <c r="AB4674">
        <v>25</v>
      </c>
      <c r="AC4674">
        <v>6.0400000000015497E-2</v>
      </c>
      <c r="AD4674">
        <v>-0.11512689999999901</v>
      </c>
      <c r="AE4674">
        <v>-0.64504000000000095</v>
      </c>
      <c r="AF4674">
        <v>-2.9212519212183E-2</v>
      </c>
      <c r="AG4674">
        <v>-0.11512689999999901</v>
      </c>
      <c r="AH4674">
        <v>0.62734979339118102</v>
      </c>
      <c r="AI4674">
        <v>100.387811562606</v>
      </c>
      <c r="AJ4674">
        <v>92.666049973384204</v>
      </c>
      <c r="AK4674">
        <v>0.63849458701721995</v>
      </c>
      <c r="AL4674">
        <v>90.484110098246603</v>
      </c>
      <c r="AM4674">
        <v>92.257859809660204</v>
      </c>
      <c r="AN4674">
        <v>0.99999992628402601</v>
      </c>
    </row>
    <row r="4675" spans="1:40" x14ac:dyDescent="0.3">
      <c r="A4675" t="str">
        <f>"20200111160556152"</f>
        <v>20200111160556152</v>
      </c>
      <c r="B4675" t="str">
        <f>"1578729956147229"</f>
        <v>1578729956147229</v>
      </c>
      <c r="C4675" t="s">
        <v>40</v>
      </c>
      <c r="D4675">
        <v>4.7108930000000004</v>
      </c>
      <c r="E4675">
        <v>0.5026602</v>
      </c>
      <c r="F4675" t="s">
        <v>42</v>
      </c>
      <c r="G4675">
        <v>-421.55489999999998</v>
      </c>
      <c r="H4675">
        <v>0.99940910000000005</v>
      </c>
      <c r="I4675">
        <v>61.4623699999999</v>
      </c>
      <c r="J4675">
        <v>-421.61410000000001</v>
      </c>
      <c r="K4675">
        <v>1.110916</v>
      </c>
      <c r="L4675">
        <v>62.079160000000002</v>
      </c>
      <c r="M4675">
        <v>4.6810049999999999E-2</v>
      </c>
      <c r="N4675">
        <v>0</v>
      </c>
      <c r="O4675">
        <v>-0.99875939999999996</v>
      </c>
      <c r="P4675">
        <v>8.6087289999999997E-2</v>
      </c>
      <c r="Q4675">
        <v>-2.4963099999999998E-2</v>
      </c>
      <c r="R4675">
        <v>-0.99597500000000005</v>
      </c>
      <c r="S4675">
        <v>0.2445679</v>
      </c>
      <c r="T4675">
        <v>-0.38350820000000002</v>
      </c>
      <c r="U4675">
        <v>-2.9812319999999999</v>
      </c>
      <c r="V4675">
        <v>-3.9365129999999998E-2</v>
      </c>
      <c r="W4675">
        <v>-7.9824030000000008E-3</v>
      </c>
      <c r="X4675">
        <v>0.999193</v>
      </c>
      <c r="Y4675">
        <v>-3.4347410000000002E-2</v>
      </c>
      <c r="Z4675">
        <v>0.12713360000000001</v>
      </c>
      <c r="AA4675">
        <v>0.99129069999999997</v>
      </c>
      <c r="AB4675">
        <v>25</v>
      </c>
      <c r="AC4675">
        <v>5.9200000000032497E-2</v>
      </c>
      <c r="AD4675">
        <v>-0.11150689999999901</v>
      </c>
      <c r="AE4675">
        <v>-0.61679000000000095</v>
      </c>
      <c r="AF4675">
        <v>-2.9309749149996501E-2</v>
      </c>
      <c r="AG4675">
        <v>-0.11150689999999901</v>
      </c>
      <c r="AH4675">
        <v>0.59947125612976804</v>
      </c>
      <c r="AI4675">
        <v>100.524801786653</v>
      </c>
      <c r="AJ4675">
        <v>92.799114528985399</v>
      </c>
      <c r="AK4675">
        <v>0.61045772750342597</v>
      </c>
      <c r="AL4675">
        <v>90.457362863239993</v>
      </c>
      <c r="AM4675">
        <v>92.256110664936003</v>
      </c>
      <c r="AN4675">
        <v>0.99999999173328502</v>
      </c>
    </row>
    <row r="4676" spans="1:40" x14ac:dyDescent="0.3">
      <c r="A4676" t="str">
        <f>"20200111160556174"</f>
        <v>20200111160556174</v>
      </c>
      <c r="B4676" t="str">
        <f>"1578729956166752"</f>
        <v>1578729956166752</v>
      </c>
      <c r="C4676" t="s">
        <v>40</v>
      </c>
      <c r="D4676">
        <v>4.786918</v>
      </c>
      <c r="E4676">
        <v>0.50226059999999995</v>
      </c>
      <c r="F4676" t="s">
        <v>42</v>
      </c>
      <c r="G4676">
        <v>-421.54450000000003</v>
      </c>
      <c r="H4676">
        <v>1.00374599999999</v>
      </c>
      <c r="I4676">
        <v>61.240929999999999</v>
      </c>
      <c r="J4676">
        <v>-421.60250000000002</v>
      </c>
      <c r="K4676">
        <v>1.1109150000000001</v>
      </c>
      <c r="L4676">
        <v>61.831629999999997</v>
      </c>
      <c r="M4676">
        <v>4.6810020000000001E-2</v>
      </c>
      <c r="N4676">
        <v>0</v>
      </c>
      <c r="O4676">
        <v>-0.99875990000000003</v>
      </c>
      <c r="P4676">
        <v>8.6641330000000003E-2</v>
      </c>
      <c r="Q4676">
        <v>-2.5020509999999999E-2</v>
      </c>
      <c r="R4676">
        <v>-0.99592570000000002</v>
      </c>
      <c r="S4676">
        <v>0.2476807</v>
      </c>
      <c r="T4676">
        <v>-0.38115640000000001</v>
      </c>
      <c r="U4676">
        <v>-2.9811709999999998</v>
      </c>
      <c r="V4676">
        <v>-3.9920650000000002E-2</v>
      </c>
      <c r="W4676">
        <v>-8.0665029999999992E-3</v>
      </c>
      <c r="X4676">
        <v>0.99917029999999996</v>
      </c>
      <c r="Y4676">
        <v>-3.538533E-2</v>
      </c>
      <c r="Z4676">
        <v>0.12636140000000001</v>
      </c>
      <c r="AA4676">
        <v>0.99135300000000004</v>
      </c>
      <c r="AB4676">
        <v>25</v>
      </c>
      <c r="AC4676">
        <v>5.7999999999992703E-2</v>
      </c>
      <c r="AD4676">
        <v>-0.107169</v>
      </c>
      <c r="AE4676">
        <v>-0.590699999999998</v>
      </c>
      <c r="AF4676">
        <v>-2.9325687383818001E-2</v>
      </c>
      <c r="AG4676">
        <v>-0.107169</v>
      </c>
      <c r="AH4676">
        <v>0.57405269326958797</v>
      </c>
      <c r="AI4676">
        <v>100.561267224796</v>
      </c>
      <c r="AJ4676">
        <v>92.924433202130501</v>
      </c>
      <c r="AK4676">
        <v>0.58470649487721704</v>
      </c>
      <c r="AL4676">
        <v>90.462181586157996</v>
      </c>
      <c r="AM4676">
        <v>92.287967182273405</v>
      </c>
      <c r="AN4676">
        <v>1.0000000075845801</v>
      </c>
    </row>
    <row r="4677" spans="1:40" x14ac:dyDescent="0.3">
      <c r="A4677" t="str">
        <f>"20200111160556218"</f>
        <v>20200111160556218</v>
      </c>
      <c r="B4677" t="str">
        <f>"1578729956206765"</f>
        <v>1578729956206765</v>
      </c>
      <c r="C4677" t="s">
        <v>40</v>
      </c>
      <c r="D4677">
        <v>4.6922860000000002</v>
      </c>
      <c r="E4677">
        <v>0.47893340000000001</v>
      </c>
      <c r="F4677" t="s">
        <v>42</v>
      </c>
      <c r="G4677">
        <v>-421.53390000000002</v>
      </c>
      <c r="H4677">
        <v>1.007323</v>
      </c>
      <c r="I4677">
        <v>61.020479999999999</v>
      </c>
      <c r="J4677">
        <v>-421.58010000000002</v>
      </c>
      <c r="K4677">
        <v>1.1108819999999999</v>
      </c>
      <c r="L4677">
        <v>61.354340000000001</v>
      </c>
      <c r="M4677">
        <v>4.6810150000000002E-2</v>
      </c>
      <c r="N4677">
        <v>0</v>
      </c>
      <c r="O4677">
        <v>-0.99876319999999996</v>
      </c>
      <c r="P4677">
        <v>8.8126599999999999E-2</v>
      </c>
      <c r="Q4677">
        <v>-2.3500050000000001E-2</v>
      </c>
      <c r="R4677">
        <v>-0.99583219999999995</v>
      </c>
      <c r="S4677">
        <v>0.2527161</v>
      </c>
      <c r="T4677">
        <v>-0.38069340000000002</v>
      </c>
      <c r="U4677">
        <v>-2.9807130000000002</v>
      </c>
      <c r="V4677">
        <v>-4.1408449999999999E-2</v>
      </c>
      <c r="W4677">
        <v>-6.742456E-3</v>
      </c>
      <c r="X4677">
        <v>0.9991196</v>
      </c>
      <c r="Y4677">
        <v>-3.7062449999999997E-2</v>
      </c>
      <c r="Z4677">
        <v>0.12621679999999999</v>
      </c>
      <c r="AA4677">
        <v>0.99131009999999997</v>
      </c>
      <c r="AB4677">
        <v>24</v>
      </c>
      <c r="AC4677">
        <v>4.6199999999998902E-2</v>
      </c>
      <c r="AD4677">
        <v>-0.103558999999999</v>
      </c>
      <c r="AE4677">
        <v>-0.33385999999999399</v>
      </c>
      <c r="AF4677">
        <v>-2.7886407945268501E-2</v>
      </c>
      <c r="AG4677">
        <v>-0.103558999999999</v>
      </c>
      <c r="AH4677">
        <v>0.30670173832141201</v>
      </c>
      <c r="AI4677">
        <v>108.586076167561</v>
      </c>
      <c r="AJ4677">
        <v>95.195250024797502</v>
      </c>
      <c r="AK4677">
        <v>0.324912410533155</v>
      </c>
      <c r="AL4677">
        <v>90.386317180976604</v>
      </c>
      <c r="AM4677">
        <v>92.373261821433502</v>
      </c>
      <c r="AN4677">
        <v>1.0000000477742299</v>
      </c>
    </row>
    <row r="4678" spans="1:40" x14ac:dyDescent="0.3">
      <c r="A4678" t="str">
        <f>"20200111160556241"</f>
        <v>20200111160556241</v>
      </c>
      <c r="B4678" t="str">
        <f>"1578729956237021"</f>
        <v>1578729956237021</v>
      </c>
      <c r="C4678" t="s">
        <v>40</v>
      </c>
      <c r="D4678">
        <v>4.7092549999999997</v>
      </c>
      <c r="E4678">
        <v>0.47815609999999997</v>
      </c>
      <c r="F4678" t="s">
        <v>41</v>
      </c>
      <c r="G4678">
        <v>-419.77429999999998</v>
      </c>
      <c r="H4678" s="1">
        <v>-4.121014E-6</v>
      </c>
      <c r="I4678">
        <v>49.145650000000003</v>
      </c>
      <c r="J4678">
        <v>-421.5686</v>
      </c>
      <c r="K4678">
        <v>1.1108530000000001</v>
      </c>
      <c r="L4678">
        <v>61.107880000000002</v>
      </c>
      <c r="M4678">
        <v>4.6810310000000001E-2</v>
      </c>
      <c r="N4678">
        <v>0</v>
      </c>
      <c r="O4678">
        <v>-0.9987665</v>
      </c>
      <c r="P4678">
        <v>8.891947E-2</v>
      </c>
      <c r="Q4678">
        <v>-2.1649040000000001E-2</v>
      </c>
      <c r="R4678">
        <v>-0.99580360000000001</v>
      </c>
      <c r="S4678">
        <v>0.43890380000000001</v>
      </c>
      <c r="T4678">
        <v>-0.27000299999999999</v>
      </c>
      <c r="U4678">
        <v>-2.967346</v>
      </c>
      <c r="V4678">
        <v>-4.2201610000000001E-2</v>
      </c>
      <c r="W4678">
        <v>-5.1022079999999996E-3</v>
      </c>
      <c r="X4678">
        <v>0.99909610000000004</v>
      </c>
      <c r="Y4678">
        <v>-9.9255200000000002E-2</v>
      </c>
      <c r="Z4678">
        <v>8.9760999999999994E-2</v>
      </c>
      <c r="AA4678">
        <v>0.99100520000000003</v>
      </c>
      <c r="AB4678">
        <v>24</v>
      </c>
      <c r="AC4678">
        <v>1.79430000000002</v>
      </c>
      <c r="AD4678">
        <v>-1.1108571210139999</v>
      </c>
      <c r="AE4678">
        <v>-11.9622299999999</v>
      </c>
      <c r="AF4678">
        <v>-1.2219938506155501</v>
      </c>
      <c r="AG4678">
        <v>-1.1108571210139999</v>
      </c>
      <c r="AH4678">
        <v>11.9324791223495</v>
      </c>
      <c r="AI4678">
        <v>95.291120234477006</v>
      </c>
      <c r="AJ4678">
        <v>95.847222067457807</v>
      </c>
      <c r="AK4678">
        <v>12.0462164400095</v>
      </c>
      <c r="AL4678">
        <v>90.292336249262604</v>
      </c>
      <c r="AM4678">
        <v>92.418723913959596</v>
      </c>
      <c r="AN4678">
        <v>1.00000001272413</v>
      </c>
    </row>
    <row r="4679" spans="1:40" x14ac:dyDescent="0.3">
      <c r="A4679" t="str">
        <f>"20200111160556263"</f>
        <v>20200111160556263</v>
      </c>
      <c r="B4679" t="str">
        <f>"1578729956256541"</f>
        <v>1578729956256541</v>
      </c>
      <c r="C4679" t="s">
        <v>40</v>
      </c>
      <c r="D4679">
        <v>4.8325339999999999</v>
      </c>
      <c r="E4679">
        <v>0.47828749999999998</v>
      </c>
      <c r="F4679" t="s">
        <v>41</v>
      </c>
      <c r="G4679">
        <v>-419.75259999999997</v>
      </c>
      <c r="H4679" s="1">
        <v>-4.0904900000000002E-6</v>
      </c>
      <c r="I4679">
        <v>49.0655</v>
      </c>
      <c r="J4679">
        <v>-421.55709999999999</v>
      </c>
      <c r="K4679">
        <v>1.1108070000000001</v>
      </c>
      <c r="L4679">
        <v>60.8628199999999</v>
      </c>
      <c r="M4679">
        <v>4.6810780000000003E-2</v>
      </c>
      <c r="N4679">
        <v>0</v>
      </c>
      <c r="O4679">
        <v>-0.99877099999999996</v>
      </c>
      <c r="P4679">
        <v>8.9333780000000002E-2</v>
      </c>
      <c r="Q4679">
        <v>-2.0055699999999999E-2</v>
      </c>
      <c r="R4679">
        <v>-0.99580000000000002</v>
      </c>
      <c r="S4679">
        <v>0.4473877</v>
      </c>
      <c r="T4679">
        <v>-0.27367140000000001</v>
      </c>
      <c r="U4679">
        <v>-2.9667659999999998</v>
      </c>
      <c r="V4679">
        <v>-4.2615380000000001E-2</v>
      </c>
      <c r="W4679">
        <v>-3.7719979999999999E-3</v>
      </c>
      <c r="X4679">
        <v>0.99908439999999998</v>
      </c>
      <c r="Y4679">
        <v>-0.1020385</v>
      </c>
      <c r="Z4679">
        <v>9.0956090000000003E-2</v>
      </c>
      <c r="AA4679">
        <v>0.99061350000000004</v>
      </c>
      <c r="AB4679">
        <v>24</v>
      </c>
      <c r="AC4679">
        <v>1.80450000000001</v>
      </c>
      <c r="AD4679">
        <v>-1.1108110904899999</v>
      </c>
      <c r="AE4679">
        <v>-11.7973199999999</v>
      </c>
      <c r="AF4679">
        <v>-1.2394687759187299</v>
      </c>
      <c r="AG4679">
        <v>-1.1108110904899999</v>
      </c>
      <c r="AH4679">
        <v>11.766928042803499</v>
      </c>
      <c r="AI4679">
        <v>95.363306117625001</v>
      </c>
      <c r="AJ4679">
        <v>96.013074228115599</v>
      </c>
      <c r="AK4679">
        <v>11.884055691965999</v>
      </c>
      <c r="AL4679">
        <v>90.216120085043499</v>
      </c>
      <c r="AM4679">
        <v>92.442438528445606</v>
      </c>
      <c r="AN4679">
        <v>0.99999996845240702</v>
      </c>
    </row>
    <row r="4680" spans="1:40" x14ac:dyDescent="0.3">
      <c r="A4680" t="str">
        <f>"20200111160556285"</f>
        <v>20200111160556285</v>
      </c>
      <c r="B4680" t="str">
        <f>"1578729956277037"</f>
        <v>1578729956277037</v>
      </c>
      <c r="C4680" t="s">
        <v>40</v>
      </c>
      <c r="D4680">
        <v>4.8765349999999996</v>
      </c>
      <c r="E4680">
        <v>0.47825649999999997</v>
      </c>
      <c r="F4680" t="s">
        <v>41</v>
      </c>
      <c r="G4680">
        <v>-419.71910000000003</v>
      </c>
      <c r="H4680" s="1">
        <v>-3.9372019999999998E-6</v>
      </c>
      <c r="I4680">
        <v>48.694339999999997</v>
      </c>
      <c r="J4680">
        <v>-421.54599999999999</v>
      </c>
      <c r="K4680">
        <v>1.110771</v>
      </c>
      <c r="L4680">
        <v>60.625819999999997</v>
      </c>
      <c r="M4680">
        <v>4.6810999999999998E-2</v>
      </c>
      <c r="N4680">
        <v>0</v>
      </c>
      <c r="O4680">
        <v>-0.99877510000000003</v>
      </c>
      <c r="P4680">
        <v>8.9522699999999997E-2</v>
      </c>
      <c r="Q4680">
        <v>-2.0176969999999999E-2</v>
      </c>
      <c r="R4680">
        <v>-0.99578060000000002</v>
      </c>
      <c r="S4680">
        <v>0.44815060000000001</v>
      </c>
      <c r="T4680">
        <v>-0.27084619999999998</v>
      </c>
      <c r="U4680">
        <v>-2.9670100000000001</v>
      </c>
      <c r="V4680">
        <v>-4.28054E-2</v>
      </c>
      <c r="W4680">
        <v>-4.1505129999999998E-3</v>
      </c>
      <c r="X4680">
        <v>0.99907480000000004</v>
      </c>
      <c r="Y4680">
        <v>-0.1022883</v>
      </c>
      <c r="Z4680">
        <v>9.0014709999999998E-2</v>
      </c>
      <c r="AA4680">
        <v>0.99067369999999999</v>
      </c>
      <c r="AB4680">
        <v>24</v>
      </c>
      <c r="AC4680">
        <v>1.82689999999996</v>
      </c>
      <c r="AD4680">
        <v>-1.1107749372019999</v>
      </c>
      <c r="AE4680">
        <v>-11.931479999999899</v>
      </c>
      <c r="AF4680">
        <v>-1.2556670308586899</v>
      </c>
      <c r="AG4680">
        <v>-1.1107749372019999</v>
      </c>
      <c r="AH4680">
        <v>11.903126987611699</v>
      </c>
      <c r="AI4680">
        <v>95.302032344424802</v>
      </c>
      <c r="AJ4680">
        <v>96.021889663394703</v>
      </c>
      <c r="AK4680">
        <v>12.020605339861699</v>
      </c>
      <c r="AL4680">
        <v>90.2378075622739</v>
      </c>
      <c r="AM4680">
        <v>92.453339516093195</v>
      </c>
      <c r="AN4680">
        <v>0.99999999251118099</v>
      </c>
    </row>
    <row r="4681" spans="1:40" x14ac:dyDescent="0.3">
      <c r="A4681" t="str">
        <f>"20200111160556308"</f>
        <v>20200111160556308</v>
      </c>
      <c r="B4681" t="str">
        <f>"1578729956296557"</f>
        <v>1578729956296557</v>
      </c>
      <c r="C4681" t="s">
        <v>40</v>
      </c>
      <c r="D4681">
        <v>4.8466440000000004</v>
      </c>
      <c r="E4681">
        <v>0.47819139999999999</v>
      </c>
      <c r="F4681" t="s">
        <v>41</v>
      </c>
      <c r="G4681">
        <v>-419.73219999999998</v>
      </c>
      <c r="H4681" s="1">
        <v>-3.9090140000000001E-6</v>
      </c>
      <c r="I4681">
        <v>48.634059999999998</v>
      </c>
      <c r="J4681">
        <v>-421.53469999999999</v>
      </c>
      <c r="K4681">
        <v>1.1107389999999999</v>
      </c>
      <c r="L4681">
        <v>60.384700000000002</v>
      </c>
      <c r="M4681">
        <v>4.6810619999999997E-2</v>
      </c>
      <c r="N4681">
        <v>0</v>
      </c>
      <c r="O4681">
        <v>-0.99877910000000003</v>
      </c>
      <c r="P4681">
        <v>8.9374330000000002E-2</v>
      </c>
      <c r="Q4681">
        <v>-2.0044960000000001E-2</v>
      </c>
      <c r="R4681">
        <v>-0.99579649999999997</v>
      </c>
      <c r="S4681">
        <v>0.44873049999999998</v>
      </c>
      <c r="T4681">
        <v>-0.27480890000000002</v>
      </c>
      <c r="U4681">
        <v>-2.9667970000000001</v>
      </c>
      <c r="V4681">
        <v>-4.2656739999999999E-2</v>
      </c>
      <c r="W4681">
        <v>-4.2630659999999898E-3</v>
      </c>
      <c r="X4681">
        <v>0.99908070000000004</v>
      </c>
      <c r="Y4681">
        <v>-0.1024709</v>
      </c>
      <c r="Z4681">
        <v>9.1324989999999995E-2</v>
      </c>
      <c r="AA4681">
        <v>0.99053500000000005</v>
      </c>
      <c r="AB4681">
        <v>24</v>
      </c>
      <c r="AC4681">
        <v>1.8025</v>
      </c>
      <c r="AD4681">
        <v>-1.110742909014</v>
      </c>
      <c r="AE4681">
        <v>-11.750640000000001</v>
      </c>
      <c r="AF4681">
        <v>-1.23957906172975</v>
      </c>
      <c r="AG4681">
        <v>-1.110742909014</v>
      </c>
      <c r="AH4681">
        <v>11.7198306240462</v>
      </c>
      <c r="AI4681">
        <v>95.384162362733207</v>
      </c>
      <c r="AJ4681">
        <v>96.037593523616493</v>
      </c>
      <c r="AK4681">
        <v>11.837429447161901</v>
      </c>
      <c r="AL4681">
        <v>90.244256427439197</v>
      </c>
      <c r="AM4681">
        <v>92.444815184921396</v>
      </c>
      <c r="AN4681">
        <v>1.00000000815581</v>
      </c>
    </row>
    <row r="4682" spans="1:40" x14ac:dyDescent="0.3">
      <c r="A4682" t="str">
        <f>"20200111160556330"</f>
        <v>20200111160556330</v>
      </c>
      <c r="B4682" t="str">
        <f>"1578729956326814"</f>
        <v>1578729956326814</v>
      </c>
      <c r="C4682" t="s">
        <v>40</v>
      </c>
      <c r="D4682">
        <v>4.9468259999999997</v>
      </c>
      <c r="E4682">
        <v>0.47809439999999997</v>
      </c>
      <c r="F4682" t="s">
        <v>41</v>
      </c>
      <c r="G4682">
        <v>-419.74259999999998</v>
      </c>
      <c r="H4682" s="1">
        <v>-3.86783399999999E-6</v>
      </c>
      <c r="I4682">
        <v>48.542369999999998</v>
      </c>
      <c r="J4682">
        <v>-421.52319999999997</v>
      </c>
      <c r="K4682">
        <v>1.1107129999999901</v>
      </c>
      <c r="L4682">
        <v>60.139800000000001</v>
      </c>
      <c r="M4682">
        <v>4.6810629999999999E-2</v>
      </c>
      <c r="N4682">
        <v>0</v>
      </c>
      <c r="O4682">
        <v>-0.99878270000000002</v>
      </c>
      <c r="P4682">
        <v>8.9195570000000002E-2</v>
      </c>
      <c r="Q4682">
        <v>-1.9648249999999999E-2</v>
      </c>
      <c r="R4682">
        <v>-0.9958205</v>
      </c>
      <c r="S4682">
        <v>0.44894410000000001</v>
      </c>
      <c r="T4682">
        <v>-0.2782656</v>
      </c>
      <c r="U4682">
        <v>-2.9667659999999998</v>
      </c>
      <c r="V4682">
        <v>-4.2477170000000002E-2</v>
      </c>
      <c r="W4682">
        <v>-4.0991109999999999E-3</v>
      </c>
      <c r="X4682">
        <v>0.999089</v>
      </c>
      <c r="Y4682">
        <v>-0.10252650000000001</v>
      </c>
      <c r="Z4682">
        <v>9.2464060000000001E-2</v>
      </c>
      <c r="AA4682">
        <v>0.99042350000000001</v>
      </c>
      <c r="AB4682">
        <v>24</v>
      </c>
      <c r="AC4682">
        <v>1.78059999999999</v>
      </c>
      <c r="AD4682">
        <v>-1.11071686783399</v>
      </c>
      <c r="AE4682">
        <v>-11.597429999999999</v>
      </c>
      <c r="AF4682">
        <v>-1.22472397247901</v>
      </c>
      <c r="AG4682">
        <v>-1.11071686783399</v>
      </c>
      <c r="AH4682">
        <v>11.564443795877001</v>
      </c>
      <c r="AI4682">
        <v>95.455868833036007</v>
      </c>
      <c r="AJ4682">
        <v>96.045333964258106</v>
      </c>
      <c r="AK4682">
        <v>11.682037539627</v>
      </c>
      <c r="AL4682">
        <v>90.234862424519804</v>
      </c>
      <c r="AM4682">
        <v>92.434515574093396</v>
      </c>
      <c r="AN4682">
        <v>0.99999997130159901</v>
      </c>
    </row>
    <row r="4683" spans="1:40" x14ac:dyDescent="0.3">
      <c r="A4683" t="str">
        <f>"20200111160556353"</f>
        <v>20200111160556353</v>
      </c>
      <c r="B4683" t="str">
        <f>"1578729956346333"</f>
        <v>1578729956346333</v>
      </c>
      <c r="C4683" t="s">
        <v>40</v>
      </c>
      <c r="D4683">
        <v>4.9626349999999997</v>
      </c>
      <c r="E4683">
        <v>0.4778809</v>
      </c>
      <c r="F4683" t="s">
        <v>41</v>
      </c>
      <c r="G4683">
        <v>-419.73989999999998</v>
      </c>
      <c r="H4683" s="1">
        <v>-3.785454E-6</v>
      </c>
      <c r="I4683">
        <v>48.349220000000003</v>
      </c>
      <c r="J4683">
        <v>-421.51179999999999</v>
      </c>
      <c r="K4683">
        <v>1.1107</v>
      </c>
      <c r="L4683">
        <v>59.896450000000002</v>
      </c>
      <c r="M4683">
        <v>4.6810810000000001E-2</v>
      </c>
      <c r="N4683">
        <v>0</v>
      </c>
      <c r="O4683">
        <v>-0.99878599999999995</v>
      </c>
      <c r="P4683">
        <v>8.9412309999999995E-2</v>
      </c>
      <c r="Q4683">
        <v>-1.9724990000000001E-2</v>
      </c>
      <c r="R4683">
        <v>-0.99579980000000001</v>
      </c>
      <c r="S4683">
        <v>0.44873049999999998</v>
      </c>
      <c r="T4683">
        <v>-0.27949190000000002</v>
      </c>
      <c r="U4683">
        <v>-2.966888</v>
      </c>
      <c r="V4683">
        <v>-4.2694830000000003E-2</v>
      </c>
      <c r="W4683">
        <v>-4.3920160000000003E-3</v>
      </c>
      <c r="X4683">
        <v>0.99907849999999998</v>
      </c>
      <c r="Y4683">
        <v>-0.1024451</v>
      </c>
      <c r="Z4683">
        <v>9.2865149999999994E-2</v>
      </c>
      <c r="AA4683">
        <v>0.99039440000000001</v>
      </c>
      <c r="AB4683">
        <v>24</v>
      </c>
      <c r="AC4683">
        <v>1.77190000000001</v>
      </c>
      <c r="AD4683">
        <v>-1.1107037854539901</v>
      </c>
      <c r="AE4683">
        <v>-11.547230000000001</v>
      </c>
      <c r="AF4683">
        <v>-1.21834539710618</v>
      </c>
      <c r="AG4683">
        <v>-1.1107037854539901</v>
      </c>
      <c r="AH4683">
        <v>11.513449288551101</v>
      </c>
      <c r="AI4683">
        <v>95.479871071050994</v>
      </c>
      <c r="AJ4683">
        <v>96.040520768223601</v>
      </c>
      <c r="AK4683">
        <v>11.6308874521985</v>
      </c>
      <c r="AL4683">
        <v>90.251644790963994</v>
      </c>
      <c r="AM4683">
        <v>92.447000992739206</v>
      </c>
      <c r="AN4683">
        <v>0.99999999373776105</v>
      </c>
    </row>
    <row r="4684" spans="1:40" x14ac:dyDescent="0.3">
      <c r="A4684" t="str">
        <f>"20200111160556374"</f>
        <v>20200111160556374</v>
      </c>
      <c r="B4684" t="str">
        <f>"1578729956366832"</f>
        <v>1578729956366832</v>
      </c>
      <c r="C4684" t="s">
        <v>40</v>
      </c>
      <c r="D4684">
        <v>4.9154689999999999</v>
      </c>
      <c r="E4684">
        <v>0.47791410000000001</v>
      </c>
      <c r="F4684" t="s">
        <v>41</v>
      </c>
      <c r="G4684">
        <v>-419.73419999999999</v>
      </c>
      <c r="H4684" s="1">
        <v>-3.7239219999999998E-6</v>
      </c>
      <c r="I4684">
        <v>48.203409999999998</v>
      </c>
      <c r="J4684">
        <v>-421.50069999999999</v>
      </c>
      <c r="K4684">
        <v>1.1106780000000001</v>
      </c>
      <c r="L4684">
        <v>59.660919999999997</v>
      </c>
      <c r="M4684">
        <v>4.6811169999999999E-2</v>
      </c>
      <c r="N4684">
        <v>0</v>
      </c>
      <c r="O4684">
        <v>-0.99878889999999998</v>
      </c>
      <c r="P4684">
        <v>8.9935290000000001E-2</v>
      </c>
      <c r="Q4684">
        <v>-1.942058E-2</v>
      </c>
      <c r="R4684">
        <v>-0.99575860000000005</v>
      </c>
      <c r="S4684">
        <v>0.45098880000000002</v>
      </c>
      <c r="T4684">
        <v>-0.28179090000000001</v>
      </c>
      <c r="U4684">
        <v>-2.966583</v>
      </c>
      <c r="V4684">
        <v>-4.3218880000000001E-2</v>
      </c>
      <c r="W4684">
        <v>-4.2786669999999999E-3</v>
      </c>
      <c r="X4684">
        <v>0.99905650000000001</v>
      </c>
      <c r="Y4684">
        <v>-0.10318629999999999</v>
      </c>
      <c r="Z4684">
        <v>9.362289E-2</v>
      </c>
      <c r="AA4684">
        <v>0.99024610000000002</v>
      </c>
      <c r="AB4684">
        <v>24</v>
      </c>
      <c r="AC4684">
        <v>1.7665</v>
      </c>
      <c r="AD4684">
        <v>-1.1106817239219999</v>
      </c>
      <c r="AE4684">
        <v>-11.457509999999999</v>
      </c>
      <c r="AF4684">
        <v>-1.2169912730577299</v>
      </c>
      <c r="AG4684">
        <v>-1.1106817239219999</v>
      </c>
      <c r="AH4684">
        <v>11.4227983063853</v>
      </c>
      <c r="AI4684">
        <v>95.522566649352697</v>
      </c>
      <c r="AJ4684">
        <v>96.081383689254295</v>
      </c>
      <c r="AK4684">
        <v>11.541013941544</v>
      </c>
      <c r="AL4684">
        <v>90.245150300610106</v>
      </c>
      <c r="AM4684">
        <v>92.4770535597806</v>
      </c>
      <c r="AN4684">
        <v>1.000000034386</v>
      </c>
    </row>
    <row r="4685" spans="1:40" x14ac:dyDescent="0.3">
      <c r="A4685" t="str">
        <f>"20200111160556397"</f>
        <v>20200111160556397</v>
      </c>
      <c r="B4685" t="str">
        <f>"1578729956386349"</f>
        <v>1578729956386349</v>
      </c>
      <c r="C4685" t="s">
        <v>40</v>
      </c>
      <c r="D4685">
        <v>4.9547160000000003</v>
      </c>
      <c r="E4685">
        <v>0.47792639999999997</v>
      </c>
      <c r="F4685" t="s">
        <v>41</v>
      </c>
      <c r="G4685">
        <v>-419.7287</v>
      </c>
      <c r="H4685" s="1">
        <v>-3.6557750000000002E-6</v>
      </c>
      <c r="I4685">
        <v>48.042299999999997</v>
      </c>
      <c r="J4685">
        <v>-421.4896</v>
      </c>
      <c r="K4685">
        <v>1.1106560000000001</v>
      </c>
      <c r="L4685">
        <v>59.421970000000002</v>
      </c>
      <c r="M4685">
        <v>4.681159E-2</v>
      </c>
      <c r="N4685">
        <v>0</v>
      </c>
      <c r="O4685">
        <v>-0.99879150000000005</v>
      </c>
      <c r="P4685">
        <v>9.0537619999999999E-2</v>
      </c>
      <c r="Q4685">
        <v>-2.029939E-2</v>
      </c>
      <c r="R4685">
        <v>-0.99568659999999998</v>
      </c>
      <c r="S4685">
        <v>0.45242310000000002</v>
      </c>
      <c r="T4685">
        <v>-0.28357290000000002</v>
      </c>
      <c r="U4685">
        <v>-2.9664000000000001</v>
      </c>
      <c r="V4685">
        <v>-4.3823670000000002E-2</v>
      </c>
      <c r="W4685">
        <v>-5.3314159999999899E-3</v>
      </c>
      <c r="X4685">
        <v>0.99902500000000005</v>
      </c>
      <c r="Y4685">
        <v>-0.1036547</v>
      </c>
      <c r="Z4685">
        <v>9.4209689999999999E-2</v>
      </c>
      <c r="AA4685">
        <v>0.99014150000000001</v>
      </c>
      <c r="AB4685">
        <v>24</v>
      </c>
      <c r="AC4685">
        <v>1.7608999999999899</v>
      </c>
      <c r="AD4685">
        <v>-1.1106596557749999</v>
      </c>
      <c r="AE4685">
        <v>-11.3796699999999</v>
      </c>
      <c r="AF4685">
        <v>-1.2149066231696199</v>
      </c>
      <c r="AG4685">
        <v>-1.1106596557749999</v>
      </c>
      <c r="AH4685">
        <v>11.344096964885299</v>
      </c>
      <c r="AI4685">
        <v>95.560207064493895</v>
      </c>
      <c r="AJ4685">
        <v>96.112845384500702</v>
      </c>
      <c r="AK4685">
        <v>11.462900981981299</v>
      </c>
      <c r="AL4685">
        <v>90.305469099752301</v>
      </c>
      <c r="AM4685">
        <v>92.511751595958998</v>
      </c>
      <c r="AN4685">
        <v>0.99999994433691497</v>
      </c>
    </row>
    <row r="4686" spans="1:40" x14ac:dyDescent="0.3">
      <c r="A4686" t="str">
        <f>"20200111160556419"</f>
        <v>20200111160556419</v>
      </c>
      <c r="B4686" t="str">
        <f>"1578729956416606"</f>
        <v>1578729956416606</v>
      </c>
      <c r="C4686" t="s">
        <v>40</v>
      </c>
      <c r="D4686">
        <v>4.9338249999999997</v>
      </c>
      <c r="E4686">
        <v>0.47779339999999998</v>
      </c>
      <c r="F4686" t="s">
        <v>41</v>
      </c>
      <c r="G4686">
        <v>-419.74149999999997</v>
      </c>
      <c r="H4686" s="1">
        <v>-3.6393329999999999E-6</v>
      </c>
      <c r="I4686">
        <v>48.009279999999997</v>
      </c>
      <c r="J4686">
        <v>-421.47820000000002</v>
      </c>
      <c r="K4686">
        <v>1.1106480000000001</v>
      </c>
      <c r="L4686">
        <v>59.181460000000001</v>
      </c>
      <c r="M4686">
        <v>4.681192E-2</v>
      </c>
      <c r="N4686">
        <v>0</v>
      </c>
      <c r="O4686">
        <v>-0.99879390000000001</v>
      </c>
      <c r="P4686">
        <v>9.0775270000000005E-2</v>
      </c>
      <c r="Q4686">
        <v>-2.046891E-2</v>
      </c>
      <c r="R4686">
        <v>-0.99566149999999998</v>
      </c>
      <c r="S4686">
        <v>0.4542542</v>
      </c>
      <c r="T4686">
        <v>-0.28862789999999999</v>
      </c>
      <c r="U4686">
        <v>-2.9658199999999999</v>
      </c>
      <c r="V4686">
        <v>-4.406177E-2</v>
      </c>
      <c r="W4686">
        <v>-5.65622E-3</v>
      </c>
      <c r="X4686">
        <v>0.99901280000000003</v>
      </c>
      <c r="Y4686">
        <v>-0.1042564</v>
      </c>
      <c r="Z4686">
        <v>9.5884609999999995E-2</v>
      </c>
      <c r="AA4686">
        <v>0.98991750000000001</v>
      </c>
      <c r="AB4686">
        <v>24</v>
      </c>
      <c r="AC4686">
        <v>1.7367000000000401</v>
      </c>
      <c r="AD4686">
        <v>-1.1106516393329999</v>
      </c>
      <c r="AE4686">
        <v>-11.1721799999999</v>
      </c>
      <c r="AF4686">
        <v>-1.2001659528144899</v>
      </c>
      <c r="AG4686">
        <v>-1.1106516393329999</v>
      </c>
      <c r="AH4686">
        <v>11.1337997204666</v>
      </c>
      <c r="AI4686">
        <v>95.6640941510706</v>
      </c>
      <c r="AJ4686">
        <v>96.152431862391893</v>
      </c>
      <c r="AK4686">
        <v>11.253241381651399</v>
      </c>
      <c r="AL4686">
        <v>90.324079260919802</v>
      </c>
      <c r="AM4686">
        <v>92.525411466592502</v>
      </c>
      <c r="AN4686">
        <v>1.00000000348203</v>
      </c>
    </row>
    <row r="4687" spans="1:40" x14ac:dyDescent="0.3">
      <c r="A4687" t="str">
        <f>"20200111160556442"</f>
        <v>20200111160556442</v>
      </c>
      <c r="B4687" t="str">
        <f>"1578729956437101"</f>
        <v>1578729956437101</v>
      </c>
      <c r="C4687" t="s">
        <v>40</v>
      </c>
      <c r="D4687">
        <v>5.7379569999999998</v>
      </c>
      <c r="E4687">
        <v>0.47797079999999997</v>
      </c>
      <c r="F4687" t="s">
        <v>41</v>
      </c>
      <c r="G4687">
        <v>-419.68920000000003</v>
      </c>
      <c r="H4687" s="1">
        <v>-3.4451030000000001E-6</v>
      </c>
      <c r="I4687">
        <v>47.534869999999998</v>
      </c>
      <c r="J4687">
        <v>-421.46629999999999</v>
      </c>
      <c r="K4687">
        <v>1.1106549999999999</v>
      </c>
      <c r="L4687">
        <v>58.927979999999998</v>
      </c>
      <c r="M4687">
        <v>4.6812069999999997E-2</v>
      </c>
      <c r="N4687">
        <v>0</v>
      </c>
      <c r="O4687">
        <v>-0.99879600000000002</v>
      </c>
      <c r="P4687">
        <v>9.105452E-2</v>
      </c>
      <c r="Q4687">
        <v>-1.989264E-2</v>
      </c>
      <c r="R4687">
        <v>-0.99564770000000002</v>
      </c>
      <c r="S4687">
        <v>0.45556639999999998</v>
      </c>
      <c r="T4687">
        <v>-0.28282030000000002</v>
      </c>
      <c r="U4687">
        <v>-2.9657290000000001</v>
      </c>
      <c r="V4687">
        <v>-4.4341499999999999E-2</v>
      </c>
      <c r="W4687">
        <v>-5.2247689999999998E-3</v>
      </c>
      <c r="X4687">
        <v>0.99900279999999997</v>
      </c>
      <c r="Y4687">
        <v>-0.10471660000000001</v>
      </c>
      <c r="Z4687">
        <v>9.3970059999999994E-2</v>
      </c>
      <c r="AA4687">
        <v>0.99005259999999995</v>
      </c>
      <c r="AB4687">
        <v>24</v>
      </c>
      <c r="AC4687">
        <v>1.7770999999999599</v>
      </c>
      <c r="AD4687">
        <v>-1.1106584451029999</v>
      </c>
      <c r="AE4687">
        <v>-11.39311</v>
      </c>
      <c r="AF4687">
        <v>-1.23034424902734</v>
      </c>
      <c r="AG4687">
        <v>-1.1106584451029999</v>
      </c>
      <c r="AH4687">
        <v>11.358436612292101</v>
      </c>
      <c r="AI4687">
        <v>95.552506280482305</v>
      </c>
      <c r="AJ4687">
        <v>96.182167081518102</v>
      </c>
      <c r="AK4687">
        <v>11.478736490931899</v>
      </c>
      <c r="AL4687">
        <v>90.299358565466903</v>
      </c>
      <c r="AM4687">
        <v>92.541448713427002</v>
      </c>
      <c r="AN4687">
        <v>1.0000000306205901</v>
      </c>
    </row>
    <row r="4688" spans="1:40" x14ac:dyDescent="0.3">
      <c r="A4688" t="str">
        <f>"20200111160556465"</f>
        <v>20200111160556465</v>
      </c>
      <c r="B4688" t="str">
        <f>"1578729956456621"</f>
        <v>1578729956456621</v>
      </c>
      <c r="C4688" t="s">
        <v>40</v>
      </c>
      <c r="D4688">
        <v>5.1220019999999904</v>
      </c>
      <c r="E4688">
        <v>0.47816649999999999</v>
      </c>
      <c r="F4688" t="s">
        <v>41</v>
      </c>
      <c r="G4688">
        <v>-419.6397</v>
      </c>
      <c r="H4688" s="1">
        <v>-3.2332729999999999E-6</v>
      </c>
      <c r="I4688">
        <v>47.02064</v>
      </c>
      <c r="J4688">
        <v>-421.45519999999999</v>
      </c>
      <c r="K4688">
        <v>1.110663</v>
      </c>
      <c r="L4688">
        <v>58.6907</v>
      </c>
      <c r="M4688">
        <v>4.6812140000000002E-2</v>
      </c>
      <c r="N4688">
        <v>0</v>
      </c>
      <c r="O4688">
        <v>-0.9987975</v>
      </c>
      <c r="P4688">
        <v>9.1752189999999997E-2</v>
      </c>
      <c r="Q4688">
        <v>-1.8734460000000001E-2</v>
      </c>
      <c r="R4688">
        <v>-0.99560559999999998</v>
      </c>
      <c r="S4688">
        <v>0.45498660000000002</v>
      </c>
      <c r="T4688">
        <v>-0.27665139999999999</v>
      </c>
      <c r="U4688">
        <v>-2.965973</v>
      </c>
      <c r="V4688">
        <v>-4.5040530000000002E-2</v>
      </c>
      <c r="W4688">
        <v>-4.1851450000000004E-3</v>
      </c>
      <c r="X4688">
        <v>0.99897639999999999</v>
      </c>
      <c r="Y4688">
        <v>-0.1045441</v>
      </c>
      <c r="Z4688">
        <v>9.1932799999999995E-2</v>
      </c>
      <c r="AA4688">
        <v>0.99026199999999998</v>
      </c>
      <c r="AB4688">
        <v>24</v>
      </c>
      <c r="AC4688">
        <v>1.8154999999999799</v>
      </c>
      <c r="AD4688">
        <v>-1.110666233273</v>
      </c>
      <c r="AE4688">
        <v>-11.670059999999999</v>
      </c>
      <c r="AF4688">
        <v>-1.2560427141770001</v>
      </c>
      <c r="AG4688">
        <v>-1.110666233273</v>
      </c>
      <c r="AH4688">
        <v>11.639324938381099</v>
      </c>
      <c r="AI4688">
        <v>95.419588445040702</v>
      </c>
      <c r="AJ4688">
        <v>96.159165241390397</v>
      </c>
      <c r="AK4688">
        <v>11.759468857171701</v>
      </c>
      <c r="AL4688">
        <v>90.239791843660299</v>
      </c>
      <c r="AM4688">
        <v>92.581528214033597</v>
      </c>
      <c r="AN4688">
        <v>1.0000000062691501</v>
      </c>
    </row>
    <row r="4689" spans="1:40" x14ac:dyDescent="0.3">
      <c r="A4689" t="str">
        <f>"20200111160556486"</f>
        <v>20200111160556486</v>
      </c>
      <c r="B4689" t="str">
        <f>"1578729956477118"</f>
        <v>1578729956477118</v>
      </c>
      <c r="C4689" t="s">
        <v>40</v>
      </c>
      <c r="D4689">
        <v>5.1260940000000002</v>
      </c>
      <c r="E4689">
        <v>0.4783174</v>
      </c>
      <c r="F4689" t="s">
        <v>41</v>
      </c>
      <c r="G4689">
        <v>-419.6069</v>
      </c>
      <c r="H4689" s="1">
        <v>-3.073835E-6</v>
      </c>
      <c r="I4689">
        <v>46.63541</v>
      </c>
      <c r="J4689">
        <v>-421.44450000000001</v>
      </c>
      <c r="K4689">
        <v>1.1106549999999999</v>
      </c>
      <c r="L4689">
        <v>58.461359999999999</v>
      </c>
      <c r="M4689">
        <v>4.6812319999999998E-2</v>
      </c>
      <c r="N4689">
        <v>0</v>
      </c>
      <c r="O4689">
        <v>-0.99879910000000005</v>
      </c>
      <c r="P4689">
        <v>9.2745560000000005E-2</v>
      </c>
      <c r="Q4689">
        <v>-1.8807520000000001E-2</v>
      </c>
      <c r="R4689">
        <v>-0.99551239999999996</v>
      </c>
      <c r="S4689">
        <v>0.45477289999999998</v>
      </c>
      <c r="T4689">
        <v>-0.27327780000000002</v>
      </c>
      <c r="U4689">
        <v>-2.9661870000000001</v>
      </c>
      <c r="V4689">
        <v>-4.6037000000000002E-2</v>
      </c>
      <c r="W4689">
        <v>-4.3593999999999898E-3</v>
      </c>
      <c r="X4689">
        <v>0.99893019999999999</v>
      </c>
      <c r="Y4689">
        <v>-0.10447919999999999</v>
      </c>
      <c r="Z4689">
        <v>9.0815450000000006E-2</v>
      </c>
      <c r="AA4689">
        <v>0.99037200000000003</v>
      </c>
      <c r="AB4689">
        <v>24</v>
      </c>
      <c r="AC4689">
        <v>1.8375999999999999</v>
      </c>
      <c r="AD4689">
        <v>-1.110658073835</v>
      </c>
      <c r="AE4689">
        <v>-11.825950000000001</v>
      </c>
      <c r="AF4689">
        <v>-1.2709807465398</v>
      </c>
      <c r="AG4689">
        <v>-1.110658073835</v>
      </c>
      <c r="AH4689">
        <v>11.797409134431</v>
      </c>
      <c r="AI4689">
        <v>95.347453106692896</v>
      </c>
      <c r="AJ4689">
        <v>96.148980674570396</v>
      </c>
      <c r="AK4689">
        <v>11.9175423515172</v>
      </c>
      <c r="AL4689">
        <v>90.249776018071501</v>
      </c>
      <c r="AM4689">
        <v>92.638683577804301</v>
      </c>
      <c r="AN4689">
        <v>0.99999997710469901</v>
      </c>
    </row>
    <row r="4690" spans="1:40" x14ac:dyDescent="0.3">
      <c r="A4690" t="str">
        <f>"20200111160556509"</f>
        <v>20200111160556509</v>
      </c>
      <c r="B4690" t="str">
        <f>"1578729956496637"</f>
        <v>1578729956496637</v>
      </c>
      <c r="C4690" t="s">
        <v>40</v>
      </c>
      <c r="D4690">
        <v>5.2471249999999996</v>
      </c>
      <c r="E4690">
        <v>0.47795860000000001</v>
      </c>
      <c r="F4690" t="s">
        <v>41</v>
      </c>
      <c r="G4690">
        <v>-419.57690000000002</v>
      </c>
      <c r="H4690" s="1">
        <v>-2.9460240000000001E-6</v>
      </c>
      <c r="I4690">
        <v>46.325090000000003</v>
      </c>
      <c r="J4690">
        <v>-421.43310000000002</v>
      </c>
      <c r="K4690">
        <v>1.110646</v>
      </c>
      <c r="L4690">
        <v>58.219670000000001</v>
      </c>
      <c r="M4690">
        <v>4.6813019999999997E-2</v>
      </c>
      <c r="N4690">
        <v>0</v>
      </c>
      <c r="O4690">
        <v>-0.99880029999999997</v>
      </c>
      <c r="P4690">
        <v>9.3166929999999995E-2</v>
      </c>
      <c r="Q4690">
        <v>-2.0835619999999999E-2</v>
      </c>
      <c r="R4690">
        <v>-0.9954326</v>
      </c>
      <c r="S4690">
        <v>0.45639039999999997</v>
      </c>
      <c r="T4690">
        <v>-0.27142430000000001</v>
      </c>
      <c r="U4690">
        <v>-2.965881</v>
      </c>
      <c r="V4690">
        <v>-4.6460870000000001E-2</v>
      </c>
      <c r="W4690">
        <v>-6.4810220000000003E-3</v>
      </c>
      <c r="X4690">
        <v>0.99889910000000004</v>
      </c>
      <c r="Y4690">
        <v>-0.1050299</v>
      </c>
      <c r="Z4690">
        <v>9.0207350000000006E-2</v>
      </c>
      <c r="AA4690">
        <v>0.99036930000000001</v>
      </c>
      <c r="AB4690">
        <v>24</v>
      </c>
      <c r="AC4690">
        <v>1.8562000000000001</v>
      </c>
      <c r="AD4690">
        <v>-1.1106489460240001</v>
      </c>
      <c r="AE4690">
        <v>-11.8945799999999</v>
      </c>
      <c r="AF4690">
        <v>-1.2863372073881401</v>
      </c>
      <c r="AG4690">
        <v>-1.1106489460240001</v>
      </c>
      <c r="AH4690">
        <v>11.8674306562277</v>
      </c>
      <c r="AI4690">
        <v>95.315667661523193</v>
      </c>
      <c r="AJ4690">
        <v>96.186265216833604</v>
      </c>
      <c r="AK4690">
        <v>11.988499275254901</v>
      </c>
      <c r="AL4690">
        <v>90.371337801941195</v>
      </c>
      <c r="AM4690">
        <v>92.663026335518097</v>
      </c>
      <c r="AN4690">
        <v>1.0000000140340599</v>
      </c>
    </row>
    <row r="4691" spans="1:40" x14ac:dyDescent="0.3">
      <c r="A4691" t="str">
        <f>"20200111160556531"</f>
        <v>20200111160556531</v>
      </c>
      <c r="B4691" t="str">
        <f>"1578729956526893"</f>
        <v>1578729956526893</v>
      </c>
      <c r="C4691" t="s">
        <v>40</v>
      </c>
      <c r="D4691">
        <v>5.1293600000000001</v>
      </c>
      <c r="E4691">
        <v>0.47803259999999997</v>
      </c>
      <c r="F4691" t="s">
        <v>41</v>
      </c>
      <c r="G4691">
        <v>-419.59570000000002</v>
      </c>
      <c r="H4691" s="1">
        <v>-2.9701059999999999E-6</v>
      </c>
      <c r="I4691">
        <v>46.388979999999997</v>
      </c>
      <c r="J4691">
        <v>-421.42180000000002</v>
      </c>
      <c r="K4691">
        <v>1.110633</v>
      </c>
      <c r="L4691">
        <v>57.978450000000002</v>
      </c>
      <c r="M4691">
        <v>4.6813229999999997E-2</v>
      </c>
      <c r="N4691">
        <v>0</v>
      </c>
      <c r="O4691">
        <v>-0.99880150000000001</v>
      </c>
      <c r="P4691">
        <v>9.4380259999999994E-2</v>
      </c>
      <c r="Q4691">
        <v>-2.22831E-2</v>
      </c>
      <c r="R4691">
        <v>-0.99528689999999997</v>
      </c>
      <c r="S4691">
        <v>0.46047969999999999</v>
      </c>
      <c r="T4691">
        <v>-0.27833550000000001</v>
      </c>
      <c r="U4691">
        <v>-2.9648439999999998</v>
      </c>
      <c r="V4691">
        <v>-4.7679659999999999E-2</v>
      </c>
      <c r="W4691">
        <v>-8.010774E-3</v>
      </c>
      <c r="X4691">
        <v>0.99883060000000001</v>
      </c>
      <c r="Y4691">
        <v>-0.10638350000000001</v>
      </c>
      <c r="Z4691">
        <v>9.2500159999999998E-2</v>
      </c>
      <c r="AA4691">
        <v>0.99001320000000004</v>
      </c>
      <c r="AB4691">
        <v>24</v>
      </c>
      <c r="AC4691">
        <v>1.8260999999999901</v>
      </c>
      <c r="AD4691">
        <v>-1.110635970106</v>
      </c>
      <c r="AE4691">
        <v>-11.58947</v>
      </c>
      <c r="AF4691">
        <v>-1.27011987987217</v>
      </c>
      <c r="AG4691">
        <v>-1.110635970106</v>
      </c>
      <c r="AH4691">
        <v>11.5586762417103</v>
      </c>
      <c r="AI4691">
        <v>95.455877040997706</v>
      </c>
      <c r="AJ4691">
        <v>96.270762410191693</v>
      </c>
      <c r="AK4691">
        <v>11.681169172134201</v>
      </c>
      <c r="AL4691">
        <v>90.458988429346107</v>
      </c>
      <c r="AM4691">
        <v>92.732967055176005</v>
      </c>
      <c r="AN4691">
        <v>1.0000000449870701</v>
      </c>
    </row>
    <row r="4692" spans="1:40" x14ac:dyDescent="0.3">
      <c r="A4692" t="str">
        <f>"20200111160556554"</f>
        <v>20200111160556554</v>
      </c>
      <c r="B4692" t="str">
        <f>"1578729956546413"</f>
        <v>1578729956546413</v>
      </c>
      <c r="C4692" t="s">
        <v>40</v>
      </c>
      <c r="D4692">
        <v>5.1734540000000004</v>
      </c>
      <c r="E4692">
        <v>0.47773080000000001</v>
      </c>
      <c r="F4692" t="s">
        <v>41</v>
      </c>
      <c r="G4692">
        <v>-419.60059999999999</v>
      </c>
      <c r="H4692" s="1">
        <v>-2.9386109999999998E-6</v>
      </c>
      <c r="I4692">
        <v>46.31758</v>
      </c>
      <c r="J4692">
        <v>-421.41050000000001</v>
      </c>
      <c r="K4692">
        <v>1.110633</v>
      </c>
      <c r="L4692">
        <v>57.737639999999999</v>
      </c>
      <c r="M4692">
        <v>4.681329E-2</v>
      </c>
      <c r="N4692">
        <v>0</v>
      </c>
      <c r="O4692">
        <v>-0.99880270000000004</v>
      </c>
      <c r="P4692">
        <v>9.5468789999999998E-2</v>
      </c>
      <c r="Q4692">
        <v>-2.1964549999999999E-2</v>
      </c>
      <c r="R4692">
        <v>-0.99519020000000002</v>
      </c>
      <c r="S4692">
        <v>0.46292109999999898</v>
      </c>
      <c r="T4692">
        <v>-0.28230420000000001</v>
      </c>
      <c r="U4692">
        <v>-2.9639890000000002</v>
      </c>
      <c r="V4692">
        <v>-4.877136E-2</v>
      </c>
      <c r="W4692">
        <v>-7.763659E-3</v>
      </c>
      <c r="X4692">
        <v>0.9987798</v>
      </c>
      <c r="Y4692">
        <v>-0.1072038</v>
      </c>
      <c r="Z4692">
        <v>9.3824009999999999E-2</v>
      </c>
      <c r="AA4692">
        <v>0.98980020000000002</v>
      </c>
      <c r="AB4692">
        <v>24</v>
      </c>
      <c r="AC4692">
        <v>1.80990000000002</v>
      </c>
      <c r="AD4692">
        <v>-1.1106359386110001</v>
      </c>
      <c r="AE4692">
        <v>-11.420059999999999</v>
      </c>
      <c r="AF4692">
        <v>-1.2616106812607699</v>
      </c>
      <c r="AG4692">
        <v>-1.1106359386110001</v>
      </c>
      <c r="AH4692">
        <v>11.387209930207501</v>
      </c>
      <c r="AI4692">
        <v>95.536979200306206</v>
      </c>
      <c r="AJ4692">
        <v>96.322124991431707</v>
      </c>
      <c r="AK4692">
        <v>11.5105918046737</v>
      </c>
      <c r="AL4692">
        <v>90.444829361024901</v>
      </c>
      <c r="AM4692">
        <v>92.795586395333103</v>
      </c>
      <c r="AN4692">
        <v>1.00000000442267</v>
      </c>
    </row>
    <row r="4693" spans="1:40" x14ac:dyDescent="0.3">
      <c r="A4693" t="str">
        <f>"20200111160556686"</f>
        <v>20200111160556686</v>
      </c>
      <c r="B4693" t="str">
        <f>"1578729956677198"</f>
        <v>1578729956677198</v>
      </c>
      <c r="C4693" t="s">
        <v>40</v>
      </c>
      <c r="D4693">
        <v>5.1503550000000002</v>
      </c>
      <c r="E4693">
        <v>0.332897</v>
      </c>
      <c r="F4693" t="s">
        <v>41</v>
      </c>
      <c r="G4693">
        <v>-419.56360000000001</v>
      </c>
      <c r="H4693" s="1">
        <v>-2.8348520000000001E-6</v>
      </c>
      <c r="I4693">
        <v>46.06044</v>
      </c>
      <c r="J4693">
        <v>-421.3442</v>
      </c>
      <c r="K4693">
        <v>1.110636</v>
      </c>
      <c r="L4693">
        <v>56.323909999999998</v>
      </c>
      <c r="M4693">
        <v>4.6813670000000002E-2</v>
      </c>
      <c r="N4693">
        <v>0</v>
      </c>
      <c r="O4693">
        <v>-0.99880619999999998</v>
      </c>
      <c r="P4693">
        <v>0.1031917</v>
      </c>
      <c r="Q4693">
        <v>-2.3626020000000001E-2</v>
      </c>
      <c r="R4693">
        <v>-0.99438099999999996</v>
      </c>
      <c r="S4693">
        <v>0.46868900000000002</v>
      </c>
      <c r="T4693">
        <v>-0.28184559999999997</v>
      </c>
      <c r="U4693">
        <v>-2.9633180000000001</v>
      </c>
      <c r="V4693">
        <v>-5.6523730000000001E-2</v>
      </c>
      <c r="W4693">
        <v>-9.6965190000000007E-3</v>
      </c>
      <c r="X4693">
        <v>0.99835419999999997</v>
      </c>
      <c r="Y4693">
        <v>-0.10911999999999999</v>
      </c>
      <c r="Z4693">
        <v>9.3669950000000002E-2</v>
      </c>
      <c r="AA4693">
        <v>0.98960539999999997</v>
      </c>
      <c r="AB4693">
        <v>24</v>
      </c>
      <c r="AC4693">
        <v>1.78059999999999</v>
      </c>
      <c r="AD4693">
        <v>-1.110638834852</v>
      </c>
      <c r="AE4693">
        <v>-10.2634699999999</v>
      </c>
      <c r="AF4693">
        <v>-1.28353888772227</v>
      </c>
      <c r="AG4693">
        <v>-1.110638834852</v>
      </c>
      <c r="AH4693">
        <v>10.219407134589799</v>
      </c>
      <c r="AI4693">
        <v>96.154548168649796</v>
      </c>
      <c r="AJ4693">
        <v>97.158759499496</v>
      </c>
      <c r="AK4693">
        <v>10.359405044706101</v>
      </c>
      <c r="AL4693">
        <v>90.555578303487906</v>
      </c>
      <c r="AM4693">
        <v>93.240450559194002</v>
      </c>
      <c r="AN4693">
        <v>1.00000003159573</v>
      </c>
    </row>
    <row r="4694" spans="1:40" x14ac:dyDescent="0.3">
      <c r="A4694" t="str">
        <f>"20200111160556710"</f>
        <v>20200111160556710</v>
      </c>
      <c r="B4694" t="str">
        <f>"1578729956706477"</f>
        <v>1578729956706477</v>
      </c>
      <c r="C4694" t="s">
        <v>40</v>
      </c>
      <c r="D4694">
        <v>5.2518379999999896</v>
      </c>
      <c r="E4694">
        <v>0.33171800000000001</v>
      </c>
      <c r="F4694" t="s">
        <v>42</v>
      </c>
      <c r="G4694">
        <v>-420.83260000000001</v>
      </c>
      <c r="H4694">
        <v>1.0638799999999999</v>
      </c>
      <c r="I4694">
        <v>55.4349699999999</v>
      </c>
      <c r="J4694">
        <v>-421.33280000000002</v>
      </c>
      <c r="K4694">
        <v>1.110635</v>
      </c>
      <c r="L4694">
        <v>56.083440000000003</v>
      </c>
      <c r="M4694">
        <v>4.6813729999999998E-2</v>
      </c>
      <c r="N4694">
        <v>0</v>
      </c>
      <c r="O4694">
        <v>-0.99880670000000005</v>
      </c>
      <c r="P4694">
        <v>0.1045349</v>
      </c>
      <c r="Q4694">
        <v>-2.5072549999999999E-2</v>
      </c>
      <c r="R4694">
        <v>-0.99420520000000001</v>
      </c>
      <c r="S4694">
        <v>1.637421</v>
      </c>
      <c r="T4694">
        <v>-0.14956050000000001</v>
      </c>
      <c r="U4694">
        <v>-2.8434750000000002</v>
      </c>
      <c r="V4694">
        <v>-5.7873819999999999E-2</v>
      </c>
      <c r="W4694">
        <v>-1.1171749999999999E-2</v>
      </c>
      <c r="X4694">
        <v>0.99826139999999997</v>
      </c>
      <c r="Y4694">
        <v>-0.45738020000000001</v>
      </c>
      <c r="Z4694">
        <v>4.5999819999999997E-2</v>
      </c>
      <c r="AA4694">
        <v>0.88808069999999895</v>
      </c>
      <c r="AB4694">
        <v>24</v>
      </c>
      <c r="AC4694">
        <v>0.50020000000000597</v>
      </c>
      <c r="AD4694">
        <v>-4.6755000000000102E-2</v>
      </c>
      <c r="AE4694">
        <v>-0.64847000000000998</v>
      </c>
      <c r="AF4694">
        <v>-0.46776667960308499</v>
      </c>
      <c r="AG4694">
        <v>-4.6755000000000102E-2</v>
      </c>
      <c r="AH4694">
        <v>0.66899696286380494</v>
      </c>
      <c r="AI4694">
        <v>93.278092110390801</v>
      </c>
      <c r="AJ4694">
        <v>124.96147607273799</v>
      </c>
      <c r="AK4694">
        <v>0.81764823297851696</v>
      </c>
      <c r="AL4694">
        <v>90.640107437207305</v>
      </c>
      <c r="AM4694">
        <v>93.317986752077701</v>
      </c>
      <c r="AN4694">
        <v>1.0000000048847</v>
      </c>
    </row>
    <row r="4695" spans="1:40" x14ac:dyDescent="0.3">
      <c r="A4695" t="str">
        <f>"20200111160556733"</f>
        <v>20200111160556733</v>
      </c>
      <c r="B4695" t="str">
        <f>"1578729956726976"</f>
        <v>1578729956726976</v>
      </c>
      <c r="C4695" t="s">
        <v>40</v>
      </c>
      <c r="D4695">
        <v>5.2634869999999996</v>
      </c>
      <c r="E4695">
        <v>0.33089550000000001</v>
      </c>
      <c r="F4695" t="s">
        <v>42</v>
      </c>
      <c r="G4695">
        <v>-420.83960000000002</v>
      </c>
      <c r="H4695">
        <v>1.0564450000000001</v>
      </c>
      <c r="I4695">
        <v>55.234999999999999</v>
      </c>
      <c r="J4695">
        <v>-421.32130000000001</v>
      </c>
      <c r="K4695">
        <v>1.110633</v>
      </c>
      <c r="L4695">
        <v>55.836849999999998</v>
      </c>
      <c r="M4695">
        <v>4.6813750000000001E-2</v>
      </c>
      <c r="N4695">
        <v>0</v>
      </c>
      <c r="O4695">
        <v>-0.99880690000000005</v>
      </c>
      <c r="P4695">
        <v>0.10579040000000001</v>
      </c>
      <c r="Q4695">
        <v>-2.5664449999999998E-2</v>
      </c>
      <c r="R4695">
        <v>-0.99405750000000004</v>
      </c>
      <c r="S4695">
        <v>1.6505430000000001</v>
      </c>
      <c r="T4695">
        <v>-0.1813544</v>
      </c>
      <c r="U4695">
        <v>-2.8393549999999999</v>
      </c>
      <c r="V4695">
        <v>-5.913479E-2</v>
      </c>
      <c r="W4695">
        <v>-1.178923E-2</v>
      </c>
      <c r="X4695">
        <v>0.99818039999999997</v>
      </c>
      <c r="Y4695">
        <v>-0.46076</v>
      </c>
      <c r="Z4695">
        <v>5.5705959999999999E-2</v>
      </c>
      <c r="AA4695">
        <v>0.88577490000000003</v>
      </c>
      <c r="AB4695">
        <v>24</v>
      </c>
      <c r="AC4695">
        <v>0.48169999999998903</v>
      </c>
      <c r="AD4695">
        <v>-5.4187999999999903E-2</v>
      </c>
      <c r="AE4695">
        <v>-0.601849999999998</v>
      </c>
      <c r="AF4695">
        <v>-0.45076687897256401</v>
      </c>
      <c r="AG4695">
        <v>-5.4187999999999903E-2</v>
      </c>
      <c r="AH4695">
        <v>0.62067551635449603</v>
      </c>
      <c r="AI4695">
        <v>94.040712281145105</v>
      </c>
      <c r="AJ4695">
        <v>125.989106178871</v>
      </c>
      <c r="AK4695">
        <v>0.76900274064829399</v>
      </c>
      <c r="AL4695">
        <v>90.675488763717297</v>
      </c>
      <c r="AM4695">
        <v>93.390387557949595</v>
      </c>
      <c r="AN4695">
        <v>1.00000001013824</v>
      </c>
    </row>
    <row r="4696" spans="1:40" x14ac:dyDescent="0.3">
      <c r="A4696" t="str">
        <f>"20200111160556755"</f>
        <v>20200111160556755</v>
      </c>
      <c r="B4696" t="str">
        <f>"1578729956746497"</f>
        <v>1578729956746497</v>
      </c>
      <c r="C4696" t="s">
        <v>40</v>
      </c>
      <c r="D4696">
        <v>5.3121710000000002</v>
      </c>
      <c r="E4696">
        <v>0.3308199</v>
      </c>
      <c r="F4696" t="s">
        <v>42</v>
      </c>
      <c r="G4696">
        <v>-420.84359999999998</v>
      </c>
      <c r="H4696">
        <v>1.0536799999999999</v>
      </c>
      <c r="I4696">
        <v>55.02046</v>
      </c>
      <c r="J4696">
        <v>-421.31049999999999</v>
      </c>
      <c r="K4696">
        <v>1.1106370000000001</v>
      </c>
      <c r="L4696">
        <v>55.607939999999999</v>
      </c>
      <c r="M4696">
        <v>4.6813769999999998E-2</v>
      </c>
      <c r="N4696">
        <v>0</v>
      </c>
      <c r="O4696">
        <v>-0.99880740000000001</v>
      </c>
      <c r="P4696">
        <v>0.1068621</v>
      </c>
      <c r="Q4696">
        <v>-2.4229069999999998E-2</v>
      </c>
      <c r="R4696">
        <v>-0.99397899999999995</v>
      </c>
      <c r="S4696">
        <v>1.660614</v>
      </c>
      <c r="T4696">
        <v>-0.19786190000000001</v>
      </c>
      <c r="U4696">
        <v>-2.83609</v>
      </c>
      <c r="V4696">
        <v>-6.0208999999999999E-2</v>
      </c>
      <c r="W4696">
        <v>-1.037428E-2</v>
      </c>
      <c r="X4696">
        <v>0.99813189999999996</v>
      </c>
      <c r="Y4696">
        <v>-0.46339950000000002</v>
      </c>
      <c r="Z4696">
        <v>6.0721980000000002E-2</v>
      </c>
      <c r="AA4696">
        <v>0.88406659999999904</v>
      </c>
      <c r="AB4696">
        <v>24</v>
      </c>
      <c r="AC4696">
        <v>0.46690000000000897</v>
      </c>
      <c r="AD4696">
        <v>-5.6957000000000098E-2</v>
      </c>
      <c r="AE4696">
        <v>-0.587479999999999</v>
      </c>
      <c r="AF4696">
        <v>-0.436369351042103</v>
      </c>
      <c r="AG4696">
        <v>-5.6957000000000098E-2</v>
      </c>
      <c r="AH4696">
        <v>0.60520871519597297</v>
      </c>
      <c r="AI4696">
        <v>94.365352152569002</v>
      </c>
      <c r="AJ4696">
        <v>125.79246746860601</v>
      </c>
      <c r="AK4696">
        <v>0.74829131982608699</v>
      </c>
      <c r="AL4696">
        <v>90.594413110525096</v>
      </c>
      <c r="AM4696">
        <v>93.451995198127307</v>
      </c>
      <c r="AN4696">
        <v>1.00000001958206</v>
      </c>
    </row>
    <row r="4697" spans="1:40" x14ac:dyDescent="0.3">
      <c r="A4697" t="str">
        <f>"20200111160556822"</f>
        <v>20200111160556822</v>
      </c>
      <c r="B4697" t="str">
        <f>"1578729956816768"</f>
        <v>1578729956816768</v>
      </c>
      <c r="C4697" t="s">
        <v>40</v>
      </c>
      <c r="D4697">
        <v>5.5447899999999999</v>
      </c>
      <c r="E4697">
        <v>0.33065939999999999</v>
      </c>
      <c r="F4697" t="s">
        <v>42</v>
      </c>
      <c r="G4697">
        <v>-420.84050000000002</v>
      </c>
      <c r="H4697">
        <v>1.052692</v>
      </c>
      <c r="I4697">
        <v>54.808</v>
      </c>
      <c r="J4697">
        <v>-421.2774</v>
      </c>
      <c r="K4697">
        <v>1.1106590000000001</v>
      </c>
      <c r="L4697">
        <v>54.902250000000002</v>
      </c>
      <c r="M4697">
        <v>4.6813970000000003E-2</v>
      </c>
      <c r="N4697">
        <v>0</v>
      </c>
      <c r="O4697">
        <v>-0.99880780000000002</v>
      </c>
      <c r="P4697">
        <v>0.109538</v>
      </c>
      <c r="Q4697">
        <v>-1.6466310000000001E-2</v>
      </c>
      <c r="R4697">
        <v>-0.99384629999999996</v>
      </c>
      <c r="S4697">
        <v>1.6647339999999999</v>
      </c>
      <c r="T4697">
        <v>-0.20530129999999999</v>
      </c>
      <c r="U4697">
        <v>-2.8341980000000002</v>
      </c>
      <c r="V4697">
        <v>-6.2887689999999996E-2</v>
      </c>
      <c r="W4697">
        <v>-2.6603899999999999E-3</v>
      </c>
      <c r="X4697">
        <v>0.99801709999999999</v>
      </c>
      <c r="Y4697">
        <v>-0.46454119999999999</v>
      </c>
      <c r="Z4697">
        <v>6.2989790000000004E-2</v>
      </c>
      <c r="AA4697">
        <v>0.88330839999999999</v>
      </c>
      <c r="AB4697">
        <v>24</v>
      </c>
      <c r="AC4697">
        <v>0.43689999999998003</v>
      </c>
      <c r="AD4697">
        <v>-5.7967000000000102E-2</v>
      </c>
      <c r="AE4697">
        <v>-9.4250000000002401E-2</v>
      </c>
      <c r="AF4697">
        <v>-0.42486180812796998</v>
      </c>
      <c r="AG4697">
        <v>-5.7967000000000102E-2</v>
      </c>
      <c r="AH4697">
        <v>0.112705841973666</v>
      </c>
      <c r="AI4697">
        <v>97.5125885000935</v>
      </c>
      <c r="AJ4697">
        <v>165.14297264169099</v>
      </c>
      <c r="AK4697">
        <v>0.44336253327244601</v>
      </c>
      <c r="AL4697">
        <v>90.1524292932462</v>
      </c>
      <c r="AM4697">
        <v>93.605591130892805</v>
      </c>
      <c r="AN4697">
        <v>1.0000000355604399</v>
      </c>
    </row>
    <row r="4698" spans="1:40" x14ac:dyDescent="0.3">
      <c r="A4698" t="str">
        <f>"20200111160556844"</f>
        <v>20200111160556844</v>
      </c>
      <c r="B4698" t="str">
        <f>"1578729956836285"</f>
        <v>1578729956836285</v>
      </c>
      <c r="C4698" t="s">
        <v>40</v>
      </c>
      <c r="D4698">
        <v>6.5786069999999999</v>
      </c>
      <c r="E4698">
        <v>0.43455850000000001</v>
      </c>
      <c r="F4698" t="s">
        <v>42</v>
      </c>
      <c r="G4698">
        <v>-420.8021</v>
      </c>
      <c r="H4698">
        <v>1.0572360000000001</v>
      </c>
      <c r="I4698">
        <v>54.097439999999999</v>
      </c>
      <c r="J4698">
        <v>-421.26650000000001</v>
      </c>
      <c r="K4698">
        <v>1.110663</v>
      </c>
      <c r="L4698">
        <v>54.671050000000001</v>
      </c>
      <c r="M4698">
        <v>4.6814019999999998E-2</v>
      </c>
      <c r="N4698">
        <v>0</v>
      </c>
      <c r="O4698">
        <v>-0.99880809999999998</v>
      </c>
      <c r="P4698">
        <v>0.11055230000000001</v>
      </c>
      <c r="Q4698">
        <v>-1.5187569999999999E-2</v>
      </c>
      <c r="R4698">
        <v>-0.99375449999999999</v>
      </c>
      <c r="S4698">
        <v>1.6730959999999999</v>
      </c>
      <c r="T4698">
        <v>-0.18793309999999999</v>
      </c>
      <c r="U4698">
        <v>-2.8310849999999999</v>
      </c>
      <c r="V4698">
        <v>-6.3905290000000003E-2</v>
      </c>
      <c r="W4698">
        <v>-1.394581E-3</v>
      </c>
      <c r="X4698">
        <v>0.99795500000000004</v>
      </c>
      <c r="Y4698">
        <v>-0.46706310000000001</v>
      </c>
      <c r="Z4698">
        <v>5.7655680000000001E-2</v>
      </c>
      <c r="AA4698">
        <v>0.88234230000000002</v>
      </c>
      <c r="AB4698">
        <v>24</v>
      </c>
      <c r="AC4698">
        <v>0.46440000000001103</v>
      </c>
      <c r="AD4698">
        <v>-5.3426999999999801E-2</v>
      </c>
      <c r="AE4698">
        <v>-0.57361000000000195</v>
      </c>
      <c r="AF4698">
        <v>-0.43475687635680499</v>
      </c>
      <c r="AG4698">
        <v>-5.3426999999999801E-2</v>
      </c>
      <c r="AH4698">
        <v>0.59162312835027098</v>
      </c>
      <c r="AI4698">
        <v>94.162090429998102</v>
      </c>
      <c r="AJ4698">
        <v>126.310470874301</v>
      </c>
      <c r="AK4698">
        <v>0.73612900490843802</v>
      </c>
      <c r="AL4698">
        <v>90.079903630871101</v>
      </c>
      <c r="AM4698">
        <v>93.6640037346056</v>
      </c>
      <c r="AN4698">
        <v>1.0000000064855701</v>
      </c>
    </row>
    <row r="4699" spans="1:40" x14ac:dyDescent="0.3">
      <c r="A4699" t="str">
        <f>"20200111160556866"</f>
        <v>20200111160556866</v>
      </c>
      <c r="B4699" t="str">
        <f>"1578729956856781"</f>
        <v>1578729956856781</v>
      </c>
      <c r="C4699" t="s">
        <v>40</v>
      </c>
      <c r="D4699">
        <v>6.4628899999999998</v>
      </c>
      <c r="E4699">
        <v>0.50772269999999997</v>
      </c>
      <c r="F4699" t="s">
        <v>67</v>
      </c>
      <c r="G4699">
        <v>-416.30990000000003</v>
      </c>
      <c r="H4699" s="1">
        <v>-2.1959820000000002E-6</v>
      </c>
      <c r="I4699">
        <v>37.686010000000003</v>
      </c>
      <c r="J4699">
        <v>-421.25580000000002</v>
      </c>
      <c r="K4699">
        <v>1.110665</v>
      </c>
      <c r="L4699">
        <v>54.442599999999999</v>
      </c>
      <c r="M4699">
        <v>4.6814069999999999E-2</v>
      </c>
      <c r="N4699">
        <v>0</v>
      </c>
      <c r="O4699">
        <v>-0.99880829999999998</v>
      </c>
      <c r="P4699">
        <v>0.1112172</v>
      </c>
      <c r="Q4699">
        <v>-1.392589E-2</v>
      </c>
      <c r="R4699">
        <v>-0.99369909999999995</v>
      </c>
      <c r="S4699">
        <v>0.85244750000000002</v>
      </c>
      <c r="T4699">
        <v>-0.19101380000000001</v>
      </c>
      <c r="U4699">
        <v>-2.9211119999999999</v>
      </c>
      <c r="V4699">
        <v>-6.4572039999999997E-2</v>
      </c>
      <c r="W4699">
        <v>-1.440685E-4</v>
      </c>
      <c r="X4699">
        <v>0.9979131</v>
      </c>
      <c r="Y4699">
        <v>-0.2343325</v>
      </c>
      <c r="Z4699">
        <v>6.2929520000000003E-2</v>
      </c>
      <c r="AA4699">
        <v>0.97011760000000002</v>
      </c>
      <c r="AB4699">
        <v>23</v>
      </c>
      <c r="AC4699">
        <v>4.9458999999999902</v>
      </c>
      <c r="AD4699">
        <v>-1.110667195982</v>
      </c>
      <c r="AE4699">
        <v>-16.756589999999999</v>
      </c>
      <c r="AF4699">
        <v>-4.1392297185230902</v>
      </c>
      <c r="AG4699">
        <v>-1.110667195982</v>
      </c>
      <c r="AH4699">
        <v>16.901471086890002</v>
      </c>
      <c r="AI4699">
        <v>93.652119375712999</v>
      </c>
      <c r="AJ4699">
        <v>103.761085555005</v>
      </c>
      <c r="AK4699">
        <v>17.436356534090301</v>
      </c>
      <c r="AL4699">
        <v>90.008254516526407</v>
      </c>
      <c r="AM4699">
        <v>93.702281027418493</v>
      </c>
      <c r="AN4699">
        <v>1.0000000621285501</v>
      </c>
    </row>
    <row r="4700" spans="1:40" x14ac:dyDescent="0.3">
      <c r="A4700" t="str">
        <f>"20200111160556888"</f>
        <v>20200111160556888</v>
      </c>
      <c r="B4700" t="str">
        <f>"1578729956876302"</f>
        <v>1578729956876302</v>
      </c>
      <c r="C4700" t="s">
        <v>40</v>
      </c>
      <c r="D4700">
        <v>5.3104649999999998</v>
      </c>
      <c r="E4700">
        <v>0.50839780000000001</v>
      </c>
      <c r="F4700" t="s">
        <v>67</v>
      </c>
      <c r="G4700">
        <v>-418.91070000000002</v>
      </c>
      <c r="H4700" s="1">
        <v>-7.5655569999999999E-6</v>
      </c>
      <c r="I4700">
        <v>28.826049999999999</v>
      </c>
      <c r="J4700">
        <v>-421.2448</v>
      </c>
      <c r="K4700">
        <v>1.1106670000000001</v>
      </c>
      <c r="L4700">
        <v>54.208039999999997</v>
      </c>
      <c r="M4700">
        <v>4.6814149999999999E-2</v>
      </c>
      <c r="N4700">
        <v>0</v>
      </c>
      <c r="O4700">
        <v>-0.99880829999999998</v>
      </c>
      <c r="P4700">
        <v>0.11174240000000001</v>
      </c>
      <c r="Q4700">
        <v>-1.250066E-2</v>
      </c>
      <c r="R4700">
        <v>-0.99365859999999995</v>
      </c>
      <c r="S4700">
        <v>0.27340700000000001</v>
      </c>
      <c r="T4700">
        <v>-0.129492</v>
      </c>
      <c r="U4700">
        <v>-2.9866030000000001</v>
      </c>
      <c r="V4700">
        <v>-6.5098249999999996E-2</v>
      </c>
      <c r="W4700">
        <v>1.271073E-3</v>
      </c>
      <c r="X4700">
        <v>0.99787809999999999</v>
      </c>
      <c r="Y4700">
        <v>-4.4354749999999998E-2</v>
      </c>
      <c r="Z4700">
        <v>4.3134480000000003E-2</v>
      </c>
      <c r="AA4700">
        <v>0.99808419999999998</v>
      </c>
      <c r="AB4700">
        <v>23</v>
      </c>
      <c r="AC4700">
        <v>2.3340999999999701</v>
      </c>
      <c r="AD4700">
        <v>-1.1106745655570001</v>
      </c>
      <c r="AE4700">
        <v>-25.381989999999998</v>
      </c>
      <c r="AF4700">
        <v>-1.1410245042981799</v>
      </c>
      <c r="AG4700">
        <v>-1.1106745655570001</v>
      </c>
      <c r="AH4700">
        <v>25.415178837899202</v>
      </c>
      <c r="AI4700">
        <v>92.499789045320995</v>
      </c>
      <c r="AJ4700">
        <v>92.570590514926707</v>
      </c>
      <c r="AK4700">
        <v>25.4650122770908</v>
      </c>
      <c r="AL4700">
        <v>89.9271728656867</v>
      </c>
      <c r="AM4700">
        <v>93.732497232749907</v>
      </c>
      <c r="AN4700">
        <v>1.00000005011962</v>
      </c>
    </row>
    <row r="4701" spans="1:40" x14ac:dyDescent="0.3">
      <c r="A4701" t="str">
        <f>"20200111160556911"</f>
        <v>20200111160556911</v>
      </c>
      <c r="B4701" t="str">
        <f>"1578729956906560"</f>
        <v>1578729956906560</v>
      </c>
      <c r="C4701" t="s">
        <v>40</v>
      </c>
      <c r="D4701">
        <v>5.2853269999999997</v>
      </c>
      <c r="E4701">
        <v>0.50954739999999998</v>
      </c>
      <c r="F4701" t="s">
        <v>67</v>
      </c>
      <c r="G4701">
        <v>-419.42849999999999</v>
      </c>
      <c r="H4701" s="1">
        <v>-3.5256670000000001E-6</v>
      </c>
      <c r="I4701">
        <v>34.161479999999997</v>
      </c>
      <c r="J4701">
        <v>-421.23360000000002</v>
      </c>
      <c r="K4701">
        <v>1.1106720000000001</v>
      </c>
      <c r="L4701">
        <v>53.970579999999998</v>
      </c>
      <c r="M4701">
        <v>4.6814210000000002E-2</v>
      </c>
      <c r="N4701">
        <v>0</v>
      </c>
      <c r="O4701">
        <v>-0.99880860000000005</v>
      </c>
      <c r="P4701">
        <v>0.11248130000000001</v>
      </c>
      <c r="Q4701">
        <v>-1.1135600000000001E-2</v>
      </c>
      <c r="R4701">
        <v>-0.99359180000000002</v>
      </c>
      <c r="S4701">
        <v>0.27059939999999999</v>
      </c>
      <c r="T4701">
        <v>-0.16547310000000001</v>
      </c>
      <c r="U4701">
        <v>-2.9866329999999999</v>
      </c>
      <c r="V4701">
        <v>-6.5839389999999998E-2</v>
      </c>
      <c r="W4701">
        <v>2.6262410000000001E-3</v>
      </c>
      <c r="X4701">
        <v>0.99782680000000001</v>
      </c>
      <c r="Y4701">
        <v>-4.3370110000000003E-2</v>
      </c>
      <c r="Z4701">
        <v>5.5090420000000001E-2</v>
      </c>
      <c r="AA4701">
        <v>0.99753899999999995</v>
      </c>
      <c r="AB4701">
        <v>23</v>
      </c>
      <c r="AC4701">
        <v>1.8051000000000299</v>
      </c>
      <c r="AD4701">
        <v>-1.11067552566699</v>
      </c>
      <c r="AE4701">
        <v>-19.809100000000001</v>
      </c>
      <c r="AF4701">
        <v>-0.87296338911781202</v>
      </c>
      <c r="AG4701">
        <v>-1.11067552566699</v>
      </c>
      <c r="AH4701">
        <v>19.810125042763801</v>
      </c>
      <c r="AI4701">
        <v>93.205883980310801</v>
      </c>
      <c r="AJ4701">
        <v>92.523193570703697</v>
      </c>
      <c r="AK4701">
        <v>19.860430997639298</v>
      </c>
      <c r="AL4701">
        <v>89.849527305145301</v>
      </c>
      <c r="AM4701">
        <v>93.775062845560797</v>
      </c>
      <c r="AN4701">
        <v>1.0000000226078001</v>
      </c>
    </row>
    <row r="4702" spans="1:40" x14ac:dyDescent="0.3">
      <c r="A4702" t="str">
        <f>"20200111160556933"</f>
        <v>20200111160556933</v>
      </c>
      <c r="B4702" t="str">
        <f>"1578729956927053"</f>
        <v>1578729956927053</v>
      </c>
      <c r="C4702" t="s">
        <v>40</v>
      </c>
      <c r="D4702">
        <v>5.2386359999999996</v>
      </c>
      <c r="E4702">
        <v>0.51003639999999995</v>
      </c>
      <c r="F4702" t="s">
        <v>41</v>
      </c>
      <c r="G4702">
        <v>-420.0616</v>
      </c>
      <c r="H4702" s="1">
        <v>-4.9785560000000001E-7</v>
      </c>
      <c r="I4702">
        <v>40.711419999999997</v>
      </c>
      <c r="J4702">
        <v>-421.22250000000003</v>
      </c>
      <c r="K4702">
        <v>1.110679</v>
      </c>
      <c r="L4702">
        <v>53.733490000000003</v>
      </c>
      <c r="M4702">
        <v>4.6814260000000003E-2</v>
      </c>
      <c r="N4702">
        <v>0</v>
      </c>
      <c r="O4702">
        <v>-0.99880860000000005</v>
      </c>
      <c r="P4702">
        <v>0.1129376</v>
      </c>
      <c r="Q4702">
        <v>-9.7805080000000003E-3</v>
      </c>
      <c r="R4702">
        <v>-0.99355420000000005</v>
      </c>
      <c r="S4702">
        <v>0.26400759999999901</v>
      </c>
      <c r="T4702">
        <v>-0.25018220000000002</v>
      </c>
      <c r="U4702">
        <v>-2.9866640000000002</v>
      </c>
      <c r="V4702">
        <v>-6.6296800000000003E-2</v>
      </c>
      <c r="W4702">
        <v>3.9728209999999996E-3</v>
      </c>
      <c r="X4702">
        <v>0.99779209999999996</v>
      </c>
      <c r="Y4702">
        <v>-4.1013590000000003E-2</v>
      </c>
      <c r="Z4702">
        <v>8.3141229999999997E-2</v>
      </c>
      <c r="AA4702">
        <v>0.99569339999999995</v>
      </c>
      <c r="AB4702">
        <v>23</v>
      </c>
      <c r="AC4702">
        <v>1.16090000000002</v>
      </c>
      <c r="AD4702">
        <v>-1.1106794978556001</v>
      </c>
      <c r="AE4702">
        <v>-13.022069999999999</v>
      </c>
      <c r="AF4702">
        <v>-0.54600976752754404</v>
      </c>
      <c r="AG4702">
        <v>-1.1106794978556001</v>
      </c>
      <c r="AH4702">
        <v>12.9685429740111</v>
      </c>
      <c r="AI4702">
        <v>94.890789937944106</v>
      </c>
      <c r="AJ4702">
        <v>92.410879149402206</v>
      </c>
      <c r="AK4702">
        <v>13.027464929216499</v>
      </c>
      <c r="AL4702">
        <v>89.772373539245606</v>
      </c>
      <c r="AM4702">
        <v>93.801344749794296</v>
      </c>
      <c r="AN4702">
        <v>1.0000000619096701</v>
      </c>
    </row>
    <row r="4703" spans="1:40" x14ac:dyDescent="0.3">
      <c r="A4703" t="str">
        <f>"20200111160556956"</f>
        <v>20200111160556956</v>
      </c>
      <c r="B4703" t="str">
        <f>"1578729956946574"</f>
        <v>1578729956946574</v>
      </c>
      <c r="C4703" t="s">
        <v>40</v>
      </c>
      <c r="D4703">
        <v>5.1984890000000004</v>
      </c>
      <c r="E4703">
        <v>0.51009009999999999</v>
      </c>
      <c r="F4703" t="s">
        <v>41</v>
      </c>
      <c r="G4703">
        <v>-420.173</v>
      </c>
      <c r="H4703" s="1">
        <v>-9.8122209999999994E-7</v>
      </c>
      <c r="I4703">
        <v>41.769069999999999</v>
      </c>
      <c r="J4703">
        <v>-421.21199999999999</v>
      </c>
      <c r="K4703">
        <v>1.1106879999999999</v>
      </c>
      <c r="L4703">
        <v>53.509120000000003</v>
      </c>
      <c r="M4703">
        <v>4.6814309999999998E-2</v>
      </c>
      <c r="N4703">
        <v>0</v>
      </c>
      <c r="O4703">
        <v>-0.99880880000000005</v>
      </c>
      <c r="P4703">
        <v>0.11258360000000001</v>
      </c>
      <c r="Q4703">
        <v>-8.4601420000000004E-3</v>
      </c>
      <c r="R4703">
        <v>-0.99360669999999995</v>
      </c>
      <c r="S4703">
        <v>0.26202389999999998</v>
      </c>
      <c r="T4703">
        <v>-0.27728320000000001</v>
      </c>
      <c r="U4703">
        <v>-2.9869379999999999</v>
      </c>
      <c r="V4703">
        <v>-6.5940529999999997E-2</v>
      </c>
      <c r="W4703">
        <v>5.2869719999999896E-3</v>
      </c>
      <c r="X4703">
        <v>0.99780950000000002</v>
      </c>
      <c r="Y4703">
        <v>-4.0280679999999999E-2</v>
      </c>
      <c r="Z4703">
        <v>9.2070369999999999E-2</v>
      </c>
      <c r="AA4703">
        <v>0.99493739999999997</v>
      </c>
      <c r="AB4703">
        <v>23</v>
      </c>
      <c r="AC4703">
        <v>1.0389999999999799</v>
      </c>
      <c r="AD4703">
        <v>-1.1106889812220999</v>
      </c>
      <c r="AE4703">
        <v>-11.740049999999901</v>
      </c>
      <c r="AF4703">
        <v>-0.48390869632397898</v>
      </c>
      <c r="AG4703">
        <v>-1.1106889812220999</v>
      </c>
      <c r="AH4703">
        <v>11.672161310336801</v>
      </c>
      <c r="AI4703">
        <v>95.431095295276293</v>
      </c>
      <c r="AJ4703">
        <v>92.374029669866104</v>
      </c>
      <c r="AK4703">
        <v>11.734868865646099</v>
      </c>
      <c r="AL4703">
        <v>89.697077392204207</v>
      </c>
      <c r="AM4703">
        <v>93.780910510408901</v>
      </c>
      <c r="AN4703">
        <v>0.99999995192992797</v>
      </c>
    </row>
    <row r="4704" spans="1:40" x14ac:dyDescent="0.3">
      <c r="A4704" t="str">
        <f>"20200111160556978"</f>
        <v>20200111160556978</v>
      </c>
      <c r="B4704" t="str">
        <f>"1578729956967070"</f>
        <v>1578729956967070</v>
      </c>
      <c r="C4704" t="s">
        <v>40</v>
      </c>
      <c r="D4704">
        <v>5.9308449999999997</v>
      </c>
      <c r="E4704">
        <v>0.51025029999999905</v>
      </c>
      <c r="F4704" t="s">
        <v>41</v>
      </c>
      <c r="G4704">
        <v>-420.22629999999998</v>
      </c>
      <c r="H4704" s="1">
        <v>-1.196398E-6</v>
      </c>
      <c r="I4704">
        <v>42.237549999999999</v>
      </c>
      <c r="J4704">
        <v>-421.20100000000002</v>
      </c>
      <c r="K4704">
        <v>1.1107</v>
      </c>
      <c r="L4704">
        <v>53.27319</v>
      </c>
      <c r="M4704">
        <v>4.6814380000000003E-2</v>
      </c>
      <c r="N4704">
        <v>0</v>
      </c>
      <c r="O4704">
        <v>-0.99880880000000005</v>
      </c>
      <c r="P4704">
        <v>0.1119608</v>
      </c>
      <c r="Q4704">
        <v>-6.6611389999999999E-3</v>
      </c>
      <c r="R4704">
        <v>-0.99369059999999998</v>
      </c>
      <c r="S4704">
        <v>0.26123049999999998</v>
      </c>
      <c r="T4704">
        <v>-0.29435689999999998</v>
      </c>
      <c r="U4704">
        <v>-2.9872130000000001</v>
      </c>
      <c r="V4704">
        <v>-6.53146E-2</v>
      </c>
      <c r="W4704">
        <v>7.0798450000000004E-3</v>
      </c>
      <c r="X4704">
        <v>0.99783960000000005</v>
      </c>
      <c r="Y4704">
        <v>-3.9963770000000003E-2</v>
      </c>
      <c r="Z4704">
        <v>9.7679799999999997E-2</v>
      </c>
      <c r="AA4704">
        <v>0.99441520000000005</v>
      </c>
      <c r="AB4704">
        <v>23</v>
      </c>
      <c r="AC4704">
        <v>0.97469999999998402</v>
      </c>
      <c r="AD4704">
        <v>-1.110701196398</v>
      </c>
      <c r="AE4704">
        <v>-11.0356399999999</v>
      </c>
      <c r="AF4704">
        <v>-0.452408250869205</v>
      </c>
      <c r="AG4704">
        <v>-1.110701196398</v>
      </c>
      <c r="AH4704">
        <v>10.959019582355801</v>
      </c>
      <c r="AI4704">
        <v>95.782298380161393</v>
      </c>
      <c r="AJ4704">
        <v>92.3639316848584</v>
      </c>
      <c r="AK4704">
        <v>11.024447404727001</v>
      </c>
      <c r="AL4704">
        <v>89.594351370711294</v>
      </c>
      <c r="AM4704">
        <v>93.745010794387795</v>
      </c>
      <c r="AN4704">
        <v>0.99999999425327202</v>
      </c>
    </row>
    <row r="4705" spans="1:40" x14ac:dyDescent="0.3">
      <c r="A4705" t="str">
        <f>"20200111160557002"</f>
        <v>20200111160557002</v>
      </c>
      <c r="B4705" t="str">
        <f>"1578729956997326"</f>
        <v>1578729956997326</v>
      </c>
      <c r="C4705" t="s">
        <v>40</v>
      </c>
      <c r="D4705">
        <v>5.2422440000000003</v>
      </c>
      <c r="E4705">
        <v>0.51059690000000002</v>
      </c>
      <c r="F4705" t="s">
        <v>41</v>
      </c>
      <c r="G4705">
        <v>-420.24279999999999</v>
      </c>
      <c r="H4705" s="1">
        <v>-1.168519E-6</v>
      </c>
      <c r="I4705">
        <v>42.162379999999999</v>
      </c>
      <c r="J4705">
        <v>-421.18990000000002</v>
      </c>
      <c r="K4705">
        <v>1.1107</v>
      </c>
      <c r="L4705">
        <v>53.037350000000004</v>
      </c>
      <c r="M4705">
        <v>4.6814429999999997E-2</v>
      </c>
      <c r="N4705">
        <v>0</v>
      </c>
      <c r="O4705">
        <v>-0.99880880000000005</v>
      </c>
      <c r="P4705">
        <v>0.11104840000000001</v>
      </c>
      <c r="Q4705">
        <v>-4.7465900000000002E-3</v>
      </c>
      <c r="R4705">
        <v>-0.99380389999999996</v>
      </c>
      <c r="S4705">
        <v>0.25769039999999999</v>
      </c>
      <c r="T4705">
        <v>-0.29869820000000002</v>
      </c>
      <c r="U4705">
        <v>-2.9880070000000001</v>
      </c>
      <c r="V4705">
        <v>-6.4397650000000001E-2</v>
      </c>
      <c r="W4705">
        <v>8.9890379999999995E-3</v>
      </c>
      <c r="X4705">
        <v>0.99788390000000005</v>
      </c>
      <c r="Y4705">
        <v>-3.8759479999999999E-2</v>
      </c>
      <c r="Z4705">
        <v>9.9087739999999994E-2</v>
      </c>
      <c r="AA4705">
        <v>0.99432359999999997</v>
      </c>
      <c r="AB4705">
        <v>23</v>
      </c>
      <c r="AC4705">
        <v>0.94710000000003403</v>
      </c>
      <c r="AD4705">
        <v>-1.110701168519</v>
      </c>
      <c r="AE4705">
        <v>-10.874969999999999</v>
      </c>
      <c r="AF4705">
        <v>-0.43243080872371098</v>
      </c>
      <c r="AG4705">
        <v>-1.110701168519</v>
      </c>
      <c r="AH4705">
        <v>10.7956219610221</v>
      </c>
      <c r="AI4705">
        <v>95.869500070283706</v>
      </c>
      <c r="AJ4705">
        <v>92.293820761892704</v>
      </c>
      <c r="AK4705">
        <v>10.8612203280933</v>
      </c>
      <c r="AL4705">
        <v>89.484959159975006</v>
      </c>
      <c r="AM4705">
        <v>93.692417702378407</v>
      </c>
      <c r="AN4705">
        <v>1.0000000690044399</v>
      </c>
    </row>
    <row r="4706" spans="1:40" x14ac:dyDescent="0.3">
      <c r="A4706" t="str">
        <f>"20200111160557024"</f>
        <v>20200111160557024</v>
      </c>
      <c r="B4706" t="str">
        <f>"1578729957016845"</f>
        <v>1578729957016845</v>
      </c>
      <c r="C4706" t="s">
        <v>40</v>
      </c>
      <c r="D4706">
        <v>5.0387370000000002</v>
      </c>
      <c r="E4706">
        <v>0.50776699999999997</v>
      </c>
      <c r="F4706" t="s">
        <v>67</v>
      </c>
      <c r="G4706">
        <v>-417.56880000000001</v>
      </c>
      <c r="H4706">
        <v>1.0256360000000001E-2</v>
      </c>
      <c r="I4706">
        <v>9.6162740000000007</v>
      </c>
      <c r="J4706">
        <v>-421.17880000000002</v>
      </c>
      <c r="K4706">
        <v>1.110706</v>
      </c>
      <c r="L4706">
        <v>52.800379999999997</v>
      </c>
      <c r="M4706">
        <v>4.6814469999999997E-2</v>
      </c>
      <c r="N4706">
        <v>0</v>
      </c>
      <c r="O4706">
        <v>-0.99880899999999995</v>
      </c>
      <c r="P4706">
        <v>0.110468</v>
      </c>
      <c r="Q4706">
        <v>-3.255707E-3</v>
      </c>
      <c r="R4706">
        <v>-0.9938747</v>
      </c>
      <c r="S4706">
        <v>0.24938959999999999</v>
      </c>
      <c r="T4706">
        <v>-7.5789330000000002E-2</v>
      </c>
      <c r="U4706">
        <v>-2.9904790000000001</v>
      </c>
      <c r="V4706">
        <v>-6.3814300000000004E-2</v>
      </c>
      <c r="W4706">
        <v>1.047527E-2</v>
      </c>
      <c r="X4706">
        <v>0.99790679999999998</v>
      </c>
      <c r="Y4706">
        <v>-3.6331509999999997E-2</v>
      </c>
      <c r="Z4706">
        <v>2.5241630000000001E-2</v>
      </c>
      <c r="AA4706">
        <v>0.99902089999999999</v>
      </c>
      <c r="AB4706">
        <v>23</v>
      </c>
      <c r="AC4706">
        <v>3.6100000000000101</v>
      </c>
      <c r="AD4706">
        <v>-1.1004496399999999</v>
      </c>
      <c r="AE4706">
        <v>-43.184106</v>
      </c>
      <c r="AF4706">
        <v>-1.5831882186780799</v>
      </c>
      <c r="AG4706">
        <v>-1.1004496399999999</v>
      </c>
      <c r="AH4706">
        <v>43.277857941683898</v>
      </c>
      <c r="AI4706">
        <v>91.455603863347307</v>
      </c>
      <c r="AJ4706">
        <v>92.095056825769205</v>
      </c>
      <c r="AK4706">
        <v>43.320785569591301</v>
      </c>
      <c r="AL4706">
        <v>89.399800255910804</v>
      </c>
      <c r="AM4706">
        <v>93.658977256672102</v>
      </c>
      <c r="AN4706">
        <v>0.99999998882615104</v>
      </c>
    </row>
    <row r="4707" spans="1:40" x14ac:dyDescent="0.3">
      <c r="A4707" t="str">
        <f>"20200111160557045"</f>
        <v>20200111160557045</v>
      </c>
      <c r="B4707" t="str">
        <f>"1578729957036365"</f>
        <v>1578729957036365</v>
      </c>
      <c r="C4707" t="s">
        <v>40</v>
      </c>
      <c r="D4707">
        <v>5.0177630000000004</v>
      </c>
      <c r="E4707">
        <v>0.51148340000000003</v>
      </c>
      <c r="F4707" t="s">
        <v>42</v>
      </c>
      <c r="G4707">
        <v>-421.09410000000003</v>
      </c>
      <c r="H4707">
        <v>1.0158689999999999</v>
      </c>
      <c r="I4707">
        <v>51.87585</v>
      </c>
      <c r="J4707">
        <v>-421.1687</v>
      </c>
      <c r="K4707">
        <v>1.1107070000000001</v>
      </c>
      <c r="L4707">
        <v>52.58426</v>
      </c>
      <c r="M4707">
        <v>4.681449E-2</v>
      </c>
      <c r="N4707">
        <v>0</v>
      </c>
      <c r="O4707">
        <v>-0.99880899999999995</v>
      </c>
      <c r="P4707">
        <v>0.10977290000000001</v>
      </c>
      <c r="Q4707">
        <v>-2.7369730000000002E-3</v>
      </c>
      <c r="R4707">
        <v>-0.99395299999999998</v>
      </c>
      <c r="S4707">
        <v>0.27334589999999998</v>
      </c>
      <c r="T4707">
        <v>-0.30640220000000001</v>
      </c>
      <c r="U4707">
        <v>-2.9870909999999999</v>
      </c>
      <c r="V4707">
        <v>-6.3116350000000002E-2</v>
      </c>
      <c r="W4707">
        <v>1.098975E-2</v>
      </c>
      <c r="X4707">
        <v>0.99794570000000005</v>
      </c>
      <c r="Y4707">
        <v>-4.3932199999999998E-2</v>
      </c>
      <c r="Z4707">
        <v>0.1016138</v>
      </c>
      <c r="AA4707">
        <v>0.9938534</v>
      </c>
      <c r="AB4707">
        <v>23</v>
      </c>
      <c r="AC4707">
        <v>7.4599999999975297E-2</v>
      </c>
      <c r="AD4707">
        <v>-9.48379999999997E-2</v>
      </c>
      <c r="AE4707">
        <v>-0.70840999999999998</v>
      </c>
      <c r="AF4707">
        <v>-4.0630989309213397E-2</v>
      </c>
      <c r="AG4707">
        <v>-9.48379999999997E-2</v>
      </c>
      <c r="AH4707">
        <v>0.69874011627266597</v>
      </c>
      <c r="AI4707">
        <v>97.716482951787299</v>
      </c>
      <c r="AJ4707">
        <v>93.327940663121197</v>
      </c>
      <c r="AK4707">
        <v>0.70631641183324101</v>
      </c>
      <c r="AL4707">
        <v>89.370321053323906</v>
      </c>
      <c r="AM4707">
        <v>93.618924525350394</v>
      </c>
      <c r="AN4707">
        <v>1.00000003419543</v>
      </c>
    </row>
    <row r="4708" spans="1:40" x14ac:dyDescent="0.3">
      <c r="A4708" t="str">
        <f>"20200111160557067"</f>
        <v>20200111160557067</v>
      </c>
      <c r="B4708" t="str">
        <f>"1578729957056862"</f>
        <v>1578729957056862</v>
      </c>
      <c r="C4708" t="s">
        <v>40</v>
      </c>
      <c r="D4708">
        <v>5.0127290000000002</v>
      </c>
      <c r="E4708">
        <v>0.51279459999999999</v>
      </c>
      <c r="F4708" t="s">
        <v>42</v>
      </c>
      <c r="G4708">
        <v>-421.09530000000001</v>
      </c>
      <c r="H4708">
        <v>1.0008549999999901</v>
      </c>
      <c r="I4708">
        <v>51.679319999999997</v>
      </c>
      <c r="J4708">
        <v>-421.15789999999998</v>
      </c>
      <c r="K4708">
        <v>1.1107020000000001</v>
      </c>
      <c r="L4708">
        <v>52.353580000000001</v>
      </c>
      <c r="M4708">
        <v>4.6814509999999997E-2</v>
      </c>
      <c r="N4708">
        <v>0</v>
      </c>
      <c r="O4708">
        <v>-0.99880899999999995</v>
      </c>
      <c r="P4708">
        <v>0.10963489999999999</v>
      </c>
      <c r="Q4708">
        <v>-2.8915439999999998E-3</v>
      </c>
      <c r="R4708">
        <v>-0.99396779999999996</v>
      </c>
      <c r="S4708">
        <v>0.24255370000000001</v>
      </c>
      <c r="T4708">
        <v>-0.36302640000000003</v>
      </c>
      <c r="U4708">
        <v>-2.9904790000000001</v>
      </c>
      <c r="V4708">
        <v>-6.2977980000000003E-2</v>
      </c>
      <c r="W4708">
        <v>1.083049E-2</v>
      </c>
      <c r="X4708">
        <v>0.99795619999999996</v>
      </c>
      <c r="Y4708">
        <v>-3.3503289999999998E-2</v>
      </c>
      <c r="Z4708">
        <v>0.1200845</v>
      </c>
      <c r="AA4708">
        <v>0.99219820000000003</v>
      </c>
      <c r="AB4708">
        <v>23</v>
      </c>
      <c r="AC4708">
        <v>6.2599999999974898E-2</v>
      </c>
      <c r="AD4708">
        <v>-0.109847</v>
      </c>
      <c r="AE4708">
        <v>-0.67425999999999597</v>
      </c>
      <c r="AF4708">
        <v>-3.0169328769482699E-2</v>
      </c>
      <c r="AG4708">
        <v>-0.109847</v>
      </c>
      <c r="AH4708">
        <v>0.65910742330348604</v>
      </c>
      <c r="AI4708">
        <v>99.452245851109595</v>
      </c>
      <c r="AJ4708">
        <v>92.620770825661495</v>
      </c>
      <c r="AK4708">
        <v>0.66887902288916301</v>
      </c>
      <c r="AL4708">
        <v>89.379446532602202</v>
      </c>
      <c r="AM4708">
        <v>93.610973877942101</v>
      </c>
      <c r="AN4708">
        <v>1.0000000512984699</v>
      </c>
    </row>
    <row r="4709" spans="1:40" x14ac:dyDescent="0.3">
      <c r="A4709" t="str">
        <f>"20200111160557090"</f>
        <v>20200111160557090</v>
      </c>
      <c r="B4709" t="str">
        <f>"1578729957087119"</f>
        <v>1578729957087119</v>
      </c>
      <c r="C4709" t="s">
        <v>40</v>
      </c>
      <c r="D4709">
        <v>4.9986860000000002</v>
      </c>
      <c r="E4709">
        <v>0.51358059999999905</v>
      </c>
      <c r="F4709" t="s">
        <v>42</v>
      </c>
      <c r="G4709">
        <v>-421.08980000000003</v>
      </c>
      <c r="H4709">
        <v>0.99786390000000003</v>
      </c>
      <c r="I4709">
        <v>51.474240000000002</v>
      </c>
      <c r="J4709">
        <v>-421.14699999999999</v>
      </c>
      <c r="K4709">
        <v>1.1107009999999999</v>
      </c>
      <c r="L4709">
        <v>52.120669999999997</v>
      </c>
      <c r="M4709">
        <v>4.6814559999999998E-2</v>
      </c>
      <c r="N4709">
        <v>0</v>
      </c>
      <c r="O4709">
        <v>-0.99880930000000001</v>
      </c>
      <c r="P4709">
        <v>0.10999299999999999</v>
      </c>
      <c r="Q4709">
        <v>-3.3032719999999999E-3</v>
      </c>
      <c r="R4709">
        <v>-0.99392740000000002</v>
      </c>
      <c r="S4709">
        <v>0.2317505</v>
      </c>
      <c r="T4709">
        <v>-0.38388480000000003</v>
      </c>
      <c r="U4709">
        <v>-2.9915470000000002</v>
      </c>
      <c r="V4709">
        <v>-6.3337560000000001E-2</v>
      </c>
      <c r="W4709">
        <v>1.0413759999999999E-2</v>
      </c>
      <c r="X4709">
        <v>0.99793779999999999</v>
      </c>
      <c r="Y4709">
        <v>-2.9848639999999999E-2</v>
      </c>
      <c r="Z4709">
        <v>0.12685650000000001</v>
      </c>
      <c r="AA4709">
        <v>0.99147189999999996</v>
      </c>
      <c r="AB4709">
        <v>23</v>
      </c>
      <c r="AC4709">
        <v>5.7199999999966097E-2</v>
      </c>
      <c r="AD4709">
        <v>-0.112837099999999</v>
      </c>
      <c r="AE4709">
        <v>-0.64643000000000195</v>
      </c>
      <c r="AF4709">
        <v>-2.60835179350517E-2</v>
      </c>
      <c r="AG4709">
        <v>-0.112837099999999</v>
      </c>
      <c r="AH4709">
        <v>0.62937170234859696</v>
      </c>
      <c r="AI4709">
        <v>100.15576883406401</v>
      </c>
      <c r="AJ4709">
        <v>92.373193358932497</v>
      </c>
      <c r="AK4709">
        <v>0.63993851326627404</v>
      </c>
      <c r="AL4709">
        <v>89.403324702020697</v>
      </c>
      <c r="AM4709">
        <v>93.631602909582696</v>
      </c>
      <c r="AN4709">
        <v>0.99999997278646502</v>
      </c>
    </row>
    <row r="4710" spans="1:40" x14ac:dyDescent="0.3">
      <c r="A4710" t="str">
        <f>"20200111160557125"</f>
        <v>20200111160557125</v>
      </c>
      <c r="B4710" t="str">
        <f>"1578729957116397"</f>
        <v>1578729957116397</v>
      </c>
      <c r="C4710" t="s">
        <v>40</v>
      </c>
      <c r="D4710">
        <v>4.9588989999999997</v>
      </c>
      <c r="E4710">
        <v>0.51159009999999905</v>
      </c>
      <c r="F4710" t="s">
        <v>42</v>
      </c>
      <c r="G4710">
        <v>-421.08260000000001</v>
      </c>
      <c r="H4710">
        <v>0.99661909999999998</v>
      </c>
      <c r="I4710">
        <v>51.268610000000002</v>
      </c>
      <c r="J4710">
        <v>-421.1302</v>
      </c>
      <c r="K4710">
        <v>1.11069</v>
      </c>
      <c r="L4710">
        <v>51.764099999999999</v>
      </c>
      <c r="M4710">
        <v>4.6814689999999999E-2</v>
      </c>
      <c r="N4710">
        <v>0</v>
      </c>
      <c r="O4710">
        <v>-0.99880930000000001</v>
      </c>
      <c r="P4710">
        <v>0.1121587</v>
      </c>
      <c r="Q4710">
        <v>-3.652429E-3</v>
      </c>
      <c r="R4710">
        <v>-0.99368409999999996</v>
      </c>
      <c r="S4710">
        <v>0.22622680000000001</v>
      </c>
      <c r="T4710">
        <v>-0.4006132</v>
      </c>
      <c r="U4710">
        <v>-2.9919739999999999</v>
      </c>
      <c r="V4710">
        <v>-6.5511819999999998E-2</v>
      </c>
      <c r="W4710">
        <v>1.005663E-2</v>
      </c>
      <c r="X4710">
        <v>0.9978011</v>
      </c>
      <c r="Y4710">
        <v>-2.7964260000000001E-2</v>
      </c>
      <c r="Z4710">
        <v>0.1322837</v>
      </c>
      <c r="AA4710">
        <v>0.99081739999999996</v>
      </c>
      <c r="AB4710">
        <v>23</v>
      </c>
      <c r="AC4710">
        <v>4.7599999999988499E-2</v>
      </c>
      <c r="AD4710">
        <v>-0.1140709</v>
      </c>
      <c r="AE4710">
        <v>-0.49549000000000298</v>
      </c>
      <c r="AF4710">
        <v>-2.3134478749530799E-2</v>
      </c>
      <c r="AG4710">
        <v>-0.1140709</v>
      </c>
      <c r="AH4710">
        <v>0.47236840334866498</v>
      </c>
      <c r="AI4710">
        <v>103.560620612468</v>
      </c>
      <c r="AJ4710">
        <v>92.803849112558396</v>
      </c>
      <c r="AK4710">
        <v>0.48649695046936298</v>
      </c>
      <c r="AL4710">
        <v>89.423787823203696</v>
      </c>
      <c r="AM4710">
        <v>93.756431196480804</v>
      </c>
      <c r="AN4710">
        <v>0.99999998476393903</v>
      </c>
    </row>
    <row r="4711" spans="1:40" x14ac:dyDescent="0.3">
      <c r="A4711" t="str">
        <f>"20200111160557145"</f>
        <v>20200111160557145</v>
      </c>
      <c r="B4711" t="str">
        <f>"1578729957136893"</f>
        <v>1578729957136893</v>
      </c>
      <c r="C4711" t="s">
        <v>40</v>
      </c>
      <c r="D4711">
        <v>5.4686379999999897</v>
      </c>
      <c r="E4711">
        <v>0.50875630000000005</v>
      </c>
      <c r="F4711" t="s">
        <v>42</v>
      </c>
      <c r="G4711">
        <v>-421.05529999999999</v>
      </c>
      <c r="H4711">
        <v>0.98874550000000005</v>
      </c>
      <c r="I4711">
        <v>50.860930000000003</v>
      </c>
      <c r="J4711">
        <v>-421.12009999999998</v>
      </c>
      <c r="K4711">
        <v>1.11069</v>
      </c>
      <c r="L4711">
        <v>51.546689999999998</v>
      </c>
      <c r="M4711">
        <v>4.6814769999999999E-2</v>
      </c>
      <c r="N4711">
        <v>0</v>
      </c>
      <c r="O4711">
        <v>-0.99880950000000002</v>
      </c>
      <c r="P4711">
        <v>0.11302420000000001</v>
      </c>
      <c r="Q4711">
        <v>-5.2005749999999998E-3</v>
      </c>
      <c r="R4711">
        <v>-0.99357899999999999</v>
      </c>
      <c r="S4711">
        <v>0.2487183</v>
      </c>
      <c r="T4711">
        <v>-0.40364369999999999</v>
      </c>
      <c r="U4711">
        <v>-2.9895019999999999</v>
      </c>
      <c r="V4711">
        <v>-6.6381529999999994E-2</v>
      </c>
      <c r="W4711">
        <v>8.5041149999999996E-3</v>
      </c>
      <c r="X4711">
        <v>0.99775809999999998</v>
      </c>
      <c r="Y4711">
        <v>-3.5421059999999997E-2</v>
      </c>
      <c r="Z4711">
        <v>0.13331989999999999</v>
      </c>
      <c r="AA4711">
        <v>0.99043990000000004</v>
      </c>
      <c r="AB4711">
        <v>23</v>
      </c>
      <c r="AC4711">
        <v>6.4799999999991004E-2</v>
      </c>
      <c r="AD4711">
        <v>-0.1219445</v>
      </c>
      <c r="AE4711">
        <v>-0.68576000000000903</v>
      </c>
      <c r="AF4711">
        <v>-3.16308667193985E-2</v>
      </c>
      <c r="AG4711">
        <v>-0.1219445</v>
      </c>
      <c r="AH4711">
        <v>0.66713293140205698</v>
      </c>
      <c r="AI4711">
        <v>100.347303610762</v>
      </c>
      <c r="AJ4711">
        <v>92.714539902376004</v>
      </c>
      <c r="AK4711">
        <v>0.67892364885219003</v>
      </c>
      <c r="AL4711">
        <v>89.5127442418936</v>
      </c>
      <c r="AM4711">
        <v>93.806318071125901</v>
      </c>
      <c r="AN4711">
        <v>1.00000002680634</v>
      </c>
    </row>
    <row r="4712" spans="1:40" x14ac:dyDescent="0.3">
      <c r="A4712" t="str">
        <f>"20200111160557168"</f>
        <v>20200111160557168</v>
      </c>
      <c r="B4712" t="str">
        <f>"1578729957156413"</f>
        <v>1578729957156413</v>
      </c>
      <c r="C4712" t="s">
        <v>40</v>
      </c>
      <c r="D4712">
        <v>4.9445629999999996</v>
      </c>
      <c r="E4712">
        <v>0.50655499999999998</v>
      </c>
      <c r="F4712" t="s">
        <v>42</v>
      </c>
      <c r="G4712">
        <v>-421.03789999999998</v>
      </c>
      <c r="H4712">
        <v>0.99815140000000002</v>
      </c>
      <c r="I4712">
        <v>50.651139999999998</v>
      </c>
      <c r="J4712">
        <v>-421.10939999999999</v>
      </c>
      <c r="K4712">
        <v>1.1106739999999999</v>
      </c>
      <c r="L4712">
        <v>51.319490000000002</v>
      </c>
      <c r="M4712">
        <v>4.6814840000000003E-2</v>
      </c>
      <c r="N4712">
        <v>0</v>
      </c>
      <c r="O4712">
        <v>-0.99880950000000002</v>
      </c>
      <c r="P4712">
        <v>0.1138135</v>
      </c>
      <c r="Q4712">
        <v>-7.1435919999999998E-3</v>
      </c>
      <c r="R4712">
        <v>-0.99347700000000005</v>
      </c>
      <c r="S4712">
        <v>0.27374270000000001</v>
      </c>
      <c r="T4712">
        <v>-0.3752643</v>
      </c>
      <c r="U4712">
        <v>-2.9862980000000001</v>
      </c>
      <c r="V4712">
        <v>-6.7174650000000002E-2</v>
      </c>
      <c r="W4712">
        <v>6.5567660000000003E-3</v>
      </c>
      <c r="X4712">
        <v>0.99771969999999999</v>
      </c>
      <c r="Y4712">
        <v>-4.3852710000000003E-2</v>
      </c>
      <c r="Z4712">
        <v>0.12416190000000001</v>
      </c>
      <c r="AA4712">
        <v>0.99129250000000002</v>
      </c>
      <c r="AB4712">
        <v>23</v>
      </c>
      <c r="AC4712">
        <v>7.1500000000014496E-2</v>
      </c>
      <c r="AD4712">
        <v>-0.112522599999999</v>
      </c>
      <c r="AE4712">
        <v>-0.668349999999996</v>
      </c>
      <c r="AF4712">
        <v>-3.9036008923833999E-2</v>
      </c>
      <c r="AG4712">
        <v>-0.112522599999999</v>
      </c>
      <c r="AH4712">
        <v>0.65267413589757595</v>
      </c>
      <c r="AI4712">
        <v>99.764661692255302</v>
      </c>
      <c r="AJ4712">
        <v>93.422745377391195</v>
      </c>
      <c r="AK4712">
        <v>0.663452088076531</v>
      </c>
      <c r="AL4712">
        <v>89.624322293719302</v>
      </c>
      <c r="AM4712">
        <v>93.851807297955602</v>
      </c>
      <c r="AN4712">
        <v>1.0000000122755399</v>
      </c>
    </row>
    <row r="4713" spans="1:40" x14ac:dyDescent="0.3">
      <c r="A4713" t="str">
        <f>"20200111160557190"</f>
        <v>20200111160557190</v>
      </c>
      <c r="B4713" t="str">
        <f>"1578729957186669"</f>
        <v>1578729957186669</v>
      </c>
      <c r="C4713" t="s">
        <v>40</v>
      </c>
      <c r="D4713">
        <v>4.8883269999999897</v>
      </c>
      <c r="E4713">
        <v>0.50393259999999995</v>
      </c>
      <c r="F4713" t="s">
        <v>42</v>
      </c>
      <c r="G4713">
        <v>-421.02339999999998</v>
      </c>
      <c r="H4713">
        <v>1.0013430000000001</v>
      </c>
      <c r="I4713">
        <v>50.44455</v>
      </c>
      <c r="J4713">
        <v>-421.0985</v>
      </c>
      <c r="K4713">
        <v>1.1106609999999999</v>
      </c>
      <c r="L4713">
        <v>51.087429999999998</v>
      </c>
      <c r="M4713">
        <v>4.6814880000000003E-2</v>
      </c>
      <c r="N4713">
        <v>0</v>
      </c>
      <c r="O4713">
        <v>-0.99880930000000001</v>
      </c>
      <c r="P4713">
        <v>0.1141916</v>
      </c>
      <c r="Q4713">
        <v>-9.4281499999999997E-3</v>
      </c>
      <c r="R4713">
        <v>-0.99341420000000002</v>
      </c>
      <c r="S4713">
        <v>0.29333500000000001</v>
      </c>
      <c r="T4713">
        <v>-0.37280730000000001</v>
      </c>
      <c r="U4713">
        <v>-2.9834290000000001</v>
      </c>
      <c r="V4713">
        <v>-6.7555599999999993E-2</v>
      </c>
      <c r="W4713">
        <v>4.2684589999999996E-3</v>
      </c>
      <c r="X4713">
        <v>0.99770639999999999</v>
      </c>
      <c r="Y4713">
        <v>-5.039896E-2</v>
      </c>
      <c r="Z4713">
        <v>0.123421</v>
      </c>
      <c r="AA4713">
        <v>0.9910738</v>
      </c>
      <c r="AB4713">
        <v>23</v>
      </c>
      <c r="AC4713">
        <v>7.5100000000020303E-2</v>
      </c>
      <c r="AD4713">
        <v>-0.109318</v>
      </c>
      <c r="AE4713">
        <v>-0.64287999999999801</v>
      </c>
      <c r="AF4713">
        <v>-4.3672663433231798E-2</v>
      </c>
      <c r="AG4713">
        <v>-0.109318</v>
      </c>
      <c r="AH4713">
        <v>0.62778314799756896</v>
      </c>
      <c r="AI4713">
        <v>99.8547115584864</v>
      </c>
      <c r="AJ4713">
        <v>93.979454412244294</v>
      </c>
      <c r="AK4713">
        <v>0.63872482930060703</v>
      </c>
      <c r="AL4713">
        <v>89.755434576440507</v>
      </c>
      <c r="AM4713">
        <v>93.873636210720704</v>
      </c>
      <c r="AN4713">
        <v>1.00000001971727</v>
      </c>
    </row>
    <row r="4714" spans="1:40" x14ac:dyDescent="0.3">
      <c r="A4714" t="str">
        <f>"20200111160557213"</f>
        <v>20200111160557213</v>
      </c>
      <c r="B4714" t="str">
        <f>"1578729957207165"</f>
        <v>1578729957207165</v>
      </c>
      <c r="C4714" t="s">
        <v>40</v>
      </c>
      <c r="D4714">
        <v>4.8867279999999997</v>
      </c>
      <c r="E4714">
        <v>0.50268259999999998</v>
      </c>
      <c r="F4714" t="s">
        <v>42</v>
      </c>
      <c r="G4714">
        <v>-421.00850000000003</v>
      </c>
      <c r="H4714">
        <v>1.00529</v>
      </c>
      <c r="I4714">
        <v>50.235709999999997</v>
      </c>
      <c r="J4714">
        <v>-421.0874</v>
      </c>
      <c r="K4714">
        <v>1.110646</v>
      </c>
      <c r="L4714">
        <v>50.852080000000001</v>
      </c>
      <c r="M4714">
        <v>4.6814920000000003E-2</v>
      </c>
      <c r="N4714">
        <v>0</v>
      </c>
      <c r="O4714">
        <v>-0.99880950000000002</v>
      </c>
      <c r="P4714">
        <v>0.1142862</v>
      </c>
      <c r="Q4714">
        <v>-1.1810650000000001E-2</v>
      </c>
      <c r="R4714">
        <v>-0.99337799999999998</v>
      </c>
      <c r="S4714">
        <v>0.31451420000000002</v>
      </c>
      <c r="T4714">
        <v>-0.36868630000000002</v>
      </c>
      <c r="U4714">
        <v>-2.9802550000000001</v>
      </c>
      <c r="V4714">
        <v>-6.7651719999999999E-2</v>
      </c>
      <c r="W4714">
        <v>1.882377E-3</v>
      </c>
      <c r="X4714">
        <v>0.99770720000000002</v>
      </c>
      <c r="Y4714">
        <v>-5.7487660000000003E-2</v>
      </c>
      <c r="Z4714">
        <v>0.122138</v>
      </c>
      <c r="AA4714">
        <v>0.99084689999999997</v>
      </c>
      <c r="AB4714">
        <v>23</v>
      </c>
      <c r="AC4714">
        <v>7.8899999999975906E-2</v>
      </c>
      <c r="AD4714">
        <v>-0.10535599999999901</v>
      </c>
      <c r="AE4714">
        <v>-0.61637000000000297</v>
      </c>
      <c r="AF4714">
        <v>-4.8559560482172498E-2</v>
      </c>
      <c r="AG4714">
        <v>-0.10535599999999901</v>
      </c>
      <c r="AH4714">
        <v>0.60208072469636698</v>
      </c>
      <c r="AI4714">
        <v>99.894005466845499</v>
      </c>
      <c r="AJ4714">
        <v>94.611090227054504</v>
      </c>
      <c r="AK4714">
        <v>0.61315505110952495</v>
      </c>
      <c r="AL4714">
        <v>89.892147676354398</v>
      </c>
      <c r="AM4714">
        <v>93.8791278128313</v>
      </c>
      <c r="AN4714">
        <v>0.99999997774698401</v>
      </c>
    </row>
    <row r="4715" spans="1:40" x14ac:dyDescent="0.3">
      <c r="A4715" t="str">
        <f>"20200111160557234"</f>
        <v>20200111160557234</v>
      </c>
      <c r="B4715" t="str">
        <f>"1578729957226689"</f>
        <v>1578729957226689</v>
      </c>
      <c r="C4715" t="s">
        <v>40</v>
      </c>
      <c r="D4715">
        <v>4.8432060000000003</v>
      </c>
      <c r="E4715">
        <v>0.50181690000000001</v>
      </c>
      <c r="F4715" t="s">
        <v>42</v>
      </c>
      <c r="G4715">
        <v>-420.99799999999999</v>
      </c>
      <c r="H4715">
        <v>1.0081519999999999</v>
      </c>
      <c r="I4715">
        <v>50.028689999999997</v>
      </c>
      <c r="J4715">
        <v>-421.0772</v>
      </c>
      <c r="K4715">
        <v>1.1106370000000001</v>
      </c>
      <c r="L4715">
        <v>50.634770000000003</v>
      </c>
      <c r="M4715">
        <v>4.6814939999999999E-2</v>
      </c>
      <c r="N4715">
        <v>0</v>
      </c>
      <c r="O4715">
        <v>-0.99880950000000002</v>
      </c>
      <c r="P4715">
        <v>0.1141166</v>
      </c>
      <c r="Q4715">
        <v>-1.3931010000000001E-2</v>
      </c>
      <c r="R4715">
        <v>-0.99336999999999998</v>
      </c>
      <c r="S4715">
        <v>0.32409670000000002</v>
      </c>
      <c r="T4715">
        <v>-0.37074790000000002</v>
      </c>
      <c r="U4715">
        <v>-2.9783019999999998</v>
      </c>
      <c r="V4715">
        <v>-6.748295E-2</v>
      </c>
      <c r="W4715">
        <v>-2.4133140000000001E-4</v>
      </c>
      <c r="X4715">
        <v>0.99772039999999995</v>
      </c>
      <c r="Y4715">
        <v>-6.0697340000000002E-2</v>
      </c>
      <c r="Z4715">
        <v>0.1228573</v>
      </c>
      <c r="AA4715">
        <v>0.99056650000000002</v>
      </c>
      <c r="AB4715">
        <v>23</v>
      </c>
      <c r="AC4715">
        <v>7.9199999999957499E-2</v>
      </c>
      <c r="AD4715">
        <v>-0.10248500000000001</v>
      </c>
      <c r="AE4715">
        <v>-0.60607999999999795</v>
      </c>
      <c r="AF4715">
        <v>-4.9349518516301302E-2</v>
      </c>
      <c r="AG4715">
        <v>-0.10248500000000001</v>
      </c>
      <c r="AH4715">
        <v>0.592467410673294</v>
      </c>
      <c r="AI4715">
        <v>99.780694306376503</v>
      </c>
      <c r="AJ4715">
        <v>94.761455262785304</v>
      </c>
      <c r="AK4715">
        <v>0.60328781100956197</v>
      </c>
      <c r="AL4715">
        <v>90.013827270794906</v>
      </c>
      <c r="AM4715">
        <v>93.869428992062794</v>
      </c>
      <c r="AN4715">
        <v>1.0000000016788499</v>
      </c>
    </row>
    <row r="4716" spans="1:40" x14ac:dyDescent="0.3">
      <c r="A4716" t="str">
        <f>"20200111160557257"</f>
        <v>20200111160557257</v>
      </c>
      <c r="B4716" t="str">
        <f>"1578729957247181"</f>
        <v>1578729957247181</v>
      </c>
      <c r="C4716" t="s">
        <v>40</v>
      </c>
      <c r="D4716">
        <v>4.8574469999999996</v>
      </c>
      <c r="E4716">
        <v>0.50113609999999997</v>
      </c>
      <c r="F4716" t="s">
        <v>42</v>
      </c>
      <c r="G4716">
        <v>-420.9871</v>
      </c>
      <c r="H4716">
        <v>1.008837</v>
      </c>
      <c r="I4716">
        <v>49.823520000000002</v>
      </c>
      <c r="J4716">
        <v>-421.06619999999998</v>
      </c>
      <c r="K4716">
        <v>1.1106210000000001</v>
      </c>
      <c r="L4716">
        <v>50.399320000000003</v>
      </c>
      <c r="M4716">
        <v>4.6814969999999997E-2</v>
      </c>
      <c r="N4716">
        <v>0</v>
      </c>
      <c r="O4716">
        <v>-0.99880979999999997</v>
      </c>
      <c r="P4716">
        <v>0.114195</v>
      </c>
      <c r="Q4716">
        <v>-1.613177E-2</v>
      </c>
      <c r="R4716">
        <v>-0.99332790000000004</v>
      </c>
      <c r="S4716">
        <v>0.33026119999999998</v>
      </c>
      <c r="T4716">
        <v>-0.37354399999999999</v>
      </c>
      <c r="U4716">
        <v>-2.9768370000000002</v>
      </c>
      <c r="V4716">
        <v>-6.756268E-2</v>
      </c>
      <c r="W4716">
        <v>-2.445539E-3</v>
      </c>
      <c r="X4716">
        <v>0.99771200000000004</v>
      </c>
      <c r="Y4716">
        <v>-6.2763410000000006E-2</v>
      </c>
      <c r="Z4716">
        <v>0.1238076</v>
      </c>
      <c r="AA4716">
        <v>0.99031939999999996</v>
      </c>
      <c r="AB4716">
        <v>23</v>
      </c>
      <c r="AC4716">
        <v>7.9099999999982601E-2</v>
      </c>
      <c r="AD4716">
        <v>-0.101783999999999</v>
      </c>
      <c r="AE4716">
        <v>-0.57580000000000098</v>
      </c>
      <c r="AF4716">
        <v>-5.0505723718152297E-2</v>
      </c>
      <c r="AG4716">
        <v>-0.101783999999999</v>
      </c>
      <c r="AH4716">
        <v>0.56164695665949704</v>
      </c>
      <c r="AI4716">
        <v>100.23149005511399</v>
      </c>
      <c r="AJ4716">
        <v>95.1384635345063</v>
      </c>
      <c r="AK4716">
        <v>0.573025404942198</v>
      </c>
      <c r="AL4716">
        <v>90.1401192078131</v>
      </c>
      <c r="AM4716">
        <v>93.874019263427698</v>
      </c>
      <c r="AN4716">
        <v>0.99999996566688998</v>
      </c>
    </row>
    <row r="4717" spans="1:40" x14ac:dyDescent="0.3">
      <c r="A4717" t="str">
        <f>"20200111160557279"</f>
        <v>20200111160557279</v>
      </c>
      <c r="B4717" t="str">
        <f>"1578729957276461"</f>
        <v>1578729957276461</v>
      </c>
      <c r="C4717" t="s">
        <v>40</v>
      </c>
      <c r="D4717">
        <v>4.9067769999999999</v>
      </c>
      <c r="E4717">
        <v>0.50016669999999996</v>
      </c>
      <c r="F4717" t="s">
        <v>42</v>
      </c>
      <c r="G4717">
        <v>-420.97730000000001</v>
      </c>
      <c r="H4717">
        <v>1.01071</v>
      </c>
      <c r="I4717">
        <v>49.609499999999997</v>
      </c>
      <c r="J4717">
        <v>-421.05579999999998</v>
      </c>
      <c r="K4717">
        <v>1.110606</v>
      </c>
      <c r="L4717">
        <v>50.176760000000002</v>
      </c>
      <c r="M4717">
        <v>4.6809719999999999E-2</v>
      </c>
      <c r="N4717">
        <v>0</v>
      </c>
      <c r="O4717">
        <v>-0.99880979999999997</v>
      </c>
      <c r="P4717">
        <v>0.1148425</v>
      </c>
      <c r="Q4717">
        <v>-1.8696899999999999E-2</v>
      </c>
      <c r="R4717">
        <v>-0.99320779999999997</v>
      </c>
      <c r="S4717">
        <v>0.33624270000000001</v>
      </c>
      <c r="T4717">
        <v>-0.37639089999999997</v>
      </c>
      <c r="U4717">
        <v>-2.9753720000000001</v>
      </c>
      <c r="V4717">
        <v>-6.8220439999999993E-2</v>
      </c>
      <c r="W4717">
        <v>-5.0139049999999999E-3</v>
      </c>
      <c r="X4717">
        <v>0.99765769999999998</v>
      </c>
      <c r="Y4717">
        <v>-6.4774559999999995E-2</v>
      </c>
      <c r="Z4717">
        <v>0.12477489999999999</v>
      </c>
      <c r="AA4717">
        <v>0.99006839999999996</v>
      </c>
      <c r="AB4717">
        <v>23</v>
      </c>
      <c r="AC4717">
        <v>7.8499999999962697E-2</v>
      </c>
      <c r="AD4717">
        <v>-9.9895999999999902E-2</v>
      </c>
      <c r="AE4717">
        <v>-0.56725999999999699</v>
      </c>
      <c r="AF4717">
        <v>-5.0326744549555803E-2</v>
      </c>
      <c r="AG4717">
        <v>-9.9895999999999902E-2</v>
      </c>
      <c r="AH4717">
        <v>0.55347116890846704</v>
      </c>
      <c r="AI4717">
        <v>100.190010844287</v>
      </c>
      <c r="AJ4717">
        <v>95.195577165597996</v>
      </c>
      <c r="AK4717">
        <v>0.56466124964075703</v>
      </c>
      <c r="AL4717">
        <v>90.287276791278401</v>
      </c>
      <c r="AM4717">
        <v>93.911830697527407</v>
      </c>
      <c r="AN4717">
        <v>1.0000000270232099</v>
      </c>
    </row>
    <row r="4718" spans="1:40" x14ac:dyDescent="0.3">
      <c r="A4718" t="str">
        <f>"20200111160557302"</f>
        <v>20200111160557302</v>
      </c>
      <c r="B4718" t="str">
        <f>"1578729957296499"</f>
        <v>1578729957296499</v>
      </c>
      <c r="C4718" t="s">
        <v>40</v>
      </c>
      <c r="D4718">
        <v>4.988531</v>
      </c>
      <c r="E4718">
        <v>0.49957220000000002</v>
      </c>
      <c r="F4718" t="s">
        <v>41</v>
      </c>
      <c r="G4718">
        <v>-420.04669999999999</v>
      </c>
      <c r="H4718" s="1">
        <v>-8.2773349999999905E-7</v>
      </c>
      <c r="I4718">
        <v>41.489620000000002</v>
      </c>
      <c r="J4718">
        <v>-421.04489999999998</v>
      </c>
      <c r="K4718">
        <v>1.1105799999999999</v>
      </c>
      <c r="L4718">
        <v>49.943629999999999</v>
      </c>
      <c r="M4718">
        <v>4.6783619999999998E-2</v>
      </c>
      <c r="N4718">
        <v>0</v>
      </c>
      <c r="O4718">
        <v>-0.99881089999999995</v>
      </c>
      <c r="P4718">
        <v>0.1159089</v>
      </c>
      <c r="Q4718">
        <v>-2.1157659999999998E-2</v>
      </c>
      <c r="R4718">
        <v>-0.99303459999999999</v>
      </c>
      <c r="S4718">
        <v>0.34539789999999998</v>
      </c>
      <c r="T4718">
        <v>-0.38013669999999999</v>
      </c>
      <c r="U4718">
        <v>-2.9734189999999998</v>
      </c>
      <c r="V4718">
        <v>-6.9320619999999999E-2</v>
      </c>
      <c r="W4718">
        <v>-7.4770259999999899E-3</v>
      </c>
      <c r="X4718">
        <v>0.99756639999999996</v>
      </c>
      <c r="Y4718">
        <v>-6.7863309999999996E-2</v>
      </c>
      <c r="Z4718">
        <v>0.1260435</v>
      </c>
      <c r="AA4718">
        <v>0.98970080000000005</v>
      </c>
      <c r="AB4718">
        <v>23</v>
      </c>
      <c r="AC4718">
        <v>0.99819999999999698</v>
      </c>
      <c r="AD4718">
        <v>-1.1105808277335001</v>
      </c>
      <c r="AE4718">
        <v>-8.4540099999999896</v>
      </c>
      <c r="AF4718">
        <v>-0.59149315366073796</v>
      </c>
      <c r="AG4718">
        <v>-1.1105808277335001</v>
      </c>
      <c r="AH4718">
        <v>8.3493486255710501</v>
      </c>
      <c r="AI4718">
        <v>97.557947445939902</v>
      </c>
      <c r="AJ4718">
        <v>94.052236631657095</v>
      </c>
      <c r="AK4718">
        <v>8.4436293379732099</v>
      </c>
      <c r="AL4718">
        <v>90.428406029905901</v>
      </c>
      <c r="AM4718">
        <v>93.975078162873501</v>
      </c>
      <c r="AN4718">
        <v>0.99999998834197401</v>
      </c>
    </row>
    <row r="4719" spans="1:40" x14ac:dyDescent="0.3">
      <c r="A4719" t="str">
        <f>"20200111160557324"</f>
        <v>20200111160557324</v>
      </c>
      <c r="B4719" t="str">
        <f>"1578729957317000"</f>
        <v>1578729957317000</v>
      </c>
      <c r="C4719" t="s">
        <v>40</v>
      </c>
      <c r="D4719">
        <v>4.8536900000000003</v>
      </c>
      <c r="E4719">
        <v>0.49908580000000002</v>
      </c>
      <c r="F4719" t="s">
        <v>41</v>
      </c>
      <c r="G4719">
        <v>-420.02659999999997</v>
      </c>
      <c r="H4719" s="1">
        <v>-7.6719110000000005E-7</v>
      </c>
      <c r="I4719">
        <v>41.360970000000002</v>
      </c>
      <c r="J4719">
        <v>-421.03460000000001</v>
      </c>
      <c r="K4719">
        <v>1.1105510000000001</v>
      </c>
      <c r="L4719">
        <v>49.722720000000002</v>
      </c>
      <c r="M4719">
        <v>4.6720640000000001E-2</v>
      </c>
      <c r="N4719">
        <v>0</v>
      </c>
      <c r="O4719">
        <v>-0.99881410000000004</v>
      </c>
      <c r="P4719">
        <v>0.1173051</v>
      </c>
      <c r="Q4719">
        <v>-2.336425E-2</v>
      </c>
      <c r="R4719">
        <v>-0.99282139999999997</v>
      </c>
      <c r="S4719">
        <v>0.35260010000000003</v>
      </c>
      <c r="T4719">
        <v>-0.38453009999999999</v>
      </c>
      <c r="U4719">
        <v>-2.9716800000000001</v>
      </c>
      <c r="V4719">
        <v>-7.0788569999999995E-2</v>
      </c>
      <c r="W4719">
        <v>-9.6840469999999994E-3</v>
      </c>
      <c r="X4719">
        <v>0.99744429999999995</v>
      </c>
      <c r="Y4719">
        <v>-7.0336159999999995E-2</v>
      </c>
      <c r="Z4719">
        <v>0.12752149999999901</v>
      </c>
      <c r="AA4719">
        <v>0.98933870000000002</v>
      </c>
      <c r="AB4719">
        <v>23</v>
      </c>
      <c r="AC4719">
        <v>1.00800000000003</v>
      </c>
      <c r="AD4719">
        <v>-1.1105517671911</v>
      </c>
      <c r="AE4719">
        <v>-8.3617500000000007</v>
      </c>
      <c r="AF4719">
        <v>-0.605665562234738</v>
      </c>
      <c r="AG4719">
        <v>-1.1105517671911</v>
      </c>
      <c r="AH4719">
        <v>8.2561684014186696</v>
      </c>
      <c r="AI4719">
        <v>97.640684454993902</v>
      </c>
      <c r="AJ4719">
        <v>94.195654515393002</v>
      </c>
      <c r="AK4719">
        <v>8.3525129556003996</v>
      </c>
      <c r="AL4719">
        <v>90.5548637128351</v>
      </c>
      <c r="AM4719">
        <v>94.059472123623294</v>
      </c>
      <c r="AN4719">
        <v>0.99999996700571503</v>
      </c>
    </row>
    <row r="4720" spans="1:40" x14ac:dyDescent="0.3">
      <c r="A4720" t="str">
        <f>"20200111160557346"</f>
        <v>20200111160557346</v>
      </c>
      <c r="B4720" t="str">
        <f>"1578729957336505"</f>
        <v>1578729957336505</v>
      </c>
      <c r="C4720" t="s">
        <v>40</v>
      </c>
      <c r="D4720">
        <v>4.8777269999999904</v>
      </c>
      <c r="E4720">
        <v>0.49854399999999999</v>
      </c>
      <c r="F4720" t="s">
        <v>42</v>
      </c>
      <c r="G4720">
        <v>-420.92489999999998</v>
      </c>
      <c r="H4720">
        <v>0.99163469999999998</v>
      </c>
      <c r="I4720">
        <v>48.814570000000003</v>
      </c>
      <c r="J4720">
        <v>-421.024</v>
      </c>
      <c r="K4720">
        <v>1.1105179999999999</v>
      </c>
      <c r="L4720">
        <v>49.495510000000003</v>
      </c>
      <c r="M4720">
        <v>4.6599399999999999E-2</v>
      </c>
      <c r="N4720">
        <v>0</v>
      </c>
      <c r="O4720">
        <v>-0.99881980000000004</v>
      </c>
      <c r="P4720">
        <v>0.118108199999999</v>
      </c>
      <c r="Q4720">
        <v>-2.4418860000000001E-2</v>
      </c>
      <c r="R4720">
        <v>-0.99270080000000005</v>
      </c>
      <c r="S4720">
        <v>0.35998540000000001</v>
      </c>
      <c r="T4720">
        <v>-0.3889068</v>
      </c>
      <c r="U4720">
        <v>-2.9700009999999999</v>
      </c>
      <c r="V4720">
        <v>-7.1718560000000001E-2</v>
      </c>
      <c r="W4720">
        <v>-1.073553E-2</v>
      </c>
      <c r="X4720">
        <v>0.99736709999999995</v>
      </c>
      <c r="Y4720">
        <v>-7.2924799999999998E-2</v>
      </c>
      <c r="Z4720">
        <v>0.12899040000000001</v>
      </c>
      <c r="AA4720">
        <v>0.98896079999999997</v>
      </c>
      <c r="AB4720">
        <v>23</v>
      </c>
      <c r="AC4720">
        <v>9.9100000000021199E-2</v>
      </c>
      <c r="AD4720">
        <v>-0.1188833</v>
      </c>
      <c r="AE4720">
        <v>-0.680939999999992</v>
      </c>
      <c r="AF4720">
        <v>-6.5308592972203497E-2</v>
      </c>
      <c r="AG4720">
        <v>-0.1188833</v>
      </c>
      <c r="AH4720">
        <v>0.66497023688926604</v>
      </c>
      <c r="AI4720">
        <v>100.08870990437001</v>
      </c>
      <c r="AJ4720">
        <v>95.609190483646401</v>
      </c>
      <c r="AK4720">
        <v>0.67866329448664398</v>
      </c>
      <c r="AL4720">
        <v>90.615112395472593</v>
      </c>
      <c r="AM4720">
        <v>94.1129391602515</v>
      </c>
      <c r="AN4720">
        <v>0.99999996780763101</v>
      </c>
    </row>
    <row r="4721" spans="1:40" x14ac:dyDescent="0.3">
      <c r="A4721" t="str">
        <f>"20200111160557368"</f>
        <v>20200111160557368</v>
      </c>
      <c r="B4721" t="str">
        <f>"1578729957357002"</f>
        <v>1578729957357002</v>
      </c>
      <c r="C4721" t="s">
        <v>40</v>
      </c>
      <c r="D4721">
        <v>4.8408199999999999</v>
      </c>
      <c r="E4721">
        <v>0.4980773</v>
      </c>
      <c r="F4721" t="s">
        <v>42</v>
      </c>
      <c r="G4721">
        <v>-420.9144</v>
      </c>
      <c r="H4721">
        <v>0.99373219999999995</v>
      </c>
      <c r="I4721">
        <v>48.607909999999997</v>
      </c>
      <c r="J4721">
        <v>-421.01369999999997</v>
      </c>
      <c r="K4721">
        <v>1.110479</v>
      </c>
      <c r="L4721">
        <v>49.270319999999998</v>
      </c>
      <c r="M4721">
        <v>4.6426200000000001E-2</v>
      </c>
      <c r="N4721">
        <v>0</v>
      </c>
      <c r="O4721">
        <v>-0.99882800000000005</v>
      </c>
      <c r="P4721">
        <v>0.1181029</v>
      </c>
      <c r="Q4721">
        <v>-2.5819669999999999E-2</v>
      </c>
      <c r="R4721">
        <v>-0.99266589999999999</v>
      </c>
      <c r="S4721">
        <v>0.36660769999999998</v>
      </c>
      <c r="T4721">
        <v>-0.3906231</v>
      </c>
      <c r="U4721">
        <v>-2.968842</v>
      </c>
      <c r="V4721">
        <v>-7.1889560000000005E-2</v>
      </c>
      <c r="W4721">
        <v>-1.213176E-2</v>
      </c>
      <c r="X4721">
        <v>0.99733879999999997</v>
      </c>
      <c r="Y4721">
        <v>-7.5307819999999998E-2</v>
      </c>
      <c r="Z4721">
        <v>0.1295723</v>
      </c>
      <c r="AA4721">
        <v>0.98870610000000003</v>
      </c>
      <c r="AB4721">
        <v>23</v>
      </c>
      <c r="AC4721">
        <v>9.9299999999970995E-2</v>
      </c>
      <c r="AD4721">
        <v>-0.116746799999999</v>
      </c>
      <c r="AE4721">
        <v>-0.66241000000000105</v>
      </c>
      <c r="AF4721">
        <v>-6.6419051794503997E-2</v>
      </c>
      <c r="AG4721">
        <v>-0.116746799999999</v>
      </c>
      <c r="AH4721">
        <v>0.64666074232676496</v>
      </c>
      <c r="AI4721">
        <v>100.181391130546</v>
      </c>
      <c r="AJ4721">
        <v>95.864331952444502</v>
      </c>
      <c r="AK4721">
        <v>0.66046303561828801</v>
      </c>
      <c r="AL4721">
        <v>90.695115708198699</v>
      </c>
      <c r="AM4721">
        <v>94.122828530192606</v>
      </c>
      <c r="AN4721">
        <v>0.99999998521156497</v>
      </c>
    </row>
    <row r="4722" spans="1:40" x14ac:dyDescent="0.3">
      <c r="A4722" t="str">
        <f>"20200111160557392"</f>
        <v>20200111160557392</v>
      </c>
      <c r="B4722" t="str">
        <f>"1578729957387257"</f>
        <v>1578729957387257</v>
      </c>
      <c r="C4722" t="s">
        <v>40</v>
      </c>
      <c r="D4722">
        <v>4.96122</v>
      </c>
      <c r="E4722">
        <v>0.49742429999999899</v>
      </c>
      <c r="F4722" t="s">
        <v>42</v>
      </c>
      <c r="G4722">
        <v>-420.90519999999998</v>
      </c>
      <c r="H4722">
        <v>0.99509110000000001</v>
      </c>
      <c r="I4722">
        <v>48.399799999999999</v>
      </c>
      <c r="J4722">
        <v>-421.00310000000002</v>
      </c>
      <c r="K4722">
        <v>1.1104240000000001</v>
      </c>
      <c r="L4722">
        <v>49.03687</v>
      </c>
      <c r="M4722">
        <v>4.6172350000000001E-2</v>
      </c>
      <c r="N4722">
        <v>0</v>
      </c>
      <c r="O4722">
        <v>-0.99883960000000005</v>
      </c>
      <c r="P4722">
        <v>0.1174988</v>
      </c>
      <c r="Q4722">
        <v>-2.8062170000000001E-2</v>
      </c>
      <c r="R4722">
        <v>-0.99267649999999996</v>
      </c>
      <c r="S4722">
        <v>0.37072749999999999</v>
      </c>
      <c r="T4722">
        <v>-0.39336870000000002</v>
      </c>
      <c r="U4722">
        <v>-2.9678339999999999</v>
      </c>
      <c r="V4722">
        <v>-7.1541229999999997E-2</v>
      </c>
      <c r="W4722">
        <v>-1.436844E-2</v>
      </c>
      <c r="X4722">
        <v>0.9973341</v>
      </c>
      <c r="Y4722">
        <v>-7.6938610000000004E-2</v>
      </c>
      <c r="Z4722">
        <v>0.130494</v>
      </c>
      <c r="AA4722">
        <v>0.98845930000000004</v>
      </c>
      <c r="AB4722">
        <v>23</v>
      </c>
      <c r="AC4722">
        <v>9.7900000000038206E-2</v>
      </c>
      <c r="AD4722">
        <v>-0.1153329</v>
      </c>
      <c r="AE4722">
        <v>-0.63707000000000102</v>
      </c>
      <c r="AF4722">
        <v>-6.6256387952724996E-2</v>
      </c>
      <c r="AG4722">
        <v>-0.1153329</v>
      </c>
      <c r="AH4722">
        <v>0.62102702848913705</v>
      </c>
      <c r="AI4722">
        <v>100.462668026114</v>
      </c>
      <c r="AJ4722">
        <v>96.089760094166294</v>
      </c>
      <c r="AK4722">
        <v>0.63511113742478098</v>
      </c>
      <c r="AL4722">
        <v>90.823279338212998</v>
      </c>
      <c r="AM4722">
        <v>94.102939643966707</v>
      </c>
      <c r="AN4722">
        <v>0.99999995334037695</v>
      </c>
    </row>
    <row r="4723" spans="1:40" x14ac:dyDescent="0.3">
      <c r="A4723" t="str">
        <f>"20200111160557413"</f>
        <v>20200111160557413</v>
      </c>
      <c r="B4723" t="str">
        <f>"1578729957406780"</f>
        <v>1578729957406780</v>
      </c>
      <c r="C4723" t="s">
        <v>40</v>
      </c>
      <c r="D4723">
        <v>4.9119970000000004</v>
      </c>
      <c r="E4723">
        <v>0.49711270000000002</v>
      </c>
      <c r="F4723" t="s">
        <v>41</v>
      </c>
      <c r="G4723">
        <v>-419.95589999999999</v>
      </c>
      <c r="H4723" s="1">
        <v>-4.7770529999999995E-7</v>
      </c>
      <c r="I4723">
        <v>40.728090000000002</v>
      </c>
      <c r="J4723">
        <v>-420.99290000000002</v>
      </c>
      <c r="K4723">
        <v>1.110357</v>
      </c>
      <c r="L4723">
        <v>48.809420000000003</v>
      </c>
      <c r="M4723">
        <v>4.5829179999999997E-2</v>
      </c>
      <c r="N4723">
        <v>0</v>
      </c>
      <c r="O4723">
        <v>-0.99885539999999995</v>
      </c>
      <c r="P4723">
        <v>0.1163507</v>
      </c>
      <c r="Q4723">
        <v>-2.9288870000000002E-2</v>
      </c>
      <c r="R4723">
        <v>-0.99277649999999995</v>
      </c>
      <c r="S4723">
        <v>0.37390139999999999</v>
      </c>
      <c r="T4723">
        <v>-0.39648050000000001</v>
      </c>
      <c r="U4723">
        <v>-2.966675</v>
      </c>
      <c r="V4723">
        <v>-7.0735259999999994E-2</v>
      </c>
      <c r="W4723">
        <v>-1.558757E-2</v>
      </c>
      <c r="X4723">
        <v>0.99737330000000002</v>
      </c>
      <c r="Y4723">
        <v>-7.8352309999999994E-2</v>
      </c>
      <c r="Z4723">
        <v>0.13154579999999999</v>
      </c>
      <c r="AA4723">
        <v>0.9882088</v>
      </c>
      <c r="AB4723">
        <v>23</v>
      </c>
      <c r="AC4723">
        <v>1.0370000000000299</v>
      </c>
      <c r="AD4723">
        <v>-1.1103574777053</v>
      </c>
      <c r="AE4723">
        <v>-8.0813299999999995</v>
      </c>
      <c r="AF4723">
        <v>-0.65337993684575801</v>
      </c>
      <c r="AG4723">
        <v>-1.1103574777053</v>
      </c>
      <c r="AH4723">
        <v>7.9723021499539799</v>
      </c>
      <c r="AI4723">
        <v>97.902811809001307</v>
      </c>
      <c r="AJ4723">
        <v>94.685275525076804</v>
      </c>
      <c r="AK4723">
        <v>8.0757291088996705</v>
      </c>
      <c r="AL4723">
        <v>90.893138167154305</v>
      </c>
      <c r="AM4723">
        <v>94.056712995029002</v>
      </c>
      <c r="AN4723">
        <v>0.99999997444933098</v>
      </c>
    </row>
    <row r="4724" spans="1:40" x14ac:dyDescent="0.3">
      <c r="A4724" t="str">
        <f>"20200111160557436"</f>
        <v>20200111160557436</v>
      </c>
      <c r="B4724" t="str">
        <f>"1578729957427273"</f>
        <v>1578729957427273</v>
      </c>
      <c r="C4724" t="s">
        <v>40</v>
      </c>
      <c r="D4724">
        <v>4.9664529999999996</v>
      </c>
      <c r="E4724">
        <v>0.49679849999999998</v>
      </c>
      <c r="F4724" t="s">
        <v>41</v>
      </c>
      <c r="G4724">
        <v>-419.95179999999999</v>
      </c>
      <c r="H4724" s="1">
        <v>-3.885226E-7</v>
      </c>
      <c r="I4724">
        <v>40.518470000000001</v>
      </c>
      <c r="J4724">
        <v>-420.98340000000002</v>
      </c>
      <c r="K4724">
        <v>1.1102909999999999</v>
      </c>
      <c r="L4724">
        <v>48.592039999999997</v>
      </c>
      <c r="M4724">
        <v>4.5392139999999997E-2</v>
      </c>
      <c r="N4724">
        <v>0</v>
      </c>
      <c r="O4724">
        <v>-0.99887559999999997</v>
      </c>
      <c r="P4724">
        <v>0.11524379999999999</v>
      </c>
      <c r="Q4724">
        <v>-2.8727630000000001E-2</v>
      </c>
      <c r="R4724">
        <v>-0.99292179999999997</v>
      </c>
      <c r="S4724">
        <v>0.37252809999999997</v>
      </c>
      <c r="T4724">
        <v>-0.39728049999999998</v>
      </c>
      <c r="U4724">
        <v>-2.9664609999999998</v>
      </c>
      <c r="V4724">
        <v>-7.0060990000000004E-2</v>
      </c>
      <c r="W4724">
        <v>-1.5016409999999999E-2</v>
      </c>
      <c r="X4724">
        <v>0.99742969999999997</v>
      </c>
      <c r="Y4724">
        <v>-7.834236E-2</v>
      </c>
      <c r="Z4724">
        <v>0.13182349999999901</v>
      </c>
      <c r="AA4724">
        <v>0.98817259999999996</v>
      </c>
      <c r="AB4724">
        <v>23</v>
      </c>
      <c r="AC4724">
        <v>1.0316000000000201</v>
      </c>
      <c r="AD4724">
        <v>-1.1102913885226</v>
      </c>
      <c r="AE4724">
        <v>-8.0735700000000001</v>
      </c>
      <c r="AF4724">
        <v>-0.651894835567425</v>
      </c>
      <c r="AG4724">
        <v>-1.1102913885226</v>
      </c>
      <c r="AH4724">
        <v>7.9638822248355199</v>
      </c>
      <c r="AI4724">
        <v>97.910659960413099</v>
      </c>
      <c r="AJ4724">
        <v>94.679593793480393</v>
      </c>
      <c r="AK4724">
        <v>8.0672878921678493</v>
      </c>
      <c r="AL4724">
        <v>90.8604092367042</v>
      </c>
      <c r="AM4724">
        <v>94.017943982792403</v>
      </c>
      <c r="AN4724">
        <v>1.0000000206655699</v>
      </c>
    </row>
    <row r="4725" spans="1:40" x14ac:dyDescent="0.3">
      <c r="A4725" t="str">
        <f>"20200111160557458"</f>
        <v>20200111160557458</v>
      </c>
      <c r="B4725" t="str">
        <f>"1578729957446793"</f>
        <v>1578729957446793</v>
      </c>
      <c r="C4725" t="s">
        <v>40</v>
      </c>
      <c r="D4725">
        <v>4.9575870000000002</v>
      </c>
      <c r="E4725">
        <v>0.49671130000000002</v>
      </c>
      <c r="F4725" t="s">
        <v>41</v>
      </c>
      <c r="G4725">
        <v>-419.93130000000002</v>
      </c>
      <c r="H4725" s="1">
        <v>-2.504097E-7</v>
      </c>
      <c r="I4725">
        <v>40.188079999999999</v>
      </c>
      <c r="J4725">
        <v>-420.97370000000001</v>
      </c>
      <c r="K4725">
        <v>1.110212</v>
      </c>
      <c r="L4725">
        <v>48.366329999999998</v>
      </c>
      <c r="M4725">
        <v>4.4812079999999997E-2</v>
      </c>
      <c r="N4725">
        <v>0</v>
      </c>
      <c r="O4725">
        <v>-0.99890179999999995</v>
      </c>
      <c r="P4725">
        <v>0.114151</v>
      </c>
      <c r="Q4725">
        <v>-2.6483019999999999E-2</v>
      </c>
      <c r="R4725">
        <v>-0.99311079999999996</v>
      </c>
      <c r="S4725">
        <v>0.37142940000000002</v>
      </c>
      <c r="T4725">
        <v>-0.39197480000000001</v>
      </c>
      <c r="U4725">
        <v>-2.9669189999999999</v>
      </c>
      <c r="V4725">
        <v>-6.9540950000000004E-2</v>
      </c>
      <c r="W4725">
        <v>-1.2758200000000001E-2</v>
      </c>
      <c r="X4725">
        <v>0.99749750000000004</v>
      </c>
      <c r="Y4725">
        <v>-7.8570760000000003E-2</v>
      </c>
      <c r="Z4725">
        <v>0.13008039999999901</v>
      </c>
      <c r="AA4725">
        <v>0.98838539999999997</v>
      </c>
      <c r="AB4725">
        <v>23</v>
      </c>
      <c r="AC4725">
        <v>1.04239999999998</v>
      </c>
      <c r="AD4725">
        <v>-1.1102122504097001</v>
      </c>
      <c r="AE4725">
        <v>-8.1782499999999896</v>
      </c>
      <c r="AF4725">
        <v>-0.66281452232121596</v>
      </c>
      <c r="AG4725">
        <v>-1.1102122504097001</v>
      </c>
      <c r="AH4725">
        <v>8.0704011110595602</v>
      </c>
      <c r="AI4725">
        <v>97.806824757877905</v>
      </c>
      <c r="AJ4725">
        <v>94.6951114346423</v>
      </c>
      <c r="AK4725">
        <v>8.1733266437449394</v>
      </c>
      <c r="AL4725">
        <v>90.731010854485405</v>
      </c>
      <c r="AM4725">
        <v>93.987946483253793</v>
      </c>
      <c r="AN4725">
        <v>0.99999998895019604</v>
      </c>
    </row>
    <row r="4726" spans="1:40" x14ac:dyDescent="0.3">
      <c r="A4726" t="str">
        <f>"20200111160557481"</f>
        <v>20200111160557481</v>
      </c>
      <c r="B4726" t="str">
        <f>"1578729957477049"</f>
        <v>1578729957477049</v>
      </c>
      <c r="C4726" t="s">
        <v>40</v>
      </c>
      <c r="D4726">
        <v>5.0410409999999999</v>
      </c>
      <c r="E4726">
        <v>0.49641750000000001</v>
      </c>
      <c r="F4726" t="s">
        <v>41</v>
      </c>
      <c r="G4726">
        <v>-419.89949999999999</v>
      </c>
      <c r="H4726" s="1">
        <v>-5.1318390000000002E-8</v>
      </c>
      <c r="I4726">
        <v>39.710819999999998</v>
      </c>
      <c r="J4726">
        <v>-420.96420000000001</v>
      </c>
      <c r="K4726">
        <v>1.110115</v>
      </c>
      <c r="L4726">
        <v>48.136989999999997</v>
      </c>
      <c r="M4726">
        <v>4.4081960000000003E-2</v>
      </c>
      <c r="N4726">
        <v>0</v>
      </c>
      <c r="O4726">
        <v>-0.99893430000000005</v>
      </c>
      <c r="P4726">
        <v>0.1132845</v>
      </c>
      <c r="Q4726">
        <v>-2.419193E-2</v>
      </c>
      <c r="R4726">
        <v>-0.9932685</v>
      </c>
      <c r="S4726">
        <v>0.36840820000000002</v>
      </c>
      <c r="T4726">
        <v>-0.38073639999999997</v>
      </c>
      <c r="U4726">
        <v>-2.9683229999999998</v>
      </c>
      <c r="V4726">
        <v>-6.9397730000000005E-2</v>
      </c>
      <c r="W4726">
        <v>-1.0450839999999999E-2</v>
      </c>
      <c r="X4726">
        <v>0.99753429999999998</v>
      </c>
      <c r="Y4726">
        <v>-7.8310299999999999E-2</v>
      </c>
      <c r="Z4726">
        <v>0.12636839999999999</v>
      </c>
      <c r="AA4726">
        <v>0.98888750000000003</v>
      </c>
      <c r="AB4726">
        <v>23</v>
      </c>
      <c r="AC4726">
        <v>1.06470000000001</v>
      </c>
      <c r="AD4726">
        <v>-1.1101150513183899</v>
      </c>
      <c r="AE4726">
        <v>-8.4261700000000008</v>
      </c>
      <c r="AF4726">
        <v>-0.68056110932222802</v>
      </c>
      <c r="AG4726">
        <v>-1.1101150513183899</v>
      </c>
      <c r="AH4726">
        <v>8.3227282607869899</v>
      </c>
      <c r="AI4726">
        <v>97.572490333893995</v>
      </c>
      <c r="AJ4726">
        <v>94.674755050437597</v>
      </c>
      <c r="AK4726">
        <v>8.4239732047049998</v>
      </c>
      <c r="AL4726">
        <v>90.598799941432802</v>
      </c>
      <c r="AM4726">
        <v>93.979613357326798</v>
      </c>
      <c r="AN4726">
        <v>0.99999997233117299</v>
      </c>
    </row>
    <row r="4727" spans="1:40" x14ac:dyDescent="0.3">
      <c r="A4727" t="str">
        <f>"20200111160557503"</f>
        <v>20200111160557503</v>
      </c>
      <c r="B4727" t="str">
        <f>"1578729957496875"</f>
        <v>1578729957496875</v>
      </c>
      <c r="C4727" t="s">
        <v>40</v>
      </c>
      <c r="D4727">
        <v>5.04413</v>
      </c>
      <c r="E4727">
        <v>0.4964133</v>
      </c>
      <c r="F4727" t="s">
        <v>67</v>
      </c>
      <c r="G4727">
        <v>-419.85640000000001</v>
      </c>
      <c r="H4727" s="1">
        <v>-2.98658599999999E-7</v>
      </c>
      <c r="I4727">
        <v>39.186419999999998</v>
      </c>
      <c r="J4727">
        <v>-420.95499999999998</v>
      </c>
      <c r="K4727">
        <v>1.1100179999999999</v>
      </c>
      <c r="L4727">
        <v>47.907380000000003</v>
      </c>
      <c r="M4727">
        <v>4.320073E-2</v>
      </c>
      <c r="N4727">
        <v>0</v>
      </c>
      <c r="O4727">
        <v>-0.99897290000000005</v>
      </c>
      <c r="P4727">
        <v>0.1127857</v>
      </c>
      <c r="Q4727">
        <v>-2.2757719999999999E-2</v>
      </c>
      <c r="R4727">
        <v>-0.99335910000000005</v>
      </c>
      <c r="S4727">
        <v>0.36752319999999999</v>
      </c>
      <c r="T4727">
        <v>-0.36829269999999997</v>
      </c>
      <c r="U4727">
        <v>-2.969452</v>
      </c>
      <c r="V4727">
        <v>-6.9775439999999994E-2</v>
      </c>
      <c r="W4727">
        <v>-8.9990049999999992E-3</v>
      </c>
      <c r="X4727">
        <v>0.99752209999999997</v>
      </c>
      <c r="Y4727">
        <v>-7.8916650000000005E-2</v>
      </c>
      <c r="Z4727">
        <v>0.1222622</v>
      </c>
      <c r="AA4727">
        <v>0.9893554</v>
      </c>
      <c r="AB4727">
        <v>23</v>
      </c>
      <c r="AC4727">
        <v>1.09859999999997</v>
      </c>
      <c r="AD4727">
        <v>-1.1100182986586</v>
      </c>
      <c r="AE4727">
        <v>-8.7209599999999892</v>
      </c>
      <c r="AF4727">
        <v>-0.70947277708761103</v>
      </c>
      <c r="AG4727">
        <v>-1.1100182986586</v>
      </c>
      <c r="AH4727">
        <v>8.6227694129473793</v>
      </c>
      <c r="AI4727">
        <v>97.310967652644393</v>
      </c>
      <c r="AJ4727">
        <v>94.703643795018394</v>
      </c>
      <c r="AK4727">
        <v>8.7228232008705895</v>
      </c>
      <c r="AL4727">
        <v>90.515611982687503</v>
      </c>
      <c r="AM4727">
        <v>94.001251754793998</v>
      </c>
      <c r="AN4727">
        <v>0.99999996705329597</v>
      </c>
    </row>
    <row r="4728" spans="1:40" x14ac:dyDescent="0.3">
      <c r="A4728" t="str">
        <f>"20200111160557526"</f>
        <v>20200111160557526</v>
      </c>
      <c r="B4728" t="str">
        <f>"1578729957516393"</f>
        <v>1578729957516393</v>
      </c>
      <c r="C4728" t="s">
        <v>40</v>
      </c>
      <c r="D4728">
        <v>5.1968759999999996</v>
      </c>
      <c r="E4728">
        <v>0.49607400000000001</v>
      </c>
      <c r="F4728" t="s">
        <v>67</v>
      </c>
      <c r="G4728">
        <v>-419.8329</v>
      </c>
      <c r="H4728" s="1">
        <v>-5.5503840000000004E-7</v>
      </c>
      <c r="I4728">
        <v>38.792879999999997</v>
      </c>
      <c r="J4728">
        <v>-420.94650000000001</v>
      </c>
      <c r="K4728">
        <v>1.109917</v>
      </c>
      <c r="L4728">
        <v>47.686279999999996</v>
      </c>
      <c r="M4728">
        <v>4.2193620000000001E-2</v>
      </c>
      <c r="N4728">
        <v>0</v>
      </c>
      <c r="O4728">
        <v>-0.99901569999999995</v>
      </c>
      <c r="P4728">
        <v>0.1127653</v>
      </c>
      <c r="Q4728">
        <v>-2.2699960000000002E-2</v>
      </c>
      <c r="R4728">
        <v>-0.99336250000000004</v>
      </c>
      <c r="S4728">
        <v>0.36566159999999998</v>
      </c>
      <c r="T4728">
        <v>-0.36173820000000001</v>
      </c>
      <c r="U4728">
        <v>-2.9702760000000001</v>
      </c>
      <c r="V4728">
        <v>-7.0762909999999998E-2</v>
      </c>
      <c r="W4728">
        <v>-8.9244200000000006E-3</v>
      </c>
      <c r="X4728">
        <v>0.99745320000000004</v>
      </c>
      <c r="Y4728">
        <v>-7.930972E-2</v>
      </c>
      <c r="Z4728">
        <v>0.12009589999999901</v>
      </c>
      <c r="AA4728">
        <v>0.98958930000000001</v>
      </c>
      <c r="AB4728">
        <v>23</v>
      </c>
      <c r="AC4728">
        <v>1.1136000000000099</v>
      </c>
      <c r="AD4728">
        <v>-1.1099175550384</v>
      </c>
      <c r="AE4728">
        <v>-8.8933999999999997</v>
      </c>
      <c r="AF4728">
        <v>-0.72619191513918502</v>
      </c>
      <c r="AG4728">
        <v>-1.1099175550384</v>
      </c>
      <c r="AH4728">
        <v>8.7975574962572995</v>
      </c>
      <c r="AI4728">
        <v>97.166442441274896</v>
      </c>
      <c r="AJ4728">
        <v>94.718766137916703</v>
      </c>
      <c r="AK4728">
        <v>8.8969820487932196</v>
      </c>
      <c r="AL4728">
        <v>90.511338408594895</v>
      </c>
      <c r="AM4728">
        <v>94.057969443536706</v>
      </c>
      <c r="AN4728">
        <v>0.99999996044712103</v>
      </c>
    </row>
    <row r="4729" spans="1:40" x14ac:dyDescent="0.3">
      <c r="A4729" t="str">
        <f>"20200111160557547"</f>
        <v>20200111160557547</v>
      </c>
      <c r="B4729" t="str">
        <f>"1578729957536889"</f>
        <v>1578729957536889</v>
      </c>
      <c r="C4729" t="s">
        <v>40</v>
      </c>
      <c r="D4729">
        <v>5.1408680000000002</v>
      </c>
      <c r="E4729">
        <v>0.49567359999999999</v>
      </c>
      <c r="F4729" t="s">
        <v>67</v>
      </c>
      <c r="G4729">
        <v>-419.80520000000001</v>
      </c>
      <c r="H4729" s="1">
        <v>-7.5962490000000001E-7</v>
      </c>
      <c r="I4729">
        <v>38.48263</v>
      </c>
      <c r="J4729">
        <v>-420.93849999999998</v>
      </c>
      <c r="K4729">
        <v>1.109823</v>
      </c>
      <c r="L4729">
        <v>47.467619999999997</v>
      </c>
      <c r="M4729">
        <v>4.1062519999999998E-2</v>
      </c>
      <c r="N4729">
        <v>0</v>
      </c>
      <c r="O4729">
        <v>-0.99906289999999998</v>
      </c>
      <c r="P4729">
        <v>0.1126448</v>
      </c>
      <c r="Q4729">
        <v>-2.417745E-2</v>
      </c>
      <c r="R4729">
        <v>-0.99334129999999998</v>
      </c>
      <c r="S4729">
        <v>0.3683167</v>
      </c>
      <c r="T4729">
        <v>-0.35817579999999999</v>
      </c>
      <c r="U4729">
        <v>-2.970062</v>
      </c>
      <c r="V4729">
        <v>-7.1776839999999995E-2</v>
      </c>
      <c r="W4729">
        <v>-1.038706E-2</v>
      </c>
      <c r="X4729">
        <v>0.99736659999999999</v>
      </c>
      <c r="Y4729">
        <v>-8.1335359999999995E-2</v>
      </c>
      <c r="Z4729">
        <v>0.1189307</v>
      </c>
      <c r="AA4729">
        <v>0.98956560000000005</v>
      </c>
      <c r="AB4729">
        <v>22</v>
      </c>
      <c r="AC4729">
        <v>1.13329999999996</v>
      </c>
      <c r="AD4729">
        <v>-1.1098237596248901</v>
      </c>
      <c r="AE4729">
        <v>-8.9849899999999998</v>
      </c>
      <c r="AF4729">
        <v>-0.75206839118692503</v>
      </c>
      <c r="AG4729">
        <v>-1.1098237596248901</v>
      </c>
      <c r="AH4729">
        <v>8.8904326764251902</v>
      </c>
      <c r="AI4729">
        <v>97.090557179299395</v>
      </c>
      <c r="AJ4729">
        <v>94.835310143419903</v>
      </c>
      <c r="AK4729">
        <v>8.9909459355787007</v>
      </c>
      <c r="AL4729">
        <v>90.595145419368194</v>
      </c>
      <c r="AM4729">
        <v>94.116271993149198</v>
      </c>
      <c r="AN4729">
        <v>0.99999997028569398</v>
      </c>
    </row>
    <row r="4730" spans="1:40" x14ac:dyDescent="0.3">
      <c r="A4730" t="str">
        <f>"20200111160557570"</f>
        <v>20200111160557570</v>
      </c>
      <c r="B4730" t="str">
        <f>"1578729957567145"</f>
        <v>1578729957567145</v>
      </c>
      <c r="C4730" t="s">
        <v>40</v>
      </c>
      <c r="D4730">
        <v>5.1740719999999998</v>
      </c>
      <c r="E4730">
        <v>0.49533949999999999</v>
      </c>
      <c r="F4730" t="s">
        <v>67</v>
      </c>
      <c r="G4730">
        <v>-419.79640000000001</v>
      </c>
      <c r="H4730" s="1">
        <v>-8.6329129999999995E-7</v>
      </c>
      <c r="I4730">
        <v>38.323230000000002</v>
      </c>
      <c r="J4730">
        <v>-420.93060000000003</v>
      </c>
      <c r="K4730">
        <v>1.1097570000000001</v>
      </c>
      <c r="L4730">
        <v>47.238799999999998</v>
      </c>
      <c r="M4730">
        <v>3.9766549999999998E-2</v>
      </c>
      <c r="N4730">
        <v>0</v>
      </c>
      <c r="O4730">
        <v>-0.99911519999999998</v>
      </c>
      <c r="P4730">
        <v>0.1131778</v>
      </c>
      <c r="Q4730">
        <v>-2.595629E-2</v>
      </c>
      <c r="R4730">
        <v>-0.9932358</v>
      </c>
      <c r="S4730">
        <v>0.37088009999999999</v>
      </c>
      <c r="T4730">
        <v>-0.36037039999999998</v>
      </c>
      <c r="U4730">
        <v>-2.9692690000000002</v>
      </c>
      <c r="V4730">
        <v>-7.3612410000000003E-2</v>
      </c>
      <c r="W4730">
        <v>-1.215313E-2</v>
      </c>
      <c r="X4730">
        <v>0.99721289999999996</v>
      </c>
      <c r="Y4730">
        <v>-8.3490499999999995E-2</v>
      </c>
      <c r="Z4730">
        <v>0.1196726</v>
      </c>
      <c r="AA4730">
        <v>0.98929659999999997</v>
      </c>
      <c r="AB4730">
        <v>22</v>
      </c>
      <c r="AC4730">
        <v>1.1342000000000201</v>
      </c>
      <c r="AD4730">
        <v>-1.1097578632913001</v>
      </c>
      <c r="AE4730">
        <v>-8.91556999999999</v>
      </c>
      <c r="AF4730">
        <v>-0.76703299098158895</v>
      </c>
      <c r="AG4730">
        <v>-1.1097578632913001</v>
      </c>
      <c r="AH4730">
        <v>8.8191577117082307</v>
      </c>
      <c r="AI4730">
        <v>97.145417956506805</v>
      </c>
      <c r="AJ4730">
        <v>94.970706065437099</v>
      </c>
      <c r="AK4730">
        <v>8.9217400134936593</v>
      </c>
      <c r="AL4730">
        <v>90.696340180405997</v>
      </c>
      <c r="AM4730">
        <v>94.221811091529005</v>
      </c>
      <c r="AN4730">
        <v>1.0000000267006</v>
      </c>
    </row>
    <row r="4731" spans="1:40" x14ac:dyDescent="0.3">
      <c r="A4731" t="str">
        <f>"20200111160557593"</f>
        <v>20200111160557593</v>
      </c>
      <c r="B4731" t="str">
        <f>"1578729957586664"</f>
        <v>1578729957586664</v>
      </c>
      <c r="C4731" t="s">
        <v>40</v>
      </c>
      <c r="D4731">
        <v>5.404922</v>
      </c>
      <c r="E4731">
        <v>0.49493720000000002</v>
      </c>
      <c r="F4731" t="s">
        <v>67</v>
      </c>
      <c r="G4731">
        <v>-419.78649999999999</v>
      </c>
      <c r="H4731" s="1">
        <v>-9.4470590000000005E-7</v>
      </c>
      <c r="I4731">
        <v>38.199269999999999</v>
      </c>
      <c r="J4731">
        <v>-420.92290000000003</v>
      </c>
      <c r="K4731">
        <v>1.1097049999999999</v>
      </c>
      <c r="L4731">
        <v>47.00723</v>
      </c>
      <c r="M4731">
        <v>3.8363290000000001E-2</v>
      </c>
      <c r="N4731">
        <v>0</v>
      </c>
      <c r="O4731">
        <v>-0.99917029999999996</v>
      </c>
      <c r="P4731">
        <v>0.1137557</v>
      </c>
      <c r="Q4731">
        <v>-2.6347740000000001E-2</v>
      </c>
      <c r="R4731">
        <v>-0.99315949999999997</v>
      </c>
      <c r="S4731">
        <v>0.37567139999999999</v>
      </c>
      <c r="T4731">
        <v>-0.3643866</v>
      </c>
      <c r="U4731">
        <v>-2.9681090000000001</v>
      </c>
      <c r="V4731">
        <v>-7.5595270000000006E-2</v>
      </c>
      <c r="W4731">
        <v>-1.253482E-2</v>
      </c>
      <c r="X4731">
        <v>0.99705980000000005</v>
      </c>
      <c r="Y4731">
        <v>-8.6488839999999997E-2</v>
      </c>
      <c r="Z4731">
        <v>0.1210155</v>
      </c>
      <c r="AA4731">
        <v>0.98887559999999997</v>
      </c>
      <c r="AB4731">
        <v>22</v>
      </c>
      <c r="AC4731">
        <v>1.1364000000000301</v>
      </c>
      <c r="AD4731">
        <v>-1.1097059447058999</v>
      </c>
      <c r="AE4731">
        <v>-8.8079599999999996</v>
      </c>
      <c r="AF4731">
        <v>-0.78536718259452598</v>
      </c>
      <c r="AG4731">
        <v>-1.1097059447058999</v>
      </c>
      <c r="AH4731">
        <v>8.7090970435688693</v>
      </c>
      <c r="AI4731">
        <v>97.232416482171999</v>
      </c>
      <c r="AJ4731">
        <v>95.152869545930002</v>
      </c>
      <c r="AK4731">
        <v>8.8145686343412297</v>
      </c>
      <c r="AL4731">
        <v>90.718211087482302</v>
      </c>
      <c r="AM4731">
        <v>94.335767126188799</v>
      </c>
      <c r="AN4731">
        <v>1.0000000056674201</v>
      </c>
    </row>
    <row r="4732" spans="1:40" x14ac:dyDescent="0.3">
      <c r="A4732" t="str">
        <f>"20200111160557614"</f>
        <v>20200111160557614</v>
      </c>
      <c r="B4732" t="str">
        <f>"1578729957607161"</f>
        <v>1578729957607161</v>
      </c>
      <c r="C4732" t="s">
        <v>40</v>
      </c>
      <c r="D4732">
        <v>5.1471929999999997</v>
      </c>
      <c r="E4732">
        <v>0.49474299999999999</v>
      </c>
      <c r="F4732" t="s">
        <v>67</v>
      </c>
      <c r="G4732">
        <v>-419.76139999999998</v>
      </c>
      <c r="H4732" s="1">
        <v>-1.099391E-6</v>
      </c>
      <c r="I4732">
        <v>37.966450000000002</v>
      </c>
      <c r="J4732">
        <v>-420.91629999999998</v>
      </c>
      <c r="K4732">
        <v>1.1096790000000001</v>
      </c>
      <c r="L4732">
        <v>46.79251</v>
      </c>
      <c r="M4732">
        <v>3.7002159999999999E-2</v>
      </c>
      <c r="N4732">
        <v>0</v>
      </c>
      <c r="O4732">
        <v>-0.99922149999999998</v>
      </c>
      <c r="P4732">
        <v>0.11319849999999999</v>
      </c>
      <c r="Q4732">
        <v>-2.5872929999999999E-2</v>
      </c>
      <c r="R4732">
        <v>-0.9932356</v>
      </c>
      <c r="S4732">
        <v>0.38125609999999999</v>
      </c>
      <c r="T4732">
        <v>-0.36422529999999997</v>
      </c>
      <c r="U4732">
        <v>-2.967346</v>
      </c>
      <c r="V4732">
        <v>-7.6393009999999997E-2</v>
      </c>
      <c r="W4732">
        <v>-1.2054799999999999E-2</v>
      </c>
      <c r="X4732">
        <v>0.99700489999999997</v>
      </c>
      <c r="Y4732">
        <v>-8.9709140000000007E-2</v>
      </c>
      <c r="Z4732">
        <v>0.120971</v>
      </c>
      <c r="AA4732">
        <v>0.98859410000000003</v>
      </c>
      <c r="AB4732">
        <v>22</v>
      </c>
      <c r="AC4732">
        <v>1.15489999999999</v>
      </c>
      <c r="AD4732">
        <v>-1.1096800993909901</v>
      </c>
      <c r="AE4732">
        <v>-8.8260599999999894</v>
      </c>
      <c r="AF4732">
        <v>-0.81483151422769196</v>
      </c>
      <c r="AG4732">
        <v>-1.1096800993909901</v>
      </c>
      <c r="AH4732">
        <v>8.7271211910148594</v>
      </c>
      <c r="AI4732">
        <v>97.215397836874203</v>
      </c>
      <c r="AJ4732">
        <v>95.334112764695206</v>
      </c>
      <c r="AK4732">
        <v>8.8350429881367099</v>
      </c>
      <c r="AL4732">
        <v>90.690705898882698</v>
      </c>
      <c r="AM4732">
        <v>94.381584594614395</v>
      </c>
      <c r="AN4732">
        <v>0.99999999040195398</v>
      </c>
    </row>
    <row r="4733" spans="1:40" x14ac:dyDescent="0.3">
      <c r="A4733" t="str">
        <f>"20200111160557636"</f>
        <v>20200111160557636</v>
      </c>
      <c r="B4733" t="str">
        <f>"1578729957626681"</f>
        <v>1578729957626681</v>
      </c>
      <c r="C4733" t="s">
        <v>40</v>
      </c>
      <c r="D4733">
        <v>5.1862240000000002</v>
      </c>
      <c r="E4733">
        <v>0.49452079999999998</v>
      </c>
      <c r="F4733" t="s">
        <v>67</v>
      </c>
      <c r="G4733">
        <v>-419.74579999999997</v>
      </c>
      <c r="H4733" s="1">
        <v>-1.2868689999999999E-6</v>
      </c>
      <c r="I4733">
        <v>37.678019999999997</v>
      </c>
      <c r="J4733">
        <v>-420.90969999999999</v>
      </c>
      <c r="K4733">
        <v>1.109656</v>
      </c>
      <c r="L4733">
        <v>46.571109999999997</v>
      </c>
      <c r="M4733">
        <v>3.5563119999999997E-2</v>
      </c>
      <c r="N4733">
        <v>0</v>
      </c>
      <c r="O4733">
        <v>-0.99927379999999999</v>
      </c>
      <c r="P4733">
        <v>0.112082399999999</v>
      </c>
      <c r="Q4733">
        <v>-2.5158150000000001E-2</v>
      </c>
      <c r="R4733">
        <v>-0.9933805</v>
      </c>
      <c r="S4733">
        <v>0.38110349999999998</v>
      </c>
      <c r="T4733">
        <v>-0.3612976</v>
      </c>
      <c r="U4733">
        <v>-2.9675600000000002</v>
      </c>
      <c r="V4733">
        <v>-7.6706460000000004E-2</v>
      </c>
      <c r="W4733">
        <v>-1.1337689999999999E-2</v>
      </c>
      <c r="X4733">
        <v>0.99698929999999997</v>
      </c>
      <c r="Y4733">
        <v>-9.1099219999999995E-2</v>
      </c>
      <c r="Z4733">
        <v>0.1200064</v>
      </c>
      <c r="AA4733">
        <v>0.98858449999999998</v>
      </c>
      <c r="AB4733">
        <v>22</v>
      </c>
      <c r="AC4733">
        <v>1.1639000000000099</v>
      </c>
      <c r="AD4733">
        <v>-1.109657286869</v>
      </c>
      <c r="AE4733">
        <v>-8.8930899999999902</v>
      </c>
      <c r="AF4733">
        <v>-0.83410023404645595</v>
      </c>
      <c r="AG4733">
        <v>-1.109657286869</v>
      </c>
      <c r="AH4733">
        <v>8.79424379606915</v>
      </c>
      <c r="AI4733">
        <v>97.159776840236702</v>
      </c>
      <c r="AJ4733">
        <v>95.418076697799805</v>
      </c>
      <c r="AK4733">
        <v>8.9031335180058093</v>
      </c>
      <c r="AL4733">
        <v>90.649615675458307</v>
      </c>
      <c r="AM4733">
        <v>94.399560908953305</v>
      </c>
      <c r="AN4733">
        <v>1.00000004426737</v>
      </c>
    </row>
    <row r="4734" spans="1:40" x14ac:dyDescent="0.3">
      <c r="A4734" t="str">
        <f>"20200111160557659"</f>
        <v>20200111160557659</v>
      </c>
      <c r="B4734" t="str">
        <f>"1578729957656937"</f>
        <v>1578729957656937</v>
      </c>
      <c r="C4734" t="s">
        <v>40</v>
      </c>
      <c r="D4734">
        <v>5.1927130000000004</v>
      </c>
      <c r="E4734">
        <v>0.49432969999999998</v>
      </c>
      <c r="F4734" t="s">
        <v>67</v>
      </c>
      <c r="G4734">
        <v>-419.73309999999998</v>
      </c>
      <c r="H4734" s="1">
        <v>-1.4870079999999999E-6</v>
      </c>
      <c r="I4734">
        <v>37.368450000000003</v>
      </c>
      <c r="J4734">
        <v>-420.9033</v>
      </c>
      <c r="K4734">
        <v>1.10965</v>
      </c>
      <c r="L4734">
        <v>46.34451</v>
      </c>
      <c r="M4734">
        <v>3.4077070000000001E-2</v>
      </c>
      <c r="N4734">
        <v>0</v>
      </c>
      <c r="O4734">
        <v>-0.99932560000000004</v>
      </c>
      <c r="P4734">
        <v>0.1104146</v>
      </c>
      <c r="Q4734">
        <v>-2.4767500000000001E-2</v>
      </c>
      <c r="R4734">
        <v>-0.99357720000000005</v>
      </c>
      <c r="S4734">
        <v>0.37948609999999999</v>
      </c>
      <c r="T4734">
        <v>-0.35789510000000002</v>
      </c>
      <c r="U4734">
        <v>-2.9681090000000001</v>
      </c>
      <c r="V4734">
        <v>-7.6514730000000003E-2</v>
      </c>
      <c r="W4734">
        <v>-1.094769E-2</v>
      </c>
      <c r="X4734">
        <v>0.99700829999999996</v>
      </c>
      <c r="Y4734">
        <v>-9.2044059999999997E-2</v>
      </c>
      <c r="Z4734">
        <v>0.118879</v>
      </c>
      <c r="AA4734">
        <v>0.98863319999999999</v>
      </c>
      <c r="AB4734">
        <v>22</v>
      </c>
      <c r="AC4734">
        <v>1.1702000000000199</v>
      </c>
      <c r="AD4734">
        <v>-1.1096514870080001</v>
      </c>
      <c r="AE4734">
        <v>-8.9760599999999897</v>
      </c>
      <c r="AF4734">
        <v>-0.85082809405405202</v>
      </c>
      <c r="AG4734">
        <v>-1.1096514870080001</v>
      </c>
      <c r="AH4734">
        <v>8.8773238579431002</v>
      </c>
      <c r="AI4734">
        <v>97.092758644561798</v>
      </c>
      <c r="AJ4734">
        <v>95.474668983326396</v>
      </c>
      <c r="AK4734">
        <v>8.9867743794454107</v>
      </c>
      <c r="AL4734">
        <v>90.6272689921948</v>
      </c>
      <c r="AM4734">
        <v>94.388523787596</v>
      </c>
      <c r="AN4734">
        <v>0.99999995304609801</v>
      </c>
    </row>
    <row r="4735" spans="1:40" x14ac:dyDescent="0.3">
      <c r="A4735" t="str">
        <f>"20200111160557681"</f>
        <v>20200111160557681</v>
      </c>
      <c r="B4735" t="str">
        <f>"1578729957676456"</f>
        <v>1578729957676456</v>
      </c>
      <c r="C4735" t="s">
        <v>40</v>
      </c>
      <c r="D4735">
        <v>5.2415159999999998</v>
      </c>
      <c r="E4735">
        <v>0.4941316</v>
      </c>
      <c r="F4735" t="s">
        <v>67</v>
      </c>
      <c r="G4735">
        <v>-419.72829999999999</v>
      </c>
      <c r="H4735" s="1">
        <v>-1.681328E-6</v>
      </c>
      <c r="I4735">
        <v>37.064749999999997</v>
      </c>
      <c r="J4735">
        <v>-420.8974</v>
      </c>
      <c r="K4735">
        <v>1.109659</v>
      </c>
      <c r="L4735">
        <v>46.121580000000002</v>
      </c>
      <c r="M4735">
        <v>3.2617269999999997E-2</v>
      </c>
      <c r="N4735">
        <v>0</v>
      </c>
      <c r="O4735">
        <v>-0.99937419999999999</v>
      </c>
      <c r="P4735">
        <v>0.1089328</v>
      </c>
      <c r="Q4735">
        <v>-2.4725520000000001E-2</v>
      </c>
      <c r="R4735">
        <v>-0.9937416</v>
      </c>
      <c r="S4735">
        <v>0.37591550000000001</v>
      </c>
      <c r="T4735">
        <v>-0.35499960000000003</v>
      </c>
      <c r="U4735">
        <v>-2.9687809999999999</v>
      </c>
      <c r="V4735">
        <v>-7.6483860000000001E-2</v>
      </c>
      <c r="W4735">
        <v>-1.0908340000000001E-2</v>
      </c>
      <c r="X4735">
        <v>0.99701110000000004</v>
      </c>
      <c r="Y4735">
        <v>-9.2314629999999995E-2</v>
      </c>
      <c r="Z4735">
        <v>0.11792039999999999</v>
      </c>
      <c r="AA4735">
        <v>0.98872280000000001</v>
      </c>
      <c r="AB4735">
        <v>22</v>
      </c>
      <c r="AC4735">
        <v>1.16910000000001</v>
      </c>
      <c r="AD4735">
        <v>-1.1096606813280001</v>
      </c>
      <c r="AE4735">
        <v>-9.0568299999999997</v>
      </c>
      <c r="AF4735">
        <v>-0.86033768282554701</v>
      </c>
      <c r="AG4735">
        <v>-1.1096606813280001</v>
      </c>
      <c r="AH4735">
        <v>8.9578781088233903</v>
      </c>
      <c r="AI4735">
        <v>97.029543112593103</v>
      </c>
      <c r="AJ4735">
        <v>95.486007543793903</v>
      </c>
      <c r="AK4735">
        <v>9.0672547095971794</v>
      </c>
      <c r="AL4735">
        <v>90.625014268481905</v>
      </c>
      <c r="AM4735">
        <v>94.386747870994895</v>
      </c>
      <c r="AN4735">
        <v>0.99999995312263101</v>
      </c>
    </row>
    <row r="4736" spans="1:40" x14ac:dyDescent="0.3">
      <c r="A4736" t="str">
        <f>"20200111160557704"</f>
        <v>20200111160557704</v>
      </c>
      <c r="B4736" t="str">
        <f>"1578729957696502"</f>
        <v>1578729957696502</v>
      </c>
      <c r="C4736" t="s">
        <v>40</v>
      </c>
      <c r="D4736">
        <v>5.2067420000000002</v>
      </c>
      <c r="E4736">
        <v>0.49401040000000002</v>
      </c>
      <c r="F4736" t="s">
        <v>67</v>
      </c>
      <c r="G4736">
        <v>-419.72770000000003</v>
      </c>
      <c r="H4736" s="1">
        <v>-1.841169E-6</v>
      </c>
      <c r="I4736">
        <v>36.813540000000003</v>
      </c>
      <c r="J4736">
        <v>-420.89190000000002</v>
      </c>
      <c r="K4736">
        <v>1.1096699999999999</v>
      </c>
      <c r="L4736">
        <v>45.89969</v>
      </c>
      <c r="M4736">
        <v>3.1174049999999998E-2</v>
      </c>
      <c r="N4736">
        <v>0</v>
      </c>
      <c r="O4736">
        <v>-0.99942059999999999</v>
      </c>
      <c r="P4736">
        <v>0.10741299999999999</v>
      </c>
      <c r="Q4736">
        <v>-2.4956019999999999E-2</v>
      </c>
      <c r="R4736">
        <v>-0.99390179999999995</v>
      </c>
      <c r="S4736">
        <v>0.37313839999999998</v>
      </c>
      <c r="T4736">
        <v>-0.35397109999999998</v>
      </c>
      <c r="U4736">
        <v>-2.9691770000000002</v>
      </c>
      <c r="V4736">
        <v>-7.6399529999999993E-2</v>
      </c>
      <c r="W4736">
        <v>-1.114327E-2</v>
      </c>
      <c r="X4736">
        <v>0.99701499999999998</v>
      </c>
      <c r="Y4736">
        <v>-9.2830750000000004E-2</v>
      </c>
      <c r="Z4736">
        <v>0.1175802</v>
      </c>
      <c r="AA4736">
        <v>0.98871500000000001</v>
      </c>
      <c r="AB4736">
        <v>22</v>
      </c>
      <c r="AC4736">
        <v>1.1641999999999899</v>
      </c>
      <c r="AD4736">
        <v>-1.1096718411689901</v>
      </c>
      <c r="AE4736">
        <v>-9.0861499999999893</v>
      </c>
      <c r="AF4736">
        <v>-0.86762375706822503</v>
      </c>
      <c r="AG4736">
        <v>-1.1096718411689901</v>
      </c>
      <c r="AH4736">
        <v>8.9861636043298301</v>
      </c>
      <c r="AI4736">
        <v>97.007369929438994</v>
      </c>
      <c r="AJ4736">
        <v>95.514874747862507</v>
      </c>
      <c r="AK4736">
        <v>9.0958935186541598</v>
      </c>
      <c r="AL4736">
        <v>90.638475564251706</v>
      </c>
      <c r="AM4736">
        <v>94.381912880794602</v>
      </c>
      <c r="AN4736">
        <v>0.99999998543775603</v>
      </c>
    </row>
    <row r="4737" spans="1:40" x14ac:dyDescent="0.3">
      <c r="A4737" t="str">
        <f>"20200111160557726"</f>
        <v>20200111160557726</v>
      </c>
      <c r="B4737" t="str">
        <f>"1578729957716999"</f>
        <v>1578729957716999</v>
      </c>
      <c r="C4737" t="s">
        <v>40</v>
      </c>
      <c r="D4737">
        <v>5.2785159999999998</v>
      </c>
      <c r="E4737">
        <v>0.49371140000000002</v>
      </c>
      <c r="F4737" t="s">
        <v>67</v>
      </c>
      <c r="G4737">
        <v>-419.73559999999998</v>
      </c>
      <c r="H4737" s="1">
        <v>-1.9670730000000001E-6</v>
      </c>
      <c r="I4737">
        <v>36.612130000000001</v>
      </c>
      <c r="J4737">
        <v>-420.88670000000002</v>
      </c>
      <c r="K4737">
        <v>1.1096900000000001</v>
      </c>
      <c r="L4737">
        <v>45.67953</v>
      </c>
      <c r="M4737">
        <v>2.9756419999999999E-2</v>
      </c>
      <c r="N4737">
        <v>0</v>
      </c>
      <c r="O4737">
        <v>-0.99946389999999996</v>
      </c>
      <c r="P4737">
        <v>0.10570359999999999</v>
      </c>
      <c r="Q4737">
        <v>-2.542838E-2</v>
      </c>
      <c r="R4737">
        <v>-0.99407299999999998</v>
      </c>
      <c r="S4737">
        <v>0.36968990000000002</v>
      </c>
      <c r="T4737">
        <v>-0.35479929999999998</v>
      </c>
      <c r="U4737">
        <v>-2.9695429999999998</v>
      </c>
      <c r="V4737">
        <v>-7.6100059999999997E-2</v>
      </c>
      <c r="W4737">
        <v>-1.162114E-2</v>
      </c>
      <c r="X4737">
        <v>0.99703249999999999</v>
      </c>
      <c r="Y4737">
        <v>-9.3093400000000007E-2</v>
      </c>
      <c r="Z4737">
        <v>0.1178517</v>
      </c>
      <c r="AA4737">
        <v>0.98865800000000004</v>
      </c>
      <c r="AB4737">
        <v>22</v>
      </c>
      <c r="AC4737">
        <v>1.15110000000004</v>
      </c>
      <c r="AD4737">
        <v>-1.1096919670730001</v>
      </c>
      <c r="AE4737">
        <v>-9.0673999999999992</v>
      </c>
      <c r="AF4737">
        <v>-0.86795799549628805</v>
      </c>
      <c r="AG4737">
        <v>-1.1096919670730001</v>
      </c>
      <c r="AH4737">
        <v>8.9654889771686097</v>
      </c>
      <c r="AI4737">
        <v>97.023320874397399</v>
      </c>
      <c r="AJ4737">
        <v>95.529629698654205</v>
      </c>
      <c r="AK4737">
        <v>9.0755032887142999</v>
      </c>
      <c r="AL4737">
        <v>90.665857237809306</v>
      </c>
      <c r="AM4737">
        <v>94.364726900085401</v>
      </c>
      <c r="AN4737">
        <v>1.0000000380415699</v>
      </c>
    </row>
    <row r="4738" spans="1:40" x14ac:dyDescent="0.3">
      <c r="A4738" t="str">
        <f>"20200111160557749"</f>
        <v>20200111160557749</v>
      </c>
      <c r="B4738" t="str">
        <f>"1578729957736519"</f>
        <v>1578729957736519</v>
      </c>
      <c r="C4738" t="s">
        <v>40</v>
      </c>
      <c r="D4738">
        <v>5.3096050000000004</v>
      </c>
      <c r="E4738">
        <v>0.49362440000000002</v>
      </c>
      <c r="F4738" t="s">
        <v>67</v>
      </c>
      <c r="G4738">
        <v>-419.7439</v>
      </c>
      <c r="H4738" s="1">
        <v>-2.0723040000000002E-6</v>
      </c>
      <c r="I4738">
        <v>36.44312</v>
      </c>
      <c r="J4738">
        <v>-420.8818</v>
      </c>
      <c r="K4738">
        <v>1.1097079999999999</v>
      </c>
      <c r="L4738">
        <v>45.457700000000003</v>
      </c>
      <c r="M4738">
        <v>2.833975E-2</v>
      </c>
      <c r="N4738">
        <v>0</v>
      </c>
      <c r="O4738">
        <v>-0.99950499999999998</v>
      </c>
      <c r="P4738">
        <v>0.1043376</v>
      </c>
      <c r="Q4738">
        <v>-2.52462E-2</v>
      </c>
      <c r="R4738">
        <v>-0.99422189999999999</v>
      </c>
      <c r="S4738">
        <v>0.36743160000000002</v>
      </c>
      <c r="T4738">
        <v>-0.35678850000000001</v>
      </c>
      <c r="U4738">
        <v>-2.9696959999999999</v>
      </c>
      <c r="V4738">
        <v>-7.614253E-2</v>
      </c>
      <c r="W4738">
        <v>-1.1444289999999999E-2</v>
      </c>
      <c r="X4738">
        <v>0.99703129999999995</v>
      </c>
      <c r="Y4738">
        <v>-9.3748310000000001E-2</v>
      </c>
      <c r="Z4738">
        <v>0.11850629999999999</v>
      </c>
      <c r="AA4738">
        <v>0.9885178</v>
      </c>
      <c r="AB4738">
        <v>22</v>
      </c>
      <c r="AC4738">
        <v>1.1378999999999999</v>
      </c>
      <c r="AD4738">
        <v>-1.1097100723040001</v>
      </c>
      <c r="AE4738">
        <v>-9.0145800000000005</v>
      </c>
      <c r="AF4738">
        <v>-0.86898598876056199</v>
      </c>
      <c r="AG4738">
        <v>-1.1097100723040001</v>
      </c>
      <c r="AH4738">
        <v>8.91030022283128</v>
      </c>
      <c r="AI4738">
        <v>97.0660162796772</v>
      </c>
      <c r="AJ4738">
        <v>95.570213050096001</v>
      </c>
      <c r="AK4738">
        <v>9.0210888009276502</v>
      </c>
      <c r="AL4738">
        <v>90.655723807712107</v>
      </c>
      <c r="AM4738">
        <v>94.367158586389806</v>
      </c>
      <c r="AN4738">
        <v>1.0000000349140401</v>
      </c>
    </row>
    <row r="4739" spans="1:40" x14ac:dyDescent="0.3">
      <c r="A4739" t="str">
        <f>"20200111160557772"</f>
        <v>20200111160557772</v>
      </c>
      <c r="B4739" t="str">
        <f>"1578729957766775"</f>
        <v>1578729957766775</v>
      </c>
      <c r="C4739" t="s">
        <v>40</v>
      </c>
      <c r="D4739">
        <v>5.230194</v>
      </c>
      <c r="E4739">
        <v>0.49332880000000001</v>
      </c>
      <c r="F4739" t="s">
        <v>67</v>
      </c>
      <c r="G4739">
        <v>-419.74560000000002</v>
      </c>
      <c r="H4739" s="1">
        <v>-2.2446320000000001E-6</v>
      </c>
      <c r="I4739">
        <v>36.171300000000002</v>
      </c>
      <c r="J4739">
        <v>-420.87720000000002</v>
      </c>
      <c r="K4739">
        <v>1.1097250000000001</v>
      </c>
      <c r="L4739">
        <v>45.231839999999998</v>
      </c>
      <c r="M4739">
        <v>2.690888E-2</v>
      </c>
      <c r="N4739">
        <v>0</v>
      </c>
      <c r="O4739">
        <v>-0.99954449999999995</v>
      </c>
      <c r="P4739">
        <v>0.1031688</v>
      </c>
      <c r="Q4739">
        <v>-2.4805480000000001E-2</v>
      </c>
      <c r="R4739">
        <v>-0.99435459999999998</v>
      </c>
      <c r="S4739">
        <v>0.36343379999999997</v>
      </c>
      <c r="T4739">
        <v>-0.35494330000000002</v>
      </c>
      <c r="U4739">
        <v>-2.9702760000000001</v>
      </c>
      <c r="V4739">
        <v>-7.6395829999999998E-2</v>
      </c>
      <c r="W4739">
        <v>-1.1008489999999999E-2</v>
      </c>
      <c r="X4739">
        <v>0.99701680000000004</v>
      </c>
      <c r="Y4739">
        <v>-9.3848130000000002E-2</v>
      </c>
      <c r="Z4739">
        <v>0.1178954</v>
      </c>
      <c r="AA4739">
        <v>0.98858140000000005</v>
      </c>
      <c r="AB4739">
        <v>22</v>
      </c>
      <c r="AC4739">
        <v>1.1315999999999899</v>
      </c>
      <c r="AD4739">
        <v>-1.1097272446319999</v>
      </c>
      <c r="AE4739">
        <v>-9.0605399999999996</v>
      </c>
      <c r="AF4739">
        <v>-0.87444225113997498</v>
      </c>
      <c r="AG4739">
        <v>-1.1097272446319999</v>
      </c>
      <c r="AH4739">
        <v>8.9554330062809093</v>
      </c>
      <c r="AI4739">
        <v>97.030791371975198</v>
      </c>
      <c r="AJ4739">
        <v>95.576896875379205</v>
      </c>
      <c r="AK4739">
        <v>9.0661967846524796</v>
      </c>
      <c r="AL4739">
        <v>90.630752753178996</v>
      </c>
      <c r="AM4739">
        <v>94.381693613044604</v>
      </c>
      <c r="AN4739">
        <v>1.0000000045878501</v>
      </c>
    </row>
    <row r="4740" spans="1:40" x14ac:dyDescent="0.3">
      <c r="A4740" t="str">
        <f>"20200111160557793"</f>
        <v>20200111160557793</v>
      </c>
      <c r="B4740" t="str">
        <f>"1578729957787092"</f>
        <v>1578729957787092</v>
      </c>
      <c r="C4740" t="s">
        <v>40</v>
      </c>
      <c r="D4740">
        <v>5.3717579999999998</v>
      </c>
      <c r="E4740">
        <v>0.4826452</v>
      </c>
      <c r="F4740" t="s">
        <v>67</v>
      </c>
      <c r="G4740">
        <v>-419.73680000000002</v>
      </c>
      <c r="H4740" s="1">
        <v>-2.4377E-6</v>
      </c>
      <c r="I4740">
        <v>35.871250000000003</v>
      </c>
      <c r="J4740">
        <v>-420.87290000000002</v>
      </c>
      <c r="K4740">
        <v>1.1097410000000001</v>
      </c>
      <c r="L4740">
        <v>45.012300000000003</v>
      </c>
      <c r="M4740">
        <v>2.5527129999999999E-2</v>
      </c>
      <c r="N4740">
        <v>0</v>
      </c>
      <c r="O4740">
        <v>-0.99958060000000004</v>
      </c>
      <c r="P4740">
        <v>0.1016763</v>
      </c>
      <c r="Q4740">
        <v>-2.4877699999999999E-2</v>
      </c>
      <c r="R4740">
        <v>-0.99450660000000002</v>
      </c>
      <c r="S4740">
        <v>0.3619385</v>
      </c>
      <c r="T4740">
        <v>-0.35218630000000001</v>
      </c>
      <c r="U4740">
        <v>-2.9707029999999999</v>
      </c>
      <c r="V4740">
        <v>-7.6277849999999994E-2</v>
      </c>
      <c r="W4740">
        <v>-1.10855E-2</v>
      </c>
      <c r="X4740">
        <v>0.99702500000000005</v>
      </c>
      <c r="Y4740">
        <v>-9.4729859999999999E-2</v>
      </c>
      <c r="Z4740">
        <v>0.11698070000000001</v>
      </c>
      <c r="AA4740">
        <v>0.98860599999999998</v>
      </c>
      <c r="AB4740">
        <v>22</v>
      </c>
      <c r="AC4740">
        <v>1.1360999999999899</v>
      </c>
      <c r="AD4740">
        <v>-1.1097434376999999</v>
      </c>
      <c r="AE4740">
        <v>-9.1410499999999999</v>
      </c>
      <c r="AF4740">
        <v>-0.88945333478144994</v>
      </c>
      <c r="AG4740">
        <v>-1.1097434376999999</v>
      </c>
      <c r="AH4740">
        <v>9.0359247008925294</v>
      </c>
      <c r="AI4740">
        <v>96.968350283948695</v>
      </c>
      <c r="AJ4740">
        <v>95.621812461425293</v>
      </c>
      <c r="AK4740">
        <v>9.1471631084436194</v>
      </c>
      <c r="AL4740">
        <v>90.635165357642904</v>
      </c>
      <c r="AM4740">
        <v>94.374917303199197</v>
      </c>
      <c r="AN4740">
        <v>1.0000000246679299</v>
      </c>
    </row>
    <row r="4741" spans="1:40" x14ac:dyDescent="0.3">
      <c r="A4741" t="str">
        <f>"20200111160557815"</f>
        <v>20200111160557815</v>
      </c>
      <c r="B4741" t="str">
        <f>"1578729957806610"</f>
        <v>1578729957806610</v>
      </c>
      <c r="C4741" t="s">
        <v>40</v>
      </c>
      <c r="D4741">
        <v>5.1954830000000003</v>
      </c>
      <c r="E4741">
        <v>0.48341770000000001</v>
      </c>
      <c r="F4741" t="s">
        <v>67</v>
      </c>
      <c r="G4741">
        <v>-417.78899999999999</v>
      </c>
      <c r="H4741" s="1">
        <v>-7.4534979999999901E-6</v>
      </c>
      <c r="I4741">
        <v>24.329270000000001</v>
      </c>
      <c r="J4741">
        <v>-420.86900000000003</v>
      </c>
      <c r="K4741">
        <v>1.10975</v>
      </c>
      <c r="L4741">
        <v>44.795900000000003</v>
      </c>
      <c r="M4741">
        <v>2.4171229999999998E-2</v>
      </c>
      <c r="N4741">
        <v>0</v>
      </c>
      <c r="O4741">
        <v>-0.99961440000000001</v>
      </c>
      <c r="P4741">
        <v>0.1003391</v>
      </c>
      <c r="Q4741">
        <v>-2.4410569999999999E-2</v>
      </c>
      <c r="R4741">
        <v>-0.99465380000000003</v>
      </c>
      <c r="S4741">
        <v>0.4424438</v>
      </c>
      <c r="T4741">
        <v>-0.15921459999999901</v>
      </c>
      <c r="U4741">
        <v>-2.9673769999999999</v>
      </c>
      <c r="V4741">
        <v>-7.6288220000000004E-2</v>
      </c>
      <c r="W4741">
        <v>-1.062249E-2</v>
      </c>
      <c r="X4741">
        <v>0.99702919999999995</v>
      </c>
      <c r="Y4741">
        <v>-0.12331250000000001</v>
      </c>
      <c r="Z4741">
        <v>5.3057670000000001E-2</v>
      </c>
      <c r="AA4741">
        <v>0.99094850000000001</v>
      </c>
      <c r="AB4741">
        <v>22</v>
      </c>
      <c r="AC4741">
        <v>3.08000000000004</v>
      </c>
      <c r="AD4741">
        <v>-1.1097574534979999</v>
      </c>
      <c r="AE4741">
        <v>-20.466629999999999</v>
      </c>
      <c r="AF4741">
        <v>-2.5769414193025599</v>
      </c>
      <c r="AG4741">
        <v>-1.1097574534979999</v>
      </c>
      <c r="AH4741">
        <v>20.476234392855599</v>
      </c>
      <c r="AI4741">
        <v>93.078011547033697</v>
      </c>
      <c r="AJ4741">
        <v>97.172983647615396</v>
      </c>
      <c r="AK4741">
        <v>20.667567916793601</v>
      </c>
      <c r="AL4741">
        <v>90.608635304968004</v>
      </c>
      <c r="AM4741">
        <v>94.375491404803597</v>
      </c>
      <c r="AN4741">
        <v>0.99999997772860405</v>
      </c>
    </row>
    <row r="4742" spans="1:40" x14ac:dyDescent="0.3">
      <c r="A4742" t="str">
        <f>"20200111160557837"</f>
        <v>20200111160557837</v>
      </c>
      <c r="B4742" t="str">
        <f>"1578729957827107"</f>
        <v>1578729957827107</v>
      </c>
      <c r="C4742" t="s">
        <v>40</v>
      </c>
      <c r="D4742">
        <v>5.246747</v>
      </c>
      <c r="E4742">
        <v>0.48365039999999998</v>
      </c>
      <c r="F4742" t="s">
        <v>67</v>
      </c>
      <c r="G4742">
        <v>-419.08519999999999</v>
      </c>
      <c r="H4742" s="1">
        <v>-4.4140439999999999E-6</v>
      </c>
      <c r="I4742">
        <v>32.567360000000001</v>
      </c>
      <c r="J4742">
        <v>-420.86529999999999</v>
      </c>
      <c r="K4742">
        <v>1.109761</v>
      </c>
      <c r="L4742">
        <v>44.576839999999997</v>
      </c>
      <c r="M4742">
        <v>2.280778E-2</v>
      </c>
      <c r="N4742">
        <v>0</v>
      </c>
      <c r="O4742">
        <v>-0.99964649999999999</v>
      </c>
      <c r="P4742">
        <v>9.9274730000000005E-2</v>
      </c>
      <c r="Q4742">
        <v>-2.4719479999999999E-2</v>
      </c>
      <c r="R4742">
        <v>-0.9947532</v>
      </c>
      <c r="S4742">
        <v>0.43261719999999998</v>
      </c>
      <c r="T4742">
        <v>-0.26915709999999998</v>
      </c>
      <c r="U4742">
        <v>-2.965881</v>
      </c>
      <c r="V4742">
        <v>-7.6581769999999993E-2</v>
      </c>
      <c r="W4742">
        <v>-1.093564E-2</v>
      </c>
      <c r="X4742">
        <v>0.99700330000000004</v>
      </c>
      <c r="Y4742">
        <v>-0.12114900000000001</v>
      </c>
      <c r="Z4742">
        <v>8.9542029999999995E-2</v>
      </c>
      <c r="AA4742">
        <v>0.98858740000000001</v>
      </c>
      <c r="AB4742">
        <v>22</v>
      </c>
      <c r="AC4742">
        <v>1.7801</v>
      </c>
      <c r="AD4742">
        <v>-1.1097654140440001</v>
      </c>
      <c r="AE4742">
        <v>-12.00948</v>
      </c>
      <c r="AF4742">
        <v>-1.49322497398089</v>
      </c>
      <c r="AG4742">
        <v>-1.1097654140440001</v>
      </c>
      <c r="AH4742">
        <v>11.9471342898104</v>
      </c>
      <c r="AI4742">
        <v>95.266216905586901</v>
      </c>
      <c r="AJ4742">
        <v>97.124228660992898</v>
      </c>
      <c r="AK4742">
        <v>12.0911255818428</v>
      </c>
      <c r="AL4742">
        <v>90.626578527339305</v>
      </c>
      <c r="AM4742">
        <v>94.392375786532796</v>
      </c>
      <c r="AN4742">
        <v>0.99999996796471502</v>
      </c>
    </row>
    <row r="4743" spans="1:40" x14ac:dyDescent="0.3">
      <c r="A4743" t="str">
        <f>"20200111160557860"</f>
        <v>20200111160557860</v>
      </c>
      <c r="B4743" t="str">
        <f>"1578729957857362"</f>
        <v>1578729957857362</v>
      </c>
      <c r="C4743" t="s">
        <v>40</v>
      </c>
      <c r="D4743">
        <v>5.2459389999999999</v>
      </c>
      <c r="E4743">
        <v>0.48371120000000001</v>
      </c>
      <c r="F4743" t="s">
        <v>67</v>
      </c>
      <c r="G4743">
        <v>-419.28829999999999</v>
      </c>
      <c r="H4743" s="1">
        <v>-3.8240010000000004E-6</v>
      </c>
      <c r="I4743">
        <v>33.637</v>
      </c>
      <c r="J4743">
        <v>-420.86189999999999</v>
      </c>
      <c r="K4743">
        <v>1.1097709999999901</v>
      </c>
      <c r="L4743">
        <v>44.355220000000003</v>
      </c>
      <c r="M4743">
        <v>2.1443810000000001E-2</v>
      </c>
      <c r="N4743">
        <v>0</v>
      </c>
      <c r="O4743">
        <v>-0.99967669999999997</v>
      </c>
      <c r="P4743">
        <v>9.8083959999999998E-2</v>
      </c>
      <c r="Q4743">
        <v>-2.4629620000000001E-2</v>
      </c>
      <c r="R4743">
        <v>-0.99487340000000002</v>
      </c>
      <c r="S4743">
        <v>0.42752079999999998</v>
      </c>
      <c r="T4743">
        <v>-0.3008478</v>
      </c>
      <c r="U4743">
        <v>-2.9656980000000002</v>
      </c>
      <c r="V4743">
        <v>-7.6747750000000003E-2</v>
      </c>
      <c r="W4743">
        <v>-1.085097E-2</v>
      </c>
      <c r="X4743">
        <v>0.99699150000000003</v>
      </c>
      <c r="Y4743">
        <v>-0.12070599999999999</v>
      </c>
      <c r="Z4743">
        <v>0.1000096</v>
      </c>
      <c r="AA4743">
        <v>0.9876376</v>
      </c>
      <c r="AB4743">
        <v>22</v>
      </c>
      <c r="AC4743">
        <v>1.5735999999999899</v>
      </c>
      <c r="AD4743">
        <v>-1.1097748240009999</v>
      </c>
      <c r="AE4743">
        <v>-10.718220000000001</v>
      </c>
      <c r="AF4743">
        <v>-1.3294254764898901</v>
      </c>
      <c r="AG4743">
        <v>-1.1097748240009999</v>
      </c>
      <c r="AH4743">
        <v>10.6378627619952</v>
      </c>
      <c r="AI4743">
        <v>95.910086460669604</v>
      </c>
      <c r="AJ4743">
        <v>97.123386316883497</v>
      </c>
      <c r="AK4743">
        <v>10.7778985150432</v>
      </c>
      <c r="AL4743">
        <v>90.621726982100299</v>
      </c>
      <c r="AM4743">
        <v>94.401910149419905</v>
      </c>
      <c r="AN4743">
        <v>1.00000000587612</v>
      </c>
    </row>
    <row r="4744" spans="1:40" x14ac:dyDescent="0.3">
      <c r="A4744" t="str">
        <f>"20200111160557883"</f>
        <v>20200111160557883</v>
      </c>
      <c r="B4744" t="str">
        <f>"1578729957876881"</f>
        <v>1578729957876881</v>
      </c>
      <c r="C4744" t="s">
        <v>40</v>
      </c>
      <c r="D4744">
        <v>6.2524449999999998</v>
      </c>
      <c r="E4744">
        <v>0.48394549999999997</v>
      </c>
      <c r="F4744" t="s">
        <v>67</v>
      </c>
      <c r="G4744">
        <v>-419.39920000000001</v>
      </c>
      <c r="H4744" s="1">
        <v>-3.5587840000000001E-6</v>
      </c>
      <c r="I4744">
        <v>34.109229999999997</v>
      </c>
      <c r="J4744">
        <v>-420.85860000000002</v>
      </c>
      <c r="K4744">
        <v>1.1097939999999999</v>
      </c>
      <c r="L4744">
        <v>44.12567</v>
      </c>
      <c r="M4744">
        <v>2.0058679999999999E-2</v>
      </c>
      <c r="N4744">
        <v>0</v>
      </c>
      <c r="O4744">
        <v>-0.99970559999999997</v>
      </c>
      <c r="P4744">
        <v>9.7684679999999996E-2</v>
      </c>
      <c r="Q4744">
        <v>-2.479141E-2</v>
      </c>
      <c r="R4744">
        <v>-0.99490880000000004</v>
      </c>
      <c r="S4744">
        <v>0.42337039999999998</v>
      </c>
      <c r="T4744">
        <v>-0.32123030000000002</v>
      </c>
      <c r="U4744">
        <v>-2.9657589999999998</v>
      </c>
      <c r="V4744">
        <v>-7.7728329999999998E-2</v>
      </c>
      <c r="W4744">
        <v>-1.101923E-2</v>
      </c>
      <c r="X4744">
        <v>0.99691370000000001</v>
      </c>
      <c r="Y4744">
        <v>-0.1206256</v>
      </c>
      <c r="Z4744">
        <v>0.10672329999999999</v>
      </c>
      <c r="AA4744">
        <v>0.98694459999999995</v>
      </c>
      <c r="AB4744">
        <v>22</v>
      </c>
      <c r="AC4744">
        <v>1.45940000000001</v>
      </c>
      <c r="AD4744">
        <v>-1.1097975587840001</v>
      </c>
      <c r="AE4744">
        <v>-10.016439999999999</v>
      </c>
      <c r="AF4744">
        <v>-1.24322630559932</v>
      </c>
      <c r="AG4744">
        <v>-1.1097975587840001</v>
      </c>
      <c r="AH4744">
        <v>9.9244002896164094</v>
      </c>
      <c r="AI4744">
        <v>96.331522375637604</v>
      </c>
      <c r="AJ4744">
        <v>97.140228841537805</v>
      </c>
      <c r="AK4744">
        <v>10.063348517116699</v>
      </c>
      <c r="AL4744">
        <v>90.631368136823895</v>
      </c>
      <c r="AM4744">
        <v>94.458273077367593</v>
      </c>
      <c r="AN4744">
        <v>1.00000002098103</v>
      </c>
    </row>
    <row r="4745" spans="1:40" x14ac:dyDescent="0.3">
      <c r="A4745" t="str">
        <f>"20200111160557905"</f>
        <v>20200111160557905</v>
      </c>
      <c r="B4745" t="str">
        <f>"1578729957897157"</f>
        <v>1578729957897157</v>
      </c>
      <c r="C4745" t="s">
        <v>40</v>
      </c>
      <c r="D4745">
        <v>5.3189250000000001</v>
      </c>
      <c r="E4745">
        <v>0.48322880000000001</v>
      </c>
      <c r="F4745" t="s">
        <v>67</v>
      </c>
      <c r="G4745">
        <v>-419.42129999999997</v>
      </c>
      <c r="H4745" s="1">
        <v>-3.625152E-6</v>
      </c>
      <c r="I4745">
        <v>33.9694</v>
      </c>
      <c r="J4745">
        <v>-420.85579999999999</v>
      </c>
      <c r="K4745">
        <v>1.1098239999999999</v>
      </c>
      <c r="L4745">
        <v>43.912480000000002</v>
      </c>
      <c r="M4745">
        <v>1.8818830000000002E-2</v>
      </c>
      <c r="N4745">
        <v>0</v>
      </c>
      <c r="O4745">
        <v>-0.99972950000000005</v>
      </c>
      <c r="P4745">
        <v>9.7671869999999994E-2</v>
      </c>
      <c r="Q4745">
        <v>-2.5151960000000001E-2</v>
      </c>
      <c r="R4745">
        <v>-0.99490069999999997</v>
      </c>
      <c r="S4745">
        <v>0.41976930000000001</v>
      </c>
      <c r="T4745">
        <v>-0.32410820000000001</v>
      </c>
      <c r="U4745">
        <v>-2.9660639999999998</v>
      </c>
      <c r="V4745">
        <v>-7.8951540000000001E-2</v>
      </c>
      <c r="W4745">
        <v>-1.1387980000000001E-2</v>
      </c>
      <c r="X4745">
        <v>0.99681339999999996</v>
      </c>
      <c r="Y4745">
        <v>-0.1206536</v>
      </c>
      <c r="Z4745">
        <v>0.10767019999999999</v>
      </c>
      <c r="AA4745">
        <v>0.98683829999999995</v>
      </c>
      <c r="AB4745">
        <v>22</v>
      </c>
      <c r="AC4745">
        <v>1.4345000000000101</v>
      </c>
      <c r="AD4745">
        <v>-1.1098276251519901</v>
      </c>
      <c r="AE4745">
        <v>-9.9430800000000001</v>
      </c>
      <c r="AF4745">
        <v>-1.2320743692245899</v>
      </c>
      <c r="AG4745">
        <v>-1.1098276251519901</v>
      </c>
      <c r="AH4745">
        <v>9.8481248511205308</v>
      </c>
      <c r="AI4745">
        <v>96.380456168442393</v>
      </c>
      <c r="AJ4745">
        <v>97.131081318717605</v>
      </c>
      <c r="AK4745">
        <v>9.9867556139172802</v>
      </c>
      <c r="AL4745">
        <v>90.652497299511396</v>
      </c>
      <c r="AM4745">
        <v>94.528597077954899</v>
      </c>
      <c r="AN4745">
        <v>0.99999999308820497</v>
      </c>
    </row>
    <row r="4746" spans="1:40" x14ac:dyDescent="0.3">
      <c r="A4746" t="str">
        <f>"20200111160557927"</f>
        <v>20200111160557927</v>
      </c>
      <c r="B4746" t="str">
        <f>"1578729957916676"</f>
        <v>1578729957916676</v>
      </c>
      <c r="C4746" t="s">
        <v>40</v>
      </c>
      <c r="D4746">
        <v>5.2921880000000003</v>
      </c>
      <c r="E4746">
        <v>0.4831105</v>
      </c>
      <c r="F4746" t="s">
        <v>67</v>
      </c>
      <c r="G4746">
        <v>-419.41680000000002</v>
      </c>
      <c r="H4746" s="1">
        <v>-3.6688820000000001E-6</v>
      </c>
      <c r="I4746">
        <v>33.885509999999996</v>
      </c>
      <c r="J4746">
        <v>-420.85320000000002</v>
      </c>
      <c r="K4746">
        <v>1.109861</v>
      </c>
      <c r="L4746">
        <v>43.6965</v>
      </c>
      <c r="M4746">
        <v>1.7627380000000002E-2</v>
      </c>
      <c r="N4746">
        <v>0</v>
      </c>
      <c r="O4746">
        <v>-0.99975139999999996</v>
      </c>
      <c r="P4746">
        <v>9.6938070000000001E-2</v>
      </c>
      <c r="Q4746">
        <v>-2.6053090000000001E-2</v>
      </c>
      <c r="R4746">
        <v>-0.99494970000000005</v>
      </c>
      <c r="S4746">
        <v>0.42556759999999899</v>
      </c>
      <c r="T4746">
        <v>-0.32821230000000001</v>
      </c>
      <c r="U4746">
        <v>-2.9653019999999999</v>
      </c>
      <c r="V4746">
        <v>-7.940506E-2</v>
      </c>
      <c r="W4746">
        <v>-1.230113E-2</v>
      </c>
      <c r="X4746">
        <v>0.9967665</v>
      </c>
      <c r="Y4746">
        <v>-0.12374159999999999</v>
      </c>
      <c r="Z4746">
        <v>0.10901280000000001</v>
      </c>
      <c r="AA4746">
        <v>0.98630839999999997</v>
      </c>
      <c r="AB4746">
        <v>22</v>
      </c>
      <c r="AC4746">
        <v>1.4363999999999899</v>
      </c>
      <c r="AD4746">
        <v>-1.109864668882</v>
      </c>
      <c r="AE4746">
        <v>-9.8109900000000003</v>
      </c>
      <c r="AF4746">
        <v>-1.2475880380236799</v>
      </c>
      <c r="AG4746">
        <v>-1.109864668882</v>
      </c>
      <c r="AH4746">
        <v>9.7130958749182401</v>
      </c>
      <c r="AI4746">
        <v>96.465953633594594</v>
      </c>
      <c r="AJ4746">
        <v>97.319219230305393</v>
      </c>
      <c r="AK4746">
        <v>9.8555825282530201</v>
      </c>
      <c r="AL4746">
        <v>90.704820630568094</v>
      </c>
      <c r="AM4746">
        <v>94.554714884659305</v>
      </c>
      <c r="AN4746">
        <v>0.999999968437564</v>
      </c>
    </row>
    <row r="4747" spans="1:40" x14ac:dyDescent="0.3">
      <c r="A4747" t="str">
        <f>"20200111160557950"</f>
        <v>20200111160557950</v>
      </c>
      <c r="B4747" t="str">
        <f>"1578729957946933"</f>
        <v>1578729957946933</v>
      </c>
      <c r="C4747" t="s">
        <v>40</v>
      </c>
      <c r="D4747">
        <v>5.3071539999999997</v>
      </c>
      <c r="E4747">
        <v>0.48353990000000002</v>
      </c>
      <c r="F4747" t="s">
        <v>67</v>
      </c>
      <c r="G4747">
        <v>-419.45569999999998</v>
      </c>
      <c r="H4747" s="1">
        <v>-3.6361330000000001E-6</v>
      </c>
      <c r="I4747">
        <v>33.932850000000002</v>
      </c>
      <c r="J4747">
        <v>-420.85070000000002</v>
      </c>
      <c r="K4747">
        <v>1.1099079999999999</v>
      </c>
      <c r="L4747">
        <v>43.473269999999999</v>
      </c>
      <c r="M4747">
        <v>1.646597E-2</v>
      </c>
      <c r="N4747">
        <v>0</v>
      </c>
      <c r="O4747">
        <v>-0.99977150000000004</v>
      </c>
      <c r="P4747">
        <v>9.6170459999999999E-2</v>
      </c>
      <c r="Q4747">
        <v>-2.8110179999999999E-2</v>
      </c>
      <c r="R4747">
        <v>-0.99496819999999997</v>
      </c>
      <c r="S4747">
        <v>0.42440800000000001</v>
      </c>
      <c r="T4747">
        <v>-0.3370475</v>
      </c>
      <c r="U4747">
        <v>-2.9650569999999998</v>
      </c>
      <c r="V4747">
        <v>-7.9796399999999906E-2</v>
      </c>
      <c r="W4747">
        <v>-1.4372390000000001E-2</v>
      </c>
      <c r="X4747">
        <v>0.99670760000000003</v>
      </c>
      <c r="Y4747">
        <v>-0.1244818</v>
      </c>
      <c r="Z4747">
        <v>0.1119209</v>
      </c>
      <c r="AA4747">
        <v>0.98588940000000003</v>
      </c>
      <c r="AB4747">
        <v>22</v>
      </c>
      <c r="AC4747">
        <v>1.39500000000003</v>
      </c>
      <c r="AD4747">
        <v>-1.1099116361329999</v>
      </c>
      <c r="AE4747">
        <v>-9.5404199999999904</v>
      </c>
      <c r="AF4747">
        <v>-1.22151743332564</v>
      </c>
      <c r="AG4747">
        <v>-1.1099116361329999</v>
      </c>
      <c r="AH4747">
        <v>9.4370465518688302</v>
      </c>
      <c r="AI4747">
        <v>96.652868789316102</v>
      </c>
      <c r="AJ4747">
        <v>97.375274635486903</v>
      </c>
      <c r="AK4747">
        <v>9.5802847714502306</v>
      </c>
      <c r="AL4747">
        <v>90.823505612283697</v>
      </c>
      <c r="AM4747">
        <v>94.577336531475396</v>
      </c>
      <c r="AN4747">
        <v>1.00000003547251</v>
      </c>
    </row>
    <row r="4748" spans="1:40" x14ac:dyDescent="0.3">
      <c r="A4748" t="str">
        <f>"20200111160557973"</f>
        <v>20200111160557973</v>
      </c>
      <c r="B4748" t="str">
        <f>"1578729957966452"</f>
        <v>1578729957966452</v>
      </c>
      <c r="C4748" t="s">
        <v>40</v>
      </c>
      <c r="D4748">
        <v>5.268732</v>
      </c>
      <c r="E4748">
        <v>0.48330610000000002</v>
      </c>
      <c r="F4748" t="s">
        <v>67</v>
      </c>
      <c r="G4748">
        <v>-419.42430000000002</v>
      </c>
      <c r="H4748" s="1">
        <v>-3.923041E-6</v>
      </c>
      <c r="I4748">
        <v>33.383429999999997</v>
      </c>
      <c r="J4748">
        <v>-420.84829999999999</v>
      </c>
      <c r="K4748">
        <v>1.1099680000000001</v>
      </c>
      <c r="L4748">
        <v>43.246949999999998</v>
      </c>
      <c r="M4748">
        <v>1.5383050000000001E-2</v>
      </c>
      <c r="N4748">
        <v>0</v>
      </c>
      <c r="O4748">
        <v>-0.99978860000000003</v>
      </c>
      <c r="P4748">
        <v>9.6372020000000003E-2</v>
      </c>
      <c r="Q4748">
        <v>-2.878205E-2</v>
      </c>
      <c r="R4748">
        <v>-0.99492959999999997</v>
      </c>
      <c r="S4748">
        <v>0.41921999999999998</v>
      </c>
      <c r="T4748">
        <v>-0.32620559999999998</v>
      </c>
      <c r="U4748">
        <v>-2.9654240000000001</v>
      </c>
      <c r="V4748">
        <v>-8.1076369999999995E-2</v>
      </c>
      <c r="W4748">
        <v>-1.5059579999999999E-2</v>
      </c>
      <c r="X4748">
        <v>0.99659410000000004</v>
      </c>
      <c r="Y4748">
        <v>-0.12390379999999999</v>
      </c>
      <c r="Z4748">
        <v>0.1083708</v>
      </c>
      <c r="AA4748">
        <v>0.98635879999999998</v>
      </c>
      <c r="AB4748">
        <v>22</v>
      </c>
      <c r="AC4748">
        <v>1.42399999999997</v>
      </c>
      <c r="AD4748">
        <v>-1.1099719230409999</v>
      </c>
      <c r="AE4748">
        <v>-9.8635199999999994</v>
      </c>
      <c r="AF4748">
        <v>-1.2564992942561599</v>
      </c>
      <c r="AG4748">
        <v>-1.1099719230409999</v>
      </c>
      <c r="AH4748">
        <v>9.7631470816324892</v>
      </c>
      <c r="AI4748">
        <v>96.433495517482001</v>
      </c>
      <c r="AJ4748">
        <v>97.333550964114195</v>
      </c>
      <c r="AK4748">
        <v>9.9060521442194407</v>
      </c>
      <c r="AL4748">
        <v>90.862883006440001</v>
      </c>
      <c r="AM4748">
        <v>94.650966850581298</v>
      </c>
      <c r="AN4748">
        <v>0.99999998443848104</v>
      </c>
    </row>
    <row r="4749" spans="1:40" x14ac:dyDescent="0.3">
      <c r="A4749" t="str">
        <f>"20200111160557994"</f>
        <v>20200111160557994</v>
      </c>
      <c r="B4749" t="str">
        <f>"1578729957986949"</f>
        <v>1578729957986949</v>
      </c>
      <c r="C4749" t="s">
        <v>40</v>
      </c>
      <c r="D4749">
        <v>5.433319</v>
      </c>
      <c r="E4749">
        <v>0.48332039999999998</v>
      </c>
      <c r="F4749" t="s">
        <v>67</v>
      </c>
      <c r="G4749">
        <v>-419.44979999999998</v>
      </c>
      <c r="H4749" s="1">
        <v>-3.9009350000000001E-6</v>
      </c>
      <c r="I4749">
        <v>33.41574</v>
      </c>
      <c r="J4749">
        <v>-420.84620000000001</v>
      </c>
      <c r="K4749">
        <v>1.1100399999999999</v>
      </c>
      <c r="L4749">
        <v>43.035739999999997</v>
      </c>
      <c r="M4749">
        <v>1.4490629999999999E-2</v>
      </c>
      <c r="N4749">
        <v>0</v>
      </c>
      <c r="O4749">
        <v>-0.99980190000000002</v>
      </c>
      <c r="P4749">
        <v>9.7253229999999996E-2</v>
      </c>
      <c r="Q4749">
        <v>-2.8081769999999999E-2</v>
      </c>
      <c r="R4749">
        <v>-0.99486359999999996</v>
      </c>
      <c r="S4749">
        <v>0.42175289999999999</v>
      </c>
      <c r="T4749">
        <v>-0.3347292</v>
      </c>
      <c r="U4749">
        <v>-2.9647519999999998</v>
      </c>
      <c r="V4749">
        <v>-8.2844379999999995E-2</v>
      </c>
      <c r="W4749">
        <v>-1.437635E-2</v>
      </c>
      <c r="X4749">
        <v>0.99645879999999998</v>
      </c>
      <c r="Y4749">
        <v>-0.12560270000000001</v>
      </c>
      <c r="Z4749">
        <v>0.111176</v>
      </c>
      <c r="AA4749">
        <v>0.98583160000000003</v>
      </c>
      <c r="AB4749">
        <v>22</v>
      </c>
      <c r="AC4749">
        <v>1.3964000000000201</v>
      </c>
      <c r="AD4749">
        <v>-1.1100439009349901</v>
      </c>
      <c r="AE4749">
        <v>-9.6199999999999992</v>
      </c>
      <c r="AF4749">
        <v>-1.24066239460804</v>
      </c>
      <c r="AG4749">
        <v>-1.1100439009349901</v>
      </c>
      <c r="AH4749">
        <v>9.5151496807954494</v>
      </c>
      <c r="AI4749">
        <v>96.598729572656893</v>
      </c>
      <c r="AJ4749">
        <v>97.428778613953298</v>
      </c>
      <c r="AK4749">
        <v>9.6596849890324705</v>
      </c>
      <c r="AL4749">
        <v>90.823732551765801</v>
      </c>
      <c r="AM4749">
        <v>94.752571935054803</v>
      </c>
      <c r="AN4749">
        <v>1.00000000541717</v>
      </c>
    </row>
    <row r="4750" spans="1:40" x14ac:dyDescent="0.3">
      <c r="A4750" t="str">
        <f>"20200111160558017"</f>
        <v>20200111160558017</v>
      </c>
      <c r="B4750" t="str">
        <f>"1578729958006469"</f>
        <v>1578729958006469</v>
      </c>
      <c r="C4750" t="s">
        <v>40</v>
      </c>
      <c r="D4750">
        <v>5.313701</v>
      </c>
      <c r="E4750">
        <v>0.48302929999999999</v>
      </c>
      <c r="F4750" t="s">
        <v>67</v>
      </c>
      <c r="G4750">
        <v>-419.41829999999999</v>
      </c>
      <c r="H4750" s="1">
        <v>-4.0895070000000004E-6</v>
      </c>
      <c r="I4750">
        <v>33.059330000000003</v>
      </c>
      <c r="J4750">
        <v>-420.84410000000003</v>
      </c>
      <c r="K4750">
        <v>1.1101350000000001</v>
      </c>
      <c r="L4750">
        <v>42.820219999999999</v>
      </c>
      <c r="M4750">
        <v>1.3734059999999999E-2</v>
      </c>
      <c r="N4750">
        <v>0</v>
      </c>
      <c r="O4750">
        <v>-0.99981260000000005</v>
      </c>
      <c r="P4750">
        <v>9.8396789999999998E-2</v>
      </c>
      <c r="Q4750">
        <v>-2.64707E-2</v>
      </c>
      <c r="R4750">
        <v>-0.99479530000000005</v>
      </c>
      <c r="S4750">
        <v>0.42431639999999998</v>
      </c>
      <c r="T4750">
        <v>-0.32987240000000001</v>
      </c>
      <c r="U4750">
        <v>-2.9646910000000002</v>
      </c>
      <c r="V4750">
        <v>-8.4737640000000003E-2</v>
      </c>
      <c r="W4750">
        <v>-1.2787959999999999E-2</v>
      </c>
      <c r="X4750">
        <v>0.99632129999999997</v>
      </c>
      <c r="Y4750">
        <v>-0.12721669999999999</v>
      </c>
      <c r="Z4750">
        <v>0.1095686</v>
      </c>
      <c r="AA4750">
        <v>0.98580460000000003</v>
      </c>
      <c r="AB4750">
        <v>22</v>
      </c>
      <c r="AC4750">
        <v>1.4258000000000299</v>
      </c>
      <c r="AD4750">
        <v>-1.110139089507</v>
      </c>
      <c r="AE4750">
        <v>-9.7608899999999998</v>
      </c>
      <c r="AF4750">
        <v>-1.2754428284391801</v>
      </c>
      <c r="AG4750">
        <v>-1.110139089507</v>
      </c>
      <c r="AH4750">
        <v>9.6572436218365105</v>
      </c>
      <c r="AI4750">
        <v>96.501628539262299</v>
      </c>
      <c r="AJ4750">
        <v>97.523574488292596</v>
      </c>
      <c r="AK4750">
        <v>9.8041581779452294</v>
      </c>
      <c r="AL4750">
        <v>90.732716059415793</v>
      </c>
      <c r="AM4750">
        <v>94.861336460608101</v>
      </c>
      <c r="AN4750">
        <v>1.0000000661937001</v>
      </c>
    </row>
    <row r="4751" spans="1:40" x14ac:dyDescent="0.3">
      <c r="A4751" t="str">
        <f>"20200111160558039"</f>
        <v>20200111160558039</v>
      </c>
      <c r="B4751" t="str">
        <f>"1578729958026965"</f>
        <v>1578729958026965</v>
      </c>
      <c r="C4751" t="s">
        <v>40</v>
      </c>
      <c r="D4751">
        <v>5.4191960000000003</v>
      </c>
      <c r="E4751">
        <v>0.48212490000000002</v>
      </c>
      <c r="F4751" t="s">
        <v>67</v>
      </c>
      <c r="G4751">
        <v>-419.38490000000002</v>
      </c>
      <c r="H4751" s="1">
        <v>-4.2564410000000001E-6</v>
      </c>
      <c r="I4751">
        <v>32.74624</v>
      </c>
      <c r="J4751">
        <v>-420.84190000000001</v>
      </c>
      <c r="K4751">
        <v>1.1102719999999999</v>
      </c>
      <c r="L4751">
        <v>42.603879999999997</v>
      </c>
      <c r="M4751">
        <v>1.3162899999999899E-2</v>
      </c>
      <c r="N4751">
        <v>0</v>
      </c>
      <c r="O4751">
        <v>-0.99982040000000005</v>
      </c>
      <c r="P4751">
        <v>9.9200700000000003E-2</v>
      </c>
      <c r="Q4751">
        <v>-2.5247550000000001E-2</v>
      </c>
      <c r="R4751">
        <v>-0.99474720000000005</v>
      </c>
      <c r="S4751">
        <v>0.42938229999999999</v>
      </c>
      <c r="T4751">
        <v>-0.32668469999999999</v>
      </c>
      <c r="U4751">
        <v>-2.9645079999999999</v>
      </c>
      <c r="V4751">
        <v>-8.610611E-2</v>
      </c>
      <c r="W4751">
        <v>-1.159431E-2</v>
      </c>
      <c r="X4751">
        <v>0.99621850000000001</v>
      </c>
      <c r="Y4751">
        <v>-0.12945860000000001</v>
      </c>
      <c r="Z4751">
        <v>0.108501399999999</v>
      </c>
      <c r="AA4751">
        <v>0.98563069999999997</v>
      </c>
      <c r="AB4751">
        <v>22</v>
      </c>
      <c r="AC4751">
        <v>1.4569999999999901</v>
      </c>
      <c r="AD4751">
        <v>-1.110276256441</v>
      </c>
      <c r="AE4751">
        <v>-9.8576399999999893</v>
      </c>
      <c r="AF4751">
        <v>-1.3108331633142201</v>
      </c>
      <c r="AG4751">
        <v>-1.110276256441</v>
      </c>
      <c r="AH4751">
        <v>9.7548637840974202</v>
      </c>
      <c r="AI4751">
        <v>96.435975140727706</v>
      </c>
      <c r="AJ4751">
        <v>97.653410621794393</v>
      </c>
      <c r="AK4751">
        <v>9.9049666528442497</v>
      </c>
      <c r="AL4751">
        <v>90.664319917141796</v>
      </c>
      <c r="AM4751">
        <v>94.939966417508799</v>
      </c>
      <c r="AN4751">
        <v>0.99999999497297898</v>
      </c>
    </row>
    <row r="4752" spans="1:40" x14ac:dyDescent="0.3">
      <c r="A4752" t="str">
        <f>"20200111160558062"</f>
        <v>20200111160558062</v>
      </c>
      <c r="B4752" t="str">
        <f>"1578729958057220"</f>
        <v>1578729958057220</v>
      </c>
      <c r="C4752" t="s">
        <v>40</v>
      </c>
      <c r="D4752">
        <v>5.4245739999999998</v>
      </c>
      <c r="E4752">
        <v>0.48162270000000001</v>
      </c>
      <c r="F4752" t="s">
        <v>67</v>
      </c>
      <c r="G4752">
        <v>-419.31709999999998</v>
      </c>
      <c r="H4752" s="1">
        <v>-4.4900939999999998E-6</v>
      </c>
      <c r="I4752">
        <v>32.3172</v>
      </c>
      <c r="J4752">
        <v>-420.83949999999999</v>
      </c>
      <c r="K4752">
        <v>1.1104309999999999</v>
      </c>
      <c r="L4752">
        <v>42.380800000000001</v>
      </c>
      <c r="M4752">
        <v>1.279161E-2</v>
      </c>
      <c r="N4752">
        <v>0</v>
      </c>
      <c r="O4752">
        <v>-0.99982510000000002</v>
      </c>
      <c r="P4752">
        <v>9.9808720000000004E-2</v>
      </c>
      <c r="Q4752">
        <v>-2.390716E-2</v>
      </c>
      <c r="R4752">
        <v>-0.99471940000000003</v>
      </c>
      <c r="S4752">
        <v>0.43933109999999997</v>
      </c>
      <c r="T4752">
        <v>-0.3199071</v>
      </c>
      <c r="U4752">
        <v>-2.9639280000000001</v>
      </c>
      <c r="V4752">
        <v>-8.7079680000000007E-2</v>
      </c>
      <c r="W4752">
        <v>-1.028975E-2</v>
      </c>
      <c r="X4752">
        <v>0.99614820000000004</v>
      </c>
      <c r="Y4752">
        <v>-0.13312779999999999</v>
      </c>
      <c r="Z4752">
        <v>0.10624599999999999</v>
      </c>
      <c r="AA4752">
        <v>0.98538760000000003</v>
      </c>
      <c r="AB4752">
        <v>22</v>
      </c>
      <c r="AC4752">
        <v>1.5224</v>
      </c>
      <c r="AD4752">
        <v>-1.1104354900940001</v>
      </c>
      <c r="AE4752">
        <v>-10.063599999999999</v>
      </c>
      <c r="AF4752">
        <v>-1.3771417969558</v>
      </c>
      <c r="AG4752">
        <v>-1.1104354900940001</v>
      </c>
      <c r="AH4752">
        <v>9.96365575177437</v>
      </c>
      <c r="AI4752">
        <v>96.299889074326799</v>
      </c>
      <c r="AJ4752">
        <v>97.869364257486893</v>
      </c>
      <c r="AK4752">
        <v>10.119487262032999</v>
      </c>
      <c r="AL4752">
        <v>90.589569655524201</v>
      </c>
      <c r="AM4752">
        <v>94.995890487261406</v>
      </c>
      <c r="AN4752">
        <v>0.99999999299360198</v>
      </c>
    </row>
    <row r="4753" spans="1:40" x14ac:dyDescent="0.3">
      <c r="A4753" t="str">
        <f>"20200111160558084"</f>
        <v>20200111160558084</v>
      </c>
      <c r="B4753" t="str">
        <f>"1578729958076741"</f>
        <v>1578729958076741</v>
      </c>
      <c r="C4753" t="s">
        <v>40</v>
      </c>
      <c r="D4753">
        <v>5.3725019999999999</v>
      </c>
      <c r="E4753">
        <v>0.48175679999999999</v>
      </c>
      <c r="F4753" t="s">
        <v>67</v>
      </c>
      <c r="G4753">
        <v>-419.2525</v>
      </c>
      <c r="H4753" s="1">
        <v>-4.757678E-6</v>
      </c>
      <c r="I4753">
        <v>31.820150000000002</v>
      </c>
      <c r="J4753">
        <v>-420.83699999999999</v>
      </c>
      <c r="K4753">
        <v>1.1105969999999901</v>
      </c>
      <c r="L4753">
        <v>42.16592</v>
      </c>
      <c r="M4753">
        <v>1.267806E-2</v>
      </c>
      <c r="N4753">
        <v>0</v>
      </c>
      <c r="O4753">
        <v>-0.99982669999999996</v>
      </c>
      <c r="P4753">
        <v>0.1009824</v>
      </c>
      <c r="Q4753">
        <v>-2.3650170000000002E-2</v>
      </c>
      <c r="R4753">
        <v>-0.99460700000000002</v>
      </c>
      <c r="S4753">
        <v>0.44537349999999998</v>
      </c>
      <c r="T4753">
        <v>-0.311633099999999</v>
      </c>
      <c r="U4753">
        <v>-2.9637449999999999</v>
      </c>
      <c r="V4753">
        <v>-8.8363739999999996E-2</v>
      </c>
      <c r="W4753">
        <v>-1.007181E-2</v>
      </c>
      <c r="X4753">
        <v>0.99603739999999996</v>
      </c>
      <c r="Y4753">
        <v>-0.13525699999999999</v>
      </c>
      <c r="Z4753">
        <v>0.103504399999999</v>
      </c>
      <c r="AA4753">
        <v>0.98538950000000003</v>
      </c>
      <c r="AB4753">
        <v>22</v>
      </c>
      <c r="AC4753">
        <v>1.58449999999999</v>
      </c>
      <c r="AD4753">
        <v>-1.1106017576779901</v>
      </c>
      <c r="AE4753">
        <v>-10.3457699999999</v>
      </c>
      <c r="AF4753">
        <v>-1.43701596710053</v>
      </c>
      <c r="AG4753">
        <v>-1.1106017576779901</v>
      </c>
      <c r="AH4753">
        <v>10.249622276213801</v>
      </c>
      <c r="AI4753">
        <v>96.124738154860196</v>
      </c>
      <c r="AJ4753">
        <v>97.980952705991697</v>
      </c>
      <c r="AK4753">
        <v>10.4092846996764</v>
      </c>
      <c r="AL4753">
        <v>90.577081934847598</v>
      </c>
      <c r="AM4753">
        <v>95.069738811133902</v>
      </c>
      <c r="AN4753">
        <v>1.0000000470511099</v>
      </c>
    </row>
    <row r="4754" spans="1:40" x14ac:dyDescent="0.3">
      <c r="A4754" t="str">
        <f>"20200111160558106"</f>
        <v>20200111160558106</v>
      </c>
      <c r="B4754" t="str">
        <f>"1578729958097236"</f>
        <v>1578729958097236</v>
      </c>
      <c r="C4754" t="s">
        <v>40</v>
      </c>
      <c r="D4754">
        <v>5.4565190000000001</v>
      </c>
      <c r="E4754">
        <v>0.48151389999999999</v>
      </c>
      <c r="F4754" t="s">
        <v>67</v>
      </c>
      <c r="G4754">
        <v>-419.19659999999999</v>
      </c>
      <c r="H4754" s="1">
        <v>-5.0255789999999998E-6</v>
      </c>
      <c r="I4754">
        <v>31.318719999999999</v>
      </c>
      <c r="J4754">
        <v>-420.83440000000002</v>
      </c>
      <c r="K4754">
        <v>1.110771</v>
      </c>
      <c r="L4754">
        <v>41.955629999999999</v>
      </c>
      <c r="M4754">
        <v>1.2839990000000001E-2</v>
      </c>
      <c r="N4754">
        <v>0</v>
      </c>
      <c r="O4754">
        <v>-0.99982459999999995</v>
      </c>
      <c r="P4754">
        <v>0.10330830000000001</v>
      </c>
      <c r="Q4754">
        <v>-2.4066770000000001E-2</v>
      </c>
      <c r="R4754">
        <v>-0.99435819999999997</v>
      </c>
      <c r="S4754">
        <v>0.4481812</v>
      </c>
      <c r="T4754">
        <v>-0.30342409999999997</v>
      </c>
      <c r="U4754">
        <v>-2.9635310000000001</v>
      </c>
      <c r="V4754">
        <v>-9.0526480000000006E-2</v>
      </c>
      <c r="W4754">
        <v>-1.0530909999999999E-2</v>
      </c>
      <c r="X4754">
        <v>0.99583829999999995</v>
      </c>
      <c r="Y4754">
        <v>-0.1360613</v>
      </c>
      <c r="Z4754">
        <v>0.100800399999999</v>
      </c>
      <c r="AA4754">
        <v>0.98555899999999996</v>
      </c>
      <c r="AB4754">
        <v>22</v>
      </c>
      <c r="AC4754">
        <v>1.6378000000000199</v>
      </c>
      <c r="AD4754">
        <v>-1.110776025579</v>
      </c>
      <c r="AE4754">
        <v>-10.636909999999901</v>
      </c>
      <c r="AF4754">
        <v>-1.4852529896747899</v>
      </c>
      <c r="AG4754">
        <v>-1.110776025579</v>
      </c>
      <c r="AH4754">
        <v>10.544737869538499</v>
      </c>
      <c r="AI4754">
        <v>95.954971703995</v>
      </c>
      <c r="AJ4754">
        <v>98.017512069026907</v>
      </c>
      <c r="AK4754">
        <v>10.706600607084299</v>
      </c>
      <c r="AL4754">
        <v>90.603387891622802</v>
      </c>
      <c r="AM4754">
        <v>95.194184986587203</v>
      </c>
      <c r="AN4754">
        <v>0.99999993169675105</v>
      </c>
    </row>
    <row r="4755" spans="1:40" x14ac:dyDescent="0.3">
      <c r="A4755" t="str">
        <f>"20200111160558128"</f>
        <v>20200111160558128</v>
      </c>
      <c r="B4755" t="str">
        <f>"1578729958116757"</f>
        <v>1578729958116757</v>
      </c>
      <c r="C4755" t="s">
        <v>40</v>
      </c>
      <c r="D4755">
        <v>5.3728389999999999</v>
      </c>
      <c r="E4755">
        <v>0.48127799999999998</v>
      </c>
      <c r="F4755" t="s">
        <v>67</v>
      </c>
      <c r="G4755">
        <v>-419.1576</v>
      </c>
      <c r="H4755" s="1">
        <v>-5.1526219999999998E-6</v>
      </c>
      <c r="I4755">
        <v>31.086349999999999</v>
      </c>
      <c r="J4755">
        <v>-420.83120000000002</v>
      </c>
      <c r="K4755">
        <v>1.1109370000000001</v>
      </c>
      <c r="L4755">
        <v>41.739870000000003</v>
      </c>
      <c r="M4755">
        <v>1.3245170000000001E-2</v>
      </c>
      <c r="N4755">
        <v>0</v>
      </c>
      <c r="O4755">
        <v>-0.99981949999999997</v>
      </c>
      <c r="P4755">
        <v>0.1066916</v>
      </c>
      <c r="Q4755">
        <v>-2.33382E-2</v>
      </c>
      <c r="R4755">
        <v>-0.99401839999999997</v>
      </c>
      <c r="S4755">
        <v>0.45697019999999999</v>
      </c>
      <c r="T4755">
        <v>-0.30272130000000003</v>
      </c>
      <c r="U4755">
        <v>-2.9622190000000002</v>
      </c>
      <c r="V4755">
        <v>-9.3507389999999996E-2</v>
      </c>
      <c r="W4755">
        <v>-9.8453350000000002E-3</v>
      </c>
      <c r="X4755">
        <v>0.99556990000000001</v>
      </c>
      <c r="Y4755">
        <v>-0.13858500000000001</v>
      </c>
      <c r="Z4755">
        <v>0.1005723</v>
      </c>
      <c r="AA4755">
        <v>0.98523059999999996</v>
      </c>
      <c r="AB4755">
        <v>22</v>
      </c>
      <c r="AC4755">
        <v>1.67360000000002</v>
      </c>
      <c r="AD4755">
        <v>-1.110942152622</v>
      </c>
      <c r="AE4755">
        <v>-10.65352</v>
      </c>
      <c r="AF4755">
        <v>-1.5162415937757501</v>
      </c>
      <c r="AG4755">
        <v>-1.110942152622</v>
      </c>
      <c r="AH4755">
        <v>10.562660458771299</v>
      </c>
      <c r="AI4755">
        <v>95.943605697117505</v>
      </c>
      <c r="AJ4755">
        <v>98.168851918723206</v>
      </c>
      <c r="AK4755">
        <v>10.7286055479945</v>
      </c>
      <c r="AL4755">
        <v>90.564105260095701</v>
      </c>
      <c r="AM4755">
        <v>95.365677979786298</v>
      </c>
      <c r="AN4755">
        <v>0.99999999419594199</v>
      </c>
    </row>
    <row r="4756" spans="1:40" x14ac:dyDescent="0.3">
      <c r="A4756" t="str">
        <f>"20200111160558162"</f>
        <v>20200111160558162</v>
      </c>
      <c r="B4756" t="str">
        <f>"1578729958156775"</f>
        <v>1578729958156775</v>
      </c>
      <c r="C4756" t="s">
        <v>40</v>
      </c>
      <c r="D4756">
        <v>5.4051530000000003</v>
      </c>
      <c r="E4756">
        <v>0.4803172</v>
      </c>
      <c r="F4756" t="s">
        <v>67</v>
      </c>
      <c r="G4756">
        <v>-419.1234</v>
      </c>
      <c r="H4756" s="1">
        <v>-5.2316890000000001E-6</v>
      </c>
      <c r="I4756">
        <v>30.946069999999999</v>
      </c>
      <c r="J4756">
        <v>-420.82580000000002</v>
      </c>
      <c r="K4756">
        <v>1.1111690000000001</v>
      </c>
      <c r="L4756">
        <v>41.410429999999998</v>
      </c>
      <c r="M4756">
        <v>1.432833E-2</v>
      </c>
      <c r="N4756">
        <v>0</v>
      </c>
      <c r="O4756">
        <v>-0.99980460000000004</v>
      </c>
      <c r="P4756">
        <v>0.1112841</v>
      </c>
      <c r="Q4756">
        <v>-2.2857309999999999E-2</v>
      </c>
      <c r="R4756">
        <v>-0.99352589999999996</v>
      </c>
      <c r="S4756">
        <v>0.46844479999999999</v>
      </c>
      <c r="T4756">
        <v>-0.30471730000000002</v>
      </c>
      <c r="U4756">
        <v>-2.9606020000000002</v>
      </c>
      <c r="V4756">
        <v>-9.7022999999999998E-2</v>
      </c>
      <c r="W4756">
        <v>-9.4270369999999992E-3</v>
      </c>
      <c r="X4756">
        <v>0.9952375</v>
      </c>
      <c r="Y4756">
        <v>-0.14130980000000001</v>
      </c>
      <c r="Z4756">
        <v>0.101231</v>
      </c>
      <c r="AA4756">
        <v>0.98477599999999998</v>
      </c>
      <c r="AB4756">
        <v>22</v>
      </c>
      <c r="AC4756">
        <v>1.7024000000000099</v>
      </c>
      <c r="AD4756">
        <v>-1.1111742316890001</v>
      </c>
      <c r="AE4756">
        <v>-10.4643599999999</v>
      </c>
      <c r="AF4756">
        <v>-1.5354082666511899</v>
      </c>
      <c r="AG4756">
        <v>-1.1111742316890001</v>
      </c>
      <c r="AH4756">
        <v>10.373726546229699</v>
      </c>
      <c r="AI4756">
        <v>96.048488611219199</v>
      </c>
      <c r="AJ4756">
        <v>98.419185723328894</v>
      </c>
      <c r="AK4756">
        <v>10.545444000819501</v>
      </c>
      <c r="AL4756">
        <v>90.540137430362407</v>
      </c>
      <c r="AM4756">
        <v>95.568015318546202</v>
      </c>
      <c r="AN4756">
        <v>1.00000000648092</v>
      </c>
    </row>
    <row r="4757" spans="1:40" x14ac:dyDescent="0.3">
      <c r="A4757" t="str">
        <f>"20200111160558185"</f>
        <v>20200111160558185</v>
      </c>
      <c r="B4757" t="str">
        <f>"1578729958177268"</f>
        <v>1578729958177268</v>
      </c>
      <c r="C4757" t="s">
        <v>40</v>
      </c>
      <c r="D4757">
        <v>5.3823210000000001</v>
      </c>
      <c r="E4757">
        <v>0.48023470000000001</v>
      </c>
      <c r="F4757" t="s">
        <v>67</v>
      </c>
      <c r="G4757">
        <v>-419.0453</v>
      </c>
      <c r="H4757" s="1">
        <v>-5.3942900000000003E-6</v>
      </c>
      <c r="I4757">
        <v>30.66093</v>
      </c>
      <c r="J4757">
        <v>-420.82190000000003</v>
      </c>
      <c r="K4757">
        <v>1.1113249999999999</v>
      </c>
      <c r="L4757">
        <v>41.202359999999999</v>
      </c>
      <c r="M4757">
        <v>1.533284E-2</v>
      </c>
      <c r="N4757">
        <v>0</v>
      </c>
      <c r="O4757">
        <v>-0.99978979999999995</v>
      </c>
      <c r="P4757">
        <v>0.115567</v>
      </c>
      <c r="Q4757">
        <v>-2.0735199999999999E-2</v>
      </c>
      <c r="R4757">
        <v>-0.99308350000000001</v>
      </c>
      <c r="S4757">
        <v>0.48989870000000002</v>
      </c>
      <c r="T4757">
        <v>-0.30573109999999998</v>
      </c>
      <c r="U4757">
        <v>-2.9576419999999999</v>
      </c>
      <c r="V4757">
        <v>-0.1003125</v>
      </c>
      <c r="W4757">
        <v>-7.3502589999999996E-3</v>
      </c>
      <c r="X4757">
        <v>0.99492879999999995</v>
      </c>
      <c r="Y4757">
        <v>-0.14741989999999999</v>
      </c>
      <c r="Z4757">
        <v>0.10155790000000001</v>
      </c>
      <c r="AA4757">
        <v>0.9838462</v>
      </c>
      <c r="AB4757">
        <v>22</v>
      </c>
      <c r="AC4757">
        <v>1.7766000000000299</v>
      </c>
      <c r="AD4757">
        <v>-1.1113303942899999</v>
      </c>
      <c r="AE4757">
        <v>-10.541429999999901</v>
      </c>
      <c r="AF4757">
        <v>-1.5974813673894701</v>
      </c>
      <c r="AG4757">
        <v>-1.1113303942899999</v>
      </c>
      <c r="AH4757">
        <v>10.454447421523501</v>
      </c>
      <c r="AI4757">
        <v>95.998765729738295</v>
      </c>
      <c r="AJ4757">
        <v>98.687822642009294</v>
      </c>
      <c r="AK4757">
        <v>10.6340243019201</v>
      </c>
      <c r="AL4757">
        <v>90.421142623633003</v>
      </c>
      <c r="AM4757">
        <v>95.757322115823001</v>
      </c>
      <c r="AN4757">
        <v>0.999999970516528</v>
      </c>
    </row>
    <row r="4758" spans="1:40" x14ac:dyDescent="0.3">
      <c r="A4758" t="str">
        <f>"20200111160558206"</f>
        <v>20200111160558206</v>
      </c>
      <c r="B4758" t="str">
        <f>"1578729958196789"</f>
        <v>1578729958196789</v>
      </c>
      <c r="C4758" t="s">
        <v>40</v>
      </c>
      <c r="D4758">
        <v>5.4125649999999998</v>
      </c>
      <c r="E4758">
        <v>0.48009800000000002</v>
      </c>
      <c r="F4758" t="s">
        <v>67</v>
      </c>
      <c r="G4758">
        <v>-418.9726</v>
      </c>
      <c r="H4758" s="1">
        <v>-5.5764160000000001E-6</v>
      </c>
      <c r="I4758">
        <v>30.335149999999999</v>
      </c>
      <c r="J4758">
        <v>-420.81720000000001</v>
      </c>
      <c r="K4758">
        <v>1.111531</v>
      </c>
      <c r="L4758">
        <v>40.986330000000002</v>
      </c>
      <c r="M4758">
        <v>1.667194E-2</v>
      </c>
      <c r="N4758">
        <v>0</v>
      </c>
      <c r="O4758">
        <v>-0.9997682</v>
      </c>
      <c r="P4758">
        <v>0.11940530000000001</v>
      </c>
      <c r="Q4758">
        <v>-1.716761E-2</v>
      </c>
      <c r="R4758">
        <v>-0.99269719999999995</v>
      </c>
      <c r="S4758">
        <v>0.50305180000000005</v>
      </c>
      <c r="T4758">
        <v>-0.3022997</v>
      </c>
      <c r="U4758">
        <v>-2.9560550000000001</v>
      </c>
      <c r="V4758">
        <v>-0.10282860000000001</v>
      </c>
      <c r="W4758">
        <v>-3.8333009999999999E-3</v>
      </c>
      <c r="X4758">
        <v>0.99469169999999996</v>
      </c>
      <c r="Y4758">
        <v>-0.1504567</v>
      </c>
      <c r="Z4758">
        <v>0.1004197</v>
      </c>
      <c r="AA4758">
        <v>0.98350329999999997</v>
      </c>
      <c r="AB4758">
        <v>22</v>
      </c>
      <c r="AC4758">
        <v>1.84460000000001</v>
      </c>
      <c r="AD4758">
        <v>-1.1115365764159999</v>
      </c>
      <c r="AE4758">
        <v>-10.65118</v>
      </c>
      <c r="AF4758">
        <v>-1.6493122863032701</v>
      </c>
      <c r="AG4758">
        <v>-1.1115365764159999</v>
      </c>
      <c r="AH4758">
        <v>10.5687072132006</v>
      </c>
      <c r="AI4758">
        <v>95.932580582937902</v>
      </c>
      <c r="AJ4758">
        <v>98.869819537696898</v>
      </c>
      <c r="AK4758">
        <v>10.754223204714499</v>
      </c>
      <c r="AL4758">
        <v>90.2196325075369</v>
      </c>
      <c r="AM4758">
        <v>95.902120815201101</v>
      </c>
      <c r="AN4758">
        <v>0.99999999661170302</v>
      </c>
    </row>
    <row r="4759" spans="1:40" x14ac:dyDescent="0.3">
      <c r="A4759" t="str">
        <f>"20200111160558228"</f>
        <v>20200111160558228</v>
      </c>
      <c r="B4759" t="str">
        <f>"1578729958217285"</f>
        <v>1578729958217285</v>
      </c>
      <c r="C4759" t="s">
        <v>40</v>
      </c>
      <c r="D4759">
        <v>5.3956160000000004</v>
      </c>
      <c r="E4759">
        <v>0.48010950000000002</v>
      </c>
      <c r="F4759" t="s">
        <v>67</v>
      </c>
      <c r="G4759">
        <v>-418.8734</v>
      </c>
      <c r="H4759" s="1">
        <v>-5.8136910000000003E-6</v>
      </c>
      <c r="I4759">
        <v>29.827490000000001</v>
      </c>
      <c r="J4759">
        <v>-420.81209999999999</v>
      </c>
      <c r="K4759">
        <v>1.1117189999999999</v>
      </c>
      <c r="L4759">
        <v>40.77731</v>
      </c>
      <c r="M4759">
        <v>1.8195200000000002E-2</v>
      </c>
      <c r="N4759">
        <v>0</v>
      </c>
      <c r="O4759">
        <v>-0.99974169999999996</v>
      </c>
      <c r="P4759">
        <v>0.122819899999999</v>
      </c>
      <c r="Q4759">
        <v>-1.483085E-2</v>
      </c>
      <c r="R4759">
        <v>-0.99231860000000005</v>
      </c>
      <c r="S4759">
        <v>0.51477050000000002</v>
      </c>
      <c r="T4759">
        <v>-0.29435349999999999</v>
      </c>
      <c r="U4759">
        <v>-2.9550480000000001</v>
      </c>
      <c r="V4759">
        <v>-0.1047386</v>
      </c>
      <c r="W4759">
        <v>-1.543345E-3</v>
      </c>
      <c r="X4759">
        <v>0.99449860000000001</v>
      </c>
      <c r="Y4759">
        <v>-0.15283859999999999</v>
      </c>
      <c r="Z4759">
        <v>9.7784319999999994E-2</v>
      </c>
      <c r="AA4759">
        <v>0.98340150000000004</v>
      </c>
      <c r="AB4759">
        <v>22</v>
      </c>
      <c r="AC4759">
        <v>1.9386999999999801</v>
      </c>
      <c r="AD4759">
        <v>-1.1117248136910001</v>
      </c>
      <c r="AE4759">
        <v>-10.949820000000001</v>
      </c>
      <c r="AF4759">
        <v>-1.72191609098076</v>
      </c>
      <c r="AG4759">
        <v>-1.1117248136910001</v>
      </c>
      <c r="AH4759">
        <v>10.8745955147368</v>
      </c>
      <c r="AI4759">
        <v>95.765806185097205</v>
      </c>
      <c r="AJ4759">
        <v>98.997683802919894</v>
      </c>
      <c r="AK4759">
        <v>11.066063197672801</v>
      </c>
      <c r="AL4759">
        <v>90.088427188979907</v>
      </c>
      <c r="AM4759">
        <v>96.012113523062993</v>
      </c>
      <c r="AN4759">
        <v>1.0000000108228499</v>
      </c>
    </row>
    <row r="4760" spans="1:40" x14ac:dyDescent="0.3">
      <c r="A4760" t="str">
        <f>"20200111160558251"</f>
        <v>20200111160558251</v>
      </c>
      <c r="B4760" t="str">
        <f>"1578729958246567"</f>
        <v>1578729958246567</v>
      </c>
      <c r="C4760" t="s">
        <v>40</v>
      </c>
      <c r="D4760">
        <v>5.5593329999999996</v>
      </c>
      <c r="E4760">
        <v>0.47979050000000001</v>
      </c>
      <c r="F4760" t="s">
        <v>67</v>
      </c>
      <c r="G4760">
        <v>-418.77640000000002</v>
      </c>
      <c r="H4760" s="1">
        <v>-7.6677210000000002E-6</v>
      </c>
      <c r="I4760">
        <v>29.31512</v>
      </c>
      <c r="J4760">
        <v>-420.80610000000001</v>
      </c>
      <c r="K4760">
        <v>1.111883</v>
      </c>
      <c r="L4760">
        <v>40.558619999999998</v>
      </c>
      <c r="M4760">
        <v>2.0028310000000001E-2</v>
      </c>
      <c r="N4760">
        <v>0</v>
      </c>
      <c r="O4760">
        <v>-0.9997066</v>
      </c>
      <c r="P4760">
        <v>0.12590799999999999</v>
      </c>
      <c r="Q4760">
        <v>-1.448761E-2</v>
      </c>
      <c r="R4760">
        <v>-0.99193659999999995</v>
      </c>
      <c r="S4760">
        <v>0.52462769999999903</v>
      </c>
      <c r="T4760">
        <v>-0.28651179999999998</v>
      </c>
      <c r="U4760">
        <v>-2.9540099999999998</v>
      </c>
      <c r="V4760">
        <v>-0.10601090000000001</v>
      </c>
      <c r="W4760">
        <v>-1.2431230000000001E-3</v>
      </c>
      <c r="X4760">
        <v>0.99436420000000003</v>
      </c>
      <c r="Y4760">
        <v>-0.1543119</v>
      </c>
      <c r="Z4760">
        <v>9.5193150000000004E-2</v>
      </c>
      <c r="AA4760">
        <v>0.98342569999999996</v>
      </c>
      <c r="AB4760">
        <v>21</v>
      </c>
      <c r="AC4760">
        <v>2.0296999999999898</v>
      </c>
      <c r="AD4760">
        <v>-1.1118906677210001</v>
      </c>
      <c r="AE4760">
        <v>-11.2434999999999</v>
      </c>
      <c r="AF4760">
        <v>-1.7871574965427</v>
      </c>
      <c r="AG4760">
        <v>-1.1118906677210001</v>
      </c>
      <c r="AH4760">
        <v>11.176051591906299</v>
      </c>
      <c r="AI4760">
        <v>95.610765178090702</v>
      </c>
      <c r="AJ4760">
        <v>99.085224382620297</v>
      </c>
      <c r="AK4760">
        <v>11.372526630409199</v>
      </c>
      <c r="AL4760">
        <v>90.071225719001106</v>
      </c>
      <c r="AM4760">
        <v>96.085416613051294</v>
      </c>
      <c r="AN4760">
        <v>1.00000000925762</v>
      </c>
    </row>
    <row r="4761" spans="1:40" x14ac:dyDescent="0.3">
      <c r="A4761" t="str">
        <f>"20200111160558274"</f>
        <v>20200111160558274</v>
      </c>
      <c r="B4761" t="str">
        <f>"1578729958267063"</f>
        <v>1578729958267063</v>
      </c>
      <c r="C4761" t="s">
        <v>40</v>
      </c>
      <c r="D4761">
        <v>5.5935779999999999</v>
      </c>
      <c r="E4761">
        <v>0.48042319999999999</v>
      </c>
      <c r="F4761" t="s">
        <v>67</v>
      </c>
      <c r="G4761">
        <v>-418.7278</v>
      </c>
      <c r="H4761" s="1">
        <v>-7.6625649999999994E-6</v>
      </c>
      <c r="I4761">
        <v>29.117640000000002</v>
      </c>
      <c r="J4761">
        <v>-420.79939999999999</v>
      </c>
      <c r="K4761">
        <v>1.1120289999999999</v>
      </c>
      <c r="L4761">
        <v>40.343229999999998</v>
      </c>
      <c r="M4761">
        <v>2.207868E-2</v>
      </c>
      <c r="N4761">
        <v>0</v>
      </c>
      <c r="O4761">
        <v>-0.99966319999999997</v>
      </c>
      <c r="P4761">
        <v>0.128829</v>
      </c>
      <c r="Q4761">
        <v>-1.490613E-2</v>
      </c>
      <c r="R4761">
        <v>-0.99155470000000001</v>
      </c>
      <c r="S4761">
        <v>0.53625489999999998</v>
      </c>
      <c r="T4761">
        <v>-0.28690399999999999</v>
      </c>
      <c r="U4761">
        <v>-2.9521480000000002</v>
      </c>
      <c r="V4761">
        <v>-0.1068984</v>
      </c>
      <c r="W4761">
        <v>-1.698686E-3</v>
      </c>
      <c r="X4761">
        <v>0.9942685</v>
      </c>
      <c r="Y4761">
        <v>-0.15614210000000001</v>
      </c>
      <c r="Z4761">
        <v>9.5328319999999994E-2</v>
      </c>
      <c r="AA4761">
        <v>0.98312370000000004</v>
      </c>
      <c r="AB4761">
        <v>21</v>
      </c>
      <c r="AC4761">
        <v>2.0715999999999801</v>
      </c>
      <c r="AD4761">
        <v>-1.112036662565</v>
      </c>
      <c r="AE4761">
        <v>-11.225589999999899</v>
      </c>
      <c r="AF4761">
        <v>-1.8060855300841501</v>
      </c>
      <c r="AG4761">
        <v>-1.112036662565</v>
      </c>
      <c r="AH4761">
        <v>11.1626595674319</v>
      </c>
      <c r="AI4761">
        <v>95.616534504188493</v>
      </c>
      <c r="AJ4761">
        <v>99.190642702342501</v>
      </c>
      <c r="AK4761">
        <v>11.3623738320497</v>
      </c>
      <c r="AL4761">
        <v>90.0973275851523</v>
      </c>
      <c r="AM4761">
        <v>96.136561436064795</v>
      </c>
      <c r="AN4761">
        <v>1.0000000017744599</v>
      </c>
    </row>
    <row r="4762" spans="1:40" x14ac:dyDescent="0.3">
      <c r="A4762" t="str">
        <f>"20200111160558295"</f>
        <v>20200111160558295</v>
      </c>
      <c r="B4762" t="str">
        <f>"1578729958286580"</f>
        <v>1578729958286580</v>
      </c>
      <c r="C4762" t="s">
        <v>40</v>
      </c>
      <c r="D4762">
        <v>5.6943190000000001</v>
      </c>
      <c r="E4762">
        <v>0.55211209999999999</v>
      </c>
      <c r="F4762" t="s">
        <v>67</v>
      </c>
      <c r="G4762">
        <v>-418.73320000000001</v>
      </c>
      <c r="H4762" s="1">
        <v>-7.6530570000000003E-6</v>
      </c>
      <c r="I4762">
        <v>29.050039999999999</v>
      </c>
      <c r="J4762">
        <v>-420.79250000000002</v>
      </c>
      <c r="K4762">
        <v>1.1121620000000001</v>
      </c>
      <c r="L4762">
        <v>40.138820000000003</v>
      </c>
      <c r="M4762">
        <v>2.4251729999999999E-2</v>
      </c>
      <c r="N4762">
        <v>0</v>
      </c>
      <c r="O4762">
        <v>-0.99961290000000003</v>
      </c>
      <c r="P4762">
        <v>0.1294022</v>
      </c>
      <c r="Q4762">
        <v>-1.355277E-2</v>
      </c>
      <c r="R4762">
        <v>-0.99149949999999998</v>
      </c>
      <c r="S4762">
        <v>0.53991699999999998</v>
      </c>
      <c r="T4762">
        <v>-0.29058579999999901</v>
      </c>
      <c r="U4762">
        <v>-2.9510190000000001</v>
      </c>
      <c r="V4762">
        <v>-0.1053158</v>
      </c>
      <c r="W4762">
        <v>-3.6472680000000001E-4</v>
      </c>
      <c r="X4762">
        <v>0.99443879999999996</v>
      </c>
      <c r="Y4762">
        <v>-0.15522059999999999</v>
      </c>
      <c r="Z4762">
        <v>9.6565399999999996E-2</v>
      </c>
      <c r="AA4762">
        <v>0.98314889999999999</v>
      </c>
      <c r="AB4762">
        <v>21</v>
      </c>
      <c r="AC4762">
        <v>2.0592999999999999</v>
      </c>
      <c r="AD4762">
        <v>-1.112169653057</v>
      </c>
      <c r="AE4762">
        <v>-11.08878</v>
      </c>
      <c r="AF4762">
        <v>-1.7725110575413401</v>
      </c>
      <c r="AG4762">
        <v>-1.112169653057</v>
      </c>
      <c r="AH4762">
        <v>11.028224781717199</v>
      </c>
      <c r="AI4762">
        <v>95.686181858274594</v>
      </c>
      <c r="AJ4762">
        <v>99.130773031402697</v>
      </c>
      <c r="AK4762">
        <v>11.224992588967201</v>
      </c>
      <c r="AL4762">
        <v>90.020897305966699</v>
      </c>
      <c r="AM4762">
        <v>96.045361616107698</v>
      </c>
      <c r="AN4762">
        <v>1.00000003885035</v>
      </c>
    </row>
    <row r="4763" spans="1:40" x14ac:dyDescent="0.3">
      <c r="A4763" t="str">
        <f>"20200111160558318"</f>
        <v>20200111160558318</v>
      </c>
      <c r="B4763" t="str">
        <f>"1578729958307077"</f>
        <v>1578729958307077</v>
      </c>
      <c r="C4763" t="s">
        <v>40</v>
      </c>
      <c r="D4763">
        <v>5.4655849999999999</v>
      </c>
      <c r="E4763">
        <v>0.56760029999999995</v>
      </c>
      <c r="F4763" t="s">
        <v>42</v>
      </c>
      <c r="G4763">
        <v>-420.7996</v>
      </c>
      <c r="H4763">
        <v>0.91905130000000002</v>
      </c>
      <c r="I4763">
        <v>39.390259999999998</v>
      </c>
      <c r="J4763">
        <v>-420.78460000000001</v>
      </c>
      <c r="K4763">
        <v>1.11229</v>
      </c>
      <c r="L4763">
        <v>39.925960000000003</v>
      </c>
      <c r="M4763">
        <v>2.6730540000000001E-2</v>
      </c>
      <c r="N4763">
        <v>0</v>
      </c>
      <c r="O4763">
        <v>-0.99954960000000004</v>
      </c>
      <c r="P4763">
        <v>0.12862939999999901</v>
      </c>
      <c r="Q4763">
        <v>-1.18087E-2</v>
      </c>
      <c r="R4763">
        <v>-0.99162289999999997</v>
      </c>
      <c r="S4763">
        <v>-2.7252200000000001E-2</v>
      </c>
      <c r="T4763">
        <v>-0.779167099999999</v>
      </c>
      <c r="U4763">
        <v>-3.0186160000000002</v>
      </c>
      <c r="V4763">
        <v>-0.1020803</v>
      </c>
      <c r="W4763">
        <v>1.3716850000000001E-3</v>
      </c>
      <c r="X4763">
        <v>0.99477519999999997</v>
      </c>
      <c r="Y4763">
        <v>3.5470010000000003E-2</v>
      </c>
      <c r="Z4763">
        <v>0.24971260000000001</v>
      </c>
      <c r="AA4763">
        <v>0.96767009999999998</v>
      </c>
      <c r="AB4763">
        <v>21</v>
      </c>
      <c r="AC4763">
        <v>-1.49999999999863E-2</v>
      </c>
      <c r="AD4763">
        <v>-0.19323869999999899</v>
      </c>
      <c r="AE4763">
        <v>-0.53569999999999796</v>
      </c>
      <c r="AF4763">
        <v>2.5942519104215099E-2</v>
      </c>
      <c r="AG4763">
        <v>-0.19323869999999899</v>
      </c>
      <c r="AH4763">
        <v>0.47353882734585401</v>
      </c>
      <c r="AI4763">
        <v>112.169058243035</v>
      </c>
      <c r="AJ4763">
        <v>86.864222345870104</v>
      </c>
      <c r="AK4763">
        <v>0.51210665928031895</v>
      </c>
      <c r="AL4763">
        <v>89.921408212764106</v>
      </c>
      <c r="AM4763">
        <v>95.858981658946803</v>
      </c>
      <c r="AN4763">
        <v>0.99999998385143396</v>
      </c>
    </row>
    <row r="4764" spans="1:40" x14ac:dyDescent="0.3">
      <c r="A4764" t="str">
        <f>"20200111160558340"</f>
        <v>20200111160558340</v>
      </c>
      <c r="B4764" t="str">
        <f>"1578729958337333"</f>
        <v>1578729958337333</v>
      </c>
      <c r="C4764" t="s">
        <v>40</v>
      </c>
      <c r="D4764">
        <v>5.4068050000000003</v>
      </c>
      <c r="E4764">
        <v>0.57437190000000005</v>
      </c>
      <c r="F4764" t="s">
        <v>42</v>
      </c>
      <c r="G4764">
        <v>-420.8211</v>
      </c>
      <c r="H4764">
        <v>0.933975</v>
      </c>
      <c r="I4764">
        <v>39.193820000000002</v>
      </c>
      <c r="J4764">
        <v>-420.77589999999998</v>
      </c>
      <c r="K4764">
        <v>1.1124019999999999</v>
      </c>
      <c r="L4764">
        <v>39.712589999999999</v>
      </c>
      <c r="M4764">
        <v>2.9406430000000001E-2</v>
      </c>
      <c r="N4764">
        <v>0</v>
      </c>
      <c r="O4764">
        <v>-0.99947450000000004</v>
      </c>
      <c r="P4764">
        <v>0.12877910000000001</v>
      </c>
      <c r="Q4764">
        <v>-9.6713779999999996E-3</v>
      </c>
      <c r="R4764">
        <v>-0.99162640000000002</v>
      </c>
      <c r="S4764">
        <v>-0.15093989999999999</v>
      </c>
      <c r="T4764">
        <v>-0.73953530000000001</v>
      </c>
      <c r="U4764">
        <v>-3.0361020000000001</v>
      </c>
      <c r="V4764">
        <v>-9.9575380000000005E-2</v>
      </c>
      <c r="W4764">
        <v>3.5021869999999999E-3</v>
      </c>
      <c r="X4764">
        <v>0.99502380000000001</v>
      </c>
      <c r="Y4764">
        <v>7.7600470000000005E-2</v>
      </c>
      <c r="Z4764">
        <v>0.236012</v>
      </c>
      <c r="AA4764">
        <v>0.96864669999999997</v>
      </c>
      <c r="AB4764">
        <v>21</v>
      </c>
      <c r="AC4764">
        <v>-4.52000000000225E-2</v>
      </c>
      <c r="AD4764">
        <v>-0.178427</v>
      </c>
      <c r="AE4764">
        <v>-0.51877000000000295</v>
      </c>
      <c r="AF4764">
        <v>5.4086957160240402E-2</v>
      </c>
      <c r="AG4764">
        <v>-0.178427</v>
      </c>
      <c r="AH4764">
        <v>0.46287270138152697</v>
      </c>
      <c r="AI4764">
        <v>110.95046658470901</v>
      </c>
      <c r="AJ4764">
        <v>83.335177563744296</v>
      </c>
      <c r="AK4764">
        <v>0.49901175431855899</v>
      </c>
      <c r="AL4764">
        <v>89.799339044017998</v>
      </c>
      <c r="AM4764">
        <v>95.714754997764004</v>
      </c>
      <c r="AN4764">
        <v>0.99999994209118204</v>
      </c>
    </row>
    <row r="4765" spans="1:40" x14ac:dyDescent="0.3">
      <c r="A4765" t="str">
        <f>"20200111160558363"</f>
        <v>20200111160558363</v>
      </c>
      <c r="B4765" t="str">
        <f>"1578729958356856"</f>
        <v>1578729958356856</v>
      </c>
      <c r="C4765" t="s">
        <v>40</v>
      </c>
      <c r="D4765">
        <v>5.4482739999999996</v>
      </c>
      <c r="E4765">
        <v>0.575986199999999</v>
      </c>
      <c r="F4765" t="s">
        <v>42</v>
      </c>
      <c r="G4765">
        <v>-420.82380000000001</v>
      </c>
      <c r="H4765">
        <v>0.93455679999999997</v>
      </c>
      <c r="I4765">
        <v>39.00385</v>
      </c>
      <c r="J4765">
        <v>-420.76609999999999</v>
      </c>
      <c r="K4765">
        <v>1.1124860000000001</v>
      </c>
      <c r="L4765">
        <v>39.493589999999998</v>
      </c>
      <c r="M4765">
        <v>3.2322999999999998E-2</v>
      </c>
      <c r="N4765">
        <v>0</v>
      </c>
      <c r="O4765">
        <v>-0.99938419999999895</v>
      </c>
      <c r="P4765">
        <v>0.13012789999999999</v>
      </c>
      <c r="Q4765">
        <v>-9.6019120000000006E-3</v>
      </c>
      <c r="R4765">
        <v>-0.99145079999999997</v>
      </c>
      <c r="S4765">
        <v>-0.2047119</v>
      </c>
      <c r="T4765">
        <v>-0.76427040000000002</v>
      </c>
      <c r="U4765">
        <v>-3.0444640000000001</v>
      </c>
      <c r="V4765">
        <v>-9.802661E-2</v>
      </c>
      <c r="W4765">
        <v>3.5617909999999999E-3</v>
      </c>
      <c r="X4765">
        <v>0.99517739999999999</v>
      </c>
      <c r="Y4765">
        <v>9.7302100000000002E-2</v>
      </c>
      <c r="Z4765">
        <v>0.24245320000000001</v>
      </c>
      <c r="AA4765">
        <v>0.9652714</v>
      </c>
      <c r="AB4765">
        <v>21</v>
      </c>
      <c r="AC4765">
        <v>-5.7700000000011097E-2</v>
      </c>
      <c r="AD4765">
        <v>-0.17792920000000001</v>
      </c>
      <c r="AE4765">
        <v>-0.48974000000000401</v>
      </c>
      <c r="AF4765">
        <v>6.5034385500428699E-2</v>
      </c>
      <c r="AG4765">
        <v>-0.17792920000000001</v>
      </c>
      <c r="AH4765">
        <v>0.431448702765243</v>
      </c>
      <c r="AI4765">
        <v>112.185277361129</v>
      </c>
      <c r="AJ4765">
        <v>81.428057625363294</v>
      </c>
      <c r="AK4765">
        <v>0.47120723108614299</v>
      </c>
      <c r="AL4765">
        <v>89.795923972621907</v>
      </c>
      <c r="AM4765">
        <v>95.625581109574</v>
      </c>
      <c r="AN4765">
        <v>0.99999998004698898</v>
      </c>
    </row>
    <row r="4766" spans="1:40" x14ac:dyDescent="0.3">
      <c r="A4766" t="str">
        <f>"20200111160558386"</f>
        <v>20200111160558386</v>
      </c>
      <c r="B4766" t="str">
        <f>"1578729958377348"</f>
        <v>1578729958377348</v>
      </c>
      <c r="C4766" t="s">
        <v>40</v>
      </c>
      <c r="D4766">
        <v>5.4778440000000002</v>
      </c>
      <c r="E4766">
        <v>0.57618879999999995</v>
      </c>
      <c r="F4766" t="s">
        <v>42</v>
      </c>
      <c r="G4766">
        <v>-420.81420000000003</v>
      </c>
      <c r="H4766">
        <v>0.93918800000000002</v>
      </c>
      <c r="I4766">
        <v>38.812420000000003</v>
      </c>
      <c r="J4766">
        <v>-420.75630000000001</v>
      </c>
      <c r="K4766">
        <v>1.112533</v>
      </c>
      <c r="L4766">
        <v>39.290799999999997</v>
      </c>
      <c r="M4766">
        <v>3.5180570000000001E-2</v>
      </c>
      <c r="N4766">
        <v>0</v>
      </c>
      <c r="O4766">
        <v>-0.99928799999999995</v>
      </c>
      <c r="P4766">
        <v>0.131494</v>
      </c>
      <c r="Q4766">
        <v>-1.211515E-2</v>
      </c>
      <c r="R4766">
        <v>-0.99124350000000006</v>
      </c>
      <c r="S4766">
        <v>-0.21511839999999999</v>
      </c>
      <c r="T4766">
        <v>-0.77509949999999905</v>
      </c>
      <c r="U4766">
        <v>-3.0466000000000002</v>
      </c>
      <c r="V4766">
        <v>-9.6542210000000003E-2</v>
      </c>
      <c r="W4766">
        <v>1.0431450000000001E-3</v>
      </c>
      <c r="X4766">
        <v>0.9953284</v>
      </c>
      <c r="Y4766">
        <v>0.103329</v>
      </c>
      <c r="Z4766">
        <v>0.24538199999999999</v>
      </c>
      <c r="AA4766">
        <v>0.96390390000000004</v>
      </c>
      <c r="AB4766">
        <v>21</v>
      </c>
      <c r="AC4766">
        <v>-5.7900000000017798E-2</v>
      </c>
      <c r="AD4766">
        <v>-0.173345</v>
      </c>
      <c r="AE4766">
        <v>-0.47837999999999398</v>
      </c>
      <c r="AF4766">
        <v>6.6136776347021697E-2</v>
      </c>
      <c r="AG4766">
        <v>-0.173345</v>
      </c>
      <c r="AH4766">
        <v>0.42150110446719902</v>
      </c>
      <c r="AI4766">
        <v>112.11118766234399</v>
      </c>
      <c r="AJ4766">
        <v>81.082558195410201</v>
      </c>
      <c r="AK4766">
        <v>0.46052767916559001</v>
      </c>
      <c r="AL4766">
        <v>89.940232186536903</v>
      </c>
      <c r="AM4766">
        <v>95.540092705238393</v>
      </c>
      <c r="AN4766">
        <v>1.00000005515486</v>
      </c>
    </row>
    <row r="4767" spans="1:40" x14ac:dyDescent="0.3">
      <c r="A4767" t="str">
        <f>"20200111160558407"</f>
        <v>20200111160558407</v>
      </c>
      <c r="B4767" t="str">
        <f>"1578729958396868"</f>
        <v>1578729958396868</v>
      </c>
      <c r="C4767" t="s">
        <v>40</v>
      </c>
      <c r="D4767">
        <v>5.4716709999999997</v>
      </c>
      <c r="E4767">
        <v>0.5767217</v>
      </c>
      <c r="F4767" t="s">
        <v>42</v>
      </c>
      <c r="G4767">
        <v>-420.81560000000002</v>
      </c>
      <c r="H4767">
        <v>0.89209930000000004</v>
      </c>
      <c r="I4767">
        <v>38.455489999999998</v>
      </c>
      <c r="J4767">
        <v>-420.74549999999999</v>
      </c>
      <c r="K4767">
        <v>1.1125689999999999</v>
      </c>
      <c r="L4767">
        <v>39.08325</v>
      </c>
      <c r="M4767">
        <v>3.8251E-2</v>
      </c>
      <c r="N4767">
        <v>0</v>
      </c>
      <c r="O4767">
        <v>-0.99917489999999998</v>
      </c>
      <c r="P4767">
        <v>0.13379869999999999</v>
      </c>
      <c r="Q4767">
        <v>-1.7006919999999998E-2</v>
      </c>
      <c r="R4767">
        <v>-0.99086269999999999</v>
      </c>
      <c r="S4767">
        <v>-0.21517939999999999</v>
      </c>
      <c r="T4767">
        <v>-0.80392479999999999</v>
      </c>
      <c r="U4767">
        <v>-3.0452270000000001</v>
      </c>
      <c r="V4767">
        <v>-9.5778829999999995E-2</v>
      </c>
      <c r="W4767">
        <v>-3.8571930000000001E-3</v>
      </c>
      <c r="X4767">
        <v>0.99539520000000004</v>
      </c>
      <c r="Y4767">
        <v>0.1062771</v>
      </c>
      <c r="Z4767">
        <v>0.25394860000000002</v>
      </c>
      <c r="AA4767">
        <v>0.96136120000000003</v>
      </c>
      <c r="AB4767">
        <v>21</v>
      </c>
      <c r="AC4767">
        <v>-7.0100000000024906E-2</v>
      </c>
      <c r="AD4767">
        <v>-0.22046969999999999</v>
      </c>
      <c r="AE4767">
        <v>-0.62775999999999499</v>
      </c>
      <c r="AF4767">
        <v>8.3848691576484696E-2</v>
      </c>
      <c r="AG4767">
        <v>-0.22046969999999999</v>
      </c>
      <c r="AH4767">
        <v>0.55678922552478805</v>
      </c>
      <c r="AI4767">
        <v>111.382886923005</v>
      </c>
      <c r="AJ4767">
        <v>81.435995278176193</v>
      </c>
      <c r="AK4767">
        <v>0.60469143648448698</v>
      </c>
      <c r="AL4767">
        <v>90.221001420340301</v>
      </c>
      <c r="AM4767">
        <v>95.496188729114294</v>
      </c>
      <c r="AN4767">
        <v>1.0000000331985199</v>
      </c>
    </row>
    <row r="4768" spans="1:40" x14ac:dyDescent="0.3">
      <c r="A4768" t="str">
        <f>"20200111160558430"</f>
        <v>20200111160558430</v>
      </c>
      <c r="B4768" t="str">
        <f>"1578729958427125"</f>
        <v>1578729958427125</v>
      </c>
      <c r="C4768" t="s">
        <v>40</v>
      </c>
      <c r="D4768">
        <v>5.5010089999999998</v>
      </c>
      <c r="E4768">
        <v>0.57750419999999902</v>
      </c>
      <c r="F4768" t="s">
        <v>42</v>
      </c>
      <c r="G4768">
        <v>-420.80329999999998</v>
      </c>
      <c r="H4768">
        <v>0.89131890000000003</v>
      </c>
      <c r="I4768">
        <v>38.267589999999998</v>
      </c>
      <c r="J4768">
        <v>-420.73349999999999</v>
      </c>
      <c r="K4768">
        <v>1.112603</v>
      </c>
      <c r="L4768">
        <v>38.871459999999999</v>
      </c>
      <c r="M4768">
        <v>4.1505680000000003E-2</v>
      </c>
      <c r="N4768">
        <v>0</v>
      </c>
      <c r="O4768">
        <v>-0.99904499999999996</v>
      </c>
      <c r="P4768">
        <v>0.1380295</v>
      </c>
      <c r="Q4768">
        <v>-2.1729040000000002E-2</v>
      </c>
      <c r="R4768">
        <v>-0.99019009999999996</v>
      </c>
      <c r="S4768">
        <v>-0.2147522</v>
      </c>
      <c r="T4768">
        <v>-0.82561799999999996</v>
      </c>
      <c r="U4768">
        <v>-3.0424799999999999</v>
      </c>
      <c r="V4768">
        <v>-9.6767930000000002E-2</v>
      </c>
      <c r="W4768">
        <v>-8.5956969999999994E-3</v>
      </c>
      <c r="X4768">
        <v>0.99526979999999998</v>
      </c>
      <c r="Y4768">
        <v>0.1093182</v>
      </c>
      <c r="Z4768">
        <v>0.26046419999999998</v>
      </c>
      <c r="AA4768">
        <v>0.95927470000000004</v>
      </c>
      <c r="AB4768">
        <v>21</v>
      </c>
      <c r="AC4768">
        <v>-6.9799999999986498E-2</v>
      </c>
      <c r="AD4768">
        <v>-0.22128410000000001</v>
      </c>
      <c r="AE4768">
        <v>-0.60386999999999302</v>
      </c>
      <c r="AF4768">
        <v>8.37133346056851E-2</v>
      </c>
      <c r="AG4768">
        <v>-0.22128410000000001</v>
      </c>
      <c r="AH4768">
        <v>0.53019577925621997</v>
      </c>
      <c r="AI4768">
        <v>112.40419560050501</v>
      </c>
      <c r="AJ4768">
        <v>81.027561951879093</v>
      </c>
      <c r="AK4768">
        <v>0.58058775361242598</v>
      </c>
      <c r="AL4768">
        <v>90.492503251380597</v>
      </c>
      <c r="AM4768">
        <v>95.553289730152102</v>
      </c>
      <c r="AN4768">
        <v>0.99999994653771795</v>
      </c>
    </row>
    <row r="4769" spans="1:40" x14ac:dyDescent="0.3">
      <c r="A4769" t="str">
        <f>"20200111160558452"</f>
        <v>20200111160558452</v>
      </c>
      <c r="B4769" t="str">
        <f>"1578729958446644"</f>
        <v>1578729958446644</v>
      </c>
      <c r="C4769" t="s">
        <v>40</v>
      </c>
      <c r="D4769">
        <v>5.4691519999999896</v>
      </c>
      <c r="E4769">
        <v>0.57797200000000004</v>
      </c>
      <c r="F4769" t="s">
        <v>42</v>
      </c>
      <c r="G4769">
        <v>-420.7885</v>
      </c>
      <c r="H4769">
        <v>0.89286650000000001</v>
      </c>
      <c r="I4769">
        <v>38.079180000000001</v>
      </c>
      <c r="J4769">
        <v>-420.7208</v>
      </c>
      <c r="K4769">
        <v>1.11264599999999</v>
      </c>
      <c r="L4769">
        <v>38.659089999999999</v>
      </c>
      <c r="M4769">
        <v>4.4893469999999998E-2</v>
      </c>
      <c r="N4769">
        <v>0</v>
      </c>
      <c r="O4769">
        <v>-0.99889839999999996</v>
      </c>
      <c r="P4769">
        <v>0.14453769999999999</v>
      </c>
      <c r="Q4769">
        <v>-2.5551299999999999E-2</v>
      </c>
      <c r="R4769">
        <v>-0.98916939999999998</v>
      </c>
      <c r="S4769">
        <v>-0.21008299999999999</v>
      </c>
      <c r="T4769">
        <v>-0.84368909999999997</v>
      </c>
      <c r="U4769">
        <v>-3.0404969999999998</v>
      </c>
      <c r="V4769">
        <v>-9.9920300000000004E-2</v>
      </c>
      <c r="W4769">
        <v>-1.244757E-2</v>
      </c>
      <c r="X4769">
        <v>0.99491759999999996</v>
      </c>
      <c r="Y4769">
        <v>0.1111635</v>
      </c>
      <c r="Z4769">
        <v>0.26585110000000001</v>
      </c>
      <c r="AA4769">
        <v>0.95758339999999997</v>
      </c>
      <c r="AB4769">
        <v>21</v>
      </c>
      <c r="AC4769">
        <v>-6.7700000000001995E-2</v>
      </c>
      <c r="AD4769">
        <v>-0.21977949999999899</v>
      </c>
      <c r="AE4769">
        <v>-0.57990999999999804</v>
      </c>
      <c r="AF4769">
        <v>8.2042755675811305E-2</v>
      </c>
      <c r="AG4769">
        <v>-0.21977949999999899</v>
      </c>
      <c r="AH4769">
        <v>0.50476037377249305</v>
      </c>
      <c r="AI4769">
        <v>113.256753218443</v>
      </c>
      <c r="AJ4769">
        <v>80.767990989968695</v>
      </c>
      <c r="AK4769">
        <v>0.55661214261824798</v>
      </c>
      <c r="AL4769">
        <v>90.713211630783306</v>
      </c>
      <c r="AM4769">
        <v>95.735026709565304</v>
      </c>
      <c r="AN4769">
        <v>1.00000001957037</v>
      </c>
    </row>
    <row r="4770" spans="1:40" x14ac:dyDescent="0.3">
      <c r="A4770" t="str">
        <f>"20200111160558474"</f>
        <v>20200111160558474</v>
      </c>
      <c r="B4770" t="str">
        <f>"1578729958467140"</f>
        <v>1578729958467140</v>
      </c>
      <c r="C4770" t="s">
        <v>40</v>
      </c>
      <c r="D4770">
        <v>5.6549180000000003</v>
      </c>
      <c r="E4770">
        <v>0.57807050000000004</v>
      </c>
      <c r="F4770" t="s">
        <v>42</v>
      </c>
      <c r="G4770">
        <v>-420.77050000000003</v>
      </c>
      <c r="H4770">
        <v>0.89640869999999995</v>
      </c>
      <c r="I4770">
        <v>37.89049</v>
      </c>
      <c r="J4770">
        <v>-420.70760000000001</v>
      </c>
      <c r="K4770">
        <v>1.112706</v>
      </c>
      <c r="L4770">
        <v>38.45346</v>
      </c>
      <c r="M4770">
        <v>4.8311989999999999E-2</v>
      </c>
      <c r="N4770">
        <v>0</v>
      </c>
      <c r="O4770">
        <v>-0.99873869999999998</v>
      </c>
      <c r="P4770">
        <v>0.15326010000000001</v>
      </c>
      <c r="Q4770">
        <v>-2.6649409999999998E-2</v>
      </c>
      <c r="R4770">
        <v>-0.9878266</v>
      </c>
      <c r="S4770">
        <v>-0.1953125</v>
      </c>
      <c r="T4770">
        <v>-0.8558287</v>
      </c>
      <c r="U4770">
        <v>-3.0392760000000001</v>
      </c>
      <c r="V4770">
        <v>-0.1052848</v>
      </c>
      <c r="W4770">
        <v>-1.3591570000000001E-2</v>
      </c>
      <c r="X4770">
        <v>0.99434920000000004</v>
      </c>
      <c r="Y4770">
        <v>0.1098913</v>
      </c>
      <c r="Z4770">
        <v>0.26949339999999999</v>
      </c>
      <c r="AA4770">
        <v>0.9567116</v>
      </c>
      <c r="AB4770">
        <v>21</v>
      </c>
      <c r="AC4770">
        <v>-6.2900000000013195E-2</v>
      </c>
      <c r="AD4770">
        <v>-0.2162973</v>
      </c>
      <c r="AE4770">
        <v>-0.56296999999999997</v>
      </c>
      <c r="AF4770">
        <v>7.8571865302361696E-2</v>
      </c>
      <c r="AG4770">
        <v>-0.2162973</v>
      </c>
      <c r="AH4770">
        <v>0.488109297590615</v>
      </c>
      <c r="AI4770">
        <v>113.62942220401899</v>
      </c>
      <c r="AJ4770">
        <v>80.855437331668</v>
      </c>
      <c r="AK4770">
        <v>0.53963760654608395</v>
      </c>
      <c r="AL4770">
        <v>90.778763595059502</v>
      </c>
      <c r="AM4770">
        <v>96.044135871205995</v>
      </c>
      <c r="AN4770">
        <v>0.99999997571337196</v>
      </c>
    </row>
    <row r="4771" spans="1:40" x14ac:dyDescent="0.3">
      <c r="A4771" t="str">
        <f>"20200111160558496"</f>
        <v>20200111160558496</v>
      </c>
      <c r="B4771" t="str">
        <f>"1578729958487168"</f>
        <v>1578729958487168</v>
      </c>
      <c r="C4771" t="s">
        <v>40</v>
      </c>
      <c r="D4771">
        <v>5.8217189999999999</v>
      </c>
      <c r="E4771">
        <v>0.58769209999999905</v>
      </c>
      <c r="F4771" t="s">
        <v>42</v>
      </c>
      <c r="G4771">
        <v>-420.74990000000003</v>
      </c>
      <c r="H4771">
        <v>0.90088500000000005</v>
      </c>
      <c r="I4771">
        <v>37.701920000000001</v>
      </c>
      <c r="J4771">
        <v>-420.69330000000002</v>
      </c>
      <c r="K4771">
        <v>1.1127990000000001</v>
      </c>
      <c r="L4771">
        <v>38.245570000000001</v>
      </c>
      <c r="M4771">
        <v>5.1932449999999998E-2</v>
      </c>
      <c r="N4771">
        <v>0</v>
      </c>
      <c r="O4771">
        <v>-0.99855689999999997</v>
      </c>
      <c r="P4771">
        <v>0.16424639999999999</v>
      </c>
      <c r="Q4771">
        <v>-2.5891899999999999E-2</v>
      </c>
      <c r="R4771">
        <v>-0.98607979999999995</v>
      </c>
      <c r="S4771">
        <v>-0.17047119999999999</v>
      </c>
      <c r="T4771">
        <v>-0.85728119999999997</v>
      </c>
      <c r="U4771">
        <v>-3.0402830000000001</v>
      </c>
      <c r="V4771">
        <v>-0.11274339999999999</v>
      </c>
      <c r="W4771">
        <v>-1.290003E-2</v>
      </c>
      <c r="X4771">
        <v>0.99354039999999999</v>
      </c>
      <c r="Y4771">
        <v>0.1056772</v>
      </c>
      <c r="Z4771">
        <v>0.26988529999999999</v>
      </c>
      <c r="AA4771">
        <v>0.95707589999999998</v>
      </c>
      <c r="AB4771">
        <v>21</v>
      </c>
      <c r="AC4771">
        <v>-5.6600000000003002E-2</v>
      </c>
      <c r="AD4771">
        <v>-0.21191399999999899</v>
      </c>
      <c r="AE4771">
        <v>-0.54364999999999897</v>
      </c>
      <c r="AF4771">
        <v>7.3683666099967196E-2</v>
      </c>
      <c r="AG4771">
        <v>-0.21191399999999899</v>
      </c>
      <c r="AH4771">
        <v>0.469416842227038</v>
      </c>
      <c r="AI4771">
        <v>114.03592215212601</v>
      </c>
      <c r="AJ4771">
        <v>81.079158330808895</v>
      </c>
      <c r="AK4771">
        <v>0.52027780830277104</v>
      </c>
      <c r="AL4771">
        <v>90.739137771408593</v>
      </c>
      <c r="AM4771">
        <v>96.474025825279099</v>
      </c>
      <c r="AN4771">
        <v>1.0000000057248599</v>
      </c>
    </row>
    <row r="4772" spans="1:40" x14ac:dyDescent="0.3">
      <c r="A4772" t="str">
        <f>"20200111160558519"</f>
        <v>20200111160558519</v>
      </c>
      <c r="B4772" t="str">
        <f>"1578729958516448"</f>
        <v>1578729958516448</v>
      </c>
      <c r="C4772" t="s">
        <v>40</v>
      </c>
      <c r="D4772">
        <v>5.4079189999999997</v>
      </c>
      <c r="E4772">
        <v>0.58319089999999996</v>
      </c>
      <c r="F4772" t="s">
        <v>42</v>
      </c>
      <c r="G4772">
        <v>-420.74489999999997</v>
      </c>
      <c r="H4772">
        <v>0.94786079999999995</v>
      </c>
      <c r="I4772">
        <v>37.492069999999998</v>
      </c>
      <c r="J4772">
        <v>-420.67779999999999</v>
      </c>
      <c r="K4772">
        <v>1.11291299999999</v>
      </c>
      <c r="L4772">
        <v>38.033969999999997</v>
      </c>
      <c r="M4772">
        <v>5.5818970000000002E-2</v>
      </c>
      <c r="N4772">
        <v>0</v>
      </c>
      <c r="O4772">
        <v>-0.99834730000000005</v>
      </c>
      <c r="P4772">
        <v>0.17554129999999901</v>
      </c>
      <c r="Q4772">
        <v>-2.654451E-2</v>
      </c>
      <c r="R4772">
        <v>-0.9841143</v>
      </c>
      <c r="S4772">
        <v>-0.20834349999999999</v>
      </c>
      <c r="T4772">
        <v>-0.67040929999999999</v>
      </c>
      <c r="U4772">
        <v>-3.0594480000000002</v>
      </c>
      <c r="V4772">
        <v>-0.120256</v>
      </c>
      <c r="W4772">
        <v>-1.3629550000000001E-2</v>
      </c>
      <c r="X4772">
        <v>0.99264929999999996</v>
      </c>
      <c r="Y4772">
        <v>0.12197089999999899</v>
      </c>
      <c r="Z4772">
        <v>0.21251320000000001</v>
      </c>
      <c r="AA4772">
        <v>0.96951600000000004</v>
      </c>
      <c r="AB4772">
        <v>21</v>
      </c>
      <c r="AC4772">
        <v>-6.7099999999982105E-2</v>
      </c>
      <c r="AD4772">
        <v>-0.16505219999999901</v>
      </c>
      <c r="AE4772">
        <v>-0.54190000000000504</v>
      </c>
      <c r="AF4772">
        <v>8.9105099696018E-2</v>
      </c>
      <c r="AG4772">
        <v>-0.16505219999999901</v>
      </c>
      <c r="AH4772">
        <v>0.49232610501106999</v>
      </c>
      <c r="AI4772">
        <v>108.25721807823101</v>
      </c>
      <c r="AJ4772">
        <v>79.741206015490903</v>
      </c>
      <c r="AK4772">
        <v>0.52684622157898098</v>
      </c>
      <c r="AL4772">
        <v>90.7809399093303</v>
      </c>
      <c r="AM4772">
        <v>96.907522370884394</v>
      </c>
      <c r="AN4772">
        <v>0.999999951479845</v>
      </c>
    </row>
    <row r="4773" spans="1:40" x14ac:dyDescent="0.3">
      <c r="A4773" t="str">
        <f>"20200111160558542"</f>
        <v>20200111160558542</v>
      </c>
      <c r="B4773" t="str">
        <f>"1578729958536947"</f>
        <v>1578729958536947</v>
      </c>
      <c r="C4773" t="s">
        <v>40</v>
      </c>
      <c r="D4773">
        <v>5.3687139999999998</v>
      </c>
      <c r="E4773">
        <v>0.58370669999999902</v>
      </c>
      <c r="F4773" t="s">
        <v>42</v>
      </c>
      <c r="G4773">
        <v>-420.71080000000001</v>
      </c>
      <c r="H4773">
        <v>0.90626680000000004</v>
      </c>
      <c r="I4773">
        <v>37.326929999999997</v>
      </c>
      <c r="J4773">
        <v>-420.66090000000003</v>
      </c>
      <c r="K4773">
        <v>1.113059</v>
      </c>
      <c r="L4773">
        <v>37.818300000000001</v>
      </c>
      <c r="M4773">
        <v>6.0025910000000002E-2</v>
      </c>
      <c r="N4773">
        <v>0</v>
      </c>
      <c r="O4773">
        <v>-0.99810279999999996</v>
      </c>
      <c r="P4773">
        <v>0.18665590000000001</v>
      </c>
      <c r="Q4773">
        <v>-2.8608700000000001E-2</v>
      </c>
      <c r="R4773">
        <v>-0.98200880000000002</v>
      </c>
      <c r="S4773">
        <v>-0.1421509</v>
      </c>
      <c r="T4773">
        <v>-0.89139259999999998</v>
      </c>
      <c r="U4773">
        <v>-3.049744</v>
      </c>
      <c r="V4773">
        <v>-0.127277</v>
      </c>
      <c r="W4773">
        <v>-1.5779499999999998E-2</v>
      </c>
      <c r="X4773">
        <v>0.99174169999999995</v>
      </c>
      <c r="Y4773">
        <v>0.104585</v>
      </c>
      <c r="Z4773">
        <v>0.27888099999999999</v>
      </c>
      <c r="AA4773">
        <v>0.95461370000000001</v>
      </c>
      <c r="AB4773">
        <v>21</v>
      </c>
      <c r="AC4773">
        <v>-4.98999999999796E-2</v>
      </c>
      <c r="AD4773">
        <v>-0.20679220000000001</v>
      </c>
      <c r="AE4773">
        <v>-0.49137000000000303</v>
      </c>
      <c r="AF4773">
        <v>6.7478384199886499E-2</v>
      </c>
      <c r="AG4773">
        <v>-0.20679220000000001</v>
      </c>
      <c r="AH4773">
        <v>0.414775821323764</v>
      </c>
      <c r="AI4773">
        <v>116.201531722067</v>
      </c>
      <c r="AJ4773">
        <v>80.759709023364096</v>
      </c>
      <c r="AK4773">
        <v>0.46835384942356401</v>
      </c>
      <c r="AL4773">
        <v>90.9041362638701</v>
      </c>
      <c r="AM4773">
        <v>97.313184141232</v>
      </c>
      <c r="AN4773">
        <v>1.0000000134340601</v>
      </c>
    </row>
    <row r="4774" spans="1:40" x14ac:dyDescent="0.3">
      <c r="A4774" t="str">
        <f>"20200111160558565"</f>
        <v>20200111160558565</v>
      </c>
      <c r="B4774" t="str">
        <f>"1578729958556464"</f>
        <v>1578729958556464</v>
      </c>
      <c r="C4774" t="s">
        <v>40</v>
      </c>
      <c r="D4774">
        <v>5.3236410000000003</v>
      </c>
      <c r="E4774">
        <v>0.58409029999999995</v>
      </c>
      <c r="F4774" t="s">
        <v>42</v>
      </c>
      <c r="G4774">
        <v>-420.68599999999998</v>
      </c>
      <c r="H4774">
        <v>0.9123753</v>
      </c>
      <c r="I4774">
        <v>37.138820000000003</v>
      </c>
      <c r="J4774">
        <v>-420.6438</v>
      </c>
      <c r="K4774">
        <v>1.1132139999999999</v>
      </c>
      <c r="L4774">
        <v>37.613860000000003</v>
      </c>
      <c r="M4774">
        <v>6.4299259999999997E-2</v>
      </c>
      <c r="N4774">
        <v>0</v>
      </c>
      <c r="O4774">
        <v>-0.99783659999999996</v>
      </c>
      <c r="P4774">
        <v>0.19801360000000001</v>
      </c>
      <c r="Q4774">
        <v>-3.0288570000000001E-2</v>
      </c>
      <c r="R4774">
        <v>-0.97973160000000004</v>
      </c>
      <c r="S4774">
        <v>-0.1112366</v>
      </c>
      <c r="T4774">
        <v>-0.90143110000000004</v>
      </c>
      <c r="U4774">
        <v>-3.0498349999999999</v>
      </c>
      <c r="V4774">
        <v>-0.13449359999999999</v>
      </c>
      <c r="W4774">
        <v>-1.7556169999999999E-2</v>
      </c>
      <c r="X4774">
        <v>0.99075899999999995</v>
      </c>
      <c r="Y4774">
        <v>9.9148840000000002E-2</v>
      </c>
      <c r="Z4774">
        <v>0.28178629999999999</v>
      </c>
      <c r="AA4774">
        <v>0.95434059999999998</v>
      </c>
      <c r="AB4774">
        <v>21</v>
      </c>
      <c r="AC4774">
        <v>-4.2199999999979802E-2</v>
      </c>
      <c r="AD4774">
        <v>-0.20083869999999901</v>
      </c>
      <c r="AE4774">
        <v>-0.47503999999999202</v>
      </c>
      <c r="AF4774">
        <v>6.17153028469479E-2</v>
      </c>
      <c r="AG4774">
        <v>-0.20083869999999901</v>
      </c>
      <c r="AH4774">
        <v>0.40034385823266</v>
      </c>
      <c r="AI4774">
        <v>116.372622798187</v>
      </c>
      <c r="AJ4774">
        <v>81.236510812941006</v>
      </c>
      <c r="AK4774">
        <v>0.45212848488874602</v>
      </c>
      <c r="AL4774">
        <v>91.005946052982097</v>
      </c>
      <c r="AM4774">
        <v>97.730536422706095</v>
      </c>
      <c r="AN4774">
        <v>1.00000007181351</v>
      </c>
    </row>
    <row r="4775" spans="1:40" x14ac:dyDescent="0.3">
      <c r="A4775" t="str">
        <f>"20200111160558586"</f>
        <v>20200111160558586</v>
      </c>
      <c r="B4775" t="str">
        <f>"1578729958576960"</f>
        <v>1578729958576960</v>
      </c>
      <c r="C4775" t="s">
        <v>40</v>
      </c>
      <c r="D4775">
        <v>5.5040889999999996</v>
      </c>
      <c r="E4775">
        <v>0.58577809999999997</v>
      </c>
      <c r="F4775" t="s">
        <v>42</v>
      </c>
      <c r="G4775">
        <v>-420.66520000000003</v>
      </c>
      <c r="H4775">
        <v>0.86686039999999998</v>
      </c>
      <c r="I4775">
        <v>36.785899999999998</v>
      </c>
      <c r="J4775">
        <v>-420.62569999999999</v>
      </c>
      <c r="K4775">
        <v>1.1133820000000001</v>
      </c>
      <c r="L4775">
        <v>37.413969999999999</v>
      </c>
      <c r="M4775">
        <v>6.8779629999999994E-2</v>
      </c>
      <c r="N4775">
        <v>0</v>
      </c>
      <c r="O4775">
        <v>-0.99753740000000002</v>
      </c>
      <c r="P4775">
        <v>0.20992140000000001</v>
      </c>
      <c r="Q4775">
        <v>-3.0492749999999999E-2</v>
      </c>
      <c r="R4775">
        <v>-0.97724270000000002</v>
      </c>
      <c r="S4775">
        <v>-7.8857419999999998E-2</v>
      </c>
      <c r="T4775">
        <v>-0.9075027</v>
      </c>
      <c r="U4775">
        <v>-3.049957</v>
      </c>
      <c r="V4775">
        <v>-0.1420864</v>
      </c>
      <c r="W4775">
        <v>-1.7868209999999999E-2</v>
      </c>
      <c r="X4775">
        <v>0.98969300000000004</v>
      </c>
      <c r="Y4775">
        <v>9.3478809999999996E-2</v>
      </c>
      <c r="Z4775">
        <v>0.28351700000000002</v>
      </c>
      <c r="AA4775">
        <v>0.95440020000000003</v>
      </c>
      <c r="AB4775">
        <v>21</v>
      </c>
      <c r="AC4775">
        <v>-3.9500000000032197E-2</v>
      </c>
      <c r="AD4775">
        <v>-0.24652159999999901</v>
      </c>
      <c r="AE4775">
        <v>-0.62807000000000102</v>
      </c>
      <c r="AF4775">
        <v>7.1618723870439202E-2</v>
      </c>
      <c r="AG4775">
        <v>-0.24652159999999901</v>
      </c>
      <c r="AH4775">
        <v>0.540866890190288</v>
      </c>
      <c r="AI4775">
        <v>114.31562886475101</v>
      </c>
      <c r="AJ4775">
        <v>82.457077612969996</v>
      </c>
      <c r="AK4775">
        <v>0.59869786518702695</v>
      </c>
      <c r="AL4775">
        <v>91.023827478703694</v>
      </c>
      <c r="AM4775">
        <v>98.169908274436594</v>
      </c>
      <c r="AN4775">
        <v>1.00000002612128</v>
      </c>
    </row>
    <row r="4776" spans="1:40" x14ac:dyDescent="0.3">
      <c r="A4776" t="str">
        <f>"20200111160558609"</f>
        <v>20200111160558609</v>
      </c>
      <c r="B4776" t="str">
        <f>"1578729958596480"</f>
        <v>1578729958596480</v>
      </c>
      <c r="C4776" t="s">
        <v>40</v>
      </c>
      <c r="D4776">
        <v>5.2806550000000003</v>
      </c>
      <c r="E4776">
        <v>0.58681240000000001</v>
      </c>
      <c r="F4776" t="s">
        <v>42</v>
      </c>
      <c r="G4776">
        <v>-420.63990000000001</v>
      </c>
      <c r="H4776">
        <v>0.871720099999999</v>
      </c>
      <c r="I4776">
        <v>36.599769999999999</v>
      </c>
      <c r="J4776">
        <v>-420.60590000000002</v>
      </c>
      <c r="K4776">
        <v>1.1135569999999999</v>
      </c>
      <c r="L4776">
        <v>37.208799999999997</v>
      </c>
      <c r="M4776">
        <v>7.3649240000000005E-2</v>
      </c>
      <c r="N4776">
        <v>0</v>
      </c>
      <c r="O4776">
        <v>-0.99718960000000001</v>
      </c>
      <c r="P4776">
        <v>0.22201129999999999</v>
      </c>
      <c r="Q4776">
        <v>-2.8495800000000002E-2</v>
      </c>
      <c r="R4776">
        <v>-0.97462769999999999</v>
      </c>
      <c r="S4776">
        <v>-5.2612300000000001E-2</v>
      </c>
      <c r="T4776">
        <v>-0.90664829999999996</v>
      </c>
      <c r="U4776">
        <v>-3.0528870000000001</v>
      </c>
      <c r="V4776">
        <v>-0.14951039999999999</v>
      </c>
      <c r="W4776">
        <v>-1.5979050000000002E-2</v>
      </c>
      <c r="X4776">
        <v>0.98863100000000004</v>
      </c>
      <c r="Y4776">
        <v>9.0116959999999996E-2</v>
      </c>
      <c r="Z4776">
        <v>0.28294530000000001</v>
      </c>
      <c r="AA4776">
        <v>0.95489310000000005</v>
      </c>
      <c r="AB4776">
        <v>21</v>
      </c>
      <c r="AC4776">
        <v>-3.3999999999991801E-2</v>
      </c>
      <c r="AD4776">
        <v>-0.24183689999999999</v>
      </c>
      <c r="AE4776">
        <v>-0.60902999999999696</v>
      </c>
      <c r="AF4776">
        <v>6.8067202197420795E-2</v>
      </c>
      <c r="AG4776">
        <v>-0.24183689999999999</v>
      </c>
      <c r="AH4776">
        <v>0.52270845609675198</v>
      </c>
      <c r="AI4776">
        <v>114.64507075353499</v>
      </c>
      <c r="AJ4776">
        <v>82.580681096375699</v>
      </c>
      <c r="AK4776">
        <v>0.579950308467583</v>
      </c>
      <c r="AL4776">
        <v>90.915571116261503</v>
      </c>
      <c r="AM4776">
        <v>98.599661104256697</v>
      </c>
      <c r="AN4776">
        <v>0.99999997195403001</v>
      </c>
    </row>
    <row r="4777" spans="1:40" x14ac:dyDescent="0.3">
      <c r="A4777" t="str">
        <f>"20200111160558631"</f>
        <v>20200111160558631</v>
      </c>
      <c r="B4777" t="str">
        <f>"1578729958626739"</f>
        <v>1578729958626739</v>
      </c>
      <c r="C4777" t="s">
        <v>40</v>
      </c>
      <c r="D4777">
        <v>6.0879699999999897</v>
      </c>
      <c r="E4777">
        <v>0.58766169999999995</v>
      </c>
      <c r="F4777" t="s">
        <v>42</v>
      </c>
      <c r="G4777">
        <v>-420.61149999999998</v>
      </c>
      <c r="H4777">
        <v>0.87979439999999998</v>
      </c>
      <c r="I4777">
        <v>36.413029999999999</v>
      </c>
      <c r="J4777">
        <v>-420.58420000000001</v>
      </c>
      <c r="K4777">
        <v>1.1137360000000001</v>
      </c>
      <c r="L4777">
        <v>36.997920000000001</v>
      </c>
      <c r="M4777">
        <v>7.8942600000000002E-2</v>
      </c>
      <c r="N4777">
        <v>0</v>
      </c>
      <c r="O4777">
        <v>-0.99678429999999996</v>
      </c>
      <c r="P4777">
        <v>0.2359667</v>
      </c>
      <c r="Q4777">
        <v>-2.4001129999999999E-2</v>
      </c>
      <c r="R4777">
        <v>-0.97146509999999997</v>
      </c>
      <c r="S4777">
        <v>-1.9897459999999999E-2</v>
      </c>
      <c r="T4777">
        <v>-0.89895159999999996</v>
      </c>
      <c r="U4777">
        <v>-3.0563349999999998</v>
      </c>
      <c r="V4777">
        <v>-0.1584499</v>
      </c>
      <c r="W4777">
        <v>-1.1608490000000001E-2</v>
      </c>
      <c r="X4777">
        <v>0.98729880000000003</v>
      </c>
      <c r="Y4777">
        <v>8.5170270000000006E-2</v>
      </c>
      <c r="Z4777">
        <v>0.28035500000000002</v>
      </c>
      <c r="AA4777">
        <v>0.95611040000000003</v>
      </c>
      <c r="AB4777">
        <v>21</v>
      </c>
      <c r="AC4777">
        <v>-2.7299999999968301E-2</v>
      </c>
      <c r="AD4777">
        <v>-0.2339416</v>
      </c>
      <c r="AE4777">
        <v>-0.58489000000000102</v>
      </c>
      <c r="AF4777">
        <v>6.3288918931690905E-2</v>
      </c>
      <c r="AG4777">
        <v>-0.2339416</v>
      </c>
      <c r="AH4777">
        <v>0.50094228667348095</v>
      </c>
      <c r="AI4777">
        <v>114.85923484134101</v>
      </c>
      <c r="AJ4777">
        <v>82.7994155767461</v>
      </c>
      <c r="AK4777">
        <v>0.55648659826428704</v>
      </c>
      <c r="AL4777">
        <v>90.665132406562094</v>
      </c>
      <c r="AM4777">
        <v>99.117553683242903</v>
      </c>
      <c r="AN4777">
        <v>1.0000000241657601</v>
      </c>
    </row>
    <row r="4778" spans="1:40" x14ac:dyDescent="0.3">
      <c r="A4778" t="str">
        <f>"20200111160558742"</f>
        <v>20200111160558742</v>
      </c>
      <c r="B4778" t="str">
        <f>"1578729958737024"</f>
        <v>1578729958737024</v>
      </c>
      <c r="C4778" t="s">
        <v>40</v>
      </c>
      <c r="D4778">
        <v>4.84924</v>
      </c>
      <c r="E4778">
        <v>0.32926430000000001</v>
      </c>
      <c r="F4778" t="s">
        <v>44</v>
      </c>
      <c r="G4778">
        <v>-384.5942</v>
      </c>
      <c r="H4778">
        <v>-0.05</v>
      </c>
      <c r="I4778">
        <v>-4.417465</v>
      </c>
      <c r="J4778">
        <v>-420.45699999999999</v>
      </c>
      <c r="K4778">
        <v>1.1146910000000001</v>
      </c>
      <c r="L4778">
        <v>35.977509999999903</v>
      </c>
      <c r="M4778">
        <v>0.1090317</v>
      </c>
      <c r="N4778">
        <v>0</v>
      </c>
      <c r="O4778">
        <v>-0.99394150000000003</v>
      </c>
      <c r="P4778">
        <v>0.30461549999999998</v>
      </c>
      <c r="Q4778">
        <v>-6.6545090000000003E-3</v>
      </c>
      <c r="R4778">
        <v>-0.95245250000000004</v>
      </c>
      <c r="S4778">
        <v>2.1846009999999998</v>
      </c>
      <c r="T4778">
        <v>-7.0879460000000005E-2</v>
      </c>
      <c r="U4778">
        <v>-2.4710390000000002</v>
      </c>
      <c r="V4778">
        <v>-0.1989987</v>
      </c>
      <c r="W4778">
        <v>5.0466490000000003E-3</v>
      </c>
      <c r="X4778">
        <v>0.97998669999999999</v>
      </c>
      <c r="Y4778">
        <v>-0.57654569999999905</v>
      </c>
      <c r="Z4778">
        <v>2.2100399999999999E-2</v>
      </c>
      <c r="AA4778">
        <v>0.81676599999999999</v>
      </c>
      <c r="AB4778">
        <v>21</v>
      </c>
      <c r="AC4778">
        <v>35.862799999999901</v>
      </c>
      <c r="AD4778">
        <v>-1.1646909999999999</v>
      </c>
      <c r="AE4778">
        <v>-40.394975000000002</v>
      </c>
      <c r="AF4778">
        <v>-31.2296795796757</v>
      </c>
      <c r="AG4778">
        <v>-1.1646909999999999</v>
      </c>
      <c r="AH4778">
        <v>44.044187163604903</v>
      </c>
      <c r="AI4778">
        <v>91.235756969625498</v>
      </c>
      <c r="AJ4778">
        <v>125.338675899449</v>
      </c>
      <c r="AK4778">
        <v>54.004998052748398</v>
      </c>
      <c r="AL4778">
        <v>89.710847067366004</v>
      </c>
      <c r="AM4778">
        <v>101.478560686297</v>
      </c>
      <c r="AN4778">
        <v>0.99999994172235196</v>
      </c>
    </row>
    <row r="4779" spans="1:40" x14ac:dyDescent="0.3">
      <c r="A4779" t="str">
        <f>"20200111160558765"</f>
        <v>20200111160558765</v>
      </c>
      <c r="B4779" t="str">
        <f>"1578729958756547"</f>
        <v>1578729958756547</v>
      </c>
      <c r="C4779" t="s">
        <v>40</v>
      </c>
      <c r="D4779">
        <v>4.7690939999999999</v>
      </c>
      <c r="E4779">
        <v>0.32624120000000001</v>
      </c>
      <c r="F4779" t="s">
        <v>41</v>
      </c>
      <c r="G4779">
        <v>-396.59269999999998</v>
      </c>
      <c r="H4779">
        <v>6.162749E-2</v>
      </c>
      <c r="I4779">
        <v>9.6046849999999999</v>
      </c>
      <c r="J4779">
        <v>-420.42809999999997</v>
      </c>
      <c r="K4779">
        <v>1.1148610000000001</v>
      </c>
      <c r="L4779">
        <v>35.783659999999998</v>
      </c>
      <c r="M4779">
        <v>0.11559709999999999</v>
      </c>
      <c r="N4779">
        <v>0</v>
      </c>
      <c r="O4779">
        <v>-0.9931989</v>
      </c>
      <c r="P4779">
        <v>0.31777709999999998</v>
      </c>
      <c r="Q4779">
        <v>-5.9112799999999997E-3</v>
      </c>
      <c r="R4779">
        <v>-0.94814730000000003</v>
      </c>
      <c r="S4779">
        <v>2.209991</v>
      </c>
      <c r="T4779">
        <v>-9.7520350000000006E-2</v>
      </c>
      <c r="U4779">
        <v>-2.442291</v>
      </c>
      <c r="V4779">
        <v>-0.2060989</v>
      </c>
      <c r="W4779">
        <v>5.6498399999999997E-3</v>
      </c>
      <c r="X4779">
        <v>0.97851489999999997</v>
      </c>
      <c r="Y4779">
        <v>-0.58043219999999995</v>
      </c>
      <c r="Z4779">
        <v>3.0491230000000001E-2</v>
      </c>
      <c r="AA4779">
        <v>0.81373759999999995</v>
      </c>
      <c r="AB4779">
        <v>21</v>
      </c>
      <c r="AC4779">
        <v>23.8354</v>
      </c>
      <c r="AD4779">
        <v>-1.0532335100000001</v>
      </c>
      <c r="AE4779">
        <v>-26.178975000000001</v>
      </c>
      <c r="AF4779">
        <v>-20.630816826101501</v>
      </c>
      <c r="AG4779">
        <v>-1.0532335100000001</v>
      </c>
      <c r="AH4779">
        <v>28.7335824833219</v>
      </c>
      <c r="AI4779">
        <v>91.705481736301195</v>
      </c>
      <c r="AJ4779">
        <v>125.678484664309</v>
      </c>
      <c r="AK4779">
        <v>35.388679914127898</v>
      </c>
      <c r="AL4779">
        <v>89.676286304914498</v>
      </c>
      <c r="AM4779">
        <v>101.894027256307</v>
      </c>
      <c r="AN4779">
        <v>1.0000000433976199</v>
      </c>
    </row>
    <row r="4780" spans="1:40" x14ac:dyDescent="0.3">
      <c r="A4780" t="str">
        <f>"20200111160558787"</f>
        <v>20200111160558787</v>
      </c>
      <c r="B4780" t="str">
        <f>"1578729958777040"</f>
        <v>1578729958777040</v>
      </c>
      <c r="C4780" t="s">
        <v>40</v>
      </c>
      <c r="D4780">
        <v>4.6669839999999896</v>
      </c>
      <c r="E4780">
        <v>0.32744190000000001</v>
      </c>
      <c r="F4780" t="s">
        <v>80</v>
      </c>
      <c r="G4780">
        <v>-387.44760000000002</v>
      </c>
      <c r="H4780">
        <v>0.69690200000000002</v>
      </c>
      <c r="I4780">
        <v>0.80844499999999997</v>
      </c>
      <c r="J4780">
        <v>-420.39609999999999</v>
      </c>
      <c r="K4780">
        <v>1.115</v>
      </c>
      <c r="L4780">
        <v>35.581150000000001</v>
      </c>
      <c r="M4780">
        <v>0.12272130000000001</v>
      </c>
      <c r="N4780">
        <v>0</v>
      </c>
      <c r="O4780">
        <v>-0.99234370000000005</v>
      </c>
      <c r="P4780">
        <v>0.33073979999999997</v>
      </c>
      <c r="Q4780">
        <v>-5.7963779999999996E-3</v>
      </c>
      <c r="R4780">
        <v>-0.9437046</v>
      </c>
      <c r="S4780">
        <v>2.2669980000000001</v>
      </c>
      <c r="T4780">
        <v>-2.8731349999999999E-2</v>
      </c>
      <c r="U4780">
        <v>-2.4041139999999999</v>
      </c>
      <c r="V4780">
        <v>-0.21248400000000001</v>
      </c>
      <c r="W4780">
        <v>5.638395E-3</v>
      </c>
      <c r="X4780">
        <v>0.97714829999999997</v>
      </c>
      <c r="Y4780">
        <v>-0.59154619999999902</v>
      </c>
      <c r="Z4780">
        <v>8.9783080000000008E-3</v>
      </c>
      <c r="AA4780">
        <v>0.80622109999999902</v>
      </c>
      <c r="AB4780">
        <v>21</v>
      </c>
      <c r="AC4780">
        <v>32.948499999999903</v>
      </c>
      <c r="AD4780">
        <v>-0.41809800000000003</v>
      </c>
      <c r="AE4780">
        <v>-34.772705000000002</v>
      </c>
      <c r="AF4780">
        <v>-28.429469552107999</v>
      </c>
      <c r="AG4780">
        <v>-0.41809800000000003</v>
      </c>
      <c r="AH4780">
        <v>38.550750373006998</v>
      </c>
      <c r="AI4780">
        <v>90.500098544834501</v>
      </c>
      <c r="AJ4780">
        <v>126.407129508699</v>
      </c>
      <c r="AK4780">
        <v>47.901669065636398</v>
      </c>
      <c r="AL4780">
        <v>89.676942058283203</v>
      </c>
      <c r="AM4780">
        <v>102.268158626295</v>
      </c>
      <c r="AN4780">
        <v>1.00000002097353</v>
      </c>
    </row>
    <row r="4781" spans="1:40" x14ac:dyDescent="0.3">
      <c r="A4781" t="str">
        <f>"20200111160558810"</f>
        <v>20200111160558810</v>
      </c>
      <c r="B4781" t="str">
        <f>"1578729958807296"</f>
        <v>1578729958807296</v>
      </c>
      <c r="C4781" t="s">
        <v>40</v>
      </c>
      <c r="D4781">
        <v>4.8694189999999997</v>
      </c>
      <c r="E4781">
        <v>0.33091019999999999</v>
      </c>
      <c r="F4781" t="s">
        <v>80</v>
      </c>
      <c r="G4781">
        <v>-386.86849999999998</v>
      </c>
      <c r="H4781">
        <v>1.188787</v>
      </c>
      <c r="I4781">
        <v>0.81433679999999997</v>
      </c>
      <c r="J4781">
        <v>-420.36270000000002</v>
      </c>
      <c r="K4781">
        <v>1.1150949999999999</v>
      </c>
      <c r="L4781">
        <v>35.380070000000003</v>
      </c>
      <c r="M4781">
        <v>0.12999559999999999</v>
      </c>
      <c r="N4781">
        <v>0</v>
      </c>
      <c r="O4781">
        <v>-0.99141639999999998</v>
      </c>
      <c r="P4781">
        <v>0.34327819999999998</v>
      </c>
      <c r="Q4781">
        <v>-5.7222059999999996E-3</v>
      </c>
      <c r="R4781">
        <v>-0.9392163</v>
      </c>
      <c r="S4781">
        <v>2.29129</v>
      </c>
      <c r="T4781">
        <v>5.0408839999999998E-3</v>
      </c>
      <c r="U4781">
        <v>-2.3759769999999998</v>
      </c>
      <c r="V4781">
        <v>-0.2183291</v>
      </c>
      <c r="W4781">
        <v>5.6093080000000003E-3</v>
      </c>
      <c r="X4781">
        <v>0.97585900000000003</v>
      </c>
      <c r="Y4781">
        <v>-0.59468750000000004</v>
      </c>
      <c r="Z4781">
        <v>-1.5796600000000001E-3</v>
      </c>
      <c r="AA4781">
        <v>0.80395539999999999</v>
      </c>
      <c r="AB4781">
        <v>21</v>
      </c>
      <c r="AC4781">
        <v>33.494199999999999</v>
      </c>
      <c r="AD4781">
        <v>7.3691999999999799E-2</v>
      </c>
      <c r="AE4781">
        <v>-34.565733199999997</v>
      </c>
      <c r="AF4781">
        <v>-28.7160338015665</v>
      </c>
      <c r="AG4781">
        <v>7.3691999999999799E-2</v>
      </c>
      <c r="AH4781">
        <v>38.626802702493102</v>
      </c>
      <c r="AI4781">
        <v>89.912277032276506</v>
      </c>
      <c r="AJ4781">
        <v>126.627942455206</v>
      </c>
      <c r="AK4781">
        <v>48.131548020200903</v>
      </c>
      <c r="AL4781">
        <v>89.678608615795596</v>
      </c>
      <c r="AM4781">
        <v>102.611114577411</v>
      </c>
      <c r="AN4781">
        <v>0.99999992406202098</v>
      </c>
    </row>
    <row r="4782" spans="1:40" x14ac:dyDescent="0.3">
      <c r="A4782" t="str">
        <f>"20200111160558833"</f>
        <v>20200111160558833</v>
      </c>
      <c r="B4782" t="str">
        <f>"1578729958826819"</f>
        <v>1578729958826819</v>
      </c>
      <c r="C4782" t="s">
        <v>40</v>
      </c>
      <c r="D4782">
        <v>4.9290229999999999</v>
      </c>
      <c r="E4782">
        <v>0.33435169999999997</v>
      </c>
      <c r="F4782" t="s">
        <v>80</v>
      </c>
      <c r="G4782">
        <v>-386.64890000000003</v>
      </c>
      <c r="H4782">
        <v>0.9496057</v>
      </c>
      <c r="I4782">
        <v>0.81657029999999997</v>
      </c>
      <c r="J4782">
        <v>-420.32639999999998</v>
      </c>
      <c r="K4782">
        <v>1.115138</v>
      </c>
      <c r="L4782">
        <v>35.172909999999902</v>
      </c>
      <c r="M4782">
        <v>0.13764560000000001</v>
      </c>
      <c r="N4782">
        <v>0</v>
      </c>
      <c r="O4782">
        <v>-0.99038300000000001</v>
      </c>
      <c r="P4782">
        <v>0.35541349999999999</v>
      </c>
      <c r="Q4782">
        <v>-5.5157280000000001E-3</v>
      </c>
      <c r="R4782">
        <v>-0.93469270000000004</v>
      </c>
      <c r="S4782">
        <v>2.2967529999999998</v>
      </c>
      <c r="T4782">
        <v>-1.1275769999999999E-2</v>
      </c>
      <c r="U4782">
        <v>-2.3546450000000001</v>
      </c>
      <c r="V4782">
        <v>-0.2234343</v>
      </c>
      <c r="W4782">
        <v>5.7380529999999999E-3</v>
      </c>
      <c r="X4782">
        <v>0.97470210000000002</v>
      </c>
      <c r="Y4782">
        <v>-0.59305640000000004</v>
      </c>
      <c r="Z4782">
        <v>3.5504040000000001E-3</v>
      </c>
      <c r="AA4782">
        <v>0.80515309999999995</v>
      </c>
      <c r="AB4782">
        <v>21</v>
      </c>
      <c r="AC4782">
        <v>33.677499999999903</v>
      </c>
      <c r="AD4782">
        <v>-0.16553229999999999</v>
      </c>
      <c r="AE4782">
        <v>-34.3563396999999</v>
      </c>
      <c r="AF4782">
        <v>-28.627079787278898</v>
      </c>
      <c r="AG4782">
        <v>-0.16553229999999999</v>
      </c>
      <c r="AH4782">
        <v>38.664810691027903</v>
      </c>
      <c r="AI4782">
        <v>90.197141114198104</v>
      </c>
      <c r="AJ4782">
        <v>126.51591600285199</v>
      </c>
      <c r="AK4782">
        <v>48.1092993491134</v>
      </c>
      <c r="AL4782">
        <v>89.671231975578394</v>
      </c>
      <c r="AM4782">
        <v>102.911042693776</v>
      </c>
      <c r="AN4782">
        <v>0.999999997706565</v>
      </c>
    </row>
    <row r="4783" spans="1:40" x14ac:dyDescent="0.3">
      <c r="A4783" t="str">
        <f>"20200111160558855"</f>
        <v>20200111160558855</v>
      </c>
      <c r="B4783" t="str">
        <f>"1578729958847312"</f>
        <v>1578729958847312</v>
      </c>
      <c r="C4783" t="s">
        <v>40</v>
      </c>
      <c r="D4783">
        <v>4.8484439999999998</v>
      </c>
      <c r="E4783">
        <v>0.33711069999999999</v>
      </c>
      <c r="F4783" t="s">
        <v>80</v>
      </c>
      <c r="G4783">
        <v>-386.46230000000003</v>
      </c>
      <c r="H4783">
        <v>0.64139820000000003</v>
      </c>
      <c r="I4783">
        <v>0.81846619999999903</v>
      </c>
      <c r="J4783">
        <v>-420.29109999999997</v>
      </c>
      <c r="K4783">
        <v>1.1151219999999999</v>
      </c>
      <c r="L4783">
        <v>34.980440000000002</v>
      </c>
      <c r="M4783">
        <v>0.14484669999999999</v>
      </c>
      <c r="N4783">
        <v>0</v>
      </c>
      <c r="O4783">
        <v>-0.9893554</v>
      </c>
      <c r="P4783">
        <v>0.36718889999999998</v>
      </c>
      <c r="Q4783">
        <v>-6.1711179999999997E-3</v>
      </c>
      <c r="R4783">
        <v>-0.93012620000000001</v>
      </c>
      <c r="S4783">
        <v>2.3011170000000001</v>
      </c>
      <c r="T4783">
        <v>-3.2193060000000003E-2</v>
      </c>
      <c r="U4783">
        <v>-2.3344420000000001</v>
      </c>
      <c r="V4783">
        <v>-0.22864300000000001</v>
      </c>
      <c r="W4783">
        <v>5.0175619999999997E-3</v>
      </c>
      <c r="X4783">
        <v>0.97349739999999996</v>
      </c>
      <c r="Y4783">
        <v>-0.59139869999999894</v>
      </c>
      <c r="Z4783">
        <v>1.018291E-2</v>
      </c>
      <c r="AA4783">
        <v>0.80631509999999995</v>
      </c>
      <c r="AB4783">
        <v>21</v>
      </c>
      <c r="AC4783">
        <v>33.828799999999902</v>
      </c>
      <c r="AD4783">
        <v>-0.47372379999999897</v>
      </c>
      <c r="AE4783">
        <v>-34.161973799999998</v>
      </c>
      <c r="AF4783">
        <v>-28.520473562311299</v>
      </c>
      <c r="AG4783">
        <v>-0.47372379999999897</v>
      </c>
      <c r="AH4783">
        <v>38.698346063003797</v>
      </c>
      <c r="AI4783">
        <v>90.564593329016802</v>
      </c>
      <c r="AJ4783">
        <v>126.390015605625</v>
      </c>
      <c r="AK4783">
        <v>48.074981169722697</v>
      </c>
      <c r="AL4783">
        <v>89.712513665527197</v>
      </c>
      <c r="AM4783">
        <v>103.217362143573</v>
      </c>
      <c r="AN4783">
        <v>0.99999999259209105</v>
      </c>
    </row>
    <row r="4784" spans="1:40" x14ac:dyDescent="0.3">
      <c r="A4784" t="str">
        <f>"20200111160558877"</f>
        <v>20200111160558877</v>
      </c>
      <c r="B4784" t="str">
        <f>"1578729958866832"</f>
        <v>1578729958866832</v>
      </c>
      <c r="C4784" t="s">
        <v>40</v>
      </c>
      <c r="D4784">
        <v>4.8942909999999999</v>
      </c>
      <c r="E4784">
        <v>0.33914630000000001</v>
      </c>
      <c r="F4784" t="s">
        <v>80</v>
      </c>
      <c r="G4784">
        <v>-386.1891</v>
      </c>
      <c r="H4784">
        <v>0.37690810000000002</v>
      </c>
      <c r="I4784">
        <v>0.82124330000000001</v>
      </c>
      <c r="J4784">
        <v>-420.2525</v>
      </c>
      <c r="K4784">
        <v>1.1150659999999999</v>
      </c>
      <c r="L4784">
        <v>34.778779999999998</v>
      </c>
      <c r="M4784">
        <v>0.152436299999999</v>
      </c>
      <c r="N4784">
        <v>0</v>
      </c>
      <c r="O4784">
        <v>-0.98821429999999999</v>
      </c>
      <c r="P4784">
        <v>0.3798262</v>
      </c>
      <c r="Q4784">
        <v>-8.9675150000000006E-3</v>
      </c>
      <c r="R4784">
        <v>-0.92501440000000001</v>
      </c>
      <c r="S4784">
        <v>2.3094480000000002</v>
      </c>
      <c r="T4784">
        <v>-4.9994950000000003E-2</v>
      </c>
      <c r="U4784">
        <v>-2.3133240000000002</v>
      </c>
      <c r="V4784">
        <v>-0.234403</v>
      </c>
      <c r="W4784">
        <v>2.1603719999999998E-3</v>
      </c>
      <c r="X4784">
        <v>0.97213709999999998</v>
      </c>
      <c r="Y4784">
        <v>-0.5902771</v>
      </c>
      <c r="Z4784">
        <v>1.587566E-2</v>
      </c>
      <c r="AA4784">
        <v>0.8070446</v>
      </c>
      <c r="AB4784">
        <v>21</v>
      </c>
      <c r="AC4784">
        <v>34.063400000000001</v>
      </c>
      <c r="AD4784">
        <v>-0.73815789999999903</v>
      </c>
      <c r="AE4784">
        <v>-33.957536699999999</v>
      </c>
      <c r="AF4784">
        <v>-28.4816568315218</v>
      </c>
      <c r="AG4784">
        <v>-0.73815789999999903</v>
      </c>
      <c r="AH4784">
        <v>38.744488293600199</v>
      </c>
      <c r="AI4784">
        <v>90.879451584721906</v>
      </c>
      <c r="AJ4784">
        <v>126.320166371933</v>
      </c>
      <c r="AK4784">
        <v>48.092463298180398</v>
      </c>
      <c r="AL4784">
        <v>89.876219704378002</v>
      </c>
      <c r="AM4784">
        <v>103.55646670359199</v>
      </c>
      <c r="AN4784">
        <v>0.99999998740629403</v>
      </c>
    </row>
    <row r="4785" spans="1:40" x14ac:dyDescent="0.3">
      <c r="A4785" t="str">
        <f>"20200111160558899"</f>
        <v>20200111160558899</v>
      </c>
      <c r="B4785" t="str">
        <f>"1578729958897088"</f>
        <v>1578729958897088</v>
      </c>
      <c r="C4785" t="s">
        <v>40</v>
      </c>
      <c r="D4785">
        <v>4.8973659999999999</v>
      </c>
      <c r="E4785">
        <v>0.3416537</v>
      </c>
      <c r="F4785" t="s">
        <v>44</v>
      </c>
      <c r="G4785">
        <v>-383.75029999999998</v>
      </c>
      <c r="H4785">
        <v>-0.05</v>
      </c>
      <c r="I4785">
        <v>-1.130371</v>
      </c>
      <c r="J4785">
        <v>-420.214</v>
      </c>
      <c r="K4785">
        <v>1.1149849999999999</v>
      </c>
      <c r="L4785">
        <v>34.585419999999999</v>
      </c>
      <c r="M4785">
        <v>0.15972919999999999</v>
      </c>
      <c r="N4785">
        <v>0</v>
      </c>
      <c r="O4785">
        <v>-0.98706170000000004</v>
      </c>
      <c r="P4785">
        <v>0.39334659999999999</v>
      </c>
      <c r="Q4785">
        <v>-1.399004E-2</v>
      </c>
      <c r="R4785">
        <v>-0.91928399999999999</v>
      </c>
      <c r="S4785">
        <v>2.3254090000000001</v>
      </c>
      <c r="T4785">
        <v>-7.422173E-2</v>
      </c>
      <c r="U4785">
        <v>-2.2876280000000002</v>
      </c>
      <c r="V4785">
        <v>-0.24142749999999999</v>
      </c>
      <c r="W4785">
        <v>-2.9352879999999999E-3</v>
      </c>
      <c r="X4785">
        <v>0.97041440000000001</v>
      </c>
      <c r="Y4785">
        <v>-0.59149350000000001</v>
      </c>
      <c r="Z4785">
        <v>2.3645550000000001E-2</v>
      </c>
      <c r="AA4785">
        <v>0.80596299999999998</v>
      </c>
      <c r="AB4785">
        <v>21</v>
      </c>
      <c r="AC4785">
        <v>36.463700000000003</v>
      </c>
      <c r="AD4785">
        <v>-1.1649849999999999</v>
      </c>
      <c r="AE4785">
        <v>-35.715791000000003</v>
      </c>
      <c r="AF4785">
        <v>-30.2742608798305</v>
      </c>
      <c r="AG4785">
        <v>-1.1649849999999999</v>
      </c>
      <c r="AH4785">
        <v>41.060638233460203</v>
      </c>
      <c r="AI4785">
        <v>91.308192170754793</v>
      </c>
      <c r="AJ4785">
        <v>126.40157975777301</v>
      </c>
      <c r="AK4785">
        <v>51.028071431412698</v>
      </c>
      <c r="AL4785">
        <v>90.1681798588058</v>
      </c>
      <c r="AM4785">
        <v>103.970869569101</v>
      </c>
      <c r="AN4785">
        <v>0.99999998069962603</v>
      </c>
    </row>
    <row r="4786" spans="1:40" x14ac:dyDescent="0.3">
      <c r="A4786" t="str">
        <f>"20200111160558923"</f>
        <v>20200111160558923</v>
      </c>
      <c r="B4786" t="str">
        <f>"1578729958916608"</f>
        <v>1578729958916608</v>
      </c>
      <c r="C4786" t="s">
        <v>40</v>
      </c>
      <c r="D4786">
        <v>4.900595</v>
      </c>
      <c r="E4786">
        <v>0.34350700000000001</v>
      </c>
      <c r="F4786" t="s">
        <v>41</v>
      </c>
      <c r="G4786">
        <v>-397.05529999999999</v>
      </c>
      <c r="H4786" s="1">
        <v>-3.0876229999999999E-6</v>
      </c>
      <c r="I4786">
        <v>12.20261</v>
      </c>
      <c r="J4786">
        <v>-420.17180000000002</v>
      </c>
      <c r="K4786">
        <v>1.114914</v>
      </c>
      <c r="L4786">
        <v>34.38147</v>
      </c>
      <c r="M4786">
        <v>0.16744100000000001</v>
      </c>
      <c r="N4786">
        <v>0</v>
      </c>
      <c r="O4786">
        <v>-0.98578270000000001</v>
      </c>
      <c r="P4786">
        <v>0.40722269999999999</v>
      </c>
      <c r="Q4786">
        <v>-2.0620579999999999E-2</v>
      </c>
      <c r="R4786">
        <v>-0.91309629999999997</v>
      </c>
      <c r="S4786">
        <v>2.339172</v>
      </c>
      <c r="T4786">
        <v>-0.11262079999999999</v>
      </c>
      <c r="U4786">
        <v>-2.2608030000000001</v>
      </c>
      <c r="V4786">
        <v>-0.2484806</v>
      </c>
      <c r="W4786">
        <v>-9.6427119999999995E-3</v>
      </c>
      <c r="X4786">
        <v>0.96858889999999997</v>
      </c>
      <c r="Y4786">
        <v>-0.59205569999999996</v>
      </c>
      <c r="Z4786">
        <v>3.6010449999999999E-2</v>
      </c>
      <c r="AA4786">
        <v>0.80509219999999904</v>
      </c>
      <c r="AB4786">
        <v>20</v>
      </c>
      <c r="AC4786">
        <v>23.116499999999998</v>
      </c>
      <c r="AD4786">
        <v>-1.1149170876229999</v>
      </c>
      <c r="AE4786">
        <v>-22.17886</v>
      </c>
      <c r="AF4786">
        <v>-19.052987355865501</v>
      </c>
      <c r="AG4786">
        <v>-1.1149170876229999</v>
      </c>
      <c r="AH4786">
        <v>25.705573427364602</v>
      </c>
      <c r="AI4786">
        <v>91.995645915759994</v>
      </c>
      <c r="AJ4786">
        <v>126.545865941641</v>
      </c>
      <c r="AK4786">
        <v>32.0161814169754</v>
      </c>
      <c r="AL4786">
        <v>90.552495249724799</v>
      </c>
      <c r="AM4786">
        <v>104.388303140476</v>
      </c>
      <c r="AN4786">
        <v>1.00000002383714</v>
      </c>
    </row>
    <row r="4787" spans="1:40" x14ac:dyDescent="0.3">
      <c r="A4787" t="str">
        <f>"20200111160558944"</f>
        <v>20200111160558944</v>
      </c>
      <c r="B4787" t="str">
        <f>"1578729958937107"</f>
        <v>1578729958937107</v>
      </c>
      <c r="C4787" t="s">
        <v>40</v>
      </c>
      <c r="D4787">
        <v>4.9375080000000002</v>
      </c>
      <c r="E4787">
        <v>0.34441919999999998</v>
      </c>
      <c r="F4787" t="s">
        <v>42</v>
      </c>
      <c r="G4787">
        <v>-419.51639999999998</v>
      </c>
      <c r="H4787">
        <v>1.074195</v>
      </c>
      <c r="I4787">
        <v>33.761650000000003</v>
      </c>
      <c r="J4787">
        <v>-420.12909999999999</v>
      </c>
      <c r="K4787">
        <v>1.1148709999999999</v>
      </c>
      <c r="L4787">
        <v>34.183109999999999</v>
      </c>
      <c r="M4787">
        <v>0.1749829</v>
      </c>
      <c r="N4787">
        <v>0</v>
      </c>
      <c r="O4787">
        <v>-0.98447189999999996</v>
      </c>
      <c r="P4787">
        <v>0.41948770000000002</v>
      </c>
      <c r="Q4787">
        <v>-2.8895870000000001E-2</v>
      </c>
      <c r="R4787">
        <v>-0.90730120000000003</v>
      </c>
      <c r="S4787">
        <v>2.358765</v>
      </c>
      <c r="T4787">
        <v>-0.14651610000000001</v>
      </c>
      <c r="U4787">
        <v>-2.2302550000000001</v>
      </c>
      <c r="V4787">
        <v>-0.25406319999999999</v>
      </c>
      <c r="W4787">
        <v>-1.7990059999999999E-2</v>
      </c>
      <c r="X4787">
        <v>0.96702030000000005</v>
      </c>
      <c r="Y4787">
        <v>-0.59437969999999996</v>
      </c>
      <c r="Z4787">
        <v>4.6995349999999998E-2</v>
      </c>
      <c r="AA4787">
        <v>0.80281020000000003</v>
      </c>
      <c r="AB4787">
        <v>20</v>
      </c>
      <c r="AC4787">
        <v>0.61270000000001801</v>
      </c>
      <c r="AD4787">
        <v>-4.06759999999999E-2</v>
      </c>
      <c r="AE4787">
        <v>-0.421459999999996</v>
      </c>
      <c r="AF4787">
        <v>-0.52791016445986105</v>
      </c>
      <c r="AG4787">
        <v>-4.06759999999999E-2</v>
      </c>
      <c r="AH4787">
        <v>0.52062116444169704</v>
      </c>
      <c r="AI4787">
        <v>93.140138714600099</v>
      </c>
      <c r="AJ4787">
        <v>135.39829254431399</v>
      </c>
      <c r="AK4787">
        <v>0.74255644605690896</v>
      </c>
      <c r="AL4787">
        <v>91.030810112147194</v>
      </c>
      <c r="AM4787">
        <v>104.720518465928</v>
      </c>
      <c r="AN4787">
        <v>1.00000000623256</v>
      </c>
    </row>
    <row r="4788" spans="1:40" x14ac:dyDescent="0.3">
      <c r="A4788" t="str">
        <f>"20200111160558967"</f>
        <v>20200111160558967</v>
      </c>
      <c r="B4788" t="str">
        <f>"1578729958956625"</f>
        <v>1578729958956625</v>
      </c>
      <c r="C4788" t="s">
        <v>40</v>
      </c>
      <c r="D4788">
        <v>5.0014839999999996</v>
      </c>
      <c r="E4788">
        <v>0.36860929999999997</v>
      </c>
      <c r="F4788" t="s">
        <v>67</v>
      </c>
      <c r="G4788">
        <v>-404.97469999999998</v>
      </c>
      <c r="H4788" s="1">
        <v>-3.9252649999999996E-6</v>
      </c>
      <c r="I4788">
        <v>20.18365</v>
      </c>
      <c r="J4788">
        <v>-420.08670000000001</v>
      </c>
      <c r="K4788">
        <v>1.114865</v>
      </c>
      <c r="L4788">
        <v>33.994140000000002</v>
      </c>
      <c r="M4788">
        <v>0.18223829999999999</v>
      </c>
      <c r="N4788">
        <v>0</v>
      </c>
      <c r="O4788">
        <v>-0.98315450000000004</v>
      </c>
      <c r="P4788">
        <v>0.43106480000000003</v>
      </c>
      <c r="Q4788">
        <v>-3.9282499999999998E-2</v>
      </c>
      <c r="R4788">
        <v>-0.90146550000000003</v>
      </c>
      <c r="S4788">
        <v>2.3813780000000002</v>
      </c>
      <c r="T4788">
        <v>-0.17519270000000001</v>
      </c>
      <c r="U4788">
        <v>-2.1998899999999999</v>
      </c>
      <c r="V4788">
        <v>-0.2592641</v>
      </c>
      <c r="W4788">
        <v>-2.846255E-2</v>
      </c>
      <c r="X4788">
        <v>0.965387</v>
      </c>
      <c r="Y4788">
        <v>-0.59740590000000005</v>
      </c>
      <c r="Z4788">
        <v>5.6321950000000003E-2</v>
      </c>
      <c r="AA4788">
        <v>0.79995879999999997</v>
      </c>
      <c r="AB4788">
        <v>20</v>
      </c>
      <c r="AC4788">
        <v>15.112</v>
      </c>
      <c r="AD4788">
        <v>-1.1148689252649999</v>
      </c>
      <c r="AE4788">
        <v>-13.81049</v>
      </c>
      <c r="AF4788">
        <v>-12.305348791154399</v>
      </c>
      <c r="AG4788">
        <v>-1.1148689252649999</v>
      </c>
      <c r="AH4788">
        <v>16.285137968999901</v>
      </c>
      <c r="AI4788">
        <v>93.1263762578903</v>
      </c>
      <c r="AJ4788">
        <v>127.07536296524501</v>
      </c>
      <c r="AK4788">
        <v>20.44187516501</v>
      </c>
      <c r="AL4788">
        <v>91.631004216216795</v>
      </c>
      <c r="AM4788">
        <v>105.032634490064</v>
      </c>
      <c r="AN4788">
        <v>1.00000002503515</v>
      </c>
    </row>
    <row r="4789" spans="1:40" x14ac:dyDescent="0.3">
      <c r="A4789" t="str">
        <f>"20200111160558990"</f>
        <v>20200111160558990</v>
      </c>
      <c r="B4789" t="str">
        <f>"1578729958986881"</f>
        <v>1578729958986881</v>
      </c>
      <c r="C4789" t="s">
        <v>40</v>
      </c>
      <c r="D4789">
        <v>5.0179510000000001</v>
      </c>
      <c r="E4789">
        <v>0.3719808</v>
      </c>
      <c r="F4789" t="s">
        <v>42</v>
      </c>
      <c r="G4789">
        <v>-419.36</v>
      </c>
      <c r="H4789">
        <v>1.042071</v>
      </c>
      <c r="I4789">
        <v>33.262090000000001</v>
      </c>
      <c r="J4789">
        <v>-420.0394</v>
      </c>
      <c r="K4789">
        <v>1.114865</v>
      </c>
      <c r="L4789">
        <v>33.790950000000002</v>
      </c>
      <c r="M4789">
        <v>0.19012399999999999</v>
      </c>
      <c r="N4789">
        <v>0</v>
      </c>
      <c r="O4789">
        <v>-0.98165979999999997</v>
      </c>
      <c r="P4789">
        <v>0.44338240000000001</v>
      </c>
      <c r="Q4789">
        <v>-5.074182E-2</v>
      </c>
      <c r="R4789">
        <v>-0.894895</v>
      </c>
      <c r="S4789">
        <v>2.23407</v>
      </c>
      <c r="T4789">
        <v>-0.2237345</v>
      </c>
      <c r="U4789">
        <v>-2.2498779999999998</v>
      </c>
      <c r="V4789">
        <v>-0.26472810000000002</v>
      </c>
      <c r="W4789">
        <v>-4.0025480000000002E-2</v>
      </c>
      <c r="X4789">
        <v>0.96349209999999996</v>
      </c>
      <c r="Y4789">
        <v>-0.55494370000000004</v>
      </c>
      <c r="Z4789">
        <v>7.317063E-2</v>
      </c>
      <c r="AA4789">
        <v>0.828663699999999</v>
      </c>
      <c r="AB4789">
        <v>20</v>
      </c>
      <c r="AC4789">
        <v>0.67939999999998602</v>
      </c>
      <c r="AD4789">
        <v>-7.2793999999999998E-2</v>
      </c>
      <c r="AE4789">
        <v>-0.528860000000001</v>
      </c>
      <c r="AF4789">
        <v>-0.56242599812217497</v>
      </c>
      <c r="AG4789">
        <v>-7.2793999999999998E-2</v>
      </c>
      <c r="AH4789">
        <v>0.64379258125317795</v>
      </c>
      <c r="AI4789">
        <v>94.867152476253807</v>
      </c>
      <c r="AJ4789">
        <v>131.14090678142</v>
      </c>
      <c r="AK4789">
        <v>0.85795737509293302</v>
      </c>
      <c r="AL4789">
        <v>92.293903804911594</v>
      </c>
      <c r="AM4789">
        <v>105.363411575057</v>
      </c>
      <c r="AN4789">
        <v>1.00000001637062</v>
      </c>
    </row>
    <row r="4790" spans="1:40" x14ac:dyDescent="0.3">
      <c r="A4790" t="str">
        <f>"20200111160559011"</f>
        <v>20200111160559011</v>
      </c>
      <c r="B4790" t="str">
        <f>"1578729959007377"</f>
        <v>1578729959007377</v>
      </c>
      <c r="C4790" t="s">
        <v>40</v>
      </c>
      <c r="D4790">
        <v>5.0477449999999999</v>
      </c>
      <c r="E4790">
        <v>0.38170140000000002</v>
      </c>
      <c r="F4790" t="s">
        <v>42</v>
      </c>
      <c r="G4790">
        <v>-419.3304</v>
      </c>
      <c r="H4790">
        <v>1.0373380000000001</v>
      </c>
      <c r="I4790">
        <v>33.085949999999997</v>
      </c>
      <c r="J4790">
        <v>-419.99380000000002</v>
      </c>
      <c r="K4790">
        <v>1.1148800000000001</v>
      </c>
      <c r="L4790">
        <v>33.60257</v>
      </c>
      <c r="M4790">
        <v>0.19754920000000001</v>
      </c>
      <c r="N4790">
        <v>0</v>
      </c>
      <c r="O4790">
        <v>-0.98019239999999996</v>
      </c>
      <c r="P4790">
        <v>0.4553567</v>
      </c>
      <c r="Q4790">
        <v>-5.965612E-2</v>
      </c>
      <c r="R4790">
        <v>-0.88830830000000005</v>
      </c>
      <c r="S4790">
        <v>2.2410890000000001</v>
      </c>
      <c r="T4790">
        <v>-0.2450233</v>
      </c>
      <c r="U4790">
        <v>-2.2280880000000001</v>
      </c>
      <c r="V4790">
        <v>-0.270370099999999</v>
      </c>
      <c r="W4790">
        <v>-4.9054609999999998E-2</v>
      </c>
      <c r="X4790">
        <v>0.96150590000000002</v>
      </c>
      <c r="Y4790">
        <v>-0.5535911</v>
      </c>
      <c r="Z4790">
        <v>8.0406899999999906E-2</v>
      </c>
      <c r="AA4790">
        <v>0.82889789999999997</v>
      </c>
      <c r="AB4790">
        <v>20</v>
      </c>
      <c r="AC4790">
        <v>0.66340000000002397</v>
      </c>
      <c r="AD4790">
        <v>-7.7542E-2</v>
      </c>
      <c r="AE4790">
        <v>-0.51662000000000297</v>
      </c>
      <c r="AF4790">
        <v>-0.54363241248609695</v>
      </c>
      <c r="AG4790">
        <v>-7.7542E-2</v>
      </c>
      <c r="AH4790">
        <v>0.63212795321608295</v>
      </c>
      <c r="AI4790">
        <v>95.313511096755605</v>
      </c>
      <c r="AJ4790">
        <v>130.69565466667399</v>
      </c>
      <c r="AK4790">
        <v>0.83733787141548099</v>
      </c>
      <c r="AL4790">
        <v>92.811750649042494</v>
      </c>
      <c r="AM4790">
        <v>105.705687058864</v>
      </c>
      <c r="AN4790">
        <v>0.99999997073553504</v>
      </c>
    </row>
    <row r="4791" spans="1:40" x14ac:dyDescent="0.3">
      <c r="A4791" t="str">
        <f>"20200111160559034"</f>
        <v>20200111160559034</v>
      </c>
      <c r="B4791" t="str">
        <f>"1578729959026896"</f>
        <v>1578729959026896</v>
      </c>
      <c r="C4791" t="s">
        <v>40</v>
      </c>
      <c r="D4791">
        <v>5.2681879999999897</v>
      </c>
      <c r="E4791">
        <v>0.38364959999999998</v>
      </c>
      <c r="F4791" t="s">
        <v>42</v>
      </c>
      <c r="G4791">
        <v>-419.30720000000002</v>
      </c>
      <c r="H4791">
        <v>1.042265</v>
      </c>
      <c r="I4791">
        <v>32.906790000000001</v>
      </c>
      <c r="J4791">
        <v>-419.94400000000002</v>
      </c>
      <c r="K4791">
        <v>1.1149230000000001</v>
      </c>
      <c r="L4791">
        <v>33.403659999999903</v>
      </c>
      <c r="M4791">
        <v>0.205565</v>
      </c>
      <c r="N4791">
        <v>0</v>
      </c>
      <c r="O4791">
        <v>-0.97854240000000003</v>
      </c>
      <c r="P4791">
        <v>0.46769440000000001</v>
      </c>
      <c r="Q4791">
        <v>-6.5869910000000004E-2</v>
      </c>
      <c r="R4791">
        <v>-0.88143229999999995</v>
      </c>
      <c r="S4791">
        <v>2.2033999999999998</v>
      </c>
      <c r="T4791">
        <v>-0.23295250000000001</v>
      </c>
      <c r="U4791">
        <v>-2.232056</v>
      </c>
      <c r="V4791">
        <v>-0.2759085</v>
      </c>
      <c r="W4791">
        <v>-5.5394640000000002E-2</v>
      </c>
      <c r="X4791">
        <v>0.9595863</v>
      </c>
      <c r="Y4791">
        <v>-0.53912340000000003</v>
      </c>
      <c r="Z4791">
        <v>7.6957629999999999E-2</v>
      </c>
      <c r="AA4791">
        <v>0.83870349999999905</v>
      </c>
      <c r="AB4791">
        <v>20</v>
      </c>
      <c r="AC4791">
        <v>0.63679999999999304</v>
      </c>
      <c r="AD4791">
        <v>-7.2657999999999806E-2</v>
      </c>
      <c r="AE4791">
        <v>-0.49686999999999398</v>
      </c>
      <c r="AF4791">
        <v>-0.516865765942225</v>
      </c>
      <c r="AG4791">
        <v>-7.2657999999999806E-2</v>
      </c>
      <c r="AH4791">
        <v>0.61221910773517496</v>
      </c>
      <c r="AI4791">
        <v>95.181613346324397</v>
      </c>
      <c r="AJ4791">
        <v>130.172718132455</v>
      </c>
      <c r="AK4791">
        <v>0.80451329438555397</v>
      </c>
      <c r="AL4791">
        <v>93.175504640250693</v>
      </c>
      <c r="AM4791">
        <v>106.041456550295</v>
      </c>
      <c r="AN4791">
        <v>0.99999996683033399</v>
      </c>
    </row>
    <row r="4792" spans="1:40" x14ac:dyDescent="0.3">
      <c r="A4792" t="str">
        <f>"20200111160559056"</f>
        <v>20200111160559056</v>
      </c>
      <c r="B4792" t="str">
        <f>"1578729959047392"</f>
        <v>1578729959047392</v>
      </c>
      <c r="C4792" t="s">
        <v>40</v>
      </c>
      <c r="D4792">
        <v>5.08094</v>
      </c>
      <c r="E4792">
        <v>0.38383810000000002</v>
      </c>
      <c r="F4792" t="s">
        <v>42</v>
      </c>
      <c r="G4792">
        <v>-419.26990000000001</v>
      </c>
      <c r="H4792">
        <v>1.0400389999999999</v>
      </c>
      <c r="I4792">
        <v>32.733829999999998</v>
      </c>
      <c r="J4792">
        <v>-419.8956</v>
      </c>
      <c r="K4792">
        <v>1.114987</v>
      </c>
      <c r="L4792">
        <v>33.217619999999997</v>
      </c>
      <c r="M4792">
        <v>0.21327009999999999</v>
      </c>
      <c r="N4792">
        <v>0</v>
      </c>
      <c r="O4792">
        <v>-0.97689210000000004</v>
      </c>
      <c r="P4792">
        <v>0.47919390000000001</v>
      </c>
      <c r="Q4792">
        <v>-7.0609069999999996E-2</v>
      </c>
      <c r="R4792">
        <v>-0.87486459999999999</v>
      </c>
      <c r="S4792">
        <v>2.2206419999999998</v>
      </c>
      <c r="T4792">
        <v>-0.24670249999999999</v>
      </c>
      <c r="U4792">
        <v>-2.2068180000000002</v>
      </c>
      <c r="V4792">
        <v>-0.28091430000000001</v>
      </c>
      <c r="W4792">
        <v>-6.0262349999999999E-2</v>
      </c>
      <c r="X4792">
        <v>0.957839</v>
      </c>
      <c r="Y4792">
        <v>-0.54026409999999903</v>
      </c>
      <c r="Z4792">
        <v>8.1683019999999995E-2</v>
      </c>
      <c r="AA4792">
        <v>0.83752169999999904</v>
      </c>
      <c r="AB4792">
        <v>20</v>
      </c>
      <c r="AC4792">
        <v>0.62569999999999404</v>
      </c>
      <c r="AD4792">
        <v>-7.4948000000000195E-2</v>
      </c>
      <c r="AE4792">
        <v>-0.48379000000000599</v>
      </c>
      <c r="AF4792">
        <v>-0.50359163300432996</v>
      </c>
      <c r="AG4792">
        <v>-7.4948000000000195E-2</v>
      </c>
      <c r="AH4792">
        <v>0.60071943912639003</v>
      </c>
      <c r="AI4792">
        <v>95.461535335426305</v>
      </c>
      <c r="AJ4792">
        <v>129.973581420762</v>
      </c>
      <c r="AK4792">
        <v>0.78745512893135206</v>
      </c>
      <c r="AL4792">
        <v>93.454871660107599</v>
      </c>
      <c r="AM4792">
        <v>106.34531806946001</v>
      </c>
      <c r="AN4792">
        <v>0.99999997234650595</v>
      </c>
    </row>
    <row r="4793" spans="1:40" x14ac:dyDescent="0.3">
      <c r="A4793" t="str">
        <f>"20200111160559078"</f>
        <v>20200111160559078</v>
      </c>
      <c r="B4793" t="str">
        <f>"1578729959066912"</f>
        <v>1578729959066912</v>
      </c>
      <c r="C4793" t="s">
        <v>40</v>
      </c>
      <c r="D4793">
        <v>4.9780540000000002</v>
      </c>
      <c r="E4793">
        <v>0.3288875</v>
      </c>
      <c r="F4793" t="s">
        <v>42</v>
      </c>
      <c r="G4793">
        <v>-419.22250000000003</v>
      </c>
      <c r="H4793">
        <v>1.038953</v>
      </c>
      <c r="I4793">
        <v>32.565429999999999</v>
      </c>
      <c r="J4793">
        <v>-419.84440000000001</v>
      </c>
      <c r="K4793">
        <v>1.115078</v>
      </c>
      <c r="L4793">
        <v>33.028080000000003</v>
      </c>
      <c r="M4793">
        <v>0.221355</v>
      </c>
      <c r="N4793">
        <v>0</v>
      </c>
      <c r="O4793">
        <v>-0.97509179999999995</v>
      </c>
      <c r="P4793">
        <v>0.49042649999999999</v>
      </c>
      <c r="Q4793">
        <v>-7.537423E-2</v>
      </c>
      <c r="R4793">
        <v>-0.86821709999999996</v>
      </c>
      <c r="S4793">
        <v>2.2480769999999999</v>
      </c>
      <c r="T4793">
        <v>-0.25385829999999998</v>
      </c>
      <c r="U4793">
        <v>-2.1772770000000001</v>
      </c>
      <c r="V4793">
        <v>-0.285331099999999</v>
      </c>
      <c r="W4793">
        <v>-6.516276E-2</v>
      </c>
      <c r="X4793">
        <v>0.95621129999999999</v>
      </c>
      <c r="Y4793">
        <v>-0.54393369999999996</v>
      </c>
      <c r="Z4793">
        <v>8.4157480000000007E-2</v>
      </c>
      <c r="AA4793">
        <v>0.83489740000000001</v>
      </c>
      <c r="AB4793">
        <v>20</v>
      </c>
      <c r="AC4793">
        <v>0.62189999999998202</v>
      </c>
      <c r="AD4793">
        <v>-7.6124999999999998E-2</v>
      </c>
      <c r="AE4793">
        <v>-0.46264999999999601</v>
      </c>
      <c r="AF4793">
        <v>-0.499234263013904</v>
      </c>
      <c r="AG4793">
        <v>-7.6124999999999998E-2</v>
      </c>
      <c r="AH4793">
        <v>0.583219776072186</v>
      </c>
      <c r="AI4793">
        <v>95.662846990711202</v>
      </c>
      <c r="AJ4793">
        <v>130.56341975754901</v>
      </c>
      <c r="AK4793">
        <v>0.77147596993926304</v>
      </c>
      <c r="AL4793">
        <v>93.736198280918302</v>
      </c>
      <c r="AM4793">
        <v>106.614973941336</v>
      </c>
      <c r="AN4793">
        <v>1.00000003608285</v>
      </c>
    </row>
    <row r="4794" spans="1:40" x14ac:dyDescent="0.3">
      <c r="A4794" t="str">
        <f>"20200111160559101"</f>
        <v>20200111160559101</v>
      </c>
      <c r="B4794" t="str">
        <f>"1578729959097169"</f>
        <v>1578729959097169</v>
      </c>
      <c r="C4794" t="s">
        <v>40</v>
      </c>
      <c r="D4794">
        <v>4.9026719999999999</v>
      </c>
      <c r="E4794">
        <v>0.31031839999999999</v>
      </c>
      <c r="F4794" t="s">
        <v>81</v>
      </c>
      <c r="G4794">
        <v>-364.4</v>
      </c>
      <c r="H4794">
        <v>1.884531</v>
      </c>
      <c r="I4794">
        <v>-7.4220100000000002</v>
      </c>
      <c r="J4794">
        <v>-419.7903</v>
      </c>
      <c r="K4794">
        <v>1.11521</v>
      </c>
      <c r="L4794">
        <v>32.835140000000003</v>
      </c>
      <c r="M4794">
        <v>0.2298461</v>
      </c>
      <c r="N4794">
        <v>0</v>
      </c>
      <c r="O4794">
        <v>-0.97312469999999995</v>
      </c>
      <c r="P4794">
        <v>0.50011530000000004</v>
      </c>
      <c r="Q4794">
        <v>-7.9217389999999999E-2</v>
      </c>
      <c r="R4794">
        <v>-0.86232830000000005</v>
      </c>
      <c r="S4794">
        <v>2.6719360000000001</v>
      </c>
      <c r="T4794">
        <v>3.7080879999999997E-2</v>
      </c>
      <c r="U4794">
        <v>-1.949341</v>
      </c>
      <c r="V4794">
        <v>-0.28770859999999998</v>
      </c>
      <c r="W4794">
        <v>-6.9122890000000006E-2</v>
      </c>
      <c r="X4794">
        <v>0.95522030000000002</v>
      </c>
      <c r="Y4794">
        <v>-0.65068559999999998</v>
      </c>
      <c r="Z4794">
        <v>-1.18636E-2</v>
      </c>
      <c r="AA4794">
        <v>0.759254599999999</v>
      </c>
      <c r="AB4794">
        <v>20</v>
      </c>
      <c r="AC4794">
        <v>55.390300000000003</v>
      </c>
      <c r="AD4794">
        <v>0.76932100000000003</v>
      </c>
      <c r="AE4794">
        <v>-40.257150000000003</v>
      </c>
      <c r="AF4794">
        <v>-44.647529502995603</v>
      </c>
      <c r="AG4794">
        <v>0.76932100000000003</v>
      </c>
      <c r="AH4794">
        <v>51.905087264932703</v>
      </c>
      <c r="AI4794">
        <v>89.356217079831595</v>
      </c>
      <c r="AJ4794">
        <v>130.701339458566</v>
      </c>
      <c r="AK4794">
        <v>68.4699337629458</v>
      </c>
      <c r="AL4794">
        <v>93.963610418692099</v>
      </c>
      <c r="AM4794">
        <v>106.762094842027</v>
      </c>
      <c r="AN4794">
        <v>1.000000016984</v>
      </c>
    </row>
    <row r="4795" spans="1:40" x14ac:dyDescent="0.3">
      <c r="A4795" t="str">
        <f>"20200111160559115"</f>
        <v>20200111160559115</v>
      </c>
      <c r="B4795" t="str">
        <f>"1578729959106929"</f>
        <v>1578729959106929</v>
      </c>
      <c r="C4795" t="s">
        <v>40</v>
      </c>
      <c r="D4795">
        <v>5.0355759999999998</v>
      </c>
      <c r="E4795">
        <v>0.30511070000000001</v>
      </c>
      <c r="F4795" t="s">
        <v>81</v>
      </c>
      <c r="G4795">
        <v>-364.4</v>
      </c>
      <c r="H4795">
        <v>1.009727</v>
      </c>
      <c r="I4795">
        <v>-3.3749039999999999</v>
      </c>
      <c r="J4795">
        <v>-419.75349999999997</v>
      </c>
      <c r="K4795">
        <v>1.1153139999999999</v>
      </c>
      <c r="L4795">
        <v>32.708280000000002</v>
      </c>
      <c r="M4795">
        <v>0.2356075</v>
      </c>
      <c r="N4795">
        <v>0</v>
      </c>
      <c r="O4795">
        <v>-0.97174539999999998</v>
      </c>
      <c r="P4795">
        <v>0.50594749999999999</v>
      </c>
      <c r="Q4795">
        <v>-8.0895910000000001E-2</v>
      </c>
      <c r="R4795">
        <v>-0.85876239999999904</v>
      </c>
      <c r="S4795">
        <v>2.8195800000000002</v>
      </c>
      <c r="T4795">
        <v>-5.3695440000000004E-3</v>
      </c>
      <c r="U4795">
        <v>-1.8432310000000001</v>
      </c>
      <c r="V4795">
        <v>-0.28852070000000002</v>
      </c>
      <c r="W4795">
        <v>-7.0870849999999999E-2</v>
      </c>
      <c r="X4795">
        <v>0.95484720000000001</v>
      </c>
      <c r="Y4795">
        <v>-0.68451419999999996</v>
      </c>
      <c r="Z4795">
        <v>1.6978080000000001E-3</v>
      </c>
      <c r="AA4795">
        <v>0.72899759999999902</v>
      </c>
      <c r="AB4795">
        <v>20</v>
      </c>
      <c r="AC4795">
        <v>55.353499999999997</v>
      </c>
      <c r="AD4795">
        <v>-0.105586999999999</v>
      </c>
      <c r="AE4795">
        <v>-36.083184000000003</v>
      </c>
      <c r="AF4795">
        <v>-45.292453680383197</v>
      </c>
      <c r="AG4795">
        <v>-0.105586999999999</v>
      </c>
      <c r="AH4795">
        <v>48.110055833416602</v>
      </c>
      <c r="AI4795">
        <v>90.091557020628201</v>
      </c>
      <c r="AJ4795">
        <v>133.27212598416199</v>
      </c>
      <c r="AK4795">
        <v>66.075676169818195</v>
      </c>
      <c r="AL4795">
        <v>94.064007386746098</v>
      </c>
      <c r="AM4795">
        <v>106.812940678275</v>
      </c>
      <c r="AN4795">
        <v>1.00000002352802</v>
      </c>
    </row>
    <row r="4796" spans="1:40" x14ac:dyDescent="0.3">
      <c r="A4796" t="str">
        <f>"20200111160559135"</f>
        <v>20200111160559135</v>
      </c>
      <c r="B4796" t="str">
        <f>"1578729959127425"</f>
        <v>1578729959127425</v>
      </c>
      <c r="C4796" t="s">
        <v>40</v>
      </c>
      <c r="D4796">
        <v>4.8857809999999997</v>
      </c>
      <c r="E4796">
        <v>0.30031180000000002</v>
      </c>
      <c r="F4796" t="s">
        <v>81</v>
      </c>
      <c r="G4796">
        <v>-364.55130000000003</v>
      </c>
      <c r="H4796">
        <v>1.1236710000000001</v>
      </c>
      <c r="I4796">
        <v>-2.0109819999999998</v>
      </c>
      <c r="J4796">
        <v>-419.7045</v>
      </c>
      <c r="K4796">
        <v>1.1154710000000001</v>
      </c>
      <c r="L4796">
        <v>32.544339999999998</v>
      </c>
      <c r="M4796">
        <v>0.2432348</v>
      </c>
      <c r="N4796">
        <v>0</v>
      </c>
      <c r="O4796">
        <v>-0.96986419999999995</v>
      </c>
      <c r="P4796">
        <v>0.5124744</v>
      </c>
      <c r="Q4796">
        <v>-8.3484600000000006E-2</v>
      </c>
      <c r="R4796">
        <v>-0.85463459999999902</v>
      </c>
      <c r="S4796">
        <v>2.8679199999999998</v>
      </c>
      <c r="T4796">
        <v>4.3416020000000002E-4</v>
      </c>
      <c r="U4796">
        <v>-1.8037719999999999</v>
      </c>
      <c r="V4796">
        <v>-0.28829700000000003</v>
      </c>
      <c r="W4796">
        <v>-7.3531659999999999E-2</v>
      </c>
      <c r="X4796">
        <v>0.95471349999999999</v>
      </c>
      <c r="Y4796">
        <v>-0.69155419999999901</v>
      </c>
      <c r="Z4796">
        <v>-1.3681359999999999E-4</v>
      </c>
      <c r="AA4796">
        <v>0.72232450000000004</v>
      </c>
      <c r="AB4796">
        <v>20</v>
      </c>
      <c r="AC4796">
        <v>55.153199999999899</v>
      </c>
      <c r="AD4796">
        <v>8.1999999999999799E-3</v>
      </c>
      <c r="AE4796">
        <v>-34.555321999999997</v>
      </c>
      <c r="AF4796">
        <v>-45.090571916063404</v>
      </c>
      <c r="AG4796">
        <v>8.1999999999999799E-3</v>
      </c>
      <c r="AH4796">
        <v>46.933846407107801</v>
      </c>
      <c r="AI4796">
        <v>89.992781261748902</v>
      </c>
      <c r="AJ4796">
        <v>133.85250317362599</v>
      </c>
      <c r="AK4796">
        <v>65.084143088187602</v>
      </c>
      <c r="AL4796">
        <v>94.216859785867697</v>
      </c>
      <c r="AM4796">
        <v>106.80285996682299</v>
      </c>
      <c r="AN4796">
        <v>0.99999996615680198</v>
      </c>
    </row>
    <row r="4797" spans="1:40" x14ac:dyDescent="0.3">
      <c r="A4797" t="str">
        <f>"20200111160559156"</f>
        <v>20200111160559156</v>
      </c>
      <c r="B4797" t="str">
        <f>"1578729959146944"</f>
        <v>1578729959146944</v>
      </c>
      <c r="C4797" t="s">
        <v>40</v>
      </c>
      <c r="D4797">
        <v>4.868646</v>
      </c>
      <c r="E4797">
        <v>0.29831970000000002</v>
      </c>
      <c r="F4797" t="s">
        <v>81</v>
      </c>
      <c r="G4797">
        <v>-364.4</v>
      </c>
      <c r="H4797">
        <v>1.045922</v>
      </c>
      <c r="I4797">
        <v>-0.91147540000000005</v>
      </c>
      <c r="J4797">
        <v>-419.64789999999999</v>
      </c>
      <c r="K4797">
        <v>1.115661</v>
      </c>
      <c r="L4797">
        <v>32.361510000000003</v>
      </c>
      <c r="M4797">
        <v>0.25200250000000002</v>
      </c>
      <c r="N4797">
        <v>0</v>
      </c>
      <c r="O4797">
        <v>-0.96762230000000005</v>
      </c>
      <c r="P4797">
        <v>0.51978369999999996</v>
      </c>
      <c r="Q4797">
        <v>-8.3484340000000004E-2</v>
      </c>
      <c r="R4797">
        <v>-0.85020910000000005</v>
      </c>
      <c r="S4797">
        <v>2.9137879999999998</v>
      </c>
      <c r="T4797">
        <v>-3.6642549999999999E-3</v>
      </c>
      <c r="U4797">
        <v>-1.7626649999999999</v>
      </c>
      <c r="V4797">
        <v>-0.2878156</v>
      </c>
      <c r="W4797">
        <v>-7.3602210000000001E-2</v>
      </c>
      <c r="X4797">
        <v>0.95485339999999996</v>
      </c>
      <c r="Y4797">
        <v>-0.69755299999999998</v>
      </c>
      <c r="Z4797">
        <v>1.151462E-3</v>
      </c>
      <c r="AA4797">
        <v>0.71653219999999995</v>
      </c>
      <c r="AB4797">
        <v>20</v>
      </c>
      <c r="AC4797">
        <v>55.247900000000001</v>
      </c>
      <c r="AD4797">
        <v>-6.9738999999999995E-2</v>
      </c>
      <c r="AE4797">
        <v>-33.272985400000003</v>
      </c>
      <c r="AF4797">
        <v>-45.078721086129597</v>
      </c>
      <c r="AG4797">
        <v>-6.9738999999999995E-2</v>
      </c>
      <c r="AH4797">
        <v>46.122892255780698</v>
      </c>
      <c r="AI4797">
        <v>90.061955832035906</v>
      </c>
      <c r="AJ4797">
        <v>134.34404683109699</v>
      </c>
      <c r="AK4797">
        <v>64.493543462330805</v>
      </c>
      <c r="AL4797">
        <v>94.220912588589201</v>
      </c>
      <c r="AM4797">
        <v>106.77406011497899</v>
      </c>
      <c r="AN4797">
        <v>1.0000000602059</v>
      </c>
    </row>
    <row r="4798" spans="1:40" x14ac:dyDescent="0.3">
      <c r="A4798" t="str">
        <f>"20200111160559190"</f>
        <v>20200111160559190</v>
      </c>
      <c r="B4798" t="str">
        <f>"1578729959186960"</f>
        <v>1578729959186960</v>
      </c>
      <c r="C4798" t="s">
        <v>40</v>
      </c>
      <c r="D4798">
        <v>5.1738499999999998</v>
      </c>
      <c r="E4798">
        <v>0.29726609999999998</v>
      </c>
      <c r="F4798" t="s">
        <v>81</v>
      </c>
      <c r="G4798">
        <v>-364.55130000000003</v>
      </c>
      <c r="H4798">
        <v>1.3700079999999999</v>
      </c>
      <c r="I4798">
        <v>-6.041622E-2</v>
      </c>
      <c r="J4798">
        <v>-419.5564</v>
      </c>
      <c r="K4798">
        <v>1.115985</v>
      </c>
      <c r="L4798">
        <v>32.079830000000001</v>
      </c>
      <c r="M4798">
        <v>0.2660438</v>
      </c>
      <c r="N4798">
        <v>0</v>
      </c>
      <c r="O4798">
        <v>-0.96385569999999998</v>
      </c>
      <c r="P4798">
        <v>0.53260249999999998</v>
      </c>
      <c r="Q4798">
        <v>-6.6296229999999998E-2</v>
      </c>
      <c r="R4798">
        <v>-0.8437654</v>
      </c>
      <c r="S4798">
        <v>2.941986</v>
      </c>
      <c r="T4798">
        <v>1.35814E-2</v>
      </c>
      <c r="U4798">
        <v>-1.7312320000000001</v>
      </c>
      <c r="V4798">
        <v>-0.2881783</v>
      </c>
      <c r="W4798">
        <v>-5.650633E-2</v>
      </c>
      <c r="X4798">
        <v>0.95590810000000004</v>
      </c>
      <c r="Y4798">
        <v>-0.69583519999999999</v>
      </c>
      <c r="Z4798">
        <v>-4.2639180000000002E-3</v>
      </c>
      <c r="AA4798">
        <v>0.71818879999999996</v>
      </c>
      <c r="AB4798">
        <v>20</v>
      </c>
      <c r="AC4798">
        <v>55.005099999999899</v>
      </c>
      <c r="AD4798">
        <v>0.254022999999999</v>
      </c>
      <c r="AE4798">
        <v>-32.140246220000002</v>
      </c>
      <c r="AF4798">
        <v>-44.470070368722801</v>
      </c>
      <c r="AG4798">
        <v>0.254022999999999</v>
      </c>
      <c r="AH4798">
        <v>45.616227838366299</v>
      </c>
      <c r="AI4798">
        <v>89.771537733653801</v>
      </c>
      <c r="AJ4798">
        <v>134.27107180618</v>
      </c>
      <c r="AK4798">
        <v>63.706294261128001</v>
      </c>
      <c r="AL4798">
        <v>93.239299625832103</v>
      </c>
      <c r="AM4798">
        <v>106.776521034553</v>
      </c>
      <c r="AN4798">
        <v>0.999999996783284</v>
      </c>
    </row>
    <row r="4799" spans="1:40" x14ac:dyDescent="0.3">
      <c r="A4799" t="str">
        <f>"20200111160559213"</f>
        <v>20200111160559213</v>
      </c>
      <c r="B4799" t="str">
        <f>"1578729959206480"</f>
        <v>1578729959206480</v>
      </c>
      <c r="C4799" t="s">
        <v>40</v>
      </c>
      <c r="D4799">
        <v>4.8717639999999998</v>
      </c>
      <c r="E4799">
        <v>0.2973092</v>
      </c>
      <c r="F4799" t="s">
        <v>81</v>
      </c>
      <c r="G4799">
        <v>-364.03660000000002</v>
      </c>
      <c r="H4799">
        <v>2.63306</v>
      </c>
      <c r="I4799">
        <v>0.63558959999999998</v>
      </c>
      <c r="J4799">
        <v>-419.49189999999999</v>
      </c>
      <c r="K4799">
        <v>1.1161939999999999</v>
      </c>
      <c r="L4799">
        <v>31.89059</v>
      </c>
      <c r="M4799">
        <v>0.27581869999999997</v>
      </c>
      <c r="N4799">
        <v>0</v>
      </c>
      <c r="O4799">
        <v>-0.96110359999999995</v>
      </c>
      <c r="P4799">
        <v>0.54279790000000006</v>
      </c>
      <c r="Q4799">
        <v>-4.9600329999999998E-2</v>
      </c>
      <c r="R4799">
        <v>-0.83839789999999903</v>
      </c>
      <c r="S4799">
        <v>2.9742130000000002</v>
      </c>
      <c r="T4799">
        <v>8.1270220000000004E-2</v>
      </c>
      <c r="U4799">
        <v>-1.6844790000000001</v>
      </c>
      <c r="V4799">
        <v>-0.28995409999999999</v>
      </c>
      <c r="W4799">
        <v>-3.9882969999999997E-2</v>
      </c>
      <c r="X4799">
        <v>0.95620919999999998</v>
      </c>
      <c r="Y4799">
        <v>-0.70015050000000001</v>
      </c>
      <c r="Z4799">
        <v>-2.5526960000000001E-2</v>
      </c>
      <c r="AA4799">
        <v>0.71353880000000003</v>
      </c>
      <c r="AB4799">
        <v>20</v>
      </c>
      <c r="AC4799">
        <v>55.455299999999902</v>
      </c>
      <c r="AD4799">
        <v>1.5168659999999901</v>
      </c>
      <c r="AE4799">
        <v>-31.2550004</v>
      </c>
      <c r="AF4799">
        <v>-44.656773986032803</v>
      </c>
      <c r="AG4799">
        <v>1.5168659999999901</v>
      </c>
      <c r="AH4799">
        <v>45.313795215096199</v>
      </c>
      <c r="AI4799">
        <v>88.634189250573996</v>
      </c>
      <c r="AJ4799">
        <v>134.581597908536</v>
      </c>
      <c r="AK4799">
        <v>63.638576210481403</v>
      </c>
      <c r="AL4799">
        <v>92.285732020915901</v>
      </c>
      <c r="AM4799">
        <v>106.869030461477</v>
      </c>
      <c r="AN4799">
        <v>1.00000003278373</v>
      </c>
    </row>
    <row r="4800" spans="1:40" x14ac:dyDescent="0.3">
      <c r="A4800" t="str">
        <f>"20200111160559234"</f>
        <v>20200111160559234</v>
      </c>
      <c r="B4800" t="str">
        <f>"1578729959226977"</f>
        <v>1578729959226977</v>
      </c>
      <c r="C4800" t="s">
        <v>40</v>
      </c>
      <c r="D4800">
        <v>4.9525690000000004</v>
      </c>
      <c r="E4800">
        <v>0.2982938</v>
      </c>
      <c r="F4800" t="s">
        <v>81</v>
      </c>
      <c r="G4800">
        <v>-362.16239999999999</v>
      </c>
      <c r="H4800">
        <v>3.4237129999999998</v>
      </c>
      <c r="I4800">
        <v>0.32258750000000003</v>
      </c>
      <c r="J4800">
        <v>-419.42880000000002</v>
      </c>
      <c r="K4800">
        <v>1.1163700000000001</v>
      </c>
      <c r="L4800">
        <v>31.711880000000001</v>
      </c>
      <c r="M4800">
        <v>0.2852692</v>
      </c>
      <c r="N4800">
        <v>0</v>
      </c>
      <c r="O4800">
        <v>-0.95834059999999999</v>
      </c>
      <c r="P4800">
        <v>0.5523401</v>
      </c>
      <c r="Q4800">
        <v>-3.5135729999999997E-2</v>
      </c>
      <c r="R4800">
        <v>-0.83287819999999901</v>
      </c>
      <c r="S4800">
        <v>2.9926759999999999</v>
      </c>
      <c r="T4800">
        <v>0.1204553</v>
      </c>
      <c r="U4800">
        <v>-1.647888</v>
      </c>
      <c r="V4800">
        <v>-0.29144120000000001</v>
      </c>
      <c r="W4800">
        <v>-2.5476160000000001E-2</v>
      </c>
      <c r="X4800">
        <v>0.95624940000000003</v>
      </c>
      <c r="Y4800">
        <v>-0.70132450000000002</v>
      </c>
      <c r="Z4800">
        <v>-3.7891689999999999E-2</v>
      </c>
      <c r="AA4800">
        <v>0.71183450000000004</v>
      </c>
      <c r="AB4800">
        <v>20</v>
      </c>
      <c r="AC4800">
        <v>57.266399999999997</v>
      </c>
      <c r="AD4800">
        <v>2.3073429999999902</v>
      </c>
      <c r="AE4800">
        <v>-31.3892925</v>
      </c>
      <c r="AF4800">
        <v>-45.8737547938752</v>
      </c>
      <c r="AG4800">
        <v>2.3073429999999902</v>
      </c>
      <c r="AH4800">
        <v>46.364847837647297</v>
      </c>
      <c r="AI4800">
        <v>87.973951438317798</v>
      </c>
      <c r="AJ4800">
        <v>134.694951006526</v>
      </c>
      <c r="AK4800">
        <v>65.264265303582704</v>
      </c>
      <c r="AL4800">
        <v>91.459834445490202</v>
      </c>
      <c r="AM4800">
        <v>106.949926618432</v>
      </c>
      <c r="AN4800">
        <v>0.99999996139307201</v>
      </c>
    </row>
    <row r="4801" spans="1:40" x14ac:dyDescent="0.3">
      <c r="A4801" t="str">
        <f>"20200111160559257"</f>
        <v>20200111160559257</v>
      </c>
      <c r="B4801" t="str">
        <f>"1578729959246496"</f>
        <v>1578729959246496</v>
      </c>
      <c r="C4801" t="s">
        <v>40</v>
      </c>
      <c r="D4801">
        <v>4.9563240000000004</v>
      </c>
      <c r="E4801">
        <v>0.29950070000000001</v>
      </c>
      <c r="F4801" t="s">
        <v>81</v>
      </c>
      <c r="G4801">
        <v>-360.82330000000002</v>
      </c>
      <c r="H4801">
        <v>3.7560349999999998</v>
      </c>
      <c r="I4801">
        <v>0.16575719999999999</v>
      </c>
      <c r="J4801">
        <v>-419.36160000000001</v>
      </c>
      <c r="K4801">
        <v>1.1165149999999999</v>
      </c>
      <c r="L4801">
        <v>31.528410000000001</v>
      </c>
      <c r="M4801">
        <v>0.29520619999999997</v>
      </c>
      <c r="N4801">
        <v>0</v>
      </c>
      <c r="O4801">
        <v>-0.9553258</v>
      </c>
      <c r="P4801">
        <v>0.56164709999999995</v>
      </c>
      <c r="Q4801">
        <v>-2.499463E-2</v>
      </c>
      <c r="R4801">
        <v>-0.8269995</v>
      </c>
      <c r="S4801">
        <v>3.002777</v>
      </c>
      <c r="T4801">
        <v>0.13524890000000001</v>
      </c>
      <c r="U4801">
        <v>-1.616333</v>
      </c>
      <c r="V4801">
        <v>-0.29226340000000001</v>
      </c>
      <c r="W4801">
        <v>-1.538403E-2</v>
      </c>
      <c r="X4801">
        <v>0.95621409999999996</v>
      </c>
      <c r="Y4801">
        <v>-0.70054269999999996</v>
      </c>
      <c r="Z4801">
        <v>-4.2651550000000003E-2</v>
      </c>
      <c r="AA4801">
        <v>0.71233469999999999</v>
      </c>
      <c r="AB4801">
        <v>20</v>
      </c>
      <c r="AC4801">
        <v>58.5382999999999</v>
      </c>
      <c r="AD4801">
        <v>2.6395200000000001</v>
      </c>
      <c r="AE4801">
        <v>-31.362652799999999</v>
      </c>
      <c r="AF4801">
        <v>-46.595896013136702</v>
      </c>
      <c r="AG4801">
        <v>2.6395200000000001</v>
      </c>
      <c r="AH4801">
        <v>47.172765967353001</v>
      </c>
      <c r="AI4801">
        <v>87.720354072532501</v>
      </c>
      <c r="AJ4801">
        <v>134.647517667079</v>
      </c>
      <c r="AK4801">
        <v>66.358228126646907</v>
      </c>
      <c r="AL4801">
        <v>90.8814747766978</v>
      </c>
      <c r="AM4801">
        <v>106.995583858719</v>
      </c>
      <c r="AN4801">
        <v>0.99999998419870495</v>
      </c>
    </row>
    <row r="4802" spans="1:40" x14ac:dyDescent="0.3">
      <c r="A4802" t="str">
        <f>"20200111160559368"</f>
        <v>20200111160559368</v>
      </c>
      <c r="B4802" t="str">
        <f>"1578729959356787"</f>
        <v>1578729959356787</v>
      </c>
      <c r="C4802" t="s">
        <v>40</v>
      </c>
      <c r="D4802">
        <v>4.8762530000000002</v>
      </c>
      <c r="E4802">
        <v>0.32093850000000002</v>
      </c>
      <c r="F4802" t="s">
        <v>81</v>
      </c>
      <c r="G4802">
        <v>-360.1576</v>
      </c>
      <c r="H4802">
        <v>3.9104700000000001</v>
      </c>
      <c r="I4802">
        <v>0.32242680000000001</v>
      </c>
      <c r="J4802">
        <v>-418.9973</v>
      </c>
      <c r="K4802">
        <v>1.117049</v>
      </c>
      <c r="L4802">
        <v>30.635649999999998</v>
      </c>
      <c r="M4802">
        <v>0.34725679999999998</v>
      </c>
      <c r="N4802">
        <v>0</v>
      </c>
      <c r="O4802">
        <v>-0.93765710000000002</v>
      </c>
      <c r="P4802">
        <v>0.61262479999999997</v>
      </c>
      <c r="Q4802">
        <v>-3.3987419999999997E-2</v>
      </c>
      <c r="R4802">
        <v>-0.78964290000000004</v>
      </c>
      <c r="S4802">
        <v>3.0109249999999999</v>
      </c>
      <c r="T4802">
        <v>0.14209160000000001</v>
      </c>
      <c r="U4802">
        <v>-1.5870359999999999</v>
      </c>
      <c r="V4802">
        <v>-0.29990609999999901</v>
      </c>
      <c r="W4802">
        <v>-2.4769159999999998E-2</v>
      </c>
      <c r="X4802">
        <v>0.95364709999999997</v>
      </c>
      <c r="Y4802">
        <v>-0.6667284</v>
      </c>
      <c r="Z4802">
        <v>-4.4656319999999999E-2</v>
      </c>
      <c r="AA4802">
        <v>0.74396169999999995</v>
      </c>
      <c r="AB4802">
        <v>20</v>
      </c>
      <c r="AC4802">
        <v>58.839699999999901</v>
      </c>
      <c r="AD4802">
        <v>2.7934209999999902</v>
      </c>
      <c r="AE4802">
        <v>-30.313223199999999</v>
      </c>
      <c r="AF4802">
        <v>-44.570333729025997</v>
      </c>
      <c r="AG4802">
        <v>2.7934209999999902</v>
      </c>
      <c r="AH4802">
        <v>48.774197517562598</v>
      </c>
      <c r="AI4802">
        <v>87.579045665217805</v>
      </c>
      <c r="AJ4802">
        <v>132.42137001237299</v>
      </c>
      <c r="AK4802">
        <v>66.130478548716198</v>
      </c>
      <c r="AL4802">
        <v>91.419313503063094</v>
      </c>
      <c r="AM4802">
        <v>107.457491679838</v>
      </c>
      <c r="AN4802">
        <v>0.99999998572136195</v>
      </c>
    </row>
    <row r="4803" spans="1:40" x14ac:dyDescent="0.3">
      <c r="A4803" t="str">
        <f>"20200111160559391"</f>
        <v>20200111160559391</v>
      </c>
      <c r="B4803" t="str">
        <f>"1578729959387040"</f>
        <v>1578729959387040</v>
      </c>
      <c r="C4803" t="s">
        <v>40</v>
      </c>
      <c r="D4803">
        <v>4.8876410000000003</v>
      </c>
      <c r="E4803">
        <v>0.3198105</v>
      </c>
      <c r="F4803" t="s">
        <v>67</v>
      </c>
      <c r="G4803">
        <v>-403.46589999999998</v>
      </c>
      <c r="H4803" s="1">
        <v>-5.0984409999999998E-6</v>
      </c>
      <c r="I4803">
        <v>22.822410000000001</v>
      </c>
      <c r="J4803">
        <v>-418.91570000000002</v>
      </c>
      <c r="K4803">
        <v>1.117135</v>
      </c>
      <c r="L4803">
        <v>30.45618</v>
      </c>
      <c r="M4803">
        <v>0.35849180000000003</v>
      </c>
      <c r="N4803">
        <v>0</v>
      </c>
      <c r="O4803">
        <v>-0.93341870000000005</v>
      </c>
      <c r="P4803">
        <v>0.6238456</v>
      </c>
      <c r="Q4803">
        <v>-3.8952439999999998E-2</v>
      </c>
      <c r="R4803">
        <v>-0.78057589999999999</v>
      </c>
      <c r="S4803">
        <v>2.9635310000000001</v>
      </c>
      <c r="T4803">
        <v>-0.213145</v>
      </c>
      <c r="U4803">
        <v>-1.490845</v>
      </c>
      <c r="V4803">
        <v>-0.30207820000000002</v>
      </c>
      <c r="W4803">
        <v>-2.9818799999999999E-2</v>
      </c>
      <c r="X4803">
        <v>0.95281669999999996</v>
      </c>
      <c r="Y4803">
        <v>-0.6706396</v>
      </c>
      <c r="Z4803">
        <v>6.8735210000000005E-2</v>
      </c>
      <c r="AA4803">
        <v>0.73859189999999997</v>
      </c>
      <c r="AB4803">
        <v>20</v>
      </c>
      <c r="AC4803">
        <v>15.4498</v>
      </c>
      <c r="AD4803">
        <v>-1.117140098441</v>
      </c>
      <c r="AE4803">
        <v>-7.6337699999999904</v>
      </c>
      <c r="AF4803">
        <v>-11.6368307240596</v>
      </c>
      <c r="AG4803">
        <v>-1.117140098441</v>
      </c>
      <c r="AH4803">
        <v>12.612477053126</v>
      </c>
      <c r="AI4803">
        <v>93.724623089525295</v>
      </c>
      <c r="AJ4803">
        <v>132.696005042525</v>
      </c>
      <c r="AK4803">
        <v>17.197046511409901</v>
      </c>
      <c r="AL4803">
        <v>91.708744624466206</v>
      </c>
      <c r="AM4803">
        <v>107.590544266482</v>
      </c>
      <c r="AN4803">
        <v>1.0000000317737801</v>
      </c>
    </row>
    <row r="4804" spans="1:40" x14ac:dyDescent="0.3">
      <c r="A4804" t="str">
        <f>"20200111160559414"</f>
        <v>20200111160559414</v>
      </c>
      <c r="B4804" t="str">
        <f>"1578729959406563"</f>
        <v>1578729959406563</v>
      </c>
      <c r="C4804" t="s">
        <v>40</v>
      </c>
      <c r="D4804">
        <v>4.900652</v>
      </c>
      <c r="E4804">
        <v>0.32080550000000002</v>
      </c>
      <c r="F4804" t="s">
        <v>67</v>
      </c>
      <c r="G4804">
        <v>-404.27420000000001</v>
      </c>
      <c r="H4804" s="1">
        <v>-4.8252720000000003E-6</v>
      </c>
      <c r="I4804">
        <v>23.402850000000001</v>
      </c>
      <c r="J4804">
        <v>-418.83280000000002</v>
      </c>
      <c r="K4804">
        <v>1.117224</v>
      </c>
      <c r="L4804">
        <v>30.28</v>
      </c>
      <c r="M4804">
        <v>0.36979519999999999</v>
      </c>
      <c r="N4804">
        <v>0</v>
      </c>
      <c r="O4804">
        <v>-0.92899799999999999</v>
      </c>
      <c r="P4804">
        <v>0.63524340000000001</v>
      </c>
      <c r="Q4804">
        <v>-4.382076E-2</v>
      </c>
      <c r="R4804">
        <v>-0.77106779999999997</v>
      </c>
      <c r="S4804">
        <v>2.9914860000000001</v>
      </c>
      <c r="T4804">
        <v>-0.22824839999999999</v>
      </c>
      <c r="U4804">
        <v>-1.441101</v>
      </c>
      <c r="V4804">
        <v>-0.30451669999999997</v>
      </c>
      <c r="W4804">
        <v>-3.4776479999999999E-2</v>
      </c>
      <c r="X4804">
        <v>0.95187189999999999</v>
      </c>
      <c r="Y4804">
        <v>-0.67400300000000002</v>
      </c>
      <c r="Z4804">
        <v>7.3582919999999996E-2</v>
      </c>
      <c r="AA4804">
        <v>0.73505469999999995</v>
      </c>
      <c r="AB4804">
        <v>20</v>
      </c>
      <c r="AC4804">
        <v>14.5586</v>
      </c>
      <c r="AD4804">
        <v>-1.117228825272</v>
      </c>
      <c r="AE4804">
        <v>-6.8771500000000003</v>
      </c>
      <c r="AF4804">
        <v>-10.930323526003701</v>
      </c>
      <c r="AG4804">
        <v>-1.117228825272</v>
      </c>
      <c r="AH4804">
        <v>11.717404459515601</v>
      </c>
      <c r="AI4804">
        <v>93.988327059700495</v>
      </c>
      <c r="AJ4804">
        <v>133.009589605912</v>
      </c>
      <c r="AK4804">
        <v>16.062930613652199</v>
      </c>
      <c r="AL4804">
        <v>91.992947442659798</v>
      </c>
      <c r="AM4804">
        <v>107.74017736839799</v>
      </c>
      <c r="AN4804">
        <v>0.99999996907484401</v>
      </c>
    </row>
    <row r="4805" spans="1:40" x14ac:dyDescent="0.3">
      <c r="A4805" t="str">
        <f>"20200111160559435"</f>
        <v>20200111160559435</v>
      </c>
      <c r="B4805" t="str">
        <f>"1578729959427059"</f>
        <v>1578729959427059</v>
      </c>
      <c r="C4805" t="s">
        <v>40</v>
      </c>
      <c r="D4805">
        <v>4.884652</v>
      </c>
      <c r="E4805">
        <v>0.32178499999999999</v>
      </c>
      <c r="F4805" t="s">
        <v>67</v>
      </c>
      <c r="G4805">
        <v>-405.59519999999998</v>
      </c>
      <c r="H4805" s="1">
        <v>-4.3123990000000002E-6</v>
      </c>
      <c r="I4805">
        <v>24.112480000000001</v>
      </c>
      <c r="J4805">
        <v>-418.75220000000002</v>
      </c>
      <c r="K4805">
        <v>1.1173249999999999</v>
      </c>
      <c r="L4805">
        <v>30.114380000000001</v>
      </c>
      <c r="M4805">
        <v>0.38070209999999999</v>
      </c>
      <c r="N4805">
        <v>0</v>
      </c>
      <c r="O4805">
        <v>-0.92458119999999999</v>
      </c>
      <c r="P4805">
        <v>0.64652659999999995</v>
      </c>
      <c r="Q4805">
        <v>-4.9258730000000001E-2</v>
      </c>
      <c r="R4805">
        <v>-0.76129969999999902</v>
      </c>
      <c r="S4805">
        <v>3.0054630000000002</v>
      </c>
      <c r="T4805">
        <v>-0.25365480000000001</v>
      </c>
      <c r="U4805">
        <v>-1.400269</v>
      </c>
      <c r="V4805">
        <v>-0.30735430000000002</v>
      </c>
      <c r="W4805">
        <v>-4.0318180000000002E-2</v>
      </c>
      <c r="X4805">
        <v>0.95074060000000005</v>
      </c>
      <c r="Y4805">
        <v>-0.67422289999999996</v>
      </c>
      <c r="Z4805">
        <v>8.1849720000000001E-2</v>
      </c>
      <c r="AA4805">
        <v>0.73397829999999997</v>
      </c>
      <c r="AB4805">
        <v>20</v>
      </c>
      <c r="AC4805">
        <v>13.157</v>
      </c>
      <c r="AD4805">
        <v>-1.11732931239899</v>
      </c>
      <c r="AE4805">
        <v>-6.0019</v>
      </c>
      <c r="AF4805">
        <v>-9.8222087889026799</v>
      </c>
      <c r="AG4805">
        <v>-1.11732931239899</v>
      </c>
      <c r="AH4805">
        <v>10.4966184451819</v>
      </c>
      <c r="AI4805">
        <v>94.444355935524499</v>
      </c>
      <c r="AJ4805">
        <v>133.09897263646499</v>
      </c>
      <c r="AK4805">
        <v>14.4188490896075</v>
      </c>
      <c r="AL4805">
        <v>92.310687969706905</v>
      </c>
      <c r="AM4805">
        <v>107.914921450394</v>
      </c>
      <c r="AN4805">
        <v>0.99999995492768001</v>
      </c>
    </row>
    <row r="4806" spans="1:40" x14ac:dyDescent="0.3">
      <c r="A4806" t="str">
        <f>"20200111160559458"</f>
        <v>20200111160559458</v>
      </c>
      <c r="B4806" t="str">
        <f>"1578729959446576"</f>
        <v>1578729959446576</v>
      </c>
      <c r="C4806" t="s">
        <v>40</v>
      </c>
      <c r="D4806">
        <v>4.9300879999999996</v>
      </c>
      <c r="E4806">
        <v>0.32331739999999998</v>
      </c>
      <c r="F4806" t="s">
        <v>67</v>
      </c>
      <c r="G4806">
        <v>-406.4067</v>
      </c>
      <c r="H4806" s="1">
        <v>-3.9831510000000004E-6</v>
      </c>
      <c r="I4806">
        <v>24.556920000000002</v>
      </c>
      <c r="J4806">
        <v>-418.66640000000001</v>
      </c>
      <c r="K4806">
        <v>1.1174580000000001</v>
      </c>
      <c r="L4806">
        <v>29.94397</v>
      </c>
      <c r="M4806">
        <v>0.39222600000000002</v>
      </c>
      <c r="N4806">
        <v>0</v>
      </c>
      <c r="O4806">
        <v>-0.91975090000000004</v>
      </c>
      <c r="P4806">
        <v>0.65816459999999999</v>
      </c>
      <c r="Q4806">
        <v>-5.4164469999999999E-2</v>
      </c>
      <c r="R4806">
        <v>-0.75092329999999996</v>
      </c>
      <c r="S4806">
        <v>3.019012</v>
      </c>
      <c r="T4806">
        <v>-0.27323560000000002</v>
      </c>
      <c r="U4806">
        <v>-1.3590390000000001</v>
      </c>
      <c r="V4806">
        <v>-0.31013760000000001</v>
      </c>
      <c r="W4806">
        <v>-4.5340110000000003E-2</v>
      </c>
      <c r="X4806">
        <v>0.94960990000000001</v>
      </c>
      <c r="Y4806">
        <v>-0.67405559999999998</v>
      </c>
      <c r="Z4806">
        <v>8.823346E-2</v>
      </c>
      <c r="AA4806">
        <v>0.73339209999999999</v>
      </c>
      <c r="AB4806">
        <v>20</v>
      </c>
      <c r="AC4806">
        <v>12.2597</v>
      </c>
      <c r="AD4806">
        <v>-1.117461983151</v>
      </c>
      <c r="AE4806">
        <v>-5.3870499999999897</v>
      </c>
      <c r="AF4806">
        <v>-9.1005507566467205</v>
      </c>
      <c r="AG4806">
        <v>-1.117461983151</v>
      </c>
      <c r="AH4806">
        <v>9.6968516495631292</v>
      </c>
      <c r="AI4806">
        <v>94.8032487289275</v>
      </c>
      <c r="AJ4806">
        <v>133.183043050316</v>
      </c>
      <c r="AK4806">
        <v>13.3453241725979</v>
      </c>
      <c r="AL4806">
        <v>92.598687805347296</v>
      </c>
      <c r="AM4806">
        <v>108.086765646346</v>
      </c>
      <c r="AN4806">
        <v>1.0000000093432899</v>
      </c>
    </row>
    <row r="4807" spans="1:40" x14ac:dyDescent="0.3">
      <c r="A4807" t="str">
        <f>"20200111160559480"</f>
        <v>20200111160559480</v>
      </c>
      <c r="B4807" t="str">
        <f>"1578729959476832"</f>
        <v>1578729959476832</v>
      </c>
      <c r="C4807" t="s">
        <v>40</v>
      </c>
      <c r="D4807">
        <v>4.9995260000000004</v>
      </c>
      <c r="E4807">
        <v>0.32364199999999999</v>
      </c>
      <c r="F4807" t="s">
        <v>67</v>
      </c>
      <c r="G4807">
        <v>-407.13040000000001</v>
      </c>
      <c r="H4807" s="1">
        <v>-3.684008E-6</v>
      </c>
      <c r="I4807">
        <v>24.922219999999999</v>
      </c>
      <c r="J4807">
        <v>-418.5772</v>
      </c>
      <c r="K4807">
        <v>1.1176109999999999</v>
      </c>
      <c r="L4807">
        <v>29.773219999999998</v>
      </c>
      <c r="M4807">
        <v>0.40409529999999999</v>
      </c>
      <c r="N4807">
        <v>0</v>
      </c>
      <c r="O4807">
        <v>-0.91459729999999995</v>
      </c>
      <c r="P4807">
        <v>0.66928080000000001</v>
      </c>
      <c r="Q4807">
        <v>-5.7478170000000002E-2</v>
      </c>
      <c r="R4807">
        <v>-0.74078350000000004</v>
      </c>
      <c r="S4807">
        <v>3.029388</v>
      </c>
      <c r="T4807">
        <v>-0.2934483</v>
      </c>
      <c r="U4807">
        <v>-1.3187260000000001</v>
      </c>
      <c r="V4807">
        <v>-0.31202419999999997</v>
      </c>
      <c r="W4807">
        <v>-4.8762430000000002E-2</v>
      </c>
      <c r="X4807">
        <v>0.94882200000000005</v>
      </c>
      <c r="Y4807">
        <v>-0.67304819999999999</v>
      </c>
      <c r="Z4807">
        <v>9.4844120000000004E-2</v>
      </c>
      <c r="AA4807">
        <v>0.73349209999999998</v>
      </c>
      <c r="AB4807">
        <v>20</v>
      </c>
      <c r="AC4807">
        <v>11.4467999999999</v>
      </c>
      <c r="AD4807">
        <v>-1.1176146840079999</v>
      </c>
      <c r="AE4807">
        <v>-4.8509999999999902</v>
      </c>
      <c r="AF4807">
        <v>-8.4416571134493701</v>
      </c>
      <c r="AG4807">
        <v>-1.1176146840079999</v>
      </c>
      <c r="AH4807">
        <v>8.9906446098808193</v>
      </c>
      <c r="AI4807">
        <v>95.178155300553598</v>
      </c>
      <c r="AJ4807">
        <v>133.19620641448699</v>
      </c>
      <c r="AK4807">
        <v>12.383146930572201</v>
      </c>
      <c r="AL4807">
        <v>92.794989738544402</v>
      </c>
      <c r="AM4807">
        <v>108.20367286584801</v>
      </c>
      <c r="AN4807">
        <v>1.0000000318245701</v>
      </c>
    </row>
    <row r="4808" spans="1:40" x14ac:dyDescent="0.3">
      <c r="A4808" t="str">
        <f>"20200111160559636"</f>
        <v>20200111160559636</v>
      </c>
      <c r="B4808" t="str">
        <f>"1578729959627136"</f>
        <v>1578729959627136</v>
      </c>
      <c r="C4808" t="s">
        <v>40</v>
      </c>
      <c r="D4808">
        <v>5.1179880000000004</v>
      </c>
      <c r="E4808">
        <v>0.2925005</v>
      </c>
      <c r="F4808" t="s">
        <v>67</v>
      </c>
      <c r="G4808">
        <v>-407.20620000000002</v>
      </c>
      <c r="H4808" s="1">
        <v>-3.662841E-6</v>
      </c>
      <c r="I4808">
        <v>25.01782</v>
      </c>
      <c r="J4808">
        <v>-417.89729999999997</v>
      </c>
      <c r="K4808">
        <v>1.11846</v>
      </c>
      <c r="L4808">
        <v>28.646609999999999</v>
      </c>
      <c r="M4808">
        <v>0.49102059999999997</v>
      </c>
      <c r="N4808">
        <v>0</v>
      </c>
      <c r="O4808">
        <v>-0.87101479999999998</v>
      </c>
      <c r="P4808">
        <v>0.72231459999999903</v>
      </c>
      <c r="Q4808">
        <v>-6.0859940000000001E-2</v>
      </c>
      <c r="R4808">
        <v>-0.68888149999999904</v>
      </c>
      <c r="S4808">
        <v>3.0465390000000001</v>
      </c>
      <c r="T4808">
        <v>-0.29943360000000002</v>
      </c>
      <c r="U4808">
        <v>-1.274078</v>
      </c>
      <c r="V4808">
        <v>-0.28998669999999999</v>
      </c>
      <c r="W4808">
        <v>-5.1865199999999903E-2</v>
      </c>
      <c r="X4808">
        <v>0.95562429999999998</v>
      </c>
      <c r="Y4808">
        <v>-0.60973459999999902</v>
      </c>
      <c r="Z4808">
        <v>9.3855980000000006E-2</v>
      </c>
      <c r="AA4808">
        <v>0.78702910000000004</v>
      </c>
      <c r="AB4808">
        <v>19</v>
      </c>
      <c r="AC4808">
        <v>10.691099999999899</v>
      </c>
      <c r="AD4808">
        <v>-1.1184636628409901</v>
      </c>
      <c r="AE4808">
        <v>-3.6287899999999902</v>
      </c>
      <c r="AF4808">
        <v>-7.4579771534153103</v>
      </c>
      <c r="AG4808">
        <v>-1.1184636628409901</v>
      </c>
      <c r="AH4808">
        <v>8.3295105140577697</v>
      </c>
      <c r="AI4808">
        <v>95.712724047377606</v>
      </c>
      <c r="AJ4808">
        <v>131.84024771712001</v>
      </c>
      <c r="AK4808">
        <v>11.2362417911755</v>
      </c>
      <c r="AL4808">
        <v>92.9729908405575</v>
      </c>
      <c r="AM4808">
        <v>106.88055821285199</v>
      </c>
      <c r="AN4808">
        <v>1.0000000439492001</v>
      </c>
    </row>
    <row r="4809" spans="1:40" x14ac:dyDescent="0.3">
      <c r="A4809" t="str">
        <f>"20200111160559659"</f>
        <v>20200111160559659</v>
      </c>
      <c r="B4809" t="str">
        <f>"1578729959657393"</f>
        <v>1578729959657393</v>
      </c>
      <c r="C4809" t="s">
        <v>40</v>
      </c>
      <c r="D4809">
        <v>5.0962209999999999</v>
      </c>
      <c r="E4809">
        <v>0.29098580000000002</v>
      </c>
      <c r="F4809" t="s">
        <v>82</v>
      </c>
      <c r="G4809">
        <v>-279.02</v>
      </c>
      <c r="H4809">
        <v>2.3310140000000001</v>
      </c>
      <c r="I4809">
        <v>-8.3366000000000007</v>
      </c>
      <c r="J4809">
        <v>-417.79109999999997</v>
      </c>
      <c r="K4809">
        <v>1.118501</v>
      </c>
      <c r="L4809">
        <v>28.493259999999999</v>
      </c>
      <c r="M4809">
        <v>0.5038068</v>
      </c>
      <c r="N4809">
        <v>0</v>
      </c>
      <c r="O4809">
        <v>-0.86368129999999999</v>
      </c>
      <c r="P4809">
        <v>0.72652969999999994</v>
      </c>
      <c r="Q4809">
        <v>-6.5195619999999996E-2</v>
      </c>
      <c r="R4809">
        <v>-0.68403519999999995</v>
      </c>
      <c r="S4809">
        <v>3.3140559999999999</v>
      </c>
      <c r="T4809">
        <v>2.8935430000000002E-2</v>
      </c>
      <c r="U4809">
        <v>-0.88253780000000004</v>
      </c>
      <c r="V4809">
        <v>-0.28187719999999999</v>
      </c>
      <c r="W4809">
        <v>-5.5995669999999997E-2</v>
      </c>
      <c r="X4809">
        <v>0.95781510000000003</v>
      </c>
      <c r="Y4809">
        <v>-0.70498780000000005</v>
      </c>
      <c r="Z4809">
        <v>-9.0410339999999999E-3</v>
      </c>
      <c r="AA4809">
        <v>0.70916179999999995</v>
      </c>
      <c r="AB4809">
        <v>19</v>
      </c>
      <c r="AC4809">
        <v>138.77109999999999</v>
      </c>
      <c r="AD4809">
        <v>1.212513</v>
      </c>
      <c r="AE4809">
        <v>-36.829859999999996</v>
      </c>
      <c r="AF4809">
        <v>-101.30346474932</v>
      </c>
      <c r="AG4809">
        <v>1.212513</v>
      </c>
      <c r="AH4809">
        <v>101.727699038145</v>
      </c>
      <c r="AI4809">
        <v>89.516106201935699</v>
      </c>
      <c r="AJ4809">
        <v>134.880280453274</v>
      </c>
      <c r="AK4809">
        <v>143.57014630342701</v>
      </c>
      <c r="AL4809">
        <v>93.209994493397801</v>
      </c>
      <c r="AM4809">
        <v>106.39872754666</v>
      </c>
      <c r="AN4809">
        <v>1.00000001836329</v>
      </c>
    </row>
    <row r="4810" spans="1:40" x14ac:dyDescent="0.3">
      <c r="A4810" t="str">
        <f>"20200111160559704"</f>
        <v>20200111160559704</v>
      </c>
      <c r="B4810" t="str">
        <f>"1578729959696942"</f>
        <v>1578729959696942</v>
      </c>
      <c r="C4810" t="s">
        <v>40</v>
      </c>
      <c r="D4810">
        <v>5.0645369999999996</v>
      </c>
      <c r="E4810">
        <v>0.290373299999999</v>
      </c>
      <c r="F4810" t="s">
        <v>82</v>
      </c>
      <c r="G4810">
        <v>-279.02</v>
      </c>
      <c r="H4810">
        <v>4.379213</v>
      </c>
      <c r="I4810">
        <v>-7.2983060000000002</v>
      </c>
      <c r="J4810">
        <v>-417.57049999999998</v>
      </c>
      <c r="K4810">
        <v>1.1185969999999901</v>
      </c>
      <c r="L4810">
        <v>28.190249999999999</v>
      </c>
      <c r="M4810">
        <v>0.52948419999999996</v>
      </c>
      <c r="N4810">
        <v>0</v>
      </c>
      <c r="O4810">
        <v>-0.84818069999999901</v>
      </c>
      <c r="P4810">
        <v>0.74023559999999999</v>
      </c>
      <c r="Q4810">
        <v>-5.9201940000000002E-2</v>
      </c>
      <c r="R4810">
        <v>-0.669736</v>
      </c>
      <c r="S4810">
        <v>3.3280639999999999</v>
      </c>
      <c r="T4810">
        <v>7.8199740000000004E-2</v>
      </c>
      <c r="U4810">
        <v>-0.85836789999999996</v>
      </c>
      <c r="V4810">
        <v>-0.27236129999999997</v>
      </c>
      <c r="W4810">
        <v>-4.9716969999999999E-2</v>
      </c>
      <c r="X4810">
        <v>0.96090969999999998</v>
      </c>
      <c r="Y4810">
        <v>-0.68883539999999999</v>
      </c>
      <c r="Z4810">
        <v>-2.4108049999999999E-2</v>
      </c>
      <c r="AA4810">
        <v>0.72451679999999996</v>
      </c>
      <c r="AB4810">
        <v>19</v>
      </c>
      <c r="AC4810">
        <v>138.5505</v>
      </c>
      <c r="AD4810">
        <v>3.2606160000000002</v>
      </c>
      <c r="AE4810">
        <v>-35.488556000000003</v>
      </c>
      <c r="AF4810">
        <v>-98.685590384862294</v>
      </c>
      <c r="AG4810">
        <v>3.2606160000000002</v>
      </c>
      <c r="AH4810">
        <v>103.419467411745</v>
      </c>
      <c r="AI4810">
        <v>88.6933306582619</v>
      </c>
      <c r="AJ4810">
        <v>133.65821473348501</v>
      </c>
      <c r="AK4810">
        <v>142.98623572231401</v>
      </c>
      <c r="AL4810">
        <v>92.849747497943596</v>
      </c>
      <c r="AM4810">
        <v>105.824909384337</v>
      </c>
      <c r="AN4810">
        <v>0.99999995319887902</v>
      </c>
    </row>
    <row r="4811" spans="1:40" x14ac:dyDescent="0.3">
      <c r="A4811" t="str">
        <f>"20200111160559715"</f>
        <v>20200111160559715</v>
      </c>
      <c r="B4811" t="str">
        <f>"1578729959706700"</f>
        <v>1578729959706700</v>
      </c>
      <c r="C4811" t="s">
        <v>40</v>
      </c>
      <c r="D4811">
        <v>5.2076859999999998</v>
      </c>
      <c r="E4811">
        <v>0.29081319999999999</v>
      </c>
      <c r="F4811" t="s">
        <v>82</v>
      </c>
      <c r="G4811">
        <v>-279.02</v>
      </c>
      <c r="H4811">
        <v>5.6482089999999996</v>
      </c>
      <c r="I4811">
        <v>-4.5300440000000002</v>
      </c>
      <c r="J4811">
        <v>-417.51179999999999</v>
      </c>
      <c r="K4811">
        <v>1.118608</v>
      </c>
      <c r="L4811">
        <v>28.11346</v>
      </c>
      <c r="M4811">
        <v>0.53607700000000003</v>
      </c>
      <c r="N4811">
        <v>0</v>
      </c>
      <c r="O4811">
        <v>-0.84402909999999998</v>
      </c>
      <c r="P4811">
        <v>0.74417860000000002</v>
      </c>
      <c r="Q4811">
        <v>-5.6451290000000001E-2</v>
      </c>
      <c r="R4811">
        <v>-0.66559089999999999</v>
      </c>
      <c r="S4811">
        <v>3.3464969999999998</v>
      </c>
      <c r="T4811">
        <v>0.10940660000000001</v>
      </c>
      <c r="U4811">
        <v>-0.79031370000000001</v>
      </c>
      <c r="V4811">
        <v>-0.27047739999999998</v>
      </c>
      <c r="W4811">
        <v>-4.6900339999999999E-2</v>
      </c>
      <c r="X4811">
        <v>0.96158330000000003</v>
      </c>
      <c r="Y4811">
        <v>-0.69768439999999998</v>
      </c>
      <c r="Z4811">
        <v>-3.3781680000000001E-2</v>
      </c>
      <c r="AA4811">
        <v>0.71560840000000003</v>
      </c>
      <c r="AB4811">
        <v>19</v>
      </c>
      <c r="AC4811">
        <v>138.49180000000001</v>
      </c>
      <c r="AD4811">
        <v>4.5296010000000004</v>
      </c>
      <c r="AE4811">
        <v>-32.643503999999901</v>
      </c>
      <c r="AF4811">
        <v>-99.3027887451818</v>
      </c>
      <c r="AG4811">
        <v>4.5296010000000004</v>
      </c>
      <c r="AH4811">
        <v>101.703298330826</v>
      </c>
      <c r="AI4811">
        <v>88.174799998986401</v>
      </c>
      <c r="AJ4811">
        <v>134.31577927927401</v>
      </c>
      <c r="AK4811">
        <v>142.215055564305</v>
      </c>
      <c r="AL4811">
        <v>92.688177513189302</v>
      </c>
      <c r="AM4811">
        <v>105.710410109157</v>
      </c>
      <c r="AN4811">
        <v>1.00000005432088</v>
      </c>
    </row>
    <row r="4812" spans="1:40" x14ac:dyDescent="0.3">
      <c r="A4812" t="str">
        <f>"20200111160559728"</f>
        <v>20200111160559728</v>
      </c>
      <c r="B4812" t="str">
        <f>"1578729959717436"</f>
        <v>1578729959717436</v>
      </c>
      <c r="C4812" t="s">
        <v>40</v>
      </c>
      <c r="D4812">
        <v>5.1239809999999997</v>
      </c>
      <c r="E4812">
        <v>0.2912421</v>
      </c>
      <c r="F4812" t="s">
        <v>82</v>
      </c>
      <c r="G4812">
        <v>-279.02</v>
      </c>
      <c r="H4812">
        <v>5.562818</v>
      </c>
      <c r="I4812">
        <v>-3.8421059999999998</v>
      </c>
      <c r="J4812">
        <v>-417.45330000000001</v>
      </c>
      <c r="K4812">
        <v>1.1186100000000001</v>
      </c>
      <c r="L4812">
        <v>28.037600000000001</v>
      </c>
      <c r="M4812">
        <v>0.54258499999999998</v>
      </c>
      <c r="N4812">
        <v>0</v>
      </c>
      <c r="O4812">
        <v>-0.83986000000000005</v>
      </c>
      <c r="P4812">
        <v>0.74839960000000005</v>
      </c>
      <c r="Q4812">
        <v>-5.410802E-2</v>
      </c>
      <c r="R4812">
        <v>-0.66103749999999994</v>
      </c>
      <c r="S4812">
        <v>3.3484189999999998</v>
      </c>
      <c r="T4812">
        <v>0.107451</v>
      </c>
      <c r="U4812">
        <v>-0.77261349999999995</v>
      </c>
      <c r="V4812">
        <v>-0.26910590000000001</v>
      </c>
      <c r="W4812">
        <v>-4.4502880000000002E-2</v>
      </c>
      <c r="X4812">
        <v>0.96208179999999999</v>
      </c>
      <c r="Y4812">
        <v>-0.69584979999999996</v>
      </c>
      <c r="Z4812">
        <v>-3.312615E-2</v>
      </c>
      <c r="AA4812">
        <v>0.71742299999999903</v>
      </c>
      <c r="AB4812">
        <v>19</v>
      </c>
      <c r="AC4812">
        <v>138.4333</v>
      </c>
      <c r="AD4812">
        <v>4.4442079999999997</v>
      </c>
      <c r="AE4812">
        <v>-31.879705999999999</v>
      </c>
      <c r="AF4812">
        <v>-98.882076360296494</v>
      </c>
      <c r="AG4812">
        <v>4.4442079999999997</v>
      </c>
      <c r="AH4812">
        <v>101.798748156009</v>
      </c>
      <c r="AI4812">
        <v>88.206347271054796</v>
      </c>
      <c r="AJ4812">
        <v>134.167328421251</v>
      </c>
      <c r="AK4812">
        <v>141.98732737889401</v>
      </c>
      <c r="AL4812">
        <v>92.550669760378398</v>
      </c>
      <c r="AM4812">
        <v>105.626947943075</v>
      </c>
      <c r="AN4812">
        <v>0.99999994081717003</v>
      </c>
    </row>
    <row r="4813" spans="1:40" x14ac:dyDescent="0.3">
      <c r="A4813" t="str">
        <f>"20200111160559738"</f>
        <v>20200111160559738</v>
      </c>
      <c r="B4813" t="str">
        <f>"1578729959736956"</f>
        <v>1578729959736956</v>
      </c>
      <c r="C4813" t="s">
        <v>40</v>
      </c>
      <c r="D4813">
        <v>5.1118670000000002</v>
      </c>
      <c r="E4813">
        <v>0.29154839999999999</v>
      </c>
      <c r="F4813" t="s">
        <v>82</v>
      </c>
      <c r="G4813">
        <v>-279.02</v>
      </c>
      <c r="H4813">
        <v>5.3676019999999998</v>
      </c>
      <c r="I4813">
        <v>-3.083577</v>
      </c>
      <c r="J4813">
        <v>-417.39260000000002</v>
      </c>
      <c r="K4813">
        <v>1.1185989999999999</v>
      </c>
      <c r="L4813">
        <v>27.960270000000001</v>
      </c>
      <c r="M4813">
        <v>0.54924499999999998</v>
      </c>
      <c r="N4813">
        <v>0</v>
      </c>
      <c r="O4813">
        <v>-0.83551960000000003</v>
      </c>
      <c r="P4813">
        <v>0.75309250000000005</v>
      </c>
      <c r="Q4813">
        <v>-5.2026450000000002E-2</v>
      </c>
      <c r="R4813">
        <v>-0.65585439999999995</v>
      </c>
      <c r="S4813">
        <v>3.3506770000000001</v>
      </c>
      <c r="T4813">
        <v>0.1028438</v>
      </c>
      <c r="U4813">
        <v>-0.75326539999999997</v>
      </c>
      <c r="V4813">
        <v>-0.26826489999999997</v>
      </c>
      <c r="W4813">
        <v>-4.2377150000000002E-2</v>
      </c>
      <c r="X4813">
        <v>0.96241270000000001</v>
      </c>
      <c r="Y4813">
        <v>-0.69423690000000005</v>
      </c>
      <c r="Z4813">
        <v>-3.1655339999999997E-2</v>
      </c>
      <c r="AA4813">
        <v>0.71905010000000003</v>
      </c>
      <c r="AB4813">
        <v>19</v>
      </c>
      <c r="AC4813">
        <v>138.37260000000001</v>
      </c>
      <c r="AD4813">
        <v>4.2490030000000001</v>
      </c>
      <c r="AE4813">
        <v>-31.0438469999999</v>
      </c>
      <c r="AF4813">
        <v>-98.485606090509904</v>
      </c>
      <c r="AG4813">
        <v>4.2490030000000001</v>
      </c>
      <c r="AH4813">
        <v>101.858837477367</v>
      </c>
      <c r="AI4813">
        <v>88.282266946058598</v>
      </c>
      <c r="AJ4813">
        <v>134.03539295673201</v>
      </c>
      <c r="AK4813">
        <v>141.748691019528</v>
      </c>
      <c r="AL4813">
        <v>92.428759047152298</v>
      </c>
      <c r="AM4813">
        <v>105.57538992594</v>
      </c>
      <c r="AN4813">
        <v>1.00000004226771</v>
      </c>
    </row>
    <row r="4814" spans="1:40" x14ac:dyDescent="0.3">
      <c r="A4814" t="str">
        <f>"20200111160559752"</f>
        <v>20200111160559752</v>
      </c>
      <c r="B4814" t="str">
        <f>"1578729959746716"</f>
        <v>1578729959746716</v>
      </c>
      <c r="C4814" t="s">
        <v>40</v>
      </c>
      <c r="D4814">
        <v>5.2812060000000001</v>
      </c>
      <c r="E4814">
        <v>0.29945559999999899</v>
      </c>
      <c r="F4814" t="s">
        <v>82</v>
      </c>
      <c r="G4814">
        <v>-279.02</v>
      </c>
      <c r="H4814">
        <v>5.0859009999999998</v>
      </c>
      <c r="I4814">
        <v>-2.1707619999999999</v>
      </c>
      <c r="J4814">
        <v>-417.32799999999997</v>
      </c>
      <c r="K4814">
        <v>1.118584</v>
      </c>
      <c r="L4814">
        <v>27.879580000000001</v>
      </c>
      <c r="M4814">
        <v>0.55620800000000004</v>
      </c>
      <c r="N4814">
        <v>0</v>
      </c>
      <c r="O4814">
        <v>-0.83090019999999998</v>
      </c>
      <c r="P4814">
        <v>0.75879019999999897</v>
      </c>
      <c r="Q4814">
        <v>-5.0036949999999997E-2</v>
      </c>
      <c r="R4814">
        <v>-0.64941009999999999</v>
      </c>
      <c r="S4814">
        <v>3.3541560000000001</v>
      </c>
      <c r="T4814">
        <v>9.6167559999999999E-2</v>
      </c>
      <c r="U4814">
        <v>-0.73037719999999995</v>
      </c>
      <c r="V4814">
        <v>-0.268578599999999</v>
      </c>
      <c r="W4814">
        <v>-4.0367689999999998E-2</v>
      </c>
      <c r="X4814">
        <v>0.96241149999999998</v>
      </c>
      <c r="Y4814">
        <v>-0.69313190000000002</v>
      </c>
      <c r="Z4814">
        <v>-2.9550280000000002E-2</v>
      </c>
      <c r="AA4814">
        <v>0.72020479999999998</v>
      </c>
      <c r="AB4814">
        <v>19</v>
      </c>
      <c r="AC4814">
        <v>138.30799999999999</v>
      </c>
      <c r="AD4814">
        <v>3.967317</v>
      </c>
      <c r="AE4814">
        <v>-30.050342000000001</v>
      </c>
      <c r="AF4814">
        <v>-98.140458434101703</v>
      </c>
      <c r="AG4814">
        <v>3.967317</v>
      </c>
      <c r="AH4814">
        <v>101.82894573818901</v>
      </c>
      <c r="AI4814">
        <v>88.393120798072005</v>
      </c>
      <c r="AJ4814">
        <v>133.94328438004899</v>
      </c>
      <c r="AK4814">
        <v>141.47940972447299</v>
      </c>
      <c r="AL4814">
        <v>92.313526994860894</v>
      </c>
      <c r="AM4814">
        <v>105.592736183253</v>
      </c>
      <c r="AN4814">
        <v>0.99999995505307104</v>
      </c>
    </row>
    <row r="4815" spans="1:40" x14ac:dyDescent="0.3">
      <c r="A4815" t="str">
        <f>"20200111160559764"</f>
        <v>20200111160559764</v>
      </c>
      <c r="B4815" t="str">
        <f>"1578729959756476"</f>
        <v>1578729959756476</v>
      </c>
      <c r="C4815" t="s">
        <v>40</v>
      </c>
      <c r="D4815">
        <v>5.2158509999999998</v>
      </c>
      <c r="E4815">
        <v>0.29850549999999998</v>
      </c>
      <c r="F4815" t="s">
        <v>41</v>
      </c>
      <c r="G4815">
        <v>-332.16669999999999</v>
      </c>
      <c r="H4815">
        <v>7.9986230000000005E-2</v>
      </c>
      <c r="I4815">
        <v>8.9061190000000003</v>
      </c>
      <c r="J4815">
        <v>-417.26409999999998</v>
      </c>
      <c r="K4815">
        <v>1.1185620000000001</v>
      </c>
      <c r="L4815">
        <v>27.800630000000002</v>
      </c>
      <c r="M4815">
        <v>0.56301469999999998</v>
      </c>
      <c r="N4815">
        <v>0</v>
      </c>
      <c r="O4815">
        <v>-0.82630339999999902</v>
      </c>
      <c r="P4815">
        <v>0.76498100000000002</v>
      </c>
      <c r="Q4815">
        <v>-4.8522349999999999E-2</v>
      </c>
      <c r="R4815">
        <v>-0.64222299999999999</v>
      </c>
      <c r="S4815">
        <v>3.3182680000000002</v>
      </c>
      <c r="T4815">
        <v>-4.0468450000000003E-2</v>
      </c>
      <c r="U4815">
        <v>-0.73928830000000001</v>
      </c>
      <c r="V4815">
        <v>-0.2698644</v>
      </c>
      <c r="W4815">
        <v>-3.8855319999999999E-2</v>
      </c>
      <c r="X4815">
        <v>0.96211400000000002</v>
      </c>
      <c r="Y4815">
        <v>-0.68408950000000002</v>
      </c>
      <c r="Z4815">
        <v>1.248818E-2</v>
      </c>
      <c r="AA4815">
        <v>0.72929119999999903</v>
      </c>
      <c r="AB4815">
        <v>19</v>
      </c>
      <c r="AC4815">
        <v>85.097399999999993</v>
      </c>
      <c r="AD4815">
        <v>-1.03857577</v>
      </c>
      <c r="AE4815">
        <v>-18.894511000000001</v>
      </c>
      <c r="AF4815">
        <v>-59.676989469446099</v>
      </c>
      <c r="AG4815">
        <v>-1.03857577</v>
      </c>
      <c r="AH4815">
        <v>63.522201949822701</v>
      </c>
      <c r="AI4815">
        <v>90.682709543874097</v>
      </c>
      <c r="AJ4815">
        <v>133.212301995865</v>
      </c>
      <c r="AK4815">
        <v>87.163592470253704</v>
      </c>
      <c r="AL4815">
        <v>92.226806536903595</v>
      </c>
      <c r="AM4815">
        <v>105.668334665087</v>
      </c>
      <c r="AN4815">
        <v>0.99999993963782896</v>
      </c>
    </row>
    <row r="4816" spans="1:40" x14ac:dyDescent="0.3">
      <c r="A4816" t="str">
        <f>"20200111160559775"</f>
        <v>20200111160559775</v>
      </c>
      <c r="B4816" t="str">
        <f>"1578729959767212"</f>
        <v>1578729959767212</v>
      </c>
      <c r="C4816" t="s">
        <v>40</v>
      </c>
      <c r="D4816">
        <v>5.2383769999999998</v>
      </c>
      <c r="E4816">
        <v>0.29850549999999998</v>
      </c>
      <c r="F4816" t="s">
        <v>41</v>
      </c>
      <c r="G4816">
        <v>-330.94529999999997</v>
      </c>
      <c r="H4816">
        <v>1.4579140000000001E-2</v>
      </c>
      <c r="I4816">
        <v>9.6163070000000008</v>
      </c>
      <c r="J4816">
        <v>-417.19670000000002</v>
      </c>
      <c r="K4816">
        <v>1.118528</v>
      </c>
      <c r="L4816">
        <v>27.719480000000001</v>
      </c>
      <c r="M4816">
        <v>0.57004449999999995</v>
      </c>
      <c r="N4816">
        <v>0</v>
      </c>
      <c r="O4816">
        <v>-0.82146909999999895</v>
      </c>
      <c r="P4816">
        <v>0.77131470000000002</v>
      </c>
      <c r="Q4816">
        <v>-4.7654700000000001E-2</v>
      </c>
      <c r="R4816">
        <v>-0.6346676</v>
      </c>
      <c r="S4816">
        <v>3.329987</v>
      </c>
      <c r="T4816">
        <v>-4.2589189999999999E-2</v>
      </c>
      <c r="U4816">
        <v>-0.70150760000000001</v>
      </c>
      <c r="V4816">
        <v>-0.27118160000000002</v>
      </c>
      <c r="W4816">
        <v>-3.7988830000000001E-2</v>
      </c>
      <c r="X4816">
        <v>0.96177820000000003</v>
      </c>
      <c r="Y4816">
        <v>-0.68630309999999894</v>
      </c>
      <c r="Z4816">
        <v>1.311609E-2</v>
      </c>
      <c r="AA4816">
        <v>0.72719750000000005</v>
      </c>
      <c r="AB4816">
        <v>19</v>
      </c>
      <c r="AC4816">
        <v>86.251400000000004</v>
      </c>
      <c r="AD4816">
        <v>-1.10394886</v>
      </c>
      <c r="AE4816">
        <v>-18.103173000000002</v>
      </c>
      <c r="AF4816">
        <v>-60.530946242489897</v>
      </c>
      <c r="AG4816">
        <v>-1.10394886</v>
      </c>
      <c r="AH4816">
        <v>64.035900782262402</v>
      </c>
      <c r="AI4816">
        <v>90.717777013743898</v>
      </c>
      <c r="AJ4816">
        <v>133.38828599738099</v>
      </c>
      <c r="AK4816">
        <v>88.123837553141399</v>
      </c>
      <c r="AL4816">
        <v>92.177123584964505</v>
      </c>
      <c r="AM4816">
        <v>105.746252653082</v>
      </c>
      <c r="AN4816">
        <v>0.99999995868928304</v>
      </c>
    </row>
    <row r="4817" spans="1:40" x14ac:dyDescent="0.3">
      <c r="A4817" t="str">
        <f>"20200111160559790"</f>
        <v>20200111160559790</v>
      </c>
      <c r="B4817" t="str">
        <f>"1578729959786732"</f>
        <v>1578729959786732</v>
      </c>
      <c r="C4817" t="s">
        <v>40</v>
      </c>
      <c r="D4817">
        <v>5.213381</v>
      </c>
      <c r="E4817">
        <v>0.30155670000000001</v>
      </c>
      <c r="F4817" t="s">
        <v>41</v>
      </c>
      <c r="G4817">
        <v>-327.33620000000002</v>
      </c>
      <c r="H4817" s="1">
        <v>-3.6405090000000002E-6</v>
      </c>
      <c r="I4817">
        <v>9.7192779999999992</v>
      </c>
      <c r="J4817">
        <v>-417.13139999999999</v>
      </c>
      <c r="K4817">
        <v>1.118493</v>
      </c>
      <c r="L4817">
        <v>27.641719999999999</v>
      </c>
      <c r="M4817">
        <v>0.57677109999999998</v>
      </c>
      <c r="N4817">
        <v>0</v>
      </c>
      <c r="O4817">
        <v>-0.81676029999999999</v>
      </c>
      <c r="P4817">
        <v>0.77748660000000003</v>
      </c>
      <c r="Q4817">
        <v>-4.715602E-2</v>
      </c>
      <c r="R4817">
        <v>-0.62712959999999995</v>
      </c>
      <c r="S4817">
        <v>3.3369140000000002</v>
      </c>
      <c r="T4817">
        <v>-4.1535969999999998E-2</v>
      </c>
      <c r="U4817">
        <v>-0.66842650000000003</v>
      </c>
      <c r="V4817">
        <v>-0.27268140000000002</v>
      </c>
      <c r="W4817">
        <v>-3.7496769999999999E-2</v>
      </c>
      <c r="X4817">
        <v>0.96137340000000004</v>
      </c>
      <c r="Y4817">
        <v>-0.68755690000000003</v>
      </c>
      <c r="Z4817">
        <v>1.277347E-2</v>
      </c>
      <c r="AA4817">
        <v>0.72601819999999995</v>
      </c>
      <c r="AB4817">
        <v>19</v>
      </c>
      <c r="AC4817">
        <v>89.795199999999895</v>
      </c>
      <c r="AD4817">
        <v>-1.118496640509</v>
      </c>
      <c r="AE4817">
        <v>-17.922442</v>
      </c>
      <c r="AF4817">
        <v>-63.0020970574136</v>
      </c>
      <c r="AG4817">
        <v>-1.118496640509</v>
      </c>
      <c r="AH4817">
        <v>66.427600642135602</v>
      </c>
      <c r="AI4817">
        <v>90.699946301588199</v>
      </c>
      <c r="AJ4817">
        <v>133.483956190936</v>
      </c>
      <c r="AK4817">
        <v>91.559496478724895</v>
      </c>
      <c r="AL4817">
        <v>92.148910465758604</v>
      </c>
      <c r="AM4817">
        <v>105.835316904252</v>
      </c>
      <c r="AN4817">
        <v>0.99999998394697598</v>
      </c>
    </row>
    <row r="4818" spans="1:40" x14ac:dyDescent="0.3">
      <c r="A4818" t="str">
        <f>"20200111160559802"</f>
        <v>20200111160559802</v>
      </c>
      <c r="B4818" t="str">
        <f>"1578729959796491"</f>
        <v>1578729959796491</v>
      </c>
      <c r="C4818" t="s">
        <v>40</v>
      </c>
      <c r="D4818">
        <v>5.3728290000000003</v>
      </c>
      <c r="E4818">
        <v>0.30165560000000002</v>
      </c>
      <c r="F4818" t="s">
        <v>41</v>
      </c>
      <c r="G4818">
        <v>-393.7063</v>
      </c>
      <c r="H4818" s="1">
        <v>-3.8781000000000002E-6</v>
      </c>
      <c r="I4818">
        <v>23.083580000000001</v>
      </c>
      <c r="J4818">
        <v>-417.05779999999999</v>
      </c>
      <c r="K4818">
        <v>1.1184510000000001</v>
      </c>
      <c r="L4818">
        <v>27.555510000000002</v>
      </c>
      <c r="M4818">
        <v>0.58422790000000002</v>
      </c>
      <c r="N4818">
        <v>0</v>
      </c>
      <c r="O4818">
        <v>-0.81144320000000003</v>
      </c>
      <c r="P4818">
        <v>0.78455039999999998</v>
      </c>
      <c r="Q4818">
        <v>-4.6953219999999997E-2</v>
      </c>
      <c r="R4818">
        <v>-0.61828499999999997</v>
      </c>
      <c r="S4818">
        <v>3.3267820000000001</v>
      </c>
      <c r="T4818">
        <v>-0.15884670000000001</v>
      </c>
      <c r="U4818">
        <v>-0.64733890000000005</v>
      </c>
      <c r="V4818">
        <v>-0.27477770000000001</v>
      </c>
      <c r="W4818">
        <v>-3.7311289999999997E-2</v>
      </c>
      <c r="X4818">
        <v>0.96078359999999996</v>
      </c>
      <c r="Y4818">
        <v>-0.68364460000000005</v>
      </c>
      <c r="Z4818">
        <v>4.8827799999999998E-2</v>
      </c>
      <c r="AA4818">
        <v>0.72817989999999999</v>
      </c>
      <c r="AB4818">
        <v>19</v>
      </c>
      <c r="AC4818">
        <v>23.351499999999898</v>
      </c>
      <c r="AD4818">
        <v>-1.1184548781000001</v>
      </c>
      <c r="AE4818">
        <v>-4.4719300000000004</v>
      </c>
      <c r="AF4818">
        <v>-16.3016572067609</v>
      </c>
      <c r="AG4818">
        <v>-1.1184548781000001</v>
      </c>
      <c r="AH4818">
        <v>17.235227881023398</v>
      </c>
      <c r="AI4818">
        <v>92.699253726029596</v>
      </c>
      <c r="AJ4818">
        <v>133.405461648901</v>
      </c>
      <c r="AK4818">
        <v>23.749695768828101</v>
      </c>
      <c r="AL4818">
        <v>92.138275722380399</v>
      </c>
      <c r="AM4818">
        <v>105.960176160297</v>
      </c>
      <c r="AN4818">
        <v>1.00000002140385</v>
      </c>
    </row>
    <row r="4819" spans="1:40" x14ac:dyDescent="0.3">
      <c r="A4819" t="str">
        <f>"20200111160559839"</f>
        <v>20200111160559839</v>
      </c>
      <c r="B4819" t="str">
        <f>"1578729959836507"</f>
        <v>1578729959836507</v>
      </c>
      <c r="C4819" t="s">
        <v>40</v>
      </c>
      <c r="D4819">
        <v>5.2310189999999999</v>
      </c>
      <c r="E4819">
        <v>0.30388470000000001</v>
      </c>
      <c r="F4819" t="s">
        <v>41</v>
      </c>
      <c r="G4819">
        <v>-394.82060000000001</v>
      </c>
      <c r="H4819" s="1">
        <v>-3.4593719999999999E-6</v>
      </c>
      <c r="I4819">
        <v>23.489450000000001</v>
      </c>
      <c r="J4819">
        <v>-416.85989999999998</v>
      </c>
      <c r="K4819">
        <v>1.1183430000000001</v>
      </c>
      <c r="L4819">
        <v>27.33212</v>
      </c>
      <c r="M4819">
        <v>0.60358829999999997</v>
      </c>
      <c r="N4819">
        <v>0</v>
      </c>
      <c r="O4819">
        <v>-0.79714700000000005</v>
      </c>
      <c r="P4819">
        <v>0.80542349999999996</v>
      </c>
      <c r="Q4819">
        <v>-4.6520249999999999E-2</v>
      </c>
      <c r="R4819">
        <v>-0.59087129999999999</v>
      </c>
      <c r="S4819">
        <v>3.3334959999999998</v>
      </c>
      <c r="T4819">
        <v>-0.16766320000000001</v>
      </c>
      <c r="U4819">
        <v>-0.60952759999999995</v>
      </c>
      <c r="V4819">
        <v>-0.28479359999999998</v>
      </c>
      <c r="W4819">
        <v>-3.703745E-2</v>
      </c>
      <c r="X4819">
        <v>0.95787310000000003</v>
      </c>
      <c r="Y4819">
        <v>-0.67415849999999999</v>
      </c>
      <c r="Z4819">
        <v>5.099016E-2</v>
      </c>
      <c r="AA4819">
        <v>0.73682449999999999</v>
      </c>
      <c r="AB4819">
        <v>19</v>
      </c>
      <c r="AC4819">
        <v>22.039299999999901</v>
      </c>
      <c r="AD4819">
        <v>-1.1183464593720001</v>
      </c>
      <c r="AE4819">
        <v>-3.8426699999999898</v>
      </c>
      <c r="AF4819">
        <v>-15.212968953885399</v>
      </c>
      <c r="AG4819">
        <v>-1.1183464593720001</v>
      </c>
      <c r="AH4819">
        <v>16.326983194863299</v>
      </c>
      <c r="AI4819">
        <v>92.868924128510002</v>
      </c>
      <c r="AJ4819">
        <v>132.977111988589</v>
      </c>
      <c r="AK4819">
        <v>22.344026124233299</v>
      </c>
      <c r="AL4819">
        <v>92.122574993759699</v>
      </c>
      <c r="AM4819">
        <v>106.558198901626</v>
      </c>
      <c r="AN4819">
        <v>1.0000000215035301</v>
      </c>
    </row>
    <row r="4820" spans="1:40" x14ac:dyDescent="0.3">
      <c r="A4820" t="str">
        <f>"20200111160559934"</f>
        <v>20200111160559934</v>
      </c>
      <c r="B4820" t="str">
        <f>"1578729959927377"</f>
        <v>1578729959927377</v>
      </c>
      <c r="C4820" t="s">
        <v>40</v>
      </c>
      <c r="D4820">
        <v>5.1644329999999998</v>
      </c>
      <c r="E4820">
        <v>0.30388470000000001</v>
      </c>
      <c r="F4820" t="s">
        <v>41</v>
      </c>
      <c r="G4820">
        <v>-393.82819999999998</v>
      </c>
      <c r="H4820" s="1">
        <v>-3.9882390000000002E-6</v>
      </c>
      <c r="I4820">
        <v>23.827780000000001</v>
      </c>
      <c r="J4820">
        <v>-416.32029999999997</v>
      </c>
      <c r="K4820">
        <v>1.118174</v>
      </c>
      <c r="L4820">
        <v>26.773160000000001</v>
      </c>
      <c r="M4820">
        <v>0.65210769999999996</v>
      </c>
      <c r="N4820">
        <v>0</v>
      </c>
      <c r="O4820">
        <v>-0.75796989999999997</v>
      </c>
      <c r="P4820">
        <v>0.84603209999999995</v>
      </c>
      <c r="Q4820">
        <v>-3.8123820000000003E-2</v>
      </c>
      <c r="R4820">
        <v>-0.53176699999999999</v>
      </c>
      <c r="S4820">
        <v>3.3423159999999998</v>
      </c>
      <c r="T4820">
        <v>-0.16229250000000001</v>
      </c>
      <c r="U4820">
        <v>-0.50854489999999997</v>
      </c>
      <c r="V4820">
        <v>-0.29406100000000002</v>
      </c>
      <c r="W4820">
        <v>-2.8734240000000001E-2</v>
      </c>
      <c r="X4820">
        <v>0.95535460000000005</v>
      </c>
      <c r="Y4820">
        <v>-0.6499355</v>
      </c>
      <c r="Z4820">
        <v>4.7921600000000002E-2</v>
      </c>
      <c r="AA4820">
        <v>0.75847699999999996</v>
      </c>
      <c r="AB4820">
        <v>19</v>
      </c>
      <c r="AC4820">
        <v>22.492099999999901</v>
      </c>
      <c r="AD4820">
        <v>-1.1181779882389999</v>
      </c>
      <c r="AE4820">
        <v>-2.9453800000000001</v>
      </c>
      <c r="AF4820">
        <v>-15.0927511415711</v>
      </c>
      <c r="AG4820">
        <v>-1.1181779882389999</v>
      </c>
      <c r="AH4820">
        <v>16.860816395191701</v>
      </c>
      <c r="AI4820">
        <v>92.828865543200806</v>
      </c>
      <c r="AJ4820">
        <v>131.832920727181</v>
      </c>
      <c r="AK4820">
        <v>22.6567559140125</v>
      </c>
      <c r="AL4820">
        <v>91.646577366504403</v>
      </c>
      <c r="AM4820">
        <v>107.10852182174099</v>
      </c>
      <c r="AN4820">
        <v>0.99999997000526797</v>
      </c>
    </row>
    <row r="4821" spans="1:40" x14ac:dyDescent="0.3">
      <c r="A4821" t="str">
        <f>"20200111160559947"</f>
        <v>20200111160559947</v>
      </c>
      <c r="B4821" t="str">
        <f>"1578729959937136"</f>
        <v>1578729959937136</v>
      </c>
      <c r="C4821" t="s">
        <v>40</v>
      </c>
      <c r="D4821">
        <v>5.1478710000000003</v>
      </c>
      <c r="E4821">
        <v>0.32994879999999999</v>
      </c>
      <c r="F4821" t="s">
        <v>83</v>
      </c>
      <c r="G4821">
        <v>-382.61399999999998</v>
      </c>
      <c r="H4821" s="1">
        <v>-4.5171390000000004E-6</v>
      </c>
      <c r="I4821">
        <v>24.089449999999999</v>
      </c>
      <c r="J4821">
        <v>-416.24540000000002</v>
      </c>
      <c r="K4821">
        <v>1.1181680000000001</v>
      </c>
      <c r="L4821">
        <v>26.70065</v>
      </c>
      <c r="M4821">
        <v>0.6584198</v>
      </c>
      <c r="N4821">
        <v>0</v>
      </c>
      <c r="O4821">
        <v>-0.75249359999999998</v>
      </c>
      <c r="P4821">
        <v>0.85036610000000001</v>
      </c>
      <c r="Q4821">
        <v>-3.5042839999999999E-2</v>
      </c>
      <c r="R4821">
        <v>-0.52502380000000004</v>
      </c>
      <c r="S4821">
        <v>3.3721619999999999</v>
      </c>
      <c r="T4821">
        <v>-0.1118686</v>
      </c>
      <c r="U4821">
        <v>-0.2684937</v>
      </c>
      <c r="V4821">
        <v>-0.29382930000000002</v>
      </c>
      <c r="W4821">
        <v>-2.5636329999999999E-2</v>
      </c>
      <c r="X4821">
        <v>0.95551410000000003</v>
      </c>
      <c r="Y4821">
        <v>-0.69724699999999995</v>
      </c>
      <c r="Z4821">
        <v>3.3722460000000003E-2</v>
      </c>
      <c r="AA4821">
        <v>0.71603729999999999</v>
      </c>
      <c r="AB4821">
        <v>19</v>
      </c>
      <c r="AC4821">
        <v>33.6313999999999</v>
      </c>
      <c r="AD4821">
        <v>-1.118172517139</v>
      </c>
      <c r="AE4821">
        <v>-2.6112000000000002</v>
      </c>
      <c r="AF4821">
        <v>-23.565046998634799</v>
      </c>
      <c r="AG4821">
        <v>-1.118172517139</v>
      </c>
      <c r="AH4821">
        <v>24.0848808856678</v>
      </c>
      <c r="AI4821">
        <v>91.900636271386304</v>
      </c>
      <c r="AJ4821">
        <v>134.37496009792201</v>
      </c>
      <c r="AK4821">
        <v>33.714140017250301</v>
      </c>
      <c r="AL4821">
        <v>91.469014397920105</v>
      </c>
      <c r="AM4821">
        <v>107.0931403436</v>
      </c>
      <c r="AN4821">
        <v>1.00000003712658</v>
      </c>
    </row>
    <row r="4822" spans="1:40" x14ac:dyDescent="0.3">
      <c r="A4822" t="str">
        <f>"20200111160559963"</f>
        <v>20200111160559963</v>
      </c>
      <c r="B4822" t="str">
        <f>"1578729959956657"</f>
        <v>1578729959956657</v>
      </c>
      <c r="C4822" t="s">
        <v>40</v>
      </c>
      <c r="D4822">
        <v>6.5290749999999997</v>
      </c>
      <c r="E4822">
        <v>0.33055479999999998</v>
      </c>
      <c r="F4822" t="s">
        <v>41</v>
      </c>
      <c r="G4822">
        <v>-395.00909999999999</v>
      </c>
      <c r="H4822" s="1">
        <v>-3.5086440000000001E-6</v>
      </c>
      <c r="I4822">
        <v>24.009589999999999</v>
      </c>
      <c r="J4822">
        <v>-416.15190000000001</v>
      </c>
      <c r="K4822">
        <v>1.1181719999999999</v>
      </c>
      <c r="L4822">
        <v>26.611910000000002</v>
      </c>
      <c r="M4822">
        <v>0.66616219999999904</v>
      </c>
      <c r="N4822">
        <v>0</v>
      </c>
      <c r="O4822">
        <v>-0.74564799999999998</v>
      </c>
      <c r="P4822">
        <v>0.85580529999999999</v>
      </c>
      <c r="Q4822">
        <v>-3.0076780000000001E-2</v>
      </c>
      <c r="R4822">
        <v>-0.51642290000000002</v>
      </c>
      <c r="S4822">
        <v>3.2653810000000001</v>
      </c>
      <c r="T4822">
        <v>-0.1719348</v>
      </c>
      <c r="U4822">
        <v>-0.41378779999999998</v>
      </c>
      <c r="V4822">
        <v>-0.293819</v>
      </c>
      <c r="W4822">
        <v>-2.065641E-2</v>
      </c>
      <c r="X4822">
        <v>0.95563790000000004</v>
      </c>
      <c r="Y4822">
        <v>-0.65439979999999998</v>
      </c>
      <c r="Z4822">
        <v>5.1885529999999999E-2</v>
      </c>
      <c r="AA4822">
        <v>0.75436650000000005</v>
      </c>
      <c r="AB4822">
        <v>19</v>
      </c>
      <c r="AC4822">
        <v>21.142800000000001</v>
      </c>
      <c r="AD4822">
        <v>-1.1181755086439999</v>
      </c>
      <c r="AE4822">
        <v>-2.6023200000000002</v>
      </c>
      <c r="AF4822">
        <v>-13.994623194964101</v>
      </c>
      <c r="AG4822">
        <v>-1.1181755086439999</v>
      </c>
      <c r="AH4822">
        <v>15.982810984858601</v>
      </c>
      <c r="AI4822">
        <v>93.013002459892604</v>
      </c>
      <c r="AJ4822">
        <v>131.205539747925</v>
      </c>
      <c r="AK4822">
        <v>21.273223587761201</v>
      </c>
      <c r="AL4822">
        <v>91.183609242849698</v>
      </c>
      <c r="AM4822">
        <v>107.090490819412</v>
      </c>
      <c r="AN4822">
        <v>1.0000000439757399</v>
      </c>
    </row>
    <row r="4823" spans="1:40" x14ac:dyDescent="0.3">
      <c r="A4823" t="str">
        <f>"20200111160559977"</f>
        <v>20200111160559977</v>
      </c>
      <c r="B4823" t="str">
        <f>"1578729959956657"</f>
        <v>1578729959956657</v>
      </c>
      <c r="C4823" t="s">
        <v>40</v>
      </c>
      <c r="D4823">
        <v>6.5290749999999997</v>
      </c>
      <c r="E4823">
        <v>0.33055479999999998</v>
      </c>
      <c r="F4823" t="s">
        <v>41</v>
      </c>
      <c r="G4823">
        <v>-394.77210000000002</v>
      </c>
      <c r="H4823" s="1">
        <v>-3.6425490000000001E-6</v>
      </c>
      <c r="I4823">
        <v>24.091809999999999</v>
      </c>
      <c r="J4823">
        <v>-416.07049999999998</v>
      </c>
      <c r="K4823">
        <v>1.1181700000000001</v>
      </c>
      <c r="L4823">
        <v>26.536560000000001</v>
      </c>
      <c r="M4823">
        <v>0.67277030000000004</v>
      </c>
      <c r="N4823">
        <v>0</v>
      </c>
      <c r="O4823">
        <v>-0.73969169999999995</v>
      </c>
      <c r="P4823">
        <v>0.86069059999999897</v>
      </c>
      <c r="Q4823">
        <v>-2.799975E-2</v>
      </c>
      <c r="R4823">
        <v>-0.50835810000000003</v>
      </c>
      <c r="S4823">
        <v>3.26709</v>
      </c>
      <c r="T4823">
        <v>-0.17087069999999999</v>
      </c>
      <c r="U4823">
        <v>-0.38510129999999998</v>
      </c>
      <c r="V4823">
        <v>-0.29438639999999999</v>
      </c>
      <c r="W4823">
        <v>-1.858311E-2</v>
      </c>
      <c r="X4823">
        <v>0.95550579999999996</v>
      </c>
      <c r="Y4823">
        <v>-0.6542808</v>
      </c>
      <c r="Z4823">
        <v>5.1408759999999998E-2</v>
      </c>
      <c r="AA4823">
        <v>0.75450240000000002</v>
      </c>
      <c r="AB4823">
        <v>19</v>
      </c>
      <c r="AC4823">
        <v>21.298399999999901</v>
      </c>
      <c r="AD4823">
        <v>-1.1181736425489901</v>
      </c>
      <c r="AE4823">
        <v>-2.4447499999999902</v>
      </c>
      <c r="AF4823">
        <v>-14.0728774595151</v>
      </c>
      <c r="AG4823">
        <v>-1.1181736425489901</v>
      </c>
      <c r="AH4823">
        <v>16.095412634269401</v>
      </c>
      <c r="AI4823">
        <v>92.993828244657493</v>
      </c>
      <c r="AJ4823">
        <v>131.164529697414</v>
      </c>
      <c r="AK4823">
        <v>21.409308726645499</v>
      </c>
      <c r="AL4823">
        <v>91.064795054103101</v>
      </c>
      <c r="AM4823">
        <v>107.123794954468</v>
      </c>
      <c r="AN4823">
        <v>1.00000000915793</v>
      </c>
    </row>
    <row r="4824" spans="1:40" x14ac:dyDescent="0.3">
      <c r="A4824" t="str">
        <f>"20200111160559989"</f>
        <v>20200111160559989</v>
      </c>
      <c r="B4824" t="str">
        <f>"1578729959986912"</f>
        <v>1578729959986912</v>
      </c>
      <c r="C4824" t="s">
        <v>40</v>
      </c>
      <c r="D4824">
        <v>5.412147</v>
      </c>
      <c r="E4824">
        <v>0.31689050000000002</v>
      </c>
      <c r="F4824" t="s">
        <v>41</v>
      </c>
      <c r="G4824">
        <v>-394.74</v>
      </c>
      <c r="H4824" s="1">
        <v>-3.6927319999999998E-6</v>
      </c>
      <c r="I4824">
        <v>24.223320000000001</v>
      </c>
      <c r="J4824">
        <v>-415.99810000000002</v>
      </c>
      <c r="K4824">
        <v>1.118152</v>
      </c>
      <c r="L4824">
        <v>26.470279999999999</v>
      </c>
      <c r="M4824">
        <v>0.67857529999999999</v>
      </c>
      <c r="N4824">
        <v>0</v>
      </c>
      <c r="O4824">
        <v>-0.73436990000000002</v>
      </c>
      <c r="P4824">
        <v>0.86483099999999902</v>
      </c>
      <c r="Q4824">
        <v>-2.8098089999999999E-2</v>
      </c>
      <c r="R4824">
        <v>-0.50127650000000001</v>
      </c>
      <c r="S4824">
        <v>3.2704770000000001</v>
      </c>
      <c r="T4824">
        <v>-0.17144239999999999</v>
      </c>
      <c r="U4824">
        <v>-0.35467530000000003</v>
      </c>
      <c r="V4824">
        <v>-0.29469980000000001</v>
      </c>
      <c r="W4824">
        <v>-1.8681799999999998E-2</v>
      </c>
      <c r="X4824">
        <v>0.95540729999999996</v>
      </c>
      <c r="Y4824">
        <v>-0.65534539999999997</v>
      </c>
      <c r="Z4824">
        <v>5.1445730000000002E-2</v>
      </c>
      <c r="AA4824">
        <v>0.75357540000000001</v>
      </c>
      <c r="AB4824">
        <v>19</v>
      </c>
      <c r="AC4824">
        <v>21.258099999999999</v>
      </c>
      <c r="AD4824">
        <v>-1.118155692732</v>
      </c>
      <c r="AE4824">
        <v>-2.2469599999999899</v>
      </c>
      <c r="AF4824">
        <v>-14.049801097726199</v>
      </c>
      <c r="AG4824">
        <v>-1.118155692732</v>
      </c>
      <c r="AH4824">
        <v>16.0333532027026</v>
      </c>
      <c r="AI4824">
        <v>93.0024566703473</v>
      </c>
      <c r="AJ4824">
        <v>131.22762645531401</v>
      </c>
      <c r="AK4824">
        <v>21.347496292574199</v>
      </c>
      <c r="AL4824">
        <v>91.070450517597294</v>
      </c>
      <c r="AM4824">
        <v>107.142620435935</v>
      </c>
      <c r="AN4824">
        <v>1.0000000453322799</v>
      </c>
    </row>
    <row r="4825" spans="1:40" x14ac:dyDescent="0.3">
      <c r="A4825" t="str">
        <f>"20200111160600010"</f>
        <v>20200111160600010</v>
      </c>
      <c r="B4825" t="str">
        <f>"1578729960007236"</f>
        <v>1578729960007236</v>
      </c>
      <c r="C4825" t="s">
        <v>40</v>
      </c>
      <c r="D4825">
        <v>5.5422200000000004</v>
      </c>
      <c r="E4825">
        <v>0.31275160000000002</v>
      </c>
      <c r="F4825" t="s">
        <v>41</v>
      </c>
      <c r="G4825">
        <v>-392.36739999999998</v>
      </c>
      <c r="H4825" s="1">
        <v>-4.7223770000000003E-6</v>
      </c>
      <c r="I4825">
        <v>24.804030000000001</v>
      </c>
      <c r="J4825">
        <v>-415.87509999999997</v>
      </c>
      <c r="K4825">
        <v>1.118126</v>
      </c>
      <c r="L4825">
        <v>26.360140000000001</v>
      </c>
      <c r="M4825">
        <v>0.68825319999999901</v>
      </c>
      <c r="N4825">
        <v>0</v>
      </c>
      <c r="O4825">
        <v>-0.72530760000000005</v>
      </c>
      <c r="P4825">
        <v>0.87214459999999905</v>
      </c>
      <c r="Q4825">
        <v>-2.6157099999999999E-2</v>
      </c>
      <c r="R4825">
        <v>-0.48854839999999999</v>
      </c>
      <c r="S4825">
        <v>3.3277890000000001</v>
      </c>
      <c r="T4825">
        <v>-0.157464299999999</v>
      </c>
      <c r="U4825">
        <v>-0.23464969999999999</v>
      </c>
      <c r="V4825">
        <v>-0.29611130000000002</v>
      </c>
      <c r="W4825">
        <v>-1.6761140000000001E-2</v>
      </c>
      <c r="X4825">
        <v>0.95500640000000003</v>
      </c>
      <c r="Y4825">
        <v>-0.67379109999999998</v>
      </c>
      <c r="Z4825">
        <v>4.6803209999999998E-2</v>
      </c>
      <c r="AA4825">
        <v>0.73743809999999999</v>
      </c>
      <c r="AB4825">
        <v>19</v>
      </c>
      <c r="AC4825">
        <v>23.5077</v>
      </c>
      <c r="AD4825">
        <v>-1.1181307223770001</v>
      </c>
      <c r="AE4825">
        <v>-1.5561100000000001</v>
      </c>
      <c r="AF4825">
        <v>-15.9452881540292</v>
      </c>
      <c r="AG4825">
        <v>-1.1181307223770001</v>
      </c>
      <c r="AH4825">
        <v>17.271051321234101</v>
      </c>
      <c r="AI4825">
        <v>92.723363148308593</v>
      </c>
      <c r="AJ4825">
        <v>132.71436776118099</v>
      </c>
      <c r="AK4825">
        <v>23.5327780843668</v>
      </c>
      <c r="AL4825">
        <v>90.960387523584998</v>
      </c>
      <c r="AM4825">
        <v>107.22668280320801</v>
      </c>
      <c r="AN4825">
        <v>1.0000000309213699</v>
      </c>
    </row>
    <row r="4826" spans="1:40" x14ac:dyDescent="0.3">
      <c r="A4826" t="str">
        <f>"20200111160600124"</f>
        <v>20200111160600124</v>
      </c>
      <c r="B4826" t="str">
        <f>"1578729960117524"</f>
        <v>1578729960117524</v>
      </c>
      <c r="C4826" t="s">
        <v>40</v>
      </c>
      <c r="D4826">
        <v>5.414758</v>
      </c>
      <c r="E4826">
        <v>0.31387120000000002</v>
      </c>
      <c r="F4826" t="s">
        <v>41</v>
      </c>
      <c r="G4826">
        <v>-392.64260000000002</v>
      </c>
      <c r="H4826" s="1">
        <v>-4.6984830000000002E-6</v>
      </c>
      <c r="I4826">
        <v>25.265049999999999</v>
      </c>
      <c r="J4826">
        <v>-415.15629999999999</v>
      </c>
      <c r="K4826">
        <v>1.117974</v>
      </c>
      <c r="L4826">
        <v>25.771509999999999</v>
      </c>
      <c r="M4826">
        <v>0.74046859999999903</v>
      </c>
      <c r="N4826">
        <v>0</v>
      </c>
      <c r="O4826">
        <v>-0.67191610000000002</v>
      </c>
      <c r="P4826">
        <v>0.91036669999999997</v>
      </c>
      <c r="Q4826">
        <v>-2.9987639999999999E-2</v>
      </c>
      <c r="R4826">
        <v>-0.41271419999999998</v>
      </c>
      <c r="S4826">
        <v>3.3465880000000001</v>
      </c>
      <c r="T4826">
        <v>-0.1610644</v>
      </c>
      <c r="U4826">
        <v>-0.15774540000000001</v>
      </c>
      <c r="V4826">
        <v>-0.30580659999999998</v>
      </c>
      <c r="W4826">
        <v>-2.0761809999999999E-2</v>
      </c>
      <c r="X4826">
        <v>0.95186720000000002</v>
      </c>
      <c r="Y4826">
        <v>-0.63499930000000004</v>
      </c>
      <c r="Z4826">
        <v>4.5035819999999997E-2</v>
      </c>
      <c r="AA4826">
        <v>0.77119879999999996</v>
      </c>
      <c r="AB4826">
        <v>19</v>
      </c>
      <c r="AC4826">
        <v>22.513699999999901</v>
      </c>
      <c r="AD4826">
        <v>-1.117978698483</v>
      </c>
      <c r="AE4826">
        <v>-0.50646000000000002</v>
      </c>
      <c r="AF4826">
        <v>-14.717759538889799</v>
      </c>
      <c r="AG4826">
        <v>-1.117978698483</v>
      </c>
      <c r="AH4826">
        <v>16.971157946599401</v>
      </c>
      <c r="AI4826">
        <v>92.849117229651398</v>
      </c>
      <c r="AJ4826">
        <v>130.93254470099799</v>
      </c>
      <c r="AK4826">
        <v>22.491832390075899</v>
      </c>
      <c r="AL4826">
        <v>91.189649627440005</v>
      </c>
      <c r="AM4826">
        <v>107.81066609656099</v>
      </c>
      <c r="AN4826">
        <v>0.99999994789693603</v>
      </c>
    </row>
    <row r="4827" spans="1:40" x14ac:dyDescent="0.3">
      <c r="A4827" t="str">
        <f>"20200111160600140"</f>
        <v>20200111160600140</v>
      </c>
      <c r="B4827" t="str">
        <f>"1578729960137043"</f>
        <v>1578729960137043</v>
      </c>
      <c r="C4827" t="s">
        <v>40</v>
      </c>
      <c r="D4827">
        <v>5.390326</v>
      </c>
      <c r="E4827">
        <v>0.31656990000000002</v>
      </c>
      <c r="F4827" t="s">
        <v>41</v>
      </c>
      <c r="G4827">
        <v>-395.28489999999999</v>
      </c>
      <c r="H4827" s="1">
        <v>-3.8982640000000003E-6</v>
      </c>
      <c r="I4827">
        <v>26.473960000000002</v>
      </c>
      <c r="J4827">
        <v>-415.0521</v>
      </c>
      <c r="K4827">
        <v>1.1179570000000001</v>
      </c>
      <c r="L4827">
        <v>25.693449999999999</v>
      </c>
      <c r="M4827">
        <v>0.7474712</v>
      </c>
      <c r="N4827">
        <v>0</v>
      </c>
      <c r="O4827">
        <v>-0.66411750000000003</v>
      </c>
      <c r="P4827">
        <v>0.91480329999999999</v>
      </c>
      <c r="Q4827">
        <v>-3.0315249999999998E-2</v>
      </c>
      <c r="R4827">
        <v>-0.40276060000000002</v>
      </c>
      <c r="S4827">
        <v>3.342743</v>
      </c>
      <c r="T4827">
        <v>-0.18806390000000001</v>
      </c>
      <c r="U4827">
        <v>0.11816409999999999</v>
      </c>
      <c r="V4827">
        <v>-0.30619849999999998</v>
      </c>
      <c r="W4827">
        <v>-2.109109E-2</v>
      </c>
      <c r="X4827">
        <v>0.95173399999999997</v>
      </c>
      <c r="Y4827">
        <v>-0.68819339999999996</v>
      </c>
      <c r="Z4827">
        <v>5.4074410000000003E-2</v>
      </c>
      <c r="AA4827">
        <v>0.72350939999999997</v>
      </c>
      <c r="AB4827">
        <v>18</v>
      </c>
      <c r="AC4827">
        <v>19.767199999999999</v>
      </c>
      <c r="AD4827">
        <v>-1.1179608982639999</v>
      </c>
      <c r="AE4827">
        <v>0.78050999999999904</v>
      </c>
      <c r="AF4827">
        <v>-13.6691075839924</v>
      </c>
      <c r="AG4827">
        <v>-1.1179608982639999</v>
      </c>
      <c r="AH4827">
        <v>14.2133437383592</v>
      </c>
      <c r="AI4827">
        <v>93.244785094854805</v>
      </c>
      <c r="AJ4827">
        <v>133.88178857771999</v>
      </c>
      <c r="AK4827">
        <v>19.751290563848301</v>
      </c>
      <c r="AL4827">
        <v>91.208520074932395</v>
      </c>
      <c r="AM4827">
        <v>107.834383771772</v>
      </c>
      <c r="AN4827">
        <v>0.99999998111781796</v>
      </c>
    </row>
    <row r="4828" spans="1:40" x14ac:dyDescent="0.3">
      <c r="A4828" t="str">
        <f>"20200111160600152"</f>
        <v>20200111160600152</v>
      </c>
      <c r="B4828" t="str">
        <f>"1578729960146803"</f>
        <v>1578729960146803</v>
      </c>
      <c r="C4828" t="s">
        <v>40</v>
      </c>
      <c r="D4828">
        <v>9.1902059999999999</v>
      </c>
      <c r="E4828">
        <v>0.31656990000000002</v>
      </c>
      <c r="F4828" t="s">
        <v>41</v>
      </c>
      <c r="G4828">
        <v>-395.03730000000002</v>
      </c>
      <c r="H4828" s="1">
        <v>-3.999194E-6</v>
      </c>
      <c r="I4828">
        <v>26.506969999999999</v>
      </c>
      <c r="J4828">
        <v>-414.97809999999998</v>
      </c>
      <c r="K4828">
        <v>1.117947</v>
      </c>
      <c r="L4828">
        <v>25.639189999999999</v>
      </c>
      <c r="M4828">
        <v>0.75235209999999997</v>
      </c>
      <c r="N4828">
        <v>0</v>
      </c>
      <c r="O4828">
        <v>-0.65858300000000003</v>
      </c>
      <c r="P4828">
        <v>0.91770989999999997</v>
      </c>
      <c r="Q4828">
        <v>-3.003743E-2</v>
      </c>
      <c r="R4828">
        <v>-0.39611439999999998</v>
      </c>
      <c r="S4828">
        <v>3.3328549999999999</v>
      </c>
      <c r="T4828">
        <v>-0.1861621</v>
      </c>
      <c r="U4828">
        <v>0.13546749999999999</v>
      </c>
      <c r="V4828">
        <v>-0.30608999999999997</v>
      </c>
      <c r="W4828">
        <v>-2.080541E-2</v>
      </c>
      <c r="X4828">
        <v>0.95177520000000004</v>
      </c>
      <c r="Y4828">
        <v>-0.68671269999999995</v>
      </c>
      <c r="Z4828">
        <v>5.3426660000000001E-2</v>
      </c>
      <c r="AA4828">
        <v>0.72496289999999997</v>
      </c>
      <c r="AB4828">
        <v>18</v>
      </c>
      <c r="AC4828">
        <v>19.9407999999999</v>
      </c>
      <c r="AD4828">
        <v>-1.117950999194</v>
      </c>
      <c r="AE4828">
        <v>0.86778000000000299</v>
      </c>
      <c r="AF4828">
        <v>-13.7440488722998</v>
      </c>
      <c r="AG4828">
        <v>-1.117950999194</v>
      </c>
      <c r="AH4828">
        <v>14.3875554608701</v>
      </c>
      <c r="AI4828">
        <v>93.215851019645001</v>
      </c>
      <c r="AJ4828">
        <v>133.68959543503701</v>
      </c>
      <c r="AK4828">
        <v>19.9286338212227</v>
      </c>
      <c r="AL4828">
        <v>91.192148210373702</v>
      </c>
      <c r="AM4828">
        <v>107.827741506653</v>
      </c>
      <c r="AN4828">
        <v>0.99999999226015401</v>
      </c>
    </row>
    <row r="4829" spans="1:40" x14ac:dyDescent="0.3">
      <c r="A4829" t="str">
        <f>"20200111160600164"</f>
        <v>20200111160600164</v>
      </c>
      <c r="B4829" t="str">
        <f>"1578729960157540"</f>
        <v>1578729960157540</v>
      </c>
      <c r="C4829" t="s">
        <v>40</v>
      </c>
      <c r="D4829">
        <v>5.4291419999999997</v>
      </c>
      <c r="E4829">
        <v>0.31789709999999899</v>
      </c>
      <c r="F4829" t="s">
        <v>41</v>
      </c>
      <c r="G4829">
        <v>-394.43439999999998</v>
      </c>
      <c r="H4829" s="1">
        <v>-4.2516250000000001E-6</v>
      </c>
      <c r="I4829">
        <v>26.624939999999999</v>
      </c>
      <c r="J4829">
        <v>-414.90089999999998</v>
      </c>
      <c r="K4829">
        <v>1.117936</v>
      </c>
      <c r="L4829">
        <v>25.58295</v>
      </c>
      <c r="M4829">
        <v>0.75739449999999997</v>
      </c>
      <c r="N4829">
        <v>0</v>
      </c>
      <c r="O4829">
        <v>-0.65277799999999997</v>
      </c>
      <c r="P4829">
        <v>0.92054179999999997</v>
      </c>
      <c r="Q4829">
        <v>-2.9802439999999999E-2</v>
      </c>
      <c r="R4829">
        <v>-0.38950600000000002</v>
      </c>
      <c r="S4829">
        <v>3.3320620000000001</v>
      </c>
      <c r="T4829">
        <v>-0.1813245</v>
      </c>
      <c r="U4829">
        <v>0.15988160000000001</v>
      </c>
      <c r="V4829">
        <v>-0.3056237</v>
      </c>
      <c r="W4829">
        <v>-2.0554200000000002E-2</v>
      </c>
      <c r="X4829">
        <v>0.95193050000000001</v>
      </c>
      <c r="Y4829">
        <v>-0.68654910000000002</v>
      </c>
      <c r="Z4829">
        <v>5.1824059999999998E-2</v>
      </c>
      <c r="AA4829">
        <v>0.72523419999999905</v>
      </c>
      <c r="AB4829">
        <v>18</v>
      </c>
      <c r="AC4829">
        <v>20.4665</v>
      </c>
      <c r="AD4829">
        <v>-1.1179402516249899</v>
      </c>
      <c r="AE4829">
        <v>1.04199</v>
      </c>
      <c r="AF4829">
        <v>-14.1089498581045</v>
      </c>
      <c r="AG4829">
        <v>-1.1179402516249899</v>
      </c>
      <c r="AH4829">
        <v>14.778783181791599</v>
      </c>
      <c r="AI4829">
        <v>93.131794247057002</v>
      </c>
      <c r="AJ4829">
        <v>133.67169409274601</v>
      </c>
      <c r="AK4829">
        <v>20.4627634702431</v>
      </c>
      <c r="AL4829">
        <v>91.177751850871502</v>
      </c>
      <c r="AM4829">
        <v>107.799577261924</v>
      </c>
      <c r="AN4829">
        <v>0.99999999898478997</v>
      </c>
    </row>
    <row r="4830" spans="1:40" x14ac:dyDescent="0.3">
      <c r="A4830" t="str">
        <f>"20200111160600177"</f>
        <v>20200111160600177</v>
      </c>
      <c r="B4830" t="str">
        <f>"1578729960167300"</f>
        <v>1578729960167300</v>
      </c>
      <c r="C4830" t="s">
        <v>40</v>
      </c>
      <c r="D4830">
        <v>5.4267580000000004</v>
      </c>
      <c r="E4830">
        <v>0.31913770000000002</v>
      </c>
      <c r="F4830" t="s">
        <v>41</v>
      </c>
      <c r="G4830">
        <v>-394.24549999999999</v>
      </c>
      <c r="H4830" s="1">
        <v>-4.331288E-6</v>
      </c>
      <c r="I4830">
        <v>26.665189999999999</v>
      </c>
      <c r="J4830">
        <v>-414.8152</v>
      </c>
      <c r="K4830">
        <v>1.117923</v>
      </c>
      <c r="L4830">
        <v>25.522189999999998</v>
      </c>
      <c r="M4830">
        <v>0.76288940000000005</v>
      </c>
      <c r="N4830">
        <v>0</v>
      </c>
      <c r="O4830">
        <v>-0.64634749999999996</v>
      </c>
      <c r="P4830">
        <v>0.92352029999999996</v>
      </c>
      <c r="Q4830">
        <v>-2.981466E-2</v>
      </c>
      <c r="R4830">
        <v>-0.38238870000000003</v>
      </c>
      <c r="S4830">
        <v>3.3269350000000002</v>
      </c>
      <c r="T4830">
        <v>-0.18006539999999999</v>
      </c>
      <c r="U4830">
        <v>0.17431640000000001</v>
      </c>
      <c r="V4830">
        <v>-0.3049191</v>
      </c>
      <c r="W4830">
        <v>-2.0544110000000001E-2</v>
      </c>
      <c r="X4830">
        <v>0.95215669999999997</v>
      </c>
      <c r="Y4830">
        <v>-0.68362889999999998</v>
      </c>
      <c r="Z4830">
        <v>5.1207610000000001E-2</v>
      </c>
      <c r="AA4830">
        <v>0.72803109999999904</v>
      </c>
      <c r="AB4830">
        <v>18</v>
      </c>
      <c r="AC4830">
        <v>20.569700000000001</v>
      </c>
      <c r="AD4830">
        <v>-1.117927331288</v>
      </c>
      <c r="AE4830">
        <v>1.143</v>
      </c>
      <c r="AF4830">
        <v>-14.1272197818762</v>
      </c>
      <c r="AG4830">
        <v>-1.117927331288</v>
      </c>
      <c r="AH4830">
        <v>14.9114768684193</v>
      </c>
      <c r="AI4830">
        <v>93.115211308745003</v>
      </c>
      <c r="AJ4830">
        <v>133.452971171347</v>
      </c>
      <c r="AK4830">
        <v>20.571345184038901</v>
      </c>
      <c r="AL4830">
        <v>91.177173554674695</v>
      </c>
      <c r="AM4830">
        <v>107.75716836434999</v>
      </c>
      <c r="AN4830">
        <v>1.00000004967769</v>
      </c>
    </row>
    <row r="4831" spans="1:40" x14ac:dyDescent="0.3">
      <c r="A4831" t="str">
        <f>"20200111160600196"</f>
        <v>20200111160600196</v>
      </c>
      <c r="B4831" t="str">
        <f>"1578729960186822"</f>
        <v>1578729960186822</v>
      </c>
      <c r="C4831" t="s">
        <v>40</v>
      </c>
      <c r="D4831">
        <v>5.3634110000000002</v>
      </c>
      <c r="E4831">
        <v>0.32130570000000003</v>
      </c>
      <c r="F4831" t="s">
        <v>41</v>
      </c>
      <c r="G4831">
        <v>-394.0317</v>
      </c>
      <c r="H4831" s="1">
        <v>-4.4226800000000003E-6</v>
      </c>
      <c r="I4831">
        <v>26.717459999999999</v>
      </c>
      <c r="J4831">
        <v>-414.69220000000001</v>
      </c>
      <c r="K4831">
        <v>1.117899</v>
      </c>
      <c r="L4831">
        <v>25.436489999999999</v>
      </c>
      <c r="M4831">
        <v>0.77063110000000001</v>
      </c>
      <c r="N4831">
        <v>0</v>
      </c>
      <c r="O4831">
        <v>-0.63709789999999999</v>
      </c>
      <c r="P4831">
        <v>0.92726509999999995</v>
      </c>
      <c r="Q4831">
        <v>-2.9999390000000001E-2</v>
      </c>
      <c r="R4831">
        <v>-0.37320239999999999</v>
      </c>
      <c r="S4831">
        <v>3.3218079999999999</v>
      </c>
      <c r="T4831">
        <v>-0.17867739999999999</v>
      </c>
      <c r="U4831">
        <v>0.19103999999999999</v>
      </c>
      <c r="V4831">
        <v>-0.30287950000000002</v>
      </c>
      <c r="W4831">
        <v>-2.0674149999999999E-2</v>
      </c>
      <c r="X4831">
        <v>0.9528046</v>
      </c>
      <c r="Y4831">
        <v>-0.67857869999999998</v>
      </c>
      <c r="Z4831">
        <v>5.0380540000000001E-2</v>
      </c>
      <c r="AA4831">
        <v>0.7327979</v>
      </c>
      <c r="AB4831">
        <v>18</v>
      </c>
      <c r="AC4831">
        <v>20.660499999999999</v>
      </c>
      <c r="AD4831">
        <v>-1.11790342268</v>
      </c>
      <c r="AE4831">
        <v>1.2809699999999999</v>
      </c>
      <c r="AF4831">
        <v>-14.1104192160373</v>
      </c>
      <c r="AG4831">
        <v>-1.11790342268</v>
      </c>
      <c r="AH4831">
        <v>15.063355859018699</v>
      </c>
      <c r="AI4831">
        <v>93.100227697695502</v>
      </c>
      <c r="AJ4831">
        <v>133.129147088379</v>
      </c>
      <c r="AK4831">
        <v>20.670228064784101</v>
      </c>
      <c r="AL4831">
        <v>91.184625928607304</v>
      </c>
      <c r="AM4831">
        <v>107.634527518935</v>
      </c>
      <c r="AN4831">
        <v>1.00000000888981</v>
      </c>
    </row>
    <row r="4832" spans="1:40" x14ac:dyDescent="0.3">
      <c r="A4832" t="str">
        <f>"20200111160600210"</f>
        <v>20200111160600210</v>
      </c>
      <c r="B4832" t="str">
        <f>"1578729960207316"</f>
        <v>1578729960207316</v>
      </c>
      <c r="C4832" t="s">
        <v>40</v>
      </c>
      <c r="D4832">
        <v>5.3235159999999997</v>
      </c>
      <c r="E4832">
        <v>0.3231366</v>
      </c>
      <c r="F4832" t="s">
        <v>41</v>
      </c>
      <c r="G4832">
        <v>-393.93090000000001</v>
      </c>
      <c r="H4832" s="1">
        <v>-4.4655989999999998E-6</v>
      </c>
      <c r="I4832">
        <v>26.74118</v>
      </c>
      <c r="J4832">
        <v>-414.60629999999998</v>
      </c>
      <c r="K4832">
        <v>1.117885</v>
      </c>
      <c r="L4832">
        <v>25.3779</v>
      </c>
      <c r="M4832">
        <v>0.77593730000000005</v>
      </c>
      <c r="N4832">
        <v>0</v>
      </c>
      <c r="O4832">
        <v>-0.63062439999999997</v>
      </c>
      <c r="P4832">
        <v>0.92983789999999999</v>
      </c>
      <c r="Q4832">
        <v>-3.050477E-2</v>
      </c>
      <c r="R4832">
        <v>-0.3667028</v>
      </c>
      <c r="S4832">
        <v>3.3134160000000001</v>
      </c>
      <c r="T4832">
        <v>-0.1784126</v>
      </c>
      <c r="U4832">
        <v>0.2082214</v>
      </c>
      <c r="V4832">
        <v>-0.30155460000000001</v>
      </c>
      <c r="W4832">
        <v>-2.114398E-2</v>
      </c>
      <c r="X4832">
        <v>0.95321449999999996</v>
      </c>
      <c r="Y4832">
        <v>-0.67633769999999904</v>
      </c>
      <c r="Z4832">
        <v>5.0107930000000002E-2</v>
      </c>
      <c r="AA4832">
        <v>0.73488540000000002</v>
      </c>
      <c r="AB4832">
        <v>18</v>
      </c>
      <c r="AC4832">
        <v>20.6753999999999</v>
      </c>
      <c r="AD4832">
        <v>-1.1178894655989999</v>
      </c>
      <c r="AE4832">
        <v>1.3632799999999901</v>
      </c>
      <c r="AF4832">
        <v>-14.056965891290901</v>
      </c>
      <c r="AG4832">
        <v>-1.1178894655989999</v>
      </c>
      <c r="AH4832">
        <v>15.1408032828421</v>
      </c>
      <c r="AI4832">
        <v>93.097166257037898</v>
      </c>
      <c r="AJ4832">
        <v>132.87412495613299</v>
      </c>
      <c r="AK4832">
        <v>20.690381605372401</v>
      </c>
      <c r="AL4832">
        <v>91.211551024454494</v>
      </c>
      <c r="AM4832">
        <v>107.55505094009099</v>
      </c>
      <c r="AN4832">
        <v>1.00000006384082</v>
      </c>
    </row>
    <row r="4833" spans="1:40" x14ac:dyDescent="0.3">
      <c r="A4833" t="str">
        <f>"20200111160600236"</f>
        <v>20200111160600236</v>
      </c>
      <c r="B4833" t="str">
        <f>"1578729960226836"</f>
        <v>1578729960226836</v>
      </c>
      <c r="C4833" t="s">
        <v>40</v>
      </c>
      <c r="D4833">
        <v>5.2608670000000002</v>
      </c>
      <c r="E4833">
        <v>0.32400630000000002</v>
      </c>
      <c r="F4833" t="s">
        <v>41</v>
      </c>
      <c r="G4833">
        <v>-394.01229999999998</v>
      </c>
      <c r="H4833" s="1">
        <v>-4.4331360000000001E-6</v>
      </c>
      <c r="I4833">
        <v>26.73432</v>
      </c>
      <c r="J4833">
        <v>-414.4282</v>
      </c>
      <c r="K4833">
        <v>1.1178520000000001</v>
      </c>
      <c r="L4833">
        <v>25.259889999999999</v>
      </c>
      <c r="M4833">
        <v>0.78666569999999902</v>
      </c>
      <c r="N4833">
        <v>0</v>
      </c>
      <c r="O4833">
        <v>-0.61718980000000001</v>
      </c>
      <c r="P4833">
        <v>0.93486469999999999</v>
      </c>
      <c r="Q4833">
        <v>-3.1529019999999998E-2</v>
      </c>
      <c r="R4833">
        <v>-0.35360150000000001</v>
      </c>
      <c r="S4833">
        <v>3.3063660000000001</v>
      </c>
      <c r="T4833">
        <v>-0.1794772</v>
      </c>
      <c r="U4833">
        <v>0.21777340000000001</v>
      </c>
      <c r="V4833">
        <v>-0.29852119999999999</v>
      </c>
      <c r="W4833">
        <v>-2.2089000000000001E-2</v>
      </c>
      <c r="X4833">
        <v>0.95414730000000003</v>
      </c>
      <c r="Y4833">
        <v>-0.66584299999999996</v>
      </c>
      <c r="Z4833">
        <v>4.9656609999999997E-2</v>
      </c>
      <c r="AA4833">
        <v>0.74443760000000003</v>
      </c>
      <c r="AB4833">
        <v>18</v>
      </c>
      <c r="AC4833">
        <v>20.415900000000001</v>
      </c>
      <c r="AD4833">
        <v>-1.1178564331359999</v>
      </c>
      <c r="AE4833">
        <v>1.4744299999999999</v>
      </c>
      <c r="AF4833">
        <v>-13.7210551988458</v>
      </c>
      <c r="AG4833">
        <v>-1.1178564331359999</v>
      </c>
      <c r="AH4833">
        <v>15.1071999808154</v>
      </c>
      <c r="AI4833">
        <v>93.135234825797795</v>
      </c>
      <c r="AJ4833">
        <v>132.24717557237199</v>
      </c>
      <c r="AK4833">
        <v>20.4387976660866</v>
      </c>
      <c r="AL4833">
        <v>91.265709478960702</v>
      </c>
      <c r="AM4833">
        <v>107.373179225703</v>
      </c>
      <c r="AN4833">
        <v>0.99999995043386303</v>
      </c>
    </row>
    <row r="4834" spans="1:40" x14ac:dyDescent="0.3">
      <c r="A4834" t="str">
        <f>"20200111160600254"</f>
        <v>20200111160600254</v>
      </c>
      <c r="B4834" t="str">
        <f>"1578729960247331"</f>
        <v>1578729960247331</v>
      </c>
      <c r="C4834" t="s">
        <v>40</v>
      </c>
      <c r="D4834">
        <v>8.0332410000000003</v>
      </c>
      <c r="E4834">
        <v>0.30447879999999999</v>
      </c>
      <c r="F4834" t="s">
        <v>41</v>
      </c>
      <c r="G4834">
        <v>-394.1429</v>
      </c>
      <c r="H4834" s="1">
        <v>-4.4021090000000002E-6</v>
      </c>
      <c r="I4834">
        <v>26.842300000000002</v>
      </c>
      <c r="J4834">
        <v>-414.30689999999998</v>
      </c>
      <c r="K4834">
        <v>1.117828</v>
      </c>
      <c r="L4834">
        <v>25.181979999999999</v>
      </c>
      <c r="M4834">
        <v>0.79377589999999998</v>
      </c>
      <c r="N4834">
        <v>0</v>
      </c>
      <c r="O4834">
        <v>-0.60801850000000002</v>
      </c>
      <c r="P4834">
        <v>0.93765770000000004</v>
      </c>
      <c r="Q4834">
        <v>-3.261141E-2</v>
      </c>
      <c r="R4834">
        <v>-0.34602729999999998</v>
      </c>
      <c r="S4834">
        <v>3.300262</v>
      </c>
      <c r="T4834">
        <v>-0.1818668</v>
      </c>
      <c r="U4834">
        <v>0.25744630000000002</v>
      </c>
      <c r="V4834">
        <v>-0.29512630000000001</v>
      </c>
      <c r="W4834">
        <v>-2.3088850000000001E-2</v>
      </c>
      <c r="X4834">
        <v>0.95517920000000001</v>
      </c>
      <c r="Y4834">
        <v>-0.66614879999999999</v>
      </c>
      <c r="Z4834">
        <v>5.0022289999999997E-2</v>
      </c>
      <c r="AA4834">
        <v>0.74413940000000001</v>
      </c>
      <c r="AB4834">
        <v>18</v>
      </c>
      <c r="AC4834">
        <v>20.163999999999898</v>
      </c>
      <c r="AD4834">
        <v>-1.117832402109</v>
      </c>
      <c r="AE4834">
        <v>1.66032</v>
      </c>
      <c r="AF4834">
        <v>-13.5382648708262</v>
      </c>
      <c r="AG4834">
        <v>-1.117832402109</v>
      </c>
      <c r="AH4834">
        <v>14.952298847965899</v>
      </c>
      <c r="AI4834">
        <v>93.172013482927596</v>
      </c>
      <c r="AJ4834">
        <v>132.158646846957</v>
      </c>
      <c r="AK4834">
        <v>20.2016188913348</v>
      </c>
      <c r="AL4834">
        <v>91.323011269965505</v>
      </c>
      <c r="AM4834">
        <v>107.16983087274301</v>
      </c>
      <c r="AN4834">
        <v>0.99999996602932495</v>
      </c>
    </row>
    <row r="4835" spans="1:40" x14ac:dyDescent="0.3">
      <c r="A4835" t="str">
        <f>"20200111160600267"</f>
        <v>20200111160600267</v>
      </c>
      <c r="B4835" t="str">
        <f>"1578729960257092"</f>
        <v>1578729960257092</v>
      </c>
      <c r="C4835" t="s">
        <v>40</v>
      </c>
      <c r="D4835">
        <v>5.5899570000000001</v>
      </c>
      <c r="E4835">
        <v>0.3073147</v>
      </c>
      <c r="F4835" t="s">
        <v>84</v>
      </c>
      <c r="G4835">
        <v>-280.04239999999999</v>
      </c>
      <c r="H4835">
        <v>18.600989999999999</v>
      </c>
      <c r="I4835">
        <v>41.140880000000003</v>
      </c>
      <c r="J4835">
        <v>-414.21640000000002</v>
      </c>
      <c r="K4835">
        <v>1.117812</v>
      </c>
      <c r="L4835">
        <v>25.125060000000001</v>
      </c>
      <c r="M4835">
        <v>0.79897790000000002</v>
      </c>
      <c r="N4835">
        <v>0</v>
      </c>
      <c r="O4835">
        <v>-0.60116639999999999</v>
      </c>
      <c r="P4835">
        <v>0.93984749999999995</v>
      </c>
      <c r="Q4835">
        <v>-3.3144880000000002E-2</v>
      </c>
      <c r="R4835">
        <v>-0.33998260000000002</v>
      </c>
      <c r="S4835">
        <v>3.3621219999999998</v>
      </c>
      <c r="T4835">
        <v>0.43779669999999998</v>
      </c>
      <c r="U4835">
        <v>0.39962769999999997</v>
      </c>
      <c r="V4835">
        <v>-0.29303950000000001</v>
      </c>
      <c r="W4835">
        <v>-2.357039E-2</v>
      </c>
      <c r="X4835">
        <v>0.95580980000000004</v>
      </c>
      <c r="Y4835">
        <v>-0.68103829999999999</v>
      </c>
      <c r="Z4835">
        <v>-0.11803</v>
      </c>
      <c r="AA4835">
        <v>0.7226726</v>
      </c>
      <c r="AB4835">
        <v>18</v>
      </c>
      <c r="AC4835">
        <v>134.17400000000001</v>
      </c>
      <c r="AD4835">
        <v>17.483177999999999</v>
      </c>
      <c r="AE4835">
        <v>16.015819999999898</v>
      </c>
      <c r="AF4835">
        <v>-91.929179585367905</v>
      </c>
      <c r="AG4835">
        <v>17.483177999999999</v>
      </c>
      <c r="AH4835">
        <v>95.978573424566804</v>
      </c>
      <c r="AI4835">
        <v>82.505789661139303</v>
      </c>
      <c r="AJ4835">
        <v>133.76547259306099</v>
      </c>
      <c r="AK4835">
        <v>134.046716218016</v>
      </c>
      <c r="AL4835">
        <v>91.350608888461096</v>
      </c>
      <c r="AM4835">
        <v>107.044893801475</v>
      </c>
      <c r="AN4835">
        <v>1.00000004281052</v>
      </c>
    </row>
    <row r="4836" spans="1:40" x14ac:dyDescent="0.3">
      <c r="A4836" t="str">
        <f>"20200111160600281"</f>
        <v>20200111160600281</v>
      </c>
      <c r="B4836" t="str">
        <f>"1578729960276612"</f>
        <v>1578729960276612</v>
      </c>
      <c r="C4836" t="s">
        <v>40</v>
      </c>
      <c r="D4836">
        <v>5.2527739999999996</v>
      </c>
      <c r="E4836">
        <v>0.33260020000000001</v>
      </c>
      <c r="F4836" t="s">
        <v>84</v>
      </c>
      <c r="G4836">
        <v>-280.04239999999999</v>
      </c>
      <c r="H4836">
        <v>19.825379999999999</v>
      </c>
      <c r="I4836">
        <v>41.073030000000003</v>
      </c>
      <c r="J4836">
        <v>-414.12610000000001</v>
      </c>
      <c r="K4836">
        <v>1.117793</v>
      </c>
      <c r="L4836">
        <v>25.069369999999999</v>
      </c>
      <c r="M4836">
        <v>0.80407850000000003</v>
      </c>
      <c r="N4836">
        <v>0</v>
      </c>
      <c r="O4836">
        <v>-0.59432700000000005</v>
      </c>
      <c r="P4836">
        <v>0.94190719999999994</v>
      </c>
      <c r="Q4836">
        <v>-3.3071669999999997E-2</v>
      </c>
      <c r="R4836">
        <v>-0.33424140000000002</v>
      </c>
      <c r="S4836">
        <v>3.3526609999999999</v>
      </c>
      <c r="T4836">
        <v>0.46745370000000003</v>
      </c>
      <c r="U4836">
        <v>0.39849849999999998</v>
      </c>
      <c r="V4836">
        <v>-0.29072009999999998</v>
      </c>
      <c r="W4836">
        <v>-2.343976E-2</v>
      </c>
      <c r="X4836">
        <v>0.95652099999999995</v>
      </c>
      <c r="Y4836">
        <v>-0.67346110000000003</v>
      </c>
      <c r="Z4836">
        <v>-0.124998</v>
      </c>
      <c r="AA4836">
        <v>0.7285779</v>
      </c>
      <c r="AB4836">
        <v>18</v>
      </c>
      <c r="AC4836">
        <v>134.08369999999999</v>
      </c>
      <c r="AD4836">
        <v>18.707587</v>
      </c>
      <c r="AE4836">
        <v>16.003659999999901</v>
      </c>
      <c r="AF4836">
        <v>-90.825354447311</v>
      </c>
      <c r="AG4836">
        <v>18.707587</v>
      </c>
      <c r="AH4836">
        <v>96.462482600982</v>
      </c>
      <c r="AI4836">
        <v>81.963116014793997</v>
      </c>
      <c r="AJ4836">
        <v>133.27598964316999</v>
      </c>
      <c r="AK4836">
        <v>133.80668657203501</v>
      </c>
      <c r="AL4836">
        <v>91.343122315187102</v>
      </c>
      <c r="AM4836">
        <v>106.905856545316</v>
      </c>
      <c r="AN4836">
        <v>1.00000001116693</v>
      </c>
    </row>
    <row r="4837" spans="1:40" x14ac:dyDescent="0.3">
      <c r="A4837" t="str">
        <f>"20200111160600297"</f>
        <v>20200111160600297</v>
      </c>
      <c r="B4837" t="str">
        <f>"1578729960287347"</f>
        <v>1578729960287347</v>
      </c>
      <c r="C4837" t="s">
        <v>40</v>
      </c>
      <c r="D4837">
        <v>5.3018260000000001</v>
      </c>
      <c r="E4837">
        <v>0.33296700000000001</v>
      </c>
      <c r="F4837" t="s">
        <v>84</v>
      </c>
      <c r="G4837">
        <v>-280.541</v>
      </c>
      <c r="H4837">
        <v>2.0805980000000002</v>
      </c>
      <c r="I4837">
        <v>35.287500000000001</v>
      </c>
      <c r="J4837">
        <v>-414.01710000000003</v>
      </c>
      <c r="K4837">
        <v>1.1177709999999901</v>
      </c>
      <c r="L4837">
        <v>25.00366</v>
      </c>
      <c r="M4837">
        <v>0.81012150000000005</v>
      </c>
      <c r="N4837">
        <v>0</v>
      </c>
      <c r="O4837">
        <v>-0.58606289999999905</v>
      </c>
      <c r="P4837">
        <v>0.94346229999999998</v>
      </c>
      <c r="Q4837">
        <v>-3.2404540000000003E-2</v>
      </c>
      <c r="R4837">
        <v>-0.32989230000000003</v>
      </c>
      <c r="S4837">
        <v>3.2747190000000002</v>
      </c>
      <c r="T4837">
        <v>2.3602370000000001E-2</v>
      </c>
      <c r="U4837">
        <v>0.2504883</v>
      </c>
      <c r="V4837">
        <v>-0.28536430000000002</v>
      </c>
      <c r="W4837">
        <v>-2.264677E-2</v>
      </c>
      <c r="X4837">
        <v>0.95815150000000004</v>
      </c>
      <c r="Y4837">
        <v>-0.64618779999999998</v>
      </c>
      <c r="Z4837">
        <v>-6.3460629999999999E-3</v>
      </c>
      <c r="AA4837">
        <v>0.7631521</v>
      </c>
      <c r="AB4837">
        <v>18</v>
      </c>
      <c r="AC4837">
        <v>133.4761</v>
      </c>
      <c r="AD4837">
        <v>0.96282699999999999</v>
      </c>
      <c r="AE4837">
        <v>10.28384</v>
      </c>
      <c r="AF4837">
        <v>-86.562176837108098</v>
      </c>
      <c r="AG4837">
        <v>0.96282699999999999</v>
      </c>
      <c r="AH4837">
        <v>102.111518692858</v>
      </c>
      <c r="AI4837">
        <v>89.587905179969596</v>
      </c>
      <c r="AJ4837">
        <v>130.28867657250299</v>
      </c>
      <c r="AK4837">
        <v>133.86821782773001</v>
      </c>
      <c r="AL4837">
        <v>91.297675309182793</v>
      </c>
      <c r="AM4837">
        <v>106.585002585277</v>
      </c>
      <c r="AN4837">
        <v>0.99999997842908595</v>
      </c>
    </row>
    <row r="4838" spans="1:40" x14ac:dyDescent="0.3">
      <c r="A4838" t="str">
        <f>"20200111160600309"</f>
        <v>20200111160600309</v>
      </c>
      <c r="B4838" t="str">
        <f>"1578729960306623"</f>
        <v>1578729960306623</v>
      </c>
      <c r="C4838" t="s">
        <v>40</v>
      </c>
      <c r="D4838">
        <v>5.232202</v>
      </c>
      <c r="E4838">
        <v>0.33582400000000001</v>
      </c>
      <c r="F4838" t="s">
        <v>84</v>
      </c>
      <c r="G4838">
        <v>-280.86259999999999</v>
      </c>
      <c r="H4838">
        <v>2.2536580000000002</v>
      </c>
      <c r="I4838">
        <v>35.69218</v>
      </c>
      <c r="J4838">
        <v>-413.9375</v>
      </c>
      <c r="K4838">
        <v>1.11775</v>
      </c>
      <c r="L4838">
        <v>24.95654</v>
      </c>
      <c r="M4838">
        <v>0.81445230000000002</v>
      </c>
      <c r="N4838">
        <v>0</v>
      </c>
      <c r="O4838">
        <v>-0.58003000000000005</v>
      </c>
      <c r="P4838">
        <v>0.9449263</v>
      </c>
      <c r="Q4838">
        <v>-3.1543179999999997E-2</v>
      </c>
      <c r="R4838">
        <v>-0.325760099999999</v>
      </c>
      <c r="S4838">
        <v>3.272583</v>
      </c>
      <c r="T4838">
        <v>2.7917150000000002E-2</v>
      </c>
      <c r="U4838">
        <v>0.26269530000000002</v>
      </c>
      <c r="V4838">
        <v>-0.282474</v>
      </c>
      <c r="W4838">
        <v>-2.1714569999999999E-2</v>
      </c>
      <c r="X4838">
        <v>0.95902909999999997</v>
      </c>
      <c r="Y4838">
        <v>-0.64337029999999995</v>
      </c>
      <c r="Z4838">
        <v>-7.4565739999999997E-3</v>
      </c>
      <c r="AA4838">
        <v>0.76551880000000005</v>
      </c>
      <c r="AB4838">
        <v>18</v>
      </c>
      <c r="AC4838">
        <v>133.07490000000001</v>
      </c>
      <c r="AD4838">
        <v>1.1359079999999999</v>
      </c>
      <c r="AE4838">
        <v>10.73564</v>
      </c>
      <c r="AF4838">
        <v>-85.934877823448005</v>
      </c>
      <c r="AG4838">
        <v>1.1359079999999999</v>
      </c>
      <c r="AH4838">
        <v>102.160655126634</v>
      </c>
      <c r="AI4838">
        <v>89.512491792905294</v>
      </c>
      <c r="AJ4838">
        <v>130.06967136832</v>
      </c>
      <c r="AK4838">
        <v>133.502408103443</v>
      </c>
      <c r="AL4838">
        <v>91.244251073621996</v>
      </c>
      <c r="AM4838">
        <v>106.411896400898</v>
      </c>
      <c r="AN4838">
        <v>0.99999994893654598</v>
      </c>
    </row>
    <row r="4839" spans="1:40" x14ac:dyDescent="0.3">
      <c r="A4839" t="str">
        <f>"20200111160600322"</f>
        <v>20200111160600322</v>
      </c>
      <c r="B4839" t="str">
        <f>"1578729960317360"</f>
        <v>1578729960317360</v>
      </c>
      <c r="C4839" t="s">
        <v>40</v>
      </c>
      <c r="D4839">
        <v>5.324948</v>
      </c>
      <c r="E4839">
        <v>0.33755180000000001</v>
      </c>
      <c r="F4839" t="s">
        <v>84</v>
      </c>
      <c r="G4839">
        <v>-280.86259999999999</v>
      </c>
      <c r="H4839">
        <v>2.3807939999999999</v>
      </c>
      <c r="I4839">
        <v>35.370800000000003</v>
      </c>
      <c r="J4839">
        <v>-413.84789999999998</v>
      </c>
      <c r="K4839">
        <v>1.117726</v>
      </c>
      <c r="L4839">
        <v>24.904330000000002</v>
      </c>
      <c r="M4839">
        <v>0.81924799999999998</v>
      </c>
      <c r="N4839">
        <v>0</v>
      </c>
      <c r="O4839">
        <v>-0.57323679999999999</v>
      </c>
      <c r="P4839">
        <v>0.94662270000000004</v>
      </c>
      <c r="Q4839">
        <v>-3.1291970000000002E-2</v>
      </c>
      <c r="R4839">
        <v>-0.32082110000000003</v>
      </c>
      <c r="S4839">
        <v>3.2639469999999999</v>
      </c>
      <c r="T4839">
        <v>3.097892E-2</v>
      </c>
      <c r="U4839">
        <v>0.2554321</v>
      </c>
      <c r="V4839">
        <v>-0.27951730000000002</v>
      </c>
      <c r="W4839">
        <v>-2.1389189999999999E-2</v>
      </c>
      <c r="X4839">
        <v>0.95990240000000004</v>
      </c>
      <c r="Y4839">
        <v>-0.63542900000000002</v>
      </c>
      <c r="Z4839">
        <v>-8.204523E-3</v>
      </c>
      <c r="AA4839">
        <v>0.77211580000000002</v>
      </c>
      <c r="AB4839">
        <v>18</v>
      </c>
      <c r="AC4839">
        <v>132.9853</v>
      </c>
      <c r="AD4839">
        <v>1.2630680000000001</v>
      </c>
      <c r="AE4839">
        <v>10.466469999999999</v>
      </c>
      <c r="AF4839">
        <v>-84.808950470524195</v>
      </c>
      <c r="AG4839">
        <v>1.2630680000000001</v>
      </c>
      <c r="AH4839">
        <v>102.950904211295</v>
      </c>
      <c r="AI4839">
        <v>89.457461263407197</v>
      </c>
      <c r="AJ4839">
        <v>129.48103228063599</v>
      </c>
      <c r="AK4839">
        <v>133.390562254635</v>
      </c>
      <c r="AL4839">
        <v>91.225603756038595</v>
      </c>
      <c r="AM4839">
        <v>106.235214364008</v>
      </c>
      <c r="AN4839">
        <v>1.0000000179869499</v>
      </c>
    </row>
    <row r="4840" spans="1:40" x14ac:dyDescent="0.3">
      <c r="A4840" t="str">
        <f>"20200111160600333"</f>
        <v>20200111160600333</v>
      </c>
      <c r="B4840" t="str">
        <f>"1578729960327119"</f>
        <v>1578729960327119</v>
      </c>
      <c r="C4840" t="s">
        <v>40</v>
      </c>
      <c r="D4840">
        <v>5.3703029999999998</v>
      </c>
      <c r="E4840">
        <v>0.33901910000000002</v>
      </c>
      <c r="F4840" t="s">
        <v>84</v>
      </c>
      <c r="G4840">
        <v>-280.86259999999999</v>
      </c>
      <c r="H4840">
        <v>2.2884479999999998</v>
      </c>
      <c r="I4840">
        <v>35.498660000000001</v>
      </c>
      <c r="J4840">
        <v>-413.76420000000002</v>
      </c>
      <c r="K4840">
        <v>1.1176950000000001</v>
      </c>
      <c r="L4840">
        <v>24.856809999999999</v>
      </c>
      <c r="M4840">
        <v>0.82363339999999996</v>
      </c>
      <c r="N4840">
        <v>0</v>
      </c>
      <c r="O4840">
        <v>-0.56691780000000003</v>
      </c>
      <c r="P4840">
        <v>0.94803490000000001</v>
      </c>
      <c r="Q4840">
        <v>-3.0852279999999999E-2</v>
      </c>
      <c r="R4840">
        <v>-0.31666739999999999</v>
      </c>
      <c r="S4840">
        <v>3.2580260000000001</v>
      </c>
      <c r="T4840">
        <v>2.8681760000000001E-2</v>
      </c>
      <c r="U4840">
        <v>0.259552</v>
      </c>
      <c r="V4840">
        <v>-0.27635969999999999</v>
      </c>
      <c r="W4840">
        <v>-2.086965E-2</v>
      </c>
      <c r="X4840">
        <v>0.9608276</v>
      </c>
      <c r="Y4840">
        <v>-0.63056400000000001</v>
      </c>
      <c r="Z4840">
        <v>-7.5418569999999999E-3</v>
      </c>
      <c r="AA4840">
        <v>0.77610059999999903</v>
      </c>
      <c r="AB4840">
        <v>18</v>
      </c>
      <c r="AC4840">
        <v>132.9016</v>
      </c>
      <c r="AD4840">
        <v>1.1707529999999899</v>
      </c>
      <c r="AE4840">
        <v>10.64185</v>
      </c>
      <c r="AF4840">
        <v>-84.112548177862905</v>
      </c>
      <c r="AG4840">
        <v>1.1707529999999899</v>
      </c>
      <c r="AH4840">
        <v>103.433178839606</v>
      </c>
      <c r="AI4840">
        <v>89.496856132337697</v>
      </c>
      <c r="AJ4840">
        <v>129.118238328356</v>
      </c>
      <c r="AK4840">
        <v>133.321843328189</v>
      </c>
      <c r="AL4840">
        <v>91.195829739370893</v>
      </c>
      <c r="AM4840">
        <v>106.046649782923</v>
      </c>
      <c r="AN4840">
        <v>0.99999995149848497</v>
      </c>
    </row>
    <row r="4841" spans="1:40" x14ac:dyDescent="0.3">
      <c r="A4841" t="str">
        <f>"20200111160600346"</f>
        <v>20200111160600346</v>
      </c>
      <c r="B4841" t="str">
        <f>"1578729960336879"</f>
        <v>1578729960336879</v>
      </c>
      <c r="C4841" t="s">
        <v>40</v>
      </c>
      <c r="D4841">
        <v>5.4136329999999999</v>
      </c>
      <c r="E4841">
        <v>0.34038279999999999</v>
      </c>
      <c r="F4841" t="s">
        <v>84</v>
      </c>
      <c r="G4841">
        <v>-280.86259999999999</v>
      </c>
      <c r="H4841">
        <v>1.8237429999999999</v>
      </c>
      <c r="I4841">
        <v>35.615470000000002</v>
      </c>
      <c r="J4841">
        <v>-413.67959999999999</v>
      </c>
      <c r="K4841">
        <v>1.117653</v>
      </c>
      <c r="L4841">
        <v>24.809270000000001</v>
      </c>
      <c r="M4841">
        <v>0.82800049999999903</v>
      </c>
      <c r="N4841">
        <v>0</v>
      </c>
      <c r="O4841">
        <v>-0.56052019999999902</v>
      </c>
      <c r="P4841">
        <v>0.9493703</v>
      </c>
      <c r="Q4841">
        <v>-3.095796E-2</v>
      </c>
      <c r="R4841">
        <v>-0.31263089999999999</v>
      </c>
      <c r="S4841">
        <v>3.2529910000000002</v>
      </c>
      <c r="T4841">
        <v>1.7281769999999998E-2</v>
      </c>
      <c r="U4841">
        <v>0.26333620000000002</v>
      </c>
      <c r="V4841">
        <v>-0.27300180000000002</v>
      </c>
      <c r="W4841">
        <v>-2.0890579999999999E-2</v>
      </c>
      <c r="X4841">
        <v>0.96178669999999999</v>
      </c>
      <c r="Y4841">
        <v>-0.62555879999999997</v>
      </c>
      <c r="Z4841">
        <v>-4.509313E-3</v>
      </c>
      <c r="AA4841">
        <v>0.78016390000000002</v>
      </c>
      <c r="AB4841">
        <v>18</v>
      </c>
      <c r="AC4841">
        <v>132.81700000000001</v>
      </c>
      <c r="AD4841">
        <v>0.70609</v>
      </c>
      <c r="AE4841">
        <v>10.8062</v>
      </c>
      <c r="AF4841">
        <v>-83.401495736170105</v>
      </c>
      <c r="AG4841">
        <v>0.70609</v>
      </c>
      <c r="AH4841">
        <v>103.924601862244</v>
      </c>
      <c r="AI4841">
        <v>89.696398130408397</v>
      </c>
      <c r="AJ4841">
        <v>128.747714547122</v>
      </c>
      <c r="AK4841">
        <v>133.25400904417199</v>
      </c>
      <c r="AL4841">
        <v>91.197029110344701</v>
      </c>
      <c r="AM4841">
        <v>105.846518512085</v>
      </c>
      <c r="AN4841">
        <v>1.00000002771643</v>
      </c>
    </row>
    <row r="4842" spans="1:40" x14ac:dyDescent="0.3">
      <c r="A4842" t="str">
        <f>"20200111160600357"</f>
        <v>20200111160600357</v>
      </c>
      <c r="B4842" t="str">
        <f>"1578729960346640"</f>
        <v>1578729960346640</v>
      </c>
      <c r="C4842" t="s">
        <v>40</v>
      </c>
      <c r="D4842">
        <v>5.4336359999999999</v>
      </c>
      <c r="E4842">
        <v>0.3417405</v>
      </c>
      <c r="F4842" t="s">
        <v>84</v>
      </c>
      <c r="G4842">
        <v>-280.86259999999999</v>
      </c>
      <c r="H4842">
        <v>1.430323</v>
      </c>
      <c r="I4842">
        <v>35.737699999999997</v>
      </c>
      <c r="J4842">
        <v>-413.60019999999997</v>
      </c>
      <c r="K4842">
        <v>1.1176079999999999</v>
      </c>
      <c r="L4842">
        <v>24.76559</v>
      </c>
      <c r="M4842">
        <v>0.83201599999999998</v>
      </c>
      <c r="N4842">
        <v>0</v>
      </c>
      <c r="O4842">
        <v>-0.55454269999999894</v>
      </c>
      <c r="P4842">
        <v>0.95048779999999999</v>
      </c>
      <c r="Q4842">
        <v>-3.106331E-2</v>
      </c>
      <c r="R4842">
        <v>-0.30920540000000002</v>
      </c>
      <c r="S4842">
        <v>3.2482600000000001</v>
      </c>
      <c r="T4842">
        <v>7.6469179999999999E-3</v>
      </c>
      <c r="U4842">
        <v>0.26727289999999998</v>
      </c>
      <c r="V4842">
        <v>-0.26954159999999999</v>
      </c>
      <c r="W4842">
        <v>-2.090815E-2</v>
      </c>
      <c r="X4842">
        <v>0.9627618</v>
      </c>
      <c r="Y4842">
        <v>-0.62097290000000005</v>
      </c>
      <c r="Z4842">
        <v>-1.980861E-3</v>
      </c>
      <c r="AA4842">
        <v>0.78382949999999996</v>
      </c>
      <c r="AB4842">
        <v>18</v>
      </c>
      <c r="AC4842">
        <v>132.73759999999999</v>
      </c>
      <c r="AD4842">
        <v>0.31271500000000002</v>
      </c>
      <c r="AE4842">
        <v>10.972109999999899</v>
      </c>
      <c r="AF4842">
        <v>-82.746771726421898</v>
      </c>
      <c r="AG4842">
        <v>0.31271500000000002</v>
      </c>
      <c r="AH4842">
        <v>104.36682346772</v>
      </c>
      <c r="AI4842">
        <v>89.865475828874295</v>
      </c>
      <c r="AJ4842">
        <v>128.40898344495801</v>
      </c>
      <c r="AK4842">
        <v>133.18993904405099</v>
      </c>
      <c r="AL4842">
        <v>91.198035985350401</v>
      </c>
      <c r="AM4842">
        <v>105.64049684550299</v>
      </c>
      <c r="AN4842">
        <v>1.0000000542031</v>
      </c>
    </row>
    <row r="4843" spans="1:40" x14ac:dyDescent="0.3">
      <c r="A4843" t="str">
        <f>"20200111160600376"</f>
        <v>20200111160600376</v>
      </c>
      <c r="B4843" t="str">
        <f>"1578729960367134"</f>
        <v>1578729960367134</v>
      </c>
      <c r="C4843" t="s">
        <v>40</v>
      </c>
      <c r="D4843">
        <v>5.3649449999999996</v>
      </c>
      <c r="E4843">
        <v>0.3428677</v>
      </c>
      <c r="F4843" t="s">
        <v>84</v>
      </c>
      <c r="G4843">
        <v>-280.86259999999999</v>
      </c>
      <c r="H4843">
        <v>0.94056510000000004</v>
      </c>
      <c r="I4843">
        <v>35.781489999999998</v>
      </c>
      <c r="J4843">
        <v>-413.46910000000003</v>
      </c>
      <c r="K4843">
        <v>1.1175330000000001</v>
      </c>
      <c r="L4843">
        <v>24.69492</v>
      </c>
      <c r="M4843">
        <v>0.83850089999999999</v>
      </c>
      <c r="N4843">
        <v>0</v>
      </c>
      <c r="O4843">
        <v>-0.54468819999999996</v>
      </c>
      <c r="P4843">
        <v>0.95178300000000005</v>
      </c>
      <c r="Q4843">
        <v>-3.1979710000000001E-2</v>
      </c>
      <c r="R4843">
        <v>-0.30510120000000002</v>
      </c>
      <c r="S4843">
        <v>3.2437130000000001</v>
      </c>
      <c r="T4843">
        <v>-4.3263440000000002E-3</v>
      </c>
      <c r="U4843">
        <v>0.26919559999999998</v>
      </c>
      <c r="V4843">
        <v>-0.26230579999999998</v>
      </c>
      <c r="W4843">
        <v>-2.1647980000000001E-2</v>
      </c>
      <c r="X4843">
        <v>0.96474190000000004</v>
      </c>
      <c r="Y4843">
        <v>-0.61224060000000002</v>
      </c>
      <c r="Z4843">
        <v>1.1051870000000001E-3</v>
      </c>
      <c r="AA4843">
        <v>0.79067069999999995</v>
      </c>
      <c r="AB4843">
        <v>18</v>
      </c>
      <c r="AC4843">
        <v>132.60650000000001</v>
      </c>
      <c r="AD4843">
        <v>-0.17696789999999901</v>
      </c>
      <c r="AE4843">
        <v>11.08657</v>
      </c>
      <c r="AF4843">
        <v>-81.534568539282304</v>
      </c>
      <c r="AG4843">
        <v>-0.17696789999999901</v>
      </c>
      <c r="AH4843">
        <v>105.163907185968</v>
      </c>
      <c r="AI4843">
        <v>90.076197424705001</v>
      </c>
      <c r="AJ4843">
        <v>127.786758830255</v>
      </c>
      <c r="AK4843">
        <v>133.06902178622701</v>
      </c>
      <c r="AL4843">
        <v>91.240434848234997</v>
      </c>
      <c r="AM4843">
        <v>105.21057568363</v>
      </c>
      <c r="AN4843">
        <v>0.99999995068366399</v>
      </c>
    </row>
    <row r="4844" spans="1:40" x14ac:dyDescent="0.3">
      <c r="A4844" t="str">
        <f>"20200111160600389"</f>
        <v>20200111160600389</v>
      </c>
      <c r="B4844" t="str">
        <f>"1578729960376895"</f>
        <v>1578729960376895</v>
      </c>
      <c r="C4844" t="s">
        <v>40</v>
      </c>
      <c r="D4844">
        <v>5.243773</v>
      </c>
      <c r="E4844">
        <v>0.34746369999999999</v>
      </c>
      <c r="F4844" t="s">
        <v>84</v>
      </c>
      <c r="G4844">
        <v>-280.86259999999999</v>
      </c>
      <c r="H4844">
        <v>0.36317250000000001</v>
      </c>
      <c r="I4844">
        <v>35.961260000000003</v>
      </c>
      <c r="J4844">
        <v>-413.38709999999998</v>
      </c>
      <c r="K4844">
        <v>1.117478</v>
      </c>
      <c r="L4844">
        <v>24.65164</v>
      </c>
      <c r="M4844">
        <v>0.84245959999999998</v>
      </c>
      <c r="N4844">
        <v>0</v>
      </c>
      <c r="O4844">
        <v>-0.5385451</v>
      </c>
      <c r="P4844">
        <v>0.95277659999999997</v>
      </c>
      <c r="Q4844">
        <v>-3.2435930000000002E-2</v>
      </c>
      <c r="R4844">
        <v>-0.30193520000000001</v>
      </c>
      <c r="S4844">
        <v>3.2395939999999999</v>
      </c>
      <c r="T4844">
        <v>-1.8429040000000001E-2</v>
      </c>
      <c r="U4844">
        <v>0.27523799999999998</v>
      </c>
      <c r="V4844">
        <v>-0.25844810000000001</v>
      </c>
      <c r="W4844">
        <v>-2.2007849999999999E-2</v>
      </c>
      <c r="X4844">
        <v>0.96577440000000003</v>
      </c>
      <c r="Y4844">
        <v>-0.60798319999999995</v>
      </c>
      <c r="Z4844">
        <v>4.6715089999999999E-3</v>
      </c>
      <c r="AA4844">
        <v>0.79393619999999898</v>
      </c>
      <c r="AB4844">
        <v>18</v>
      </c>
      <c r="AC4844">
        <v>132.52449999999999</v>
      </c>
      <c r="AD4844">
        <v>-0.75430549999999996</v>
      </c>
      <c r="AE4844">
        <v>11.309619999999899</v>
      </c>
      <c r="AF4844">
        <v>-80.9050612107213</v>
      </c>
      <c r="AG4844">
        <v>-0.75430549999999996</v>
      </c>
      <c r="AH4844">
        <v>105.564595279885</v>
      </c>
      <c r="AI4844">
        <v>90.324943097298004</v>
      </c>
      <c r="AJ4844">
        <v>127.46667703281901</v>
      </c>
      <c r="AK4844">
        <v>133.00406641491799</v>
      </c>
      <c r="AL4844">
        <v>91.261058759912601</v>
      </c>
      <c r="AM4844">
        <v>104.981711716135</v>
      </c>
      <c r="AN4844">
        <v>0.99999997877529501</v>
      </c>
    </row>
    <row r="4845" spans="1:40" x14ac:dyDescent="0.3">
      <c r="A4845" t="str">
        <f>"20200111160600401"</f>
        <v>20200111160600401</v>
      </c>
      <c r="B4845" t="str">
        <f>"1578729960397343"</f>
        <v>1578729960397343</v>
      </c>
      <c r="C4845" t="s">
        <v>40</v>
      </c>
      <c r="D4845">
        <v>5.5509029999999999</v>
      </c>
      <c r="E4845">
        <v>0.44372210000000001</v>
      </c>
      <c r="F4845" t="s">
        <v>84</v>
      </c>
      <c r="G4845">
        <v>-276.12329999999997</v>
      </c>
      <c r="H4845">
        <v>0.9782324</v>
      </c>
      <c r="I4845">
        <v>35.287859999999903</v>
      </c>
      <c r="J4845">
        <v>-413.29930000000002</v>
      </c>
      <c r="K4845">
        <v>1.1174219999999999</v>
      </c>
      <c r="L4845">
        <v>24.606079999999999</v>
      </c>
      <c r="M4845">
        <v>0.84661719999999896</v>
      </c>
      <c r="N4845">
        <v>0</v>
      </c>
      <c r="O4845">
        <v>-0.53198579999999995</v>
      </c>
      <c r="P4845">
        <v>0.95396210000000004</v>
      </c>
      <c r="Q4845">
        <v>-3.27386E-2</v>
      </c>
      <c r="R4845">
        <v>-0.29813509999999999</v>
      </c>
      <c r="S4845">
        <v>3.2279049999999998</v>
      </c>
      <c r="T4845">
        <v>-3.2744409999999999E-3</v>
      </c>
      <c r="U4845">
        <v>0.25012210000000001</v>
      </c>
      <c r="V4845">
        <v>-0.2547895</v>
      </c>
      <c r="W4845">
        <v>-2.22171E-2</v>
      </c>
      <c r="X4845">
        <v>0.96674130000000003</v>
      </c>
      <c r="Y4845">
        <v>-0.59587019999999902</v>
      </c>
      <c r="Z4845">
        <v>8.2110669999999996E-4</v>
      </c>
      <c r="AA4845">
        <v>0.80308040000000003</v>
      </c>
      <c r="AB4845">
        <v>18</v>
      </c>
      <c r="AC4845">
        <v>137.17599999999999</v>
      </c>
      <c r="AD4845">
        <v>-0.139189599999999</v>
      </c>
      <c r="AE4845">
        <v>10.6817799999999</v>
      </c>
      <c r="AF4845">
        <v>-82.028430095564303</v>
      </c>
      <c r="AG4845">
        <v>-0.139189599999999</v>
      </c>
      <c r="AH4845">
        <v>110.46562048255301</v>
      </c>
      <c r="AI4845">
        <v>90.057961399238593</v>
      </c>
      <c r="AJ4845">
        <v>126.596463082773</v>
      </c>
      <c r="AK4845">
        <v>137.59119167404199</v>
      </c>
      <c r="AL4845">
        <v>91.273050788139003</v>
      </c>
      <c r="AM4845">
        <v>104.76483942294099</v>
      </c>
      <c r="AN4845">
        <v>1.0000000149841699</v>
      </c>
    </row>
    <row r="4846" spans="1:40" x14ac:dyDescent="0.3">
      <c r="A4846" t="str">
        <f>"20200111160600412"</f>
        <v>20200111160600412</v>
      </c>
      <c r="B4846" t="str">
        <f>"1578729960407103"</f>
        <v>1578729960407103</v>
      </c>
      <c r="C4846" t="s">
        <v>40</v>
      </c>
      <c r="D4846">
        <v>5.6456339999999896</v>
      </c>
      <c r="E4846">
        <v>0.45240200000000003</v>
      </c>
      <c r="F4846" t="s">
        <v>67</v>
      </c>
      <c r="G4846">
        <v>-404.29500000000002</v>
      </c>
      <c r="H4846" s="1">
        <v>-4.7876729999999901E-6</v>
      </c>
      <c r="I4846">
        <v>23.246130000000001</v>
      </c>
      <c r="J4846">
        <v>-413.21769999999998</v>
      </c>
      <c r="K4846">
        <v>1.11737</v>
      </c>
      <c r="L4846">
        <v>24.56467</v>
      </c>
      <c r="M4846">
        <v>0.85039359999999997</v>
      </c>
      <c r="N4846">
        <v>0</v>
      </c>
      <c r="O4846">
        <v>-0.52592839999999996</v>
      </c>
      <c r="P4846">
        <v>0.95497929999999998</v>
      </c>
      <c r="Q4846">
        <v>-3.2890059999999999E-2</v>
      </c>
      <c r="R4846">
        <v>-0.29484389999999999</v>
      </c>
      <c r="S4846">
        <v>2.990875</v>
      </c>
      <c r="T4846">
        <v>-0.37116320000000003</v>
      </c>
      <c r="U4846">
        <v>-0.45172119999999999</v>
      </c>
      <c r="V4846">
        <v>-0.25121900000000003</v>
      </c>
      <c r="W4846">
        <v>-2.2279009999999998E-2</v>
      </c>
      <c r="X4846">
        <v>0.96767380000000003</v>
      </c>
      <c r="Y4846">
        <v>-0.386683</v>
      </c>
      <c r="Z4846">
        <v>8.519156E-2</v>
      </c>
      <c r="AA4846">
        <v>0.91826940000000001</v>
      </c>
      <c r="AB4846">
        <v>18</v>
      </c>
      <c r="AC4846">
        <v>8.9226999999999599</v>
      </c>
      <c r="AD4846">
        <v>-1.117374787673</v>
      </c>
      <c r="AE4846">
        <v>-1.31854</v>
      </c>
      <c r="AF4846">
        <v>-3.5178458372983199</v>
      </c>
      <c r="AG4846">
        <v>-1.117374787673</v>
      </c>
      <c r="AH4846">
        <v>8.1570313321610399</v>
      </c>
      <c r="AI4846">
        <v>97.169254639690294</v>
      </c>
      <c r="AJ4846">
        <v>113.328867760885</v>
      </c>
      <c r="AK4846">
        <v>8.9532634220702594</v>
      </c>
      <c r="AL4846">
        <v>91.276598916006193</v>
      </c>
      <c r="AM4846">
        <v>104.553350586261</v>
      </c>
      <c r="AN4846">
        <v>0.999999961727009</v>
      </c>
    </row>
    <row r="4847" spans="1:40" x14ac:dyDescent="0.3">
      <c r="A4847" t="str">
        <f>"20200111160600425"</f>
        <v>20200111160600425</v>
      </c>
      <c r="B4847" t="str">
        <f>"1578729960416863"</f>
        <v>1578729960416863</v>
      </c>
      <c r="C4847" t="s">
        <v>40</v>
      </c>
      <c r="D4847">
        <v>5.5202249999999999</v>
      </c>
      <c r="E4847">
        <v>0.45457019999999998</v>
      </c>
      <c r="F4847" t="s">
        <v>67</v>
      </c>
      <c r="G4847">
        <v>-404.07769999999999</v>
      </c>
      <c r="H4847" s="1">
        <v>-4.8454729999999999E-6</v>
      </c>
      <c r="I4847">
        <v>23.002140000000001</v>
      </c>
      <c r="J4847">
        <v>-413.13249999999999</v>
      </c>
      <c r="K4847">
        <v>1.1173139999999999</v>
      </c>
      <c r="L4847">
        <v>24.521789999999999</v>
      </c>
      <c r="M4847">
        <v>0.8542748</v>
      </c>
      <c r="N4847">
        <v>0</v>
      </c>
      <c r="O4847">
        <v>-0.51960090000000003</v>
      </c>
      <c r="P4847">
        <v>0.95605180000000001</v>
      </c>
      <c r="Q4847">
        <v>-3.2835160000000002E-2</v>
      </c>
      <c r="R4847">
        <v>-0.29135339999999998</v>
      </c>
      <c r="S4847">
        <v>2.9720759999999999</v>
      </c>
      <c r="T4847">
        <v>-0.36333690000000002</v>
      </c>
      <c r="U4847">
        <v>-0.50808719999999996</v>
      </c>
      <c r="V4847">
        <v>-0.24757509999999999</v>
      </c>
      <c r="W4847">
        <v>-2.2132639999999999E-2</v>
      </c>
      <c r="X4847">
        <v>0.96861589999999997</v>
      </c>
      <c r="Y4847">
        <v>-0.36231049999999998</v>
      </c>
      <c r="Z4847">
        <v>8.160365E-2</v>
      </c>
      <c r="AA4847">
        <v>0.92847829999999998</v>
      </c>
      <c r="AB4847">
        <v>18</v>
      </c>
      <c r="AC4847">
        <v>9.0548000000000002</v>
      </c>
      <c r="AD4847">
        <v>-1.1173188454730001</v>
      </c>
      <c r="AE4847">
        <v>-1.51964999999999</v>
      </c>
      <c r="AF4847">
        <v>-3.3573545492006498</v>
      </c>
      <c r="AG4847">
        <v>-1.1173188454730001</v>
      </c>
      <c r="AH4847">
        <v>8.4014579222188193</v>
      </c>
      <c r="AI4847">
        <v>97.040123287086004</v>
      </c>
      <c r="AJ4847">
        <v>111.78242563102501</v>
      </c>
      <c r="AK4847">
        <v>9.1161793636534298</v>
      </c>
      <c r="AL4847">
        <v>91.268210386525297</v>
      </c>
      <c r="AM4847">
        <v>104.337652299911</v>
      </c>
      <c r="AN4847">
        <v>1.0000000228130901</v>
      </c>
    </row>
    <row r="4848" spans="1:40" x14ac:dyDescent="0.3">
      <c r="A4848" t="str">
        <f>"20200111160600436"</f>
        <v>20200111160600436</v>
      </c>
      <c r="B4848" t="str">
        <f>"1578729960426623"</f>
        <v>1578729960426623</v>
      </c>
      <c r="C4848" t="s">
        <v>40</v>
      </c>
      <c r="D4848">
        <v>5.4147990000000004</v>
      </c>
      <c r="E4848">
        <v>0.45619609999999999</v>
      </c>
      <c r="F4848" t="s">
        <v>67</v>
      </c>
      <c r="G4848">
        <v>-403.98320000000001</v>
      </c>
      <c r="H4848" s="1">
        <v>-4.8781449999999997E-6</v>
      </c>
      <c r="I4848">
        <v>22.938410000000001</v>
      </c>
      <c r="J4848">
        <v>-413.05020000000002</v>
      </c>
      <c r="K4848">
        <v>1.117259</v>
      </c>
      <c r="L4848">
        <v>24.48141</v>
      </c>
      <c r="M4848">
        <v>0.85792800000000002</v>
      </c>
      <c r="N4848">
        <v>0</v>
      </c>
      <c r="O4848">
        <v>-0.51354690000000003</v>
      </c>
      <c r="P4848">
        <v>0.95719799999999999</v>
      </c>
      <c r="Q4848">
        <v>-3.2192930000000002E-2</v>
      </c>
      <c r="R4848">
        <v>-0.28763860000000002</v>
      </c>
      <c r="S4848">
        <v>2.9688720000000002</v>
      </c>
      <c r="T4848">
        <v>-0.36255939999999998</v>
      </c>
      <c r="U4848">
        <v>-0.51379390000000003</v>
      </c>
      <c r="V4848">
        <v>-0.2445118</v>
      </c>
      <c r="W4848">
        <v>-2.141156E-2</v>
      </c>
      <c r="X4848">
        <v>0.96940990000000005</v>
      </c>
      <c r="Y4848">
        <v>-0.35392570000000001</v>
      </c>
      <c r="Z4848">
        <v>8.0367709999999995E-2</v>
      </c>
      <c r="AA4848">
        <v>0.93181409999999998</v>
      </c>
      <c r="AB4848">
        <v>18</v>
      </c>
      <c r="AC4848">
        <v>9.0670000000000002</v>
      </c>
      <c r="AD4848">
        <v>-1.1172638781449999</v>
      </c>
      <c r="AE4848">
        <v>-1.5429999999999899</v>
      </c>
      <c r="AF4848">
        <v>-3.2844612891779201</v>
      </c>
      <c r="AG4848">
        <v>-1.1172638781449999</v>
      </c>
      <c r="AH4848">
        <v>8.4475610842473703</v>
      </c>
      <c r="AI4848">
        <v>97.027355489167505</v>
      </c>
      <c r="AJ4848">
        <v>111.24637334495</v>
      </c>
      <c r="AK4848">
        <v>9.1322096343440702</v>
      </c>
      <c r="AL4848">
        <v>91.226885760196794</v>
      </c>
      <c r="AM4848">
        <v>104.156297309748</v>
      </c>
      <c r="AN4848">
        <v>1.0000000147294399</v>
      </c>
    </row>
    <row r="4849" spans="1:40" x14ac:dyDescent="0.3">
      <c r="A4849" t="str">
        <f>"20200111160600454"</f>
        <v>20200111160600454</v>
      </c>
      <c r="B4849" t="str">
        <f>"1578729960447122"</f>
        <v>1578729960447122</v>
      </c>
      <c r="C4849" t="s">
        <v>40</v>
      </c>
      <c r="D4849">
        <v>5.4679190000000002</v>
      </c>
      <c r="E4849">
        <v>0.45801340000000001</v>
      </c>
      <c r="F4849" t="s">
        <v>67</v>
      </c>
      <c r="G4849">
        <v>-403.7636</v>
      </c>
      <c r="H4849" s="1">
        <v>-4.968249E-6</v>
      </c>
      <c r="I4849">
        <v>22.869969999999999</v>
      </c>
      <c r="J4849">
        <v>-412.92129999999997</v>
      </c>
      <c r="K4849">
        <v>1.117178</v>
      </c>
      <c r="L4849">
        <v>24.419309999999999</v>
      </c>
      <c r="M4849">
        <v>0.863500499999999</v>
      </c>
      <c r="N4849">
        <v>0</v>
      </c>
      <c r="O4849">
        <v>-0.50412179999999995</v>
      </c>
      <c r="P4849">
        <v>0.95860299999999998</v>
      </c>
      <c r="Q4849">
        <v>-3.067307E-2</v>
      </c>
      <c r="R4849">
        <v>-0.28308909999999998</v>
      </c>
      <c r="S4849">
        <v>2.967438</v>
      </c>
      <c r="T4849">
        <v>-0.35701139999999998</v>
      </c>
      <c r="U4849">
        <v>-0.51492309999999997</v>
      </c>
      <c r="V4849">
        <v>-0.23855190000000001</v>
      </c>
      <c r="W4849">
        <v>-1.9747710000000002E-2</v>
      </c>
      <c r="X4849">
        <v>0.97092900000000004</v>
      </c>
      <c r="Y4849">
        <v>-0.34355459999999999</v>
      </c>
      <c r="Z4849">
        <v>7.7604119999999999E-2</v>
      </c>
      <c r="AA4849">
        <v>0.93592089999999994</v>
      </c>
      <c r="AB4849">
        <v>18</v>
      </c>
      <c r="AC4849">
        <v>9.15769999999997</v>
      </c>
      <c r="AD4849">
        <v>-1.117182968249</v>
      </c>
      <c r="AE4849">
        <v>-1.5493399999999899</v>
      </c>
      <c r="AF4849">
        <v>-3.2323475642870299</v>
      </c>
      <c r="AG4849">
        <v>-1.117182968249</v>
      </c>
      <c r="AH4849">
        <v>8.5657927058506402</v>
      </c>
      <c r="AI4849">
        <v>96.957113175012594</v>
      </c>
      <c r="AJ4849">
        <v>110.674266427871</v>
      </c>
      <c r="AK4849">
        <v>9.2232842979332492</v>
      </c>
      <c r="AL4849">
        <v>91.131533931718906</v>
      </c>
      <c r="AM4849">
        <v>103.803832470835</v>
      </c>
      <c r="AN4849">
        <v>1.0000000520424199</v>
      </c>
    </row>
    <row r="4850" spans="1:40" x14ac:dyDescent="0.3">
      <c r="A4850" t="str">
        <f>"20200111160600467"</f>
        <v>20200111160600467</v>
      </c>
      <c r="B4850" t="str">
        <f>"1578729960456880"</f>
        <v>1578729960456880</v>
      </c>
      <c r="C4850" t="s">
        <v>40</v>
      </c>
      <c r="D4850">
        <v>5.31426</v>
      </c>
      <c r="E4850">
        <v>0.45912009999999998</v>
      </c>
      <c r="F4850" t="s">
        <v>67</v>
      </c>
      <c r="G4850">
        <v>-403.50659999999999</v>
      </c>
      <c r="H4850" s="1">
        <v>-5.0729540000000004E-6</v>
      </c>
      <c r="I4850">
        <v>22.78567</v>
      </c>
      <c r="J4850">
        <v>-412.83539999999999</v>
      </c>
      <c r="K4850">
        <v>1.117119</v>
      </c>
      <c r="L4850">
        <v>24.37866</v>
      </c>
      <c r="M4850">
        <v>0.86712099999999903</v>
      </c>
      <c r="N4850">
        <v>0</v>
      </c>
      <c r="O4850">
        <v>-0.49786930000000001</v>
      </c>
      <c r="P4850">
        <v>0.95987409999999995</v>
      </c>
      <c r="Q4850">
        <v>-2.9391299999999999E-2</v>
      </c>
      <c r="R4850">
        <v>-0.278887</v>
      </c>
      <c r="S4850">
        <v>2.966278</v>
      </c>
      <c r="T4850">
        <v>-0.35198879999999999</v>
      </c>
      <c r="U4850">
        <v>-0.51470950000000004</v>
      </c>
      <c r="V4850">
        <v>-0.23583280000000001</v>
      </c>
      <c r="W4850">
        <v>-1.8395459999999999E-2</v>
      </c>
      <c r="X4850">
        <v>0.97161949999999997</v>
      </c>
      <c r="Y4850">
        <v>-0.33700219999999997</v>
      </c>
      <c r="Z4850">
        <v>7.5533989999999995E-2</v>
      </c>
      <c r="AA4850">
        <v>0.93846909999999895</v>
      </c>
      <c r="AB4850">
        <v>18</v>
      </c>
      <c r="AC4850">
        <v>9.3287999999999993</v>
      </c>
      <c r="AD4850">
        <v>-1.117124072954</v>
      </c>
      <c r="AE4850">
        <v>-1.5929899999999999</v>
      </c>
      <c r="AF4850">
        <v>-3.2187299700185701</v>
      </c>
      <c r="AG4850">
        <v>-1.117124072954</v>
      </c>
      <c r="AH4850">
        <v>8.7612319702026298</v>
      </c>
      <c r="AI4850">
        <v>96.825046600548902</v>
      </c>
      <c r="AJ4850">
        <v>110.172487049311</v>
      </c>
      <c r="AK4850">
        <v>9.4003922497930805</v>
      </c>
      <c r="AL4850">
        <v>91.054041696182495</v>
      </c>
      <c r="AM4850">
        <v>103.643072055681</v>
      </c>
      <c r="AN4850">
        <v>0.99999997764235005</v>
      </c>
    </row>
    <row r="4851" spans="1:40" x14ac:dyDescent="0.3">
      <c r="A4851" t="str">
        <f>"20200111160600479"</f>
        <v>20200111160600479</v>
      </c>
      <c r="B4851" t="str">
        <f>"1578729960466639"</f>
        <v>1578729960466639</v>
      </c>
      <c r="C4851" t="s">
        <v>40</v>
      </c>
      <c r="D4851">
        <v>5.64689</v>
      </c>
      <c r="E4851">
        <v>0.46036250000000001</v>
      </c>
      <c r="F4851" t="s">
        <v>67</v>
      </c>
      <c r="G4851">
        <v>-403.3775</v>
      </c>
      <c r="H4851" s="1">
        <v>-5.1271789999999999E-6</v>
      </c>
      <c r="I4851">
        <v>22.752410000000001</v>
      </c>
      <c r="J4851">
        <v>-412.7509</v>
      </c>
      <c r="K4851">
        <v>1.117057</v>
      </c>
      <c r="L4851">
        <v>24.33954</v>
      </c>
      <c r="M4851">
        <v>0.87058969999999902</v>
      </c>
      <c r="N4851">
        <v>0</v>
      </c>
      <c r="O4851">
        <v>-0.49177959999999898</v>
      </c>
      <c r="P4851">
        <v>0.96104469999999997</v>
      </c>
      <c r="Q4851">
        <v>-2.8348479999999999E-2</v>
      </c>
      <c r="R4851">
        <v>-0.27493669999999998</v>
      </c>
      <c r="S4851">
        <v>2.9664609999999998</v>
      </c>
      <c r="T4851">
        <v>-0.350385</v>
      </c>
      <c r="U4851">
        <v>-0.51007079999999905</v>
      </c>
      <c r="V4851">
        <v>-0.23305390000000001</v>
      </c>
      <c r="W4851">
        <v>-1.7281890000000001E-2</v>
      </c>
      <c r="X4851">
        <v>0.97231020000000001</v>
      </c>
      <c r="Y4851">
        <v>-0.33195590000000003</v>
      </c>
      <c r="Z4851">
        <v>7.4292999999999998E-2</v>
      </c>
      <c r="AA4851">
        <v>0.9403648</v>
      </c>
      <c r="AB4851">
        <v>18</v>
      </c>
      <c r="AC4851">
        <v>9.3734000000000002</v>
      </c>
      <c r="AD4851">
        <v>-1.117062127179</v>
      </c>
      <c r="AE4851">
        <v>-1.5871299999999899</v>
      </c>
      <c r="AF4851">
        <v>-3.18430910778739</v>
      </c>
      <c r="AG4851">
        <v>-1.117062127179</v>
      </c>
      <c r="AH4851">
        <v>8.8201404917695907</v>
      </c>
      <c r="AI4851">
        <v>96.793257296815099</v>
      </c>
      <c r="AJ4851">
        <v>109.850952395885</v>
      </c>
      <c r="AK4851">
        <v>9.4436502785982501</v>
      </c>
      <c r="AL4851">
        <v>90.990228699111498</v>
      </c>
      <c r="AM4851">
        <v>103.478986141089</v>
      </c>
      <c r="AN4851">
        <v>0.99999995452560997</v>
      </c>
    </row>
    <row r="4852" spans="1:40" x14ac:dyDescent="0.3">
      <c r="A4852" t="str">
        <f>"20200111160600491"</f>
        <v>20200111160600491</v>
      </c>
      <c r="B4852" t="str">
        <f>"1578729960487135"</f>
        <v>1578729960487135</v>
      </c>
      <c r="C4852" t="s">
        <v>40</v>
      </c>
      <c r="D4852">
        <v>5.2468450000000004</v>
      </c>
      <c r="E4852">
        <v>0.46171699999999999</v>
      </c>
      <c r="F4852" t="s">
        <v>67</v>
      </c>
      <c r="G4852">
        <v>-403.11860000000001</v>
      </c>
      <c r="H4852" s="1">
        <v>-5.2369900000000002E-6</v>
      </c>
      <c r="I4852">
        <v>22.691849999999999</v>
      </c>
      <c r="J4852">
        <v>-412.67070000000001</v>
      </c>
      <c r="K4852">
        <v>1.116992</v>
      </c>
      <c r="L4852">
        <v>24.30301</v>
      </c>
      <c r="M4852">
        <v>0.87380279999999999</v>
      </c>
      <c r="N4852">
        <v>0</v>
      </c>
      <c r="O4852">
        <v>-0.48604779999999997</v>
      </c>
      <c r="P4852">
        <v>0.9620919</v>
      </c>
      <c r="Q4852">
        <v>-2.742692E-2</v>
      </c>
      <c r="R4852">
        <v>-0.27134350000000002</v>
      </c>
      <c r="S4852">
        <v>2.9663089999999999</v>
      </c>
      <c r="T4852">
        <v>-0.34400599999999998</v>
      </c>
      <c r="U4852">
        <v>-0.50741579999999997</v>
      </c>
      <c r="V4852">
        <v>-0.23032739999999999</v>
      </c>
      <c r="W4852">
        <v>-1.6291799999999999E-2</v>
      </c>
      <c r="X4852">
        <v>0.97297679999999998</v>
      </c>
      <c r="Y4852">
        <v>-0.32681890000000002</v>
      </c>
      <c r="Z4852">
        <v>7.2095859999999998E-2</v>
      </c>
      <c r="AA4852">
        <v>0.94233299999999998</v>
      </c>
      <c r="AB4852">
        <v>18</v>
      </c>
      <c r="AC4852">
        <v>9.5520999999999905</v>
      </c>
      <c r="AD4852">
        <v>-1.1169972369900001</v>
      </c>
      <c r="AE4852">
        <v>-1.6111599999999999</v>
      </c>
      <c r="AF4852">
        <v>-3.19285458426135</v>
      </c>
      <c r="AG4852">
        <v>-1.1169972369900001</v>
      </c>
      <c r="AH4852">
        <v>9.0109746915576991</v>
      </c>
      <c r="AI4852">
        <v>96.664321524858494</v>
      </c>
      <c r="AJ4852">
        <v>109.51074033099999</v>
      </c>
      <c r="AK4852">
        <v>9.6249502915898493</v>
      </c>
      <c r="AL4852">
        <v>90.933492684748302</v>
      </c>
      <c r="AM4852">
        <v>103.318148118292</v>
      </c>
      <c r="AN4852">
        <v>0.99999999363811898</v>
      </c>
    </row>
    <row r="4853" spans="1:40" x14ac:dyDescent="0.3">
      <c r="A4853" t="str">
        <f>"20200111160600502"</f>
        <v>20200111160600502</v>
      </c>
      <c r="B4853" t="str">
        <f>"1578729960496895"</f>
        <v>1578729960496895</v>
      </c>
      <c r="C4853" t="s">
        <v>40</v>
      </c>
      <c r="D4853">
        <v>5.4045319999999997</v>
      </c>
      <c r="E4853">
        <v>0.46253</v>
      </c>
      <c r="F4853" t="s">
        <v>67</v>
      </c>
      <c r="G4853">
        <v>-403.0299</v>
      </c>
      <c r="H4853" s="1">
        <v>-5.2720870000000002E-6</v>
      </c>
      <c r="I4853">
        <v>22.65681</v>
      </c>
      <c r="J4853">
        <v>-412.58479999999997</v>
      </c>
      <c r="K4853">
        <v>1.116919</v>
      </c>
      <c r="L4853">
        <v>24.264309999999998</v>
      </c>
      <c r="M4853">
        <v>0.87718059999999998</v>
      </c>
      <c r="N4853">
        <v>0</v>
      </c>
      <c r="O4853">
        <v>-0.47992580000000001</v>
      </c>
      <c r="P4853">
        <v>0.96323380000000003</v>
      </c>
      <c r="Q4853">
        <v>-2.682563E-2</v>
      </c>
      <c r="R4853">
        <v>-0.26732230000000001</v>
      </c>
      <c r="S4853">
        <v>2.965576</v>
      </c>
      <c r="T4853">
        <v>-0.34359339999999999</v>
      </c>
      <c r="U4853">
        <v>-0.5063782</v>
      </c>
      <c r="V4853">
        <v>-0.2276079</v>
      </c>
      <c r="W4853">
        <v>-1.562114E-2</v>
      </c>
      <c r="X4853">
        <v>0.97362760000000004</v>
      </c>
      <c r="Y4853">
        <v>-0.32057449999999998</v>
      </c>
      <c r="Z4853">
        <v>7.1060750000000006E-2</v>
      </c>
      <c r="AA4853">
        <v>0.94455409999999995</v>
      </c>
      <c r="AB4853">
        <v>18</v>
      </c>
      <c r="AC4853">
        <v>9.5548999999999698</v>
      </c>
      <c r="AD4853">
        <v>-1.1169242720870001</v>
      </c>
      <c r="AE4853">
        <v>-1.6074999999999999</v>
      </c>
      <c r="AF4853">
        <v>-3.1342834951041798</v>
      </c>
      <c r="AG4853">
        <v>-1.1169242720870001</v>
      </c>
      <c r="AH4853">
        <v>9.0338399117059094</v>
      </c>
      <c r="AI4853">
        <v>96.662372768069503</v>
      </c>
      <c r="AJ4853">
        <v>109.134176115579</v>
      </c>
      <c r="AK4853">
        <v>9.62712399460972</v>
      </c>
      <c r="AL4853">
        <v>90.8950617622218</v>
      </c>
      <c r="AM4853">
        <v>103.157913401134</v>
      </c>
      <c r="AN4853">
        <v>1.0000000398195299</v>
      </c>
    </row>
    <row r="4854" spans="1:40" x14ac:dyDescent="0.3">
      <c r="A4854" t="str">
        <f>"20200111160600516"</f>
        <v>20200111160600516</v>
      </c>
      <c r="B4854" t="str">
        <f>"1578729960506656"</f>
        <v>1578729960506656</v>
      </c>
      <c r="C4854" t="s">
        <v>40</v>
      </c>
      <c r="D4854">
        <v>5.653162</v>
      </c>
      <c r="E4854">
        <v>0.46310390000000001</v>
      </c>
      <c r="F4854" t="s">
        <v>67</v>
      </c>
      <c r="G4854">
        <v>-402.81939999999997</v>
      </c>
      <c r="H4854" s="1">
        <v>-5.3632690000000002E-6</v>
      </c>
      <c r="I4854">
        <v>22.61814</v>
      </c>
      <c r="J4854">
        <v>-412.48970000000003</v>
      </c>
      <c r="K4854">
        <v>1.1168260000000001</v>
      </c>
      <c r="L4854">
        <v>24.222529999999999</v>
      </c>
      <c r="M4854">
        <v>0.88079660000000004</v>
      </c>
      <c r="N4854">
        <v>0</v>
      </c>
      <c r="O4854">
        <v>-0.4732576</v>
      </c>
      <c r="P4854">
        <v>0.96455029999999997</v>
      </c>
      <c r="Q4854">
        <v>-2.6156249999999999E-2</v>
      </c>
      <c r="R4854">
        <v>-0.26260020000000001</v>
      </c>
      <c r="S4854">
        <v>2.966278</v>
      </c>
      <c r="T4854">
        <v>-0.33926919999999999</v>
      </c>
      <c r="U4854">
        <v>-0.50003050000000004</v>
      </c>
      <c r="V4854">
        <v>-0.22501350000000001</v>
      </c>
      <c r="W4854">
        <v>-1.4882080000000001E-2</v>
      </c>
      <c r="X4854">
        <v>0.97424200000000005</v>
      </c>
      <c r="Y4854">
        <v>-0.31558219999999998</v>
      </c>
      <c r="Z4854">
        <v>6.9231409999999993E-2</v>
      </c>
      <c r="AA4854">
        <v>0.94636929999999997</v>
      </c>
      <c r="AB4854">
        <v>18</v>
      </c>
      <c r="AC4854">
        <v>9.6703000000000507</v>
      </c>
      <c r="AD4854">
        <v>-1.1168313632689999</v>
      </c>
      <c r="AE4854">
        <v>-1.60438999999999</v>
      </c>
      <c r="AF4854">
        <v>-3.1232150775597001</v>
      </c>
      <c r="AG4854">
        <v>-1.1168313632689999</v>
      </c>
      <c r="AH4854">
        <v>9.1590075087572291</v>
      </c>
      <c r="AI4854">
        <v>96.583516301332807</v>
      </c>
      <c r="AJ4854">
        <v>108.829339942763</v>
      </c>
      <c r="AK4854">
        <v>9.74110893379952</v>
      </c>
      <c r="AL4854">
        <v>90.852711841155099</v>
      </c>
      <c r="AM4854">
        <v>103.005137335264</v>
      </c>
      <c r="AN4854">
        <v>1.0000000130256801</v>
      </c>
    </row>
    <row r="4855" spans="1:40" x14ac:dyDescent="0.3">
      <c r="A4855" t="str">
        <f>"20200111160600533"</f>
        <v>20200111160600533</v>
      </c>
      <c r="B4855" t="str">
        <f>"1578729960527151"</f>
        <v>1578729960527151</v>
      </c>
      <c r="C4855" t="s">
        <v>40</v>
      </c>
      <c r="D4855">
        <v>5.2463730000000002</v>
      </c>
      <c r="E4855">
        <v>0.4632773</v>
      </c>
      <c r="F4855" t="s">
        <v>67</v>
      </c>
      <c r="G4855">
        <v>-402.53429999999997</v>
      </c>
      <c r="H4855" s="1">
        <v>-5.4890889999999996E-6</v>
      </c>
      <c r="I4855">
        <v>22.579129999999999</v>
      </c>
      <c r="J4855">
        <v>-412.36329999999998</v>
      </c>
      <c r="K4855">
        <v>1.1166959999999999</v>
      </c>
      <c r="L4855">
        <v>24.167940000000002</v>
      </c>
      <c r="M4855">
        <v>0.8854573</v>
      </c>
      <c r="N4855">
        <v>0</v>
      </c>
      <c r="O4855">
        <v>-0.46448070000000002</v>
      </c>
      <c r="P4855">
        <v>0.9658371</v>
      </c>
      <c r="Q4855">
        <v>-2.503093E-2</v>
      </c>
      <c r="R4855">
        <v>-0.25793880000000002</v>
      </c>
      <c r="S4855">
        <v>2.9678650000000002</v>
      </c>
      <c r="T4855">
        <v>-0.3329474</v>
      </c>
      <c r="U4855">
        <v>-0.48992920000000001</v>
      </c>
      <c r="V4855">
        <v>-0.2200693</v>
      </c>
      <c r="W4855">
        <v>-1.3636580000000001E-2</v>
      </c>
      <c r="X4855">
        <v>0.9753889</v>
      </c>
      <c r="Y4855">
        <v>-0.3096276</v>
      </c>
      <c r="Z4855">
        <v>6.6753599999999996E-2</v>
      </c>
      <c r="AA4855">
        <v>0.94851180000000002</v>
      </c>
      <c r="AB4855">
        <v>18</v>
      </c>
      <c r="AC4855">
        <v>9.8290000000000006</v>
      </c>
      <c r="AD4855">
        <v>-1.1167014890889999</v>
      </c>
      <c r="AE4855">
        <v>-1.5888099999999901</v>
      </c>
      <c r="AF4855">
        <v>-3.1196667485136298</v>
      </c>
      <c r="AG4855">
        <v>-1.1167014890889999</v>
      </c>
      <c r="AH4855">
        <v>9.3248847589526207</v>
      </c>
      <c r="AI4855">
        <v>96.4792033698876</v>
      </c>
      <c r="AJ4855">
        <v>108.497811511309</v>
      </c>
      <c r="AK4855">
        <v>9.8961011820444806</v>
      </c>
      <c r="AL4855">
        <v>90.781342714081106</v>
      </c>
      <c r="AM4855">
        <v>102.714305610379</v>
      </c>
      <c r="AN4855">
        <v>0.99999997967989795</v>
      </c>
    </row>
    <row r="4856" spans="1:40" x14ac:dyDescent="0.3">
      <c r="A4856" t="str">
        <f>"20200111160600546"</f>
        <v>20200111160600546</v>
      </c>
      <c r="B4856" t="str">
        <f>"1578729960536911"</f>
        <v>1578729960536911</v>
      </c>
      <c r="C4856" t="s">
        <v>40</v>
      </c>
      <c r="D4856">
        <v>5.4318720000000003</v>
      </c>
      <c r="E4856">
        <v>0.46390680000000001</v>
      </c>
      <c r="F4856" t="s">
        <v>67</v>
      </c>
      <c r="G4856">
        <v>-402.29059999999998</v>
      </c>
      <c r="H4856" s="1">
        <v>-5.5979539999999996E-6</v>
      </c>
      <c r="I4856">
        <v>22.55273</v>
      </c>
      <c r="J4856">
        <v>-412.26909999999998</v>
      </c>
      <c r="K4856">
        <v>1.1165909999999999</v>
      </c>
      <c r="L4856">
        <v>24.128019999999999</v>
      </c>
      <c r="M4856">
        <v>0.88881589999999999</v>
      </c>
      <c r="N4856">
        <v>0</v>
      </c>
      <c r="O4856">
        <v>-0.45802179999999998</v>
      </c>
      <c r="P4856">
        <v>0.96703280000000003</v>
      </c>
      <c r="Q4856">
        <v>-2.458697E-2</v>
      </c>
      <c r="R4856">
        <v>-0.25346180000000001</v>
      </c>
      <c r="S4856">
        <v>2.9703979999999999</v>
      </c>
      <c r="T4856">
        <v>-0.32931070000000001</v>
      </c>
      <c r="U4856">
        <v>-0.47631839999999998</v>
      </c>
      <c r="V4856">
        <v>-0.21750079999999999</v>
      </c>
      <c r="W4856">
        <v>-1.312351E-2</v>
      </c>
      <c r="X4856">
        <v>0.9759719</v>
      </c>
      <c r="Y4856">
        <v>-0.30722110000000002</v>
      </c>
      <c r="Z4856">
        <v>6.5250660000000002E-2</v>
      </c>
      <c r="AA4856">
        <v>0.94939850000000003</v>
      </c>
      <c r="AB4856">
        <v>18</v>
      </c>
      <c r="AC4856">
        <v>9.9784999999999897</v>
      </c>
      <c r="AD4856">
        <v>-1.11659659795399</v>
      </c>
      <c r="AE4856">
        <v>-1.5752900000000001</v>
      </c>
      <c r="AF4856">
        <v>-3.1323121731765302</v>
      </c>
      <c r="AG4856">
        <v>-1.11659659795399</v>
      </c>
      <c r="AH4856">
        <v>9.4758645458854893</v>
      </c>
      <c r="AI4856">
        <v>96.383803834545205</v>
      </c>
      <c r="AJ4856">
        <v>108.29165836462499</v>
      </c>
      <c r="AK4856">
        <v>10.0424188522866</v>
      </c>
      <c r="AL4856">
        <v>90.751943330283595</v>
      </c>
      <c r="AM4856">
        <v>102.56338499413999</v>
      </c>
      <c r="AN4856">
        <v>0.99999998705248405</v>
      </c>
    </row>
    <row r="4857" spans="1:40" x14ac:dyDescent="0.3">
      <c r="A4857" t="str">
        <f>"20200111160600559"</f>
        <v>20200111160600559</v>
      </c>
      <c r="B4857" t="str">
        <f>"1578729960546672"</f>
        <v>1578729960546672</v>
      </c>
      <c r="C4857" t="s">
        <v>40</v>
      </c>
      <c r="D4857">
        <v>5.2822259999999996</v>
      </c>
      <c r="E4857">
        <v>0.4642076</v>
      </c>
      <c r="F4857" t="s">
        <v>67</v>
      </c>
      <c r="G4857">
        <v>-402.09280000000001</v>
      </c>
      <c r="H4857" s="1">
        <v>-5.6856539999999996E-6</v>
      </c>
      <c r="I4857">
        <v>22.527889999999999</v>
      </c>
      <c r="J4857">
        <v>-412.17849999999999</v>
      </c>
      <c r="K4857">
        <v>1.1164829999999999</v>
      </c>
      <c r="L4857">
        <v>24.09036</v>
      </c>
      <c r="M4857">
        <v>0.89194689999999999</v>
      </c>
      <c r="N4857">
        <v>0</v>
      </c>
      <c r="O4857">
        <v>-0.4518954</v>
      </c>
      <c r="P4857">
        <v>0.96817739999999997</v>
      </c>
      <c r="Q4857">
        <v>-2.4331200000000001E-2</v>
      </c>
      <c r="R4857">
        <v>-0.24907969999999999</v>
      </c>
      <c r="S4857">
        <v>2.9715880000000001</v>
      </c>
      <c r="T4857">
        <v>-0.32605659999999997</v>
      </c>
      <c r="U4857">
        <v>-0.46725460000000002</v>
      </c>
      <c r="V4857">
        <v>-0.21521560000000001</v>
      </c>
      <c r="W4857">
        <v>-1.280544E-2</v>
      </c>
      <c r="X4857">
        <v>0.97648259999999998</v>
      </c>
      <c r="Y4857">
        <v>-0.30369760000000001</v>
      </c>
      <c r="Z4857">
        <v>6.3824220000000001E-2</v>
      </c>
      <c r="AA4857">
        <v>0.95062829999999998</v>
      </c>
      <c r="AB4857">
        <v>18</v>
      </c>
      <c r="AC4857">
        <v>10.0856999999999</v>
      </c>
      <c r="AD4857">
        <v>-1.1164886856539999</v>
      </c>
      <c r="AE4857">
        <v>-1.56247</v>
      </c>
      <c r="AF4857">
        <v>-3.1269698596770699</v>
      </c>
      <c r="AG4857">
        <v>-1.1164886856539999</v>
      </c>
      <c r="AH4857">
        <v>9.5883091519131902</v>
      </c>
      <c r="AI4857">
        <v>96.317170677346795</v>
      </c>
      <c r="AJ4857">
        <v>108.06234782754601</v>
      </c>
      <c r="AK4857">
        <v>10.1469285934801</v>
      </c>
      <c r="AL4857">
        <v>90.733717719468999</v>
      </c>
      <c r="AM4857">
        <v>102.429211773399</v>
      </c>
      <c r="AN4857">
        <v>1.00000000093985</v>
      </c>
    </row>
    <row r="4858" spans="1:40" x14ac:dyDescent="0.3">
      <c r="A4858" t="str">
        <f>"20200111160600577"</f>
        <v>20200111160600577</v>
      </c>
      <c r="B4858" t="str">
        <f>"1578729960567166"</f>
        <v>1578729960567166</v>
      </c>
      <c r="C4858" t="s">
        <v>40</v>
      </c>
      <c r="D4858">
        <v>5.432302</v>
      </c>
      <c r="E4858">
        <v>0.46507540000000003</v>
      </c>
      <c r="F4858" t="s">
        <v>67</v>
      </c>
      <c r="G4858">
        <v>-401.97739999999999</v>
      </c>
      <c r="H4858" s="1">
        <v>-5.7390869999999899E-6</v>
      </c>
      <c r="I4858">
        <v>22.526240000000001</v>
      </c>
      <c r="J4858">
        <v>-412.04230000000001</v>
      </c>
      <c r="K4858">
        <v>1.116322</v>
      </c>
      <c r="L4858">
        <v>24.03491</v>
      </c>
      <c r="M4858">
        <v>0.89648119999999998</v>
      </c>
      <c r="N4858">
        <v>0</v>
      </c>
      <c r="O4858">
        <v>-0.44283359999999999</v>
      </c>
      <c r="P4858">
        <v>0.96951149999999997</v>
      </c>
      <c r="Q4858">
        <v>-2.422815E-2</v>
      </c>
      <c r="R4858">
        <v>-0.24384549999999999</v>
      </c>
      <c r="S4858">
        <v>2.9731450000000001</v>
      </c>
      <c r="T4858">
        <v>-0.32540609999999998</v>
      </c>
      <c r="U4858">
        <v>-0.45587159999999899</v>
      </c>
      <c r="V4858">
        <v>-0.21060139999999999</v>
      </c>
      <c r="W4858">
        <v>-1.259064E-2</v>
      </c>
      <c r="X4858">
        <v>0.977491</v>
      </c>
      <c r="Y4858">
        <v>-0.29777239999999999</v>
      </c>
      <c r="Z4858">
        <v>6.2493880000000002E-2</v>
      </c>
      <c r="AA4858">
        <v>0.95258920000000002</v>
      </c>
      <c r="AB4858">
        <v>18</v>
      </c>
      <c r="AC4858">
        <v>10.0649</v>
      </c>
      <c r="AD4858">
        <v>-1.1163277390869999</v>
      </c>
      <c r="AE4858">
        <v>-1.50867</v>
      </c>
      <c r="AF4858">
        <v>-3.0680106172887802</v>
      </c>
      <c r="AG4858">
        <v>-1.1163277390869999</v>
      </c>
      <c r="AH4858">
        <v>9.5769254938925705</v>
      </c>
      <c r="AI4858">
        <v>96.3343128479423</v>
      </c>
      <c r="AJ4858">
        <v>107.763091353459</v>
      </c>
      <c r="AK4858">
        <v>10.118121302120301</v>
      </c>
      <c r="AL4858">
        <v>90.721409547847401</v>
      </c>
      <c r="AM4858">
        <v>102.158575826513</v>
      </c>
      <c r="AN4858">
        <v>1.0000000644892799</v>
      </c>
    </row>
    <row r="4859" spans="1:40" x14ac:dyDescent="0.3">
      <c r="A4859" t="str">
        <f>"20200111160600592"</f>
        <v>20200111160600592</v>
      </c>
      <c r="B4859" t="str">
        <f>"1578729960586687"</f>
        <v>1578729960586687</v>
      </c>
      <c r="C4859" t="s">
        <v>40</v>
      </c>
      <c r="D4859">
        <v>5.1152280000000001</v>
      </c>
      <c r="E4859">
        <v>0.4654199</v>
      </c>
      <c r="F4859" t="s">
        <v>67</v>
      </c>
      <c r="G4859">
        <v>-401.83479999999997</v>
      </c>
      <c r="H4859" s="1">
        <v>-5.8016639999999997E-6</v>
      </c>
      <c r="I4859">
        <v>22.50442</v>
      </c>
      <c r="J4859">
        <v>-411.94580000000002</v>
      </c>
      <c r="K4859">
        <v>1.1161989999999999</v>
      </c>
      <c r="L4859">
        <v>23.996369999999999</v>
      </c>
      <c r="M4859">
        <v>0.89956950000000002</v>
      </c>
      <c r="N4859">
        <v>0</v>
      </c>
      <c r="O4859">
        <v>-0.43652770000000002</v>
      </c>
      <c r="P4859">
        <v>0.97061140000000001</v>
      </c>
      <c r="Q4859">
        <v>-2.4300740000000001E-2</v>
      </c>
      <c r="R4859">
        <v>-0.23942240000000001</v>
      </c>
      <c r="S4859">
        <v>2.9740600000000001</v>
      </c>
      <c r="T4859">
        <v>-0.32525199999999999</v>
      </c>
      <c r="U4859">
        <v>-0.44592290000000001</v>
      </c>
      <c r="V4859">
        <v>-0.20819509999999999</v>
      </c>
      <c r="W4859">
        <v>-1.2599580000000001E-2</v>
      </c>
      <c r="X4859">
        <v>0.97800620000000005</v>
      </c>
      <c r="Y4859">
        <v>-0.29428670000000001</v>
      </c>
      <c r="Z4859">
        <v>6.1666749999999999E-2</v>
      </c>
      <c r="AA4859">
        <v>0.95372559999999995</v>
      </c>
      <c r="AB4859">
        <v>18</v>
      </c>
      <c r="AC4859">
        <v>10.111000000000001</v>
      </c>
      <c r="AD4859">
        <v>-1.116204801664</v>
      </c>
      <c r="AE4859">
        <v>-1.4919500000000001</v>
      </c>
      <c r="AF4859">
        <v>-3.0357456587428202</v>
      </c>
      <c r="AG4859">
        <v>-1.116204801664</v>
      </c>
      <c r="AH4859">
        <v>9.6329923002344202</v>
      </c>
      <c r="AI4859">
        <v>96.306460951128003</v>
      </c>
      <c r="AJ4859">
        <v>107.491748521209</v>
      </c>
      <c r="AK4859">
        <v>10.161506065549901</v>
      </c>
      <c r="AL4859">
        <v>90.721921831725993</v>
      </c>
      <c r="AM4859">
        <v>102.017569132609</v>
      </c>
      <c r="AN4859">
        <v>1.0000000381593099</v>
      </c>
    </row>
    <row r="4860" spans="1:40" x14ac:dyDescent="0.3">
      <c r="A4860" t="str">
        <f>"20200111160600603"</f>
        <v>20200111160600603</v>
      </c>
      <c r="B4860" t="str">
        <f>"1578729960596958"</f>
        <v>1578729960596958</v>
      </c>
      <c r="C4860" t="s">
        <v>40</v>
      </c>
      <c r="D4860">
        <v>5.2212430000000003</v>
      </c>
      <c r="E4860">
        <v>0.46568579999999998</v>
      </c>
      <c r="F4860" t="s">
        <v>67</v>
      </c>
      <c r="G4860">
        <v>-401.81560000000002</v>
      </c>
      <c r="H4860" s="1">
        <v>-5.8128079999999999E-6</v>
      </c>
      <c r="I4860">
        <v>22.516719999999999</v>
      </c>
      <c r="J4860">
        <v>-411.85509999999999</v>
      </c>
      <c r="K4860">
        <v>1.11608</v>
      </c>
      <c r="L4860">
        <v>23.960570000000001</v>
      </c>
      <c r="M4860">
        <v>0.90239159999999996</v>
      </c>
      <c r="N4860">
        <v>0</v>
      </c>
      <c r="O4860">
        <v>-0.4306643</v>
      </c>
      <c r="P4860">
        <v>0.97160000000000002</v>
      </c>
      <c r="Q4860">
        <v>-2.4448879999999999E-2</v>
      </c>
      <c r="R4860">
        <v>-0.23536360000000001</v>
      </c>
      <c r="S4860">
        <v>2.9754330000000002</v>
      </c>
      <c r="T4860">
        <v>-0.32785019999999998</v>
      </c>
      <c r="U4860">
        <v>-0.43460080000000001</v>
      </c>
      <c r="V4860">
        <v>-0.20591809999999999</v>
      </c>
      <c r="W4860">
        <v>-1.26877E-2</v>
      </c>
      <c r="X4860">
        <v>0.978487</v>
      </c>
      <c r="Y4860">
        <v>-0.29166799999999998</v>
      </c>
      <c r="Z4860">
        <v>6.143444E-2</v>
      </c>
      <c r="AA4860">
        <v>0.95454470000000002</v>
      </c>
      <c r="AB4860">
        <v>18</v>
      </c>
      <c r="AC4860">
        <v>10.039499999999901</v>
      </c>
      <c r="AD4860">
        <v>-1.116085812808</v>
      </c>
      <c r="AE4860">
        <v>-1.4438500000000001</v>
      </c>
      <c r="AF4860">
        <v>-2.98492285309701</v>
      </c>
      <c r="AG4860">
        <v>-1.116085812808</v>
      </c>
      <c r="AH4860">
        <v>9.5665945690222607</v>
      </c>
      <c r="AI4860">
        <v>96.354825189637694</v>
      </c>
      <c r="AJ4860">
        <v>107.328715060603</v>
      </c>
      <c r="AK4860">
        <v>10.083409325646601</v>
      </c>
      <c r="AL4860">
        <v>90.726971148510401</v>
      </c>
      <c r="AM4860">
        <v>101.88421925966701</v>
      </c>
      <c r="AN4860">
        <v>1.0000000254039401</v>
      </c>
    </row>
    <row r="4861" spans="1:40" x14ac:dyDescent="0.3">
      <c r="A4861" t="str">
        <f>"20200111160600621"</f>
        <v>20200111160600621</v>
      </c>
      <c r="B4861" t="str">
        <f>"1578729960617455"</f>
        <v>1578729960617455</v>
      </c>
      <c r="C4861" t="s">
        <v>40</v>
      </c>
      <c r="D4861">
        <v>5.1469870000000002</v>
      </c>
      <c r="E4861">
        <v>0.46617009999999998</v>
      </c>
      <c r="F4861" t="s">
        <v>67</v>
      </c>
      <c r="G4861">
        <v>-401.73649999999998</v>
      </c>
      <c r="H4861" s="1">
        <v>-5.8501239999999999E-6</v>
      </c>
      <c r="I4861">
        <v>22.51934</v>
      </c>
      <c r="J4861">
        <v>-411.7235</v>
      </c>
      <c r="K4861">
        <v>1.1158950000000001</v>
      </c>
      <c r="L4861">
        <v>23.909939999999999</v>
      </c>
      <c r="M4861">
        <v>0.90629139999999997</v>
      </c>
      <c r="N4861">
        <v>0</v>
      </c>
      <c r="O4861">
        <v>-0.42239779999999999</v>
      </c>
      <c r="P4861">
        <v>0.97272599999999998</v>
      </c>
      <c r="Q4861">
        <v>-2.5445860000000001E-2</v>
      </c>
      <c r="R4861">
        <v>-0.23055709999999999</v>
      </c>
      <c r="S4861">
        <v>2.9766849999999998</v>
      </c>
      <c r="T4861">
        <v>-0.32832879999999998</v>
      </c>
      <c r="U4861">
        <v>-0.42398069999999999</v>
      </c>
      <c r="V4861">
        <v>-0.20179259999999999</v>
      </c>
      <c r="W4861">
        <v>-1.3587159999999999E-2</v>
      </c>
      <c r="X4861">
        <v>0.97933409999999999</v>
      </c>
      <c r="Y4861">
        <v>-0.28638340000000001</v>
      </c>
      <c r="Z4861">
        <v>6.0414790000000003E-2</v>
      </c>
      <c r="AA4861">
        <v>0.95620850000000002</v>
      </c>
      <c r="AB4861">
        <v>18</v>
      </c>
      <c r="AC4861">
        <v>9.9870000000000196</v>
      </c>
      <c r="AD4861">
        <v>-1.115900850124</v>
      </c>
      <c r="AE4861">
        <v>-1.3905999999999901</v>
      </c>
      <c r="AF4861">
        <v>-2.9227219868015202</v>
      </c>
      <c r="AG4861">
        <v>-1.115900850124</v>
      </c>
      <c r="AH4861">
        <v>9.5229292077604697</v>
      </c>
      <c r="AI4861">
        <v>96.391800148265702</v>
      </c>
      <c r="AJ4861">
        <v>107.06199237586399</v>
      </c>
      <c r="AK4861">
        <v>10.0236579757819</v>
      </c>
      <c r="AL4861">
        <v>90.778510822462493</v>
      </c>
      <c r="AM4861">
        <v>101.642893952474</v>
      </c>
      <c r="AN4861">
        <v>1.00000007187721</v>
      </c>
    </row>
    <row r="4862" spans="1:40" x14ac:dyDescent="0.3">
      <c r="A4862" t="str">
        <f>"20200111160600634"</f>
        <v>20200111160600634</v>
      </c>
      <c r="B4862" t="str">
        <f>"1578729960627215"</f>
        <v>1578729960627215</v>
      </c>
      <c r="C4862" t="s">
        <v>40</v>
      </c>
      <c r="D4862">
        <v>5.1696059999999999</v>
      </c>
      <c r="E4862">
        <v>0.46629389999999998</v>
      </c>
      <c r="F4862" t="s">
        <v>67</v>
      </c>
      <c r="G4862">
        <v>-401.69529999999997</v>
      </c>
      <c r="H4862" s="1">
        <v>-5.8695549999999999E-6</v>
      </c>
      <c r="I4862">
        <v>22.520710000000001</v>
      </c>
      <c r="J4862">
        <v>-411.63749999999999</v>
      </c>
      <c r="K4862">
        <v>1.115775</v>
      </c>
      <c r="L4862">
        <v>23.877500000000001</v>
      </c>
      <c r="M4862">
        <v>0.90873419999999905</v>
      </c>
      <c r="N4862">
        <v>0</v>
      </c>
      <c r="O4862">
        <v>-0.41711779999999998</v>
      </c>
      <c r="P4862">
        <v>0.97362599999999999</v>
      </c>
      <c r="Q4862">
        <v>-2.594571E-2</v>
      </c>
      <c r="R4862">
        <v>-0.22667080000000001</v>
      </c>
      <c r="S4862">
        <v>2.9776919999999998</v>
      </c>
      <c r="T4862">
        <v>-0.33134469999999999</v>
      </c>
      <c r="U4862">
        <v>-0.41250609999999999</v>
      </c>
      <c r="V4862">
        <v>-0.19999729999999999</v>
      </c>
      <c r="W4862">
        <v>-1.4040550000000001E-2</v>
      </c>
      <c r="X4862">
        <v>0.97969589999999995</v>
      </c>
      <c r="Y4862">
        <v>-0.28443659999999998</v>
      </c>
      <c r="Z4862">
        <v>6.03343E-2</v>
      </c>
      <c r="AA4862">
        <v>0.95679440000000004</v>
      </c>
      <c r="AB4862">
        <v>18</v>
      </c>
      <c r="AC4862">
        <v>9.9422000000000104</v>
      </c>
      <c r="AD4862">
        <v>-1.115780869555</v>
      </c>
      <c r="AE4862">
        <v>-1.3567899999999999</v>
      </c>
      <c r="AF4862">
        <v>-2.8788248366686999</v>
      </c>
      <c r="AG4862">
        <v>-1.115780869555</v>
      </c>
      <c r="AH4862">
        <v>9.4845181387053596</v>
      </c>
      <c r="AI4862">
        <v>96.422803779874897</v>
      </c>
      <c r="AJ4862">
        <v>106.88455711638299</v>
      </c>
      <c r="AK4862">
        <v>9.9744014212641599</v>
      </c>
      <c r="AL4862">
        <v>90.804490645335804</v>
      </c>
      <c r="AM4862">
        <v>101.537953440233</v>
      </c>
      <c r="AN4862">
        <v>1.00000005676419</v>
      </c>
    </row>
    <row r="4863" spans="1:40" x14ac:dyDescent="0.3">
      <c r="A4863" t="str">
        <f>"20200111160600645"</f>
        <v>20200111160600645</v>
      </c>
      <c r="B4863" t="str">
        <f>"1578729960636974"</f>
        <v>1578729960636974</v>
      </c>
      <c r="C4863" t="s">
        <v>40</v>
      </c>
      <c r="D4863">
        <v>5.114401</v>
      </c>
      <c r="E4863">
        <v>0.46642119999999998</v>
      </c>
      <c r="F4863" t="s">
        <v>67</v>
      </c>
      <c r="G4863">
        <v>-401.68009999999998</v>
      </c>
      <c r="H4863" s="1">
        <v>-5.8792579999999999E-6</v>
      </c>
      <c r="I4863">
        <v>22.53547</v>
      </c>
      <c r="J4863">
        <v>-411.54860000000002</v>
      </c>
      <c r="K4863">
        <v>1.1156489999999999</v>
      </c>
      <c r="L4863">
        <v>23.844180000000001</v>
      </c>
      <c r="M4863">
        <v>0.91119989999999995</v>
      </c>
      <c r="N4863">
        <v>0</v>
      </c>
      <c r="O4863">
        <v>-0.41170469999999998</v>
      </c>
      <c r="P4863">
        <v>0.9745492</v>
      </c>
      <c r="Q4863">
        <v>-2.640298E-2</v>
      </c>
      <c r="R4863">
        <v>-0.2226139</v>
      </c>
      <c r="S4863">
        <v>2.9789119999999998</v>
      </c>
      <c r="T4863">
        <v>-0.33380169999999998</v>
      </c>
      <c r="U4863">
        <v>-0.40148929999999999</v>
      </c>
      <c r="V4863">
        <v>-0.19824259999999999</v>
      </c>
      <c r="W4863">
        <v>-1.4451429999999999E-2</v>
      </c>
      <c r="X4863">
        <v>0.98004650000000004</v>
      </c>
      <c r="Y4863">
        <v>-0.28224690000000002</v>
      </c>
      <c r="Z4863">
        <v>6.010778E-2</v>
      </c>
      <c r="AA4863">
        <v>0.95745690000000006</v>
      </c>
      <c r="AB4863">
        <v>18</v>
      </c>
      <c r="AC4863">
        <v>9.86850000000004</v>
      </c>
      <c r="AD4863">
        <v>-1.1156548792580001</v>
      </c>
      <c r="AE4863">
        <v>-1.30870999999999</v>
      </c>
      <c r="AF4863">
        <v>-2.83510988509253</v>
      </c>
      <c r="AG4863">
        <v>-1.1156548792580001</v>
      </c>
      <c r="AH4863">
        <v>9.4137622952216997</v>
      </c>
      <c r="AI4863">
        <v>96.474146093001096</v>
      </c>
      <c r="AJ4863">
        <v>106.760541766743</v>
      </c>
      <c r="AK4863">
        <v>9.8945163813649497</v>
      </c>
      <c r="AL4863">
        <v>90.828034722907006</v>
      </c>
      <c r="AM4863">
        <v>101.43541946501099</v>
      </c>
      <c r="AN4863">
        <v>1.0000000572230201</v>
      </c>
    </row>
    <row r="4864" spans="1:40" x14ac:dyDescent="0.3">
      <c r="A4864" t="str">
        <f>"20200111160600657"</f>
        <v>20200111160600657</v>
      </c>
      <c r="B4864" t="str">
        <f>"1578729960646734"</f>
        <v>1578729960646734</v>
      </c>
      <c r="C4864" t="s">
        <v>40</v>
      </c>
      <c r="D4864">
        <v>5.6816899999999997</v>
      </c>
      <c r="E4864">
        <v>0.46642119999999998</v>
      </c>
      <c r="F4864" t="s">
        <v>67</v>
      </c>
      <c r="G4864">
        <v>-401.67610000000002</v>
      </c>
      <c r="H4864" s="1">
        <v>-5.8840849999999999E-6</v>
      </c>
      <c r="I4864">
        <v>22.552140000000001</v>
      </c>
      <c r="J4864">
        <v>-411.46460000000002</v>
      </c>
      <c r="K4864">
        <v>1.115524</v>
      </c>
      <c r="L4864">
        <v>23.81335</v>
      </c>
      <c r="M4864">
        <v>0.91342869999999998</v>
      </c>
      <c r="N4864">
        <v>0</v>
      </c>
      <c r="O4864">
        <v>-0.40673730000000002</v>
      </c>
      <c r="P4864">
        <v>0.97537169999999895</v>
      </c>
      <c r="Q4864">
        <v>-2.650719E-2</v>
      </c>
      <c r="R4864">
        <v>-0.21896879999999999</v>
      </c>
      <c r="S4864">
        <v>2.9801030000000002</v>
      </c>
      <c r="T4864">
        <v>-0.33677109999999999</v>
      </c>
      <c r="U4864">
        <v>-0.39001459999999999</v>
      </c>
      <c r="V4864">
        <v>-0.19657240000000001</v>
      </c>
      <c r="W4864">
        <v>-1.4511100000000001E-2</v>
      </c>
      <c r="X4864">
        <v>0.98038190000000003</v>
      </c>
      <c r="Y4864">
        <v>-0.2806652</v>
      </c>
      <c r="Z4864">
        <v>6.0041320000000002E-2</v>
      </c>
      <c r="AA4864">
        <v>0.9579259</v>
      </c>
      <c r="AB4864">
        <v>18</v>
      </c>
      <c r="AC4864">
        <v>9.7885000000000009</v>
      </c>
      <c r="AD4864">
        <v>-1.1155298840850001</v>
      </c>
      <c r="AE4864">
        <v>-1.2612099999999999</v>
      </c>
      <c r="AF4864">
        <v>-2.7939297313079301</v>
      </c>
      <c r="AG4864">
        <v>-1.1155298840850001</v>
      </c>
      <c r="AH4864">
        <v>9.3358138378604796</v>
      </c>
      <c r="AI4864">
        <v>96.530391952306104</v>
      </c>
      <c r="AJ4864">
        <v>106.660868204087</v>
      </c>
      <c r="AK4864">
        <v>9.8085610708686701</v>
      </c>
      <c r="AL4864">
        <v>90.831453988648605</v>
      </c>
      <c r="AM4864">
        <v>101.337803368602</v>
      </c>
      <c r="AN4864">
        <v>0.99999997515628902</v>
      </c>
    </row>
    <row r="4865" spans="1:40" x14ac:dyDescent="0.3">
      <c r="A4865" t="str">
        <f>"20200111160600669"</f>
        <v>20200111160600669</v>
      </c>
      <c r="B4865" t="str">
        <f>"1578729960657471"</f>
        <v>1578729960657471</v>
      </c>
      <c r="C4865" t="s">
        <v>40</v>
      </c>
      <c r="D4865">
        <v>5.1203450000000004</v>
      </c>
      <c r="E4865">
        <v>0.4665552</v>
      </c>
      <c r="F4865" t="s">
        <v>67</v>
      </c>
      <c r="G4865">
        <v>-401.59989999999999</v>
      </c>
      <c r="H4865" s="1">
        <v>-5.9209310000000001E-6</v>
      </c>
      <c r="I4865">
        <v>22.559699999999999</v>
      </c>
      <c r="J4865">
        <v>-411.38369999999998</v>
      </c>
      <c r="K4865">
        <v>1.1154040000000001</v>
      </c>
      <c r="L4865">
        <v>23.783909999999999</v>
      </c>
      <c r="M4865">
        <v>0.91551530000000003</v>
      </c>
      <c r="N4865">
        <v>0</v>
      </c>
      <c r="O4865">
        <v>-0.40202009999999999</v>
      </c>
      <c r="P4865">
        <v>0.97616519999999996</v>
      </c>
      <c r="Q4865">
        <v>-2.665648E-2</v>
      </c>
      <c r="R4865">
        <v>-0.21538589999999999</v>
      </c>
      <c r="S4865">
        <v>2.981506</v>
      </c>
      <c r="T4865">
        <v>-0.3371575</v>
      </c>
      <c r="U4865">
        <v>-0.37890629999999997</v>
      </c>
      <c r="V4865">
        <v>-0.1951147</v>
      </c>
      <c r="W4865">
        <v>-1.4619679999999999E-2</v>
      </c>
      <c r="X4865">
        <v>0.98067150000000003</v>
      </c>
      <c r="Y4865">
        <v>-0.27931270000000002</v>
      </c>
      <c r="Z4865">
        <v>5.954313E-2</v>
      </c>
      <c r="AA4865">
        <v>0.95835230000000005</v>
      </c>
      <c r="AB4865">
        <v>18</v>
      </c>
      <c r="AC4865">
        <v>9.7837999999999798</v>
      </c>
      <c r="AD4865">
        <v>-1.115409920931</v>
      </c>
      <c r="AE4865">
        <v>-1.22421</v>
      </c>
      <c r="AF4865">
        <v>-2.77725836447686</v>
      </c>
      <c r="AG4865">
        <v>-1.115409920931</v>
      </c>
      <c r="AH4865">
        <v>9.3309673371015496</v>
      </c>
      <c r="AI4865">
        <v>96.535953799896106</v>
      </c>
      <c r="AJ4865">
        <v>106.575049892292</v>
      </c>
      <c r="AK4865">
        <v>9.7991966385425702</v>
      </c>
      <c r="AL4865">
        <v>90.837675773546195</v>
      </c>
      <c r="AM4865">
        <v>101.252642020105</v>
      </c>
      <c r="AN4865">
        <v>1.0000000360558201</v>
      </c>
    </row>
    <row r="4866" spans="1:40" x14ac:dyDescent="0.3">
      <c r="A4866" t="str">
        <f>"20200111160600680"</f>
        <v>20200111160600680</v>
      </c>
      <c r="B4866" t="str">
        <f>"1578729960676990"</f>
        <v>1578729960676990</v>
      </c>
      <c r="C4866" t="s">
        <v>40</v>
      </c>
      <c r="D4866">
        <v>5.1794449999999896</v>
      </c>
      <c r="E4866">
        <v>0.46672580000000002</v>
      </c>
      <c r="F4866" t="s">
        <v>67</v>
      </c>
      <c r="G4866">
        <v>-401.56729999999999</v>
      </c>
      <c r="H4866" s="1">
        <v>-5.9377839999999997E-6</v>
      </c>
      <c r="I4866">
        <v>22.56916</v>
      </c>
      <c r="J4866">
        <v>-411.29059999999998</v>
      </c>
      <c r="K4866">
        <v>1.115265</v>
      </c>
      <c r="L4866">
        <v>23.750399999999999</v>
      </c>
      <c r="M4866">
        <v>0.91783400000000004</v>
      </c>
      <c r="N4866">
        <v>0</v>
      </c>
      <c r="O4866">
        <v>-0.39669929999999998</v>
      </c>
      <c r="P4866">
        <v>0.97706680000000001</v>
      </c>
      <c r="Q4866">
        <v>-2.6414610000000002E-2</v>
      </c>
      <c r="R4866">
        <v>-0.21128939999999999</v>
      </c>
      <c r="S4866">
        <v>2.9825439999999999</v>
      </c>
      <c r="T4866">
        <v>-0.33889829999999999</v>
      </c>
      <c r="U4866">
        <v>-0.36907960000000001</v>
      </c>
      <c r="V4866">
        <v>-0.19354640000000001</v>
      </c>
      <c r="W4866">
        <v>-1.4332350000000001E-2</v>
      </c>
      <c r="X4866">
        <v>0.98098640000000004</v>
      </c>
      <c r="Y4866">
        <v>-0.27689639999999999</v>
      </c>
      <c r="Z4866">
        <v>5.9159440000000001E-2</v>
      </c>
      <c r="AA4866">
        <v>0.95907690000000001</v>
      </c>
      <c r="AB4866">
        <v>18</v>
      </c>
      <c r="AC4866">
        <v>9.7232999999999894</v>
      </c>
      <c r="AD4866">
        <v>-1.115270937784</v>
      </c>
      <c r="AE4866">
        <v>-1.1812399999999901</v>
      </c>
      <c r="AF4866">
        <v>-2.73783992107334</v>
      </c>
      <c r="AG4866">
        <v>-1.115270937784</v>
      </c>
      <c r="AH4866">
        <v>9.2737274294813492</v>
      </c>
      <c r="AI4866">
        <v>96.579418507046299</v>
      </c>
      <c r="AJ4866">
        <v>106.44793923789599</v>
      </c>
      <c r="AK4866">
        <v>9.7335305585590692</v>
      </c>
      <c r="AL4866">
        <v>90.821211305902295</v>
      </c>
      <c r="AM4866">
        <v>101.160982256013</v>
      </c>
      <c r="AN4866">
        <v>0.99999997109722005</v>
      </c>
    </row>
    <row r="4867" spans="1:40" x14ac:dyDescent="0.3">
      <c r="A4867" t="str">
        <f>"20200111160600693"</f>
        <v>20200111160600693</v>
      </c>
      <c r="B4867" t="str">
        <f>"1578729960686750"</f>
        <v>1578729960686750</v>
      </c>
      <c r="C4867" t="s">
        <v>40</v>
      </c>
      <c r="D4867">
        <v>7.8546149999999901</v>
      </c>
      <c r="E4867">
        <v>0.46672580000000002</v>
      </c>
      <c r="F4867" t="s">
        <v>67</v>
      </c>
      <c r="G4867">
        <v>-401.46980000000002</v>
      </c>
      <c r="H4867" s="1">
        <v>-5.9836289999999999E-6</v>
      </c>
      <c r="I4867">
        <v>22.57169</v>
      </c>
      <c r="J4867">
        <v>-411.20639999999997</v>
      </c>
      <c r="K4867">
        <v>1.115135</v>
      </c>
      <c r="L4867">
        <v>23.720580000000002</v>
      </c>
      <c r="M4867">
        <v>0.91983590000000004</v>
      </c>
      <c r="N4867">
        <v>0</v>
      </c>
      <c r="O4867">
        <v>-0.39203680000000002</v>
      </c>
      <c r="P4867">
        <v>0.97781560000000001</v>
      </c>
      <c r="Q4867">
        <v>-2.6469309999999999E-2</v>
      </c>
      <c r="R4867">
        <v>-0.20779010000000001</v>
      </c>
      <c r="S4867">
        <v>2.9838260000000001</v>
      </c>
      <c r="T4867">
        <v>-0.3388506</v>
      </c>
      <c r="U4867">
        <v>-0.35812379999999999</v>
      </c>
      <c r="V4867">
        <v>-0.19208349999999999</v>
      </c>
      <c r="W4867">
        <v>-1.4344290000000001E-2</v>
      </c>
      <c r="X4867">
        <v>0.98127379999999997</v>
      </c>
      <c r="Y4867">
        <v>-0.27558080000000001</v>
      </c>
      <c r="Z4867">
        <v>5.8588220000000003E-2</v>
      </c>
      <c r="AA4867">
        <v>0.95949079999999998</v>
      </c>
      <c r="AB4867">
        <v>18</v>
      </c>
      <c r="AC4867">
        <v>9.7365999999999495</v>
      </c>
      <c r="AD4867">
        <v>-1.115140983629</v>
      </c>
      <c r="AE4867">
        <v>-1.14888999999999</v>
      </c>
      <c r="AF4867">
        <v>-2.72534552731367</v>
      </c>
      <c r="AG4867">
        <v>-1.115140983629</v>
      </c>
      <c r="AH4867">
        <v>9.2873131286577202</v>
      </c>
      <c r="AI4867">
        <v>96.572254706843793</v>
      </c>
      <c r="AJ4867">
        <v>106.35423248455</v>
      </c>
      <c r="AK4867">
        <v>9.7429581137535308</v>
      </c>
      <c r="AL4867">
        <v>90.821895422928506</v>
      </c>
      <c r="AM4867">
        <v>101.07555325782199</v>
      </c>
      <c r="AN4867">
        <v>1.00000005009714</v>
      </c>
    </row>
    <row r="4868" spans="1:40" x14ac:dyDescent="0.3">
      <c r="A4868" t="str">
        <f>"20200111160600711"</f>
        <v>20200111160600711</v>
      </c>
      <c r="B4868" t="str">
        <f>"1578729960706780"</f>
        <v>1578729960706780</v>
      </c>
      <c r="C4868" t="s">
        <v>40</v>
      </c>
      <c r="D4868">
        <v>5.1268630000000002</v>
      </c>
      <c r="E4868">
        <v>0.46741779999999999</v>
      </c>
      <c r="F4868" t="s">
        <v>67</v>
      </c>
      <c r="G4868">
        <v>-401.39049999999997</v>
      </c>
      <c r="H4868" s="1">
        <v>-6.0153779999999999E-6</v>
      </c>
      <c r="I4868">
        <v>22.577860000000001</v>
      </c>
      <c r="J4868">
        <v>-411.0677</v>
      </c>
      <c r="K4868">
        <v>1.1148940000000001</v>
      </c>
      <c r="L4868">
        <v>23.67212</v>
      </c>
      <c r="M4868">
        <v>0.92297609999999997</v>
      </c>
      <c r="N4868">
        <v>0</v>
      </c>
      <c r="O4868">
        <v>-0.38458819999999999</v>
      </c>
      <c r="P4868">
        <v>0.97872720000000002</v>
      </c>
      <c r="Q4868">
        <v>-2.671393E-2</v>
      </c>
      <c r="R4868">
        <v>-0.2034203</v>
      </c>
      <c r="S4868">
        <v>2.9850159999999999</v>
      </c>
      <c r="T4868">
        <v>-0.33911599999999997</v>
      </c>
      <c r="U4868">
        <v>-0.34750370000000003</v>
      </c>
      <c r="V4868">
        <v>-0.1885365</v>
      </c>
      <c r="W4868">
        <v>-1.4500010000000001E-2</v>
      </c>
      <c r="X4868">
        <v>0.98195920000000003</v>
      </c>
      <c r="Y4868">
        <v>-0.27128909999999901</v>
      </c>
      <c r="Z4868">
        <v>5.7611160000000002E-2</v>
      </c>
      <c r="AA4868">
        <v>0.96077219999999997</v>
      </c>
      <c r="AB4868">
        <v>18</v>
      </c>
      <c r="AC4868">
        <v>9.6772000000000205</v>
      </c>
      <c r="AD4868">
        <v>-1.114900015378</v>
      </c>
      <c r="AE4868">
        <v>-1.09425999999999</v>
      </c>
      <c r="AF4868">
        <v>-2.6769588919127498</v>
      </c>
      <c r="AG4868">
        <v>-1.114900015378</v>
      </c>
      <c r="AH4868">
        <v>9.2326335464265608</v>
      </c>
      <c r="AI4868">
        <v>96.6155905634172</v>
      </c>
      <c r="AJ4868">
        <v>106.169269102355</v>
      </c>
      <c r="AK4868">
        <v>9.6773257233536203</v>
      </c>
      <c r="AL4868">
        <v>90.830818435855093</v>
      </c>
      <c r="AM4868">
        <v>100.86854411315601</v>
      </c>
      <c r="AN4868">
        <v>1.0000000662934401</v>
      </c>
    </row>
    <row r="4869" spans="1:40" x14ac:dyDescent="0.3">
      <c r="A4869" t="str">
        <f>"20200111160600723"</f>
        <v>20200111160600723</v>
      </c>
      <c r="B4869" t="str">
        <f>"1578729960717516"</f>
        <v>1578729960717516</v>
      </c>
      <c r="C4869" t="s">
        <v>40</v>
      </c>
      <c r="D4869">
        <v>5.0839759999999998</v>
      </c>
      <c r="E4869">
        <v>0.46772190000000002</v>
      </c>
      <c r="F4869" t="s">
        <v>67</v>
      </c>
      <c r="G4869">
        <v>-401.36529999999999</v>
      </c>
      <c r="H4869" s="1">
        <v>-6.0227589999999997E-6</v>
      </c>
      <c r="I4869">
        <v>22.568380000000001</v>
      </c>
      <c r="J4869">
        <v>-410.9794</v>
      </c>
      <c r="K4869">
        <v>1.1147279999999999</v>
      </c>
      <c r="L4869">
        <v>23.641539999999999</v>
      </c>
      <c r="M4869">
        <v>0.92488760000000003</v>
      </c>
      <c r="N4869">
        <v>0</v>
      </c>
      <c r="O4869">
        <v>-0.37996960000000002</v>
      </c>
      <c r="P4869">
        <v>0.97932229999999998</v>
      </c>
      <c r="Q4869">
        <v>-2.6751859999999999E-2</v>
      </c>
      <c r="R4869">
        <v>-0.2005306</v>
      </c>
      <c r="S4869">
        <v>2.9852599999999998</v>
      </c>
      <c r="T4869">
        <v>-0.34303260000000002</v>
      </c>
      <c r="U4869">
        <v>-0.339599599999999</v>
      </c>
      <c r="V4869">
        <v>-0.18653069999999999</v>
      </c>
      <c r="W4869">
        <v>-1.448234E-2</v>
      </c>
      <c r="X4869">
        <v>0.98234239999999995</v>
      </c>
      <c r="Y4869">
        <v>-0.26894800000000002</v>
      </c>
      <c r="Z4869">
        <v>5.7659219999999997E-2</v>
      </c>
      <c r="AA4869">
        <v>0.96142729999999998</v>
      </c>
      <c r="AB4869">
        <v>18</v>
      </c>
      <c r="AC4869">
        <v>9.6141000000000005</v>
      </c>
      <c r="AD4869">
        <v>-1.1147340227589999</v>
      </c>
      <c r="AE4869">
        <v>-1.0731599999999999</v>
      </c>
      <c r="AF4869">
        <v>-2.6259193266431202</v>
      </c>
      <c r="AG4869">
        <v>-1.1147340227589999</v>
      </c>
      <c r="AH4869">
        <v>9.1788078537656403</v>
      </c>
      <c r="AI4869">
        <v>96.659829112138297</v>
      </c>
      <c r="AJ4869">
        <v>105.965031766979</v>
      </c>
      <c r="AK4869">
        <v>9.6118987649623193</v>
      </c>
      <c r="AL4869">
        <v>90.829805955310704</v>
      </c>
      <c r="AM4869">
        <v>100.751529454204</v>
      </c>
      <c r="AN4869">
        <v>1.00000001552606</v>
      </c>
    </row>
    <row r="4870" spans="1:40" x14ac:dyDescent="0.3">
      <c r="A4870" t="str">
        <f>"20200111160600735"</f>
        <v>20200111160600735</v>
      </c>
      <c r="B4870" t="str">
        <f>"1578729960727276"</f>
        <v>1578729960727276</v>
      </c>
      <c r="C4870" t="s">
        <v>40</v>
      </c>
      <c r="D4870">
        <v>5.1430040000000004</v>
      </c>
      <c r="E4870">
        <v>0.46796290000000001</v>
      </c>
      <c r="F4870" t="s">
        <v>67</v>
      </c>
      <c r="G4870">
        <v>-401.315</v>
      </c>
      <c r="H4870" s="1">
        <v>-6.0390239999999898E-6</v>
      </c>
      <c r="I4870">
        <v>22.563330000000001</v>
      </c>
      <c r="J4870">
        <v>-410.89870000000002</v>
      </c>
      <c r="K4870">
        <v>1.1145670000000001</v>
      </c>
      <c r="L4870">
        <v>23.614070000000002</v>
      </c>
      <c r="M4870">
        <v>0.92652040000000002</v>
      </c>
      <c r="N4870">
        <v>0</v>
      </c>
      <c r="O4870">
        <v>-0.37597199999999997</v>
      </c>
      <c r="P4870">
        <v>0.97978639999999995</v>
      </c>
      <c r="Q4870">
        <v>-2.6974390000000001E-2</v>
      </c>
      <c r="R4870">
        <v>-0.19821910000000001</v>
      </c>
      <c r="S4870">
        <v>2.9857179999999999</v>
      </c>
      <c r="T4870">
        <v>-0.34438400000000002</v>
      </c>
      <c r="U4870">
        <v>-0.33309939999999999</v>
      </c>
      <c r="V4870">
        <v>-0.18460699999999999</v>
      </c>
      <c r="W4870">
        <v>-1.465316E-2</v>
      </c>
      <c r="X4870">
        <v>0.9827032</v>
      </c>
      <c r="Y4870">
        <v>-0.26687959999999999</v>
      </c>
      <c r="Z4870">
        <v>5.7343369999999998E-2</v>
      </c>
      <c r="AA4870">
        <v>0.96202240000000006</v>
      </c>
      <c r="AB4870">
        <v>18</v>
      </c>
      <c r="AC4870">
        <v>9.5837000000000199</v>
      </c>
      <c r="AD4870">
        <v>-1.1145730390240001</v>
      </c>
      <c r="AE4870">
        <v>-1.05074</v>
      </c>
      <c r="AF4870">
        <v>-2.59525542067863</v>
      </c>
      <c r="AG4870">
        <v>-1.1145730390240001</v>
      </c>
      <c r="AH4870">
        <v>9.1531633062711393</v>
      </c>
      <c r="AI4870">
        <v>96.681808119088103</v>
      </c>
      <c r="AJ4870">
        <v>105.829966221768</v>
      </c>
      <c r="AK4870">
        <v>9.5790407802216606</v>
      </c>
      <c r="AL4870">
        <v>90.839594255647398</v>
      </c>
      <c r="AM4870">
        <v>100.63937589043501</v>
      </c>
      <c r="AN4870">
        <v>1.0000000194186101</v>
      </c>
    </row>
    <row r="4871" spans="1:40" x14ac:dyDescent="0.3">
      <c r="A4871" t="str">
        <f>"20200111160600746"</f>
        <v>20200111160600746</v>
      </c>
      <c r="B4871" t="str">
        <f>"1578729960737036"</f>
        <v>1578729960737036</v>
      </c>
      <c r="C4871" t="s">
        <v>40</v>
      </c>
      <c r="D4871">
        <v>5.2039540000000004</v>
      </c>
      <c r="E4871">
        <v>0.46823730000000002</v>
      </c>
      <c r="F4871" t="s">
        <v>67</v>
      </c>
      <c r="G4871">
        <v>-401.28500000000003</v>
      </c>
      <c r="H4871" s="1">
        <v>-6.0485419999999997E-6</v>
      </c>
      <c r="I4871">
        <v>22.558859999999999</v>
      </c>
      <c r="J4871">
        <v>-410.8073</v>
      </c>
      <c r="K4871">
        <v>1.1143829999999999</v>
      </c>
      <c r="L4871">
        <v>23.583069999999999</v>
      </c>
      <c r="M4871">
        <v>0.92831870000000005</v>
      </c>
      <c r="N4871">
        <v>0</v>
      </c>
      <c r="O4871">
        <v>-0.37151210000000001</v>
      </c>
      <c r="P4871">
        <v>0.98029699999999997</v>
      </c>
      <c r="Q4871">
        <v>-2.7365589999999999E-2</v>
      </c>
      <c r="R4871">
        <v>-0.1956261</v>
      </c>
      <c r="S4871">
        <v>2.986084</v>
      </c>
      <c r="T4871">
        <v>-0.34619460000000002</v>
      </c>
      <c r="U4871">
        <v>-0.32775880000000002</v>
      </c>
      <c r="V4871">
        <v>-0.18248020000000001</v>
      </c>
      <c r="W4871">
        <v>-1.498496E-2</v>
      </c>
      <c r="X4871">
        <v>0.98309530000000001</v>
      </c>
      <c r="Y4871">
        <v>-0.263963</v>
      </c>
      <c r="Z4871">
        <v>5.699883E-2</v>
      </c>
      <c r="AA4871">
        <v>0.96284720000000001</v>
      </c>
      <c r="AB4871">
        <v>18</v>
      </c>
      <c r="AC4871">
        <v>9.5222999999999693</v>
      </c>
      <c r="AD4871">
        <v>-1.1143890485419901</v>
      </c>
      <c r="AE4871">
        <v>-1.0242100000000001</v>
      </c>
      <c r="AF4871">
        <v>-2.55255944658298</v>
      </c>
      <c r="AG4871">
        <v>-1.1143890485419901</v>
      </c>
      <c r="AH4871">
        <v>9.0979923070514701</v>
      </c>
      <c r="AI4871">
        <v>96.726033456592404</v>
      </c>
      <c r="AJ4871">
        <v>105.67215115264</v>
      </c>
      <c r="AK4871">
        <v>9.5147720255935706</v>
      </c>
      <c r="AL4871">
        <v>90.858607124650206</v>
      </c>
      <c r="AM4871">
        <v>100.515452320598</v>
      </c>
      <c r="AN4871">
        <v>0.99999997065016499</v>
      </c>
    </row>
    <row r="4872" spans="1:40" x14ac:dyDescent="0.3">
      <c r="A4872" t="str">
        <f>"20200111160600758"</f>
        <v>20200111160600758</v>
      </c>
      <c r="B4872" t="str">
        <f>"1578729960746796"</f>
        <v>1578729960746796</v>
      </c>
      <c r="C4872" t="s">
        <v>40</v>
      </c>
      <c r="D4872">
        <v>5.3168110000000004</v>
      </c>
      <c r="E4872">
        <v>0.46823730000000002</v>
      </c>
      <c r="F4872" t="s">
        <v>67</v>
      </c>
      <c r="G4872">
        <v>-401.26499999999999</v>
      </c>
      <c r="H4872" s="1">
        <v>-6.0548120000000004E-6</v>
      </c>
      <c r="I4872">
        <v>22.555</v>
      </c>
      <c r="J4872">
        <v>-410.71800000000002</v>
      </c>
      <c r="K4872">
        <v>1.1141859999999999</v>
      </c>
      <c r="L4872">
        <v>23.553100000000001</v>
      </c>
      <c r="M4872">
        <v>0.92996939999999995</v>
      </c>
      <c r="N4872">
        <v>0</v>
      </c>
      <c r="O4872">
        <v>-0.36736220000000003</v>
      </c>
      <c r="P4872">
        <v>0.98070000000000002</v>
      </c>
      <c r="Q4872">
        <v>-2.759936E-2</v>
      </c>
      <c r="R4872">
        <v>-0.19356029999999999</v>
      </c>
      <c r="S4872">
        <v>2.9863590000000002</v>
      </c>
      <c r="T4872">
        <v>-0.34876079999999998</v>
      </c>
      <c r="U4872">
        <v>-0.3217468</v>
      </c>
      <c r="V4872">
        <v>-0.1801625</v>
      </c>
      <c r="W4872">
        <v>-1.515442E-2</v>
      </c>
      <c r="X4872">
        <v>0.98352010000000001</v>
      </c>
      <c r="Y4872">
        <v>-0.26156309999999999</v>
      </c>
      <c r="Z4872">
        <v>5.6834999999999997E-2</v>
      </c>
      <c r="AA4872">
        <v>0.96351160000000002</v>
      </c>
      <c r="AB4872">
        <v>18</v>
      </c>
      <c r="AC4872">
        <v>9.4530000000000296</v>
      </c>
      <c r="AD4872">
        <v>-1.1141920548119999</v>
      </c>
      <c r="AE4872">
        <v>-0.99809999999999999</v>
      </c>
      <c r="AF4872">
        <v>-2.5102403082126998</v>
      </c>
      <c r="AG4872">
        <v>-1.1141920548119999</v>
      </c>
      <c r="AH4872">
        <v>9.0344621226273496</v>
      </c>
      <c r="AI4872">
        <v>96.776419755141504</v>
      </c>
      <c r="AJ4872">
        <v>105.528040888148</v>
      </c>
      <c r="AK4872">
        <v>9.4426816204492603</v>
      </c>
      <c r="AL4872">
        <v>90.868317557963294</v>
      </c>
      <c r="AM4872">
        <v>100.380430516949</v>
      </c>
      <c r="AN4872">
        <v>0.99999998497789799</v>
      </c>
    </row>
    <row r="4873" spans="1:40" x14ac:dyDescent="0.3">
      <c r="A4873" t="str">
        <f>"20200111160600778"</f>
        <v>20200111160600778</v>
      </c>
      <c r="B4873" t="str">
        <f>"1578729960767291"</f>
        <v>1578729960767291</v>
      </c>
      <c r="C4873" t="s">
        <v>40</v>
      </c>
      <c r="D4873">
        <v>5.8652559999999996</v>
      </c>
      <c r="E4873">
        <v>0.47077000000000002</v>
      </c>
      <c r="F4873" t="s">
        <v>67</v>
      </c>
      <c r="G4873">
        <v>-401.19110000000001</v>
      </c>
      <c r="H4873" s="1">
        <v>-6.0786809999999996E-6</v>
      </c>
      <c r="I4873">
        <v>22.547339999999998</v>
      </c>
      <c r="J4873">
        <v>-410.58030000000002</v>
      </c>
      <c r="K4873">
        <v>1.1138729999999999</v>
      </c>
      <c r="L4873">
        <v>23.507290000000001</v>
      </c>
      <c r="M4873">
        <v>0.93234309999999998</v>
      </c>
      <c r="N4873">
        <v>0</v>
      </c>
      <c r="O4873">
        <v>-0.36129800000000001</v>
      </c>
      <c r="P4873">
        <v>0.98099550000000002</v>
      </c>
      <c r="Q4873">
        <v>-2.8641880000000002E-2</v>
      </c>
      <c r="R4873">
        <v>-0.1919044</v>
      </c>
      <c r="S4873">
        <v>2.9869690000000002</v>
      </c>
      <c r="T4873">
        <v>-0.34933579999999997</v>
      </c>
      <c r="U4873">
        <v>-0.31533810000000001</v>
      </c>
      <c r="V4873">
        <v>-0.17540849999999999</v>
      </c>
      <c r="W4873">
        <v>-1.6085829999999999E-2</v>
      </c>
      <c r="X4873">
        <v>0.98436429999999997</v>
      </c>
      <c r="Y4873">
        <v>-0.25739649999999997</v>
      </c>
      <c r="Z4873">
        <v>5.602617E-2</v>
      </c>
      <c r="AA4873">
        <v>0.96468030000000005</v>
      </c>
      <c r="AB4873">
        <v>18</v>
      </c>
      <c r="AC4873">
        <v>9.3892000000000095</v>
      </c>
      <c r="AD4873">
        <v>-1.113879078681</v>
      </c>
      <c r="AE4873">
        <v>-0.95995000000000197</v>
      </c>
      <c r="AF4873">
        <v>-2.4632372356841099</v>
      </c>
      <c r="AG4873">
        <v>-1.113879078681</v>
      </c>
      <c r="AH4873">
        <v>8.9766635021908598</v>
      </c>
      <c r="AI4873">
        <v>96.823719794814295</v>
      </c>
      <c r="AJ4873">
        <v>105.34452789732001</v>
      </c>
      <c r="AK4873">
        <v>9.3749001014810496</v>
      </c>
      <c r="AL4873">
        <v>90.921689933765904</v>
      </c>
      <c r="AM4873">
        <v>100.103752297515</v>
      </c>
      <c r="AN4873">
        <v>0.99999998545676405</v>
      </c>
    </row>
    <row r="4874" spans="1:40" x14ac:dyDescent="0.3">
      <c r="A4874" t="str">
        <f>"20200111160600790"</f>
        <v>20200111160600790</v>
      </c>
      <c r="B4874" t="str">
        <f>"1578729960786811"</f>
        <v>1578729960786811</v>
      </c>
      <c r="C4874" t="s">
        <v>40</v>
      </c>
      <c r="D4874">
        <v>5.1086309999999999</v>
      </c>
      <c r="E4874">
        <v>0.48378320000000002</v>
      </c>
      <c r="F4874" t="s">
        <v>82</v>
      </c>
      <c r="G4874">
        <v>-252.1508</v>
      </c>
      <c r="H4874">
        <v>0.96108950000000004</v>
      </c>
      <c r="I4874">
        <v>4.8665330000000004</v>
      </c>
      <c r="J4874">
        <v>-410.49020000000002</v>
      </c>
      <c r="K4874">
        <v>1.113659</v>
      </c>
      <c r="L4874">
        <v>23.477540000000001</v>
      </c>
      <c r="M4874">
        <v>0.93378320000000004</v>
      </c>
      <c r="N4874">
        <v>0</v>
      </c>
      <c r="O4874">
        <v>-0.35756189999999999</v>
      </c>
      <c r="P4874">
        <v>0.98129960000000005</v>
      </c>
      <c r="Q4874">
        <v>-2.927196E-2</v>
      </c>
      <c r="R4874">
        <v>-0.1902488</v>
      </c>
      <c r="S4874">
        <v>2.989258</v>
      </c>
      <c r="T4874">
        <v>-2.8827190000000002E-3</v>
      </c>
      <c r="U4874">
        <v>-0.3517151</v>
      </c>
      <c r="V4874">
        <v>-0.1731248</v>
      </c>
      <c r="W4874">
        <v>-1.665171E-2</v>
      </c>
      <c r="X4874">
        <v>0.98475919999999895</v>
      </c>
      <c r="Y4874">
        <v>-0.2460205</v>
      </c>
      <c r="Z4874">
        <v>4.542301E-4</v>
      </c>
      <c r="AA4874">
        <v>0.96926449999999997</v>
      </c>
      <c r="AB4874">
        <v>18</v>
      </c>
      <c r="AC4874">
        <v>158.33940000000001</v>
      </c>
      <c r="AD4874">
        <v>-0.152569499999999</v>
      </c>
      <c r="AE4874">
        <v>-18.611007000000001</v>
      </c>
      <c r="AF4874">
        <v>-39.241348491173099</v>
      </c>
      <c r="AG4874">
        <v>-0.152569499999999</v>
      </c>
      <c r="AH4874">
        <v>154.524448511126</v>
      </c>
      <c r="AI4874">
        <v>90.054830498616198</v>
      </c>
      <c r="AJ4874">
        <v>104.24900309326399</v>
      </c>
      <c r="AK4874">
        <v>159.42933198293699</v>
      </c>
      <c r="AL4874">
        <v>90.954116725680507</v>
      </c>
      <c r="AM4874">
        <v>99.970947285305201</v>
      </c>
      <c r="AN4874">
        <v>1.0000000789027901</v>
      </c>
    </row>
    <row r="4875" spans="1:40" x14ac:dyDescent="0.3">
      <c r="A4875" t="str">
        <f>"20200111160600801"</f>
        <v>20200111160600801</v>
      </c>
      <c r="B4875" t="str">
        <f>"1578729960797080"</f>
        <v>1578729960797080</v>
      </c>
      <c r="C4875" t="s">
        <v>40</v>
      </c>
      <c r="D4875">
        <v>5.8220689999999999</v>
      </c>
      <c r="E4875">
        <v>0.4846472</v>
      </c>
      <c r="F4875" t="s">
        <v>67</v>
      </c>
      <c r="G4875">
        <v>-401.67959999999999</v>
      </c>
      <c r="H4875" s="1">
        <v>-5.8219290000000003E-6</v>
      </c>
      <c r="I4875">
        <v>22.212230000000002</v>
      </c>
      <c r="J4875">
        <v>-410.40230000000003</v>
      </c>
      <c r="K4875">
        <v>1.1134459999999999</v>
      </c>
      <c r="L4875">
        <v>23.448640000000001</v>
      </c>
      <c r="M4875">
        <v>0.93511540000000004</v>
      </c>
      <c r="N4875">
        <v>0</v>
      </c>
      <c r="O4875">
        <v>-0.35406510000000002</v>
      </c>
      <c r="P4875">
        <v>0.98157629999999996</v>
      </c>
      <c r="Q4875">
        <v>-2.994867E-2</v>
      </c>
      <c r="R4875">
        <v>-0.18870919999999999</v>
      </c>
      <c r="S4875">
        <v>2.9635009999999999</v>
      </c>
      <c r="T4875">
        <v>-0.37458960000000002</v>
      </c>
      <c r="U4875">
        <v>-0.42559809999999998</v>
      </c>
      <c r="V4875">
        <v>-0.17098089999999999</v>
      </c>
      <c r="W4875">
        <v>-1.7266190000000001E-2</v>
      </c>
      <c r="X4875">
        <v>0.98512299999999997</v>
      </c>
      <c r="Y4875">
        <v>-0.21328359999999999</v>
      </c>
      <c r="Z4875">
        <v>5.6694090000000003E-2</v>
      </c>
      <c r="AA4875">
        <v>0.97534399999999999</v>
      </c>
      <c r="AB4875">
        <v>18</v>
      </c>
      <c r="AC4875">
        <v>8.7227000000000299</v>
      </c>
      <c r="AD4875">
        <v>-1.1134518219289999</v>
      </c>
      <c r="AE4875">
        <v>-1.23641</v>
      </c>
      <c r="AF4875">
        <v>-1.9020259375872299</v>
      </c>
      <c r="AG4875">
        <v>-1.1134518219289999</v>
      </c>
      <c r="AH4875">
        <v>8.4602081944548697</v>
      </c>
      <c r="AI4875">
        <v>97.317047426955895</v>
      </c>
      <c r="AJ4875">
        <v>102.670579273181</v>
      </c>
      <c r="AK4875">
        <v>8.7425740100117508</v>
      </c>
      <c r="AL4875">
        <v>90.989329018343099</v>
      </c>
      <c r="AM4875">
        <v>99.846338396469605</v>
      </c>
      <c r="AN4875">
        <v>0.99999995730546198</v>
      </c>
    </row>
    <row r="4876" spans="1:40" x14ac:dyDescent="0.3">
      <c r="A4876" t="str">
        <f>"20200111160600813"</f>
        <v>20200111160600813</v>
      </c>
      <c r="B4876" t="str">
        <f>"1578729960806841"</f>
        <v>1578729960806841</v>
      </c>
      <c r="C4876" t="s">
        <v>40</v>
      </c>
      <c r="D4876">
        <v>5.1145230000000002</v>
      </c>
      <c r="E4876">
        <v>0.48376560000000002</v>
      </c>
      <c r="F4876" t="s">
        <v>67</v>
      </c>
      <c r="G4876">
        <v>-401.37860000000001</v>
      </c>
      <c r="H4876" s="1">
        <v>-5.9499439999999999E-6</v>
      </c>
      <c r="I4876">
        <v>22.14358</v>
      </c>
      <c r="J4876">
        <v>-410.3186</v>
      </c>
      <c r="K4876">
        <v>1.1132329999999999</v>
      </c>
      <c r="L4876">
        <v>23.421230000000001</v>
      </c>
      <c r="M4876">
        <v>0.93626989999999999</v>
      </c>
      <c r="N4876">
        <v>0</v>
      </c>
      <c r="O4876">
        <v>-0.35100229999999999</v>
      </c>
      <c r="P4876">
        <v>0.9817787</v>
      </c>
      <c r="Q4876">
        <v>-3.0439790000000001E-2</v>
      </c>
      <c r="R4876">
        <v>-0.1875752</v>
      </c>
      <c r="S4876">
        <v>2.962799</v>
      </c>
      <c r="T4876">
        <v>-0.36558439999999998</v>
      </c>
      <c r="U4876">
        <v>-0.42849730000000003</v>
      </c>
      <c r="V4876">
        <v>-0.16889499999999999</v>
      </c>
      <c r="W4876">
        <v>-1.7697569999999999E-2</v>
      </c>
      <c r="X4876">
        <v>0.9854752</v>
      </c>
      <c r="Y4876">
        <v>-0.20936869999999999</v>
      </c>
      <c r="Z4876">
        <v>5.4758849999999998E-2</v>
      </c>
      <c r="AA4876">
        <v>0.97630229999999996</v>
      </c>
      <c r="AB4876">
        <v>18</v>
      </c>
      <c r="AC4876">
        <v>8.9399999999999906</v>
      </c>
      <c r="AD4876">
        <v>-1.1132389499440001</v>
      </c>
      <c r="AE4876">
        <v>-1.27764999999999</v>
      </c>
      <c r="AF4876">
        <v>-1.91285846268777</v>
      </c>
      <c r="AG4876">
        <v>-1.1132389499440001</v>
      </c>
      <c r="AH4876">
        <v>8.6875619685160199</v>
      </c>
      <c r="AI4876">
        <v>97.133143161176505</v>
      </c>
      <c r="AJ4876">
        <v>102.41745070615799</v>
      </c>
      <c r="AK4876">
        <v>8.9650466487773794</v>
      </c>
      <c r="AL4876">
        <v>91.014048959283897</v>
      </c>
      <c r="AM4876">
        <v>99.725115664097999</v>
      </c>
      <c r="AN4876">
        <v>1.0000000474119699</v>
      </c>
    </row>
    <row r="4877" spans="1:40" x14ac:dyDescent="0.3">
      <c r="A4877" t="str">
        <f>"20200111160600825"</f>
        <v>20200111160600825</v>
      </c>
      <c r="B4877" t="str">
        <f>"1578729960816601"</f>
        <v>1578729960816601</v>
      </c>
      <c r="C4877" t="s">
        <v>40</v>
      </c>
      <c r="D4877">
        <v>5.1844859999999997</v>
      </c>
      <c r="E4877">
        <v>0.48322209999999899</v>
      </c>
      <c r="F4877" t="s">
        <v>67</v>
      </c>
      <c r="G4877">
        <v>-401.49810000000002</v>
      </c>
      <c r="H4877" s="1">
        <v>-5.9003489999999999E-6</v>
      </c>
      <c r="I4877">
        <v>22.177779999999998</v>
      </c>
      <c r="J4877">
        <v>-410.22640000000001</v>
      </c>
      <c r="K4877">
        <v>1.112994</v>
      </c>
      <c r="L4877">
        <v>23.39114</v>
      </c>
      <c r="M4877">
        <v>0.93748690000000001</v>
      </c>
      <c r="N4877">
        <v>0</v>
      </c>
      <c r="O4877">
        <v>-0.34774090000000002</v>
      </c>
      <c r="P4877">
        <v>0.98206499999999997</v>
      </c>
      <c r="Q4877">
        <v>-3.0775130000000001E-2</v>
      </c>
      <c r="R4877">
        <v>-0.1860156</v>
      </c>
      <c r="S4877">
        <v>2.9642330000000001</v>
      </c>
      <c r="T4877">
        <v>-0.37411680000000003</v>
      </c>
      <c r="U4877">
        <v>-0.4178772</v>
      </c>
      <c r="V4877">
        <v>-0.1670335</v>
      </c>
      <c r="W4877">
        <v>-1.7970739999999999E-2</v>
      </c>
      <c r="X4877">
        <v>0.98578750000000004</v>
      </c>
      <c r="Y4877">
        <v>-0.20929639999999999</v>
      </c>
      <c r="Z4877">
        <v>5.5634200000000002E-2</v>
      </c>
      <c r="AA4877">
        <v>0.97626840000000004</v>
      </c>
      <c r="AB4877">
        <v>18</v>
      </c>
      <c r="AC4877">
        <v>8.7282999999999902</v>
      </c>
      <c r="AD4877">
        <v>-1.1129999003489901</v>
      </c>
      <c r="AE4877">
        <v>-1.21336</v>
      </c>
      <c r="AF4877">
        <v>-1.8680628917884601</v>
      </c>
      <c r="AG4877">
        <v>-1.1129999003489901</v>
      </c>
      <c r="AH4877">
        <v>8.4703195659532593</v>
      </c>
      <c r="AI4877">
        <v>97.312034905129096</v>
      </c>
      <c r="AJ4877">
        <v>102.43704662690701</v>
      </c>
      <c r="AK4877">
        <v>8.7449837790143796</v>
      </c>
      <c r="AL4877">
        <v>91.029702916765999</v>
      </c>
      <c r="AM4877">
        <v>99.616952154912497</v>
      </c>
      <c r="AN4877">
        <v>1.0000000663873201</v>
      </c>
    </row>
    <row r="4878" spans="1:40" x14ac:dyDescent="0.3">
      <c r="A4878" t="str">
        <f>"20200111160600837"</f>
        <v>20200111160600837</v>
      </c>
      <c r="B4878" t="str">
        <f>"1578729960827336"</f>
        <v>1578729960827336</v>
      </c>
      <c r="C4878" t="s">
        <v>40</v>
      </c>
      <c r="D4878">
        <v>5.1751469999999999</v>
      </c>
      <c r="E4878">
        <v>0.4830412</v>
      </c>
      <c r="F4878" t="s">
        <v>67</v>
      </c>
      <c r="G4878">
        <v>-401.52089999999998</v>
      </c>
      <c r="H4878" s="1">
        <v>-5.892044E-6</v>
      </c>
      <c r="I4878">
        <v>22.190809999999999</v>
      </c>
      <c r="J4878">
        <v>-410.13940000000002</v>
      </c>
      <c r="K4878">
        <v>1.1127609999999999</v>
      </c>
      <c r="L4878">
        <v>23.362850000000002</v>
      </c>
      <c r="M4878">
        <v>0.93851569999999995</v>
      </c>
      <c r="N4878">
        <v>0</v>
      </c>
      <c r="O4878">
        <v>-0.34495629999999999</v>
      </c>
      <c r="P4878">
        <v>0.98229409999999895</v>
      </c>
      <c r="Q4878">
        <v>-3.1009020000000002E-2</v>
      </c>
      <c r="R4878">
        <v>-0.18476190000000001</v>
      </c>
      <c r="S4878">
        <v>2.9653930000000002</v>
      </c>
      <c r="T4878">
        <v>-0.37912449999999998</v>
      </c>
      <c r="U4878">
        <v>-0.40887449999999997</v>
      </c>
      <c r="V4878">
        <v>-0.1653715</v>
      </c>
      <c r="W4878">
        <v>-1.8144899999999999E-2</v>
      </c>
      <c r="X4878">
        <v>0.98606439999999995</v>
      </c>
      <c r="Y4878">
        <v>-0.2092639</v>
      </c>
      <c r="Z4878">
        <v>5.6035349999999998E-2</v>
      </c>
      <c r="AA4878">
        <v>0.97625240000000002</v>
      </c>
      <c r="AB4878">
        <v>18</v>
      </c>
      <c r="AC4878">
        <v>8.61850000000004</v>
      </c>
      <c r="AD4878">
        <v>-1.1127668920439999</v>
      </c>
      <c r="AE4878">
        <v>-1.17204</v>
      </c>
      <c r="AF4878">
        <v>-1.84304280227178</v>
      </c>
      <c r="AG4878">
        <v>-1.1127668920439999</v>
      </c>
      <c r="AH4878">
        <v>8.3569381014624504</v>
      </c>
      <c r="AI4878">
        <v>97.408613129697002</v>
      </c>
      <c r="AJ4878">
        <v>102.436950568475</v>
      </c>
      <c r="AK4878">
        <v>8.6298013510572709</v>
      </c>
      <c r="AL4878">
        <v>91.039683260335906</v>
      </c>
      <c r="AM4878">
        <v>99.520398416784602</v>
      </c>
      <c r="AN4878">
        <v>0.99999998567780901</v>
      </c>
    </row>
    <row r="4879" spans="1:40" x14ac:dyDescent="0.3">
      <c r="A4879" t="str">
        <f>"20200111160600856"</f>
        <v>20200111160600856</v>
      </c>
      <c r="B4879" t="str">
        <f>"1578729960846859"</f>
        <v>1578729960846859</v>
      </c>
      <c r="C4879" t="s">
        <v>40</v>
      </c>
      <c r="D4879">
        <v>5.203951</v>
      </c>
      <c r="E4879">
        <v>0.48405569999999998</v>
      </c>
      <c r="F4879" t="s">
        <v>67</v>
      </c>
      <c r="G4879">
        <v>-401.57229999999998</v>
      </c>
      <c r="H4879" s="1">
        <v>-5.8691869999999898E-6</v>
      </c>
      <c r="I4879">
        <v>22.196929999999998</v>
      </c>
      <c r="J4879">
        <v>-409.99740000000003</v>
      </c>
      <c r="K4879">
        <v>1.1123879999999999</v>
      </c>
      <c r="L4879">
        <v>23.31662</v>
      </c>
      <c r="M4879">
        <v>0.94004219999999905</v>
      </c>
      <c r="N4879">
        <v>0</v>
      </c>
      <c r="O4879">
        <v>-0.34077770000000002</v>
      </c>
      <c r="P4879">
        <v>0.98251650000000001</v>
      </c>
      <c r="Q4879">
        <v>-3.0744589999999999E-2</v>
      </c>
      <c r="R4879">
        <v>-0.18362049999999999</v>
      </c>
      <c r="S4879">
        <v>2.9660340000000001</v>
      </c>
      <c r="T4879">
        <v>-0.38525219999999999</v>
      </c>
      <c r="U4879">
        <v>-0.40365600000000001</v>
      </c>
      <c r="V4879">
        <v>-0.16214990000000001</v>
      </c>
      <c r="W4879">
        <v>-1.7782659999999999E-2</v>
      </c>
      <c r="X4879">
        <v>0.98660590000000004</v>
      </c>
      <c r="Y4879">
        <v>-0.20654449999999999</v>
      </c>
      <c r="Z4879">
        <v>5.625078E-2</v>
      </c>
      <c r="AA4879">
        <v>0.97681890000000005</v>
      </c>
      <c r="AB4879">
        <v>18</v>
      </c>
      <c r="AC4879">
        <v>8.4251000000000396</v>
      </c>
      <c r="AD4879">
        <v>-1.1123938691869999</v>
      </c>
      <c r="AE4879">
        <v>-1.1196900000000001</v>
      </c>
      <c r="AF4879">
        <v>-1.78807411069552</v>
      </c>
      <c r="AG4879">
        <v>-1.1123938691869999</v>
      </c>
      <c r="AH4879">
        <v>8.1624834675471796</v>
      </c>
      <c r="AI4879">
        <v>97.5828914476471</v>
      </c>
      <c r="AJ4879">
        <v>102.356039991251</v>
      </c>
      <c r="AK4879">
        <v>8.4297547712567198</v>
      </c>
      <c r="AL4879">
        <v>91.018925064951603</v>
      </c>
      <c r="AM4879">
        <v>99.333195112350793</v>
      </c>
      <c r="AN4879">
        <v>1.00000000749074</v>
      </c>
    </row>
    <row r="4880" spans="1:40" x14ac:dyDescent="0.3">
      <c r="A4880" t="str">
        <f>"20200111160600869"</f>
        <v>20200111160600869</v>
      </c>
      <c r="B4880" t="str">
        <f>"1578729960867353"</f>
        <v>1578729960867353</v>
      </c>
      <c r="C4880" t="s">
        <v>40</v>
      </c>
      <c r="D4880">
        <v>5.207859</v>
      </c>
      <c r="E4880">
        <v>0.48495519999999998</v>
      </c>
      <c r="F4880" t="s">
        <v>67</v>
      </c>
      <c r="G4880">
        <v>-401.56349999999998</v>
      </c>
      <c r="H4880" s="1">
        <v>-5.8657939999999899E-6</v>
      </c>
      <c r="I4880">
        <v>22.154900000000001</v>
      </c>
      <c r="J4880">
        <v>-409.90699999999998</v>
      </c>
      <c r="K4880">
        <v>1.11216</v>
      </c>
      <c r="L4880">
        <v>23.287230000000001</v>
      </c>
      <c r="M4880">
        <v>0.94090910000000005</v>
      </c>
      <c r="N4880">
        <v>0</v>
      </c>
      <c r="O4880">
        <v>-0.33837850000000003</v>
      </c>
      <c r="P4880">
        <v>0.9827359</v>
      </c>
      <c r="Q4880">
        <v>-3.0803279999999999E-2</v>
      </c>
      <c r="R4880">
        <v>-0.1824325</v>
      </c>
      <c r="S4880">
        <v>2.9648129999999999</v>
      </c>
      <c r="T4880">
        <v>-0.39104699999999998</v>
      </c>
      <c r="U4880">
        <v>-0.40838619999999998</v>
      </c>
      <c r="V4880">
        <v>-0.16083439999999999</v>
      </c>
      <c r="W4880">
        <v>-1.7786099999999999E-2</v>
      </c>
      <c r="X4880">
        <v>0.98682110000000001</v>
      </c>
      <c r="Y4880">
        <v>-0.20238390000000001</v>
      </c>
      <c r="Z4880">
        <v>5.6536759999999998E-2</v>
      </c>
      <c r="AA4880">
        <v>0.97767289999999996</v>
      </c>
      <c r="AB4880">
        <v>18</v>
      </c>
      <c r="AC4880">
        <v>8.3435000000000006</v>
      </c>
      <c r="AD4880">
        <v>-1.1121658657939999</v>
      </c>
      <c r="AE4880">
        <v>-1.1323299999999901</v>
      </c>
      <c r="AF4880">
        <v>-1.72786276357788</v>
      </c>
      <c r="AG4880">
        <v>-1.1121658657939999</v>
      </c>
      <c r="AH4880">
        <v>8.0932128772451204</v>
      </c>
      <c r="AI4880">
        <v>97.654171715682196</v>
      </c>
      <c r="AJ4880">
        <v>102.05144989764101</v>
      </c>
      <c r="AK4880">
        <v>8.3500010370779307</v>
      </c>
      <c r="AL4880">
        <v>91.019122235396793</v>
      </c>
      <c r="AM4880">
        <v>99.256808561391097</v>
      </c>
      <c r="AN4880">
        <v>0.99999996649088896</v>
      </c>
    </row>
    <row r="4881" spans="1:40" x14ac:dyDescent="0.3">
      <c r="A4881" t="str">
        <f>"20200111160600881"</f>
        <v>20200111160600881</v>
      </c>
      <c r="B4881" t="str">
        <f>"1578729960877112"</f>
        <v>1578729960877112</v>
      </c>
      <c r="C4881" t="s">
        <v>40</v>
      </c>
      <c r="D4881">
        <v>5.1053110000000004</v>
      </c>
      <c r="E4881">
        <v>0.4851279</v>
      </c>
      <c r="F4881" t="s">
        <v>67</v>
      </c>
      <c r="G4881">
        <v>-401.61689999999999</v>
      </c>
      <c r="H4881" s="1">
        <v>-5.837516E-6</v>
      </c>
      <c r="I4881">
        <v>22.1358</v>
      </c>
      <c r="J4881">
        <v>-409.81189999999998</v>
      </c>
      <c r="K4881">
        <v>1.1119250000000001</v>
      </c>
      <c r="L4881">
        <v>23.25629</v>
      </c>
      <c r="M4881">
        <v>0.94173680000000004</v>
      </c>
      <c r="N4881">
        <v>0</v>
      </c>
      <c r="O4881">
        <v>-0.33606920000000001</v>
      </c>
      <c r="P4881">
        <v>0.98287800000000003</v>
      </c>
      <c r="Q4881">
        <v>-3.0962529999999999E-2</v>
      </c>
      <c r="R4881">
        <v>-0.1816372</v>
      </c>
      <c r="S4881">
        <v>2.9638059999999999</v>
      </c>
      <c r="T4881">
        <v>-0.39761350000000001</v>
      </c>
      <c r="U4881">
        <v>-0.41165160000000001</v>
      </c>
      <c r="V4881">
        <v>-0.1592199</v>
      </c>
      <c r="W4881">
        <v>-1.7887050000000002E-2</v>
      </c>
      <c r="X4881">
        <v>0.98708110000000004</v>
      </c>
      <c r="Y4881">
        <v>-0.19877719999999999</v>
      </c>
      <c r="Z4881">
        <v>5.6961940000000003E-2</v>
      </c>
      <c r="AA4881">
        <v>0.97838800000000004</v>
      </c>
      <c r="AB4881">
        <v>18</v>
      </c>
      <c r="AC4881">
        <v>8.1949999999999896</v>
      </c>
      <c r="AD4881">
        <v>-1.111930837516</v>
      </c>
      <c r="AE4881">
        <v>-1.12049</v>
      </c>
      <c r="AF4881">
        <v>-1.66888071765391</v>
      </c>
      <c r="AG4881">
        <v>-1.111930837516</v>
      </c>
      <c r="AH4881">
        <v>7.9511655332971598</v>
      </c>
      <c r="AI4881">
        <v>97.793242020636001</v>
      </c>
      <c r="AJ4881">
        <v>101.853815702818</v>
      </c>
      <c r="AK4881">
        <v>8.2001577042803699</v>
      </c>
      <c r="AL4881">
        <v>91.024907119670004</v>
      </c>
      <c r="AM4881">
        <v>99.163097834796602</v>
      </c>
      <c r="AN4881">
        <v>1.0000000105454601</v>
      </c>
    </row>
    <row r="4882" spans="1:40" x14ac:dyDescent="0.3">
      <c r="A4882" t="str">
        <f>"20200111160600902"</f>
        <v>20200111160600902</v>
      </c>
      <c r="B4882" t="str">
        <f>"1578729960897140"</f>
        <v>1578729960897140</v>
      </c>
      <c r="C4882" t="s">
        <v>40</v>
      </c>
      <c r="D4882">
        <v>5.1586369999999997</v>
      </c>
      <c r="E4882">
        <v>0.48500460000000001</v>
      </c>
      <c r="F4882" t="s">
        <v>67</v>
      </c>
      <c r="G4882">
        <v>-401.54109999999997</v>
      </c>
      <c r="H4882" s="1">
        <v>-5.8681910000000004E-6</v>
      </c>
      <c r="I4882">
        <v>22.109649999999998</v>
      </c>
      <c r="J4882">
        <v>-409.66590000000002</v>
      </c>
      <c r="K4882">
        <v>1.111575</v>
      </c>
      <c r="L4882">
        <v>23.208649999999999</v>
      </c>
      <c r="M4882">
        <v>0.94281400000000004</v>
      </c>
      <c r="N4882">
        <v>0</v>
      </c>
      <c r="O4882">
        <v>-0.333038</v>
      </c>
      <c r="P4882">
        <v>0.98300489999999996</v>
      </c>
      <c r="Q4882">
        <v>-3.0378200000000001E-2</v>
      </c>
      <c r="R4882">
        <v>-0.18104990000000001</v>
      </c>
      <c r="S4882">
        <v>2.9637760000000002</v>
      </c>
      <c r="T4882">
        <v>-0.39845330000000001</v>
      </c>
      <c r="U4882">
        <v>-0.4108887</v>
      </c>
      <c r="V4882">
        <v>-0.15665699999999999</v>
      </c>
      <c r="W4882">
        <v>-1.7215830000000001E-2</v>
      </c>
      <c r="X4882">
        <v>0.98750300000000002</v>
      </c>
      <c r="Y4882">
        <v>-0.19590109999999999</v>
      </c>
      <c r="Z4882">
        <v>5.6511110000000003E-2</v>
      </c>
      <c r="AA4882">
        <v>0.97899400000000003</v>
      </c>
      <c r="AB4882">
        <v>18</v>
      </c>
      <c r="AC4882">
        <v>8.1248000000000502</v>
      </c>
      <c r="AD4882">
        <v>-1.111580868191</v>
      </c>
      <c r="AE4882">
        <v>-1.099</v>
      </c>
      <c r="AF4882">
        <v>-1.6397302657864099</v>
      </c>
      <c r="AG4882">
        <v>-1.111580868191</v>
      </c>
      <c r="AH4882">
        <v>7.8820518691816002</v>
      </c>
      <c r="AI4882">
        <v>97.861170340001493</v>
      </c>
      <c r="AJ4882">
        <v>101.751819386853</v>
      </c>
      <c r="AK4882">
        <v>8.1271808789723305</v>
      </c>
      <c r="AL4882">
        <v>90.986443143803896</v>
      </c>
      <c r="AM4882">
        <v>99.014256663843796</v>
      </c>
      <c r="AN4882">
        <v>0.99999998773029397</v>
      </c>
    </row>
    <row r="4883" spans="1:40" x14ac:dyDescent="0.3">
      <c r="A4883" t="str">
        <f>"20200111160600913"</f>
        <v>20200111160600913</v>
      </c>
      <c r="B4883" t="str">
        <f>"1578729960906900"</f>
        <v>1578729960906900</v>
      </c>
      <c r="C4883" t="s">
        <v>40</v>
      </c>
      <c r="D4883">
        <v>5.21706</v>
      </c>
      <c r="E4883">
        <v>0.4852783</v>
      </c>
      <c r="F4883" t="s">
        <v>67</v>
      </c>
      <c r="G4883">
        <v>-401.41950000000003</v>
      </c>
      <c r="H4883" s="1">
        <v>-5.91811799999999E-6</v>
      </c>
      <c r="I4883">
        <v>22.071870000000001</v>
      </c>
      <c r="J4883">
        <v>-409.57330000000002</v>
      </c>
      <c r="K4883">
        <v>1.1113519999999999</v>
      </c>
      <c r="L4883">
        <v>23.178380000000001</v>
      </c>
      <c r="M4883">
        <v>0.9433686</v>
      </c>
      <c r="N4883">
        <v>0</v>
      </c>
      <c r="O4883">
        <v>-0.331464799999999</v>
      </c>
      <c r="P4883">
        <v>0.98311360000000003</v>
      </c>
      <c r="Q4883">
        <v>-3.030513E-2</v>
      </c>
      <c r="R4883">
        <v>-0.18046989999999999</v>
      </c>
      <c r="S4883">
        <v>2.964264</v>
      </c>
      <c r="T4883">
        <v>-0.39957110000000001</v>
      </c>
      <c r="U4883">
        <v>-0.4086304</v>
      </c>
      <c r="V4883">
        <v>-0.1556025</v>
      </c>
      <c r="W4883">
        <v>-1.708906E-2</v>
      </c>
      <c r="X4883">
        <v>0.98767190000000005</v>
      </c>
      <c r="Y4883">
        <v>-0.19501599999999999</v>
      </c>
      <c r="Z4883">
        <v>5.6406070000000003E-2</v>
      </c>
      <c r="AA4883">
        <v>0.97917679999999996</v>
      </c>
      <c r="AB4883">
        <v>18</v>
      </c>
      <c r="AC4883">
        <v>8.1537999999999897</v>
      </c>
      <c r="AD4883">
        <v>-1.111357918118</v>
      </c>
      <c r="AE4883">
        <v>-1.1065099999999899</v>
      </c>
      <c r="AF4883">
        <v>-1.62928508258981</v>
      </c>
      <c r="AG4883">
        <v>-1.111357918118</v>
      </c>
      <c r="AH4883">
        <v>7.9151753150181401</v>
      </c>
      <c r="AI4883">
        <v>97.830491346892401</v>
      </c>
      <c r="AJ4883">
        <v>101.63148237183999</v>
      </c>
      <c r="AK4883">
        <v>8.1571861919405606</v>
      </c>
      <c r="AL4883">
        <v>90.979178698553099</v>
      </c>
      <c r="AM4883">
        <v>98.953059284377105</v>
      </c>
      <c r="AN4883">
        <v>0.99999997801377105</v>
      </c>
    </row>
    <row r="4884" spans="1:40" x14ac:dyDescent="0.3">
      <c r="A4884" t="str">
        <f>"20200111160600926"</f>
        <v>20200111160600926</v>
      </c>
      <c r="B4884" t="str">
        <f>"1578729960916659"</f>
        <v>1578729960916659</v>
      </c>
      <c r="C4884" t="s">
        <v>40</v>
      </c>
      <c r="D4884">
        <v>5.1778329999999997</v>
      </c>
      <c r="E4884">
        <v>0.48540319999999998</v>
      </c>
      <c r="F4884" t="s">
        <v>67</v>
      </c>
      <c r="G4884">
        <v>-401.3494</v>
      </c>
      <c r="H4884" s="1">
        <v>-5.9455729999999998E-6</v>
      </c>
      <c r="I4884">
        <v>22.042750000000002</v>
      </c>
      <c r="J4884">
        <v>-409.48099999999999</v>
      </c>
      <c r="K4884">
        <v>1.1111279999999999</v>
      </c>
      <c r="L4884">
        <v>23.148009999999999</v>
      </c>
      <c r="M4884">
        <v>0.94386669999999995</v>
      </c>
      <c r="N4884">
        <v>0</v>
      </c>
      <c r="O4884">
        <v>-0.33004559999999999</v>
      </c>
      <c r="P4884">
        <v>0.98315169999999996</v>
      </c>
      <c r="Q4884">
        <v>-3.0247E-2</v>
      </c>
      <c r="R4884">
        <v>-0.18027270000000001</v>
      </c>
      <c r="S4884">
        <v>2.9640499999999999</v>
      </c>
      <c r="T4884">
        <v>-0.40055499999999999</v>
      </c>
      <c r="U4884">
        <v>-0.40930179999999999</v>
      </c>
      <c r="V4884">
        <v>-0.15432489999999999</v>
      </c>
      <c r="W4884">
        <v>-1.697543E-2</v>
      </c>
      <c r="X4884">
        <v>0.98787429999999998</v>
      </c>
      <c r="Y4884">
        <v>-0.19331780000000001</v>
      </c>
      <c r="Z4884">
        <v>5.6253379999999999E-2</v>
      </c>
      <c r="AA4884">
        <v>0.97952220000000001</v>
      </c>
      <c r="AB4884">
        <v>18</v>
      </c>
      <c r="AC4884">
        <v>8.1315999999999899</v>
      </c>
      <c r="AD4884">
        <v>-1.111133945573</v>
      </c>
      <c r="AE4884">
        <v>-1.1052599999999899</v>
      </c>
      <c r="AF4884">
        <v>-1.6111950835939599</v>
      </c>
      <c r="AG4884">
        <v>-1.111133945573</v>
      </c>
      <c r="AH4884">
        <v>7.8959237010094503</v>
      </c>
      <c r="AI4884">
        <v>97.850511293404907</v>
      </c>
      <c r="AJ4884">
        <v>101.533102586978</v>
      </c>
      <c r="AK4884">
        <v>8.1348742666721492</v>
      </c>
      <c r="AL4884">
        <v>90.972667226379798</v>
      </c>
      <c r="AM4884">
        <v>98.878934629693205</v>
      </c>
      <c r="AN4884">
        <v>0.99999998629209197</v>
      </c>
    </row>
    <row r="4885" spans="1:40" x14ac:dyDescent="0.3">
      <c r="A4885" t="str">
        <f>"20200111160600937"</f>
        <v>20200111160600937</v>
      </c>
      <c r="B4885" t="str">
        <f>"1578729960927396"</f>
        <v>1578729960927396</v>
      </c>
      <c r="C4885" t="s">
        <v>40</v>
      </c>
      <c r="D4885">
        <v>5.1263699999999996</v>
      </c>
      <c r="E4885">
        <v>0.48561709999999902</v>
      </c>
      <c r="F4885" t="s">
        <v>67</v>
      </c>
      <c r="G4885">
        <v>-401.27319999999997</v>
      </c>
      <c r="H4885" s="1">
        <v>-5.9757929999999996E-6</v>
      </c>
      <c r="I4885">
        <v>22.013030000000001</v>
      </c>
      <c r="J4885">
        <v>-409.39530000000002</v>
      </c>
      <c r="K4885">
        <v>1.1109209999999901</v>
      </c>
      <c r="L4885">
        <v>23.119720000000001</v>
      </c>
      <c r="M4885">
        <v>0.94422879999999998</v>
      </c>
      <c r="N4885">
        <v>0</v>
      </c>
      <c r="O4885">
        <v>-0.32900940000000001</v>
      </c>
      <c r="P4885">
        <v>0.98310779999999998</v>
      </c>
      <c r="Q4885">
        <v>-3.0727790000000001E-2</v>
      </c>
      <c r="R4885">
        <v>-0.18043010000000001</v>
      </c>
      <c r="S4885">
        <v>2.9638979999999999</v>
      </c>
      <c r="T4885">
        <v>-0.40123969999999998</v>
      </c>
      <c r="U4885">
        <v>-0.40985110000000002</v>
      </c>
      <c r="V4885">
        <v>-0.15308620000000001</v>
      </c>
      <c r="W4885">
        <v>-1.7402129999999998E-2</v>
      </c>
      <c r="X4885">
        <v>0.98805960000000004</v>
      </c>
      <c r="Y4885">
        <v>-0.19206029999999999</v>
      </c>
      <c r="Z4885">
        <v>5.6134959999999998E-2</v>
      </c>
      <c r="AA4885">
        <v>0.97977639999999999</v>
      </c>
      <c r="AB4885">
        <v>18</v>
      </c>
      <c r="AC4885">
        <v>8.1221000000000405</v>
      </c>
      <c r="AD4885">
        <v>-1.11092697579299</v>
      </c>
      <c r="AE4885">
        <v>-1.10669</v>
      </c>
      <c r="AF4885">
        <v>-1.5980766998213201</v>
      </c>
      <c r="AG4885">
        <v>-1.11092697579299</v>
      </c>
      <c r="AH4885">
        <v>7.8890735207617197</v>
      </c>
      <c r="AI4885">
        <v>97.858048143586103</v>
      </c>
      <c r="AJ4885">
        <v>101.451358772213</v>
      </c>
      <c r="AK4885">
        <v>8.1256069865604506</v>
      </c>
      <c r="AL4885">
        <v>90.997118938830596</v>
      </c>
      <c r="AM4885">
        <v>98.807163254496203</v>
      </c>
      <c r="AN4885">
        <v>0.99999999595556799</v>
      </c>
    </row>
    <row r="4886" spans="1:40" x14ac:dyDescent="0.3">
      <c r="A4886" t="str">
        <f>"20200111160600950"</f>
        <v>20200111160600950</v>
      </c>
      <c r="B4886" t="str">
        <f>"1578729960946916"</f>
        <v>1578729960946916</v>
      </c>
      <c r="C4886" t="s">
        <v>40</v>
      </c>
      <c r="D4886">
        <v>5.1397830000000004</v>
      </c>
      <c r="E4886">
        <v>0.4861627</v>
      </c>
      <c r="F4886" t="s">
        <v>67</v>
      </c>
      <c r="G4886">
        <v>-401.2362</v>
      </c>
      <c r="H4886" s="1">
        <v>-5.9879249999999999E-6</v>
      </c>
      <c r="I4886">
        <v>21.98443</v>
      </c>
      <c r="J4886">
        <v>-409.30380000000002</v>
      </c>
      <c r="K4886">
        <v>1.1107020000000001</v>
      </c>
      <c r="L4886">
        <v>23.089359999999999</v>
      </c>
      <c r="M4886">
        <v>0.94455210000000001</v>
      </c>
      <c r="N4886">
        <v>0</v>
      </c>
      <c r="O4886">
        <v>-0.32808120000000002</v>
      </c>
      <c r="P4886">
        <v>0.98306329999999997</v>
      </c>
      <c r="Q4886">
        <v>-3.1352110000000002E-2</v>
      </c>
      <c r="R4886">
        <v>-0.1805649</v>
      </c>
      <c r="S4886">
        <v>2.963257</v>
      </c>
      <c r="T4886">
        <v>-0.40347309999999997</v>
      </c>
      <c r="U4886">
        <v>-0.412323</v>
      </c>
      <c r="V4886">
        <v>-0.15198210000000001</v>
      </c>
      <c r="W4886">
        <v>-1.7970139999999999E-2</v>
      </c>
      <c r="X4886">
        <v>0.98821990000000004</v>
      </c>
      <c r="Y4886">
        <v>-0.19023780000000001</v>
      </c>
      <c r="Z4886">
        <v>5.6210709999999997E-2</v>
      </c>
      <c r="AA4886">
        <v>0.98012750000000004</v>
      </c>
      <c r="AB4886">
        <v>18</v>
      </c>
      <c r="AC4886">
        <v>8.0676000000000201</v>
      </c>
      <c r="AD4886">
        <v>-1.1107079879249999</v>
      </c>
      <c r="AE4886">
        <v>-1.10492999999999</v>
      </c>
      <c r="AF4886">
        <v>-1.5740260334157199</v>
      </c>
      <c r="AG4886">
        <v>-1.1107079879249999</v>
      </c>
      <c r="AH4886">
        <v>7.8376863532935497</v>
      </c>
      <c r="AI4886">
        <v>97.910013681794695</v>
      </c>
      <c r="AJ4886">
        <v>101.35553554382901</v>
      </c>
      <c r="AK4886">
        <v>8.0709700508002609</v>
      </c>
      <c r="AL4886">
        <v>91.029668573583606</v>
      </c>
      <c r="AM4886">
        <v>98.743232300530593</v>
      </c>
      <c r="AN4886">
        <v>1.00000002770401</v>
      </c>
    </row>
    <row r="4887" spans="1:40" x14ac:dyDescent="0.3">
      <c r="A4887" t="str">
        <f>"20200111160600968"</f>
        <v>20200111160600968</v>
      </c>
      <c r="B4887" t="str">
        <f>"1578729960956676"</f>
        <v>1578729960956676</v>
      </c>
      <c r="C4887" t="s">
        <v>40</v>
      </c>
      <c r="D4887">
        <v>5.1706799999999999</v>
      </c>
      <c r="E4887">
        <v>0.4863963</v>
      </c>
      <c r="F4887" t="s">
        <v>67</v>
      </c>
      <c r="G4887">
        <v>-401.25259999999997</v>
      </c>
      <c r="H4887" s="1">
        <v>-5.9752E-6</v>
      </c>
      <c r="I4887">
        <v>21.955850000000002</v>
      </c>
      <c r="J4887">
        <v>-409.17059999999998</v>
      </c>
      <c r="K4887">
        <v>1.11039</v>
      </c>
      <c r="L4887">
        <v>23.044830000000001</v>
      </c>
      <c r="M4887">
        <v>0.94490050000000003</v>
      </c>
      <c r="N4887">
        <v>0</v>
      </c>
      <c r="O4887">
        <v>-0.32707829999999999</v>
      </c>
      <c r="P4887">
        <v>0.98280919999999905</v>
      </c>
      <c r="Q4887">
        <v>-3.3582199999999902E-2</v>
      </c>
      <c r="R4887">
        <v>-0.18154509999999999</v>
      </c>
      <c r="S4887">
        <v>2.9620669999999998</v>
      </c>
      <c r="T4887">
        <v>-0.40863349999999998</v>
      </c>
      <c r="U4887">
        <v>-0.41702270000000002</v>
      </c>
      <c r="V4887">
        <v>-0.14993860000000001</v>
      </c>
      <c r="W4887">
        <v>-2.0119990000000001E-2</v>
      </c>
      <c r="X4887">
        <v>0.9884906</v>
      </c>
      <c r="Y4887">
        <v>-0.1875308</v>
      </c>
      <c r="Z4887">
        <v>5.6621999999999999E-2</v>
      </c>
      <c r="AA4887">
        <v>0.98062539999999998</v>
      </c>
      <c r="AB4887">
        <v>18</v>
      </c>
      <c r="AC4887">
        <v>7.9180000000000001</v>
      </c>
      <c r="AD4887">
        <v>-1.1103959752000001</v>
      </c>
      <c r="AE4887">
        <v>-1.0889799999999901</v>
      </c>
      <c r="AF4887">
        <v>-1.53141266723263</v>
      </c>
      <c r="AG4887">
        <v>-1.1103959752000001</v>
      </c>
      <c r="AH4887">
        <v>7.6901897612391199</v>
      </c>
      <c r="AI4887">
        <v>98.060100618868404</v>
      </c>
      <c r="AJ4887">
        <v>101.262461443221</v>
      </c>
      <c r="AK4887">
        <v>7.9194205938924496</v>
      </c>
      <c r="AL4887">
        <v>91.152868265710794</v>
      </c>
      <c r="AM4887">
        <v>98.625127346513693</v>
      </c>
      <c r="AN4887">
        <v>1.0000000320279501</v>
      </c>
    </row>
    <row r="4888" spans="1:40" x14ac:dyDescent="0.3">
      <c r="A4888" t="str">
        <f>"20200111160600982"</f>
        <v>20200111160600982</v>
      </c>
      <c r="B4888" t="str">
        <f>"1578729960977172"</f>
        <v>1578729960977172</v>
      </c>
      <c r="C4888" t="s">
        <v>40</v>
      </c>
      <c r="D4888">
        <v>6.4583830000000004</v>
      </c>
      <c r="E4888">
        <v>0.48638490000000001</v>
      </c>
      <c r="F4888" t="s">
        <v>67</v>
      </c>
      <c r="G4888">
        <v>-401.26670000000001</v>
      </c>
      <c r="H4888" s="1">
        <v>-5.9617169999999999E-6</v>
      </c>
      <c r="I4888">
        <v>21.91695</v>
      </c>
      <c r="J4888">
        <v>-409.06720000000001</v>
      </c>
      <c r="K4888">
        <v>1.1101650000000001</v>
      </c>
      <c r="L4888">
        <v>23.010010000000001</v>
      </c>
      <c r="M4888">
        <v>0.94507640000000004</v>
      </c>
      <c r="N4888">
        <v>0</v>
      </c>
      <c r="O4888">
        <v>-0.32657019999999998</v>
      </c>
      <c r="P4888">
        <v>0.98271120000000001</v>
      </c>
      <c r="Q4888">
        <v>-3.5143720000000003E-2</v>
      </c>
      <c r="R4888">
        <v>-0.1817793</v>
      </c>
      <c r="S4888">
        <v>2.9602360000000001</v>
      </c>
      <c r="T4888">
        <v>-0.41587400000000002</v>
      </c>
      <c r="U4888">
        <v>-0.42242429999999997</v>
      </c>
      <c r="V4888">
        <v>-0.14916599999999999</v>
      </c>
      <c r="W4888">
        <v>-2.16229E-2</v>
      </c>
      <c r="X4888">
        <v>0.98857569999999995</v>
      </c>
      <c r="Y4888">
        <v>-0.18502379999999999</v>
      </c>
      <c r="Z4888">
        <v>5.7398869999999998E-2</v>
      </c>
      <c r="AA4888">
        <v>0.98105629999999999</v>
      </c>
      <c r="AB4888">
        <v>18</v>
      </c>
      <c r="AC4888">
        <v>7.8004999999999898</v>
      </c>
      <c r="AD4888">
        <v>-1.1101709617169999</v>
      </c>
      <c r="AE4888">
        <v>-1.0930599999999999</v>
      </c>
      <c r="AF4888">
        <v>-1.4850237582947099</v>
      </c>
      <c r="AG4888">
        <v>-1.1101709617169999</v>
      </c>
      <c r="AH4888">
        <v>7.57917391923975</v>
      </c>
      <c r="AI4888">
        <v>98.179854507983094</v>
      </c>
      <c r="AJ4888">
        <v>101.085796786472</v>
      </c>
      <c r="AK4888">
        <v>7.8026695704113598</v>
      </c>
      <c r="AL4888">
        <v>91.238997497253607</v>
      </c>
      <c r="AM4888">
        <v>98.580619611964096</v>
      </c>
      <c r="AN4888">
        <v>0.99999997999544898</v>
      </c>
    </row>
    <row r="4889" spans="1:40" x14ac:dyDescent="0.3">
      <c r="A4889" t="str">
        <f>"20200111160600996"</f>
        <v>20200111160600996</v>
      </c>
      <c r="B4889" t="str">
        <f>"1578729960986932"</f>
        <v>1578729960986932</v>
      </c>
      <c r="C4889" t="s">
        <v>40</v>
      </c>
      <c r="D4889">
        <v>5.2150800000000004</v>
      </c>
      <c r="E4889">
        <v>0.45731290000000002</v>
      </c>
      <c r="F4889" t="s">
        <v>67</v>
      </c>
      <c r="G4889">
        <v>-401.26150000000001</v>
      </c>
      <c r="H4889" s="1">
        <v>-5.9598400000000004E-6</v>
      </c>
      <c r="I4889">
        <v>21.89284</v>
      </c>
      <c r="J4889">
        <v>-408.96379999999999</v>
      </c>
      <c r="K4889">
        <v>1.109969</v>
      </c>
      <c r="L4889">
        <v>22.974820000000001</v>
      </c>
      <c r="M4889">
        <v>0.94515150000000003</v>
      </c>
      <c r="N4889">
        <v>0</v>
      </c>
      <c r="O4889">
        <v>-0.32635380000000003</v>
      </c>
      <c r="P4889">
        <v>0.98256189999999999</v>
      </c>
      <c r="Q4889">
        <v>-3.6557149999999997E-2</v>
      </c>
      <c r="R4889">
        <v>-0.18230660000000001</v>
      </c>
      <c r="S4889">
        <v>2.959381</v>
      </c>
      <c r="T4889">
        <v>-0.42089959999999998</v>
      </c>
      <c r="U4889">
        <v>-0.42355350000000003</v>
      </c>
      <c r="V4889">
        <v>-0.14840539999999999</v>
      </c>
      <c r="W4889">
        <v>-2.2985800000000001E-2</v>
      </c>
      <c r="X4889">
        <v>0.98865939999999997</v>
      </c>
      <c r="Y4889">
        <v>-0.18428349999999999</v>
      </c>
      <c r="Z4889">
        <v>5.8018920000000002E-2</v>
      </c>
      <c r="AA4889">
        <v>0.98115920000000001</v>
      </c>
      <c r="AB4889">
        <v>18</v>
      </c>
      <c r="AC4889">
        <v>7.7022999999999797</v>
      </c>
      <c r="AD4889">
        <v>-1.1099749598399999</v>
      </c>
      <c r="AE4889">
        <v>-1.0819799999999999</v>
      </c>
      <c r="AF4889">
        <v>-1.46141277041554</v>
      </c>
      <c r="AG4889">
        <v>-1.1099749598399999</v>
      </c>
      <c r="AH4889">
        <v>7.4812813708636297</v>
      </c>
      <c r="AI4889">
        <v>98.284880459864695</v>
      </c>
      <c r="AJ4889">
        <v>101.053116892605</v>
      </c>
      <c r="AK4889">
        <v>7.7030735844230804</v>
      </c>
      <c r="AL4889">
        <v>91.3171053809196</v>
      </c>
      <c r="AM4889">
        <v>98.536801128357396</v>
      </c>
      <c r="AN4889">
        <v>0.99999995947957898</v>
      </c>
    </row>
    <row r="4890" spans="1:40" x14ac:dyDescent="0.3">
      <c r="A4890" t="str">
        <f>"20200111160601013"</f>
        <v>20200111160601013</v>
      </c>
      <c r="B4890" t="str">
        <f>"1578729961006961"</f>
        <v>1578729961006961</v>
      </c>
      <c r="C4890" t="s">
        <v>40</v>
      </c>
      <c r="D4890">
        <v>5.2146910000000002</v>
      </c>
      <c r="E4890">
        <v>0.45007910000000001</v>
      </c>
      <c r="F4890" t="s">
        <v>41</v>
      </c>
      <c r="G4890">
        <v>-398.17660000000001</v>
      </c>
      <c r="H4890" s="1">
        <v>-1.5422560000000001E-6</v>
      </c>
      <c r="I4890">
        <v>22.246639999999999</v>
      </c>
      <c r="J4890">
        <v>-408.83449999999999</v>
      </c>
      <c r="K4890">
        <v>1.1097490000000001</v>
      </c>
      <c r="L4890">
        <v>22.93045</v>
      </c>
      <c r="M4890">
        <v>0.94514849999999995</v>
      </c>
      <c r="N4890">
        <v>0</v>
      </c>
      <c r="O4890">
        <v>-0.32636340000000003</v>
      </c>
      <c r="P4890">
        <v>0.98232819999999998</v>
      </c>
      <c r="Q4890">
        <v>-3.9556340000000002E-2</v>
      </c>
      <c r="R4890">
        <v>-0.18293960000000001</v>
      </c>
      <c r="S4890">
        <v>3.0041199999999999</v>
      </c>
      <c r="T4890">
        <v>-0.30911490000000003</v>
      </c>
      <c r="U4890">
        <v>-0.20278930000000001</v>
      </c>
      <c r="V4890">
        <v>-0.14775969999999999</v>
      </c>
      <c r="W4890">
        <v>-2.5927559999999999E-2</v>
      </c>
      <c r="X4890">
        <v>0.98868339999999999</v>
      </c>
      <c r="Y4890">
        <v>-0.2589784</v>
      </c>
      <c r="Z4890">
        <v>4.616924E-2</v>
      </c>
      <c r="AA4890">
        <v>0.96477900000000005</v>
      </c>
      <c r="AB4890">
        <v>17</v>
      </c>
      <c r="AC4890">
        <v>10.6578999999999</v>
      </c>
      <c r="AD4890">
        <v>-1.1097505422559999</v>
      </c>
      <c r="AE4890">
        <v>-0.68381000000000103</v>
      </c>
      <c r="AF4890">
        <v>-2.8020480426337202</v>
      </c>
      <c r="AG4890">
        <v>-1.1097505422559999</v>
      </c>
      <c r="AH4890">
        <v>10.187403445601801</v>
      </c>
      <c r="AI4890">
        <v>95.995963968462107</v>
      </c>
      <c r="AJ4890">
        <v>105.37892883386</v>
      </c>
      <c r="AK4890">
        <v>10.6238509243459</v>
      </c>
      <c r="AL4890">
        <v>91.485706226580305</v>
      </c>
      <c r="AM4890">
        <v>98.499998631200697</v>
      </c>
      <c r="AN4890">
        <v>1.0000000163736</v>
      </c>
    </row>
    <row r="4891" spans="1:40" x14ac:dyDescent="0.3">
      <c r="A4891" t="str">
        <f>"20200111160601026"</f>
        <v>20200111160601026</v>
      </c>
      <c r="B4891" t="str">
        <f>"1578729961016720"</f>
        <v>1578729961016720</v>
      </c>
      <c r="C4891" t="s">
        <v>40</v>
      </c>
      <c r="D4891">
        <v>5.176329</v>
      </c>
      <c r="E4891">
        <v>0.44906649999999998</v>
      </c>
      <c r="F4891" t="s">
        <v>41</v>
      </c>
      <c r="G4891">
        <v>-398.25450000000001</v>
      </c>
      <c r="H4891" s="1">
        <v>-1.5484179999999999E-6</v>
      </c>
      <c r="I4891">
        <v>22.40813</v>
      </c>
      <c r="J4891">
        <v>-408.74250000000001</v>
      </c>
      <c r="K4891">
        <v>1.109607</v>
      </c>
      <c r="L4891">
        <v>22.898679999999999</v>
      </c>
      <c r="M4891">
        <v>0.94508400000000004</v>
      </c>
      <c r="N4891">
        <v>0</v>
      </c>
      <c r="O4891">
        <v>-0.32655079999999997</v>
      </c>
      <c r="P4891">
        <v>0.98225750000000001</v>
      </c>
      <c r="Q4891">
        <v>-4.0351989999999997E-2</v>
      </c>
      <c r="R4891">
        <v>-0.18314540000000001</v>
      </c>
      <c r="S4891">
        <v>3.0135190000000001</v>
      </c>
      <c r="T4891">
        <v>-0.3160927</v>
      </c>
      <c r="U4891">
        <v>-0.14877319999999999</v>
      </c>
      <c r="V4891">
        <v>-0.14774870000000001</v>
      </c>
      <c r="W4891">
        <v>-2.6684630000000001E-2</v>
      </c>
      <c r="X4891">
        <v>0.98866489999999996</v>
      </c>
      <c r="Y4891">
        <v>-0.27634219999999998</v>
      </c>
      <c r="Z4891">
        <v>4.8035109999999999E-2</v>
      </c>
      <c r="AA4891">
        <v>0.95985810000000005</v>
      </c>
      <c r="AB4891">
        <v>17</v>
      </c>
      <c r="AC4891">
        <v>10.488</v>
      </c>
      <c r="AD4891">
        <v>-1.1096085484180001</v>
      </c>
      <c r="AE4891">
        <v>-0.49054999999999799</v>
      </c>
      <c r="AF4891">
        <v>-2.9288103829916499</v>
      </c>
      <c r="AG4891">
        <v>-1.1096085484180001</v>
      </c>
      <c r="AH4891">
        <v>9.9618792855035601</v>
      </c>
      <c r="AI4891">
        <v>96.099634724543407</v>
      </c>
      <c r="AJ4891">
        <v>106.383430753303</v>
      </c>
      <c r="AK4891">
        <v>10.4426146289704</v>
      </c>
      <c r="AL4891">
        <v>91.529098159467296</v>
      </c>
      <c r="AM4891">
        <v>98.499531807988305</v>
      </c>
      <c r="AN4891">
        <v>1.0000000161609599</v>
      </c>
    </row>
    <row r="4892" spans="1:40" x14ac:dyDescent="0.3">
      <c r="A4892" t="str">
        <f>"20200111160601038"</f>
        <v>20200111160601038</v>
      </c>
      <c r="B4892" t="str">
        <f>"1578729961027457"</f>
        <v>1578729961027457</v>
      </c>
      <c r="C4892" t="s">
        <v>40</v>
      </c>
      <c r="D4892">
        <v>5.2065950000000001</v>
      </c>
      <c r="E4892">
        <v>0.44820280000000001</v>
      </c>
      <c r="F4892" t="s">
        <v>41</v>
      </c>
      <c r="G4892">
        <v>-398.1909</v>
      </c>
      <c r="H4892" s="1">
        <v>-1.5769370000000001E-6</v>
      </c>
      <c r="I4892">
        <v>22.402439999999999</v>
      </c>
      <c r="J4892">
        <v>-408.65530000000001</v>
      </c>
      <c r="K4892">
        <v>1.109491</v>
      </c>
      <c r="L4892">
        <v>22.868259999999999</v>
      </c>
      <c r="M4892">
        <v>0.94495150000000006</v>
      </c>
      <c r="N4892">
        <v>0</v>
      </c>
      <c r="O4892">
        <v>-0.32693430000000001</v>
      </c>
      <c r="P4892">
        <v>0.98219140000000005</v>
      </c>
      <c r="Q4892">
        <v>-4.0455350000000001E-2</v>
      </c>
      <c r="R4892">
        <v>-0.18347630000000001</v>
      </c>
      <c r="S4892">
        <v>3.0147400000000002</v>
      </c>
      <c r="T4892">
        <v>-0.317032599999999</v>
      </c>
      <c r="U4892">
        <v>-0.14178470000000001</v>
      </c>
      <c r="V4892">
        <v>-0.14782379999999901</v>
      </c>
      <c r="W4892">
        <v>-2.6754030000000002E-2</v>
      </c>
      <c r="X4892">
        <v>0.98865179999999997</v>
      </c>
      <c r="Y4892">
        <v>-0.27893639999999997</v>
      </c>
      <c r="Z4892">
        <v>4.833788E-2</v>
      </c>
      <c r="AA4892">
        <v>0.95909230000000001</v>
      </c>
      <c r="AB4892">
        <v>17</v>
      </c>
      <c r="AC4892">
        <v>10.464399999999999</v>
      </c>
      <c r="AD4892">
        <v>-1.1094925769370001</v>
      </c>
      <c r="AE4892">
        <v>-0.46582000000000001</v>
      </c>
      <c r="AF4892">
        <v>-2.9481870530773202</v>
      </c>
      <c r="AG4892">
        <v>-1.1094925769370001</v>
      </c>
      <c r="AH4892">
        <v>9.9301420667072602</v>
      </c>
      <c r="AI4892">
        <v>96.113579135057094</v>
      </c>
      <c r="AJ4892">
        <v>106.535771774555</v>
      </c>
      <c r="AK4892">
        <v>10.4177973748389</v>
      </c>
      <c r="AL4892">
        <v>91.5330759041356</v>
      </c>
      <c r="AM4892">
        <v>98.503899961902903</v>
      </c>
      <c r="AN4892">
        <v>1.00000001780546</v>
      </c>
    </row>
    <row r="4893" spans="1:40" x14ac:dyDescent="0.3">
      <c r="A4893" t="str">
        <f>"20200111160601049"</f>
        <v>20200111160601049</v>
      </c>
      <c r="B4893" t="str">
        <f>"1578729961046977"</f>
        <v>1578729961046977</v>
      </c>
      <c r="C4893" t="s">
        <v>40</v>
      </c>
      <c r="D4893">
        <v>5.2689820000000003</v>
      </c>
      <c r="E4893">
        <v>0.44710909999999898</v>
      </c>
      <c r="F4893" t="s">
        <v>41</v>
      </c>
      <c r="G4893">
        <v>-398.16460000000001</v>
      </c>
      <c r="H4893" s="1">
        <v>-1.5872780000000001E-6</v>
      </c>
      <c r="I4893">
        <v>22.394369999999999</v>
      </c>
      <c r="J4893">
        <v>-408.57209999999998</v>
      </c>
      <c r="K4893">
        <v>1.109386</v>
      </c>
      <c r="L4893">
        <v>22.839020000000001</v>
      </c>
      <c r="M4893">
        <v>0.94478819999999997</v>
      </c>
      <c r="N4893">
        <v>0</v>
      </c>
      <c r="O4893">
        <v>-0.32740649999999999</v>
      </c>
      <c r="P4893">
        <v>0.98213799999999996</v>
      </c>
      <c r="Q4893">
        <v>-4.0152680000000003E-2</v>
      </c>
      <c r="R4893">
        <v>-0.1838283</v>
      </c>
      <c r="S4893">
        <v>3.0158079999999998</v>
      </c>
      <c r="T4893">
        <v>-0.318949599999999</v>
      </c>
      <c r="U4893">
        <v>-0.1362305</v>
      </c>
      <c r="V4893">
        <v>-0.14797370000000001</v>
      </c>
      <c r="W4893">
        <v>-2.6419979999999999E-2</v>
      </c>
      <c r="X4893">
        <v>0.98863829999999997</v>
      </c>
      <c r="Y4893">
        <v>-0.28114109999999998</v>
      </c>
      <c r="Z4893">
        <v>4.8779660000000002E-2</v>
      </c>
      <c r="AA4893">
        <v>0.95842590000000005</v>
      </c>
      <c r="AB4893">
        <v>17</v>
      </c>
      <c r="AC4893">
        <v>10.407499999999899</v>
      </c>
      <c r="AD4893">
        <v>-1.1093875872779999</v>
      </c>
      <c r="AE4893">
        <v>-0.44464999999999899</v>
      </c>
      <c r="AF4893">
        <v>-2.9541470096381599</v>
      </c>
      <c r="AG4893">
        <v>-1.1093875872779999</v>
      </c>
      <c r="AH4893">
        <v>9.8674493002181194</v>
      </c>
      <c r="AI4893">
        <v>96.147386204942407</v>
      </c>
      <c r="AJ4893">
        <v>106.66680848612999</v>
      </c>
      <c r="AK4893">
        <v>10.3597432914979</v>
      </c>
      <c r="AL4893">
        <v>91.513929568981098</v>
      </c>
      <c r="AM4893">
        <v>98.512511562093707</v>
      </c>
      <c r="AN4893">
        <v>0.99999995973088895</v>
      </c>
    </row>
    <row r="4894" spans="1:40" x14ac:dyDescent="0.3">
      <c r="A4894" t="str">
        <f>"20200111160601068"</f>
        <v>20200111160601068</v>
      </c>
      <c r="B4894" t="str">
        <f>"1578729961056736"</f>
        <v>1578729961056736</v>
      </c>
      <c r="C4894" t="s">
        <v>40</v>
      </c>
      <c r="D4894">
        <v>5.2462749999999998</v>
      </c>
      <c r="E4894">
        <v>0.44688319999999998</v>
      </c>
      <c r="F4894" t="s">
        <v>41</v>
      </c>
      <c r="G4894">
        <v>-397.86419999999998</v>
      </c>
      <c r="H4894" s="1">
        <v>-1.7256499999999999E-6</v>
      </c>
      <c r="I4894">
        <v>22.380839999999999</v>
      </c>
      <c r="J4894">
        <v>-408.43189999999998</v>
      </c>
      <c r="K4894">
        <v>1.1092310000000001</v>
      </c>
      <c r="L4894">
        <v>22.789339999999999</v>
      </c>
      <c r="M4894">
        <v>0.94442190000000004</v>
      </c>
      <c r="N4894">
        <v>0</v>
      </c>
      <c r="O4894">
        <v>-0.32846130000000001</v>
      </c>
      <c r="P4894">
        <v>0.98210640000000005</v>
      </c>
      <c r="Q4894">
        <v>-3.8936529999999997E-2</v>
      </c>
      <c r="R4894">
        <v>-0.1842567</v>
      </c>
      <c r="S4894">
        <v>3.0175779999999999</v>
      </c>
      <c r="T4894">
        <v>-0.31263639999999998</v>
      </c>
      <c r="U4894">
        <v>-0.12911989999999901</v>
      </c>
      <c r="V4894">
        <v>-0.1486691</v>
      </c>
      <c r="W4894">
        <v>-2.51527E-2</v>
      </c>
      <c r="X4894">
        <v>0.98856710000000003</v>
      </c>
      <c r="Y4894">
        <v>-0.28459889999999999</v>
      </c>
      <c r="Z4894">
        <v>4.8079499999999997E-2</v>
      </c>
      <c r="AA4894">
        <v>0.95744030000000002</v>
      </c>
      <c r="AB4894">
        <v>17</v>
      </c>
      <c r="AC4894">
        <v>10.5677</v>
      </c>
      <c r="AD4894">
        <v>-1.1092327256500001</v>
      </c>
      <c r="AE4894">
        <v>-0.40849999999999997</v>
      </c>
      <c r="AF4894">
        <v>-3.0519873358005101</v>
      </c>
      <c r="AG4894">
        <v>-1.1092327256500001</v>
      </c>
      <c r="AH4894">
        <v>10.0053862478496</v>
      </c>
      <c r="AI4894">
        <v>96.053022659759407</v>
      </c>
      <c r="AJ4894">
        <v>106.96351090566399</v>
      </c>
      <c r="AK4894">
        <v>10.5191624146696</v>
      </c>
      <c r="AL4894">
        <v>91.441295504169801</v>
      </c>
      <c r="AM4894">
        <v>98.552532641125296</v>
      </c>
      <c r="AN4894">
        <v>1.00000003540725</v>
      </c>
    </row>
    <row r="4895" spans="1:40" x14ac:dyDescent="0.3">
      <c r="A4895" t="str">
        <f>"20200111160601080"</f>
        <v>20200111160601080</v>
      </c>
      <c r="B4895" t="str">
        <f>"1578729961077234"</f>
        <v>1578729961077234</v>
      </c>
      <c r="C4895" t="s">
        <v>40</v>
      </c>
      <c r="D4895">
        <v>5.3922569999999999</v>
      </c>
      <c r="E4895">
        <v>0.44647569999999998</v>
      </c>
      <c r="F4895" t="s">
        <v>41</v>
      </c>
      <c r="G4895">
        <v>-397.5625</v>
      </c>
      <c r="H4895" s="1">
        <v>-1.853273E-6</v>
      </c>
      <c r="I4895">
        <v>22.324449999999999</v>
      </c>
      <c r="J4895">
        <v>-408.3458</v>
      </c>
      <c r="K4895">
        <v>1.109146</v>
      </c>
      <c r="L4895">
        <v>22.75854</v>
      </c>
      <c r="M4895">
        <v>0.94414540000000002</v>
      </c>
      <c r="N4895">
        <v>0</v>
      </c>
      <c r="O4895">
        <v>-0.32925599999999999</v>
      </c>
      <c r="P4895">
        <v>0.98213300000000003</v>
      </c>
      <c r="Q4895">
        <v>-3.7760549999999997E-2</v>
      </c>
      <c r="R4895">
        <v>-0.18436250000000001</v>
      </c>
      <c r="S4895">
        <v>3.0181879999999999</v>
      </c>
      <c r="T4895">
        <v>-0.3080079</v>
      </c>
      <c r="U4895">
        <v>-0.12908939999999999</v>
      </c>
      <c r="V4895">
        <v>-0.14941119999999999</v>
      </c>
      <c r="W4895">
        <v>-2.3945649999999999E-2</v>
      </c>
      <c r="X4895">
        <v>0.98848519999999895</v>
      </c>
      <c r="Y4895">
        <v>-0.28550959999999997</v>
      </c>
      <c r="Z4895">
        <v>4.7485220000000002E-2</v>
      </c>
      <c r="AA4895">
        <v>0.95719869999999996</v>
      </c>
      <c r="AB4895">
        <v>17</v>
      </c>
      <c r="AC4895">
        <v>10.783299999999899</v>
      </c>
      <c r="AD4895">
        <v>-1.1091478532729999</v>
      </c>
      <c r="AE4895">
        <v>-0.43409000000000098</v>
      </c>
      <c r="AF4895">
        <v>-3.10807529738153</v>
      </c>
      <c r="AG4895">
        <v>-1.1091478532729999</v>
      </c>
      <c r="AH4895">
        <v>10.2169410262387</v>
      </c>
      <c r="AI4895">
        <v>95.929494850595702</v>
      </c>
      <c r="AJ4895">
        <v>106.920181026732</v>
      </c>
      <c r="AK4895">
        <v>10.736676624927</v>
      </c>
      <c r="AL4895">
        <v>91.372115768448396</v>
      </c>
      <c r="AM4895">
        <v>98.595289138539499</v>
      </c>
      <c r="AN4895">
        <v>1.0000000457292</v>
      </c>
    </row>
    <row r="4896" spans="1:40" x14ac:dyDescent="0.3">
      <c r="A4896" t="str">
        <f>"20200111160601091"</f>
        <v>20200111160601091</v>
      </c>
      <c r="B4896" t="str">
        <f>"1578729961086994"</f>
        <v>1578729961086994</v>
      </c>
      <c r="C4896" t="s">
        <v>40</v>
      </c>
      <c r="D4896">
        <v>5.240513</v>
      </c>
      <c r="E4896">
        <v>0.44616060000000002</v>
      </c>
      <c r="F4896" t="s">
        <v>41</v>
      </c>
      <c r="G4896">
        <v>-397.1798</v>
      </c>
      <c r="H4896" s="1">
        <v>-2.0250920000000001E-6</v>
      </c>
      <c r="I4896">
        <v>22.290400000000002</v>
      </c>
      <c r="J4896">
        <v>-408.26330000000002</v>
      </c>
      <c r="K4896">
        <v>1.109078</v>
      </c>
      <c r="L4896">
        <v>22.72879</v>
      </c>
      <c r="M4896">
        <v>0.94384380000000001</v>
      </c>
      <c r="N4896">
        <v>0</v>
      </c>
      <c r="O4896">
        <v>-0.33011970000000002</v>
      </c>
      <c r="P4896">
        <v>0.98218640000000001</v>
      </c>
      <c r="Q4896">
        <v>-3.6702039999999998E-2</v>
      </c>
      <c r="R4896">
        <v>-0.18429119999999999</v>
      </c>
      <c r="S4896">
        <v>3.0192869999999998</v>
      </c>
      <c r="T4896">
        <v>-0.29991479999999998</v>
      </c>
      <c r="U4896">
        <v>-0.1265869</v>
      </c>
      <c r="V4896">
        <v>-0.1504006</v>
      </c>
      <c r="W4896">
        <v>-2.2859959999999999E-2</v>
      </c>
      <c r="X4896">
        <v>0.98836080000000004</v>
      </c>
      <c r="Y4896">
        <v>-0.28734280000000001</v>
      </c>
      <c r="Z4896">
        <v>4.6401169999999999E-2</v>
      </c>
      <c r="AA4896">
        <v>0.95670319999999998</v>
      </c>
      <c r="AB4896">
        <v>17</v>
      </c>
      <c r="AC4896">
        <v>11.083500000000001</v>
      </c>
      <c r="AD4896">
        <v>-1.1090800250920001</v>
      </c>
      <c r="AE4896">
        <v>-0.438389999999998</v>
      </c>
      <c r="AF4896">
        <v>-3.2132770364827801</v>
      </c>
      <c r="AG4896">
        <v>-1.1090800250920001</v>
      </c>
      <c r="AH4896">
        <v>10.5017759774995</v>
      </c>
      <c r="AI4896">
        <v>95.766596432494396</v>
      </c>
      <c r="AJ4896">
        <v>107.01278164687</v>
      </c>
      <c r="AK4896">
        <v>11.0382293189094</v>
      </c>
      <c r="AL4896">
        <v>91.309893338647001</v>
      </c>
      <c r="AM4896">
        <v>98.652421083889607</v>
      </c>
      <c r="AN4896">
        <v>0.99999999461410005</v>
      </c>
    </row>
    <row r="4897" spans="1:40" x14ac:dyDescent="0.3">
      <c r="A4897" t="str">
        <f>"20200111160601104"</f>
        <v>20200111160601104</v>
      </c>
      <c r="B4897" t="str">
        <f>"1578729961096753"</f>
        <v>1578729961096753</v>
      </c>
      <c r="C4897" t="s">
        <v>40</v>
      </c>
      <c r="D4897">
        <v>5.2479750000000003</v>
      </c>
      <c r="E4897">
        <v>0.44600450000000003</v>
      </c>
      <c r="F4897" t="s">
        <v>41</v>
      </c>
      <c r="G4897">
        <v>-396.92239999999998</v>
      </c>
      <c r="H4897" s="1">
        <v>-2.1394300000000002E-6</v>
      </c>
      <c r="I4897">
        <v>22.262830000000001</v>
      </c>
      <c r="J4897">
        <v>-408.17009999999999</v>
      </c>
      <c r="K4897">
        <v>1.1090070000000001</v>
      </c>
      <c r="L4897">
        <v>22.694980000000001</v>
      </c>
      <c r="M4897">
        <v>0.94348100000000001</v>
      </c>
      <c r="N4897">
        <v>0</v>
      </c>
      <c r="O4897">
        <v>-0.33115489999999997</v>
      </c>
      <c r="P4897">
        <v>0.98215090000000005</v>
      </c>
      <c r="Q4897">
        <v>-3.6012740000000001E-2</v>
      </c>
      <c r="R4897">
        <v>-0.18461549999999999</v>
      </c>
      <c r="S4897">
        <v>3.0200809999999998</v>
      </c>
      <c r="T4897">
        <v>-0.29534779999999999</v>
      </c>
      <c r="U4897">
        <v>-0.1240845</v>
      </c>
      <c r="V4897">
        <v>-0.15116789999999999</v>
      </c>
      <c r="W4897">
        <v>-2.2142510000000001E-2</v>
      </c>
      <c r="X4897">
        <v>0.98826009999999997</v>
      </c>
      <c r="Y4897">
        <v>-0.28927129999999901</v>
      </c>
      <c r="Z4897">
        <v>4.5878019999999999E-2</v>
      </c>
      <c r="AA4897">
        <v>0.95614710000000003</v>
      </c>
      <c r="AB4897">
        <v>17</v>
      </c>
      <c r="AC4897">
        <v>11.2477</v>
      </c>
      <c r="AD4897">
        <v>-1.1090091394299999</v>
      </c>
      <c r="AE4897">
        <v>-0.43214999999999998</v>
      </c>
      <c r="AF4897">
        <v>-3.28541153442066</v>
      </c>
      <c r="AG4897">
        <v>-1.1090091394299999</v>
      </c>
      <c r="AH4897">
        <v>10.652658670873601</v>
      </c>
      <c r="AI4897">
        <v>95.681233711622198</v>
      </c>
      <c r="AJ4897">
        <v>107.14040888598799</v>
      </c>
      <c r="AK4897">
        <v>11.2028106732187</v>
      </c>
      <c r="AL4897">
        <v>91.268776031707603</v>
      </c>
      <c r="AM4897">
        <v>98.696762664500795</v>
      </c>
      <c r="AN4897">
        <v>1.0000000249957499</v>
      </c>
    </row>
    <row r="4898" spans="1:40" x14ac:dyDescent="0.3">
      <c r="A4898" t="str">
        <f>"20200111160601117"</f>
        <v>20200111160601117</v>
      </c>
      <c r="B4898" t="str">
        <f>"1578729961107489"</f>
        <v>1578729961107489</v>
      </c>
      <c r="C4898" t="s">
        <v>40</v>
      </c>
      <c r="D4898">
        <v>5.2537269999999996</v>
      </c>
      <c r="E4898">
        <v>0.44585350000000001</v>
      </c>
      <c r="F4898" t="s">
        <v>41</v>
      </c>
      <c r="G4898">
        <v>-396.71350000000001</v>
      </c>
      <c r="H4898" s="1">
        <v>-2.2280300000000001E-6</v>
      </c>
      <c r="I4898">
        <v>22.224679999999999</v>
      </c>
      <c r="J4898">
        <v>-408.07170000000002</v>
      </c>
      <c r="K4898">
        <v>1.108951</v>
      </c>
      <c r="L4898">
        <v>22.65887</v>
      </c>
      <c r="M4898">
        <v>0.94304509999999997</v>
      </c>
      <c r="N4898">
        <v>0</v>
      </c>
      <c r="O4898">
        <v>-0.33239459999999998</v>
      </c>
      <c r="P4898">
        <v>0.98211839999999995</v>
      </c>
      <c r="Q4898">
        <v>-3.5329890000000003E-2</v>
      </c>
      <c r="R4898">
        <v>-0.1849199</v>
      </c>
      <c r="S4898">
        <v>3.0204770000000001</v>
      </c>
      <c r="T4898">
        <v>-0.29238639999999999</v>
      </c>
      <c r="U4898">
        <v>-0.1239929</v>
      </c>
      <c r="V4898">
        <v>-0.15216869999999999</v>
      </c>
      <c r="W4898">
        <v>-2.1436230000000001E-2</v>
      </c>
      <c r="X4898">
        <v>0.98812199999999994</v>
      </c>
      <c r="Y4898">
        <v>-0.29060910000000001</v>
      </c>
      <c r="Z4898">
        <v>4.5592720000000003E-2</v>
      </c>
      <c r="AA4898">
        <v>0.95575500000000002</v>
      </c>
      <c r="AB4898">
        <v>17</v>
      </c>
      <c r="AC4898">
        <v>11.3582</v>
      </c>
      <c r="AD4898">
        <v>-1.1089532280299901</v>
      </c>
      <c r="AE4898">
        <v>-0.43419000000000002</v>
      </c>
      <c r="AF4898">
        <v>-3.33450633556527</v>
      </c>
      <c r="AG4898">
        <v>-1.1089532280299901</v>
      </c>
      <c r="AH4898">
        <v>10.7542279133253</v>
      </c>
      <c r="AI4898">
        <v>95.625033877813607</v>
      </c>
      <c r="AJ4898">
        <v>107.226817589277</v>
      </c>
      <c r="AK4898">
        <v>11.313802533880001</v>
      </c>
      <c r="AL4898">
        <v>91.228299643638493</v>
      </c>
      <c r="AM4898">
        <v>98.754654722901407</v>
      </c>
      <c r="AN4898">
        <v>0.99999995605015002</v>
      </c>
    </row>
    <row r="4899" spans="1:40" x14ac:dyDescent="0.3">
      <c r="A4899" t="str">
        <f>"20200111160601135"</f>
        <v>20200111160601135</v>
      </c>
      <c r="B4899" t="str">
        <f>"1578729961127008"</f>
        <v>1578729961127008</v>
      </c>
      <c r="C4899" t="s">
        <v>40</v>
      </c>
      <c r="D4899">
        <v>5.3376780000000004</v>
      </c>
      <c r="E4899">
        <v>0.44573770000000001</v>
      </c>
      <c r="F4899" t="s">
        <v>41</v>
      </c>
      <c r="G4899">
        <v>-396.52159999999998</v>
      </c>
      <c r="H4899" s="1">
        <v>-2.3083399999999998E-6</v>
      </c>
      <c r="I4899">
        <v>22.18561</v>
      </c>
      <c r="J4899">
        <v>-407.93779999999998</v>
      </c>
      <c r="K4899">
        <v>1.108903</v>
      </c>
      <c r="L4899">
        <v>22.60934</v>
      </c>
      <c r="M4899">
        <v>0.94241109999999995</v>
      </c>
      <c r="N4899">
        <v>0</v>
      </c>
      <c r="O4899">
        <v>-0.33418789999999998</v>
      </c>
      <c r="P4899">
        <v>0.98202869999999998</v>
      </c>
      <c r="Q4899">
        <v>-3.4568699999999897E-2</v>
      </c>
      <c r="R4899">
        <v>-0.1855397</v>
      </c>
      <c r="S4899">
        <v>3.0208439999999999</v>
      </c>
      <c r="T4899">
        <v>-0.29004089999999999</v>
      </c>
      <c r="U4899">
        <v>-0.12377929999999999</v>
      </c>
      <c r="V4899">
        <v>-0.15343289999999901</v>
      </c>
      <c r="W4899">
        <v>-2.065258E-2</v>
      </c>
      <c r="X4899">
        <v>0.98794320000000002</v>
      </c>
      <c r="Y4899">
        <v>-0.29252919999999999</v>
      </c>
      <c r="Z4899">
        <v>4.547855E-2</v>
      </c>
      <c r="AA4899">
        <v>0.95517450000000004</v>
      </c>
      <c r="AB4899">
        <v>17</v>
      </c>
      <c r="AC4899">
        <v>11.4162</v>
      </c>
      <c r="AD4899">
        <v>-1.10890530834</v>
      </c>
      <c r="AE4899">
        <v>-0.423729999999999</v>
      </c>
      <c r="AF4899">
        <v>-3.3842483744853502</v>
      </c>
      <c r="AG4899">
        <v>-1.10890530834</v>
      </c>
      <c r="AH4899">
        <v>10.7995841223187</v>
      </c>
      <c r="AI4899">
        <v>95.596098199379995</v>
      </c>
      <c r="AJ4899">
        <v>107.399342308935</v>
      </c>
      <c r="AK4899">
        <v>11.371623686092899</v>
      </c>
      <c r="AL4899">
        <v>91.1833898346664</v>
      </c>
      <c r="AM4899">
        <v>98.827819012555807</v>
      </c>
      <c r="AN4899">
        <v>0.999999975144652</v>
      </c>
    </row>
    <row r="4900" spans="1:40" x14ac:dyDescent="0.3">
      <c r="A4900" t="str">
        <f>"20200111160601148"</f>
        <v>20200111160601148</v>
      </c>
      <c r="B4900" t="str">
        <f>"1578729961136769"</f>
        <v>1578729961136769</v>
      </c>
      <c r="C4900" t="s">
        <v>40</v>
      </c>
      <c r="D4900">
        <v>5.3165310000000003</v>
      </c>
      <c r="E4900">
        <v>0.4455904</v>
      </c>
      <c r="F4900" t="s">
        <v>41</v>
      </c>
      <c r="G4900">
        <v>-396.23050000000001</v>
      </c>
      <c r="H4900" s="1">
        <v>-2.4302609999999998E-6</v>
      </c>
      <c r="I4900">
        <v>22.126639999999998</v>
      </c>
      <c r="J4900">
        <v>-407.85070000000002</v>
      </c>
      <c r="K4900">
        <v>1.1088849999999999</v>
      </c>
      <c r="L4900">
        <v>22.57687</v>
      </c>
      <c r="M4900">
        <v>0.94197509999999995</v>
      </c>
      <c r="N4900">
        <v>0</v>
      </c>
      <c r="O4900">
        <v>-0.33541520000000002</v>
      </c>
      <c r="P4900">
        <v>0.98188790000000004</v>
      </c>
      <c r="Q4900">
        <v>-3.3575809999999998E-2</v>
      </c>
      <c r="R4900">
        <v>-0.18646499999999999</v>
      </c>
      <c r="S4900">
        <v>3.0213009999999998</v>
      </c>
      <c r="T4900">
        <v>-0.28617569999999998</v>
      </c>
      <c r="U4900">
        <v>-0.1245728</v>
      </c>
      <c r="V4900">
        <v>-0.1537964</v>
      </c>
      <c r="W4900">
        <v>-1.9652559999999999E-2</v>
      </c>
      <c r="X4900">
        <v>0.98790710000000004</v>
      </c>
      <c r="Y4900">
        <v>-0.29359469999999999</v>
      </c>
      <c r="Z4900">
        <v>4.502838E-2</v>
      </c>
      <c r="AA4900">
        <v>0.95486890000000002</v>
      </c>
      <c r="AB4900">
        <v>17</v>
      </c>
      <c r="AC4900">
        <v>11.620200000000001</v>
      </c>
      <c r="AD4900">
        <v>-1.1088874302609999</v>
      </c>
      <c r="AE4900">
        <v>-0.45023000000000102</v>
      </c>
      <c r="AF4900">
        <v>-3.4424963105676398</v>
      </c>
      <c r="AG4900">
        <v>-1.1088874302609999</v>
      </c>
      <c r="AH4900">
        <v>10.9979476158809</v>
      </c>
      <c r="AI4900">
        <v>95.496254483595095</v>
      </c>
      <c r="AJ4900">
        <v>107.380778203105</v>
      </c>
      <c r="AK4900">
        <v>11.5773599729352</v>
      </c>
      <c r="AL4900">
        <v>91.126081242375093</v>
      </c>
      <c r="AM4900">
        <v>98.8487207734495</v>
      </c>
      <c r="AN4900">
        <v>0.99999999699896103</v>
      </c>
    </row>
    <row r="4901" spans="1:40" x14ac:dyDescent="0.3">
      <c r="A4901" t="str">
        <f>"20200111160601159"</f>
        <v>20200111160601159</v>
      </c>
      <c r="B4901" t="str">
        <f>"1578729961157265"</f>
        <v>1578729961157265</v>
      </c>
      <c r="C4901" t="s">
        <v>40</v>
      </c>
      <c r="D4901">
        <v>5.3362910000000001</v>
      </c>
      <c r="E4901">
        <v>0.44543969999999999</v>
      </c>
      <c r="F4901" t="s">
        <v>41</v>
      </c>
      <c r="G4901">
        <v>-395.97109999999998</v>
      </c>
      <c r="H4901" s="1">
        <v>-2.5408709999999999E-6</v>
      </c>
      <c r="I4901">
        <v>22.081379999999999</v>
      </c>
      <c r="J4901">
        <v>-407.76240000000001</v>
      </c>
      <c r="K4901">
        <v>1.108887</v>
      </c>
      <c r="L4901">
        <v>22.543759999999999</v>
      </c>
      <c r="M4901">
        <v>0.94151370000000001</v>
      </c>
      <c r="N4901">
        <v>0</v>
      </c>
      <c r="O4901">
        <v>-0.33670850000000002</v>
      </c>
      <c r="P4901">
        <v>0.98167130000000002</v>
      </c>
      <c r="Q4901">
        <v>-3.2581779999999998E-2</v>
      </c>
      <c r="R4901">
        <v>-0.187777</v>
      </c>
      <c r="S4901">
        <v>3.0217900000000002</v>
      </c>
      <c r="T4901">
        <v>-0.28206369999999997</v>
      </c>
      <c r="U4901">
        <v>-0.1260376</v>
      </c>
      <c r="V4901">
        <v>-0.1538398</v>
      </c>
      <c r="W4901">
        <v>-1.865882E-2</v>
      </c>
      <c r="X4901">
        <v>0.98791960000000001</v>
      </c>
      <c r="Y4901">
        <v>-0.29452089999999997</v>
      </c>
      <c r="Z4901">
        <v>4.453348E-2</v>
      </c>
      <c r="AA4901">
        <v>0.95460679999999998</v>
      </c>
      <c r="AB4901">
        <v>17</v>
      </c>
      <c r="AC4901">
        <v>11.7913</v>
      </c>
      <c r="AD4901">
        <v>-1.108889540871</v>
      </c>
      <c r="AE4901">
        <v>-0.46237999999999901</v>
      </c>
      <c r="AF4901">
        <v>-3.50426637913128</v>
      </c>
      <c r="AG4901">
        <v>-1.108889540871</v>
      </c>
      <c r="AH4901">
        <v>11.1598204138357</v>
      </c>
      <c r="AI4901">
        <v>95.415490535942197</v>
      </c>
      <c r="AJ4901">
        <v>107.43267540834201</v>
      </c>
      <c r="AK4901">
        <v>11.749515332081801</v>
      </c>
      <c r="AL4901">
        <v>91.069133694709507</v>
      </c>
      <c r="AM4901">
        <v>98.851068053004795</v>
      </c>
      <c r="AN4901">
        <v>0.99999998584599603</v>
      </c>
    </row>
    <row r="4902" spans="1:40" x14ac:dyDescent="0.3">
      <c r="A4902" t="str">
        <f>"20200111160601172"</f>
        <v>20200111160601172</v>
      </c>
      <c r="B4902" t="str">
        <f>"1578729961167025"</f>
        <v>1578729961167025</v>
      </c>
      <c r="C4902" t="s">
        <v>40</v>
      </c>
      <c r="D4902">
        <v>5.4318</v>
      </c>
      <c r="E4902">
        <v>0.44509720000000003</v>
      </c>
      <c r="F4902" t="s">
        <v>41</v>
      </c>
      <c r="G4902">
        <v>-395.71620000000001</v>
      </c>
      <c r="H4902" s="1">
        <v>-2.6479789999999999E-6</v>
      </c>
      <c r="I4902">
        <v>22.031169999999999</v>
      </c>
      <c r="J4902">
        <v>-407.6789</v>
      </c>
      <c r="K4902">
        <v>1.1089</v>
      </c>
      <c r="L4902">
        <v>22.51221</v>
      </c>
      <c r="M4902">
        <v>0.94106559999999995</v>
      </c>
      <c r="N4902">
        <v>0</v>
      </c>
      <c r="O4902">
        <v>-0.3379587</v>
      </c>
      <c r="P4902">
        <v>0.98138139999999996</v>
      </c>
      <c r="Q4902">
        <v>-3.1187110000000001E-2</v>
      </c>
      <c r="R4902">
        <v>-0.1895213</v>
      </c>
      <c r="S4902">
        <v>3.0222169999999999</v>
      </c>
      <c r="T4902">
        <v>-0.27820409999999901</v>
      </c>
      <c r="U4902">
        <v>-0.1286011</v>
      </c>
      <c r="V4902">
        <v>-0.15340500000000001</v>
      </c>
      <c r="W4902">
        <v>-1.7272530000000001E-2</v>
      </c>
      <c r="X4902">
        <v>0.98801240000000001</v>
      </c>
      <c r="Y4902">
        <v>-0.29505320000000002</v>
      </c>
      <c r="Z4902">
        <v>4.405208E-2</v>
      </c>
      <c r="AA4902">
        <v>0.9544648</v>
      </c>
      <c r="AB4902">
        <v>17</v>
      </c>
      <c r="AC4902">
        <v>11.9626999999999</v>
      </c>
      <c r="AD4902">
        <v>-1.1089026479790001</v>
      </c>
      <c r="AE4902">
        <v>-0.48104000000000002</v>
      </c>
      <c r="AF4902">
        <v>-3.5599900688332502</v>
      </c>
      <c r="AG4902">
        <v>-1.1089026479790001</v>
      </c>
      <c r="AH4902">
        <v>11.3241344186648</v>
      </c>
      <c r="AI4902">
        <v>95.336878094839093</v>
      </c>
      <c r="AJ4902">
        <v>107.45168439128599</v>
      </c>
      <c r="AK4902">
        <v>11.922215176085199</v>
      </c>
      <c r="AL4902">
        <v>90.989692316763197</v>
      </c>
      <c r="AM4902">
        <v>98.825630599260293</v>
      </c>
      <c r="AN4902">
        <v>0.99999996843567995</v>
      </c>
    </row>
    <row r="4903" spans="1:40" x14ac:dyDescent="0.3">
      <c r="A4903" t="str">
        <f>"20200111160601184"</f>
        <v>20200111160601184</v>
      </c>
      <c r="B4903" t="str">
        <f>"1578729961176785"</f>
        <v>1578729961176785</v>
      </c>
      <c r="C4903" t="s">
        <v>40</v>
      </c>
      <c r="D4903">
        <v>5.3084089999999904</v>
      </c>
      <c r="E4903">
        <v>0.44502979999999998</v>
      </c>
      <c r="F4903" t="s">
        <v>41</v>
      </c>
      <c r="G4903">
        <v>-395.39109999999999</v>
      </c>
      <c r="H4903" s="1">
        <v>-2.7879220000000002E-6</v>
      </c>
      <c r="I4903">
        <v>21.97954</v>
      </c>
      <c r="J4903">
        <v>-407.58420000000001</v>
      </c>
      <c r="K4903">
        <v>1.108932</v>
      </c>
      <c r="L4903">
        <v>22.476289999999999</v>
      </c>
      <c r="M4903">
        <v>0.94055009999999994</v>
      </c>
      <c r="N4903">
        <v>0</v>
      </c>
      <c r="O4903">
        <v>-0.3393909</v>
      </c>
      <c r="P4903">
        <v>0.98110249999999999</v>
      </c>
      <c r="Q4903">
        <v>-2.970708E-2</v>
      </c>
      <c r="R4903">
        <v>-0.19119549999999999</v>
      </c>
      <c r="S4903">
        <v>3.0229189999999999</v>
      </c>
      <c r="T4903">
        <v>-0.27280169999999998</v>
      </c>
      <c r="U4903">
        <v>-0.13104250000000001</v>
      </c>
      <c r="V4903">
        <v>-0.1532316</v>
      </c>
      <c r="W4903">
        <v>-1.5805739999999999E-2</v>
      </c>
      <c r="X4903">
        <v>0.98806389999999999</v>
      </c>
      <c r="Y4903">
        <v>-0.29583989999999999</v>
      </c>
      <c r="Z4903">
        <v>4.3346160000000002E-2</v>
      </c>
      <c r="AA4903">
        <v>0.95425360000000004</v>
      </c>
      <c r="AB4903">
        <v>17</v>
      </c>
      <c r="AC4903">
        <v>12.193099999999999</v>
      </c>
      <c r="AD4903">
        <v>-1.108934787922</v>
      </c>
      <c r="AE4903">
        <v>-0.49674999999999803</v>
      </c>
      <c r="AF4903">
        <v>-3.6412693042353901</v>
      </c>
      <c r="AG4903">
        <v>-1.108934787922</v>
      </c>
      <c r="AH4903">
        <v>11.542541574144099</v>
      </c>
      <c r="AI4903">
        <v>95.234980995185396</v>
      </c>
      <c r="AJ4903">
        <v>107.508668097842</v>
      </c>
      <c r="AK4903">
        <v>12.1539641475806</v>
      </c>
      <c r="AL4903">
        <v>90.905639897935501</v>
      </c>
      <c r="AM4903">
        <v>98.815359136298397</v>
      </c>
      <c r="AN4903">
        <v>1.00000000756935</v>
      </c>
    </row>
    <row r="4904" spans="1:40" x14ac:dyDescent="0.3">
      <c r="A4904" t="str">
        <f>"20200111160601203"</f>
        <v>20200111160601203</v>
      </c>
      <c r="B4904" t="str">
        <f>"1578729961197281"</f>
        <v>1578729961197281</v>
      </c>
      <c r="C4904" t="s">
        <v>40</v>
      </c>
      <c r="D4904">
        <v>5.3594160000000004</v>
      </c>
      <c r="E4904">
        <v>0.44478259999999997</v>
      </c>
      <c r="F4904" t="s">
        <v>41</v>
      </c>
      <c r="G4904">
        <v>-395.06259999999997</v>
      </c>
      <c r="H4904" s="1">
        <v>-2.9262609999999998E-6</v>
      </c>
      <c r="I4904">
        <v>21.915849999999999</v>
      </c>
      <c r="J4904">
        <v>-407.44850000000002</v>
      </c>
      <c r="K4904">
        <v>1.1090199999999999</v>
      </c>
      <c r="L4904">
        <v>22.424499999999998</v>
      </c>
      <c r="M4904">
        <v>0.939805</v>
      </c>
      <c r="N4904">
        <v>0</v>
      </c>
      <c r="O4904">
        <v>-0.34144869999999999</v>
      </c>
      <c r="P4904">
        <v>0.98044189999999998</v>
      </c>
      <c r="Q4904">
        <v>-2.683077E-2</v>
      </c>
      <c r="R4904">
        <v>-0.19497110000000001</v>
      </c>
      <c r="S4904">
        <v>3.0232540000000001</v>
      </c>
      <c r="T4904">
        <v>-0.26774550000000003</v>
      </c>
      <c r="U4904">
        <v>-0.13531489999999999</v>
      </c>
      <c r="V4904">
        <v>-0.15160370000000001</v>
      </c>
      <c r="W4904">
        <v>-1.2965330000000001E-2</v>
      </c>
      <c r="X4904">
        <v>0.98835640000000002</v>
      </c>
      <c r="Y4904">
        <v>-0.2966704</v>
      </c>
      <c r="Z4904">
        <v>4.2747210000000001E-2</v>
      </c>
      <c r="AA4904">
        <v>0.9540227</v>
      </c>
      <c r="AB4904">
        <v>17</v>
      </c>
      <c r="AC4904">
        <v>12.385899999999999</v>
      </c>
      <c r="AD4904">
        <v>-1.1090229262610001</v>
      </c>
      <c r="AE4904">
        <v>-0.50864999999999905</v>
      </c>
      <c r="AF4904">
        <v>-3.7216667317595098</v>
      </c>
      <c r="AG4904">
        <v>-1.1090229262610001</v>
      </c>
      <c r="AH4904">
        <v>11.721254065725001</v>
      </c>
      <c r="AI4904">
        <v>95.152982597884602</v>
      </c>
      <c r="AJ4904">
        <v>107.615391823726</v>
      </c>
      <c r="AK4904">
        <v>12.3478148668715</v>
      </c>
      <c r="AL4904">
        <v>90.7428794453687</v>
      </c>
      <c r="AM4904">
        <v>98.720612794153197</v>
      </c>
      <c r="AN4904">
        <v>1.00000007752832</v>
      </c>
    </row>
    <row r="4905" spans="1:40" x14ac:dyDescent="0.3">
      <c r="A4905" t="str">
        <f>"20200111160601215"</f>
        <v>20200111160601215</v>
      </c>
      <c r="B4905" t="str">
        <f>"1578729961207040"</f>
        <v>1578729961207040</v>
      </c>
      <c r="C4905" t="s">
        <v>40</v>
      </c>
      <c r="D4905">
        <v>5.3072039999999996</v>
      </c>
      <c r="E4905">
        <v>0.44468479999999999</v>
      </c>
      <c r="F4905" t="s">
        <v>41</v>
      </c>
      <c r="G4905">
        <v>-394.43729999999999</v>
      </c>
      <c r="H4905" s="1">
        <v>-3.191667E-6</v>
      </c>
      <c r="I4905">
        <v>21.802510000000002</v>
      </c>
      <c r="J4905">
        <v>-407.36520000000002</v>
      </c>
      <c r="K4905">
        <v>1.1090899999999999</v>
      </c>
      <c r="L4905">
        <v>22.392489999999999</v>
      </c>
      <c r="M4905">
        <v>0.93935299999999999</v>
      </c>
      <c r="N4905">
        <v>0</v>
      </c>
      <c r="O4905">
        <v>-0.3426901</v>
      </c>
      <c r="P4905">
        <v>0.97997310000000004</v>
      </c>
      <c r="Q4905">
        <v>-2.5715180000000001E-2</v>
      </c>
      <c r="R4905">
        <v>-0.19746279999999999</v>
      </c>
      <c r="S4905">
        <v>3.0240480000000001</v>
      </c>
      <c r="T4905">
        <v>-0.2577585</v>
      </c>
      <c r="U4905">
        <v>-0.14456179999999999</v>
      </c>
      <c r="V4905">
        <v>-0.15040100000000001</v>
      </c>
      <c r="W4905">
        <v>-1.187912E-2</v>
      </c>
      <c r="X4905">
        <v>0.98855369999999998</v>
      </c>
      <c r="Y4905">
        <v>-0.29521249999999999</v>
      </c>
      <c r="Z4905">
        <v>4.117929E-2</v>
      </c>
      <c r="AA4905">
        <v>0.95454380000000005</v>
      </c>
      <c r="AB4905">
        <v>17</v>
      </c>
      <c r="AC4905">
        <v>12.927899999999999</v>
      </c>
      <c r="AD4905">
        <v>-1.1090931916669999</v>
      </c>
      <c r="AE4905">
        <v>-0.58997999999999695</v>
      </c>
      <c r="AF4905">
        <v>-3.8481480063615199</v>
      </c>
      <c r="AG4905">
        <v>-1.1090931916669999</v>
      </c>
      <c r="AH4905">
        <v>12.257124350095101</v>
      </c>
      <c r="AI4905">
        <v>94.934163884320995</v>
      </c>
      <c r="AJ4905">
        <v>107.429782223206</v>
      </c>
      <c r="AK4905">
        <v>12.894782980739199</v>
      </c>
      <c r="AL4905">
        <v>90.6806394515676</v>
      </c>
      <c r="AM4905">
        <v>98.650780910166702</v>
      </c>
      <c r="AN4905">
        <v>0.99999999603833201</v>
      </c>
    </row>
    <row r="4906" spans="1:40" x14ac:dyDescent="0.3">
      <c r="A4906" t="str">
        <f>"20200111160601227"</f>
        <v>20200111160601227</v>
      </c>
      <c r="B4906" t="str">
        <f>"1578729961216800"</f>
        <v>1578729961216800</v>
      </c>
      <c r="C4906" t="s">
        <v>40</v>
      </c>
      <c r="D4906">
        <v>5.2929550000000001</v>
      </c>
      <c r="E4906">
        <v>0.4446194</v>
      </c>
      <c r="F4906" t="s">
        <v>41</v>
      </c>
      <c r="G4906">
        <v>-394.17899999999997</v>
      </c>
      <c r="H4906" s="1">
        <v>-3.2953119999999999E-6</v>
      </c>
      <c r="I4906">
        <v>21.73302</v>
      </c>
      <c r="J4906">
        <v>-407.274</v>
      </c>
      <c r="K4906">
        <v>1.1091719999999901</v>
      </c>
      <c r="L4906">
        <v>22.357420000000001</v>
      </c>
      <c r="M4906">
        <v>0.93886539999999996</v>
      </c>
      <c r="N4906">
        <v>0</v>
      </c>
      <c r="O4906">
        <v>-0.3440242</v>
      </c>
      <c r="P4906">
        <v>0.97950479999999995</v>
      </c>
      <c r="Q4906">
        <v>-2.4666190000000001E-2</v>
      </c>
      <c r="R4906">
        <v>-0.19990550000000001</v>
      </c>
      <c r="S4906">
        <v>3.0241699999999998</v>
      </c>
      <c r="T4906">
        <v>-0.25436340000000002</v>
      </c>
      <c r="U4906">
        <v>-0.15124509999999999</v>
      </c>
      <c r="V4906">
        <v>-0.149343899999999</v>
      </c>
      <c r="W4906">
        <v>-1.086431E-2</v>
      </c>
      <c r="X4906">
        <v>0.98872559999999998</v>
      </c>
      <c r="Y4906">
        <v>-0.29452399999999901</v>
      </c>
      <c r="Z4906">
        <v>4.0709410000000001E-2</v>
      </c>
      <c r="AA4906">
        <v>0.95477659999999998</v>
      </c>
      <c r="AB4906">
        <v>17</v>
      </c>
      <c r="AC4906">
        <v>13.094999999999899</v>
      </c>
      <c r="AD4906">
        <v>-1.10917529531199</v>
      </c>
      <c r="AE4906">
        <v>-0.62440000000000095</v>
      </c>
      <c r="AF4906">
        <v>-3.8912659251611599</v>
      </c>
      <c r="AG4906">
        <v>-1.10917529531199</v>
      </c>
      <c r="AH4906">
        <v>12.4214564273987</v>
      </c>
      <c r="AI4906">
        <v>94.870505176926002</v>
      </c>
      <c r="AJ4906">
        <v>107.39419283720601</v>
      </c>
      <c r="AK4906">
        <v>13.0638738555536</v>
      </c>
      <c r="AL4906">
        <v>90.622491373380996</v>
      </c>
      <c r="AM4906">
        <v>98.589417528032698</v>
      </c>
      <c r="AN4906">
        <v>0.99999997289717202</v>
      </c>
    </row>
    <row r="4907" spans="1:40" x14ac:dyDescent="0.3">
      <c r="A4907" t="str">
        <f>"20200111160601239"</f>
        <v>20200111160601239</v>
      </c>
      <c r="B4907" t="str">
        <f>"1578729961237296"</f>
        <v>1578729961237296</v>
      </c>
      <c r="C4907" t="s">
        <v>40</v>
      </c>
      <c r="D4907">
        <v>5.3492600000000001</v>
      </c>
      <c r="E4907">
        <v>0.44441629999999899</v>
      </c>
      <c r="F4907" t="s">
        <v>41</v>
      </c>
      <c r="G4907">
        <v>-393.92849999999999</v>
      </c>
      <c r="H4907" s="1">
        <v>-3.394292E-6</v>
      </c>
      <c r="I4907">
        <v>21.659960000000002</v>
      </c>
      <c r="J4907">
        <v>-407.18920000000003</v>
      </c>
      <c r="K4907">
        <v>1.1092660000000001</v>
      </c>
      <c r="L4907">
        <v>22.324680000000001</v>
      </c>
      <c r="M4907">
        <v>0.93842729999999996</v>
      </c>
      <c r="N4907">
        <v>0</v>
      </c>
      <c r="O4907">
        <v>-0.34521760000000001</v>
      </c>
      <c r="P4907">
        <v>0.97897299999999998</v>
      </c>
      <c r="Q4907">
        <v>-2.4298050000000002E-2</v>
      </c>
      <c r="R4907">
        <v>-0.20253750000000001</v>
      </c>
      <c r="S4907">
        <v>3.0242309999999999</v>
      </c>
      <c r="T4907">
        <v>-0.25134970000000001</v>
      </c>
      <c r="U4907">
        <v>-0.15805050000000001</v>
      </c>
      <c r="V4907">
        <v>-0.14794309999999999</v>
      </c>
      <c r="W4907">
        <v>-1.053428E-2</v>
      </c>
      <c r="X4907">
        <v>0.98893980000000004</v>
      </c>
      <c r="Y4907">
        <v>-0.29364759999999901</v>
      </c>
      <c r="Z4907">
        <v>4.028023E-2</v>
      </c>
      <c r="AA4907">
        <v>0.95506469999999999</v>
      </c>
      <c r="AB4907">
        <v>17</v>
      </c>
      <c r="AC4907">
        <v>13.2607</v>
      </c>
      <c r="AD4907">
        <v>-1.109269394292</v>
      </c>
      <c r="AE4907">
        <v>-0.66471999999999498</v>
      </c>
      <c r="AF4907">
        <v>-3.9269795344994902</v>
      </c>
      <c r="AG4907">
        <v>-1.109269394292</v>
      </c>
      <c r="AH4907">
        <v>12.5869543569014</v>
      </c>
      <c r="AI4907">
        <v>94.808920614148505</v>
      </c>
      <c r="AJ4907">
        <v>107.327298613113</v>
      </c>
      <c r="AK4907">
        <v>13.2318958141383</v>
      </c>
      <c r="AL4907">
        <v>90.603580929812793</v>
      </c>
      <c r="AM4907">
        <v>98.508220297180699</v>
      </c>
      <c r="AN4907">
        <v>1.00000002995838</v>
      </c>
    </row>
    <row r="4908" spans="1:40" x14ac:dyDescent="0.3">
      <c r="A4908" t="str">
        <f>"20200111160601258"</f>
        <v>20200111160601258</v>
      </c>
      <c r="B4908" t="str">
        <f>"1578729961247056"</f>
        <v>1578729961247056</v>
      </c>
      <c r="C4908" t="s">
        <v>40</v>
      </c>
      <c r="D4908">
        <v>5.3474539999999999</v>
      </c>
      <c r="E4908">
        <v>0.44425720000000002</v>
      </c>
      <c r="F4908" t="s">
        <v>41</v>
      </c>
      <c r="G4908">
        <v>-393.8383</v>
      </c>
      <c r="H4908" s="1">
        <v>-3.4206849999999999E-6</v>
      </c>
      <c r="I4908">
        <v>21.599029999999999</v>
      </c>
      <c r="J4908">
        <v>-407.0532</v>
      </c>
      <c r="K4908">
        <v>1.109429</v>
      </c>
      <c r="L4908">
        <v>22.271999999999998</v>
      </c>
      <c r="M4908">
        <v>0.93776280000000001</v>
      </c>
      <c r="N4908">
        <v>0</v>
      </c>
      <c r="O4908">
        <v>-0.347018099999999</v>
      </c>
      <c r="P4908">
        <v>0.9781917</v>
      </c>
      <c r="Q4908">
        <v>-2.4289459999999999E-2</v>
      </c>
      <c r="R4908">
        <v>-0.20627880000000001</v>
      </c>
      <c r="S4908">
        <v>3.0241389999999999</v>
      </c>
      <c r="T4908">
        <v>-0.2512625</v>
      </c>
      <c r="U4908">
        <v>-0.16436770000000001</v>
      </c>
      <c r="V4908">
        <v>-0.14605699999999999</v>
      </c>
      <c r="W4908">
        <v>-1.059238E-2</v>
      </c>
      <c r="X4908">
        <v>0.98921950000000003</v>
      </c>
      <c r="Y4908">
        <v>-0.2934872</v>
      </c>
      <c r="Z4908">
        <v>4.0397189999999999E-2</v>
      </c>
      <c r="AA4908">
        <v>0.95510910000000004</v>
      </c>
      <c r="AB4908">
        <v>17</v>
      </c>
      <c r="AC4908">
        <v>13.2149</v>
      </c>
      <c r="AD4908">
        <v>-1.1094324206849999</v>
      </c>
      <c r="AE4908">
        <v>-0.67296999999999896</v>
      </c>
      <c r="AF4908">
        <v>-3.9274682763297299</v>
      </c>
      <c r="AG4908">
        <v>-1.1094324206849999</v>
      </c>
      <c r="AH4908">
        <v>12.5389592805062</v>
      </c>
      <c r="AI4908">
        <v>94.826259728283205</v>
      </c>
      <c r="AJ4908">
        <v>107.391663989877</v>
      </c>
      <c r="AK4908">
        <v>13.1864076683469</v>
      </c>
      <c r="AL4908">
        <v>90.606909998718507</v>
      </c>
      <c r="AM4908">
        <v>98.398966822538199</v>
      </c>
      <c r="AN4908">
        <v>1.00000003247165</v>
      </c>
    </row>
    <row r="4909" spans="1:40" x14ac:dyDescent="0.3">
      <c r="A4909" t="str">
        <f>"20200111160601271"</f>
        <v>20200111160601271</v>
      </c>
      <c r="B4909" t="str">
        <f>"1578729961266577"</f>
        <v>1578729961266577</v>
      </c>
      <c r="C4909" t="s">
        <v>40</v>
      </c>
      <c r="D4909">
        <v>5.4203109999999999</v>
      </c>
      <c r="E4909">
        <v>0.44408350000000002</v>
      </c>
      <c r="F4909" t="s">
        <v>41</v>
      </c>
      <c r="G4909">
        <v>-393.68079999999998</v>
      </c>
      <c r="H4909" s="1">
        <v>-3.4689080000000002E-6</v>
      </c>
      <c r="I4909">
        <v>21.500450000000001</v>
      </c>
      <c r="J4909">
        <v>-406.96620000000001</v>
      </c>
      <c r="K4909">
        <v>1.1095440000000001</v>
      </c>
      <c r="L4909">
        <v>22.23828</v>
      </c>
      <c r="M4909">
        <v>0.93736969999999997</v>
      </c>
      <c r="N4909">
        <v>0</v>
      </c>
      <c r="O4909">
        <v>-0.34807890000000002</v>
      </c>
      <c r="P4909">
        <v>0.97779400000000005</v>
      </c>
      <c r="Q4909">
        <v>-2.4661829999999999E-2</v>
      </c>
      <c r="R4909">
        <v>-0.2081124</v>
      </c>
      <c r="S4909">
        <v>3.0238649999999998</v>
      </c>
      <c r="T4909">
        <v>-0.25087310000000002</v>
      </c>
      <c r="U4909">
        <v>-0.17446900000000001</v>
      </c>
      <c r="V4909">
        <v>-0.14531659999999999</v>
      </c>
      <c r="W4909">
        <v>-1.101099E-2</v>
      </c>
      <c r="X4909">
        <v>0.98932390000000003</v>
      </c>
      <c r="Y4909">
        <v>-0.29139300000000001</v>
      </c>
      <c r="Z4909">
        <v>4.0326870000000001E-2</v>
      </c>
      <c r="AA4909">
        <v>0.95575299999999996</v>
      </c>
      <c r="AB4909">
        <v>17</v>
      </c>
      <c r="AC4909">
        <v>13.285399999999999</v>
      </c>
      <c r="AD4909">
        <v>-1.109547468908</v>
      </c>
      <c r="AE4909">
        <v>-0.73782999999999799</v>
      </c>
      <c r="AF4909">
        <v>-3.90594015177405</v>
      </c>
      <c r="AG4909">
        <v>-1.109547468908</v>
      </c>
      <c r="AH4909">
        <v>12.6235150391167</v>
      </c>
      <c r="AI4909">
        <v>94.799732300677306</v>
      </c>
      <c r="AJ4909">
        <v>107.192997776054</v>
      </c>
      <c r="AK4909">
        <v>13.2604900361113</v>
      </c>
      <c r="AL4909">
        <v>90.630896024630701</v>
      </c>
      <c r="AM4909">
        <v>98.356123684755701</v>
      </c>
      <c r="AN4909">
        <v>0.99999996762377397</v>
      </c>
    </row>
    <row r="4910" spans="1:40" x14ac:dyDescent="0.3">
      <c r="A4910" t="str">
        <f>"20200111160601292"</f>
        <v>20200111160601292</v>
      </c>
      <c r="B4910" t="str">
        <f>"1578729961287073"</f>
        <v>1578729961287073</v>
      </c>
      <c r="C4910" t="s">
        <v>40</v>
      </c>
      <c r="D4910">
        <v>5.383877</v>
      </c>
      <c r="E4910">
        <v>0.44303169999999997</v>
      </c>
      <c r="F4910" t="s">
        <v>41</v>
      </c>
      <c r="G4910">
        <v>-393.69529999999997</v>
      </c>
      <c r="H4910" s="1">
        <v>-3.4495709999999998E-6</v>
      </c>
      <c r="I4910">
        <v>21.453379999999999</v>
      </c>
      <c r="J4910">
        <v>-406.80880000000002</v>
      </c>
      <c r="K4910">
        <v>1.109769</v>
      </c>
      <c r="L4910">
        <v>22.177250000000001</v>
      </c>
      <c r="M4910">
        <v>0.93673249999999997</v>
      </c>
      <c r="N4910">
        <v>0</v>
      </c>
      <c r="O4910">
        <v>-0.3497905</v>
      </c>
      <c r="P4910">
        <v>0.97723419999999905</v>
      </c>
      <c r="Q4910">
        <v>-2.4821449999999998E-2</v>
      </c>
      <c r="R4910">
        <v>-0.21070639999999999</v>
      </c>
      <c r="S4910">
        <v>3.023682</v>
      </c>
      <c r="T4910">
        <v>-0.2528012</v>
      </c>
      <c r="U4910">
        <v>-0.17883299999999999</v>
      </c>
      <c r="V4910">
        <v>-0.1444906</v>
      </c>
      <c r="W4910">
        <v>-1.126099E-2</v>
      </c>
      <c r="X4910">
        <v>0.98944209999999999</v>
      </c>
      <c r="Y4910">
        <v>-0.29172160000000003</v>
      </c>
      <c r="Z4910">
        <v>4.0783100000000003E-2</v>
      </c>
      <c r="AA4910">
        <v>0.95563339999999997</v>
      </c>
      <c r="AB4910">
        <v>17</v>
      </c>
      <c r="AC4910">
        <v>13.1135</v>
      </c>
      <c r="AD4910">
        <v>-1.109772449571</v>
      </c>
      <c r="AE4910">
        <v>-0.72387000000000101</v>
      </c>
      <c r="AF4910">
        <v>-3.88153982459077</v>
      </c>
      <c r="AG4910">
        <v>-1.109772449571</v>
      </c>
      <c r="AH4910">
        <v>12.449275534724499</v>
      </c>
      <c r="AI4910">
        <v>94.864318805342506</v>
      </c>
      <c r="AJ4910">
        <v>107.316873333578</v>
      </c>
      <c r="AK4910">
        <v>13.0874905019717</v>
      </c>
      <c r="AL4910">
        <v>90.645220833283304</v>
      </c>
      <c r="AM4910">
        <v>98.308312558230895</v>
      </c>
      <c r="AN4910">
        <v>1.0000000063182699</v>
      </c>
    </row>
    <row r="4911" spans="1:40" x14ac:dyDescent="0.3">
      <c r="A4911" t="str">
        <f>"20200111160601304"</f>
        <v>20200111160601304</v>
      </c>
      <c r="B4911" t="str">
        <f>"1578729961296833"</f>
        <v>1578729961296833</v>
      </c>
      <c r="C4911" t="s">
        <v>40</v>
      </c>
      <c r="D4911">
        <v>5.6536099999999996</v>
      </c>
      <c r="E4911">
        <v>0.4429746</v>
      </c>
      <c r="F4911" t="s">
        <v>41</v>
      </c>
      <c r="G4911">
        <v>-397.07209999999998</v>
      </c>
      <c r="H4911" s="1">
        <v>-1.8965650000000001E-6</v>
      </c>
      <c r="I4911">
        <v>21.616</v>
      </c>
      <c r="J4911">
        <v>-406.72500000000002</v>
      </c>
      <c r="K4911">
        <v>1.1098950000000001</v>
      </c>
      <c r="L4911">
        <v>22.14471</v>
      </c>
      <c r="M4911">
        <v>0.93642579999999997</v>
      </c>
      <c r="N4911">
        <v>0</v>
      </c>
      <c r="O4911">
        <v>-0.35061150000000002</v>
      </c>
      <c r="P4911">
        <v>0.97700750000000003</v>
      </c>
      <c r="Q4911">
        <v>-2.4576250000000001E-2</v>
      </c>
      <c r="R4911">
        <v>-0.21178459999999999</v>
      </c>
      <c r="S4911">
        <v>3.0235599999999998</v>
      </c>
      <c r="T4911">
        <v>-0.34461920000000001</v>
      </c>
      <c r="U4911">
        <v>-0.17428589999999999</v>
      </c>
      <c r="V4911">
        <v>-0.14426449999999999</v>
      </c>
      <c r="W4911">
        <v>-1.1066060000000001E-2</v>
      </c>
      <c r="X4911">
        <v>0.9894773</v>
      </c>
      <c r="Y4911">
        <v>-0.29211559999999998</v>
      </c>
      <c r="Z4911">
        <v>5.5629850000000002E-2</v>
      </c>
      <c r="AA4911">
        <v>0.95476369999999999</v>
      </c>
      <c r="AB4911">
        <v>17</v>
      </c>
      <c r="AC4911">
        <v>9.6529000000000398</v>
      </c>
      <c r="AD4911">
        <v>-1.109896896565</v>
      </c>
      <c r="AE4911">
        <v>-0.52871000000000001</v>
      </c>
      <c r="AF4911">
        <v>-2.8519856221560298</v>
      </c>
      <c r="AG4911">
        <v>-1.109896896565</v>
      </c>
      <c r="AH4911">
        <v>9.1054004938623905</v>
      </c>
      <c r="AI4911">
        <v>96.634934655420096</v>
      </c>
      <c r="AJ4911">
        <v>107.391554310416</v>
      </c>
      <c r="AK4911">
        <v>9.6059362512781004</v>
      </c>
      <c r="AL4911">
        <v>90.634051465249698</v>
      </c>
      <c r="AM4911">
        <v>98.295201711419594</v>
      </c>
      <c r="AN4911">
        <v>1.0000000154297299</v>
      </c>
    </row>
    <row r="4912" spans="1:40" x14ac:dyDescent="0.3">
      <c r="A4912" t="str">
        <f>"20200111160601316"</f>
        <v>20200111160601316</v>
      </c>
      <c r="B4912" t="str">
        <f>"1578729961306593"</f>
        <v>1578729961306593</v>
      </c>
      <c r="C4912" t="s">
        <v>40</v>
      </c>
      <c r="D4912">
        <v>5.4205719999999999</v>
      </c>
      <c r="E4912">
        <v>0.44292720000000002</v>
      </c>
      <c r="F4912" t="s">
        <v>41</v>
      </c>
      <c r="G4912">
        <v>-397.04090000000002</v>
      </c>
      <c r="H4912" s="1">
        <v>-1.9012990000000001E-6</v>
      </c>
      <c r="I4912">
        <v>21.578279999999999</v>
      </c>
      <c r="J4912">
        <v>-406.63650000000001</v>
      </c>
      <c r="K4912">
        <v>1.110034</v>
      </c>
      <c r="L4912">
        <v>22.110440000000001</v>
      </c>
      <c r="M4912">
        <v>0.93615780000000004</v>
      </c>
      <c r="N4912">
        <v>0</v>
      </c>
      <c r="O4912">
        <v>-0.35132600000000003</v>
      </c>
      <c r="P4912">
        <v>0.97680460000000002</v>
      </c>
      <c r="Q4912">
        <v>-2.449865E-2</v>
      </c>
      <c r="R4912">
        <v>-0.21272640000000001</v>
      </c>
      <c r="S4912">
        <v>3.0235599999999998</v>
      </c>
      <c r="T4912">
        <v>-0.34652870000000002</v>
      </c>
      <c r="U4912">
        <v>-0.17684939999999999</v>
      </c>
      <c r="V4912">
        <v>-0.14406260000000001</v>
      </c>
      <c r="W4912">
        <v>-1.104252E-2</v>
      </c>
      <c r="X4912">
        <v>0.98950700000000003</v>
      </c>
      <c r="Y4912">
        <v>-0.29199009999999997</v>
      </c>
      <c r="Z4912">
        <v>5.6003049999999999E-2</v>
      </c>
      <c r="AA4912">
        <v>0.95478030000000003</v>
      </c>
      <c r="AB4912">
        <v>17</v>
      </c>
      <c r="AC4912">
        <v>9.5955999999999904</v>
      </c>
      <c r="AD4912">
        <v>-1.110035901299</v>
      </c>
      <c r="AE4912">
        <v>-0.53216000000000097</v>
      </c>
      <c r="AF4912">
        <v>-2.8354265497261202</v>
      </c>
      <c r="AG4912">
        <v>-1.110035901299</v>
      </c>
      <c r="AH4912">
        <v>9.0500377926193902</v>
      </c>
      <c r="AI4912">
        <v>96.675823496427697</v>
      </c>
      <c r="AJ4912">
        <v>107.396060331651</v>
      </c>
      <c r="AK4912">
        <v>9.5485604919748805</v>
      </c>
      <c r="AL4912">
        <v>90.632702626870099</v>
      </c>
      <c r="AM4912">
        <v>98.283508499277502</v>
      </c>
      <c r="AN4912">
        <v>1.0000000365078501</v>
      </c>
    </row>
    <row r="4913" spans="1:40" x14ac:dyDescent="0.3">
      <c r="A4913" t="str">
        <f>"20200111160601327"</f>
        <v>20200111160601327</v>
      </c>
      <c r="B4913" t="str">
        <f>"1578729961317329"</f>
        <v>1578729961317329</v>
      </c>
      <c r="C4913" t="s">
        <v>40</v>
      </c>
      <c r="D4913">
        <v>5.5511599999999897</v>
      </c>
      <c r="E4913">
        <v>0.44292720000000002</v>
      </c>
      <c r="F4913" t="s">
        <v>41</v>
      </c>
      <c r="G4913">
        <v>-396.964</v>
      </c>
      <c r="H4913" s="1">
        <v>-1.926763E-6</v>
      </c>
      <c r="I4913">
        <v>21.537459999999999</v>
      </c>
      <c r="J4913">
        <v>-406.56139999999999</v>
      </c>
      <c r="K4913">
        <v>1.1101540000000001</v>
      </c>
      <c r="L4913">
        <v>22.08136</v>
      </c>
      <c r="M4913">
        <v>0.93594690000000003</v>
      </c>
      <c r="N4913">
        <v>0</v>
      </c>
      <c r="O4913">
        <v>-0.35188779999999997</v>
      </c>
      <c r="P4913">
        <v>0.97661229999999999</v>
      </c>
      <c r="Q4913">
        <v>-2.4264979999999998E-2</v>
      </c>
      <c r="R4913">
        <v>-0.21363480000000001</v>
      </c>
      <c r="S4913">
        <v>3.0234990000000002</v>
      </c>
      <c r="T4913">
        <v>-0.34698279999999998</v>
      </c>
      <c r="U4913">
        <v>-0.17910770000000001</v>
      </c>
      <c r="V4913">
        <v>-0.14373449999999999</v>
      </c>
      <c r="W4913">
        <v>-1.085451E-2</v>
      </c>
      <c r="X4913">
        <v>0.98955680000000001</v>
      </c>
      <c r="Y4913">
        <v>-0.2918386</v>
      </c>
      <c r="Z4913">
        <v>5.612644E-2</v>
      </c>
      <c r="AA4913">
        <v>0.95481939999999998</v>
      </c>
      <c r="AB4913">
        <v>17</v>
      </c>
      <c r="AC4913">
        <v>9.5973999999999897</v>
      </c>
      <c r="AD4913">
        <v>-1.1101559267629999</v>
      </c>
      <c r="AE4913">
        <v>-0.54390000000000005</v>
      </c>
      <c r="AF4913">
        <v>-2.8306490524670198</v>
      </c>
      <c r="AG4913">
        <v>-1.1101559267629999</v>
      </c>
      <c r="AH4913">
        <v>9.0541094290781103</v>
      </c>
      <c r="AI4913">
        <v>96.674823902897799</v>
      </c>
      <c r="AJ4913">
        <v>107.361172311494</v>
      </c>
      <c r="AK4913">
        <v>9.5510165843056001</v>
      </c>
      <c r="AL4913">
        <v>90.621929797609596</v>
      </c>
      <c r="AM4913">
        <v>98.264493672840999</v>
      </c>
      <c r="AN4913">
        <v>1.0000000436519101</v>
      </c>
    </row>
    <row r="4914" spans="1:40" x14ac:dyDescent="0.3">
      <c r="A4914" t="str">
        <f>"20200111160601338"</f>
        <v>20200111160601338</v>
      </c>
      <c r="B4914" t="str">
        <f>"1578729961327089"</f>
        <v>1578729961327089</v>
      </c>
      <c r="C4914" t="s">
        <v>40</v>
      </c>
      <c r="D4914">
        <v>5.4846519999999996</v>
      </c>
      <c r="E4914">
        <v>0.44414880000000001</v>
      </c>
      <c r="F4914" t="s">
        <v>41</v>
      </c>
      <c r="G4914">
        <v>-396.85039999999998</v>
      </c>
      <c r="H4914" s="1">
        <v>-1.9700389999999998E-6</v>
      </c>
      <c r="I4914">
        <v>21.498259999999998</v>
      </c>
      <c r="J4914">
        <v>-406.47469999999998</v>
      </c>
      <c r="K4914">
        <v>1.1102920000000001</v>
      </c>
      <c r="L4914">
        <v>22.04785</v>
      </c>
      <c r="M4914">
        <v>0.93574729999999995</v>
      </c>
      <c r="N4914">
        <v>0</v>
      </c>
      <c r="O4914">
        <v>-0.35241860000000003</v>
      </c>
      <c r="P4914">
        <v>0.97641960000000005</v>
      </c>
      <c r="Q4914">
        <v>-2.4277819999999999E-2</v>
      </c>
      <c r="R4914">
        <v>-0.21451219999999999</v>
      </c>
      <c r="S4914">
        <v>3.0235289999999999</v>
      </c>
      <c r="T4914">
        <v>-0.3456475</v>
      </c>
      <c r="U4914">
        <v>-0.18154909999999999</v>
      </c>
      <c r="V4914">
        <v>-0.14340359999999999</v>
      </c>
      <c r="W4914">
        <v>-1.092039E-2</v>
      </c>
      <c r="X4914">
        <v>0.98960409999999999</v>
      </c>
      <c r="Y4914">
        <v>-0.29164289999999998</v>
      </c>
      <c r="Z4914">
        <v>5.5954410000000003E-2</v>
      </c>
      <c r="AA4914">
        <v>0.95488930000000005</v>
      </c>
      <c r="AB4914">
        <v>17</v>
      </c>
      <c r="AC4914">
        <v>9.6242999999999999</v>
      </c>
      <c r="AD4914">
        <v>-1.110293970039</v>
      </c>
      <c r="AE4914">
        <v>-0.54958999999999802</v>
      </c>
      <c r="AF4914">
        <v>-2.8400861050184298</v>
      </c>
      <c r="AG4914">
        <v>-1.110293970039</v>
      </c>
      <c r="AH4914">
        <v>9.0799675587769606</v>
      </c>
      <c r="AI4914">
        <v>96.656526224741</v>
      </c>
      <c r="AJ4914">
        <v>107.368948522894</v>
      </c>
      <c r="AK4914">
        <v>9.5783428969872304</v>
      </c>
      <c r="AL4914">
        <v>90.625704656235101</v>
      </c>
      <c r="AM4914">
        <v>98.2453406916555</v>
      </c>
      <c r="AN4914">
        <v>1.0000000610737501</v>
      </c>
    </row>
    <row r="4915" spans="1:40" x14ac:dyDescent="0.3">
      <c r="A4915" t="str">
        <f>"20200111160601351"</f>
        <v>20200111160601351</v>
      </c>
      <c r="B4915" t="str">
        <f>"1578729961346609"</f>
        <v>1578729961346609</v>
      </c>
      <c r="C4915" t="s">
        <v>40</v>
      </c>
      <c r="D4915">
        <v>5.5508069999999998</v>
      </c>
      <c r="E4915">
        <v>0.44866669999999997</v>
      </c>
      <c r="F4915" t="s">
        <v>41</v>
      </c>
      <c r="G4915">
        <v>-396.49180000000001</v>
      </c>
      <c r="H4915" s="1">
        <v>-2.1152909999999999E-6</v>
      </c>
      <c r="I4915">
        <v>21.407080000000001</v>
      </c>
      <c r="J4915">
        <v>-406.3929</v>
      </c>
      <c r="K4915">
        <v>1.1104229999999999</v>
      </c>
      <c r="L4915">
        <v>22.016359999999999</v>
      </c>
      <c r="M4915">
        <v>0.9356004</v>
      </c>
      <c r="N4915">
        <v>0</v>
      </c>
      <c r="O4915">
        <v>-0.35280830000000002</v>
      </c>
      <c r="P4915">
        <v>0.97624270000000002</v>
      </c>
      <c r="Q4915">
        <v>-2.430792E-2</v>
      </c>
      <c r="R4915">
        <v>-0.21531210000000001</v>
      </c>
      <c r="S4915">
        <v>3.0214840000000001</v>
      </c>
      <c r="T4915">
        <v>-0.33604980000000001</v>
      </c>
      <c r="U4915">
        <v>-0.19393920000000001</v>
      </c>
      <c r="V4915">
        <v>-0.1430004</v>
      </c>
      <c r="W4915">
        <v>-1.1001189999999999E-2</v>
      </c>
      <c r="X4915">
        <v>0.98966149999999997</v>
      </c>
      <c r="Y4915">
        <v>-0.28833700000000001</v>
      </c>
      <c r="Z4915">
        <v>5.4290680000000001E-2</v>
      </c>
      <c r="AA4915">
        <v>0.95598859999999997</v>
      </c>
      <c r="AB4915">
        <v>17</v>
      </c>
      <c r="AC4915">
        <v>9.90109999999998</v>
      </c>
      <c r="AD4915">
        <v>-1.1104251152910001</v>
      </c>
      <c r="AE4915">
        <v>-0.60927999999999805</v>
      </c>
      <c r="AF4915">
        <v>-2.8872295477476499</v>
      </c>
      <c r="AG4915">
        <v>-1.1104251152910001</v>
      </c>
      <c r="AH4915">
        <v>9.3619661761092097</v>
      </c>
      <c r="AI4915">
        <v>96.466457261728706</v>
      </c>
      <c r="AJ4915">
        <v>107.13975795641799</v>
      </c>
      <c r="AK4915">
        <v>9.8597945759873191</v>
      </c>
      <c r="AL4915">
        <v>90.630334463622006</v>
      </c>
      <c r="AM4915">
        <v>98.222004770800595</v>
      </c>
      <c r="AN4915">
        <v>1.00000001258191</v>
      </c>
    </row>
    <row r="4916" spans="1:40" x14ac:dyDescent="0.3">
      <c r="A4916" t="str">
        <f>"20200111160601363"</f>
        <v>20200111160601363</v>
      </c>
      <c r="B4916" t="str">
        <f>"1578729961357345"</f>
        <v>1578729961357345</v>
      </c>
      <c r="C4916" t="s">
        <v>40</v>
      </c>
      <c r="D4916">
        <v>5.5807760000000002</v>
      </c>
      <c r="E4916">
        <v>0.44998110000000002</v>
      </c>
      <c r="F4916" t="s">
        <v>41</v>
      </c>
      <c r="G4916">
        <v>-396.09030000000001</v>
      </c>
      <c r="H4916" s="1">
        <v>-2.256426E-6</v>
      </c>
      <c r="I4916">
        <v>21.224240000000002</v>
      </c>
      <c r="J4916">
        <v>-406.3</v>
      </c>
      <c r="K4916">
        <v>1.110576</v>
      </c>
      <c r="L4916">
        <v>21.980650000000001</v>
      </c>
      <c r="M4916">
        <v>0.93546549999999995</v>
      </c>
      <c r="N4916">
        <v>0</v>
      </c>
      <c r="O4916">
        <v>-0.35316599999999998</v>
      </c>
      <c r="P4916">
        <v>0.9760799</v>
      </c>
      <c r="Q4916">
        <v>-2.4285560000000001E-2</v>
      </c>
      <c r="R4916">
        <v>-0.21605179999999999</v>
      </c>
      <c r="S4916">
        <v>3.0138240000000001</v>
      </c>
      <c r="T4916">
        <v>-0.32483479999999998</v>
      </c>
      <c r="U4916">
        <v>-0.23172000000000001</v>
      </c>
      <c r="V4916">
        <v>-0.14262520000000001</v>
      </c>
      <c r="W4916">
        <v>-1.103695E-2</v>
      </c>
      <c r="X4916">
        <v>0.98971520000000002</v>
      </c>
      <c r="Y4916">
        <v>-0.27690379999999998</v>
      </c>
      <c r="Z4916">
        <v>5.2000709999999999E-2</v>
      </c>
      <c r="AA4916">
        <v>0.95948960000000005</v>
      </c>
      <c r="AB4916">
        <v>17</v>
      </c>
      <c r="AC4916">
        <v>10.2096999999999</v>
      </c>
      <c r="AD4916">
        <v>-1.1105782564260001</v>
      </c>
      <c r="AE4916">
        <v>-0.75641000000000203</v>
      </c>
      <c r="AF4916">
        <v>-2.8646706716173602</v>
      </c>
      <c r="AG4916">
        <v>-1.1105782564260001</v>
      </c>
      <c r="AH4916">
        <v>9.7046325707362495</v>
      </c>
      <c r="AI4916">
        <v>96.263486756235295</v>
      </c>
      <c r="AJ4916">
        <v>106.445857143734</v>
      </c>
      <c r="AK4916">
        <v>10.179372055950401</v>
      </c>
      <c r="AL4916">
        <v>90.632383512300706</v>
      </c>
      <c r="AM4916">
        <v>98.200287025820799</v>
      </c>
      <c r="AN4916">
        <v>0.99999996952569004</v>
      </c>
    </row>
    <row r="4917" spans="1:40" x14ac:dyDescent="0.3">
      <c r="A4917" t="str">
        <f>"20200111160601382"</f>
        <v>20200111160601382</v>
      </c>
      <c r="B4917" t="str">
        <f>"1578729961376864"</f>
        <v>1578729961376864</v>
      </c>
      <c r="C4917" t="s">
        <v>40</v>
      </c>
      <c r="D4917">
        <v>5.640828</v>
      </c>
      <c r="E4917">
        <v>0.45170510000000003</v>
      </c>
      <c r="F4917" t="s">
        <v>41</v>
      </c>
      <c r="G4917">
        <v>-395.92590000000001</v>
      </c>
      <c r="H4917" s="1">
        <v>-2.3119109999999999E-6</v>
      </c>
      <c r="I4917">
        <v>21.140689999999999</v>
      </c>
      <c r="J4917">
        <v>-406.1703</v>
      </c>
      <c r="K4917">
        <v>1.110797</v>
      </c>
      <c r="L4917">
        <v>21.93112</v>
      </c>
      <c r="M4917">
        <v>0.93539609999999995</v>
      </c>
      <c r="N4917">
        <v>0</v>
      </c>
      <c r="O4917">
        <v>-0.35335</v>
      </c>
      <c r="P4917">
        <v>0.97588450000000004</v>
      </c>
      <c r="Q4917">
        <v>-2.4230829999999998E-2</v>
      </c>
      <c r="R4917">
        <v>-0.21693789999999999</v>
      </c>
      <c r="S4917">
        <v>3.011536</v>
      </c>
      <c r="T4917">
        <v>-0.32239410000000002</v>
      </c>
      <c r="U4917">
        <v>-0.24383540000000001</v>
      </c>
      <c r="V4917">
        <v>-0.141916299999999</v>
      </c>
      <c r="W4917">
        <v>-1.1065500000000001E-2</v>
      </c>
      <c r="X4917">
        <v>0.98981680000000005</v>
      </c>
      <c r="Y4917">
        <v>-0.2732676</v>
      </c>
      <c r="Z4917">
        <v>5.1461069999999998E-2</v>
      </c>
      <c r="AA4917">
        <v>0.96056059999999999</v>
      </c>
      <c r="AB4917">
        <v>17</v>
      </c>
      <c r="AC4917">
        <v>10.244399999999899</v>
      </c>
      <c r="AD4917">
        <v>-1.110799311911</v>
      </c>
      <c r="AE4917">
        <v>-0.79042999999999997</v>
      </c>
      <c r="AF4917">
        <v>-2.8474701642059599</v>
      </c>
      <c r="AG4917">
        <v>-1.110799311911</v>
      </c>
      <c r="AH4917">
        <v>9.7488087756803807</v>
      </c>
      <c r="AI4917">
        <v>96.241750083648597</v>
      </c>
      <c r="AJ4917">
        <v>106.282234153182</v>
      </c>
      <c r="AK4917">
        <v>10.2167134633485</v>
      </c>
      <c r="AL4917">
        <v>90.634019394071203</v>
      </c>
      <c r="AM4917">
        <v>98.159252511380004</v>
      </c>
      <c r="AN4917">
        <v>0.99999998952908997</v>
      </c>
    </row>
    <row r="4918" spans="1:40" x14ac:dyDescent="0.3">
      <c r="A4918" t="str">
        <f>"20200111160601394"</f>
        <v>20200111160601394</v>
      </c>
      <c r="B4918" t="str">
        <f>"1578729961386625"</f>
        <v>1578729961386625</v>
      </c>
      <c r="C4918" t="s">
        <v>40</v>
      </c>
      <c r="D4918">
        <v>5.5837059999999896</v>
      </c>
      <c r="E4918">
        <v>0.4527352</v>
      </c>
      <c r="F4918" t="s">
        <v>41</v>
      </c>
      <c r="G4918">
        <v>-395.35419999999999</v>
      </c>
      <c r="H4918" s="1">
        <v>-2.5440160000000001E-6</v>
      </c>
      <c r="I4918">
        <v>20.99729</v>
      </c>
      <c r="J4918">
        <v>-406.08420000000001</v>
      </c>
      <c r="K4918">
        <v>1.110951</v>
      </c>
      <c r="L4918">
        <v>21.898440000000001</v>
      </c>
      <c r="M4918">
        <v>0.93542130000000001</v>
      </c>
      <c r="N4918">
        <v>0</v>
      </c>
      <c r="O4918">
        <v>-0.35328389999999998</v>
      </c>
      <c r="P4918">
        <v>0.97579990000000005</v>
      </c>
      <c r="Q4918">
        <v>-2.4615959999999999E-2</v>
      </c>
      <c r="R4918">
        <v>-0.21727650000000001</v>
      </c>
      <c r="S4918">
        <v>3.0087280000000001</v>
      </c>
      <c r="T4918">
        <v>-0.30899199999999999</v>
      </c>
      <c r="U4918">
        <v>-0.25976559999999999</v>
      </c>
      <c r="V4918">
        <v>-0.1414946</v>
      </c>
      <c r="W4918">
        <v>-1.150692E-2</v>
      </c>
      <c r="X4918">
        <v>0.98987219999999998</v>
      </c>
      <c r="Y4918">
        <v>-0.26837640000000001</v>
      </c>
      <c r="Z4918">
        <v>4.9103340000000002E-2</v>
      </c>
      <c r="AA4918">
        <v>0.96206179999999997</v>
      </c>
      <c r="AB4918">
        <v>17</v>
      </c>
      <c r="AC4918">
        <v>10.73</v>
      </c>
      <c r="AD4918">
        <v>-1.1109535440160001</v>
      </c>
      <c r="AE4918">
        <v>-0.90115000000000101</v>
      </c>
      <c r="AF4918">
        <v>-2.9169919936723101</v>
      </c>
      <c r="AG4918">
        <v>-1.1109535440160001</v>
      </c>
      <c r="AH4918">
        <v>10.2472706432003</v>
      </c>
      <c r="AI4918">
        <v>95.952844345656104</v>
      </c>
      <c r="AJ4918">
        <v>105.88955353123001</v>
      </c>
      <c r="AK4918">
        <v>10.712124705356301</v>
      </c>
      <c r="AL4918">
        <v>90.659312467503497</v>
      </c>
      <c r="AM4918">
        <v>98.134883350087605</v>
      </c>
      <c r="AN4918">
        <v>1.0000000516849401</v>
      </c>
    </row>
    <row r="4919" spans="1:40" x14ac:dyDescent="0.3">
      <c r="A4919" t="str">
        <f>"20200111160601406"</f>
        <v>20200111160601406</v>
      </c>
      <c r="B4919" t="str">
        <f>"1578729961397361"</f>
        <v>1578729961397361</v>
      </c>
      <c r="C4919" t="s">
        <v>40</v>
      </c>
      <c r="D4919">
        <v>5.5185500000000003</v>
      </c>
      <c r="E4919">
        <v>0.45370630000000001</v>
      </c>
      <c r="F4919" t="s">
        <v>41</v>
      </c>
      <c r="G4919">
        <v>-395.14890000000003</v>
      </c>
      <c r="H4919" s="1">
        <v>-2.6209260000000001E-6</v>
      </c>
      <c r="I4919">
        <v>20.92155</v>
      </c>
      <c r="J4919">
        <v>-405.99560000000002</v>
      </c>
      <c r="K4919">
        <v>1.111105</v>
      </c>
      <c r="L4919">
        <v>21.864989999999999</v>
      </c>
      <c r="M4919">
        <v>0.93547840000000004</v>
      </c>
      <c r="N4919">
        <v>0</v>
      </c>
      <c r="O4919">
        <v>-0.3531318</v>
      </c>
      <c r="P4919">
        <v>0.9757344</v>
      </c>
      <c r="Q4919">
        <v>-2.48992E-2</v>
      </c>
      <c r="R4919">
        <v>-0.21753719999999999</v>
      </c>
      <c r="S4919">
        <v>3.0068969999999999</v>
      </c>
      <c r="T4919">
        <v>-0.3054789</v>
      </c>
      <c r="U4919">
        <v>-0.26861570000000001</v>
      </c>
      <c r="V4919">
        <v>-0.1410621</v>
      </c>
      <c r="W4919">
        <v>-1.184761E-2</v>
      </c>
      <c r="X4919">
        <v>0.98992990000000003</v>
      </c>
      <c r="Y4919">
        <v>-0.26544299999999998</v>
      </c>
      <c r="Z4919">
        <v>4.8403660000000001E-2</v>
      </c>
      <c r="AA4919">
        <v>0.96291079999999996</v>
      </c>
      <c r="AB4919">
        <v>17</v>
      </c>
      <c r="AC4919">
        <v>10.846699999999901</v>
      </c>
      <c r="AD4919">
        <v>-1.111107620926</v>
      </c>
      <c r="AE4919">
        <v>-0.94343999999999895</v>
      </c>
      <c r="AF4919">
        <v>-2.9176235158694799</v>
      </c>
      <c r="AG4919">
        <v>-1.111107620926</v>
      </c>
      <c r="AH4919">
        <v>10.3729155191708</v>
      </c>
      <c r="AI4919">
        <v>95.887242623517395</v>
      </c>
      <c r="AJ4919">
        <v>105.709871561268</v>
      </c>
      <c r="AK4919">
        <v>10.832564954501199</v>
      </c>
      <c r="AL4919">
        <v>90.678833901647494</v>
      </c>
      <c r="AM4919">
        <v>98.109882712062202</v>
      </c>
      <c r="AN4919">
        <v>1.00000004441656</v>
      </c>
    </row>
    <row r="4920" spans="1:40" x14ac:dyDescent="0.3">
      <c r="A4920" t="str">
        <f>"20200111160601419"</f>
        <v>20200111160601419</v>
      </c>
      <c r="B4920" t="str">
        <f>"1578729961416881"</f>
        <v>1578729961416881</v>
      </c>
      <c r="C4920" t="s">
        <v>40</v>
      </c>
      <c r="D4920">
        <v>5.6323559999999997</v>
      </c>
      <c r="E4920">
        <v>0.45502670000000001</v>
      </c>
      <c r="F4920" t="s">
        <v>41</v>
      </c>
      <c r="G4920">
        <v>-395.0136</v>
      </c>
      <c r="H4920" s="1">
        <v>-2.6669120000000002E-6</v>
      </c>
      <c r="I4920">
        <v>20.854030000000002</v>
      </c>
      <c r="J4920">
        <v>-405.904</v>
      </c>
      <c r="K4920">
        <v>1.1112679999999999</v>
      </c>
      <c r="L4920">
        <v>21.8306</v>
      </c>
      <c r="M4920">
        <v>0.93560509999999997</v>
      </c>
      <c r="N4920">
        <v>0</v>
      </c>
      <c r="O4920">
        <v>-0.35279660000000002</v>
      </c>
      <c r="P4920">
        <v>0.97564110000000004</v>
      </c>
      <c r="Q4920">
        <v>-2.5345909999999999E-2</v>
      </c>
      <c r="R4920">
        <v>-0.2179035</v>
      </c>
      <c r="S4920">
        <v>3.0051570000000001</v>
      </c>
      <c r="T4920">
        <v>-0.30404599999999998</v>
      </c>
      <c r="U4920">
        <v>-0.27664179999999999</v>
      </c>
      <c r="V4920">
        <v>-0.140325799999999</v>
      </c>
      <c r="W4920">
        <v>-1.2351289999999999E-2</v>
      </c>
      <c r="X4920">
        <v>0.99002829999999997</v>
      </c>
      <c r="Y4920">
        <v>-0.26253890000000002</v>
      </c>
      <c r="Z4920">
        <v>4.8017530000000003E-2</v>
      </c>
      <c r="AA4920">
        <v>0.96372590000000002</v>
      </c>
      <c r="AB4920">
        <v>17</v>
      </c>
      <c r="AC4920">
        <v>10.8904</v>
      </c>
      <c r="AD4920">
        <v>-1.1112706669119901</v>
      </c>
      <c r="AE4920">
        <v>-0.97657000000000205</v>
      </c>
      <c r="AF4920">
        <v>-2.8987303259753001</v>
      </c>
      <c r="AG4920">
        <v>-1.1112706669119901</v>
      </c>
      <c r="AH4920">
        <v>10.426877107630601</v>
      </c>
      <c r="AI4920">
        <v>95.862772522325002</v>
      </c>
      <c r="AJ4920">
        <v>105.536228997526</v>
      </c>
      <c r="AK4920">
        <v>10.879215330872899</v>
      </c>
      <c r="AL4920">
        <v>90.707694811527503</v>
      </c>
      <c r="AM4920">
        <v>98.067319123444804</v>
      </c>
      <c r="AN4920">
        <v>0.99999995965559596</v>
      </c>
    </row>
    <row r="4921" spans="1:40" x14ac:dyDescent="0.3">
      <c r="A4921" t="str">
        <f>"20200111160601436"</f>
        <v>20200111160601436</v>
      </c>
      <c r="B4921" t="str">
        <f>"1578729961426640"</f>
        <v>1578729961426640</v>
      </c>
      <c r="C4921" t="s">
        <v>40</v>
      </c>
      <c r="D4921">
        <v>5.5778499999999998</v>
      </c>
      <c r="E4921">
        <v>0.45562469999999999</v>
      </c>
      <c r="F4921" t="s">
        <v>41</v>
      </c>
      <c r="G4921">
        <v>-394.89060000000001</v>
      </c>
      <c r="H4921" s="1">
        <v>-2.7039379999999998E-6</v>
      </c>
      <c r="I4921">
        <v>20.774740000000001</v>
      </c>
      <c r="J4921">
        <v>-405.78190000000001</v>
      </c>
      <c r="K4921">
        <v>1.1114710000000001</v>
      </c>
      <c r="L4921">
        <v>21.785160000000001</v>
      </c>
      <c r="M4921">
        <v>0.93585130000000005</v>
      </c>
      <c r="N4921">
        <v>0</v>
      </c>
      <c r="O4921">
        <v>-0.3521435</v>
      </c>
      <c r="P4921">
        <v>0.9753212</v>
      </c>
      <c r="Q4921">
        <v>-2.774455E-2</v>
      </c>
      <c r="R4921">
        <v>-0.21904090000000001</v>
      </c>
      <c r="S4921">
        <v>3.0027159999999999</v>
      </c>
      <c r="T4921">
        <v>-0.30297970000000002</v>
      </c>
      <c r="U4921">
        <v>-0.28787230000000003</v>
      </c>
      <c r="V4921">
        <v>-0.13844670000000001</v>
      </c>
      <c r="W4921">
        <v>-1.481531E-2</v>
      </c>
      <c r="X4921">
        <v>0.99025909999999995</v>
      </c>
      <c r="Y4921">
        <v>-0.25826110000000002</v>
      </c>
      <c r="Z4921">
        <v>4.7598019999999998E-2</v>
      </c>
      <c r="AA4921">
        <v>0.96490189999999998</v>
      </c>
      <c r="AB4921">
        <v>17</v>
      </c>
      <c r="AC4921">
        <v>10.891299999999999</v>
      </c>
      <c r="AD4921">
        <v>-1.1114737039379901</v>
      </c>
      <c r="AE4921">
        <v>-1.0104200000000001</v>
      </c>
      <c r="AF4921">
        <v>-2.8604181846056198</v>
      </c>
      <c r="AG4921">
        <v>-1.1114737039379901</v>
      </c>
      <c r="AH4921">
        <v>10.441569442677901</v>
      </c>
      <c r="AI4921">
        <v>95.861700536826007</v>
      </c>
      <c r="AJ4921">
        <v>105.320051438969</v>
      </c>
      <c r="AK4921">
        <v>10.883186041395801</v>
      </c>
      <c r="AL4921">
        <v>90.848885762688596</v>
      </c>
      <c r="AM4921">
        <v>97.958852329708094</v>
      </c>
      <c r="AN4921">
        <v>1.00000003364204</v>
      </c>
    </row>
    <row r="4922" spans="1:40" x14ac:dyDescent="0.3">
      <c r="A4922" t="str">
        <f>"20200111160601449"</f>
        <v>20200111160601449</v>
      </c>
      <c r="B4922" t="str">
        <f>"1578729961437377"</f>
        <v>1578729961437377</v>
      </c>
      <c r="C4922" t="s">
        <v>40</v>
      </c>
      <c r="D4922">
        <v>5.5765880000000001</v>
      </c>
      <c r="E4922">
        <v>0.4560901</v>
      </c>
      <c r="F4922" t="s">
        <v>41</v>
      </c>
      <c r="G4922">
        <v>-394.9753</v>
      </c>
      <c r="H4922" s="1">
        <v>-2.6496879999999999E-6</v>
      </c>
      <c r="I4922">
        <v>20.72118</v>
      </c>
      <c r="J4922">
        <v>-405.69959999999998</v>
      </c>
      <c r="K4922">
        <v>1.1115930000000001</v>
      </c>
      <c r="L4922">
        <v>21.754760000000001</v>
      </c>
      <c r="M4922">
        <v>0.93606100000000003</v>
      </c>
      <c r="N4922">
        <v>0</v>
      </c>
      <c r="O4922">
        <v>-0.3515855</v>
      </c>
      <c r="P4922">
        <v>0.97509060000000003</v>
      </c>
      <c r="Q4922">
        <v>-2.8815520000000001E-2</v>
      </c>
      <c r="R4922">
        <v>-0.2199277</v>
      </c>
      <c r="S4922">
        <v>3.0007630000000001</v>
      </c>
      <c r="T4922">
        <v>-0.30863089999999999</v>
      </c>
      <c r="U4922">
        <v>-0.2954407</v>
      </c>
      <c r="V4922">
        <v>-0.13693839999999999</v>
      </c>
      <c r="W4922">
        <v>-1.5924109999999998E-2</v>
      </c>
      <c r="X4922">
        <v>0.99045159999999999</v>
      </c>
      <c r="Y4922">
        <v>-0.25511780000000001</v>
      </c>
      <c r="Z4922">
        <v>4.8288110000000002E-2</v>
      </c>
      <c r="AA4922">
        <v>0.96570350000000005</v>
      </c>
      <c r="AB4922">
        <v>17</v>
      </c>
      <c r="AC4922">
        <v>10.7242999999999</v>
      </c>
      <c r="AD4922">
        <v>-1.111595649688</v>
      </c>
      <c r="AE4922">
        <v>-1.0335799999999999</v>
      </c>
      <c r="AF4922">
        <v>-2.77373709311009</v>
      </c>
      <c r="AG4922">
        <v>-1.111595649688</v>
      </c>
      <c r="AH4922">
        <v>10.2933424118338</v>
      </c>
      <c r="AI4922">
        <v>95.952847959208995</v>
      </c>
      <c r="AJ4922">
        <v>105.08121660068301</v>
      </c>
      <c r="AK4922">
        <v>10.718309584881199</v>
      </c>
      <c r="AL4922">
        <v>90.912422825846903</v>
      </c>
      <c r="AM4922">
        <v>97.871727281704693</v>
      </c>
      <c r="AN4922">
        <v>1.0000000373082001</v>
      </c>
    </row>
    <row r="4923" spans="1:40" x14ac:dyDescent="0.3">
      <c r="A4923" t="str">
        <f>"20200111160601459"</f>
        <v>20200111160601459</v>
      </c>
      <c r="B4923" t="str">
        <f>"1578729961447137"</f>
        <v>1578729961447137</v>
      </c>
      <c r="C4923" t="s">
        <v>40</v>
      </c>
      <c r="D4923">
        <v>5.7614519999999896</v>
      </c>
      <c r="E4923">
        <v>0.45622550000000001</v>
      </c>
      <c r="F4923" t="s">
        <v>41</v>
      </c>
      <c r="G4923">
        <v>-394.97829999999999</v>
      </c>
      <c r="H4923" s="1">
        <v>-2.6362510000000002E-6</v>
      </c>
      <c r="I4923">
        <v>20.67614</v>
      </c>
      <c r="J4923">
        <v>-405.6157</v>
      </c>
      <c r="K4923">
        <v>1.11171</v>
      </c>
      <c r="L4923">
        <v>21.723970000000001</v>
      </c>
      <c r="M4923">
        <v>0.93631629999999999</v>
      </c>
      <c r="N4923">
        <v>0</v>
      </c>
      <c r="O4923">
        <v>-0.35090460000000001</v>
      </c>
      <c r="P4923">
        <v>0.97489360000000003</v>
      </c>
      <c r="Q4923">
        <v>-3.0251360000000001E-2</v>
      </c>
      <c r="R4923">
        <v>-0.2206072</v>
      </c>
      <c r="S4923">
        <v>2.9994200000000002</v>
      </c>
      <c r="T4923">
        <v>-0.31098379999999998</v>
      </c>
      <c r="U4923">
        <v>-0.30175780000000002</v>
      </c>
      <c r="V4923">
        <v>-0.1355044</v>
      </c>
      <c r="W4923">
        <v>-1.739404E-2</v>
      </c>
      <c r="X4923">
        <v>0.99062410000000001</v>
      </c>
      <c r="Y4923">
        <v>-0.25232710000000003</v>
      </c>
      <c r="Z4923">
        <v>4.845758E-2</v>
      </c>
      <c r="AA4923">
        <v>0.96642790000000001</v>
      </c>
      <c r="AB4923">
        <v>17</v>
      </c>
      <c r="AC4923">
        <v>10.6374</v>
      </c>
      <c r="AD4923">
        <v>-1.1117126362509999</v>
      </c>
      <c r="AE4923">
        <v>-1.04783</v>
      </c>
      <c r="AF4923">
        <v>-2.7224076582415901</v>
      </c>
      <c r="AG4923">
        <v>-1.1117126362509999</v>
      </c>
      <c r="AH4923">
        <v>10.218045306810501</v>
      </c>
      <c r="AI4923">
        <v>96.001545462939305</v>
      </c>
      <c r="AJ4923">
        <v>104.918829179195</v>
      </c>
      <c r="AK4923">
        <v>10.632772843209001</v>
      </c>
      <c r="AL4923">
        <v>90.996655290665103</v>
      </c>
      <c r="AM4923">
        <v>97.7889731847783</v>
      </c>
      <c r="AN4923">
        <v>1.0000000512738401</v>
      </c>
    </row>
    <row r="4924" spans="1:40" x14ac:dyDescent="0.3">
      <c r="A4924" t="str">
        <f>"20200111160601484"</f>
        <v>20200111160601484</v>
      </c>
      <c r="B4924" t="str">
        <f>"1578729961477393"</f>
        <v>1578729961477393</v>
      </c>
      <c r="C4924" t="s">
        <v>40</v>
      </c>
      <c r="D4924">
        <v>5.6121379999999998</v>
      </c>
      <c r="E4924">
        <v>0.45618370000000003</v>
      </c>
      <c r="F4924" t="s">
        <v>41</v>
      </c>
      <c r="G4924">
        <v>-395.00510000000003</v>
      </c>
      <c r="H4924" s="1">
        <v>-2.6154139999999999E-6</v>
      </c>
      <c r="I4924">
        <v>20.64536</v>
      </c>
      <c r="J4924">
        <v>-405.44889999999998</v>
      </c>
      <c r="K4924">
        <v>1.1119049999999999</v>
      </c>
      <c r="L4924">
        <v>21.66339</v>
      </c>
      <c r="M4924">
        <v>0.93693099999999996</v>
      </c>
      <c r="N4924">
        <v>0</v>
      </c>
      <c r="O4924">
        <v>-0.34926040000000003</v>
      </c>
      <c r="P4924">
        <v>0.97445669999999995</v>
      </c>
      <c r="Q4924">
        <v>-3.3561939999999998E-2</v>
      </c>
      <c r="R4924">
        <v>-0.22205429999999901</v>
      </c>
      <c r="S4924">
        <v>2.998535</v>
      </c>
      <c r="T4924">
        <v>-0.314166099999999</v>
      </c>
      <c r="U4924">
        <v>-0.30480960000000001</v>
      </c>
      <c r="V4924">
        <v>-0.13223869999999999</v>
      </c>
      <c r="W4924">
        <v>-2.075519E-2</v>
      </c>
      <c r="X4924">
        <v>0.99100060000000001</v>
      </c>
      <c r="Y4924">
        <v>-0.24958420000000001</v>
      </c>
      <c r="Z4924">
        <v>4.8656919999999999E-2</v>
      </c>
      <c r="AA4924">
        <v>0.96712989999999999</v>
      </c>
      <c r="AB4924">
        <v>17</v>
      </c>
      <c r="AC4924">
        <v>10.4437999999999</v>
      </c>
      <c r="AD4924">
        <v>-1.111907615414</v>
      </c>
      <c r="AE4924">
        <v>-1.01802999999999</v>
      </c>
      <c r="AF4924">
        <v>-2.66410762336788</v>
      </c>
      <c r="AG4924">
        <v>-1.111907615414</v>
      </c>
      <c r="AH4924">
        <v>10.028969439594499</v>
      </c>
      <c r="AI4924">
        <v>96.116098937271602</v>
      </c>
      <c r="AJ4924">
        <v>104.87654979862199</v>
      </c>
      <c r="AK4924">
        <v>10.436188767669099</v>
      </c>
      <c r="AL4924">
        <v>91.189270161319101</v>
      </c>
      <c r="AM4924">
        <v>97.600624220939196</v>
      </c>
      <c r="AN4924">
        <v>1.0000000204449899</v>
      </c>
    </row>
    <row r="4925" spans="1:40" x14ac:dyDescent="0.3">
      <c r="A4925" t="str">
        <f>"20200111160601495"</f>
        <v>20200111160601495</v>
      </c>
      <c r="B4925" t="str">
        <f>"1578729961487153"</f>
        <v>1578729961487153</v>
      </c>
      <c r="C4925" t="s">
        <v>40</v>
      </c>
      <c r="D4925">
        <v>5.6559559999999998</v>
      </c>
      <c r="E4925">
        <v>0.4560922</v>
      </c>
      <c r="F4925" t="s">
        <v>41</v>
      </c>
      <c r="G4925">
        <v>-395.03429999999997</v>
      </c>
      <c r="H4925" s="1">
        <v>-2.5865390000000002E-6</v>
      </c>
      <c r="I4925">
        <v>20.588719999999999</v>
      </c>
      <c r="J4925">
        <v>-405.35919999999999</v>
      </c>
      <c r="K4925">
        <v>1.1119829999999999</v>
      </c>
      <c r="L4925">
        <v>21.631260000000001</v>
      </c>
      <c r="M4925">
        <v>0.93733200000000005</v>
      </c>
      <c r="N4925">
        <v>0</v>
      </c>
      <c r="O4925">
        <v>-0.34818179999999999</v>
      </c>
      <c r="P4925">
        <v>0.97430859999999997</v>
      </c>
      <c r="Q4925">
        <v>-3.4944330000000003E-2</v>
      </c>
      <c r="R4925">
        <v>-0.2224893</v>
      </c>
      <c r="S4925">
        <v>2.9971009999999998</v>
      </c>
      <c r="T4925">
        <v>-0.31998209999999999</v>
      </c>
      <c r="U4925">
        <v>-0.30926510000000001</v>
      </c>
      <c r="V4925">
        <v>-0.13062989999999999</v>
      </c>
      <c r="W4925">
        <v>-2.2155399999999999E-2</v>
      </c>
      <c r="X4925">
        <v>0.99118360000000005</v>
      </c>
      <c r="Y4925">
        <v>-0.24690090000000001</v>
      </c>
      <c r="Z4925">
        <v>4.931982E-2</v>
      </c>
      <c r="AA4925">
        <v>0.96778489999999995</v>
      </c>
      <c r="AB4925">
        <v>17</v>
      </c>
      <c r="AC4925">
        <v>10.3249</v>
      </c>
      <c r="AD4925">
        <v>-1.111985586539</v>
      </c>
      <c r="AE4925">
        <v>-1.04253999999999</v>
      </c>
      <c r="AF4925">
        <v>-2.5882508360177598</v>
      </c>
      <c r="AG4925">
        <v>-1.111985586539</v>
      </c>
      <c r="AH4925">
        <v>9.9277557270639196</v>
      </c>
      <c r="AI4925">
        <v>96.185850158875198</v>
      </c>
      <c r="AJ4925">
        <v>104.612236168284</v>
      </c>
      <c r="AK4925">
        <v>10.319684496682401</v>
      </c>
      <c r="AL4925">
        <v>91.269514811732293</v>
      </c>
      <c r="AM4925">
        <v>97.507846978900304</v>
      </c>
      <c r="AN4925">
        <v>0.999999980716064</v>
      </c>
    </row>
    <row r="4926" spans="1:40" x14ac:dyDescent="0.3">
      <c r="A4926" t="str">
        <f>"20200111160601508"</f>
        <v>20200111160601508</v>
      </c>
      <c r="B4926" t="str">
        <f>"1578729961487153"</f>
        <v>1578729961487153</v>
      </c>
      <c r="C4926" t="s">
        <v>40</v>
      </c>
      <c r="D4926">
        <v>5.6559559999999998</v>
      </c>
      <c r="E4926">
        <v>0.4560922</v>
      </c>
      <c r="F4926" t="s">
        <v>41</v>
      </c>
      <c r="G4926">
        <v>-394.96769999999998</v>
      </c>
      <c r="H4926" s="1">
        <v>-2.609025E-6</v>
      </c>
      <c r="I4926">
        <v>20.555029999999999</v>
      </c>
      <c r="J4926">
        <v>-405.27600000000001</v>
      </c>
      <c r="K4926">
        <v>1.1120490000000001</v>
      </c>
      <c r="L4926">
        <v>21.60162</v>
      </c>
      <c r="M4926">
        <v>0.93771959999999999</v>
      </c>
      <c r="N4926">
        <v>0</v>
      </c>
      <c r="O4926">
        <v>-0.34713699999999997</v>
      </c>
      <c r="P4926">
        <v>0.97422089999999995</v>
      </c>
      <c r="Q4926">
        <v>-3.6509600000000003E-2</v>
      </c>
      <c r="R4926">
        <v>-0.22262280000000001</v>
      </c>
      <c r="S4926">
        <v>2.9967039999999998</v>
      </c>
      <c r="T4926">
        <v>-0.32067709999999999</v>
      </c>
      <c r="U4926">
        <v>-0.31036380000000002</v>
      </c>
      <c r="V4926">
        <v>-0.12936120000000001</v>
      </c>
      <c r="W4926">
        <v>-2.3735349999999999E-2</v>
      </c>
      <c r="X4926">
        <v>0.99131340000000001</v>
      </c>
      <c r="Y4926">
        <v>-0.2454559</v>
      </c>
      <c r="Z4926">
        <v>4.9249809999999998E-2</v>
      </c>
      <c r="AA4926">
        <v>0.96815589999999996</v>
      </c>
      <c r="AB4926">
        <v>17</v>
      </c>
      <c r="AC4926">
        <v>10.308299999999999</v>
      </c>
      <c r="AD4926">
        <v>-1.1120516090250001</v>
      </c>
      <c r="AE4926">
        <v>-1.0465899999999999</v>
      </c>
      <c r="AF4926">
        <v>-2.5676382419085599</v>
      </c>
      <c r="AG4926">
        <v>-1.1120516090250001</v>
      </c>
      <c r="AH4926">
        <v>9.9162696959161796</v>
      </c>
      <c r="AI4926">
        <v>96.195982342784603</v>
      </c>
      <c r="AJ4926">
        <v>104.51687700298299</v>
      </c>
      <c r="AK4926">
        <v>10.3034862840007</v>
      </c>
      <c r="AL4926">
        <v>91.360063141204506</v>
      </c>
      <c r="AM4926">
        <v>97.434786669762701</v>
      </c>
      <c r="AN4926">
        <v>0.99999997196231005</v>
      </c>
    </row>
    <row r="4927" spans="1:40" x14ac:dyDescent="0.3">
      <c r="A4927" t="str">
        <f>"20200111160601528"</f>
        <v>20200111160601528</v>
      </c>
      <c r="B4927" t="str">
        <f>"1578729961517408"</f>
        <v>1578729961517408</v>
      </c>
      <c r="C4927" t="s">
        <v>40</v>
      </c>
      <c r="D4927">
        <v>5.6178980000000003</v>
      </c>
      <c r="E4927">
        <v>0.45570450000000001</v>
      </c>
      <c r="F4927" t="s">
        <v>41</v>
      </c>
      <c r="G4927">
        <v>-395.05880000000002</v>
      </c>
      <c r="H4927" s="1">
        <v>-2.5621489999999999E-6</v>
      </c>
      <c r="I4927">
        <v>20.540610000000001</v>
      </c>
      <c r="J4927">
        <v>-405.1404</v>
      </c>
      <c r="K4927">
        <v>1.112131</v>
      </c>
      <c r="L4927">
        <v>21.553709999999999</v>
      </c>
      <c r="M4927">
        <v>0.93840440000000003</v>
      </c>
      <c r="N4927">
        <v>0</v>
      </c>
      <c r="O4927">
        <v>-0.34528150000000002</v>
      </c>
      <c r="P4927">
        <v>0.97406939999999997</v>
      </c>
      <c r="Q4927">
        <v>-3.9830740000000003E-2</v>
      </c>
      <c r="R4927">
        <v>-0.22271669999999999</v>
      </c>
      <c r="S4927">
        <v>2.9960629999999999</v>
      </c>
      <c r="T4927">
        <v>-0.32609339999999998</v>
      </c>
      <c r="U4927">
        <v>-0.31112669999999998</v>
      </c>
      <c r="V4927">
        <v>-0.12724340000000001</v>
      </c>
      <c r="W4927">
        <v>-2.7071120000000001E-2</v>
      </c>
      <c r="X4927">
        <v>0.99150199999999999</v>
      </c>
      <c r="Y4927">
        <v>-0.24318509999999999</v>
      </c>
      <c r="Z4927">
        <v>4.977442E-2</v>
      </c>
      <c r="AA4927">
        <v>0.96870199999999995</v>
      </c>
      <c r="AB4927">
        <v>17</v>
      </c>
      <c r="AC4927">
        <v>10.0815999999999</v>
      </c>
      <c r="AD4927">
        <v>-1.1121335621490001</v>
      </c>
      <c r="AE4927">
        <v>-1.0130999999999899</v>
      </c>
      <c r="AF4927">
        <v>-2.5003944168685801</v>
      </c>
      <c r="AG4927">
        <v>-1.1121335621490001</v>
      </c>
      <c r="AH4927">
        <v>9.6945020691955008</v>
      </c>
      <c r="AI4927">
        <v>96.338584918511401</v>
      </c>
      <c r="AJ4927">
        <v>104.462466627692</v>
      </c>
      <c r="AK4927">
        <v>10.073340243911201</v>
      </c>
      <c r="AL4927">
        <v>91.551250476354895</v>
      </c>
      <c r="AM4927">
        <v>97.3130228188583</v>
      </c>
      <c r="AN4927">
        <v>0.99999997219280601</v>
      </c>
    </row>
    <row r="4928" spans="1:40" x14ac:dyDescent="0.3">
      <c r="A4928" t="str">
        <f>"20200111160601540"</f>
        <v>20200111160601540</v>
      </c>
      <c r="B4928" t="str">
        <f>"1578729961536928"</f>
        <v>1578729961536928</v>
      </c>
      <c r="C4928" t="s">
        <v>40</v>
      </c>
      <c r="D4928">
        <v>5.6882449999999896</v>
      </c>
      <c r="E4928">
        <v>0.45587529999999998</v>
      </c>
      <c r="F4928" t="s">
        <v>41</v>
      </c>
      <c r="G4928">
        <v>-395.35419999999999</v>
      </c>
      <c r="H4928" s="1">
        <v>-2.4233210000000001E-6</v>
      </c>
      <c r="I4928">
        <v>20.543579999999999</v>
      </c>
      <c r="J4928">
        <v>-405.04480000000001</v>
      </c>
      <c r="K4928">
        <v>1.112171</v>
      </c>
      <c r="L4928">
        <v>21.52026</v>
      </c>
      <c r="M4928">
        <v>0.93891639999999998</v>
      </c>
      <c r="N4928">
        <v>0</v>
      </c>
      <c r="O4928">
        <v>-0.343887099999999</v>
      </c>
      <c r="P4928">
        <v>0.97421559999999996</v>
      </c>
      <c r="Q4928">
        <v>-4.1066180000000001E-2</v>
      </c>
      <c r="R4928">
        <v>-0.2218521</v>
      </c>
      <c r="S4928">
        <v>2.9952999999999999</v>
      </c>
      <c r="T4928">
        <v>-0.34039360000000002</v>
      </c>
      <c r="U4928">
        <v>-0.30917359999999999</v>
      </c>
      <c r="V4928">
        <v>-0.1266253</v>
      </c>
      <c r="W4928">
        <v>-2.8315610000000001E-2</v>
      </c>
      <c r="X4928">
        <v>0.99154640000000005</v>
      </c>
      <c r="Y4928">
        <v>-0.24205879999999999</v>
      </c>
      <c r="Z4928">
        <v>5.1747330000000001E-2</v>
      </c>
      <c r="AA4928">
        <v>0.96888070000000004</v>
      </c>
      <c r="AB4928">
        <v>17</v>
      </c>
      <c r="AC4928">
        <v>9.6906000000000105</v>
      </c>
      <c r="AD4928">
        <v>-1.1121734233210001</v>
      </c>
      <c r="AE4928">
        <v>-0.97668000000000099</v>
      </c>
      <c r="AF4928">
        <v>-2.38457287807711</v>
      </c>
      <c r="AG4928">
        <v>-1.1121734233210001</v>
      </c>
      <c r="AH4928">
        <v>9.3139220152772193</v>
      </c>
      <c r="AI4928">
        <v>96.598574220970903</v>
      </c>
      <c r="AJ4928">
        <v>104.36054224007</v>
      </c>
      <c r="AK4928">
        <v>9.6784431000584092</v>
      </c>
      <c r="AL4928">
        <v>91.622581817517201</v>
      </c>
      <c r="AM4928">
        <v>97.2775583360647</v>
      </c>
      <c r="AN4928">
        <v>1.00000000186136</v>
      </c>
    </row>
    <row r="4929" spans="1:40" x14ac:dyDescent="0.3">
      <c r="A4929" t="str">
        <f>"20200111160601552"</f>
        <v>20200111160601552</v>
      </c>
      <c r="B4929" t="str">
        <f>"1578729961546689"</f>
        <v>1578729961546689</v>
      </c>
      <c r="C4929" t="s">
        <v>40</v>
      </c>
      <c r="D4929">
        <v>5.454288</v>
      </c>
      <c r="E4929">
        <v>0.45521660000000003</v>
      </c>
      <c r="F4929" t="s">
        <v>41</v>
      </c>
      <c r="G4929">
        <v>-395.4633</v>
      </c>
      <c r="H4929" s="1">
        <v>-2.369256E-6</v>
      </c>
      <c r="I4929">
        <v>20.53424</v>
      </c>
      <c r="J4929">
        <v>-404.96879999999999</v>
      </c>
      <c r="K4929">
        <v>1.11219</v>
      </c>
      <c r="L4929">
        <v>21.4939</v>
      </c>
      <c r="M4929">
        <v>0.93933770000000005</v>
      </c>
      <c r="N4929">
        <v>0</v>
      </c>
      <c r="O4929">
        <v>-0.34273379999999998</v>
      </c>
      <c r="P4929">
        <v>0.97444949999999997</v>
      </c>
      <c r="Q4929">
        <v>-4.2132849999999999E-2</v>
      </c>
      <c r="R4929">
        <v>-0.2206198</v>
      </c>
      <c r="S4929">
        <v>2.9945680000000001</v>
      </c>
      <c r="T4929">
        <v>-0.34759440000000003</v>
      </c>
      <c r="U4929">
        <v>-0.30816650000000001</v>
      </c>
      <c r="V4929">
        <v>-0.12664030000000001</v>
      </c>
      <c r="W4929">
        <v>-2.9388669999999999E-2</v>
      </c>
      <c r="X4929">
        <v>0.99151330000000004</v>
      </c>
      <c r="Y4929">
        <v>-0.2410234</v>
      </c>
      <c r="Z4929">
        <v>5.2663849999999998E-2</v>
      </c>
      <c r="AA4929">
        <v>0.96908939999999999</v>
      </c>
      <c r="AB4929">
        <v>17</v>
      </c>
      <c r="AC4929">
        <v>9.5054999999999801</v>
      </c>
      <c r="AD4929">
        <v>-1.1121923692560001</v>
      </c>
      <c r="AE4929">
        <v>-0.95965999999999896</v>
      </c>
      <c r="AF4929">
        <v>-2.3251112598984598</v>
      </c>
      <c r="AG4929">
        <v>-1.1121923692560001</v>
      </c>
      <c r="AH4929">
        <v>9.1348119019235607</v>
      </c>
      <c r="AI4929">
        <v>96.729273965400793</v>
      </c>
      <c r="AJ4929">
        <v>104.280426636169</v>
      </c>
      <c r="AK4929">
        <v>9.4914647299909607</v>
      </c>
      <c r="AL4929">
        <v>91.684089168390898</v>
      </c>
      <c r="AM4929">
        <v>97.278651561395407</v>
      </c>
      <c r="AN4929">
        <v>1.00000004179267</v>
      </c>
    </row>
    <row r="4930" spans="1:40" x14ac:dyDescent="0.3">
      <c r="A4930" t="str">
        <f>"20200111160601572"</f>
        <v>20200111160601572</v>
      </c>
      <c r="B4930" t="str">
        <f>"1578729961567185"</f>
        <v>1578729961567185</v>
      </c>
      <c r="C4930" t="s">
        <v>40</v>
      </c>
      <c r="D4930">
        <v>5.3306440000000004</v>
      </c>
      <c r="E4930">
        <v>0.45521660000000003</v>
      </c>
      <c r="F4930" t="s">
        <v>41</v>
      </c>
      <c r="G4930">
        <v>-395.38240000000002</v>
      </c>
      <c r="H4930" s="1">
        <v>-2.407577E-6</v>
      </c>
      <c r="I4930">
        <v>20.534520000000001</v>
      </c>
      <c r="J4930">
        <v>-404.83139999999997</v>
      </c>
      <c r="K4930">
        <v>1.112217</v>
      </c>
      <c r="L4930">
        <v>21.446560000000002</v>
      </c>
      <c r="M4930">
        <v>0.94011820000000001</v>
      </c>
      <c r="N4930">
        <v>0</v>
      </c>
      <c r="O4930">
        <v>-0.34058680000000002</v>
      </c>
      <c r="P4930">
        <v>0.97509650000000003</v>
      </c>
      <c r="Q4930">
        <v>-4.3558680000000002E-2</v>
      </c>
      <c r="R4930">
        <v>-0.21746190000000001</v>
      </c>
      <c r="S4930">
        <v>2.9957579999999999</v>
      </c>
      <c r="T4930">
        <v>-0.3475587</v>
      </c>
      <c r="U4930">
        <v>-0.29980469999999998</v>
      </c>
      <c r="V4930">
        <v>-0.12755759999999999</v>
      </c>
      <c r="W4930">
        <v>-3.0826240000000001E-2</v>
      </c>
      <c r="X4930">
        <v>0.99135200000000001</v>
      </c>
      <c r="Y4930">
        <v>-0.241536</v>
      </c>
      <c r="Z4930">
        <v>5.2445819999999997E-2</v>
      </c>
      <c r="AA4930">
        <v>0.96897359999999999</v>
      </c>
      <c r="AB4930">
        <v>17</v>
      </c>
      <c r="AC4930">
        <v>9.4489999999999501</v>
      </c>
      <c r="AD4930">
        <v>-1.112219407577</v>
      </c>
      <c r="AE4930">
        <v>-0.91204000000000096</v>
      </c>
      <c r="AF4930">
        <v>-2.3290189815708602</v>
      </c>
      <c r="AG4930">
        <v>-1.112219407577</v>
      </c>
      <c r="AH4930">
        <v>9.0701185660086896</v>
      </c>
      <c r="AI4930">
        <v>96.773371213074398</v>
      </c>
      <c r="AJ4930">
        <v>104.40123474010601</v>
      </c>
      <c r="AK4930">
        <v>9.4301862244901606</v>
      </c>
      <c r="AL4930">
        <v>91.766493308186796</v>
      </c>
      <c r="AM4930">
        <v>97.331981701403507</v>
      </c>
      <c r="AN4930">
        <v>0.99999999314714805</v>
      </c>
    </row>
    <row r="4931" spans="1:40" x14ac:dyDescent="0.3">
      <c r="A4931" t="str">
        <f>"20200111160601583"</f>
        <v>20200111160601583</v>
      </c>
      <c r="B4931" t="str">
        <f>"1578729961576945"</f>
        <v>1578729961576945</v>
      </c>
      <c r="C4931" t="s">
        <v>40</v>
      </c>
      <c r="D4931">
        <v>5.2088320000000001</v>
      </c>
      <c r="E4931">
        <v>0.40487810000000002</v>
      </c>
      <c r="F4931" t="s">
        <v>41</v>
      </c>
      <c r="G4931">
        <v>-395.38749999999999</v>
      </c>
      <c r="H4931" s="1">
        <v>-2.4040580000000001E-6</v>
      </c>
      <c r="I4931">
        <v>20.53051</v>
      </c>
      <c r="J4931">
        <v>-404.74439999999998</v>
      </c>
      <c r="K4931">
        <v>1.1122240000000001</v>
      </c>
      <c r="L4931">
        <v>21.416810000000002</v>
      </c>
      <c r="M4931">
        <v>0.9406215</v>
      </c>
      <c r="N4931">
        <v>0</v>
      </c>
      <c r="O4931">
        <v>-0.33919440000000001</v>
      </c>
      <c r="P4931">
        <v>0.9755085</v>
      </c>
      <c r="Q4931">
        <v>-4.3860240000000002E-2</v>
      </c>
      <c r="R4931">
        <v>-0.21554400000000001</v>
      </c>
      <c r="S4931">
        <v>2.9960629999999999</v>
      </c>
      <c r="T4931">
        <v>-0.35285290000000002</v>
      </c>
      <c r="U4931">
        <v>-0.29061890000000001</v>
      </c>
      <c r="V4931">
        <v>-0.12803239999999999</v>
      </c>
      <c r="W4931">
        <v>-3.1131969999999998E-2</v>
      </c>
      <c r="X4931">
        <v>0.99128130000000003</v>
      </c>
      <c r="Y4931">
        <v>-0.24293500000000001</v>
      </c>
      <c r="Z4931">
        <v>5.3174880000000001E-2</v>
      </c>
      <c r="AA4931">
        <v>0.968584</v>
      </c>
      <c r="AB4931">
        <v>17</v>
      </c>
      <c r="AC4931">
        <v>9.3568999999999907</v>
      </c>
      <c r="AD4931">
        <v>-1.1122264040580001</v>
      </c>
      <c r="AE4931">
        <v>-0.88630000000000198</v>
      </c>
      <c r="AF4931">
        <v>-2.30802306330926</v>
      </c>
      <c r="AG4931">
        <v>-1.1122264040580001</v>
      </c>
      <c r="AH4931">
        <v>8.9770293426280396</v>
      </c>
      <c r="AI4931">
        <v>96.842460017930193</v>
      </c>
      <c r="AJ4931">
        <v>104.41864240024</v>
      </c>
      <c r="AK4931">
        <v>9.3354739490320497</v>
      </c>
      <c r="AL4931">
        <v>91.784018647656794</v>
      </c>
      <c r="AM4931">
        <v>97.359493592482806</v>
      </c>
      <c r="AN4931">
        <v>1.0000000553677599</v>
      </c>
    </row>
    <row r="4932" spans="1:40" x14ac:dyDescent="0.3">
      <c r="A4932" t="str">
        <f>"20200111160601595"</f>
        <v>20200111160601595</v>
      </c>
      <c r="B4932" t="str">
        <f>"1578729961586705"</f>
        <v>1578729961586705</v>
      </c>
      <c r="C4932" t="s">
        <v>40</v>
      </c>
      <c r="D4932">
        <v>6.9451989999999997</v>
      </c>
      <c r="E4932">
        <v>0.40487810000000002</v>
      </c>
      <c r="F4932" t="s">
        <v>83</v>
      </c>
      <c r="G4932">
        <v>-389.29390000000001</v>
      </c>
      <c r="H4932" s="1">
        <v>-9.4655320000000003E-7</v>
      </c>
      <c r="I4932">
        <v>21.917729999999999</v>
      </c>
      <c r="J4932">
        <v>-404.65949999999998</v>
      </c>
      <c r="K4932">
        <v>1.1122190000000001</v>
      </c>
      <c r="L4932">
        <v>21.388059999999999</v>
      </c>
      <c r="M4932">
        <v>0.94112379999999995</v>
      </c>
      <c r="N4932">
        <v>0</v>
      </c>
      <c r="O4932">
        <v>-0.33779870000000001</v>
      </c>
      <c r="P4932">
        <v>0.97604979999999997</v>
      </c>
      <c r="Q4932">
        <v>-4.4285659999999998E-2</v>
      </c>
      <c r="R4932">
        <v>-0.2129933</v>
      </c>
      <c r="S4932">
        <v>3.0874630000000001</v>
      </c>
      <c r="T4932">
        <v>-0.22225529999999999</v>
      </c>
      <c r="U4932">
        <v>0.1000977</v>
      </c>
      <c r="V4932">
        <v>-0.1291447</v>
      </c>
      <c r="W4932">
        <v>-3.1561480000000003E-2</v>
      </c>
      <c r="X4932">
        <v>0.99112339999999999</v>
      </c>
      <c r="Y4932">
        <v>-0.36635119999999999</v>
      </c>
      <c r="Z4932">
        <v>3.7112050000000001E-2</v>
      </c>
      <c r="AA4932">
        <v>0.92973629999999996</v>
      </c>
      <c r="AB4932">
        <v>17</v>
      </c>
      <c r="AC4932">
        <v>15.365599999999899</v>
      </c>
      <c r="AD4932">
        <v>-1.1122199465531999</v>
      </c>
      <c r="AE4932">
        <v>0.52966999999999897</v>
      </c>
      <c r="AF4932">
        <v>-5.65985213679539</v>
      </c>
      <c r="AG4932">
        <v>-1.1122199465531999</v>
      </c>
      <c r="AH4932">
        <v>14.2089235095977</v>
      </c>
      <c r="AI4932">
        <v>94.159191822430103</v>
      </c>
      <c r="AJ4932">
        <v>111.71891634283</v>
      </c>
      <c r="AK4932">
        <v>15.335073091495101</v>
      </c>
      <c r="AL4932">
        <v>91.808639889027802</v>
      </c>
      <c r="AM4932">
        <v>97.423889641249005</v>
      </c>
      <c r="AN4932">
        <v>1.00000003729271</v>
      </c>
    </row>
    <row r="4933" spans="1:40" x14ac:dyDescent="0.3">
      <c r="A4933" t="str">
        <f>"20200111160601608"</f>
        <v>20200111160601608</v>
      </c>
      <c r="B4933" t="str">
        <f>"1578729961597440"</f>
        <v>1578729961597440</v>
      </c>
      <c r="C4933" t="s">
        <v>40</v>
      </c>
      <c r="D4933">
        <v>5.2648869999999999</v>
      </c>
      <c r="E4933">
        <v>0.401088</v>
      </c>
      <c r="F4933" t="s">
        <v>83</v>
      </c>
      <c r="G4933">
        <v>-389.28120000000001</v>
      </c>
      <c r="H4933" s="1">
        <v>-9.5506300000000001E-7</v>
      </c>
      <c r="I4933">
        <v>21.927129999999998</v>
      </c>
      <c r="J4933">
        <v>-404.5729</v>
      </c>
      <c r="K4933">
        <v>1.1122069999999999</v>
      </c>
      <c r="L4933">
        <v>21.358830000000001</v>
      </c>
      <c r="M4933">
        <v>0.94163750000000002</v>
      </c>
      <c r="N4933">
        <v>0</v>
      </c>
      <c r="O4933">
        <v>-0.3363642</v>
      </c>
      <c r="P4933">
        <v>0.97653959999999995</v>
      </c>
      <c r="Q4933">
        <v>-4.4614399999999999E-2</v>
      </c>
      <c r="R4933">
        <v>-0.21066689999999999</v>
      </c>
      <c r="S4933">
        <v>3.087097</v>
      </c>
      <c r="T4933">
        <v>-0.2232711</v>
      </c>
      <c r="U4933">
        <v>0.1082153</v>
      </c>
      <c r="V4933">
        <v>-0.1299901</v>
      </c>
      <c r="W4933">
        <v>-3.1891820000000001E-2</v>
      </c>
      <c r="X4933">
        <v>0.9910023</v>
      </c>
      <c r="Y4933">
        <v>-0.36736360000000001</v>
      </c>
      <c r="Z4933">
        <v>3.7224260000000002E-2</v>
      </c>
      <c r="AA4933">
        <v>0.92933220000000005</v>
      </c>
      <c r="AB4933">
        <v>17</v>
      </c>
      <c r="AC4933">
        <v>15.291699999999899</v>
      </c>
      <c r="AD4933">
        <v>-1.112207955063</v>
      </c>
      <c r="AE4933">
        <v>0.56830000000000003</v>
      </c>
      <c r="AF4933">
        <v>-5.6493740428802104</v>
      </c>
      <c r="AG4933">
        <v>-1.112207955063</v>
      </c>
      <c r="AH4933">
        <v>14.1346765398019</v>
      </c>
      <c r="AI4933">
        <v>94.178980170381394</v>
      </c>
      <c r="AJ4933">
        <v>111.78569471545499</v>
      </c>
      <c r="AK4933">
        <v>15.2624216458759</v>
      </c>
      <c r="AL4933">
        <v>91.827576510779394</v>
      </c>
      <c r="AM4933">
        <v>97.472842881801</v>
      </c>
      <c r="AN4933">
        <v>1.0000000364431001</v>
      </c>
    </row>
    <row r="4934" spans="1:40" x14ac:dyDescent="0.3">
      <c r="A4934" t="str">
        <f>"20200111160601619"</f>
        <v>20200111160601619</v>
      </c>
      <c r="B4934" t="str">
        <f>"1578729961616961"</f>
        <v>1578729961616961</v>
      </c>
      <c r="C4934" t="s">
        <v>40</v>
      </c>
      <c r="D4934">
        <v>5.1568779999999999</v>
      </c>
      <c r="E4934">
        <v>0.3995052</v>
      </c>
      <c r="F4934" t="s">
        <v>85</v>
      </c>
      <c r="G4934">
        <v>-365.8612</v>
      </c>
      <c r="H4934" s="1">
        <v>-2.877578E-6</v>
      </c>
      <c r="I4934">
        <v>23.07657</v>
      </c>
      <c r="J4934">
        <v>-404.48809999999997</v>
      </c>
      <c r="K4934">
        <v>1.1121909999999999</v>
      </c>
      <c r="L4934">
        <v>21.330349999999999</v>
      </c>
      <c r="M4934">
        <v>0.9421446</v>
      </c>
      <c r="N4934">
        <v>0</v>
      </c>
      <c r="O4934">
        <v>-0.33494089999999999</v>
      </c>
      <c r="P4934">
        <v>0.97698850000000004</v>
      </c>
      <c r="Q4934">
        <v>-4.488048E-2</v>
      </c>
      <c r="R4934">
        <v>-0.20851710000000001</v>
      </c>
      <c r="S4934">
        <v>3.0976560000000002</v>
      </c>
      <c r="T4934">
        <v>-8.8997359999999998E-2</v>
      </c>
      <c r="U4934">
        <v>0.1374512</v>
      </c>
      <c r="V4934">
        <v>-0.13066949999999999</v>
      </c>
      <c r="W4934">
        <v>-3.2156990000000003E-2</v>
      </c>
      <c r="X4934">
        <v>0.99090429999999996</v>
      </c>
      <c r="Y4934">
        <v>-0.3761197</v>
      </c>
      <c r="Z4934">
        <v>1.489132E-2</v>
      </c>
      <c r="AA4934">
        <v>0.92645140000000004</v>
      </c>
      <c r="AB4934">
        <v>17</v>
      </c>
      <c r="AC4934">
        <v>38.6268999999999</v>
      </c>
      <c r="AD4934">
        <v>-1.112193877578</v>
      </c>
      <c r="AE4934">
        <v>1.7462200000000001</v>
      </c>
      <c r="AF4934">
        <v>-14.572163085344799</v>
      </c>
      <c r="AG4934">
        <v>-1.112193877578</v>
      </c>
      <c r="AH4934">
        <v>35.780831004304503</v>
      </c>
      <c r="AI4934">
        <v>91.648956453390099</v>
      </c>
      <c r="AJ4934">
        <v>112.15918686539401</v>
      </c>
      <c r="AK4934">
        <v>38.650391712967298</v>
      </c>
      <c r="AL4934">
        <v>91.842777567946499</v>
      </c>
      <c r="AM4934">
        <v>97.512189632238602</v>
      </c>
      <c r="AN4934">
        <v>0.99999996099729904</v>
      </c>
    </row>
    <row r="4935" spans="1:40" x14ac:dyDescent="0.3">
      <c r="A4935" t="str">
        <f>"20200111160601637"</f>
        <v>20200111160601637</v>
      </c>
      <c r="B4935" t="str">
        <f>"1578729961626724"</f>
        <v>1578729961626724</v>
      </c>
      <c r="C4935" t="s">
        <v>40</v>
      </c>
      <c r="D4935">
        <v>5.2074590000000001</v>
      </c>
      <c r="E4935">
        <v>0.40064050000000001</v>
      </c>
      <c r="F4935" t="s">
        <v>86</v>
      </c>
      <c r="G4935">
        <v>-279.68</v>
      </c>
      <c r="H4935">
        <v>-1.983321E-2</v>
      </c>
      <c r="I4935">
        <v>27.485489999999999</v>
      </c>
      <c r="J4935">
        <v>-404.36660000000001</v>
      </c>
      <c r="K4935">
        <v>1.112161</v>
      </c>
      <c r="L4935">
        <v>21.28989</v>
      </c>
      <c r="M4935">
        <v>0.9428723</v>
      </c>
      <c r="N4935">
        <v>0</v>
      </c>
      <c r="O4935">
        <v>-0.33288669999999998</v>
      </c>
      <c r="P4935">
        <v>0.97759960000000001</v>
      </c>
      <c r="Q4935">
        <v>-4.5623160000000003E-2</v>
      </c>
      <c r="R4935">
        <v>-0.20546929999999999</v>
      </c>
      <c r="S4935">
        <v>3.1020810000000001</v>
      </c>
      <c r="T4935">
        <v>-2.8136370000000001E-2</v>
      </c>
      <c r="U4935">
        <v>0.1529846</v>
      </c>
      <c r="V4935">
        <v>-0.13158710000000001</v>
      </c>
      <c r="W4935">
        <v>-3.2896090000000003E-2</v>
      </c>
      <c r="X4935">
        <v>0.99075869999999999</v>
      </c>
      <c r="Y4935">
        <v>-0.3789304</v>
      </c>
      <c r="Z4935">
        <v>4.6970199999999997E-3</v>
      </c>
      <c r="AA4935">
        <v>0.92541329999999999</v>
      </c>
      <c r="AB4935">
        <v>17</v>
      </c>
      <c r="AC4935">
        <v>124.6866</v>
      </c>
      <c r="AD4935">
        <v>-1.13199421</v>
      </c>
      <c r="AE4935">
        <v>6.1955999999999998</v>
      </c>
      <c r="AF4935">
        <v>-47.348498396711499</v>
      </c>
      <c r="AG4935">
        <v>-1.13199421</v>
      </c>
      <c r="AH4935">
        <v>115.501908524284</v>
      </c>
      <c r="AI4935">
        <v>90.519559600509695</v>
      </c>
      <c r="AJ4935">
        <v>112.29053573992999</v>
      </c>
      <c r="AK4935">
        <v>124.835301834324</v>
      </c>
      <c r="AL4935">
        <v>91.885147114218796</v>
      </c>
      <c r="AM4935">
        <v>97.565432459792305</v>
      </c>
      <c r="AN4935">
        <v>1.0000000596246901</v>
      </c>
    </row>
    <row r="4936" spans="1:40" x14ac:dyDescent="0.3">
      <c r="A4936" t="str">
        <f>"20200111160601649"</f>
        <v>20200111160601649</v>
      </c>
      <c r="B4936" t="str">
        <f>"1578729961637457"</f>
        <v>1578729961637457</v>
      </c>
      <c r="C4936" t="s">
        <v>40</v>
      </c>
      <c r="D4936">
        <v>5.2443280000000003</v>
      </c>
      <c r="E4936">
        <v>0.4017231</v>
      </c>
      <c r="F4936" t="s">
        <v>41</v>
      </c>
      <c r="G4936">
        <v>-333.2792</v>
      </c>
      <c r="H4936" s="1">
        <v>-4.086653E-6</v>
      </c>
      <c r="I4936">
        <v>24.839700000000001</v>
      </c>
      <c r="J4936">
        <v>-404.28750000000002</v>
      </c>
      <c r="K4936">
        <v>1.1121399999999999</v>
      </c>
      <c r="L4936">
        <v>21.263729999999999</v>
      </c>
      <c r="M4936">
        <v>0.94334549999999995</v>
      </c>
      <c r="N4936">
        <v>0</v>
      </c>
      <c r="O4936">
        <v>-0.3315437</v>
      </c>
      <c r="P4936">
        <v>0.97793249999999998</v>
      </c>
      <c r="Q4936">
        <v>-4.5613199999999902E-2</v>
      </c>
      <c r="R4936">
        <v>-0.20388220000000001</v>
      </c>
      <c r="S4936">
        <v>3.0989990000000001</v>
      </c>
      <c r="T4936">
        <v>-4.8483970000000001E-2</v>
      </c>
      <c r="U4936">
        <v>0.15475459999999999</v>
      </c>
      <c r="V4936">
        <v>-0.13178609999999999</v>
      </c>
      <c r="W4936">
        <v>-3.288071E-2</v>
      </c>
      <c r="X4936">
        <v>0.99073270000000002</v>
      </c>
      <c r="Y4936">
        <v>-0.37812810000000002</v>
      </c>
      <c r="Z4936">
        <v>8.0751269999999997E-3</v>
      </c>
      <c r="AA4936">
        <v>0.92571809999999999</v>
      </c>
      <c r="AB4936">
        <v>17</v>
      </c>
      <c r="AC4936">
        <v>71.008300000000006</v>
      </c>
      <c r="AD4936">
        <v>-1.1121440866529999</v>
      </c>
      <c r="AE4936">
        <v>3.5759699999999999</v>
      </c>
      <c r="AF4936">
        <v>-26.911541316310199</v>
      </c>
      <c r="AG4936">
        <v>-1.1121440866529999</v>
      </c>
      <c r="AH4936">
        <v>65.789530724847097</v>
      </c>
      <c r="AI4936">
        <v>90.8963866430189</v>
      </c>
      <c r="AJ4936">
        <v>112.24726475624</v>
      </c>
      <c r="AK4936">
        <v>71.089593285406806</v>
      </c>
      <c r="AL4936">
        <v>91.884265540518996</v>
      </c>
      <c r="AM4936">
        <v>97.576937419622595</v>
      </c>
      <c r="AN4936">
        <v>1.0000000000463001</v>
      </c>
    </row>
    <row r="4937" spans="1:40" x14ac:dyDescent="0.3">
      <c r="A4937" t="str">
        <f>"20200111160601660"</f>
        <v>20200111160601660</v>
      </c>
      <c r="B4937" t="str">
        <f>"1578729961656978"</f>
        <v>1578729961656978</v>
      </c>
      <c r="C4937" t="s">
        <v>40</v>
      </c>
      <c r="D4937">
        <v>5.2097490000000004</v>
      </c>
      <c r="E4937">
        <v>0.40320010000000001</v>
      </c>
      <c r="F4937" t="s">
        <v>41</v>
      </c>
      <c r="G4937">
        <v>-351.66820000000001</v>
      </c>
      <c r="H4937" s="1">
        <v>-4.4597690000000003E-6</v>
      </c>
      <c r="I4937">
        <v>23.852519999999998</v>
      </c>
      <c r="J4937">
        <v>-404.2047</v>
      </c>
      <c r="K4937">
        <v>1.112117</v>
      </c>
      <c r="L4937">
        <v>21.236509999999999</v>
      </c>
      <c r="M4937">
        <v>0.94383950000000005</v>
      </c>
      <c r="N4937">
        <v>0</v>
      </c>
      <c r="O4937">
        <v>-0.3301345</v>
      </c>
      <c r="P4937">
        <v>0.97821230000000003</v>
      </c>
      <c r="Q4937">
        <v>-4.5534070000000003E-2</v>
      </c>
      <c r="R4937">
        <v>-0.20255200000000001</v>
      </c>
      <c r="S4937">
        <v>3.0964049999999999</v>
      </c>
      <c r="T4937">
        <v>-6.5444710000000003E-2</v>
      </c>
      <c r="U4937">
        <v>0.152343799999999</v>
      </c>
      <c r="V4937">
        <v>-0.131657</v>
      </c>
      <c r="W4937">
        <v>-3.2793709999999997E-2</v>
      </c>
      <c r="X4937">
        <v>0.99075279999999999</v>
      </c>
      <c r="Y4937">
        <v>-0.3759943</v>
      </c>
      <c r="Z4937">
        <v>1.0857469999999999E-2</v>
      </c>
      <c r="AA4937">
        <v>0.9265584</v>
      </c>
      <c r="AB4937">
        <v>17</v>
      </c>
      <c r="AC4937">
        <v>52.536499999999897</v>
      </c>
      <c r="AD4937">
        <v>-1.1121214597689999</v>
      </c>
      <c r="AE4937">
        <v>2.6160100000000002</v>
      </c>
      <c r="AF4937">
        <v>-19.806117105425201</v>
      </c>
      <c r="AG4937">
        <v>-1.1121214597689999</v>
      </c>
      <c r="AH4937">
        <v>48.704959655771603</v>
      </c>
      <c r="AI4937">
        <v>91.211728456140804</v>
      </c>
      <c r="AJ4937">
        <v>112.12936489097299</v>
      </c>
      <c r="AK4937">
        <v>52.589848678289997</v>
      </c>
      <c r="AL4937">
        <v>91.879278020593404</v>
      </c>
      <c r="AM4937">
        <v>97.569449238795897</v>
      </c>
      <c r="AN4937">
        <v>1.0000000518862</v>
      </c>
    </row>
    <row r="4938" spans="1:40" x14ac:dyDescent="0.3">
      <c r="A4938" t="str">
        <f>"20200111160601672"</f>
        <v>20200111160601672</v>
      </c>
      <c r="B4938" t="str">
        <f>"1578729961666737"</f>
        <v>1578729961666737</v>
      </c>
      <c r="C4938" t="s">
        <v>40</v>
      </c>
      <c r="D4938">
        <v>5.2517870000000002</v>
      </c>
      <c r="E4938">
        <v>0.40398679999999998</v>
      </c>
      <c r="F4938" t="s">
        <v>41</v>
      </c>
      <c r="G4938">
        <v>-358.51670000000001</v>
      </c>
      <c r="H4938" s="1">
        <v>-1.62178E-6</v>
      </c>
      <c r="I4938">
        <v>23.38635</v>
      </c>
      <c r="J4938">
        <v>-404.12180000000001</v>
      </c>
      <c r="K4938">
        <v>1.112088</v>
      </c>
      <c r="L4938">
        <v>21.209379999999999</v>
      </c>
      <c r="M4938">
        <v>0.94433319999999998</v>
      </c>
      <c r="N4938">
        <v>0</v>
      </c>
      <c r="O4938">
        <v>-0.32871980000000001</v>
      </c>
      <c r="P4938">
        <v>0.97841979999999995</v>
      </c>
      <c r="Q4938">
        <v>-4.4904859999999998E-2</v>
      </c>
      <c r="R4938">
        <v>-0.20168820000000001</v>
      </c>
      <c r="S4938">
        <v>3.0934750000000002</v>
      </c>
      <c r="T4938">
        <v>-7.5300099999999995E-2</v>
      </c>
      <c r="U4938">
        <v>0.1455688</v>
      </c>
      <c r="V4938">
        <v>-0.13106119999999999</v>
      </c>
      <c r="W4938">
        <v>-3.215403E-2</v>
      </c>
      <c r="X4938">
        <v>0.99085270000000003</v>
      </c>
      <c r="Y4938">
        <v>-0.37257249999999997</v>
      </c>
      <c r="Z4938">
        <v>1.242918E-2</v>
      </c>
      <c r="AA4938">
        <v>0.92791990000000002</v>
      </c>
      <c r="AB4938">
        <v>17</v>
      </c>
      <c r="AC4938">
        <v>45.605099999999901</v>
      </c>
      <c r="AD4938">
        <v>-1.11208962177999</v>
      </c>
      <c r="AE4938">
        <v>2.1769699999999998</v>
      </c>
      <c r="AF4938">
        <v>-17.038493943139098</v>
      </c>
      <c r="AG4938">
        <v>-1.11208962177999</v>
      </c>
      <c r="AH4938">
        <v>42.329455245433302</v>
      </c>
      <c r="AI4938">
        <v>91.396131691479098</v>
      </c>
      <c r="AJ4938">
        <v>111.92581984431</v>
      </c>
      <c r="AK4938">
        <v>45.643507759071298</v>
      </c>
      <c r="AL4938">
        <v>91.8426078193487</v>
      </c>
      <c r="AM4938">
        <v>97.534837995366701</v>
      </c>
      <c r="AN4938">
        <v>0.99999999644398496</v>
      </c>
    </row>
    <row r="4939" spans="1:40" x14ac:dyDescent="0.3">
      <c r="A4939" t="str">
        <f>"20200111160601684"</f>
        <v>20200111160601684</v>
      </c>
      <c r="B4939" t="str">
        <f>"1578729961677473"</f>
        <v>1578729961677473</v>
      </c>
      <c r="C4939" t="s">
        <v>40</v>
      </c>
      <c r="D4939">
        <v>5.2380690000000003</v>
      </c>
      <c r="E4939">
        <v>0.40474759999999999</v>
      </c>
      <c r="F4939" t="s">
        <v>85</v>
      </c>
      <c r="G4939">
        <v>-362.34649999999999</v>
      </c>
      <c r="H4939" s="1">
        <v>-4.4510079999999996E-6</v>
      </c>
      <c r="I4939">
        <v>23.137499999999999</v>
      </c>
      <c r="J4939">
        <v>-404.03859999999997</v>
      </c>
      <c r="K4939">
        <v>1.1120639999999999</v>
      </c>
      <c r="L4939">
        <v>21.182279999999999</v>
      </c>
      <c r="M4939">
        <v>0.94482699999999997</v>
      </c>
      <c r="N4939">
        <v>0</v>
      </c>
      <c r="O4939">
        <v>-0.32729799999999998</v>
      </c>
      <c r="P4939">
        <v>0.97855579999999998</v>
      </c>
      <c r="Q4939">
        <v>-4.4637929999999999E-2</v>
      </c>
      <c r="R4939">
        <v>-0.20108760000000001</v>
      </c>
      <c r="S4939">
        <v>3.0917970000000001</v>
      </c>
      <c r="T4939">
        <v>-8.2306149999999995E-2</v>
      </c>
      <c r="U4939">
        <v>0.1427002</v>
      </c>
      <c r="V4939">
        <v>-0.13018489999999999</v>
      </c>
      <c r="W4939">
        <v>-3.1875489999999999E-2</v>
      </c>
      <c r="X4939">
        <v>0.9909772</v>
      </c>
      <c r="Y4939">
        <v>-0.37030030000000003</v>
      </c>
      <c r="Z4939">
        <v>1.352604E-2</v>
      </c>
      <c r="AA4939">
        <v>0.92881360000000002</v>
      </c>
      <c r="AB4939">
        <v>17</v>
      </c>
      <c r="AC4939">
        <v>41.692099999999897</v>
      </c>
      <c r="AD4939">
        <v>-1.1120684510079999</v>
      </c>
      <c r="AE4939">
        <v>1.95522</v>
      </c>
      <c r="AF4939">
        <v>-15.483472521660801</v>
      </c>
      <c r="AG4939">
        <v>-1.1120684510079999</v>
      </c>
      <c r="AH4939">
        <v>38.727837600061399</v>
      </c>
      <c r="AI4939">
        <v>91.527315117708895</v>
      </c>
      <c r="AJ4939">
        <v>111.79163615664601</v>
      </c>
      <c r="AK4939">
        <v>41.723135341743998</v>
      </c>
      <c r="AL4939">
        <v>91.8266404924818</v>
      </c>
      <c r="AM4939">
        <v>97.484102061821801</v>
      </c>
      <c r="AN4939">
        <v>0.99999998298529402</v>
      </c>
    </row>
    <row r="4940" spans="1:40" x14ac:dyDescent="0.3">
      <c r="A4940" t="str">
        <f>"20200111160601695"</f>
        <v>20200111160601695</v>
      </c>
      <c r="B4940" t="str">
        <f>"1578729961687232"</f>
        <v>1578729961687232</v>
      </c>
      <c r="C4940" t="s">
        <v>40</v>
      </c>
      <c r="D4940">
        <v>5.7035439999999999</v>
      </c>
      <c r="E4940">
        <v>0.40523369999999997</v>
      </c>
      <c r="F4940" t="s">
        <v>85</v>
      </c>
      <c r="G4940">
        <v>-365.33600000000001</v>
      </c>
      <c r="H4940" s="1">
        <v>-3.0854379999999999E-6</v>
      </c>
      <c r="I4940">
        <v>22.92474</v>
      </c>
      <c r="J4940">
        <v>-403.9547</v>
      </c>
      <c r="K4940">
        <v>1.1120410000000001</v>
      </c>
      <c r="L4940">
        <v>21.155149999999999</v>
      </c>
      <c r="M4940">
        <v>0.94532430000000001</v>
      </c>
      <c r="N4940">
        <v>0</v>
      </c>
      <c r="O4940">
        <v>-0.325858799999999</v>
      </c>
      <c r="P4940">
        <v>0.9786608</v>
      </c>
      <c r="Q4940">
        <v>-4.4354039999999997E-2</v>
      </c>
      <c r="R4940">
        <v>-0.20063880000000001</v>
      </c>
      <c r="S4940">
        <v>3.090271</v>
      </c>
      <c r="T4940">
        <v>-8.8794709999999999E-2</v>
      </c>
      <c r="U4940">
        <v>0.13912959999999999</v>
      </c>
      <c r="V4940">
        <v>-0.129138</v>
      </c>
      <c r="W4940">
        <v>-3.1580249999999997E-2</v>
      </c>
      <c r="X4940">
        <v>0.99112359999999999</v>
      </c>
      <c r="Y4940">
        <v>-0.36779610000000001</v>
      </c>
      <c r="Z4940">
        <v>1.452345E-2</v>
      </c>
      <c r="AA4940">
        <v>0.92979310000000004</v>
      </c>
      <c r="AB4940">
        <v>17</v>
      </c>
      <c r="AC4940">
        <v>38.618699999999897</v>
      </c>
      <c r="AD4940">
        <v>-1.112044085438</v>
      </c>
      <c r="AE4940">
        <v>1.76959</v>
      </c>
      <c r="AF4940">
        <v>-14.2465605816639</v>
      </c>
      <c r="AG4940">
        <v>-1.112044085438</v>
      </c>
      <c r="AH4940">
        <v>35.904048968358303</v>
      </c>
      <c r="AI4940">
        <v>91.649038493656704</v>
      </c>
      <c r="AJ4940">
        <v>111.642949029245</v>
      </c>
      <c r="AK4940">
        <v>38.643264132022402</v>
      </c>
      <c r="AL4940">
        <v>91.809716001881995</v>
      </c>
      <c r="AM4940">
        <v>97.423507306120698</v>
      </c>
      <c r="AN4940">
        <v>0.99999996285550996</v>
      </c>
    </row>
    <row r="4941" spans="1:40" x14ac:dyDescent="0.3">
      <c r="A4941" t="str">
        <f>"20200111160601716"</f>
        <v>20200111160601716</v>
      </c>
      <c r="B4941" t="str">
        <f>"1578729961706755"</f>
        <v>1578729961706755</v>
      </c>
      <c r="C4941" t="s">
        <v>40</v>
      </c>
      <c r="D4941">
        <v>5.2617469999999997</v>
      </c>
      <c r="E4941">
        <v>0.40619460000000002</v>
      </c>
      <c r="F4941" t="s">
        <v>41</v>
      </c>
      <c r="G4941">
        <v>-355.65089999999998</v>
      </c>
      <c r="H4941" s="1">
        <v>-2.8218729999999999E-6</v>
      </c>
      <c r="I4941">
        <v>23.276119999999999</v>
      </c>
      <c r="J4941">
        <v>-403.81189999999998</v>
      </c>
      <c r="K4941">
        <v>1.1120030000000001</v>
      </c>
      <c r="L4941">
        <v>21.109190000000002</v>
      </c>
      <c r="M4941">
        <v>0.94616820000000001</v>
      </c>
      <c r="N4941">
        <v>0</v>
      </c>
      <c r="O4941">
        <v>-0.32340000000000002</v>
      </c>
      <c r="P4941">
        <v>0.97859750000000001</v>
      </c>
      <c r="Q4941">
        <v>-4.4477639999999999E-2</v>
      </c>
      <c r="R4941">
        <v>-0.20091970000000001</v>
      </c>
      <c r="S4941">
        <v>3.0899350000000001</v>
      </c>
      <c r="T4941">
        <v>-7.1136119999999997E-2</v>
      </c>
      <c r="U4941">
        <v>0.1356812</v>
      </c>
      <c r="V4941">
        <v>-0.12627730000000001</v>
      </c>
      <c r="W4941">
        <v>-3.168083E-2</v>
      </c>
      <c r="X4941">
        <v>0.99148899999999995</v>
      </c>
      <c r="Y4941">
        <v>-0.36444789999999999</v>
      </c>
      <c r="Z4941">
        <v>1.154441E-2</v>
      </c>
      <c r="AA4941">
        <v>0.93115219999999999</v>
      </c>
      <c r="AB4941">
        <v>17</v>
      </c>
      <c r="AC4941">
        <v>48.161000000000001</v>
      </c>
      <c r="AD4941">
        <v>-1.112005821873</v>
      </c>
      <c r="AE4941">
        <v>2.1669299999999998</v>
      </c>
      <c r="AF4941">
        <v>-17.6177447471722</v>
      </c>
      <c r="AG4941">
        <v>-1.112005821873</v>
      </c>
      <c r="AH4941">
        <v>44.847758417218401</v>
      </c>
      <c r="AI4941">
        <v>91.322053293532207</v>
      </c>
      <c r="AJ4941">
        <v>111.446610213789</v>
      </c>
      <c r="AK4941">
        <v>48.196918179211202</v>
      </c>
      <c r="AL4941">
        <v>91.815481566832105</v>
      </c>
      <c r="AM4941">
        <v>97.258186916192102</v>
      </c>
      <c r="AN4941">
        <v>1.0000000343028801</v>
      </c>
    </row>
    <row r="4942" spans="1:40" x14ac:dyDescent="0.3">
      <c r="A4942" t="str">
        <f>"20200111160601728"</f>
        <v>20200111160601728</v>
      </c>
      <c r="B4942" t="str">
        <f>"1578729961717489"</f>
        <v>1578729961717489</v>
      </c>
      <c r="C4942" t="s">
        <v>40</v>
      </c>
      <c r="D4942">
        <v>5.2439970000000002</v>
      </c>
      <c r="E4942">
        <v>0.40653270000000002</v>
      </c>
      <c r="F4942" t="s">
        <v>85</v>
      </c>
      <c r="G4942">
        <v>-363.52260000000001</v>
      </c>
      <c r="H4942" s="1">
        <v>-3.904282E-6</v>
      </c>
      <c r="I4942">
        <v>22.780660000000001</v>
      </c>
      <c r="J4942">
        <v>-403.7296</v>
      </c>
      <c r="K4942">
        <v>1.1119840000000001</v>
      </c>
      <c r="L4942">
        <v>21.082920000000001</v>
      </c>
      <c r="M4942">
        <v>0.94665429999999995</v>
      </c>
      <c r="N4942">
        <v>0</v>
      </c>
      <c r="O4942">
        <v>-0.321974599999999</v>
      </c>
      <c r="P4942">
        <v>0.97860320000000001</v>
      </c>
      <c r="Q4942">
        <v>-4.5151089999999998E-2</v>
      </c>
      <c r="R4942">
        <v>-0.20074230000000001</v>
      </c>
      <c r="S4942">
        <v>3.0880429999999999</v>
      </c>
      <c r="T4942">
        <v>-8.5231779999999993E-2</v>
      </c>
      <c r="U4942">
        <v>0.1281128</v>
      </c>
      <c r="V4942">
        <v>-0.1249531</v>
      </c>
      <c r="W4942">
        <v>-3.2344350000000001E-2</v>
      </c>
      <c r="X4942">
        <v>0.9916353</v>
      </c>
      <c r="Y4942">
        <v>-0.3607127</v>
      </c>
      <c r="Z4942">
        <v>1.3750160000000001E-2</v>
      </c>
      <c r="AA4942">
        <v>0.93257559999999995</v>
      </c>
      <c r="AB4942">
        <v>17</v>
      </c>
      <c r="AC4942">
        <v>40.207000000000001</v>
      </c>
      <c r="AD4942">
        <v>-1.111987904282</v>
      </c>
      <c r="AE4942">
        <v>1.69773999999999</v>
      </c>
      <c r="AF4942">
        <v>-14.542996998008899</v>
      </c>
      <c r="AG4942">
        <v>-1.111987904282</v>
      </c>
      <c r="AH4942">
        <v>37.490214772374003</v>
      </c>
      <c r="AI4942">
        <v>91.583999398173404</v>
      </c>
      <c r="AJ4942">
        <v>111.201993979997</v>
      </c>
      <c r="AK4942">
        <v>40.227496597005597</v>
      </c>
      <c r="AL4942">
        <v>91.8535180181984</v>
      </c>
      <c r="AM4942">
        <v>97.181824795627506</v>
      </c>
      <c r="AN4942">
        <v>1.0000000011913099</v>
      </c>
    </row>
    <row r="4943" spans="1:40" x14ac:dyDescent="0.3">
      <c r="A4943" t="str">
        <f>"20200111160601739"</f>
        <v>20200111160601739</v>
      </c>
      <c r="B4943" t="str">
        <f>"1578729961737008"</f>
        <v>1578729961737008</v>
      </c>
      <c r="C4943" t="s">
        <v>40</v>
      </c>
      <c r="D4943">
        <v>5.2893939999999997</v>
      </c>
      <c r="E4943">
        <v>0.4071729</v>
      </c>
      <c r="F4943" t="s">
        <v>85</v>
      </c>
      <c r="G4943">
        <v>-366.91180000000003</v>
      </c>
      <c r="H4943" s="1">
        <v>-2.2516749999999999E-6</v>
      </c>
      <c r="I4943">
        <v>22.59075</v>
      </c>
      <c r="J4943">
        <v>-403.64550000000003</v>
      </c>
      <c r="K4943">
        <v>1.1119680000000001</v>
      </c>
      <c r="L4943">
        <v>21.056239999999999</v>
      </c>
      <c r="M4943">
        <v>0.94715079999999996</v>
      </c>
      <c r="N4943">
        <v>0</v>
      </c>
      <c r="O4943">
        <v>-0.3205113</v>
      </c>
      <c r="P4943">
        <v>0.97859569999999996</v>
      </c>
      <c r="Q4943">
        <v>-4.6077680000000003E-2</v>
      </c>
      <c r="R4943">
        <v>-0.20056779999999999</v>
      </c>
      <c r="S4943">
        <v>3.0872190000000002</v>
      </c>
      <c r="T4943">
        <v>-9.3241569999999996E-2</v>
      </c>
      <c r="U4943">
        <v>0.1264343</v>
      </c>
      <c r="V4943">
        <v>-0.12358180000000001</v>
      </c>
      <c r="W4943">
        <v>-3.3262140000000003E-2</v>
      </c>
      <c r="X4943">
        <v>0.99177680000000001</v>
      </c>
      <c r="Y4943">
        <v>-0.35872569999999998</v>
      </c>
      <c r="Z4943">
        <v>1.497332E-2</v>
      </c>
      <c r="AA4943">
        <v>0.93332289999999996</v>
      </c>
      <c r="AB4943">
        <v>17</v>
      </c>
      <c r="AC4943">
        <v>36.733699999999999</v>
      </c>
      <c r="AD4943">
        <v>-1.1119702516750001</v>
      </c>
      <c r="AE4943">
        <v>1.53451</v>
      </c>
      <c r="AF4943">
        <v>-13.2160654816998</v>
      </c>
      <c r="AG4943">
        <v>-1.1119702516750001</v>
      </c>
      <c r="AH4943">
        <v>34.272226119442401</v>
      </c>
      <c r="AI4943">
        <v>91.733951701525896</v>
      </c>
      <c r="AJ4943">
        <v>111.087650845414</v>
      </c>
      <c r="AK4943">
        <v>36.748963901576602</v>
      </c>
      <c r="AL4943">
        <v>91.906131781148602</v>
      </c>
      <c r="AM4943">
        <v>97.102814207204801</v>
      </c>
      <c r="AN4943">
        <v>1.0000000261334201</v>
      </c>
    </row>
    <row r="4944" spans="1:40" x14ac:dyDescent="0.3">
      <c r="A4944" t="str">
        <f>"20200111160601751"</f>
        <v>20200111160601751</v>
      </c>
      <c r="B4944" t="str">
        <f>"1578729961746769"</f>
        <v>1578729961746769</v>
      </c>
      <c r="C4944" t="s">
        <v>40</v>
      </c>
      <c r="D4944">
        <v>5.2272239999999996</v>
      </c>
      <c r="E4944">
        <v>0.40736679999999997</v>
      </c>
      <c r="F4944" t="s">
        <v>87</v>
      </c>
      <c r="G4944">
        <v>-371.7647</v>
      </c>
      <c r="H4944" s="1">
        <v>-4.5139369999999996E-6</v>
      </c>
      <c r="I4944">
        <v>22.324079999999999</v>
      </c>
      <c r="J4944">
        <v>-403.56659999999999</v>
      </c>
      <c r="K4944">
        <v>1.1119570000000001</v>
      </c>
      <c r="L4944">
        <v>21.03134</v>
      </c>
      <c r="M4944">
        <v>0.94761930000000005</v>
      </c>
      <c r="N4944">
        <v>0</v>
      </c>
      <c r="O4944">
        <v>-0.31912309999999999</v>
      </c>
      <c r="P4944">
        <v>0.97869150000000005</v>
      </c>
      <c r="Q4944">
        <v>-4.708855E-2</v>
      </c>
      <c r="R4944">
        <v>-0.1998645</v>
      </c>
      <c r="S4944">
        <v>3.085693</v>
      </c>
      <c r="T4944">
        <v>-0.10762579999999999</v>
      </c>
      <c r="U4944">
        <v>0.12271120000000001</v>
      </c>
      <c r="V4944">
        <v>-0.1228233</v>
      </c>
      <c r="W4944">
        <v>-3.4268899999999998E-2</v>
      </c>
      <c r="X4944">
        <v>0.99183670000000002</v>
      </c>
      <c r="Y4944">
        <v>-0.35615170000000002</v>
      </c>
      <c r="Z4944">
        <v>1.7198970000000001E-2</v>
      </c>
      <c r="AA4944">
        <v>0.93426989999999999</v>
      </c>
      <c r="AB4944">
        <v>17</v>
      </c>
      <c r="AC4944">
        <v>31.8018999999999</v>
      </c>
      <c r="AD4944">
        <v>-1.1119615139369901</v>
      </c>
      <c r="AE4944">
        <v>1.29273999999999</v>
      </c>
      <c r="AF4944">
        <v>-11.360892746123699</v>
      </c>
      <c r="AG4944">
        <v>-1.1119615139369901</v>
      </c>
      <c r="AH4944">
        <v>29.689960249902601</v>
      </c>
      <c r="AI4944">
        <v>92.003334762750299</v>
      </c>
      <c r="AJ4944">
        <v>110.939399194562</v>
      </c>
      <c r="AK4944">
        <v>31.808805102332901</v>
      </c>
      <c r="AL4944">
        <v>91.963847882400003</v>
      </c>
      <c r="AM4944">
        <v>97.059238898731607</v>
      </c>
      <c r="AN4944">
        <v>0.99999997999849399</v>
      </c>
    </row>
    <row r="4945" spans="1:40" x14ac:dyDescent="0.3">
      <c r="A4945" t="str">
        <f>"20200111160601764"</f>
        <v>20200111160601764</v>
      </c>
      <c r="B4945" t="str">
        <f>"1578729961757505"</f>
        <v>1578729961757505</v>
      </c>
      <c r="C4945" t="s">
        <v>40</v>
      </c>
      <c r="D4945">
        <v>5.3429169999999999</v>
      </c>
      <c r="E4945">
        <v>0.40762359999999997</v>
      </c>
      <c r="F4945" t="s">
        <v>87</v>
      </c>
      <c r="G4945">
        <v>-373.7921</v>
      </c>
      <c r="H4945" s="1">
        <v>-3.6090550000000001E-6</v>
      </c>
      <c r="I4945">
        <v>22.224779999999999</v>
      </c>
      <c r="J4945">
        <v>-403.47609999999997</v>
      </c>
      <c r="K4945">
        <v>1.1119479999999999</v>
      </c>
      <c r="L4945">
        <v>21.002929999999999</v>
      </c>
      <c r="M4945">
        <v>0.94815720000000003</v>
      </c>
      <c r="N4945">
        <v>0</v>
      </c>
      <c r="O4945">
        <v>-0.31752170000000002</v>
      </c>
      <c r="P4945">
        <v>0.97884870000000002</v>
      </c>
      <c r="Q4945">
        <v>-4.8382710000000002E-2</v>
      </c>
      <c r="R4945">
        <v>-0.1987825</v>
      </c>
      <c r="S4945">
        <v>3.0850520000000001</v>
      </c>
      <c r="T4945">
        <v>-0.1152145</v>
      </c>
      <c r="U4945">
        <v>0.12365719999999999</v>
      </c>
      <c r="V4945">
        <v>-0.12221989999999899</v>
      </c>
      <c r="W4945">
        <v>-3.5560689999999999E-2</v>
      </c>
      <c r="X4945">
        <v>0.99186580000000002</v>
      </c>
      <c r="Y4945">
        <v>-0.35480919999999999</v>
      </c>
      <c r="Z4945">
        <v>1.833216E-2</v>
      </c>
      <c r="AA4945">
        <v>0.93475900000000001</v>
      </c>
      <c r="AB4945">
        <v>17</v>
      </c>
      <c r="AC4945">
        <v>29.683999999999902</v>
      </c>
      <c r="AD4945">
        <v>-1.1119516090549999</v>
      </c>
      <c r="AE4945">
        <v>1.2218500000000001</v>
      </c>
      <c r="AF4945">
        <v>-10.5699546188561</v>
      </c>
      <c r="AG4945">
        <v>-1.1119516090549999</v>
      </c>
      <c r="AH4945">
        <v>27.7207710303013</v>
      </c>
      <c r="AI4945">
        <v>92.146462040072294</v>
      </c>
      <c r="AJ4945">
        <v>110.871893420864</v>
      </c>
      <c r="AK4945">
        <v>29.6884072247055</v>
      </c>
      <c r="AL4945">
        <v>92.037907085319603</v>
      </c>
      <c r="AM4945">
        <v>97.024701946341906</v>
      </c>
      <c r="AN4945">
        <v>1.00000001591946</v>
      </c>
    </row>
    <row r="4946" spans="1:40" x14ac:dyDescent="0.3">
      <c r="A4946" t="str">
        <f>"20200111160601778"</f>
        <v>20200111160601778</v>
      </c>
      <c r="B4946" t="str">
        <f>"1578729961767264"</f>
        <v>1578729961767264</v>
      </c>
      <c r="C4946" t="s">
        <v>40</v>
      </c>
      <c r="D4946">
        <v>5.6576979999999999</v>
      </c>
      <c r="E4946">
        <v>0.4086398</v>
      </c>
      <c r="F4946" t="s">
        <v>87</v>
      </c>
      <c r="G4946">
        <v>-375.84429999999998</v>
      </c>
      <c r="H4946" s="1">
        <v>-2.6126950000000001E-6</v>
      </c>
      <c r="I4946">
        <v>22.126110000000001</v>
      </c>
      <c r="J4946">
        <v>-403.38240000000002</v>
      </c>
      <c r="K4946">
        <v>1.111955</v>
      </c>
      <c r="L4946">
        <v>20.97382</v>
      </c>
      <c r="M4946">
        <v>0.94872239999999997</v>
      </c>
      <c r="N4946">
        <v>0</v>
      </c>
      <c r="O4946">
        <v>-0.31582919999999998</v>
      </c>
      <c r="P4946">
        <v>0.97911700000000002</v>
      </c>
      <c r="Q4946">
        <v>-4.9723330000000003E-2</v>
      </c>
      <c r="R4946">
        <v>-0.1971232</v>
      </c>
      <c r="S4946">
        <v>3.0841669999999999</v>
      </c>
      <c r="T4946">
        <v>-0.1241121</v>
      </c>
      <c r="U4946">
        <v>0.12536620000000001</v>
      </c>
      <c r="V4946">
        <v>-0.1221042</v>
      </c>
      <c r="W4946">
        <v>-3.6904279999999998E-2</v>
      </c>
      <c r="X4946">
        <v>0.99183089999999996</v>
      </c>
      <c r="Y4946">
        <v>-0.35359629999999997</v>
      </c>
      <c r="Z4946">
        <v>1.9662639999999999E-2</v>
      </c>
      <c r="AA4946">
        <v>0.93519149999999995</v>
      </c>
      <c r="AB4946">
        <v>17</v>
      </c>
      <c r="AC4946">
        <v>27.5381</v>
      </c>
      <c r="AD4946">
        <v>-1.1119576126949999</v>
      </c>
      <c r="AE4946">
        <v>1.15229</v>
      </c>
      <c r="AF4946">
        <v>-9.7754989079433905</v>
      </c>
      <c r="AG4946">
        <v>-1.1119576126949999</v>
      </c>
      <c r="AH4946">
        <v>25.722509009948698</v>
      </c>
      <c r="AI4946">
        <v>92.314019908590296</v>
      </c>
      <c r="AJ4946">
        <v>110.808631277909</v>
      </c>
      <c r="AK4946">
        <v>27.5398674361102</v>
      </c>
      <c r="AL4946">
        <v>92.1149398508487</v>
      </c>
      <c r="AM4946">
        <v>97.018362815864094</v>
      </c>
      <c r="AN4946">
        <v>0.999999947867382</v>
      </c>
    </row>
    <row r="4947" spans="1:40" x14ac:dyDescent="0.3">
      <c r="A4947" t="str">
        <f>"20200111160601796"</f>
        <v>20200111160601796</v>
      </c>
      <c r="B4947" t="str">
        <f>"1578729961786784"</f>
        <v>1578729961786784</v>
      </c>
      <c r="C4947" t="s">
        <v>40</v>
      </c>
      <c r="D4947">
        <v>5.5860770000000004</v>
      </c>
      <c r="E4947">
        <v>0.41044710000000001</v>
      </c>
      <c r="F4947" t="s">
        <v>87</v>
      </c>
      <c r="G4947">
        <v>-377.80020000000002</v>
      </c>
      <c r="H4947" s="1">
        <v>-1.653141E-6</v>
      </c>
      <c r="I4947">
        <v>21.994669999999999</v>
      </c>
      <c r="J4947">
        <v>-403.24930000000001</v>
      </c>
      <c r="K4947">
        <v>1.111964</v>
      </c>
      <c r="L4947">
        <v>20.932680000000001</v>
      </c>
      <c r="M4947">
        <v>0.94953330000000002</v>
      </c>
      <c r="N4947">
        <v>0</v>
      </c>
      <c r="O4947">
        <v>-0.31338260000000001</v>
      </c>
      <c r="P4947">
        <v>0.97961089999999995</v>
      </c>
      <c r="Q4947">
        <v>-5.1819850000000001E-2</v>
      </c>
      <c r="R4947">
        <v>-0.19410740000000001</v>
      </c>
      <c r="S4947">
        <v>3.0819700000000001</v>
      </c>
      <c r="T4947">
        <v>-0.1339611</v>
      </c>
      <c r="U4947">
        <v>0.12298580000000001</v>
      </c>
      <c r="V4947">
        <v>-0.122558399999999</v>
      </c>
      <c r="W4947">
        <v>-3.9010540000000003E-2</v>
      </c>
      <c r="X4947">
        <v>0.99169430000000003</v>
      </c>
      <c r="Y4947">
        <v>-0.35040549999999998</v>
      </c>
      <c r="Z4947">
        <v>2.1065E-2</v>
      </c>
      <c r="AA4947">
        <v>0.9363612</v>
      </c>
      <c r="AB4947">
        <v>17</v>
      </c>
      <c r="AC4947">
        <v>25.449099999999898</v>
      </c>
      <c r="AD4947">
        <v>-1.111965653141</v>
      </c>
      <c r="AE4947">
        <v>1.06199</v>
      </c>
      <c r="AF4947">
        <v>-8.9674087316249906</v>
      </c>
      <c r="AG4947">
        <v>-1.111965653141</v>
      </c>
      <c r="AH4947">
        <v>23.7887412555088</v>
      </c>
      <c r="AI4947">
        <v>92.504459129032298</v>
      </c>
      <c r="AJ4947">
        <v>110.654446458604</v>
      </c>
      <c r="AK4947">
        <v>25.447103911748702</v>
      </c>
      <c r="AL4947">
        <v>92.235706636685293</v>
      </c>
      <c r="AM4947">
        <v>97.045168282507802</v>
      </c>
      <c r="AN4947">
        <v>0.99999998414707003</v>
      </c>
    </row>
    <row r="4948" spans="1:40" x14ac:dyDescent="0.3">
      <c r="A4948" t="str">
        <f>"20200111160601810"</f>
        <v>20200111160601810</v>
      </c>
      <c r="B4948" t="str">
        <f>"1578729961807280"</f>
        <v>1578729961807280</v>
      </c>
      <c r="C4948" t="s">
        <v>40</v>
      </c>
      <c r="D4948">
        <v>5.7203220000000004</v>
      </c>
      <c r="E4948">
        <v>0.41153420000000002</v>
      </c>
      <c r="F4948" t="s">
        <v>83</v>
      </c>
      <c r="G4948">
        <v>-380.46370000000002</v>
      </c>
      <c r="H4948" s="1">
        <v>-4.9390880000000004E-6</v>
      </c>
      <c r="I4948">
        <v>21.813040000000001</v>
      </c>
      <c r="J4948">
        <v>-403.1576</v>
      </c>
      <c r="K4948">
        <v>1.1119760000000001</v>
      </c>
      <c r="L4948">
        <v>20.904630000000001</v>
      </c>
      <c r="M4948">
        <v>0.95009960000000004</v>
      </c>
      <c r="N4948">
        <v>0</v>
      </c>
      <c r="O4948">
        <v>-0.31166090000000002</v>
      </c>
      <c r="P4948">
        <v>0.98001000000000005</v>
      </c>
      <c r="Q4948">
        <v>-5.2863550000000002E-2</v>
      </c>
      <c r="R4948">
        <v>-0.19179679999999999</v>
      </c>
      <c r="S4948">
        <v>3.0780639999999999</v>
      </c>
      <c r="T4948">
        <v>-0.15021419999999999</v>
      </c>
      <c r="U4948">
        <v>0.118927</v>
      </c>
      <c r="V4948">
        <v>-0.1230757</v>
      </c>
      <c r="W4948">
        <v>-4.0063469999999997E-2</v>
      </c>
      <c r="X4948">
        <v>0.99158820000000003</v>
      </c>
      <c r="Y4948">
        <v>-0.34736509999999998</v>
      </c>
      <c r="Z4948">
        <v>2.349267E-2</v>
      </c>
      <c r="AA4948">
        <v>0.93743560000000004</v>
      </c>
      <c r="AB4948">
        <v>17</v>
      </c>
      <c r="AC4948">
        <v>22.6938999999999</v>
      </c>
      <c r="AD4948">
        <v>-1.111980939088</v>
      </c>
      <c r="AE4948">
        <v>0.90841000000000305</v>
      </c>
      <c r="AF4948">
        <v>-7.9176095097917898</v>
      </c>
      <c r="AG4948">
        <v>-1.111980939088</v>
      </c>
      <c r="AH4948">
        <v>21.2293576442306</v>
      </c>
      <c r="AI4948">
        <v>92.809665740986304</v>
      </c>
      <c r="AJ4948">
        <v>110.45328613857799</v>
      </c>
      <c r="AK4948">
        <v>22.685031803925099</v>
      </c>
      <c r="AL4948">
        <v>92.296082408151193</v>
      </c>
      <c r="AM4948">
        <v>97.075353455268399</v>
      </c>
      <c r="AN4948">
        <v>0.99999993396908304</v>
      </c>
    </row>
    <row r="4949" spans="1:40" x14ac:dyDescent="0.3">
      <c r="A4949" t="str">
        <f>"20200111160601821"</f>
        <v>20200111160601821</v>
      </c>
      <c r="B4949" t="str">
        <f>"1578729961817041"</f>
        <v>1578729961817041</v>
      </c>
      <c r="C4949" t="s">
        <v>40</v>
      </c>
      <c r="D4949">
        <v>5.6527219999999998</v>
      </c>
      <c r="E4949">
        <v>0.41227370000000002</v>
      </c>
      <c r="F4949" t="s">
        <v>87</v>
      </c>
      <c r="G4949">
        <v>-378.733</v>
      </c>
      <c r="H4949" s="1">
        <v>-1.168956E-6</v>
      </c>
      <c r="I4949">
        <v>21.832090000000001</v>
      </c>
      <c r="J4949">
        <v>-403.07139999999998</v>
      </c>
      <c r="K4949">
        <v>1.111999</v>
      </c>
      <c r="L4949">
        <v>20.878450000000001</v>
      </c>
      <c r="M4949">
        <v>0.95063730000000002</v>
      </c>
      <c r="N4949">
        <v>0</v>
      </c>
      <c r="O4949">
        <v>-0.31001679999999998</v>
      </c>
      <c r="P4949">
        <v>0.98039620000000005</v>
      </c>
      <c r="Q4949">
        <v>-5.4011950000000003E-2</v>
      </c>
      <c r="R4949">
        <v>-0.1894883</v>
      </c>
      <c r="S4949">
        <v>3.0764770000000001</v>
      </c>
      <c r="T4949">
        <v>-0.14006279999999999</v>
      </c>
      <c r="U4949">
        <v>0.1168213</v>
      </c>
      <c r="V4949">
        <v>-0.123669</v>
      </c>
      <c r="W4949">
        <v>-4.1222300000000003E-2</v>
      </c>
      <c r="X4949">
        <v>0.99146690000000004</v>
      </c>
      <c r="Y4949">
        <v>-0.3452247</v>
      </c>
      <c r="Z4949">
        <v>2.1797210000000001E-2</v>
      </c>
      <c r="AA4949">
        <v>0.93826690000000001</v>
      </c>
      <c r="AB4949">
        <v>16</v>
      </c>
      <c r="AC4949">
        <v>24.338399999999901</v>
      </c>
      <c r="AD4949">
        <v>-1.112000168956</v>
      </c>
      <c r="AE4949">
        <v>0.95363999999999904</v>
      </c>
      <c r="AF4949">
        <v>-8.4350511137525803</v>
      </c>
      <c r="AG4949">
        <v>-1.112000168956</v>
      </c>
      <c r="AH4949">
        <v>22.795869764245001</v>
      </c>
      <c r="AI4949">
        <v>92.619412381150795</v>
      </c>
      <c r="AJ4949">
        <v>110.305754402476</v>
      </c>
      <c r="AK4949">
        <v>24.331837373609801</v>
      </c>
      <c r="AL4949">
        <v>92.362533336768394</v>
      </c>
      <c r="AM4949">
        <v>97.109973672172003</v>
      </c>
      <c r="AN4949">
        <v>0.99999995668694897</v>
      </c>
    </row>
    <row r="4950" spans="1:40" x14ac:dyDescent="0.3">
      <c r="A4950" t="str">
        <f>"20200111160601839"</f>
        <v>20200111160601839</v>
      </c>
      <c r="B4950" t="str">
        <f>"1578729961826800"</f>
        <v>1578729961826800</v>
      </c>
      <c r="C4950" t="s">
        <v>40</v>
      </c>
      <c r="D4950">
        <v>5.7022339999999998</v>
      </c>
      <c r="E4950">
        <v>0.41297329999999999</v>
      </c>
      <c r="F4950" t="s">
        <v>87</v>
      </c>
      <c r="G4950">
        <v>-379.74930000000001</v>
      </c>
      <c r="H4950" s="1">
        <v>-6.7383759999999897E-7</v>
      </c>
      <c r="I4950">
        <v>21.776810000000001</v>
      </c>
      <c r="J4950">
        <v>-402.9554</v>
      </c>
      <c r="K4950">
        <v>1.112031</v>
      </c>
      <c r="L4950">
        <v>20.84357</v>
      </c>
      <c r="M4950">
        <v>0.95137879999999997</v>
      </c>
      <c r="N4950">
        <v>0</v>
      </c>
      <c r="O4950">
        <v>-0.3077336</v>
      </c>
      <c r="P4950">
        <v>0.98109389999999996</v>
      </c>
      <c r="Q4950">
        <v>-5.557807E-2</v>
      </c>
      <c r="R4950">
        <v>-0.18537970000000001</v>
      </c>
      <c r="S4950">
        <v>3.0747680000000002</v>
      </c>
      <c r="T4950">
        <v>-0.14660500000000001</v>
      </c>
      <c r="U4950">
        <v>0.11843869999999999</v>
      </c>
      <c r="V4950">
        <v>-0.12540399999999999</v>
      </c>
      <c r="W4950">
        <v>-4.280921E-2</v>
      </c>
      <c r="X4950">
        <v>0.99118170000000005</v>
      </c>
      <c r="Y4950">
        <v>-0.3434236</v>
      </c>
      <c r="Z4950">
        <v>2.2679189999999998E-2</v>
      </c>
      <c r="AA4950">
        <v>0.93890669999999998</v>
      </c>
      <c r="AB4950">
        <v>16</v>
      </c>
      <c r="AC4950">
        <v>23.2060999999999</v>
      </c>
      <c r="AD4950">
        <v>-1.1120316738375999</v>
      </c>
      <c r="AE4950">
        <v>0.93324000000000096</v>
      </c>
      <c r="AF4950">
        <v>-8.0115105996990703</v>
      </c>
      <c r="AG4950">
        <v>-1.1120316738375999</v>
      </c>
      <c r="AH4950">
        <v>21.742699059497401</v>
      </c>
      <c r="AI4950">
        <v>92.747566251046607</v>
      </c>
      <c r="AJ4950">
        <v>110.227278299937</v>
      </c>
      <c r="AK4950">
        <v>23.1984025080301</v>
      </c>
      <c r="AL4950">
        <v>92.453536906710298</v>
      </c>
      <c r="AM4950">
        <v>97.210732428697099</v>
      </c>
      <c r="AN4950">
        <v>0.99999997704585597</v>
      </c>
    </row>
    <row r="4951" spans="1:40" x14ac:dyDescent="0.3">
      <c r="A4951" t="str">
        <f>"20200111160601852"</f>
        <v>20200111160601852</v>
      </c>
      <c r="B4951" t="str">
        <f>"1578729961847297"</f>
        <v>1578729961847297</v>
      </c>
      <c r="C4951" t="s">
        <v>40</v>
      </c>
      <c r="D4951">
        <v>5.6898730000000004</v>
      </c>
      <c r="E4951">
        <v>0.41441410000000001</v>
      </c>
      <c r="F4951" t="s">
        <v>83</v>
      </c>
      <c r="G4951">
        <v>-380.71129999999999</v>
      </c>
      <c r="H4951" s="1">
        <v>-4.8337599999999999E-6</v>
      </c>
      <c r="I4951">
        <v>21.755269999999999</v>
      </c>
      <c r="J4951">
        <v>-402.86099999999999</v>
      </c>
      <c r="K4951">
        <v>1.112066</v>
      </c>
      <c r="L4951">
        <v>20.81549</v>
      </c>
      <c r="M4951">
        <v>0.95199420000000001</v>
      </c>
      <c r="N4951">
        <v>0</v>
      </c>
      <c r="O4951">
        <v>-0.30582500000000001</v>
      </c>
      <c r="P4951">
        <v>0.98162919999999998</v>
      </c>
      <c r="Q4951">
        <v>-5.6305300000000003E-2</v>
      </c>
      <c r="R4951">
        <v>-0.1823022</v>
      </c>
      <c r="S4951">
        <v>3.0728759999999999</v>
      </c>
      <c r="T4951">
        <v>-0.15362100000000001</v>
      </c>
      <c r="U4951">
        <v>0.125946</v>
      </c>
      <c r="V4951">
        <v>-0.12650429999999999</v>
      </c>
      <c r="W4951">
        <v>-4.3552689999999998E-2</v>
      </c>
      <c r="X4951">
        <v>0.99100949999999999</v>
      </c>
      <c r="Y4951">
        <v>-0.34378209999999998</v>
      </c>
      <c r="Z4951">
        <v>2.36951E-2</v>
      </c>
      <c r="AA4951">
        <v>0.93875039999999998</v>
      </c>
      <c r="AB4951">
        <v>16</v>
      </c>
      <c r="AC4951">
        <v>22.149699999999999</v>
      </c>
      <c r="AD4951">
        <v>-1.11207083376</v>
      </c>
      <c r="AE4951">
        <v>0.93977999999999895</v>
      </c>
      <c r="AF4951">
        <v>-7.6500310013778696</v>
      </c>
      <c r="AG4951">
        <v>-1.11207083376</v>
      </c>
      <c r="AH4951">
        <v>20.748622203521101</v>
      </c>
      <c r="AI4951">
        <v>92.878872249033606</v>
      </c>
      <c r="AJ4951">
        <v>110.238964581204</v>
      </c>
      <c r="AK4951">
        <v>22.141928534023201</v>
      </c>
      <c r="AL4951">
        <v>92.496174882604095</v>
      </c>
      <c r="AM4951">
        <v>97.274575389077697</v>
      </c>
      <c r="AN4951">
        <v>1.00000000190748</v>
      </c>
    </row>
    <row r="4952" spans="1:40" x14ac:dyDescent="0.3">
      <c r="A4952" t="str">
        <f>"20200111160601864"</f>
        <v>20200111160601864</v>
      </c>
      <c r="B4952" t="str">
        <f>"1578729961857057"</f>
        <v>1578729961857057</v>
      </c>
      <c r="C4952" t="s">
        <v>40</v>
      </c>
      <c r="D4952">
        <v>5.6751719999999999</v>
      </c>
      <c r="E4952">
        <v>0.41504869999999999</v>
      </c>
      <c r="F4952" t="s">
        <v>83</v>
      </c>
      <c r="G4952">
        <v>-381.09109999999998</v>
      </c>
      <c r="H4952" s="1">
        <v>-4.6775929999999999E-6</v>
      </c>
      <c r="I4952">
        <v>21.69707</v>
      </c>
      <c r="J4952">
        <v>-402.77199999999999</v>
      </c>
      <c r="K4952">
        <v>1.112101</v>
      </c>
      <c r="L4952">
        <v>20.789149999999999</v>
      </c>
      <c r="M4952">
        <v>0.95258120000000002</v>
      </c>
      <c r="N4952">
        <v>0</v>
      </c>
      <c r="O4952">
        <v>-0.30399140000000002</v>
      </c>
      <c r="P4952">
        <v>0.98211999999999999</v>
      </c>
      <c r="Q4952">
        <v>-5.6925570000000002E-2</v>
      </c>
      <c r="R4952">
        <v>-0.17944270000000001</v>
      </c>
      <c r="S4952">
        <v>3.0702210000000001</v>
      </c>
      <c r="T4952">
        <v>-0.1568359</v>
      </c>
      <c r="U4952">
        <v>0.1243286</v>
      </c>
      <c r="V4952">
        <v>-0.12746379999999999</v>
      </c>
      <c r="W4952">
        <v>-4.4188669999999999E-2</v>
      </c>
      <c r="X4952">
        <v>0.99085840000000003</v>
      </c>
      <c r="Y4952">
        <v>-0.34148289999999998</v>
      </c>
      <c r="Z4952">
        <v>2.4062179999999999E-2</v>
      </c>
      <c r="AA4952">
        <v>0.93957990000000002</v>
      </c>
      <c r="AB4952">
        <v>16</v>
      </c>
      <c r="AC4952">
        <v>21.680900000000001</v>
      </c>
      <c r="AD4952">
        <v>-1.1121056775929901</v>
      </c>
      <c r="AE4952">
        <v>0.90791999999999995</v>
      </c>
      <c r="AF4952">
        <v>-7.4368066426877304</v>
      </c>
      <c r="AG4952">
        <v>-1.1121056775929901</v>
      </c>
      <c r="AH4952">
        <v>20.3252503941603</v>
      </c>
      <c r="AI4952">
        <v>92.941496316218206</v>
      </c>
      <c r="AJ4952">
        <v>110.097069510415</v>
      </c>
      <c r="AK4952">
        <v>21.671609900147601</v>
      </c>
      <c r="AL4952">
        <v>92.532648939305702</v>
      </c>
      <c r="AM4952">
        <v>97.330258815313798</v>
      </c>
      <c r="AN4952">
        <v>1.00000001385868</v>
      </c>
    </row>
    <row r="4953" spans="1:40" x14ac:dyDescent="0.3">
      <c r="A4953" t="str">
        <f>"20200111160601876"</f>
        <v>20200111160601876</v>
      </c>
      <c r="B4953" t="str">
        <f>"1578729961866817"</f>
        <v>1578729961866817</v>
      </c>
      <c r="C4953" t="s">
        <v>40</v>
      </c>
      <c r="D4953">
        <v>4.1033030000000004</v>
      </c>
      <c r="E4953">
        <v>0.41504869999999999</v>
      </c>
      <c r="F4953" t="s">
        <v>83</v>
      </c>
      <c r="G4953">
        <v>-381.34300000000002</v>
      </c>
      <c r="H4953" s="1">
        <v>-4.5787970000000002E-6</v>
      </c>
      <c r="I4953">
        <v>21.685449999999999</v>
      </c>
      <c r="J4953">
        <v>-402.69040000000001</v>
      </c>
      <c r="K4953">
        <v>1.1121399999999999</v>
      </c>
      <c r="L4953">
        <v>20.765319999999999</v>
      </c>
      <c r="M4953">
        <v>0.9531345</v>
      </c>
      <c r="N4953">
        <v>0</v>
      </c>
      <c r="O4953">
        <v>-0.30225190000000002</v>
      </c>
      <c r="P4953">
        <v>0.9825739</v>
      </c>
      <c r="Q4953">
        <v>-5.7672470000000003E-2</v>
      </c>
      <c r="R4953">
        <v>-0.17669939999999901</v>
      </c>
      <c r="S4953">
        <v>3.0688170000000001</v>
      </c>
      <c r="T4953">
        <v>-0.15926299999999999</v>
      </c>
      <c r="U4953">
        <v>0.1283569</v>
      </c>
      <c r="V4953">
        <v>-0.12840099999999999</v>
      </c>
      <c r="W4953">
        <v>-4.4950850000000001E-2</v>
      </c>
      <c r="X4953">
        <v>0.99070309999999995</v>
      </c>
      <c r="Y4953">
        <v>-0.34099230000000003</v>
      </c>
      <c r="Z4953">
        <v>2.4345539999999999E-2</v>
      </c>
      <c r="AA4953">
        <v>0.9397508</v>
      </c>
      <c r="AB4953">
        <v>16</v>
      </c>
      <c r="AC4953">
        <v>21.3474</v>
      </c>
      <c r="AD4953">
        <v>-1.1121445787969999</v>
      </c>
      <c r="AE4953">
        <v>0.92012999999999601</v>
      </c>
      <c r="AF4953">
        <v>-7.3101497794380901</v>
      </c>
      <c r="AG4953">
        <v>-1.1121445787969999</v>
      </c>
      <c r="AH4953">
        <v>20.016396310828501</v>
      </c>
      <c r="AI4953">
        <v>92.987562203628798</v>
      </c>
      <c r="AJ4953">
        <v>110.06260224022</v>
      </c>
      <c r="AK4953">
        <v>21.338492838860901</v>
      </c>
      <c r="AL4953">
        <v>92.576362075402599</v>
      </c>
      <c r="AM4953">
        <v>97.384707890850095</v>
      </c>
      <c r="AN4953">
        <v>1.00000001403316</v>
      </c>
    </row>
    <row r="4954" spans="1:40" x14ac:dyDescent="0.3">
      <c r="A4954" t="str">
        <f>"20200111160601888"</f>
        <v>20200111160601888</v>
      </c>
      <c r="B4954" t="str">
        <f>"1578729961876577"</f>
        <v>1578729961876577</v>
      </c>
      <c r="C4954" t="s">
        <v>40</v>
      </c>
      <c r="D4954">
        <v>4.0627909999999998</v>
      </c>
      <c r="E4954">
        <v>0.41504869999999999</v>
      </c>
      <c r="F4954" t="s">
        <v>83</v>
      </c>
      <c r="G4954">
        <v>-381.5496</v>
      </c>
      <c r="H4954" s="1">
        <v>-4.5035579999999996E-6</v>
      </c>
      <c r="I4954">
        <v>21.708570000000002</v>
      </c>
      <c r="J4954">
        <v>-402.6123</v>
      </c>
      <c r="K4954">
        <v>1.1121749999999999</v>
      </c>
      <c r="L4954">
        <v>20.742650000000001</v>
      </c>
      <c r="M4954">
        <v>0.95366790000000001</v>
      </c>
      <c r="N4954">
        <v>0</v>
      </c>
      <c r="O4954">
        <v>-0.30056500000000003</v>
      </c>
      <c r="P4954">
        <v>0.98294599999999999</v>
      </c>
      <c r="Q4954">
        <v>-5.7991479999999998E-2</v>
      </c>
      <c r="R4954">
        <v>-0.17451159999999999</v>
      </c>
      <c r="S4954">
        <v>3.0683590000000001</v>
      </c>
      <c r="T4954">
        <v>-0.1614157</v>
      </c>
      <c r="U4954">
        <v>0.13690189999999999</v>
      </c>
      <c r="V4954">
        <v>-0.12884219999999999</v>
      </c>
      <c r="W4954">
        <v>-4.5281559999999998E-2</v>
      </c>
      <c r="X4954">
        <v>0.99063069999999998</v>
      </c>
      <c r="Y4954">
        <v>-0.34192479999999997</v>
      </c>
      <c r="Z4954">
        <v>2.4616849999999999E-2</v>
      </c>
      <c r="AA4954">
        <v>0.93940480000000004</v>
      </c>
      <c r="AB4954">
        <v>16</v>
      </c>
      <c r="AC4954">
        <v>21.0627</v>
      </c>
      <c r="AD4954">
        <v>-1.112179503558</v>
      </c>
      <c r="AE4954">
        <v>0.96592</v>
      </c>
      <c r="AF4954">
        <v>-7.2324006589804997</v>
      </c>
      <c r="AG4954">
        <v>-1.112179503558</v>
      </c>
      <c r="AH4954">
        <v>19.743330862517499</v>
      </c>
      <c r="AI4954">
        <v>93.027815561905101</v>
      </c>
      <c r="AJ4954">
        <v>110.118853498371</v>
      </c>
      <c r="AK4954">
        <v>21.055727868848201</v>
      </c>
      <c r="AL4954">
        <v>92.595329821885898</v>
      </c>
      <c r="AM4954">
        <v>97.410336577012799</v>
      </c>
      <c r="AN4954">
        <v>0.99999995797968</v>
      </c>
    </row>
    <row r="4955" spans="1:40" x14ac:dyDescent="0.3">
      <c r="A4955" t="str">
        <f>"20200111160601906"</f>
        <v>20200111160601906</v>
      </c>
      <c r="B4955" t="str">
        <f>"1578729961887313"</f>
        <v>1578729961887313</v>
      </c>
      <c r="C4955" t="s">
        <v>40</v>
      </c>
      <c r="D4955">
        <v>4.2276619999999996</v>
      </c>
      <c r="E4955">
        <v>0.41504869999999999</v>
      </c>
      <c r="F4955" t="s">
        <v>83</v>
      </c>
      <c r="G4955">
        <v>-381.58260000000001</v>
      </c>
      <c r="H4955" s="1">
        <v>-4.494302E-6</v>
      </c>
      <c r="I4955">
        <v>21.727900000000002</v>
      </c>
      <c r="J4955">
        <v>-402.48450000000003</v>
      </c>
      <c r="K4955">
        <v>1.1122320000000001</v>
      </c>
      <c r="L4955">
        <v>20.705960000000001</v>
      </c>
      <c r="M4955">
        <v>0.95455679999999998</v>
      </c>
      <c r="N4955">
        <v>0</v>
      </c>
      <c r="O4955">
        <v>-0.29772949999999998</v>
      </c>
      <c r="P4955">
        <v>0.98355389999999998</v>
      </c>
      <c r="Q4955">
        <v>-5.8433449999999998E-2</v>
      </c>
      <c r="R4955">
        <v>-0.17090179999999999</v>
      </c>
      <c r="S4955">
        <v>3.067993</v>
      </c>
      <c r="T4955">
        <v>-0.16225490000000001</v>
      </c>
      <c r="U4955">
        <v>0.1437378</v>
      </c>
      <c r="V4955">
        <v>-0.12951869999999999</v>
      </c>
      <c r="W4955">
        <v>-4.5741690000000002E-2</v>
      </c>
      <c r="X4955">
        <v>0.9905214</v>
      </c>
      <c r="Y4955">
        <v>-0.34122200000000003</v>
      </c>
      <c r="Z4955">
        <v>2.4584249999999998E-2</v>
      </c>
      <c r="AA4955">
        <v>0.93966119999999997</v>
      </c>
      <c r="AB4955">
        <v>16</v>
      </c>
      <c r="AC4955">
        <v>20.901900000000001</v>
      </c>
      <c r="AD4955">
        <v>-1.11223649430199</v>
      </c>
      <c r="AE4955">
        <v>1.0219400000000001</v>
      </c>
      <c r="AF4955">
        <v>-7.17897534974332</v>
      </c>
      <c r="AG4955">
        <v>-1.11223649430199</v>
      </c>
      <c r="AH4955">
        <v>19.5941930657611</v>
      </c>
      <c r="AI4955">
        <v>93.050913328046605</v>
      </c>
      <c r="AJ4955">
        <v>110.121965339979</v>
      </c>
      <c r="AK4955">
        <v>20.897539543922399</v>
      </c>
      <c r="AL4955">
        <v>92.621720513884298</v>
      </c>
      <c r="AM4955">
        <v>97.4496222560756</v>
      </c>
      <c r="AN4955">
        <v>1.0000000198558501</v>
      </c>
    </row>
    <row r="4956" spans="1:40" x14ac:dyDescent="0.3">
      <c r="A4956" t="str">
        <f>"20200111160601952"</f>
        <v>20200111160601952</v>
      </c>
      <c r="B4956" t="str">
        <f>"1578729961946848"</f>
        <v>1578729961946848</v>
      </c>
      <c r="C4956" t="s">
        <v>40</v>
      </c>
      <c r="D4956">
        <v>5.6325430000000001</v>
      </c>
      <c r="E4956">
        <v>0.41477409999999998</v>
      </c>
      <c r="F4956" t="s">
        <v>83</v>
      </c>
      <c r="G4956">
        <v>-381.52330000000001</v>
      </c>
      <c r="H4956" s="1">
        <v>-4.5236710000000002E-6</v>
      </c>
      <c r="I4956">
        <v>21.76492</v>
      </c>
      <c r="J4956">
        <v>-402.16430000000003</v>
      </c>
      <c r="K4956">
        <v>1.1123639999999999</v>
      </c>
      <c r="L4956">
        <v>20.616489999999999</v>
      </c>
      <c r="M4956">
        <v>0.95686130000000003</v>
      </c>
      <c r="N4956">
        <v>0</v>
      </c>
      <c r="O4956">
        <v>-0.29023739999999998</v>
      </c>
      <c r="P4956">
        <v>0.98487029999999998</v>
      </c>
      <c r="Q4956">
        <v>-5.7424250000000003E-2</v>
      </c>
      <c r="R4956">
        <v>-0.16350410000000001</v>
      </c>
      <c r="S4956">
        <v>3.0674739999999998</v>
      </c>
      <c r="T4956">
        <v>-0.16276550000000001</v>
      </c>
      <c r="U4956">
        <v>0.1549683</v>
      </c>
      <c r="V4956">
        <v>-0.12920799999999999</v>
      </c>
      <c r="W4956">
        <v>-4.4757859999999997E-2</v>
      </c>
      <c r="X4956">
        <v>0.99060689999999996</v>
      </c>
      <c r="Y4956">
        <v>-0.33730199999999999</v>
      </c>
      <c r="Z4956">
        <v>2.4177130000000002E-2</v>
      </c>
      <c r="AA4956">
        <v>0.94108599999999998</v>
      </c>
      <c r="AB4956">
        <v>16</v>
      </c>
      <c r="AC4956">
        <v>20.640999999999998</v>
      </c>
      <c r="AD4956">
        <v>-1.1123685236709999</v>
      </c>
      <c r="AE4956">
        <v>1.1484300000000001</v>
      </c>
      <c r="AF4956">
        <v>-7.0698426428371004</v>
      </c>
      <c r="AG4956">
        <v>-1.1123685236709999</v>
      </c>
      <c r="AH4956">
        <v>19.362930467337598</v>
      </c>
      <c r="AI4956">
        <v>93.088900946676205</v>
      </c>
      <c r="AJ4956">
        <v>110.05827826962</v>
      </c>
      <c r="AK4956">
        <v>20.643234121858999</v>
      </c>
      <c r="AL4956">
        <v>92.565293454235203</v>
      </c>
      <c r="AM4956">
        <v>97.431317224021697</v>
      </c>
      <c r="AN4956">
        <v>1.0000000018116899</v>
      </c>
    </row>
    <row r="4957" spans="1:40" x14ac:dyDescent="0.3">
      <c r="A4957" t="str">
        <f>"20200111160601967"</f>
        <v>20200111160601967</v>
      </c>
      <c r="B4957" t="str">
        <f>"1578729961956609"</f>
        <v>1578729961956609</v>
      </c>
      <c r="C4957" t="s">
        <v>40</v>
      </c>
      <c r="D4957">
        <v>5.7410230000000002</v>
      </c>
      <c r="E4957">
        <v>0.41443039999999998</v>
      </c>
      <c r="F4957" t="s">
        <v>83</v>
      </c>
      <c r="G4957">
        <v>-381.18209999999999</v>
      </c>
      <c r="H4957" s="1">
        <v>-4.6699550000000004E-6</v>
      </c>
      <c r="I4957">
        <v>21.850950000000001</v>
      </c>
      <c r="J4957">
        <v>-402.06150000000002</v>
      </c>
      <c r="K4957">
        <v>1.1123989999999999</v>
      </c>
      <c r="L4957">
        <v>20.588380000000001</v>
      </c>
      <c r="M4957">
        <v>0.95761819999999997</v>
      </c>
      <c r="N4957">
        <v>0</v>
      </c>
      <c r="O4957">
        <v>-0.28773009999999999</v>
      </c>
      <c r="P4957">
        <v>0.98526670000000005</v>
      </c>
      <c r="Q4957">
        <v>-5.6849980000000001E-2</v>
      </c>
      <c r="R4957">
        <v>-0.16130129999999901</v>
      </c>
      <c r="S4957">
        <v>3.066589</v>
      </c>
      <c r="T4957">
        <v>-0.16257489999999999</v>
      </c>
      <c r="U4957">
        <v>0.18041989999999999</v>
      </c>
      <c r="V4957">
        <v>-0.12883720000000001</v>
      </c>
      <c r="W4957">
        <v>-4.4188020000000001E-2</v>
      </c>
      <c r="X4957">
        <v>0.99068080000000003</v>
      </c>
      <c r="Y4957">
        <v>-0.3426302</v>
      </c>
      <c r="Z4957">
        <v>2.4167210000000001E-2</v>
      </c>
      <c r="AA4957">
        <v>0.93915950000000004</v>
      </c>
      <c r="AB4957">
        <v>16</v>
      </c>
      <c r="AC4957">
        <v>20.8794</v>
      </c>
      <c r="AD4957">
        <v>-1.112403669955</v>
      </c>
      <c r="AE4957">
        <v>1.26257</v>
      </c>
      <c r="AF4957">
        <v>-7.1969828163325902</v>
      </c>
      <c r="AG4957">
        <v>-1.112403669955</v>
      </c>
      <c r="AH4957">
        <v>19.5776005028453</v>
      </c>
      <c r="AI4957">
        <v>93.052739546170898</v>
      </c>
      <c r="AJ4957">
        <v>110.184090012062</v>
      </c>
      <c r="AK4957">
        <v>20.888189127651199</v>
      </c>
      <c r="AL4957">
        <v>92.532611628975005</v>
      </c>
      <c r="AM4957">
        <v>97.409681627403401</v>
      </c>
      <c r="AN4957">
        <v>1.0000000263519899</v>
      </c>
    </row>
    <row r="4958" spans="1:40" x14ac:dyDescent="0.3">
      <c r="A4958" t="str">
        <f>"20200111160601981"</f>
        <v>20200111160601981</v>
      </c>
      <c r="B4958" t="str">
        <f>"1578729961977105"</f>
        <v>1578729961977105</v>
      </c>
      <c r="C4958" t="s">
        <v>40</v>
      </c>
      <c r="D4958">
        <v>5.642366</v>
      </c>
      <c r="E4958">
        <v>0.41407440000000001</v>
      </c>
      <c r="F4958" t="s">
        <v>83</v>
      </c>
      <c r="G4958">
        <v>-381.30099999999999</v>
      </c>
      <c r="H4958" s="1">
        <v>-4.6287490000000001E-6</v>
      </c>
      <c r="I4958">
        <v>21.876169999999998</v>
      </c>
      <c r="J4958">
        <v>-401.96620000000001</v>
      </c>
      <c r="K4958">
        <v>1.1124270000000001</v>
      </c>
      <c r="L4958">
        <v>20.562709999999999</v>
      </c>
      <c r="M4958">
        <v>0.95832810000000002</v>
      </c>
      <c r="N4958">
        <v>0</v>
      </c>
      <c r="O4958">
        <v>-0.28535630000000001</v>
      </c>
      <c r="P4958">
        <v>0.98564940000000001</v>
      </c>
      <c r="Q4958">
        <v>-5.6468730000000002E-2</v>
      </c>
      <c r="R4958">
        <v>-0.15908039999999901</v>
      </c>
      <c r="S4958">
        <v>3.0664669999999998</v>
      </c>
      <c r="T4958">
        <v>-0.16431019999999999</v>
      </c>
      <c r="U4958">
        <v>0.1902161</v>
      </c>
      <c r="V4958">
        <v>-0.1286196</v>
      </c>
      <c r="W4958">
        <v>-4.3810960000000003E-2</v>
      </c>
      <c r="X4958">
        <v>0.99072579999999999</v>
      </c>
      <c r="Y4958">
        <v>-0.34327800000000003</v>
      </c>
      <c r="Z4958">
        <v>2.4319159999999999E-2</v>
      </c>
      <c r="AA4958">
        <v>0.9389189</v>
      </c>
      <c r="AB4958">
        <v>16</v>
      </c>
      <c r="AC4958">
        <v>20.665199999999999</v>
      </c>
      <c r="AD4958">
        <v>-1.1124316287489999</v>
      </c>
      <c r="AE4958">
        <v>1.3134600000000001</v>
      </c>
      <c r="AF4958">
        <v>-7.1357166440543596</v>
      </c>
      <c r="AG4958">
        <v>-1.1124316287489999</v>
      </c>
      <c r="AH4958">
        <v>19.3750582361669</v>
      </c>
      <c r="AI4958">
        <v>93.083989019319503</v>
      </c>
      <c r="AJ4958">
        <v>110.218446841442</v>
      </c>
      <c r="AK4958">
        <v>20.677254116727699</v>
      </c>
      <c r="AL4958">
        <v>92.510986790746102</v>
      </c>
      <c r="AM4958">
        <v>97.396973468662395</v>
      </c>
      <c r="AN4958">
        <v>1.0000000062529599</v>
      </c>
    </row>
    <row r="4959" spans="1:40" x14ac:dyDescent="0.3">
      <c r="A4959" t="str">
        <f>"20200111160601997"</f>
        <v>20200111160601997</v>
      </c>
      <c r="B4959" t="str">
        <f>"1578729961986865"</f>
        <v>1578729961986865</v>
      </c>
      <c r="C4959" t="s">
        <v>40</v>
      </c>
      <c r="D4959">
        <v>5.6875390000000001</v>
      </c>
      <c r="E4959">
        <v>0.4140778</v>
      </c>
      <c r="F4959" t="s">
        <v>83</v>
      </c>
      <c r="G4959">
        <v>-381.78789999999998</v>
      </c>
      <c r="H4959" s="1">
        <v>-4.44261999999999E-6</v>
      </c>
      <c r="I4959">
        <v>21.88092</v>
      </c>
      <c r="J4959">
        <v>-401.85129999999998</v>
      </c>
      <c r="K4959">
        <v>1.1124609999999999</v>
      </c>
      <c r="L4959">
        <v>20.532170000000001</v>
      </c>
      <c r="M4959">
        <v>0.95919049999999995</v>
      </c>
      <c r="N4959">
        <v>0</v>
      </c>
      <c r="O4959">
        <v>-0.28244360000000002</v>
      </c>
      <c r="P4959">
        <v>0.98602120000000004</v>
      </c>
      <c r="Q4959">
        <v>-5.5625189999999998E-2</v>
      </c>
      <c r="R4959">
        <v>-0.1570607</v>
      </c>
      <c r="S4959">
        <v>3.0663149999999999</v>
      </c>
      <c r="T4959">
        <v>-0.16904649999999999</v>
      </c>
      <c r="U4959">
        <v>0.20031740000000001</v>
      </c>
      <c r="V4959">
        <v>-0.127654399999999</v>
      </c>
      <c r="W4959">
        <v>-4.296643E-2</v>
      </c>
      <c r="X4959">
        <v>0.99088759999999998</v>
      </c>
      <c r="Y4959">
        <v>-0.34346080000000001</v>
      </c>
      <c r="Z4959">
        <v>2.48688E-2</v>
      </c>
      <c r="AA4959">
        <v>0.9388377</v>
      </c>
      <c r="AB4959">
        <v>16</v>
      </c>
      <c r="AC4959">
        <v>20.063400000000001</v>
      </c>
      <c r="AD4959">
        <v>-1.11246544262</v>
      </c>
      <c r="AE4959">
        <v>1.3487499999999899</v>
      </c>
      <c r="AF4959">
        <v>-6.9398707161477198</v>
      </c>
      <c r="AG4959">
        <v>-1.11246544262</v>
      </c>
      <c r="AH4959">
        <v>18.8078042002556</v>
      </c>
      <c r="AI4959">
        <v>93.176197550354502</v>
      </c>
      <c r="AJ4959">
        <v>110.253500334205</v>
      </c>
      <c r="AK4959">
        <v>20.078169332711099</v>
      </c>
      <c r="AL4959">
        <v>92.462553194006205</v>
      </c>
      <c r="AM4959">
        <v>97.340886493643893</v>
      </c>
      <c r="AN4959">
        <v>0.99999999789003202</v>
      </c>
    </row>
    <row r="4960" spans="1:40" x14ac:dyDescent="0.3">
      <c r="A4960" t="str">
        <f>"20200111160602019"</f>
        <v>20200111160602019</v>
      </c>
      <c r="B4960" t="str">
        <f>"1578729962017121"</f>
        <v>1578729962017121</v>
      </c>
      <c r="C4960" t="s">
        <v>40</v>
      </c>
      <c r="D4960">
        <v>5.7096539999999996</v>
      </c>
      <c r="E4960">
        <v>0.41420899999999999</v>
      </c>
      <c r="F4960" t="s">
        <v>83</v>
      </c>
      <c r="G4960">
        <v>-381.76389999999998</v>
      </c>
      <c r="H4960" s="1">
        <v>-4.4529570000000003E-6</v>
      </c>
      <c r="I4960">
        <v>21.887219999999999</v>
      </c>
      <c r="J4960">
        <v>-401.70010000000002</v>
      </c>
      <c r="K4960">
        <v>1.1125050000000001</v>
      </c>
      <c r="L4960">
        <v>20.492650000000001</v>
      </c>
      <c r="M4960">
        <v>0.96033120000000005</v>
      </c>
      <c r="N4960">
        <v>0</v>
      </c>
      <c r="O4960">
        <v>-0.27854040000000002</v>
      </c>
      <c r="P4960">
        <v>0.98654120000000001</v>
      </c>
      <c r="Q4960">
        <v>-5.4743769999999997E-2</v>
      </c>
      <c r="R4960">
        <v>-0.1540773</v>
      </c>
      <c r="S4960">
        <v>3.065887</v>
      </c>
      <c r="T4960">
        <v>-0.16979269999999999</v>
      </c>
      <c r="U4960">
        <v>0.20681759999999999</v>
      </c>
      <c r="V4960">
        <v>-0.1266371</v>
      </c>
      <c r="W4960">
        <v>-4.2084000000000003E-2</v>
      </c>
      <c r="X4960">
        <v>0.99105600000000005</v>
      </c>
      <c r="Y4960">
        <v>-0.3416323</v>
      </c>
      <c r="Z4960">
        <v>2.4720780000000001E-2</v>
      </c>
      <c r="AA4960">
        <v>0.93950849999999997</v>
      </c>
      <c r="AB4960">
        <v>16</v>
      </c>
      <c r="AC4960">
        <v>19.936199999999999</v>
      </c>
      <c r="AD4960">
        <v>-1.1125094529570001</v>
      </c>
      <c r="AE4960">
        <v>1.3945700000000001</v>
      </c>
      <c r="AF4960">
        <v>-6.8716097510381999</v>
      </c>
      <c r="AG4960">
        <v>-1.1125094529570001</v>
      </c>
      <c r="AH4960">
        <v>18.700641155237602</v>
      </c>
      <c r="AI4960">
        <v>93.196074957371707</v>
      </c>
      <c r="AJ4960">
        <v>110.17601580637</v>
      </c>
      <c r="AK4960">
        <v>19.9542145290274</v>
      </c>
      <c r="AL4960">
        <v>92.411947878545703</v>
      </c>
      <c r="AM4960">
        <v>97.281792056388497</v>
      </c>
      <c r="AN4960">
        <v>1.0000000066442001</v>
      </c>
    </row>
    <row r="4961" spans="1:40" x14ac:dyDescent="0.3">
      <c r="A4961" t="str">
        <f>"20200111160602032"</f>
        <v>20200111160602032</v>
      </c>
      <c r="B4961" t="str">
        <f>"1578729962026881"</f>
        <v>1578729962026881</v>
      </c>
      <c r="C4961" t="s">
        <v>40</v>
      </c>
      <c r="D4961">
        <v>9.183033</v>
      </c>
      <c r="E4961">
        <v>0.41420899999999999</v>
      </c>
      <c r="F4961" t="s">
        <v>83</v>
      </c>
      <c r="G4961">
        <v>-382.4425</v>
      </c>
      <c r="H4961" s="1">
        <v>-4.1668679999999998E-6</v>
      </c>
      <c r="I4961">
        <v>21.848559999999999</v>
      </c>
      <c r="J4961">
        <v>-401.61070000000001</v>
      </c>
      <c r="K4961">
        <v>1.1125259999999999</v>
      </c>
      <c r="L4961">
        <v>20.469670000000001</v>
      </c>
      <c r="M4961">
        <v>0.96100870000000005</v>
      </c>
      <c r="N4961">
        <v>0</v>
      </c>
      <c r="O4961">
        <v>-0.27619369999999999</v>
      </c>
      <c r="P4961">
        <v>0.98686410000000002</v>
      </c>
      <c r="Q4961">
        <v>-5.4231260000000003E-2</v>
      </c>
      <c r="R4961">
        <v>-0.15217710000000001</v>
      </c>
      <c r="S4961">
        <v>3.0647890000000002</v>
      </c>
      <c r="T4961">
        <v>-0.17705209999999999</v>
      </c>
      <c r="U4961">
        <v>0.2157898</v>
      </c>
      <c r="V4961">
        <v>-0.1261332</v>
      </c>
      <c r="W4961">
        <v>-4.1570669999999997E-2</v>
      </c>
      <c r="X4961">
        <v>0.99114190000000002</v>
      </c>
      <c r="Y4961">
        <v>-0.34201769999999998</v>
      </c>
      <c r="Z4961">
        <v>2.5663579999999998E-2</v>
      </c>
      <c r="AA4961">
        <v>0.93934300000000004</v>
      </c>
      <c r="AB4961">
        <v>16</v>
      </c>
      <c r="AC4961">
        <v>19.168199999999999</v>
      </c>
      <c r="AD4961">
        <v>-1.1125301668680001</v>
      </c>
      <c r="AE4961">
        <v>1.37888999999999</v>
      </c>
      <c r="AF4961">
        <v>-6.5977436005788102</v>
      </c>
      <c r="AG4961">
        <v>-1.1125301668680001</v>
      </c>
      <c r="AH4961">
        <v>17.981322261001601</v>
      </c>
      <c r="AI4961">
        <v>93.324280242087397</v>
      </c>
      <c r="AJ4961">
        <v>110.149200577325</v>
      </c>
      <c r="AK4961">
        <v>19.185825346988899</v>
      </c>
      <c r="AL4961">
        <v>92.382510524678594</v>
      </c>
      <c r="AM4961">
        <v>97.252504424710693</v>
      </c>
      <c r="AN4961">
        <v>0.99999998534104895</v>
      </c>
    </row>
    <row r="4962" spans="1:40" x14ac:dyDescent="0.3">
      <c r="A4962" t="str">
        <f>"20200111160602044"</f>
        <v>20200111160602044</v>
      </c>
      <c r="B4962" t="str">
        <f>"1578729962036640"</f>
        <v>1578729962036640</v>
      </c>
      <c r="C4962" t="s">
        <v>40</v>
      </c>
      <c r="D4962">
        <v>5.7267900000000003</v>
      </c>
      <c r="E4962">
        <v>0.41425279999999998</v>
      </c>
      <c r="F4962" t="s">
        <v>83</v>
      </c>
      <c r="G4962">
        <v>-382.15960000000001</v>
      </c>
      <c r="H4962" s="1">
        <v>-4.2990940000000003E-6</v>
      </c>
      <c r="I4962">
        <v>21.87651</v>
      </c>
      <c r="J4962">
        <v>-401.5258</v>
      </c>
      <c r="K4962">
        <v>1.11254599999999</v>
      </c>
      <c r="L4962">
        <v>20.447970000000002</v>
      </c>
      <c r="M4962">
        <v>0.96165040000000002</v>
      </c>
      <c r="N4962">
        <v>0</v>
      </c>
      <c r="O4962">
        <v>-0.27395120000000001</v>
      </c>
      <c r="P4962">
        <v>0.98718870000000003</v>
      </c>
      <c r="Q4962">
        <v>-5.3334840000000001E-2</v>
      </c>
      <c r="R4962">
        <v>-0.1503784</v>
      </c>
      <c r="S4962">
        <v>3.064514</v>
      </c>
      <c r="T4962">
        <v>-0.17527889999999999</v>
      </c>
      <c r="U4962">
        <v>0.22164919999999999</v>
      </c>
      <c r="V4962">
        <v>-0.12564439999999999</v>
      </c>
      <c r="W4962">
        <v>-4.0672779999999999E-2</v>
      </c>
      <c r="X4962">
        <v>0.99124120000000004</v>
      </c>
      <c r="Y4962">
        <v>-0.34164359999999999</v>
      </c>
      <c r="Z4962">
        <v>2.5273139999999999E-2</v>
      </c>
      <c r="AA4962">
        <v>0.93948969999999998</v>
      </c>
      <c r="AB4962">
        <v>16</v>
      </c>
      <c r="AC4962">
        <v>19.3661999999999</v>
      </c>
      <c r="AD4962">
        <v>-1.1125502990939899</v>
      </c>
      <c r="AE4962">
        <v>1.4285399999999899</v>
      </c>
      <c r="AF4962">
        <v>-6.6578944966909104</v>
      </c>
      <c r="AG4962">
        <v>-1.1125502990939899</v>
      </c>
      <c r="AH4962">
        <v>18.1741428682482</v>
      </c>
      <c r="AI4962">
        <v>93.289766803742594</v>
      </c>
      <c r="AJ4962">
        <v>110.11974482014401</v>
      </c>
      <c r="AK4962">
        <v>19.3872328167941</v>
      </c>
      <c r="AL4962">
        <v>92.331021736984496</v>
      </c>
      <c r="AM4962">
        <v>97.223980455412999</v>
      </c>
      <c r="AN4962">
        <v>0.99999995343086301</v>
      </c>
    </row>
    <row r="4963" spans="1:40" x14ac:dyDescent="0.3">
      <c r="A4963" t="str">
        <f>"20200111160602056"</f>
        <v>20200111160602056</v>
      </c>
      <c r="B4963" t="str">
        <f>"1578729962047377"</f>
        <v>1578729962047377</v>
      </c>
      <c r="C4963" t="s">
        <v>40</v>
      </c>
      <c r="D4963">
        <v>5.721692</v>
      </c>
      <c r="E4963">
        <v>0.414377</v>
      </c>
      <c r="F4963" t="s">
        <v>83</v>
      </c>
      <c r="G4963">
        <v>-382.21100000000001</v>
      </c>
      <c r="H4963" s="1">
        <v>-4.279998E-6</v>
      </c>
      <c r="I4963">
        <v>21.880030000000001</v>
      </c>
      <c r="J4963">
        <v>-401.44139999999999</v>
      </c>
      <c r="K4963">
        <v>1.11256</v>
      </c>
      <c r="L4963">
        <v>20.426819999999999</v>
      </c>
      <c r="M4963">
        <v>0.96229209999999998</v>
      </c>
      <c r="N4963">
        <v>0</v>
      </c>
      <c r="O4963">
        <v>-0.27168799999999999</v>
      </c>
      <c r="P4963">
        <v>0.98748000000000002</v>
      </c>
      <c r="Q4963">
        <v>-5.2494180000000001E-2</v>
      </c>
      <c r="R4963">
        <v>-0.14875439999999901</v>
      </c>
      <c r="S4963">
        <v>3.063965</v>
      </c>
      <c r="T4963">
        <v>-0.1764869</v>
      </c>
      <c r="U4963">
        <v>0.22717290000000001</v>
      </c>
      <c r="V4963">
        <v>-0.1249585</v>
      </c>
      <c r="W4963">
        <v>-3.9828339999999997E-2</v>
      </c>
      <c r="X4963">
        <v>0.99136219999999997</v>
      </c>
      <c r="Y4963">
        <v>-0.34112049999999999</v>
      </c>
      <c r="Z4963">
        <v>2.530899E-2</v>
      </c>
      <c r="AA4963">
        <v>0.93967880000000004</v>
      </c>
      <c r="AB4963">
        <v>16</v>
      </c>
      <c r="AC4963">
        <v>19.2303999999999</v>
      </c>
      <c r="AD4963">
        <v>-1.112564279998</v>
      </c>
      <c r="AE4963">
        <v>1.4532099999999899</v>
      </c>
      <c r="AF4963">
        <v>-6.6017047221250396</v>
      </c>
      <c r="AG4963">
        <v>-1.112564279998</v>
      </c>
      <c r="AH4963">
        <v>18.0519889135836</v>
      </c>
      <c r="AI4963">
        <v>93.312696136811596</v>
      </c>
      <c r="AJ4963">
        <v>110.087724726932</v>
      </c>
      <c r="AK4963">
        <v>19.2534310773794</v>
      </c>
      <c r="AL4963">
        <v>92.282599612723303</v>
      </c>
      <c r="AM4963">
        <v>97.184089787025201</v>
      </c>
      <c r="AN4963">
        <v>0.99999996748912201</v>
      </c>
    </row>
    <row r="4964" spans="1:40" x14ac:dyDescent="0.3">
      <c r="A4964" t="str">
        <f>"20200111160602067"</f>
        <v>20200111160602067</v>
      </c>
      <c r="B4964" t="str">
        <f>"1578729962057137"</f>
        <v>1578729962057137</v>
      </c>
      <c r="C4964" t="s">
        <v>40</v>
      </c>
      <c r="D4964">
        <v>5.6982699999999999</v>
      </c>
      <c r="E4964">
        <v>0.41447400000000001</v>
      </c>
      <c r="F4964" t="s">
        <v>83</v>
      </c>
      <c r="G4964">
        <v>-382.21280000000002</v>
      </c>
      <c r="H4964" s="1">
        <v>-4.2791079999999996E-6</v>
      </c>
      <c r="I4964">
        <v>21.878979999999999</v>
      </c>
      <c r="J4964">
        <v>-401.36279999999999</v>
      </c>
      <c r="K4964">
        <v>1.1125719999999999</v>
      </c>
      <c r="L4964">
        <v>20.407229999999998</v>
      </c>
      <c r="M4964">
        <v>0.96288689999999999</v>
      </c>
      <c r="N4964">
        <v>0</v>
      </c>
      <c r="O4964">
        <v>-0.26957209999999998</v>
      </c>
      <c r="P4964">
        <v>0.98780020000000002</v>
      </c>
      <c r="Q4964">
        <v>-5.1642970000000003E-2</v>
      </c>
      <c r="R4964">
        <v>-0.14691219999999999</v>
      </c>
      <c r="S4964">
        <v>3.0634459999999999</v>
      </c>
      <c r="T4964">
        <v>-0.17725060000000001</v>
      </c>
      <c r="U4964">
        <v>0.2313538</v>
      </c>
      <c r="V4964">
        <v>-0.12464409999999999</v>
      </c>
      <c r="W4964">
        <v>-3.8975349999999999E-2</v>
      </c>
      <c r="X4964">
        <v>0.99143570000000003</v>
      </c>
      <c r="Y4964">
        <v>-0.34033780000000002</v>
      </c>
      <c r="Z4964">
        <v>2.5280259999999999E-2</v>
      </c>
      <c r="AA4964">
        <v>0.93996329999999995</v>
      </c>
      <c r="AB4964">
        <v>16</v>
      </c>
      <c r="AC4964">
        <v>19.149999999999899</v>
      </c>
      <c r="AD4964">
        <v>-1.1125762791079901</v>
      </c>
      <c r="AE4964">
        <v>1.4717499999999999</v>
      </c>
      <c r="AF4964">
        <v>-6.5580199547064204</v>
      </c>
      <c r="AG4964">
        <v>-1.1125762791079901</v>
      </c>
      <c r="AH4964">
        <v>17.983817048837199</v>
      </c>
      <c r="AI4964">
        <v>93.326376350355005</v>
      </c>
      <c r="AJ4964">
        <v>110.03500582576601</v>
      </c>
      <c r="AK4964">
        <v>19.174543732490999</v>
      </c>
      <c r="AL4964">
        <v>92.233688854115002</v>
      </c>
      <c r="AM4964">
        <v>97.1656767724877</v>
      </c>
      <c r="AN4964">
        <v>0.99999998840346105</v>
      </c>
    </row>
    <row r="4965" spans="1:40" x14ac:dyDescent="0.3">
      <c r="A4965" t="str">
        <f>"20200111160602086"</f>
        <v>20200111160602086</v>
      </c>
      <c r="B4965" t="str">
        <f>"1578729962076659"</f>
        <v>1578729962076659</v>
      </c>
      <c r="C4965" t="s">
        <v>40</v>
      </c>
      <c r="D4965">
        <v>9.0162040000000001</v>
      </c>
      <c r="E4965">
        <v>0.41467199999999999</v>
      </c>
      <c r="F4965" t="s">
        <v>83</v>
      </c>
      <c r="G4965">
        <v>-382.23790000000002</v>
      </c>
      <c r="H4965" s="1">
        <v>-4.2703840000000002E-6</v>
      </c>
      <c r="I4965">
        <v>21.884039999999999</v>
      </c>
      <c r="J4965">
        <v>-401.23500000000001</v>
      </c>
      <c r="K4965">
        <v>1.1125929999999999</v>
      </c>
      <c r="L4965">
        <v>20.37585</v>
      </c>
      <c r="M4965">
        <v>0.96385189999999998</v>
      </c>
      <c r="N4965">
        <v>0</v>
      </c>
      <c r="O4965">
        <v>-0.26610099999999998</v>
      </c>
      <c r="P4965">
        <v>0.98821820000000005</v>
      </c>
      <c r="Q4965">
        <v>-5.0014610000000001E-2</v>
      </c>
      <c r="R4965">
        <v>-0.1446491</v>
      </c>
      <c r="S4965">
        <v>3.0628660000000001</v>
      </c>
      <c r="T4965">
        <v>-0.17817939999999999</v>
      </c>
      <c r="U4965">
        <v>0.2365112</v>
      </c>
      <c r="V4965">
        <v>-0.12337339999999999</v>
      </c>
      <c r="W4965">
        <v>-3.733736E-2</v>
      </c>
      <c r="X4965">
        <v>0.99165769999999998</v>
      </c>
      <c r="Y4965">
        <v>-0.33853519999999998</v>
      </c>
      <c r="Z4965">
        <v>2.5167499999999999E-2</v>
      </c>
      <c r="AA4965">
        <v>0.94061709999999998</v>
      </c>
      <c r="AB4965">
        <v>16</v>
      </c>
      <c r="AC4965">
        <v>18.9970999999999</v>
      </c>
      <c r="AD4965">
        <v>-1.1125972703839999</v>
      </c>
      <c r="AE4965">
        <v>1.5081899999999899</v>
      </c>
      <c r="AF4965">
        <v>-6.4872918262676897</v>
      </c>
      <c r="AG4965">
        <v>-1.1125972703839999</v>
      </c>
      <c r="AH4965">
        <v>17.849827610667901</v>
      </c>
      <c r="AI4965">
        <v>93.352669119502295</v>
      </c>
      <c r="AJ4965">
        <v>109.973028641894</v>
      </c>
      <c r="AK4965">
        <v>19.024699042449701</v>
      </c>
      <c r="AL4965">
        <v>92.139770437618495</v>
      </c>
      <c r="AM4965">
        <v>97.091801500737603</v>
      </c>
      <c r="AN4965">
        <v>1.0000000341243001</v>
      </c>
    </row>
    <row r="4966" spans="1:40" x14ac:dyDescent="0.3">
      <c r="A4966" t="str">
        <f>"20200111160602098"</f>
        <v>20200111160602098</v>
      </c>
      <c r="B4966" t="str">
        <f>"1578729962087393"</f>
        <v>1578729962087393</v>
      </c>
      <c r="C4966" t="s">
        <v>40</v>
      </c>
      <c r="D4966">
        <v>5.6956639999999998</v>
      </c>
      <c r="E4966">
        <v>0.41469679999999998</v>
      </c>
      <c r="F4966" t="s">
        <v>83</v>
      </c>
      <c r="G4966">
        <v>-381.90039999999999</v>
      </c>
      <c r="H4966" s="1">
        <v>-4.4036130000000002E-6</v>
      </c>
      <c r="I4966">
        <v>21.904589999999999</v>
      </c>
      <c r="J4966">
        <v>-401.14920000000001</v>
      </c>
      <c r="K4966">
        <v>1.112601</v>
      </c>
      <c r="L4966">
        <v>20.355129999999999</v>
      </c>
      <c r="M4966">
        <v>0.96449770000000001</v>
      </c>
      <c r="N4966">
        <v>0</v>
      </c>
      <c r="O4966">
        <v>-0.26375090000000001</v>
      </c>
      <c r="P4966">
        <v>0.98851080000000002</v>
      </c>
      <c r="Q4966">
        <v>-4.9075479999999998E-2</v>
      </c>
      <c r="R4966">
        <v>-0.14296310000000001</v>
      </c>
      <c r="S4966">
        <v>3.0622859999999998</v>
      </c>
      <c r="T4966">
        <v>-0.1762176</v>
      </c>
      <c r="U4966">
        <v>0.24212649999999999</v>
      </c>
      <c r="V4966">
        <v>-0.1226655</v>
      </c>
      <c r="W4966">
        <v>-3.6391800000000002E-2</v>
      </c>
      <c r="X4966">
        <v>0.99178060000000001</v>
      </c>
      <c r="Y4966">
        <v>-0.33799689999999999</v>
      </c>
      <c r="Z4966">
        <v>2.4747410000000001E-2</v>
      </c>
      <c r="AA4966">
        <v>0.94082180000000004</v>
      </c>
      <c r="AB4966">
        <v>16</v>
      </c>
      <c r="AC4966">
        <v>19.248799999999999</v>
      </c>
      <c r="AD4966">
        <v>-1.112605403613</v>
      </c>
      <c r="AE4966">
        <v>1.5494599999999901</v>
      </c>
      <c r="AF4966">
        <v>-6.5501860696061804</v>
      </c>
      <c r="AG4966">
        <v>-1.112605403613</v>
      </c>
      <c r="AH4966">
        <v>18.098306046169299</v>
      </c>
      <c r="AI4966">
        <v>93.308368184681697</v>
      </c>
      <c r="AJ4966">
        <v>109.896335268019</v>
      </c>
      <c r="AK4966">
        <v>19.279302634468401</v>
      </c>
      <c r="AL4966">
        <v>92.085557116654002</v>
      </c>
      <c r="AM4966">
        <v>97.050655497239703</v>
      </c>
      <c r="AN4966">
        <v>0.99999997326692402</v>
      </c>
    </row>
    <row r="4967" spans="1:40" x14ac:dyDescent="0.3">
      <c r="A4967" t="str">
        <f>"20200111160602112"</f>
        <v>20200111160602112</v>
      </c>
      <c r="B4967" t="str">
        <f>"1578729962106913"</f>
        <v>1578729962106913</v>
      </c>
      <c r="C4967" t="s">
        <v>40</v>
      </c>
      <c r="D4967">
        <v>5.7282010000000003</v>
      </c>
      <c r="E4967">
        <v>0.41476380000000002</v>
      </c>
      <c r="F4967" t="s">
        <v>83</v>
      </c>
      <c r="G4967">
        <v>-381.86329999999998</v>
      </c>
      <c r="H4967" s="1">
        <v>-4.4193059999999999E-6</v>
      </c>
      <c r="I4967">
        <v>21.91273</v>
      </c>
      <c r="J4967">
        <v>-401.07</v>
      </c>
      <c r="K4967">
        <v>1.1126039999999999</v>
      </c>
      <c r="L4967">
        <v>20.336179999999999</v>
      </c>
      <c r="M4967">
        <v>0.96509089999999997</v>
      </c>
      <c r="N4967">
        <v>0</v>
      </c>
      <c r="O4967">
        <v>-0.26157209999999997</v>
      </c>
      <c r="P4967">
        <v>0.98880959999999996</v>
      </c>
      <c r="Q4967">
        <v>-4.8238690000000001E-2</v>
      </c>
      <c r="R4967">
        <v>-0.1411695</v>
      </c>
      <c r="S4967">
        <v>3.0618289999999999</v>
      </c>
      <c r="T4967">
        <v>-0.17663709999999999</v>
      </c>
      <c r="U4967">
        <v>0.2472839</v>
      </c>
      <c r="V4967">
        <v>-0.1222403</v>
      </c>
      <c r="W4967">
        <v>-3.5550180000000001E-2</v>
      </c>
      <c r="X4967">
        <v>0.99186370000000001</v>
      </c>
      <c r="Y4967">
        <v>-0.33745740000000002</v>
      </c>
      <c r="Z4967">
        <v>2.467097E-2</v>
      </c>
      <c r="AA4967">
        <v>0.9410174</v>
      </c>
      <c r="AB4967">
        <v>16</v>
      </c>
      <c r="AC4967">
        <v>19.206700000000001</v>
      </c>
      <c r="AD4967">
        <v>-1.112608419306</v>
      </c>
      <c r="AE4967">
        <v>1.5765499999999999</v>
      </c>
      <c r="AF4967">
        <v>-6.5242918993960703</v>
      </c>
      <c r="AG4967">
        <v>-1.112608419306</v>
      </c>
      <c r="AH4967">
        <v>18.065242283216101</v>
      </c>
      <c r="AI4967">
        <v>93.315234093674803</v>
      </c>
      <c r="AJ4967">
        <v>109.857268660605</v>
      </c>
      <c r="AK4967">
        <v>19.239471433345901</v>
      </c>
      <c r="AL4967">
        <v>92.037304450502702</v>
      </c>
      <c r="AM4967">
        <v>97.025877464348795</v>
      </c>
      <c r="AN4967">
        <v>1.0000000528099</v>
      </c>
    </row>
    <row r="4968" spans="1:40" x14ac:dyDescent="0.3">
      <c r="A4968" t="str">
        <f>"20200111160602126"</f>
        <v>20200111160602126</v>
      </c>
      <c r="B4968" t="str">
        <f>"1578729962116673"</f>
        <v>1578729962116673</v>
      </c>
      <c r="C4968" t="s">
        <v>40</v>
      </c>
      <c r="D4968">
        <v>5.7985730000000002</v>
      </c>
      <c r="E4968">
        <v>0.41489559999999998</v>
      </c>
      <c r="F4968" t="s">
        <v>83</v>
      </c>
      <c r="G4968">
        <v>-381.82780000000002</v>
      </c>
      <c r="H4968" s="1">
        <v>-4.4348030000000002E-6</v>
      </c>
      <c r="I4968">
        <v>21.923089999999998</v>
      </c>
      <c r="J4968">
        <v>-400.9538</v>
      </c>
      <c r="K4968">
        <v>1.1126020000000001</v>
      </c>
      <c r="L4968">
        <v>20.308720000000001</v>
      </c>
      <c r="M4968">
        <v>0.96595529999999996</v>
      </c>
      <c r="N4968">
        <v>0</v>
      </c>
      <c r="O4968">
        <v>-0.25836140000000002</v>
      </c>
      <c r="P4968">
        <v>0.98929990000000001</v>
      </c>
      <c r="Q4968">
        <v>-4.6958199999999999E-2</v>
      </c>
      <c r="R4968">
        <v>-0.1381327</v>
      </c>
      <c r="S4968">
        <v>3.0613709999999998</v>
      </c>
      <c r="T4968">
        <v>-0.17701220000000001</v>
      </c>
      <c r="U4968">
        <v>0.25247190000000003</v>
      </c>
      <c r="V4968">
        <v>-0.1220102</v>
      </c>
      <c r="W4968">
        <v>-3.4264549999999998E-2</v>
      </c>
      <c r="X4968">
        <v>0.99193719999999996</v>
      </c>
      <c r="Y4968">
        <v>-0.33592670000000002</v>
      </c>
      <c r="Z4968">
        <v>2.4500750000000002E-2</v>
      </c>
      <c r="AA4968">
        <v>0.9415694</v>
      </c>
      <c r="AB4968">
        <v>16</v>
      </c>
      <c r="AC4968">
        <v>19.125999999999902</v>
      </c>
      <c r="AD4968">
        <v>-1.112606434803</v>
      </c>
      <c r="AE4968">
        <v>1.6143699999999901</v>
      </c>
      <c r="AF4968">
        <v>-6.4796415043684403</v>
      </c>
      <c r="AG4968">
        <v>-1.112606434803</v>
      </c>
      <c r="AH4968">
        <v>17.998915216236199</v>
      </c>
      <c r="AI4968">
        <v>93.328635945296497</v>
      </c>
      <c r="AJ4968">
        <v>109.798966607425</v>
      </c>
      <c r="AK4968">
        <v>19.162061373066201</v>
      </c>
      <c r="AL4968">
        <v>91.963598502206906</v>
      </c>
      <c r="AM4968">
        <v>97.012269602438096</v>
      </c>
      <c r="AN4968">
        <v>0.99999997851728994</v>
      </c>
    </row>
    <row r="4969" spans="1:40" x14ac:dyDescent="0.3">
      <c r="A4969" t="str">
        <f>"20200111160602142"</f>
        <v>20200111160602142</v>
      </c>
      <c r="B4969" t="str">
        <f>"1578729962137169"</f>
        <v>1578729962137169</v>
      </c>
      <c r="C4969" t="s">
        <v>40</v>
      </c>
      <c r="D4969">
        <v>5.67408</v>
      </c>
      <c r="E4969">
        <v>0.41485260000000002</v>
      </c>
      <c r="F4969" t="s">
        <v>83</v>
      </c>
      <c r="G4969">
        <v>-381.63209999999998</v>
      </c>
      <c r="H4969" s="1">
        <v>-4.5158089999999996E-6</v>
      </c>
      <c r="I4969">
        <v>21.95618</v>
      </c>
      <c r="J4969">
        <v>-400.84809999999999</v>
      </c>
      <c r="K4969">
        <v>1.112609</v>
      </c>
      <c r="L4969">
        <v>20.284120000000001</v>
      </c>
      <c r="M4969">
        <v>0.96673410000000004</v>
      </c>
      <c r="N4969">
        <v>0</v>
      </c>
      <c r="O4969">
        <v>-0.25543199999999999</v>
      </c>
      <c r="P4969">
        <v>0.98986629999999998</v>
      </c>
      <c r="Q4969">
        <v>-4.394957E-2</v>
      </c>
      <c r="R4969">
        <v>-0.13503019999999999</v>
      </c>
      <c r="S4969">
        <v>3.0605159999999998</v>
      </c>
      <c r="T4969">
        <v>-0.1762348</v>
      </c>
      <c r="U4969">
        <v>0.26095580000000002</v>
      </c>
      <c r="V4969">
        <v>-0.1221638</v>
      </c>
      <c r="W4969">
        <v>-3.1251999999999898E-2</v>
      </c>
      <c r="X4969">
        <v>0.99201779999999995</v>
      </c>
      <c r="Y4969">
        <v>-0.33569919999999998</v>
      </c>
      <c r="Z4969">
        <v>2.422734E-2</v>
      </c>
      <c r="AA4969">
        <v>0.94165770000000004</v>
      </c>
      <c r="AB4969">
        <v>16</v>
      </c>
      <c r="AC4969">
        <v>19.216000000000001</v>
      </c>
      <c r="AD4969">
        <v>-1.112613515809</v>
      </c>
      <c r="AE4969">
        <v>1.6720599999999901</v>
      </c>
      <c r="AF4969">
        <v>-6.50376525502665</v>
      </c>
      <c r="AG4969">
        <v>-1.112613515809</v>
      </c>
      <c r="AH4969">
        <v>18.091101747148901</v>
      </c>
      <c r="AI4969">
        <v>93.312260502870302</v>
      </c>
      <c r="AJ4969">
        <v>109.77355098271001</v>
      </c>
      <c r="AK4969">
        <v>19.256812658219101</v>
      </c>
      <c r="AL4969">
        <v>91.790899309526694</v>
      </c>
      <c r="AM4969">
        <v>97.020444619926593</v>
      </c>
      <c r="AN4969">
        <v>0.99999999852564003</v>
      </c>
    </row>
    <row r="4970" spans="1:40" x14ac:dyDescent="0.3">
      <c r="A4970" t="str">
        <f>"20200111160602154"</f>
        <v>20200111160602154</v>
      </c>
      <c r="B4970" t="str">
        <f>"1578729962146930"</f>
        <v>1578729962146930</v>
      </c>
      <c r="C4970" t="s">
        <v>40</v>
      </c>
      <c r="D4970">
        <v>5.776942</v>
      </c>
      <c r="E4970">
        <v>0.41495680000000001</v>
      </c>
      <c r="F4970" t="s">
        <v>83</v>
      </c>
      <c r="G4970">
        <v>-380.30360000000002</v>
      </c>
      <c r="H4970" s="1">
        <v>-5.0516629999999999E-6</v>
      </c>
      <c r="I4970">
        <v>22.100950000000001</v>
      </c>
      <c r="J4970">
        <v>-400.76170000000002</v>
      </c>
      <c r="K4970">
        <v>1.112608</v>
      </c>
      <c r="L4970">
        <v>20.264340000000001</v>
      </c>
      <c r="M4970">
        <v>0.96736449999999996</v>
      </c>
      <c r="N4970">
        <v>0</v>
      </c>
      <c r="O4970">
        <v>-0.25303389999999998</v>
      </c>
      <c r="P4970">
        <v>0.99028479999999997</v>
      </c>
      <c r="Q4970">
        <v>-4.2828829999999998E-2</v>
      </c>
      <c r="R4970">
        <v>-0.1322951</v>
      </c>
      <c r="S4970">
        <v>3.0602420000000001</v>
      </c>
      <c r="T4970">
        <v>-0.1657315</v>
      </c>
      <c r="U4970">
        <v>0.27062989999999998</v>
      </c>
      <c r="V4970">
        <v>-0.12246360000000001</v>
      </c>
      <c r="W4970">
        <v>-3.012954E-2</v>
      </c>
      <c r="X4970">
        <v>0.99201550000000005</v>
      </c>
      <c r="Y4970">
        <v>-0.33644010000000002</v>
      </c>
      <c r="Z4970">
        <v>2.2679009999999999E-2</v>
      </c>
      <c r="AA4970">
        <v>0.94143169999999998</v>
      </c>
      <c r="AB4970">
        <v>16</v>
      </c>
      <c r="AC4970">
        <v>20.458100000000002</v>
      </c>
      <c r="AD4970">
        <v>-1.112613051663</v>
      </c>
      <c r="AE4970">
        <v>1.8366100000000001</v>
      </c>
      <c r="AF4970">
        <v>-6.9335456607720403</v>
      </c>
      <c r="AG4970">
        <v>-1.112613051663</v>
      </c>
      <c r="AH4970">
        <v>19.2709100653543</v>
      </c>
      <c r="AI4970">
        <v>93.109596990068695</v>
      </c>
      <c r="AJ4970">
        <v>109.78839490099401</v>
      </c>
      <c r="AK4970">
        <v>20.510483611551301</v>
      </c>
      <c r="AL4970">
        <v>91.726556880979103</v>
      </c>
      <c r="AM4970">
        <v>97.037516968542207</v>
      </c>
      <c r="AN4970">
        <v>0.99999993737290804</v>
      </c>
    </row>
    <row r="4971" spans="1:40" x14ac:dyDescent="0.3">
      <c r="A4971" t="str">
        <f>"20200111160602167"</f>
        <v>20200111160602167</v>
      </c>
      <c r="B4971" t="str">
        <f>"1578729962156689"</f>
        <v>1578729962156689</v>
      </c>
      <c r="C4971" t="s">
        <v>40</v>
      </c>
      <c r="D4971">
        <v>6.8817490000000001</v>
      </c>
      <c r="E4971">
        <v>0.41495680000000001</v>
      </c>
      <c r="F4971" t="s">
        <v>83</v>
      </c>
      <c r="G4971">
        <v>-380.17110000000002</v>
      </c>
      <c r="H4971" s="1">
        <v>-5.1091199999999996E-6</v>
      </c>
      <c r="I4971">
        <v>22.138079999999999</v>
      </c>
      <c r="J4971">
        <v>-400.67259999999999</v>
      </c>
      <c r="K4971">
        <v>1.112603</v>
      </c>
      <c r="L4971">
        <v>20.24408</v>
      </c>
      <c r="M4971">
        <v>0.96800790000000003</v>
      </c>
      <c r="N4971">
        <v>0</v>
      </c>
      <c r="O4971">
        <v>-0.25056109999999998</v>
      </c>
      <c r="P4971">
        <v>0.99073940000000005</v>
      </c>
      <c r="Q4971">
        <v>-4.1556820000000001E-2</v>
      </c>
      <c r="R4971">
        <v>-0.12926299999999999</v>
      </c>
      <c r="S4971">
        <v>3.0594790000000001</v>
      </c>
      <c r="T4971">
        <v>-0.1653193</v>
      </c>
      <c r="U4971">
        <v>0.27841189999999999</v>
      </c>
      <c r="V4971">
        <v>-0.1229852</v>
      </c>
      <c r="W4971">
        <v>-2.8856949999999999E-2</v>
      </c>
      <c r="X4971">
        <v>0.9919888</v>
      </c>
      <c r="Y4971">
        <v>-0.33643810000000002</v>
      </c>
      <c r="Z4971">
        <v>2.249611E-2</v>
      </c>
      <c r="AA4971">
        <v>0.94143679999999996</v>
      </c>
      <c r="AB4971">
        <v>16</v>
      </c>
      <c r="AC4971">
        <v>20.501499999999901</v>
      </c>
      <c r="AD4971">
        <v>-1.11260810912</v>
      </c>
      <c r="AE4971">
        <v>1.8939999999999899</v>
      </c>
      <c r="AF4971">
        <v>-6.9506145703058104</v>
      </c>
      <c r="AG4971">
        <v>-1.11260810912</v>
      </c>
      <c r="AH4971">
        <v>19.316384356921098</v>
      </c>
      <c r="AI4971">
        <v>93.102240863396702</v>
      </c>
      <c r="AJ4971">
        <v>109.79025308231201</v>
      </c>
      <c r="AK4971">
        <v>20.5589796520579</v>
      </c>
      <c r="AL4971">
        <v>91.653611112807994</v>
      </c>
      <c r="AM4971">
        <v>97.067377162339895</v>
      </c>
      <c r="AN4971">
        <v>0.99999993115388797</v>
      </c>
    </row>
    <row r="4972" spans="1:40" x14ac:dyDescent="0.3">
      <c r="A4972" t="str">
        <f>"20200111160602180"</f>
        <v>20200111160602180</v>
      </c>
      <c r="B4972" t="str">
        <f>"1578729962177185"</f>
        <v>1578729962177185</v>
      </c>
      <c r="C4972" t="s">
        <v>40</v>
      </c>
      <c r="D4972">
        <v>5.8019819999999998</v>
      </c>
      <c r="E4972">
        <v>0.41519840000000002</v>
      </c>
      <c r="F4972" t="s">
        <v>87</v>
      </c>
      <c r="G4972">
        <v>-379.69450000000001</v>
      </c>
      <c r="H4972" s="1">
        <v>-8.1687360000000002E-7</v>
      </c>
      <c r="I4972">
        <v>22.217140000000001</v>
      </c>
      <c r="J4972">
        <v>-400.58080000000001</v>
      </c>
      <c r="K4972">
        <v>1.1125860000000001</v>
      </c>
      <c r="L4972">
        <v>20.223479999999999</v>
      </c>
      <c r="M4972">
        <v>0.96866410000000003</v>
      </c>
      <c r="N4972">
        <v>0</v>
      </c>
      <c r="O4972">
        <v>-0.24801219999999999</v>
      </c>
      <c r="P4972">
        <v>0.99117900000000003</v>
      </c>
      <c r="Q4972">
        <v>-4.0620669999999998E-2</v>
      </c>
      <c r="R4972">
        <v>-0.1261507</v>
      </c>
      <c r="S4972">
        <v>3.0587770000000001</v>
      </c>
      <c r="T4972">
        <v>-0.16222729999999999</v>
      </c>
      <c r="U4972">
        <v>0.28768919999999998</v>
      </c>
      <c r="V4972">
        <v>-0.12350410000000001</v>
      </c>
      <c r="W4972">
        <v>-2.792012E-2</v>
      </c>
      <c r="X4972">
        <v>0.99195120000000003</v>
      </c>
      <c r="Y4972">
        <v>-0.3368448</v>
      </c>
      <c r="Z4972">
        <v>2.195766E-2</v>
      </c>
      <c r="AA4972">
        <v>0.94130409999999998</v>
      </c>
      <c r="AB4972">
        <v>16</v>
      </c>
      <c r="AC4972">
        <v>20.886299999999999</v>
      </c>
      <c r="AD4972">
        <v>-1.1125868168735999</v>
      </c>
      <c r="AE4972">
        <v>1.99366</v>
      </c>
      <c r="AF4972">
        <v>-7.0919414058107</v>
      </c>
      <c r="AG4972">
        <v>-1.1125868168735999</v>
      </c>
      <c r="AH4972">
        <v>19.683782141292799</v>
      </c>
      <c r="AI4972">
        <v>93.043940330709404</v>
      </c>
      <c r="AJ4972">
        <v>109.81376873716</v>
      </c>
      <c r="AK4972">
        <v>20.951963194756001</v>
      </c>
      <c r="AL4972">
        <v>91.599912966415602</v>
      </c>
      <c r="AM4972">
        <v>97.0971587242162</v>
      </c>
      <c r="AN4972">
        <v>0.99999998949953195</v>
      </c>
    </row>
    <row r="4973" spans="1:40" x14ac:dyDescent="0.3">
      <c r="A4973" t="str">
        <f>"20200111160602198"</f>
        <v>20200111160602198</v>
      </c>
      <c r="B4973" t="str">
        <f>"1578729962186946"</f>
        <v>1578729962186946</v>
      </c>
      <c r="C4973" t="s">
        <v>40</v>
      </c>
      <c r="D4973">
        <v>5.749676</v>
      </c>
      <c r="E4973">
        <v>0.41541410000000001</v>
      </c>
      <c r="F4973" t="s">
        <v>87</v>
      </c>
      <c r="G4973">
        <v>-379.91820000000001</v>
      </c>
      <c r="H4973" s="1">
        <v>-7.1228899999999995E-7</v>
      </c>
      <c r="I4973">
        <v>22.22146</v>
      </c>
      <c r="J4973">
        <v>-400.45780000000002</v>
      </c>
      <c r="K4973">
        <v>1.1125750000000001</v>
      </c>
      <c r="L4973">
        <v>20.19632</v>
      </c>
      <c r="M4973">
        <v>0.96953109999999998</v>
      </c>
      <c r="N4973">
        <v>0</v>
      </c>
      <c r="O4973">
        <v>-0.24460119999999999</v>
      </c>
      <c r="P4973">
        <v>0.99181960000000002</v>
      </c>
      <c r="Q4973">
        <v>-3.9643449999999997E-2</v>
      </c>
      <c r="R4973">
        <v>-0.1213352</v>
      </c>
      <c r="S4973">
        <v>3.0575869999999998</v>
      </c>
      <c r="T4973">
        <v>-0.16463729999999999</v>
      </c>
      <c r="U4973">
        <v>0.29565429999999998</v>
      </c>
      <c r="V4973">
        <v>-0.124845899999999</v>
      </c>
      <c r="W4973">
        <v>-2.6946060000000001E-2</v>
      </c>
      <c r="X4973">
        <v>0.99181010000000003</v>
      </c>
      <c r="Y4973">
        <v>-0.33597700000000003</v>
      </c>
      <c r="Z4973">
        <v>2.2087249999999999E-2</v>
      </c>
      <c r="AA4973">
        <v>0.94161119999999998</v>
      </c>
      <c r="AB4973">
        <v>16</v>
      </c>
      <c r="AC4973">
        <v>20.5396</v>
      </c>
      <c r="AD4973">
        <v>-1.1125757122890001</v>
      </c>
      <c r="AE4973">
        <v>2.0251399999999999</v>
      </c>
      <c r="AF4973">
        <v>-6.9678274401562801</v>
      </c>
      <c r="AG4973">
        <v>-1.1125757122890001</v>
      </c>
      <c r="AH4973">
        <v>19.363905614972701</v>
      </c>
      <c r="AI4973">
        <v>93.094546731173693</v>
      </c>
      <c r="AJ4973">
        <v>109.790549882565</v>
      </c>
      <c r="AK4973">
        <v>20.609446489824599</v>
      </c>
      <c r="AL4973">
        <v>91.544082513651503</v>
      </c>
      <c r="AM4973">
        <v>97.174476109434593</v>
      </c>
      <c r="AN4973">
        <v>0.99999993167916901</v>
      </c>
    </row>
    <row r="4974" spans="1:40" x14ac:dyDescent="0.3">
      <c r="A4974" t="str">
        <f>"20200111160602211"</f>
        <v>20200111160602211</v>
      </c>
      <c r="B4974" t="str">
        <f>"1578729962207441"</f>
        <v>1578729962207441</v>
      </c>
      <c r="C4974" t="s">
        <v>40</v>
      </c>
      <c r="D4974">
        <v>5.769361</v>
      </c>
      <c r="E4974">
        <v>0.4158232</v>
      </c>
      <c r="F4974" t="s">
        <v>87</v>
      </c>
      <c r="G4974">
        <v>-379.87490000000003</v>
      </c>
      <c r="H4974" s="1">
        <v>-7.4745160000000002E-7</v>
      </c>
      <c r="I4974">
        <v>22.27666</v>
      </c>
      <c r="J4974">
        <v>-400.37060000000002</v>
      </c>
      <c r="K4974">
        <v>1.1125620000000001</v>
      </c>
      <c r="L4974">
        <v>20.17737</v>
      </c>
      <c r="M4974">
        <v>0.97013680000000002</v>
      </c>
      <c r="N4974">
        <v>0</v>
      </c>
      <c r="O4974">
        <v>-0.2421884</v>
      </c>
      <c r="P4974">
        <v>0.99221970000000004</v>
      </c>
      <c r="Q4974">
        <v>-3.899967E-2</v>
      </c>
      <c r="R4974">
        <v>-0.1182351</v>
      </c>
      <c r="S4974">
        <v>3.055939</v>
      </c>
      <c r="T4974">
        <v>-0.1651841</v>
      </c>
      <c r="U4974">
        <v>0.30886839999999999</v>
      </c>
      <c r="V4974">
        <v>-0.12548790000000001</v>
      </c>
      <c r="W4974">
        <v>-2.6302590000000001E-2</v>
      </c>
      <c r="X4974">
        <v>0.99174640000000003</v>
      </c>
      <c r="Y4974">
        <v>-0.33770939999999999</v>
      </c>
      <c r="Z4974">
        <v>2.208835E-2</v>
      </c>
      <c r="AA4974">
        <v>0.94099120000000003</v>
      </c>
      <c r="AB4974">
        <v>16</v>
      </c>
      <c r="AC4974">
        <v>20.495699999999999</v>
      </c>
      <c r="AD4974">
        <v>-1.1125627474516</v>
      </c>
      <c r="AE4974">
        <v>2.0992899999999999</v>
      </c>
      <c r="AF4974">
        <v>-6.9806913225220404</v>
      </c>
      <c r="AG4974">
        <v>-1.1125627474516</v>
      </c>
      <c r="AH4974">
        <v>19.3206076586074</v>
      </c>
      <c r="AI4974">
        <v>93.099978336240497</v>
      </c>
      <c r="AJ4974">
        <v>109.865196473064</v>
      </c>
      <c r="AK4974">
        <v>20.5731312032269</v>
      </c>
      <c r="AL4974">
        <v>91.507201247478903</v>
      </c>
      <c r="AM4974">
        <v>97.211440610813597</v>
      </c>
      <c r="AN4974">
        <v>0.99999998060003803</v>
      </c>
    </row>
    <row r="4975" spans="1:40" x14ac:dyDescent="0.3">
      <c r="A4975" t="str">
        <f>"20200111160602242"</f>
        <v>20200111160602242</v>
      </c>
      <c r="B4975" t="str">
        <f>"1578729962236720"</f>
        <v>1578729962236720</v>
      </c>
      <c r="C4975" t="s">
        <v>40</v>
      </c>
      <c r="D4975">
        <v>5.377453</v>
      </c>
      <c r="E4975">
        <v>0.4158232</v>
      </c>
      <c r="F4975" t="s">
        <v>83</v>
      </c>
      <c r="G4975">
        <v>-380.10719999999998</v>
      </c>
      <c r="H4975" s="1">
        <v>-5.1570119999999901E-6</v>
      </c>
      <c r="I4975">
        <v>22.269670000000001</v>
      </c>
      <c r="J4975">
        <v>-400.1506</v>
      </c>
      <c r="K4975">
        <v>1.1125320000000001</v>
      </c>
      <c r="L4975">
        <v>20.130369999999999</v>
      </c>
      <c r="M4975">
        <v>0.97163429999999995</v>
      </c>
      <c r="N4975">
        <v>0</v>
      </c>
      <c r="O4975">
        <v>-0.2361087</v>
      </c>
      <c r="P4975">
        <v>0.99320370000000002</v>
      </c>
      <c r="Q4975">
        <v>-3.7513039999999997E-2</v>
      </c>
      <c r="R4975">
        <v>-0.1101787</v>
      </c>
      <c r="S4975">
        <v>3.0545650000000002</v>
      </c>
      <c r="T4975">
        <v>-0.1677112</v>
      </c>
      <c r="U4975">
        <v>0.31539919999999999</v>
      </c>
      <c r="V4975">
        <v>-0.12734819999999999</v>
      </c>
      <c r="W4975">
        <v>-2.4819089999999999E-2</v>
      </c>
      <c r="X4975">
        <v>0.99154750000000003</v>
      </c>
      <c r="Y4975">
        <v>-0.33383610000000002</v>
      </c>
      <c r="Z4975">
        <v>2.2001E-2</v>
      </c>
      <c r="AA4975">
        <v>0.9423743</v>
      </c>
      <c r="AB4975">
        <v>16</v>
      </c>
      <c r="AC4975">
        <v>20.043399999999998</v>
      </c>
      <c r="AD4975">
        <v>-1.112537157012</v>
      </c>
      <c r="AE4975">
        <v>2.1392999999999902</v>
      </c>
      <c r="AF4975">
        <v>-6.7909626154841396</v>
      </c>
      <c r="AG4975">
        <v>-1.112537157012</v>
      </c>
      <c r="AH4975">
        <v>18.913833630505302</v>
      </c>
      <c r="AI4975">
        <v>93.168720046552096</v>
      </c>
      <c r="AJ4975">
        <v>109.750543273999</v>
      </c>
      <c r="AK4975">
        <v>20.1267984233228</v>
      </c>
      <c r="AL4975">
        <v>91.422175143624898</v>
      </c>
      <c r="AM4975">
        <v>97.318648465499095</v>
      </c>
      <c r="AN4975">
        <v>0.999999998013959</v>
      </c>
    </row>
    <row r="4976" spans="1:40" x14ac:dyDescent="0.3">
      <c r="A4976" t="str">
        <f>"20200111160602255"</f>
        <v>20200111160602255</v>
      </c>
      <c r="B4976" t="str">
        <f>"1578729962247457"</f>
        <v>1578729962247457</v>
      </c>
      <c r="C4976" t="s">
        <v>40</v>
      </c>
      <c r="D4976">
        <v>5.4341589999999904</v>
      </c>
      <c r="E4976">
        <v>0.41564830000000003</v>
      </c>
      <c r="F4976" t="s">
        <v>87</v>
      </c>
      <c r="G4976">
        <v>-379.41579999999999</v>
      </c>
      <c r="H4976" s="1">
        <v>-1.0081539999999999E-6</v>
      </c>
      <c r="I4976">
        <v>22.440850000000001</v>
      </c>
      <c r="J4976">
        <v>-400.0634</v>
      </c>
      <c r="K4976">
        <v>1.11252</v>
      </c>
      <c r="L4976">
        <v>20.112179999999999</v>
      </c>
      <c r="M4976">
        <v>0.97221449999999998</v>
      </c>
      <c r="N4976">
        <v>0</v>
      </c>
      <c r="O4976">
        <v>-0.23370850000000001</v>
      </c>
      <c r="P4976">
        <v>0.99353919999999996</v>
      </c>
      <c r="Q4976">
        <v>-3.7080250000000002E-2</v>
      </c>
      <c r="R4976">
        <v>-0.1072641</v>
      </c>
      <c r="S4976">
        <v>3.0520320000000001</v>
      </c>
      <c r="T4976">
        <v>-0.16375799999999999</v>
      </c>
      <c r="U4976">
        <v>0.3400879</v>
      </c>
      <c r="V4976">
        <v>-0.12781519999999999</v>
      </c>
      <c r="W4976">
        <v>-2.4386580000000001E-2</v>
      </c>
      <c r="X4976">
        <v>0.99149810000000005</v>
      </c>
      <c r="Y4976">
        <v>-0.33915430000000002</v>
      </c>
      <c r="Z4976">
        <v>2.151045E-2</v>
      </c>
      <c r="AA4976">
        <v>0.94048480000000001</v>
      </c>
      <c r="AB4976">
        <v>16</v>
      </c>
      <c r="AC4976">
        <v>20.647600000000001</v>
      </c>
      <c r="AD4976">
        <v>-1.112521008154</v>
      </c>
      <c r="AE4976">
        <v>2.3286699999999998</v>
      </c>
      <c r="AF4976">
        <v>-7.0698546109046898</v>
      </c>
      <c r="AG4976">
        <v>-1.112521008154</v>
      </c>
      <c r="AH4976">
        <v>19.475585831810701</v>
      </c>
      <c r="AI4976">
        <v>93.073569294971193</v>
      </c>
      <c r="AJ4976">
        <v>109.951461154627</v>
      </c>
      <c r="AK4976">
        <v>20.748951556768901</v>
      </c>
      <c r="AL4976">
        <v>91.397386700480993</v>
      </c>
      <c r="AM4976">
        <v>97.345556168401401</v>
      </c>
      <c r="AN4976">
        <v>0.99999995646937201</v>
      </c>
    </row>
    <row r="4977" spans="1:40" x14ac:dyDescent="0.3">
      <c r="A4977" t="str">
        <f>"20200111160602266"</f>
        <v>20200111160602266</v>
      </c>
      <c r="B4977" t="str">
        <f>"1578729962257216"</f>
        <v>1578729962257216</v>
      </c>
      <c r="C4977" t="s">
        <v>40</v>
      </c>
      <c r="D4977">
        <v>5.5665420000000001</v>
      </c>
      <c r="E4977">
        <v>0.41561169999999997</v>
      </c>
      <c r="F4977" t="s">
        <v>87</v>
      </c>
      <c r="G4977">
        <v>-379.27289999999999</v>
      </c>
      <c r="H4977" s="1">
        <v>-1.0916320000000001E-6</v>
      </c>
      <c r="I4977">
        <v>22.50056</v>
      </c>
      <c r="J4977">
        <v>-399.9803</v>
      </c>
      <c r="K4977">
        <v>1.112511</v>
      </c>
      <c r="L4977">
        <v>20.094999999999999</v>
      </c>
      <c r="M4977">
        <v>0.97276059999999998</v>
      </c>
      <c r="N4977">
        <v>0</v>
      </c>
      <c r="O4977">
        <v>-0.2314253</v>
      </c>
      <c r="P4977">
        <v>0.99386600000000003</v>
      </c>
      <c r="Q4977">
        <v>-3.6421679999999998E-2</v>
      </c>
      <c r="R4977">
        <v>-0.10442269999999899</v>
      </c>
      <c r="S4977">
        <v>3.0512700000000001</v>
      </c>
      <c r="T4977">
        <v>-0.16327610000000001</v>
      </c>
      <c r="U4977">
        <v>0.35052489999999997</v>
      </c>
      <c r="V4977">
        <v>-0.12833119999999901</v>
      </c>
      <c r="W4977">
        <v>-2.372877E-2</v>
      </c>
      <c r="X4977">
        <v>0.99144739999999998</v>
      </c>
      <c r="Y4977">
        <v>-0.34015459999999997</v>
      </c>
      <c r="Z4977">
        <v>2.1356429999999999E-2</v>
      </c>
      <c r="AA4977">
        <v>0.94012700000000005</v>
      </c>
      <c r="AB4977">
        <v>16</v>
      </c>
      <c r="AC4977">
        <v>20.7074</v>
      </c>
      <c r="AD4977">
        <v>-1.1125120916319999</v>
      </c>
      <c r="AE4977">
        <v>2.4055599999999999</v>
      </c>
      <c r="AF4977">
        <v>-7.1126325673985002</v>
      </c>
      <c r="AG4977">
        <v>-1.1125120916319999</v>
      </c>
      <c r="AH4977">
        <v>19.5327611974514</v>
      </c>
      <c r="AI4977">
        <v>93.063457903640199</v>
      </c>
      <c r="AJ4977">
        <v>110.008518391385</v>
      </c>
      <c r="AK4977">
        <v>20.817204067537698</v>
      </c>
      <c r="AL4977">
        <v>91.359686059717902</v>
      </c>
      <c r="AM4977">
        <v>97.375257922918394</v>
      </c>
      <c r="AN4977">
        <v>0.99999994919295498</v>
      </c>
    </row>
    <row r="4978" spans="1:40" x14ac:dyDescent="0.3">
      <c r="A4978" t="str">
        <f>"20200111160602278"</f>
        <v>20200111160602278</v>
      </c>
      <c r="B4978" t="str">
        <f>"1578729962266976"</f>
        <v>1578729962266976</v>
      </c>
      <c r="C4978" t="s">
        <v>40</v>
      </c>
      <c r="D4978">
        <v>5.5434210000000004</v>
      </c>
      <c r="E4978">
        <v>0.41536329999999999</v>
      </c>
      <c r="F4978" t="s">
        <v>87</v>
      </c>
      <c r="G4978">
        <v>-378.6508</v>
      </c>
      <c r="H4978" s="1">
        <v>-1.414233E-6</v>
      </c>
      <c r="I4978">
        <v>22.607849999999999</v>
      </c>
      <c r="J4978">
        <v>-399.90219999999999</v>
      </c>
      <c r="K4978">
        <v>1.112506</v>
      </c>
      <c r="L4978">
        <v>20.079070000000002</v>
      </c>
      <c r="M4978">
        <v>0.97326829999999998</v>
      </c>
      <c r="N4978">
        <v>0</v>
      </c>
      <c r="O4978">
        <v>-0.2292804</v>
      </c>
      <c r="P4978">
        <v>0.9941624</v>
      </c>
      <c r="Q4978">
        <v>-3.5922049999999997E-2</v>
      </c>
      <c r="R4978">
        <v>-0.1017411</v>
      </c>
      <c r="S4978">
        <v>3.050446</v>
      </c>
      <c r="T4978">
        <v>-0.15910579999999999</v>
      </c>
      <c r="U4978">
        <v>0.359375</v>
      </c>
      <c r="V4978">
        <v>-0.1288272</v>
      </c>
      <c r="W4978">
        <v>-2.3230230000000001E-2</v>
      </c>
      <c r="X4978">
        <v>0.99139489999999997</v>
      </c>
      <c r="Y4978">
        <v>-0.3408446</v>
      </c>
      <c r="Z4978">
        <v>2.0722890000000001E-2</v>
      </c>
      <c r="AA4978">
        <v>0.93989120000000004</v>
      </c>
      <c r="AB4978">
        <v>16</v>
      </c>
      <c r="AC4978">
        <v>21.251399999999901</v>
      </c>
      <c r="AD4978">
        <v>-1.112507414233</v>
      </c>
      <c r="AE4978">
        <v>2.52877999999999</v>
      </c>
      <c r="AF4978">
        <v>-7.3146026748613098</v>
      </c>
      <c r="AG4978">
        <v>-1.112507414233</v>
      </c>
      <c r="AH4978">
        <v>20.0511338810193</v>
      </c>
      <c r="AI4978">
        <v>92.983760892671398</v>
      </c>
      <c r="AJ4978">
        <v>110.041840980987</v>
      </c>
      <c r="AK4978">
        <v>21.372623960393099</v>
      </c>
      <c r="AL4978">
        <v>91.331113916350901</v>
      </c>
      <c r="AM4978">
        <v>97.4038353592791</v>
      </c>
      <c r="AN4978">
        <v>0.99999996939585101</v>
      </c>
    </row>
    <row r="4979" spans="1:40" x14ac:dyDescent="0.3">
      <c r="A4979" t="str">
        <f>"20200111160602298"</f>
        <v>20200111160602298</v>
      </c>
      <c r="B4979" t="str">
        <f>"1578729962287472"</f>
        <v>1578729962287472</v>
      </c>
      <c r="C4979" t="s">
        <v>40</v>
      </c>
      <c r="D4979">
        <v>5.4054479999999998</v>
      </c>
      <c r="E4979">
        <v>0.41514869999999998</v>
      </c>
      <c r="F4979" t="s">
        <v>87</v>
      </c>
      <c r="G4979">
        <v>-378.70960000000002</v>
      </c>
      <c r="H4979" s="1">
        <v>-1.397101E-6</v>
      </c>
      <c r="I4979">
        <v>22.64789</v>
      </c>
      <c r="J4979">
        <v>-399.76749999999998</v>
      </c>
      <c r="K4979">
        <v>1.1124959999999999</v>
      </c>
      <c r="L4979">
        <v>20.051970000000001</v>
      </c>
      <c r="M4979">
        <v>0.97413019999999995</v>
      </c>
      <c r="N4979">
        <v>0</v>
      </c>
      <c r="O4979">
        <v>-0.22559100000000001</v>
      </c>
      <c r="P4979">
        <v>0.99457180000000001</v>
      </c>
      <c r="Q4979">
        <v>-3.518897E-2</v>
      </c>
      <c r="R4979">
        <v>-9.7924029999999995E-2</v>
      </c>
      <c r="S4979">
        <v>3.0496829999999999</v>
      </c>
      <c r="T4979">
        <v>-0.16009279999999901</v>
      </c>
      <c r="U4979">
        <v>0.36965940000000003</v>
      </c>
      <c r="V4979">
        <v>-0.128887</v>
      </c>
      <c r="W4979">
        <v>-2.2494710000000001E-2</v>
      </c>
      <c r="X4979">
        <v>0.99140410000000001</v>
      </c>
      <c r="Y4979">
        <v>-0.3404316</v>
      </c>
      <c r="Z4979">
        <v>2.0652400000000001E-2</v>
      </c>
      <c r="AA4979">
        <v>0.94004239999999994</v>
      </c>
      <c r="AB4979">
        <v>16</v>
      </c>
      <c r="AC4979">
        <v>21.057899999999901</v>
      </c>
      <c r="AD4979">
        <v>-1.1124973971009999</v>
      </c>
      <c r="AE4979">
        <v>2.59592</v>
      </c>
      <c r="AF4979">
        <v>-7.2599290473952696</v>
      </c>
      <c r="AG4979">
        <v>-1.1124973971009999</v>
      </c>
      <c r="AH4979">
        <v>19.874663594306899</v>
      </c>
      <c r="AI4979">
        <v>93.009706171768002</v>
      </c>
      <c r="AJ4979">
        <v>110.066522340658</v>
      </c>
      <c r="AK4979">
        <v>21.188357020274999</v>
      </c>
      <c r="AL4979">
        <v>91.288960690508802</v>
      </c>
      <c r="AM4979">
        <v>97.407165997322394</v>
      </c>
      <c r="AN4979">
        <v>0.99999998012189595</v>
      </c>
    </row>
    <row r="4980" spans="1:40" x14ac:dyDescent="0.3">
      <c r="A4980" t="str">
        <f>"20200111160602310"</f>
        <v>20200111160602310</v>
      </c>
      <c r="B4980" t="str">
        <f>"1578729962306993"</f>
        <v>1578729962306993</v>
      </c>
      <c r="C4980" t="s">
        <v>40</v>
      </c>
      <c r="D4980">
        <v>5.3986320000000001</v>
      </c>
      <c r="E4980">
        <v>0.41500140000000002</v>
      </c>
      <c r="F4980" t="s">
        <v>87</v>
      </c>
      <c r="G4980">
        <v>-378.68900000000002</v>
      </c>
      <c r="H4980" s="1">
        <v>-1.4210259999999999E-6</v>
      </c>
      <c r="I4980">
        <v>22.701319999999999</v>
      </c>
      <c r="J4980">
        <v>-399.68110000000001</v>
      </c>
      <c r="K4980">
        <v>1.112487</v>
      </c>
      <c r="L4980">
        <v>20.034880000000001</v>
      </c>
      <c r="M4980">
        <v>0.97467429999999999</v>
      </c>
      <c r="N4980">
        <v>0</v>
      </c>
      <c r="O4980">
        <v>-0.22322819999999999</v>
      </c>
      <c r="P4980">
        <v>0.99483180000000004</v>
      </c>
      <c r="Q4980">
        <v>-3.487026E-2</v>
      </c>
      <c r="R4980">
        <v>-9.5363920000000005E-2</v>
      </c>
      <c r="S4980">
        <v>3.0483699999999998</v>
      </c>
      <c r="T4980">
        <v>-0.16088930000000001</v>
      </c>
      <c r="U4980">
        <v>0.38314819999999999</v>
      </c>
      <c r="V4980">
        <v>-0.12903919999999999</v>
      </c>
      <c r="W4980">
        <v>-2.2175480000000001E-2</v>
      </c>
      <c r="X4980">
        <v>0.99139149999999998</v>
      </c>
      <c r="Y4980">
        <v>-0.34228969999999997</v>
      </c>
      <c r="Z4980">
        <v>2.0686010000000001E-2</v>
      </c>
      <c r="AA4980">
        <v>0.9393667</v>
      </c>
      <c r="AB4980">
        <v>16</v>
      </c>
      <c r="AC4980">
        <v>20.992099999999901</v>
      </c>
      <c r="AD4980">
        <v>-1.112488421026</v>
      </c>
      <c r="AE4980">
        <v>2.6664400000000001</v>
      </c>
      <c r="AF4980">
        <v>-7.26551057079004</v>
      </c>
      <c r="AG4980">
        <v>-1.112488421026</v>
      </c>
      <c r="AH4980">
        <v>19.812255913040801</v>
      </c>
      <c r="AI4980">
        <v>93.017751889779106</v>
      </c>
      <c r="AJ4980">
        <v>110.138895258004</v>
      </c>
      <c r="AK4980">
        <v>21.131747649094201</v>
      </c>
      <c r="AL4980">
        <v>91.270665586180002</v>
      </c>
      <c r="AM4980">
        <v>97.415908864091506</v>
      </c>
      <c r="AN4980">
        <v>0.99999998666106005</v>
      </c>
    </row>
    <row r="4981" spans="1:40" x14ac:dyDescent="0.3">
      <c r="A4981" t="str">
        <f>"20200111160602323"</f>
        <v>20200111160602323</v>
      </c>
      <c r="B4981" t="str">
        <f>"1578729962316753"</f>
        <v>1578729962316753</v>
      </c>
      <c r="C4981" t="s">
        <v>40</v>
      </c>
      <c r="D4981">
        <v>5.379613</v>
      </c>
      <c r="E4981">
        <v>0.41491719999999999</v>
      </c>
      <c r="F4981" t="s">
        <v>87</v>
      </c>
      <c r="G4981">
        <v>-378.81189999999998</v>
      </c>
      <c r="H4981" s="1">
        <v>-1.36825799999999E-6</v>
      </c>
      <c r="I4981">
        <v>22.721350000000001</v>
      </c>
      <c r="J4981">
        <v>-399.59230000000002</v>
      </c>
      <c r="K4981">
        <v>1.112479</v>
      </c>
      <c r="L4981">
        <v>20.01746</v>
      </c>
      <c r="M4981">
        <v>0.97522690000000001</v>
      </c>
      <c r="N4981">
        <v>0</v>
      </c>
      <c r="O4981">
        <v>-0.22080159999999999</v>
      </c>
      <c r="P4981">
        <v>0.99505250000000001</v>
      </c>
      <c r="Q4981">
        <v>-3.4443889999999998E-2</v>
      </c>
      <c r="R4981">
        <v>-9.3190889999999998E-2</v>
      </c>
      <c r="S4981">
        <v>3.0475159999999999</v>
      </c>
      <c r="T4981">
        <v>-0.1624563</v>
      </c>
      <c r="U4981">
        <v>0.39230350000000003</v>
      </c>
      <c r="V4981">
        <v>-0.12874260000000001</v>
      </c>
      <c r="W4981">
        <v>-2.1745819999999999E-2</v>
      </c>
      <c r="X4981">
        <v>0.99143959999999998</v>
      </c>
      <c r="Y4981">
        <v>-0.34274890000000002</v>
      </c>
      <c r="Z4981">
        <v>2.0775060000000001E-2</v>
      </c>
      <c r="AA4981">
        <v>0.93919730000000001</v>
      </c>
      <c r="AB4981">
        <v>16</v>
      </c>
      <c r="AC4981">
        <v>20.7804</v>
      </c>
      <c r="AD4981">
        <v>-1.112480368258</v>
      </c>
      <c r="AE4981">
        <v>2.7038899999999999</v>
      </c>
      <c r="AF4981">
        <v>-7.2055916647945297</v>
      </c>
      <c r="AG4981">
        <v>-1.112480368258</v>
      </c>
      <c r="AH4981">
        <v>19.615062925790699</v>
      </c>
      <c r="AI4981">
        <v>93.047389045318695</v>
      </c>
      <c r="AJ4981">
        <v>110.17080357475901</v>
      </c>
      <c r="AK4981">
        <v>20.926271942040898</v>
      </c>
      <c r="AL4981">
        <v>91.246041914737802</v>
      </c>
      <c r="AM4981">
        <v>97.398697303755597</v>
      </c>
      <c r="AN4981">
        <v>1.0000000090951899</v>
      </c>
    </row>
    <row r="4982" spans="1:40" x14ac:dyDescent="0.3">
      <c r="A4982" t="str">
        <f>"20200111160602344"</f>
        <v>20200111160602344</v>
      </c>
      <c r="B4982" t="str">
        <f>"1578729962337249"</f>
        <v>1578729962337249</v>
      </c>
      <c r="C4982" t="s">
        <v>40</v>
      </c>
      <c r="D4982">
        <v>5.4208299999999996</v>
      </c>
      <c r="E4982">
        <v>0.41475329999999999</v>
      </c>
      <c r="F4982" t="s">
        <v>87</v>
      </c>
      <c r="G4982">
        <v>-378.6189</v>
      </c>
      <c r="H4982" s="1">
        <v>-1.4719719999999999E-6</v>
      </c>
      <c r="I4982">
        <v>22.768219999999999</v>
      </c>
      <c r="J4982">
        <v>-399.4545</v>
      </c>
      <c r="K4982">
        <v>1.1124670000000001</v>
      </c>
      <c r="L4982">
        <v>19.990970000000001</v>
      </c>
      <c r="M4982">
        <v>0.9760702</v>
      </c>
      <c r="N4982">
        <v>0</v>
      </c>
      <c r="O4982">
        <v>-0.21704399999999999</v>
      </c>
      <c r="P4982">
        <v>0.99538689999999996</v>
      </c>
      <c r="Q4982">
        <v>-3.3671359999999997E-2</v>
      </c>
      <c r="R4982">
        <v>-8.9843149999999997E-2</v>
      </c>
      <c r="S4982">
        <v>3.0467529999999998</v>
      </c>
      <c r="T4982">
        <v>-0.16160759999999999</v>
      </c>
      <c r="U4982">
        <v>0.39959719999999999</v>
      </c>
      <c r="V4982">
        <v>-0.1282691</v>
      </c>
      <c r="W4982">
        <v>-2.0968710000000002E-2</v>
      </c>
      <c r="X4982">
        <v>0.99151769999999995</v>
      </c>
      <c r="Y4982">
        <v>-0.34138740000000001</v>
      </c>
      <c r="Z4982">
        <v>2.0437420000000001E-2</v>
      </c>
      <c r="AA4982">
        <v>0.93970050000000005</v>
      </c>
      <c r="AB4982">
        <v>16</v>
      </c>
      <c r="AC4982">
        <v>20.835599999999999</v>
      </c>
      <c r="AD4982">
        <v>-1.1124684719719999</v>
      </c>
      <c r="AE4982">
        <v>2.7772499999999898</v>
      </c>
      <c r="AF4982">
        <v>-7.2134748610223198</v>
      </c>
      <c r="AG4982">
        <v>-1.1124684719719999</v>
      </c>
      <c r="AH4982">
        <v>19.680861615461499</v>
      </c>
      <c r="AI4982">
        <v>93.037998915011599</v>
      </c>
      <c r="AJ4982">
        <v>110.129012267562</v>
      </c>
      <c r="AK4982">
        <v>20.990667440524099</v>
      </c>
      <c r="AL4982">
        <v>91.201506644638599</v>
      </c>
      <c r="AM4982">
        <v>97.371211352309501</v>
      </c>
      <c r="AN4982">
        <v>0.99999999911358195</v>
      </c>
    </row>
    <row r="4983" spans="1:40" x14ac:dyDescent="0.3">
      <c r="A4983" t="str">
        <f>"20200111160602356"</f>
        <v>20200111160602356</v>
      </c>
      <c r="B4983" t="str">
        <f>"1578729962347009"</f>
        <v>1578729962347009</v>
      </c>
      <c r="C4983" t="s">
        <v>40</v>
      </c>
      <c r="D4983">
        <v>5.4314400000000003</v>
      </c>
      <c r="E4983">
        <v>0.41472550000000002</v>
      </c>
      <c r="F4983" t="s">
        <v>87</v>
      </c>
      <c r="G4983">
        <v>-378.56720000000001</v>
      </c>
      <c r="H4983" s="1">
        <v>-1.5079659999999999E-6</v>
      </c>
      <c r="I4983">
        <v>22.811730000000001</v>
      </c>
      <c r="J4983">
        <v>-399.36880000000002</v>
      </c>
      <c r="K4983">
        <v>1.112463</v>
      </c>
      <c r="L4983">
        <v>19.97485</v>
      </c>
      <c r="M4983">
        <v>0.97658560000000005</v>
      </c>
      <c r="N4983">
        <v>0</v>
      </c>
      <c r="O4983">
        <v>-0.2147125</v>
      </c>
      <c r="P4983">
        <v>0.99559989999999998</v>
      </c>
      <c r="Q4983">
        <v>-3.3516270000000001E-2</v>
      </c>
      <c r="R4983">
        <v>-8.7509379999999998E-2</v>
      </c>
      <c r="S4983">
        <v>3.0455019999999999</v>
      </c>
      <c r="T4983">
        <v>-0.1622053</v>
      </c>
      <c r="U4983">
        <v>0.41128540000000002</v>
      </c>
      <c r="V4983">
        <v>-0.12822790000000001</v>
      </c>
      <c r="W4983">
        <v>-2.0812629999999999E-2</v>
      </c>
      <c r="X4983">
        <v>0.99152629999999997</v>
      </c>
      <c r="Y4983">
        <v>-0.34273199999999998</v>
      </c>
      <c r="Z4983">
        <v>2.0430730000000001E-2</v>
      </c>
      <c r="AA4983">
        <v>0.93921100000000002</v>
      </c>
      <c r="AB4983">
        <v>16</v>
      </c>
      <c r="AC4983">
        <v>20.801600000000001</v>
      </c>
      <c r="AD4983">
        <v>-1.112464507966</v>
      </c>
      <c r="AE4983">
        <v>2.8368799999999901</v>
      </c>
      <c r="AF4983">
        <v>-7.21720296739303</v>
      </c>
      <c r="AG4983">
        <v>-1.112464507966</v>
      </c>
      <c r="AH4983">
        <v>19.6520142326967</v>
      </c>
      <c r="AI4983">
        <v>93.041724717989396</v>
      </c>
      <c r="AJ4983">
        <v>110.165761365026</v>
      </c>
      <c r="AK4983">
        <v>20.964905422065399</v>
      </c>
      <c r="AL4983">
        <v>91.192561988035195</v>
      </c>
      <c r="AM4983">
        <v>97.368806536030306</v>
      </c>
      <c r="AN4983">
        <v>0.999999981748808</v>
      </c>
    </row>
    <row r="4984" spans="1:40" x14ac:dyDescent="0.3">
      <c r="A4984" t="str">
        <f>"20200111160602369"</f>
        <v>20200111160602369</v>
      </c>
      <c r="B4984" t="str">
        <f>"1578729962356769"</f>
        <v>1578729962356769</v>
      </c>
      <c r="C4984" t="s">
        <v>40</v>
      </c>
      <c r="D4984">
        <v>5.4474410000000004</v>
      </c>
      <c r="E4984">
        <v>0.41469420000000001</v>
      </c>
      <c r="F4984" t="s">
        <v>87</v>
      </c>
      <c r="G4984">
        <v>-378.61410000000001</v>
      </c>
      <c r="H4984" s="1">
        <v>-1.4904989999999999E-6</v>
      </c>
      <c r="I4984">
        <v>22.829350000000002</v>
      </c>
      <c r="J4984">
        <v>-399.28199999999998</v>
      </c>
      <c r="K4984">
        <v>1.1124559999999999</v>
      </c>
      <c r="L4984">
        <v>19.95862</v>
      </c>
      <c r="M4984">
        <v>0.97710229999999998</v>
      </c>
      <c r="N4984">
        <v>0</v>
      </c>
      <c r="O4984">
        <v>-0.21234890000000001</v>
      </c>
      <c r="P4984">
        <v>0.99578100000000003</v>
      </c>
      <c r="Q4984">
        <v>-3.327985E-2</v>
      </c>
      <c r="R4984">
        <v>-8.5515129999999995E-2</v>
      </c>
      <c r="S4984">
        <v>3.044556</v>
      </c>
      <c r="T4984">
        <v>-0.1631898</v>
      </c>
      <c r="U4984">
        <v>0.41873169999999998</v>
      </c>
      <c r="V4984">
        <v>-0.12781769999999901</v>
      </c>
      <c r="W4984">
        <v>-2.0572900000000002E-2</v>
      </c>
      <c r="X4984">
        <v>0.99158429999999997</v>
      </c>
      <c r="Y4984">
        <v>-0.34274700000000002</v>
      </c>
      <c r="Z4984">
        <v>2.0433960000000001E-2</v>
      </c>
      <c r="AA4984">
        <v>0.93920550000000003</v>
      </c>
      <c r="AB4984">
        <v>16</v>
      </c>
      <c r="AC4984">
        <v>20.6678999999999</v>
      </c>
      <c r="AD4984">
        <v>-1.1124574904989999</v>
      </c>
      <c r="AE4984">
        <v>2.87073</v>
      </c>
      <c r="AF4984">
        <v>-7.1740557225751704</v>
      </c>
      <c r="AG4984">
        <v>-1.1124574904989999</v>
      </c>
      <c r="AH4984">
        <v>19.531295275516701</v>
      </c>
      <c r="AI4984">
        <v>93.060410030440707</v>
      </c>
      <c r="AJ4984">
        <v>110.168829060812</v>
      </c>
      <c r="AK4984">
        <v>20.8368935381021</v>
      </c>
      <c r="AL4984">
        <v>91.178823488107497</v>
      </c>
      <c r="AM4984">
        <v>97.345066674882901</v>
      </c>
      <c r="AN4984">
        <v>1.0000000163270899</v>
      </c>
    </row>
    <row r="4985" spans="1:40" x14ac:dyDescent="0.3">
      <c r="A4985" t="str">
        <f>"20200111160602387"</f>
        <v>20200111160602387</v>
      </c>
      <c r="B4985" t="str">
        <f>"1578729962377267"</f>
        <v>1578729962377267</v>
      </c>
      <c r="C4985" t="s">
        <v>40</v>
      </c>
      <c r="D4985">
        <v>5.4160500000000003</v>
      </c>
      <c r="E4985">
        <v>0.41468260000000001</v>
      </c>
      <c r="F4985" t="s">
        <v>87</v>
      </c>
      <c r="G4985">
        <v>-378.59679999999997</v>
      </c>
      <c r="H4985" s="1">
        <v>-1.503505E-6</v>
      </c>
      <c r="I4985">
        <v>22.84742</v>
      </c>
      <c r="J4985">
        <v>-399.15629999999999</v>
      </c>
      <c r="K4985">
        <v>1.112449</v>
      </c>
      <c r="L4985">
        <v>19.93552</v>
      </c>
      <c r="M4985">
        <v>0.97783790000000004</v>
      </c>
      <c r="N4985">
        <v>0</v>
      </c>
      <c r="O4985">
        <v>-0.20893529999999999</v>
      </c>
      <c r="P4985">
        <v>0.99605250000000001</v>
      </c>
      <c r="Q4985">
        <v>-3.3083410000000001E-2</v>
      </c>
      <c r="R4985">
        <v>-8.2371319999999998E-2</v>
      </c>
      <c r="S4985">
        <v>3.0437620000000001</v>
      </c>
      <c r="T4985">
        <v>-0.163694799999999</v>
      </c>
      <c r="U4985">
        <v>0.42507929999999999</v>
      </c>
      <c r="V4985">
        <v>-0.1274882</v>
      </c>
      <c r="W4985">
        <v>-2.037334E-2</v>
      </c>
      <c r="X4985">
        <v>0.99163089999999998</v>
      </c>
      <c r="Y4985">
        <v>-0.34142349999999999</v>
      </c>
      <c r="Z4985">
        <v>2.0283949999999999E-2</v>
      </c>
      <c r="AA4985">
        <v>0.93969060000000004</v>
      </c>
      <c r="AB4985">
        <v>16</v>
      </c>
      <c r="AC4985">
        <v>20.5595</v>
      </c>
      <c r="AD4985">
        <v>-1.1124505035050001</v>
      </c>
      <c r="AE4985">
        <v>2.9119000000000002</v>
      </c>
      <c r="AF4985">
        <v>-7.1231663147426598</v>
      </c>
      <c r="AG4985">
        <v>-1.1124505035050001</v>
      </c>
      <c r="AH4985">
        <v>19.441404954647702</v>
      </c>
      <c r="AI4985">
        <v>93.075426168616204</v>
      </c>
      <c r="AJ4985">
        <v>110.122406795169</v>
      </c>
      <c r="AK4985">
        <v>20.735121679913899</v>
      </c>
      <c r="AL4985">
        <v>91.167387073519706</v>
      </c>
      <c r="AM4985">
        <v>97.325997332431299</v>
      </c>
      <c r="AN4985">
        <v>1.00000007797839</v>
      </c>
    </row>
    <row r="4986" spans="1:40" x14ac:dyDescent="0.3">
      <c r="A4986" t="str">
        <f>"20200111160602398"</f>
        <v>20200111160602398</v>
      </c>
      <c r="B4986" t="str">
        <f>"1578729962387025"</f>
        <v>1578729962387025</v>
      </c>
      <c r="C4986" t="s">
        <v>40</v>
      </c>
      <c r="D4986">
        <v>5.3977360000000001</v>
      </c>
      <c r="E4986">
        <v>0.4147439</v>
      </c>
      <c r="F4986" t="s">
        <v>87</v>
      </c>
      <c r="G4986">
        <v>-378.69470000000001</v>
      </c>
      <c r="H4986" s="1">
        <v>-1.4606540000000001E-6</v>
      </c>
      <c r="I4986">
        <v>22.860309999999998</v>
      </c>
      <c r="J4986">
        <v>-399.0745</v>
      </c>
      <c r="K4986">
        <v>1.1124419999999999</v>
      </c>
      <c r="L4986">
        <v>19.920750000000002</v>
      </c>
      <c r="M4986">
        <v>0.97830950000000005</v>
      </c>
      <c r="N4986">
        <v>0</v>
      </c>
      <c r="O4986">
        <v>-0.2067165</v>
      </c>
      <c r="P4986">
        <v>0.99622509999999997</v>
      </c>
      <c r="Q4986">
        <v>-3.2852890000000003E-2</v>
      </c>
      <c r="R4986">
        <v>-8.0350959999999999E-2</v>
      </c>
      <c r="S4986">
        <v>3.0423580000000001</v>
      </c>
      <c r="T4986">
        <v>-0.16540550000000001</v>
      </c>
      <c r="U4986">
        <v>0.43487550000000003</v>
      </c>
      <c r="V4986">
        <v>-0.1272528</v>
      </c>
      <c r="W4986">
        <v>-2.0140809999999999E-2</v>
      </c>
      <c r="X4986">
        <v>0.99166580000000004</v>
      </c>
      <c r="Y4986">
        <v>-0.34230260000000001</v>
      </c>
      <c r="Z4986">
        <v>2.0406290000000001E-2</v>
      </c>
      <c r="AA4986">
        <v>0.93936810000000004</v>
      </c>
      <c r="AB4986">
        <v>16</v>
      </c>
      <c r="AC4986">
        <v>20.3797999999999</v>
      </c>
      <c r="AD4986">
        <v>-1.1124434606539999</v>
      </c>
      <c r="AE4986">
        <v>2.93955999999999</v>
      </c>
      <c r="AF4986">
        <v>-7.0686418692976201</v>
      </c>
      <c r="AG4986">
        <v>-1.1124434606539999</v>
      </c>
      <c r="AH4986">
        <v>19.275562164733302</v>
      </c>
      <c r="AI4986">
        <v>93.101491655348696</v>
      </c>
      <c r="AJ4986">
        <v>110.138755209734</v>
      </c>
      <c r="AK4986">
        <v>20.560897964243601</v>
      </c>
      <c r="AL4986">
        <v>91.154061450493302</v>
      </c>
      <c r="AM4986">
        <v>97.312362260772602</v>
      </c>
      <c r="AN4986">
        <v>0.99999999311246801</v>
      </c>
    </row>
    <row r="4987" spans="1:40" x14ac:dyDescent="0.3">
      <c r="A4987" t="str">
        <f>"20200111160602421"</f>
        <v>20200111160602421</v>
      </c>
      <c r="B4987" t="str">
        <f>"1578729962417281"</f>
        <v>1578729962417281</v>
      </c>
      <c r="C4987" t="s">
        <v>40</v>
      </c>
      <c r="D4987">
        <v>5.4509160000000003</v>
      </c>
      <c r="E4987">
        <v>0.41488599999999998</v>
      </c>
      <c r="F4987" t="s">
        <v>87</v>
      </c>
      <c r="G4987">
        <v>-378.65129999999999</v>
      </c>
      <c r="H4987" s="1">
        <v>-1.4862719999999999E-6</v>
      </c>
      <c r="I4987">
        <v>22.879460000000002</v>
      </c>
      <c r="J4987">
        <v>-398.92399999999998</v>
      </c>
      <c r="K4987">
        <v>1.112425</v>
      </c>
      <c r="L4987">
        <v>19.894010000000002</v>
      </c>
      <c r="M4987">
        <v>0.97916190000000003</v>
      </c>
      <c r="N4987">
        <v>0</v>
      </c>
      <c r="O4987">
        <v>-0.2026404</v>
      </c>
      <c r="P4987">
        <v>0.99652479999999999</v>
      </c>
      <c r="Q4987">
        <v>-3.3039029999999997E-2</v>
      </c>
      <c r="R4987">
        <v>-7.6465580000000005E-2</v>
      </c>
      <c r="S4987">
        <v>3.0414430000000001</v>
      </c>
      <c r="T4987">
        <v>-0.1656656</v>
      </c>
      <c r="U4987">
        <v>0.44061280000000003</v>
      </c>
      <c r="V4987">
        <v>-0.1269885</v>
      </c>
      <c r="W4987">
        <v>-2.0324680000000001E-2</v>
      </c>
      <c r="X4987">
        <v>0.99169589999999996</v>
      </c>
      <c r="Y4987">
        <v>-0.34017180000000002</v>
      </c>
      <c r="Z4987">
        <v>2.016577E-2</v>
      </c>
      <c r="AA4987">
        <v>0.94014710000000001</v>
      </c>
      <c r="AB4987">
        <v>16</v>
      </c>
      <c r="AC4987">
        <v>20.2727</v>
      </c>
      <c r="AD4987">
        <v>-1.1124264862719999</v>
      </c>
      <c r="AE4987">
        <v>2.9854500000000002</v>
      </c>
      <c r="AF4987">
        <v>-7.0112725180650504</v>
      </c>
      <c r="AG4987">
        <v>-1.1124264862719999</v>
      </c>
      <c r="AH4987">
        <v>19.1904467815136</v>
      </c>
      <c r="AI4987">
        <v>93.116541352799402</v>
      </c>
      <c r="AJ4987">
        <v>110.069888828637</v>
      </c>
      <c r="AK4987">
        <v>20.461394934951102</v>
      </c>
      <c r="AL4987">
        <v>91.164598615387206</v>
      </c>
      <c r="AM4987">
        <v>97.297119491981107</v>
      </c>
      <c r="AN4987">
        <v>0.99999996491307996</v>
      </c>
    </row>
    <row r="4988" spans="1:40" x14ac:dyDescent="0.3">
      <c r="A4988" t="str">
        <f>"20200111160602433"</f>
        <v>20200111160602433</v>
      </c>
      <c r="B4988" t="str">
        <f>"1578729962427041"</f>
        <v>1578729962427041</v>
      </c>
      <c r="C4988" t="s">
        <v>40</v>
      </c>
      <c r="D4988">
        <v>5.4750930000000002</v>
      </c>
      <c r="E4988">
        <v>0.414912</v>
      </c>
      <c r="F4988" t="s">
        <v>87</v>
      </c>
      <c r="G4988">
        <v>-378.99160000000001</v>
      </c>
      <c r="H4988" s="1">
        <v>-1.318887E-6</v>
      </c>
      <c r="I4988">
        <v>22.854959999999998</v>
      </c>
      <c r="J4988">
        <v>-398.83539999999999</v>
      </c>
      <c r="K4988">
        <v>1.112417</v>
      </c>
      <c r="L4988">
        <v>19.878630000000001</v>
      </c>
      <c r="M4988">
        <v>0.97965429999999998</v>
      </c>
      <c r="N4988">
        <v>0</v>
      </c>
      <c r="O4988">
        <v>-0.20024700000000001</v>
      </c>
      <c r="P4988">
        <v>0.99671189999999998</v>
      </c>
      <c r="Q4988">
        <v>-3.2626620000000002E-2</v>
      </c>
      <c r="R4988">
        <v>-7.4169479999999996E-2</v>
      </c>
      <c r="S4988">
        <v>3.0394589999999999</v>
      </c>
      <c r="T4988">
        <v>-0.1696317</v>
      </c>
      <c r="U4988">
        <v>0.45150760000000001</v>
      </c>
      <c r="V4988">
        <v>-0.1268543</v>
      </c>
      <c r="W4988">
        <v>-1.9914810000000002E-2</v>
      </c>
      <c r="X4988">
        <v>0.99172150000000003</v>
      </c>
      <c r="Y4988">
        <v>-0.3412232</v>
      </c>
      <c r="Z4988">
        <v>2.0554349999999999E-2</v>
      </c>
      <c r="AA4988">
        <v>0.93975750000000002</v>
      </c>
      <c r="AB4988">
        <v>16</v>
      </c>
      <c r="AC4988">
        <v>19.843799999999899</v>
      </c>
      <c r="AD4988">
        <v>-1.1124183188869901</v>
      </c>
      <c r="AE4988">
        <v>2.9763299999999999</v>
      </c>
      <c r="AF4988">
        <v>-6.8689399031185099</v>
      </c>
      <c r="AG4988">
        <v>-1.1124183188869901</v>
      </c>
      <c r="AH4988">
        <v>18.7880019591944</v>
      </c>
      <c r="AI4988">
        <v>93.182883187314502</v>
      </c>
      <c r="AJ4988">
        <v>110.082537023477</v>
      </c>
      <c r="AK4988">
        <v>20.035189730260601</v>
      </c>
      <c r="AL4988">
        <v>91.141109914906295</v>
      </c>
      <c r="AM4988">
        <v>97.289304822737904</v>
      </c>
      <c r="AN4988">
        <v>1.00000007332403</v>
      </c>
    </row>
    <row r="4989" spans="1:40" x14ac:dyDescent="0.3">
      <c r="A4989" t="str">
        <f>"20200111160602477"</f>
        <v>20200111160602477</v>
      </c>
      <c r="B4989" t="str">
        <f>"1578729962467057"</f>
        <v>1578729962467057</v>
      </c>
      <c r="C4989" t="s">
        <v>40</v>
      </c>
      <c r="D4989">
        <v>5.4708740000000002</v>
      </c>
      <c r="E4989">
        <v>0.41497109999999898</v>
      </c>
      <c r="F4989" t="s">
        <v>87</v>
      </c>
      <c r="G4989">
        <v>-378.89429999999999</v>
      </c>
      <c r="H4989" s="1">
        <v>-1.3733850000000001E-6</v>
      </c>
      <c r="I4989">
        <v>22.88691</v>
      </c>
      <c r="J4989">
        <v>-398.53</v>
      </c>
      <c r="K4989">
        <v>1.1123099999999999</v>
      </c>
      <c r="L4989">
        <v>19.827030000000001</v>
      </c>
      <c r="M4989">
        <v>0.98131729999999995</v>
      </c>
      <c r="N4989">
        <v>0</v>
      </c>
      <c r="O4989">
        <v>-0.19196460000000001</v>
      </c>
      <c r="P4989">
        <v>0.99733590000000005</v>
      </c>
      <c r="Q4989">
        <v>-3.1274620000000003E-2</v>
      </c>
      <c r="R4989">
        <v>-6.5904210000000005E-2</v>
      </c>
      <c r="S4989">
        <v>3.0384519999999999</v>
      </c>
      <c r="T4989">
        <v>-0.1695005</v>
      </c>
      <c r="U4989">
        <v>0.458374</v>
      </c>
      <c r="V4989">
        <v>-0.1267094</v>
      </c>
      <c r="W4989">
        <v>-1.9051350000000002E-2</v>
      </c>
      <c r="X4989">
        <v>0.99175690000000005</v>
      </c>
      <c r="Y4989">
        <v>-0.33542280000000002</v>
      </c>
      <c r="Z4989">
        <v>1.9925910000000002E-2</v>
      </c>
      <c r="AA4989">
        <v>0.9418569</v>
      </c>
      <c r="AB4989">
        <v>16</v>
      </c>
      <c r="AC4989">
        <v>19.6356999999999</v>
      </c>
      <c r="AD4989">
        <v>-1.1123113733849901</v>
      </c>
      <c r="AE4989">
        <v>3.0598800000000002</v>
      </c>
      <c r="AF4989">
        <v>-6.75148306758547</v>
      </c>
      <c r="AG4989">
        <v>-1.1123113733849901</v>
      </c>
      <c r="AH4989">
        <v>18.624665450926699</v>
      </c>
      <c r="AI4989">
        <v>93.213624873017906</v>
      </c>
      <c r="AJ4989">
        <v>109.925694427148</v>
      </c>
      <c r="AK4989">
        <v>19.841822581663202</v>
      </c>
      <c r="AL4989">
        <v>91.091628004751598</v>
      </c>
      <c r="AM4989">
        <v>97.280810873536794</v>
      </c>
      <c r="AN4989">
        <v>0.99999998734139595</v>
      </c>
    </row>
    <row r="4990" spans="1:40" x14ac:dyDescent="0.3">
      <c r="A4990" t="str">
        <f>"20200111160602490"</f>
        <v>20200111160602490</v>
      </c>
      <c r="B4990" t="str">
        <f>"1578729962487553"</f>
        <v>1578729962487553</v>
      </c>
      <c r="C4990" t="s">
        <v>40</v>
      </c>
      <c r="D4990">
        <v>5.4326460000000001</v>
      </c>
      <c r="E4990">
        <v>0.41511740000000003</v>
      </c>
      <c r="F4990" t="s">
        <v>87</v>
      </c>
      <c r="G4990">
        <v>-378.27620000000002</v>
      </c>
      <c r="H4990" s="1">
        <v>-1.709351E-6</v>
      </c>
      <c r="I4990">
        <v>23.051439999999999</v>
      </c>
      <c r="J4990">
        <v>-398.4495</v>
      </c>
      <c r="K4990">
        <v>1.1122840000000001</v>
      </c>
      <c r="L4990">
        <v>19.813870000000001</v>
      </c>
      <c r="M4990">
        <v>0.98174019999999995</v>
      </c>
      <c r="N4990">
        <v>0</v>
      </c>
      <c r="O4990">
        <v>-0.18979940000000001</v>
      </c>
      <c r="P4990">
        <v>0.99748530000000002</v>
      </c>
      <c r="Q4990">
        <v>-3.101054E-2</v>
      </c>
      <c r="R4990">
        <v>-6.3731339999999997E-2</v>
      </c>
      <c r="S4990">
        <v>3.0346980000000001</v>
      </c>
      <c r="T4990">
        <v>-0.166661</v>
      </c>
      <c r="U4990">
        <v>0.48312379999999999</v>
      </c>
      <c r="V4990">
        <v>-0.12668360000000001</v>
      </c>
      <c r="W4990">
        <v>-1.8923539999999999E-2</v>
      </c>
      <c r="X4990">
        <v>0.99176260000000005</v>
      </c>
      <c r="Y4990">
        <v>-0.34103240000000001</v>
      </c>
      <c r="Z4990">
        <v>1.9642079999999999E-2</v>
      </c>
      <c r="AA4990">
        <v>0.93984630000000002</v>
      </c>
      <c r="AB4990">
        <v>16</v>
      </c>
      <c r="AC4990">
        <v>20.173299999999902</v>
      </c>
      <c r="AD4990">
        <v>-1.1122857093509999</v>
      </c>
      <c r="AE4990">
        <v>3.2375699999999901</v>
      </c>
      <c r="AF4990">
        <v>-6.9871938423303996</v>
      </c>
      <c r="AG4990">
        <v>-1.1122857093509999</v>
      </c>
      <c r="AH4990">
        <v>19.135297546556</v>
      </c>
      <c r="AI4990">
        <v>93.125317329655104</v>
      </c>
      <c r="AJ4990">
        <v>110.059507100613</v>
      </c>
      <c r="AK4990">
        <v>20.401413418799098</v>
      </c>
      <c r="AL4990">
        <v>91.084303756781793</v>
      </c>
      <c r="AM4990">
        <v>97.279302902356307</v>
      </c>
      <c r="AN4990">
        <v>0.999999944816924</v>
      </c>
    </row>
    <row r="4991" spans="1:40" x14ac:dyDescent="0.3">
      <c r="A4991" t="str">
        <f>"20200111160602502"</f>
        <v>20200111160602502</v>
      </c>
      <c r="B4991" t="str">
        <f>"1578729962497313"</f>
        <v>1578729962497313</v>
      </c>
      <c r="C4991" t="s">
        <v>40</v>
      </c>
      <c r="D4991">
        <v>5.4710850000000004</v>
      </c>
      <c r="E4991">
        <v>0.41522140000000002</v>
      </c>
      <c r="F4991" t="s">
        <v>87</v>
      </c>
      <c r="G4991">
        <v>-378.35309999999998</v>
      </c>
      <c r="H4991" s="1">
        <v>-1.672948E-6</v>
      </c>
      <c r="I4991">
        <v>23.051279999999998</v>
      </c>
      <c r="J4991">
        <v>-398.36369999999999</v>
      </c>
      <c r="K4991">
        <v>1.1122669999999999</v>
      </c>
      <c r="L4991">
        <v>19.80002</v>
      </c>
      <c r="M4991">
        <v>0.98218179999999999</v>
      </c>
      <c r="N4991">
        <v>0</v>
      </c>
      <c r="O4991">
        <v>-0.18750739999999999</v>
      </c>
      <c r="P4991">
        <v>0.99762779999999995</v>
      </c>
      <c r="Q4991">
        <v>-3.1002809999999999E-2</v>
      </c>
      <c r="R4991">
        <v>-6.1463209999999997E-2</v>
      </c>
      <c r="S4991">
        <v>3.0335079999999999</v>
      </c>
      <c r="T4991">
        <v>-0.16789679999999901</v>
      </c>
      <c r="U4991">
        <v>0.488678</v>
      </c>
      <c r="V4991">
        <v>-0.12662290000000001</v>
      </c>
      <c r="W4991">
        <v>-1.9012279999999999E-2</v>
      </c>
      <c r="X4991">
        <v>0.99176869999999995</v>
      </c>
      <c r="Y4991">
        <v>-0.34056570000000003</v>
      </c>
      <c r="Z4991">
        <v>1.9654769999999998E-2</v>
      </c>
      <c r="AA4991">
        <v>0.9400153</v>
      </c>
      <c r="AB4991">
        <v>16</v>
      </c>
      <c r="AC4991">
        <v>20.0106</v>
      </c>
      <c r="AD4991">
        <v>-1.112268672948</v>
      </c>
      <c r="AE4991">
        <v>3.25125999999999</v>
      </c>
      <c r="AF4991">
        <v>-6.9251737188424096</v>
      </c>
      <c r="AG4991">
        <v>-1.112268672948</v>
      </c>
      <c r="AH4991">
        <v>18.988776075756899</v>
      </c>
      <c r="AI4991">
        <v>93.149790531155205</v>
      </c>
      <c r="AJ4991">
        <v>110.036825041114</v>
      </c>
      <c r="AK4991">
        <v>20.242746589635601</v>
      </c>
      <c r="AL4991">
        <v>91.089389050256202</v>
      </c>
      <c r="AM4991">
        <v>97.275808162975693</v>
      </c>
      <c r="AN4991">
        <v>0.99999998994744899</v>
      </c>
    </row>
    <row r="4992" spans="1:40" x14ac:dyDescent="0.3">
      <c r="A4992" t="str">
        <f>"20200111160602521"</f>
        <v>20200111160602521</v>
      </c>
      <c r="B4992" t="str">
        <f>"1578729962516833"</f>
        <v>1578729962516833</v>
      </c>
      <c r="C4992" t="s">
        <v>40</v>
      </c>
      <c r="D4992">
        <v>5.6398510000000002</v>
      </c>
      <c r="E4992">
        <v>0.41538609999999998</v>
      </c>
      <c r="F4992" t="s">
        <v>87</v>
      </c>
      <c r="G4992">
        <v>-378.4178</v>
      </c>
      <c r="H4992" s="1">
        <v>-1.6432329999999899E-6</v>
      </c>
      <c r="I4992">
        <v>23.054539999999999</v>
      </c>
      <c r="J4992">
        <v>-398.2355</v>
      </c>
      <c r="K4992">
        <v>1.1122620000000001</v>
      </c>
      <c r="L4992">
        <v>19.779720000000001</v>
      </c>
      <c r="M4992">
        <v>0.98282630000000004</v>
      </c>
      <c r="N4992">
        <v>0</v>
      </c>
      <c r="O4992">
        <v>-0.18410199999999999</v>
      </c>
      <c r="P4992">
        <v>0.99780610000000003</v>
      </c>
      <c r="Q4992">
        <v>-3.1047910000000001E-2</v>
      </c>
      <c r="R4992">
        <v>-5.8473360000000002E-2</v>
      </c>
      <c r="S4992">
        <v>3.032349</v>
      </c>
      <c r="T4992">
        <v>-0.16909660000000001</v>
      </c>
      <c r="U4992">
        <v>0.49478149999999999</v>
      </c>
      <c r="V4992">
        <v>-0.12615789999999999</v>
      </c>
      <c r="W4992">
        <v>-1.9074509999999999E-2</v>
      </c>
      <c r="X4992">
        <v>0.99182680000000001</v>
      </c>
      <c r="Y4992">
        <v>-0.33920299999999998</v>
      </c>
      <c r="Z4992">
        <v>1.9574640000000001E-2</v>
      </c>
      <c r="AA4992">
        <v>0.94050959999999995</v>
      </c>
      <c r="AB4992">
        <v>16</v>
      </c>
      <c r="AC4992">
        <v>19.817699999999999</v>
      </c>
      <c r="AD4992">
        <v>-1.112263643233</v>
      </c>
      <c r="AE4992">
        <v>3.2748199999999899</v>
      </c>
      <c r="AF4992">
        <v>-6.8466096615379604</v>
      </c>
      <c r="AG4992">
        <v>-1.112263643233</v>
      </c>
      <c r="AH4992">
        <v>18.818254126800301</v>
      </c>
      <c r="AI4992">
        <v>93.179147518215004</v>
      </c>
      <c r="AJ4992">
        <v>109.992808655559</v>
      </c>
      <c r="AK4992">
        <v>20.055918893193599</v>
      </c>
      <c r="AL4992">
        <v>91.092955172919901</v>
      </c>
      <c r="AM4992">
        <v>97.248953675815599</v>
      </c>
      <c r="AN4992">
        <v>1.0000000269311899</v>
      </c>
    </row>
    <row r="4993" spans="1:40" x14ac:dyDescent="0.3">
      <c r="A4993" t="str">
        <f>"20200111160602533"</f>
        <v>20200111160602533</v>
      </c>
      <c r="B4993" t="str">
        <f>"1578729962527569"</f>
        <v>1578729962527569</v>
      </c>
      <c r="C4993" t="s">
        <v>40</v>
      </c>
      <c r="D4993">
        <v>5.8024319999999996</v>
      </c>
      <c r="E4993">
        <v>0.41633730000000002</v>
      </c>
      <c r="F4993" t="s">
        <v>87</v>
      </c>
      <c r="G4993">
        <v>-378.4513</v>
      </c>
      <c r="H4993" s="1">
        <v>-1.6291570000000001E-6</v>
      </c>
      <c r="I4993">
        <v>23.061160000000001</v>
      </c>
      <c r="J4993">
        <v>-398.15</v>
      </c>
      <c r="K4993">
        <v>1.1122590000000001</v>
      </c>
      <c r="L4993">
        <v>19.766449999999999</v>
      </c>
      <c r="M4993">
        <v>0.98324959999999995</v>
      </c>
      <c r="N4993">
        <v>0</v>
      </c>
      <c r="O4993">
        <v>-0.1818274</v>
      </c>
      <c r="P4993">
        <v>0.99791700000000005</v>
      </c>
      <c r="Q4993">
        <v>-3.1179309999999998E-2</v>
      </c>
      <c r="R4993">
        <v>-5.6477319999999998E-2</v>
      </c>
      <c r="S4993">
        <v>3.0307620000000002</v>
      </c>
      <c r="T4993">
        <v>-0.1703887</v>
      </c>
      <c r="U4993">
        <v>0.50268550000000001</v>
      </c>
      <c r="V4993">
        <v>-0.1258473</v>
      </c>
      <c r="W4993">
        <v>-1.9205690000000001E-2</v>
      </c>
      <c r="X4993">
        <v>0.99186370000000001</v>
      </c>
      <c r="Y4993">
        <v>-0.339483799999999</v>
      </c>
      <c r="Z4993">
        <v>1.9612250000000001E-2</v>
      </c>
      <c r="AA4993">
        <v>0.9404074</v>
      </c>
      <c r="AB4993">
        <v>16</v>
      </c>
      <c r="AC4993">
        <v>19.698699999999899</v>
      </c>
      <c r="AD4993">
        <v>-1.1122606291570001</v>
      </c>
      <c r="AE4993">
        <v>3.2947099999999998</v>
      </c>
      <c r="AF4993">
        <v>-6.8007364168504303</v>
      </c>
      <c r="AG4993">
        <v>-1.1122606291570001</v>
      </c>
      <c r="AH4993">
        <v>18.7131262868288</v>
      </c>
      <c r="AI4993">
        <v>93.197379463773601</v>
      </c>
      <c r="AJ4993">
        <v>109.97218945235799</v>
      </c>
      <c r="AK4993">
        <v>19.941620669981901</v>
      </c>
      <c r="AL4993">
        <v>91.100472639374999</v>
      </c>
      <c r="AM4993">
        <v>97.231029766513501</v>
      </c>
      <c r="AN4993">
        <v>1.00000000041167</v>
      </c>
    </row>
    <row r="4994" spans="1:40" x14ac:dyDescent="0.3">
      <c r="A4994" t="str">
        <f>"20200111160602546"</f>
        <v>20200111160602546</v>
      </c>
      <c r="B4994" t="str">
        <f>"1578729962537329"</f>
        <v>1578729962537329</v>
      </c>
      <c r="C4994" t="s">
        <v>40</v>
      </c>
      <c r="D4994">
        <v>5.9150970000000003</v>
      </c>
      <c r="E4994">
        <v>0.41633730000000002</v>
      </c>
      <c r="F4994" t="s">
        <v>87</v>
      </c>
      <c r="G4994">
        <v>-378.32920000000001</v>
      </c>
      <c r="H4994" s="1">
        <v>-1.682716E-6</v>
      </c>
      <c r="I4994">
        <v>23.045529999999999</v>
      </c>
      <c r="J4994">
        <v>-398.06229999999999</v>
      </c>
      <c r="K4994">
        <v>1.112255</v>
      </c>
      <c r="L4994">
        <v>19.752960000000002</v>
      </c>
      <c r="M4994">
        <v>0.98367850000000001</v>
      </c>
      <c r="N4994">
        <v>0</v>
      </c>
      <c r="O4994">
        <v>-0.17949379999999901</v>
      </c>
      <c r="P4994">
        <v>0.99802259999999998</v>
      </c>
      <c r="Q4994">
        <v>-3.1040959999999999E-2</v>
      </c>
      <c r="R4994">
        <v>-5.4658730000000003E-2</v>
      </c>
      <c r="S4994">
        <v>3.0293269999999999</v>
      </c>
      <c r="T4994">
        <v>-0.16999320000000001</v>
      </c>
      <c r="U4994">
        <v>0.50115969999999999</v>
      </c>
      <c r="V4994">
        <v>-0.1253032</v>
      </c>
      <c r="W4994">
        <v>-1.9071520000000002E-2</v>
      </c>
      <c r="X4994">
        <v>0.99193520000000002</v>
      </c>
      <c r="Y4994">
        <v>-0.33687270000000002</v>
      </c>
      <c r="Z4994">
        <v>1.9374590000000001E-2</v>
      </c>
      <c r="AA4994">
        <v>0.94135089999999999</v>
      </c>
      <c r="AB4994">
        <v>16</v>
      </c>
      <c r="AC4994">
        <v>19.733099999999901</v>
      </c>
      <c r="AD4994">
        <v>-1.1122566827159901</v>
      </c>
      <c r="AE4994">
        <v>3.2925699999999898</v>
      </c>
      <c r="AF4994">
        <v>-6.7604408881263804</v>
      </c>
      <c r="AG4994">
        <v>-1.1122566827159901</v>
      </c>
      <c r="AH4994">
        <v>18.76352542795</v>
      </c>
      <c r="AI4994">
        <v>93.191979798750907</v>
      </c>
      <c r="AJ4994">
        <v>109.813936625306</v>
      </c>
      <c r="AK4994">
        <v>19.975248744769701</v>
      </c>
      <c r="AL4994">
        <v>91.092783826313706</v>
      </c>
      <c r="AM4994">
        <v>97.199581707112799</v>
      </c>
      <c r="AN4994">
        <v>1.0000000279021899</v>
      </c>
    </row>
    <row r="4995" spans="1:40" x14ac:dyDescent="0.3">
      <c r="A4995" t="str">
        <f>"20200111160602560"</f>
        <v>20200111160602560</v>
      </c>
      <c r="B4995" t="str">
        <f>"1578729962556849"</f>
        <v>1578729962556849</v>
      </c>
      <c r="C4995" t="s">
        <v>40</v>
      </c>
      <c r="D4995">
        <v>5.8806520000000004</v>
      </c>
      <c r="E4995">
        <v>0.46967160000000002</v>
      </c>
      <c r="F4995" t="s">
        <v>87</v>
      </c>
      <c r="G4995">
        <v>-378.17349999999999</v>
      </c>
      <c r="H4995" s="1">
        <v>-1.7656089999999999E-6</v>
      </c>
      <c r="I4995">
        <v>23.080559999999998</v>
      </c>
      <c r="J4995">
        <v>-397.95740000000001</v>
      </c>
      <c r="K4995">
        <v>1.1122449999999999</v>
      </c>
      <c r="L4995">
        <v>19.737120000000001</v>
      </c>
      <c r="M4995">
        <v>0.98418570000000005</v>
      </c>
      <c r="N4995">
        <v>0</v>
      </c>
      <c r="O4995">
        <v>-0.1766953</v>
      </c>
      <c r="P4995">
        <v>0.99813719999999995</v>
      </c>
      <c r="Q4995">
        <v>-3.107944E-2</v>
      </c>
      <c r="R4995">
        <v>-5.2500049999999999E-2</v>
      </c>
      <c r="S4995">
        <v>3.0284119999999999</v>
      </c>
      <c r="T4995">
        <v>-0.16935999999999901</v>
      </c>
      <c r="U4995">
        <v>0.50668329999999995</v>
      </c>
      <c r="V4995">
        <v>-0.12462760000000001</v>
      </c>
      <c r="W4995">
        <v>-1.9158080000000001E-2</v>
      </c>
      <c r="X4995">
        <v>0.99201859999999997</v>
      </c>
      <c r="Y4995">
        <v>-0.33592319999999998</v>
      </c>
      <c r="Z4995">
        <v>1.9124909999999998E-2</v>
      </c>
      <c r="AA4995">
        <v>0.94169519999999995</v>
      </c>
      <c r="AB4995">
        <v>16</v>
      </c>
      <c r="AC4995">
        <v>19.783899999999999</v>
      </c>
      <c r="AD4995">
        <v>-1.112246765609</v>
      </c>
      <c r="AE4995">
        <v>3.3434400000000002</v>
      </c>
      <c r="AF4995">
        <v>-6.7660303667925001</v>
      </c>
      <c r="AG4995">
        <v>-1.112246765609</v>
      </c>
      <c r="AH4995">
        <v>18.823902237111</v>
      </c>
      <c r="AI4995">
        <v>93.182603240130902</v>
      </c>
      <c r="AJ4995">
        <v>109.770377767277</v>
      </c>
      <c r="AK4995">
        <v>20.033860217748298</v>
      </c>
      <c r="AL4995">
        <v>91.097744300347799</v>
      </c>
      <c r="AM4995">
        <v>97.160571845949207</v>
      </c>
      <c r="AN4995">
        <v>0.99999998672850299</v>
      </c>
    </row>
    <row r="4996" spans="1:40" x14ac:dyDescent="0.3">
      <c r="A4996" t="str">
        <f>"20200111160602577"</f>
        <v>20200111160602577</v>
      </c>
      <c r="B4996" t="str">
        <f>"1578729962567584"</f>
        <v>1578729962567584</v>
      </c>
      <c r="C4996" t="s">
        <v>40</v>
      </c>
      <c r="D4996">
        <v>5.8698870000000003</v>
      </c>
      <c r="E4996">
        <v>0.47004980000000002</v>
      </c>
      <c r="F4996" t="s">
        <v>83</v>
      </c>
      <c r="G4996">
        <v>-389.137</v>
      </c>
      <c r="H4996" s="1">
        <v>-5.1763690000000005E-7</v>
      </c>
      <c r="I4996">
        <v>20.026859999999999</v>
      </c>
      <c r="J4996">
        <v>-397.84710000000001</v>
      </c>
      <c r="K4996">
        <v>1.112239</v>
      </c>
      <c r="L4996">
        <v>19.720790000000001</v>
      </c>
      <c r="M4996">
        <v>0.98470650000000004</v>
      </c>
      <c r="N4996">
        <v>0</v>
      </c>
      <c r="O4996">
        <v>-0.17377500000000001</v>
      </c>
      <c r="P4996">
        <v>0.99823059999999997</v>
      </c>
      <c r="Q4996">
        <v>-3.0852750000000002E-2</v>
      </c>
      <c r="R4996">
        <v>-5.0832809999999999E-2</v>
      </c>
      <c r="S4996">
        <v>2.998993</v>
      </c>
      <c r="T4996">
        <v>-0.3781677</v>
      </c>
      <c r="U4996">
        <v>9.8510739999999999E-2</v>
      </c>
      <c r="V4996">
        <v>-0.1233431</v>
      </c>
      <c r="W4996">
        <v>-1.9001520000000001E-2</v>
      </c>
      <c r="X4996">
        <v>0.99218209999999996</v>
      </c>
      <c r="Y4996">
        <v>-0.2030507</v>
      </c>
      <c r="Z4996">
        <v>3.4501999999999998E-2</v>
      </c>
      <c r="AA4996">
        <v>0.97856010000000004</v>
      </c>
      <c r="AB4996">
        <v>16</v>
      </c>
      <c r="AC4996">
        <v>8.7101000000000592</v>
      </c>
      <c r="AD4996">
        <v>-1.1122395176369</v>
      </c>
      <c r="AE4996">
        <v>0.30606999999999801</v>
      </c>
      <c r="AF4996">
        <v>-1.7860402969584199</v>
      </c>
      <c r="AG4996">
        <v>-1.1122395176369</v>
      </c>
      <c r="AH4996">
        <v>8.3877638418163301</v>
      </c>
      <c r="AI4996">
        <v>97.389725364756004</v>
      </c>
      <c r="AJ4996">
        <v>102.020690466199</v>
      </c>
      <c r="AK4996">
        <v>8.6476354544484497</v>
      </c>
      <c r="AL4996">
        <v>91.088772481056296</v>
      </c>
      <c r="AM4996">
        <v>97.086368286853101</v>
      </c>
      <c r="AN4996">
        <v>0.99999994882016296</v>
      </c>
    </row>
    <row r="4997" spans="1:40" x14ac:dyDescent="0.3">
      <c r="A4997" t="str">
        <f>"20200111160602591"</f>
        <v>20200111160602591</v>
      </c>
      <c r="B4997" t="str">
        <f>"1578729962587104"</f>
        <v>1578729962587104</v>
      </c>
      <c r="C4997" t="s">
        <v>40</v>
      </c>
      <c r="D4997">
        <v>6.0227659999999998</v>
      </c>
      <c r="E4997">
        <v>0.4709024</v>
      </c>
      <c r="F4997" t="s">
        <v>83</v>
      </c>
      <c r="G4997">
        <v>-388.9169</v>
      </c>
      <c r="H4997" s="1">
        <v>-6.1969380000000003E-7</v>
      </c>
      <c r="I4997">
        <v>20.01951</v>
      </c>
      <c r="J4997">
        <v>-397.76150000000001</v>
      </c>
      <c r="K4997">
        <v>1.1122350000000001</v>
      </c>
      <c r="L4997">
        <v>19.708310000000001</v>
      </c>
      <c r="M4997">
        <v>0.98510149999999996</v>
      </c>
      <c r="N4997">
        <v>0</v>
      </c>
      <c r="O4997">
        <v>-0.17152579999999901</v>
      </c>
      <c r="P4997">
        <v>0.99831300000000001</v>
      </c>
      <c r="Q4997">
        <v>-3.0953029999999999E-2</v>
      </c>
      <c r="R4997">
        <v>-4.9123920000000001E-2</v>
      </c>
      <c r="S4997">
        <v>2.9988709999999998</v>
      </c>
      <c r="T4997">
        <v>-0.37350430000000001</v>
      </c>
      <c r="U4997">
        <v>0.10031130000000001</v>
      </c>
      <c r="V4997">
        <v>-0.12277449999999999</v>
      </c>
      <c r="W4997">
        <v>-1.9155109999999999E-2</v>
      </c>
      <c r="X4997">
        <v>0.99224970000000001</v>
      </c>
      <c r="Y4997">
        <v>-0.2015053</v>
      </c>
      <c r="Z4997">
        <v>3.3709099999999999E-2</v>
      </c>
      <c r="AA4997">
        <v>0.97890719999999998</v>
      </c>
      <c r="AB4997">
        <v>16</v>
      </c>
      <c r="AC4997">
        <v>8.8446000000000105</v>
      </c>
      <c r="AD4997">
        <v>-1.1122356196937999</v>
      </c>
      <c r="AE4997">
        <v>0.31119999999999898</v>
      </c>
      <c r="AF4997">
        <v>-1.7954236279112501</v>
      </c>
      <c r="AG4997">
        <v>-1.1122356196937999</v>
      </c>
      <c r="AH4997">
        <v>8.5254629069578503</v>
      </c>
      <c r="AI4997">
        <v>97.275043250459504</v>
      </c>
      <c r="AJ4997">
        <v>101.89245052811999</v>
      </c>
      <c r="AK4997">
        <v>8.7831732224345807</v>
      </c>
      <c r="AL4997">
        <v>91.097574106255905</v>
      </c>
      <c r="AM4997">
        <v>97.0535549215532</v>
      </c>
      <c r="AN4997">
        <v>0.99999998161972503</v>
      </c>
    </row>
    <row r="4998" spans="1:40" x14ac:dyDescent="0.3">
      <c r="A4998" t="str">
        <f>"20200111160602602"</f>
        <v>20200111160602602</v>
      </c>
      <c r="B4998" t="str">
        <f>"1578729962596865"</f>
        <v>1578729962596865</v>
      </c>
      <c r="C4998" t="s">
        <v>40</v>
      </c>
      <c r="D4998">
        <v>5.8393129999999998</v>
      </c>
      <c r="E4998">
        <v>0.47102139999999998</v>
      </c>
      <c r="F4998" t="s">
        <v>83</v>
      </c>
      <c r="G4998">
        <v>-388.98070000000001</v>
      </c>
      <c r="H4998" s="1">
        <v>-5.8392939999999996E-7</v>
      </c>
      <c r="I4998">
        <v>19.998419999999999</v>
      </c>
      <c r="J4998">
        <v>-397.66419999999999</v>
      </c>
      <c r="K4998">
        <v>1.112236</v>
      </c>
      <c r="L4998">
        <v>19.694369999999999</v>
      </c>
      <c r="M4998">
        <v>0.98553979999999997</v>
      </c>
      <c r="N4998">
        <v>0</v>
      </c>
      <c r="O4998">
        <v>-0.1689937</v>
      </c>
      <c r="P4998">
        <v>0.99841120000000005</v>
      </c>
      <c r="Q4998">
        <v>-3.0656940000000001E-2</v>
      </c>
      <c r="R4998">
        <v>-4.7281740000000003E-2</v>
      </c>
      <c r="S4998">
        <v>2.9981990000000001</v>
      </c>
      <c r="T4998">
        <v>-0.3797739</v>
      </c>
      <c r="U4998">
        <v>9.9060060000000005E-2</v>
      </c>
      <c r="V4998">
        <v>-0.12205770000000001</v>
      </c>
      <c r="W4998">
        <v>-1.8908950000000001E-2</v>
      </c>
      <c r="X4998">
        <v>0.99234290000000003</v>
      </c>
      <c r="Y4998">
        <v>-0.1985333</v>
      </c>
      <c r="Z4998">
        <v>3.3774419999999999E-2</v>
      </c>
      <c r="AA4998">
        <v>0.97951200000000005</v>
      </c>
      <c r="AB4998">
        <v>16</v>
      </c>
      <c r="AC4998">
        <v>8.6834999999999791</v>
      </c>
      <c r="AD4998">
        <v>-1.1122365839293999</v>
      </c>
      <c r="AE4998">
        <v>0.30404999999999599</v>
      </c>
      <c r="AF4998">
        <v>-1.73875367267547</v>
      </c>
      <c r="AG4998">
        <v>-1.1122365839293999</v>
      </c>
      <c r="AH4998">
        <v>8.3700492114613692</v>
      </c>
      <c r="AI4998">
        <v>97.412844723176406</v>
      </c>
      <c r="AJ4998">
        <v>101.735438915548</v>
      </c>
      <c r="AK4998">
        <v>8.6207922115753597</v>
      </c>
      <c r="AL4998">
        <v>91.083467568486498</v>
      </c>
      <c r="AM4998">
        <v>97.012132989403298</v>
      </c>
      <c r="AN4998">
        <v>1.0000000308499</v>
      </c>
    </row>
    <row r="4999" spans="1:40" x14ac:dyDescent="0.3">
      <c r="A4999" t="str">
        <f>"20200111160602622"</f>
        <v>20200111160602622</v>
      </c>
      <c r="B4999" t="str">
        <f>"1578729962617361"</f>
        <v>1578729962617361</v>
      </c>
      <c r="C4999" t="s">
        <v>40</v>
      </c>
      <c r="D4999">
        <v>5.8540140000000003</v>
      </c>
      <c r="E4999">
        <v>0.4721535</v>
      </c>
      <c r="F4999" t="s">
        <v>83</v>
      </c>
      <c r="G4999">
        <v>-388.85759999999999</v>
      </c>
      <c r="H4999" s="1">
        <v>-6.422057E-7</v>
      </c>
      <c r="I4999">
        <v>19.99879</v>
      </c>
      <c r="J4999">
        <v>-397.53710000000001</v>
      </c>
      <c r="K4999">
        <v>1.112244</v>
      </c>
      <c r="L4999">
        <v>19.67661</v>
      </c>
      <c r="M4999">
        <v>0.986097</v>
      </c>
      <c r="N4999">
        <v>0</v>
      </c>
      <c r="O4999">
        <v>-0.165713</v>
      </c>
      <c r="P4999">
        <v>0.99848539999999997</v>
      </c>
      <c r="Q4999">
        <v>-3.0916010000000001E-2</v>
      </c>
      <c r="R4999">
        <v>-4.5510389999999998E-2</v>
      </c>
      <c r="S4999">
        <v>2.9980470000000001</v>
      </c>
      <c r="T4999">
        <v>-0.37864330000000002</v>
      </c>
      <c r="U4999">
        <v>0.1036377</v>
      </c>
      <c r="V4999">
        <v>-0.12051389999999999</v>
      </c>
      <c r="W4999">
        <v>-1.919179E-2</v>
      </c>
      <c r="X4999">
        <v>0.99252609999999997</v>
      </c>
      <c r="Y4999">
        <v>-0.1968251</v>
      </c>
      <c r="Z4999">
        <v>3.316003E-2</v>
      </c>
      <c r="AA4999">
        <v>0.97987769999999996</v>
      </c>
      <c r="AB4999">
        <v>16</v>
      </c>
      <c r="AC4999">
        <v>8.6795000000000098</v>
      </c>
      <c r="AD4999">
        <v>-1.1122446422057</v>
      </c>
      <c r="AE4999">
        <v>0.32217999999999902</v>
      </c>
      <c r="AF4999">
        <v>-1.72780608323993</v>
      </c>
      <c r="AG4999">
        <v>-1.1122446422057</v>
      </c>
      <c r="AH4999">
        <v>8.3688461886986794</v>
      </c>
      <c r="AI4999">
        <v>97.415812821774395</v>
      </c>
      <c r="AJ4999">
        <v>101.66521119351</v>
      </c>
      <c r="AK4999">
        <v>8.61742354393078</v>
      </c>
      <c r="AL4999">
        <v>91.099676090432695</v>
      </c>
      <c r="AM4999">
        <v>96.923043503249005</v>
      </c>
      <c r="AN4999">
        <v>0.99999999203891199</v>
      </c>
    </row>
    <row r="5000" spans="1:40" x14ac:dyDescent="0.3">
      <c r="A5000" t="str">
        <f>"20200111160602635"</f>
        <v>20200111160602635</v>
      </c>
      <c r="B5000" t="str">
        <f>"1578729962627121"</f>
        <v>1578729962627121</v>
      </c>
      <c r="C5000" t="s">
        <v>40</v>
      </c>
      <c r="D5000">
        <v>5.8825609999999999</v>
      </c>
      <c r="E5000">
        <v>0.4723079</v>
      </c>
      <c r="F5000" t="s">
        <v>83</v>
      </c>
      <c r="G5000">
        <v>-388.51089999999999</v>
      </c>
      <c r="H5000" s="1">
        <v>-8.0023390000000003E-7</v>
      </c>
      <c r="I5000">
        <v>19.97663</v>
      </c>
      <c r="J5000">
        <v>-397.44330000000002</v>
      </c>
      <c r="K5000">
        <v>1.1122430000000001</v>
      </c>
      <c r="L5000">
        <v>19.663820000000001</v>
      </c>
      <c r="M5000">
        <v>0.98650070000000001</v>
      </c>
      <c r="N5000">
        <v>0</v>
      </c>
      <c r="O5000">
        <v>-0.1632942</v>
      </c>
      <c r="P5000">
        <v>0.99854589999999999</v>
      </c>
      <c r="Q5000">
        <v>-3.1027840000000001E-2</v>
      </c>
      <c r="R5000">
        <v>-4.4085989999999999E-2</v>
      </c>
      <c r="S5000">
        <v>2.9976500000000001</v>
      </c>
      <c r="T5000">
        <v>-0.36938070000000001</v>
      </c>
      <c r="U5000">
        <v>9.9639889999999995E-2</v>
      </c>
      <c r="V5000">
        <v>-0.11949460000000001</v>
      </c>
      <c r="W5000">
        <v>-1.9310979999999998E-2</v>
      </c>
      <c r="X5000">
        <v>0.9926471</v>
      </c>
      <c r="Y5000">
        <v>-0.1933019</v>
      </c>
      <c r="Z5000">
        <v>3.1849049999999997E-2</v>
      </c>
      <c r="AA5000">
        <v>0.9806222</v>
      </c>
      <c r="AB5000">
        <v>16</v>
      </c>
      <c r="AC5000">
        <v>8.9324000000000296</v>
      </c>
      <c r="AD5000">
        <v>-1.1122438002338999</v>
      </c>
      <c r="AE5000">
        <v>0.31280999999999798</v>
      </c>
      <c r="AF5000">
        <v>-1.74037914171449</v>
      </c>
      <c r="AG5000">
        <v>-1.1122438002338999</v>
      </c>
      <c r="AH5000">
        <v>8.6277943397541996</v>
      </c>
      <c r="AI5000">
        <v>97.202217417167702</v>
      </c>
      <c r="AJ5000">
        <v>101.404534819011</v>
      </c>
      <c r="AK5000">
        <v>8.8715748882128196</v>
      </c>
      <c r="AL5000">
        <v>91.106506354832305</v>
      </c>
      <c r="AM5000">
        <v>96.864221097894401</v>
      </c>
      <c r="AN5000">
        <v>1.00000006925806</v>
      </c>
    </row>
    <row r="5001" spans="1:40" x14ac:dyDescent="0.3">
      <c r="A5001" t="str">
        <f>"20200111160602647"</f>
        <v>20200111160602647</v>
      </c>
      <c r="B5001" t="str">
        <f>"1578729962636880"</f>
        <v>1578729962636880</v>
      </c>
      <c r="C5001" t="s">
        <v>40</v>
      </c>
      <c r="D5001">
        <v>5.9807119999999996</v>
      </c>
      <c r="E5001">
        <v>0.47238439999999998</v>
      </c>
      <c r="F5001" t="s">
        <v>83</v>
      </c>
      <c r="G5001">
        <v>-388.33460000000002</v>
      </c>
      <c r="H5001" s="1">
        <v>-8.8331589999999995E-7</v>
      </c>
      <c r="I5001">
        <v>19.975770000000001</v>
      </c>
      <c r="J5001">
        <v>-397.3596</v>
      </c>
      <c r="K5001">
        <v>1.112241</v>
      </c>
      <c r="L5001">
        <v>19.6525</v>
      </c>
      <c r="M5001">
        <v>0.98685579999999995</v>
      </c>
      <c r="N5001">
        <v>0</v>
      </c>
      <c r="O5001">
        <v>-0.1611349</v>
      </c>
      <c r="P5001">
        <v>0.99859520000000002</v>
      </c>
      <c r="Q5001">
        <v>-3.1157310000000001E-2</v>
      </c>
      <c r="R5001">
        <v>-4.2859639999999997E-2</v>
      </c>
      <c r="S5001">
        <v>2.9975589999999999</v>
      </c>
      <c r="T5001">
        <v>-0.36602750000000001</v>
      </c>
      <c r="U5001">
        <v>0.10266110000000001</v>
      </c>
      <c r="V5001">
        <v>-0.11854049999999999</v>
      </c>
      <c r="W5001">
        <v>-1.94462E-2</v>
      </c>
      <c r="X5001">
        <v>0.99275880000000005</v>
      </c>
      <c r="Y5001">
        <v>-0.1922161</v>
      </c>
      <c r="Z5001">
        <v>3.1236529999999998E-2</v>
      </c>
      <c r="AA5001">
        <v>0.98085529999999999</v>
      </c>
      <c r="AB5001">
        <v>16</v>
      </c>
      <c r="AC5001">
        <v>9.0249999999999702</v>
      </c>
      <c r="AD5001">
        <v>-1.1122418833159</v>
      </c>
      <c r="AE5001">
        <v>0.32327</v>
      </c>
      <c r="AF5001">
        <v>-1.7468992768236999</v>
      </c>
      <c r="AG5001">
        <v>-1.1122418833159</v>
      </c>
      <c r="AH5001">
        <v>8.72264206957305</v>
      </c>
      <c r="AI5001">
        <v>97.126669429975095</v>
      </c>
      <c r="AJ5001">
        <v>101.32490603079999</v>
      </c>
      <c r="AK5001">
        <v>8.9651114752832193</v>
      </c>
      <c r="AL5001">
        <v>91.114255399729601</v>
      </c>
      <c r="AM5001">
        <v>96.809171712989695</v>
      </c>
      <c r="AN5001">
        <v>1.0000000199060599</v>
      </c>
    </row>
    <row r="5002" spans="1:40" x14ac:dyDescent="0.3">
      <c r="A5002" t="str">
        <f>"20200111160602667"</f>
        <v>20200111160602667</v>
      </c>
      <c r="B5002" t="str">
        <f>"1578729962657376"</f>
        <v>1578729962657376</v>
      </c>
      <c r="C5002" t="s">
        <v>40</v>
      </c>
      <c r="D5002">
        <v>5.9142619999999999</v>
      </c>
      <c r="E5002">
        <v>0.47263460000000002</v>
      </c>
      <c r="F5002" t="s">
        <v>83</v>
      </c>
      <c r="G5002">
        <v>-388.14069999999998</v>
      </c>
      <c r="H5002" s="1">
        <v>-9.7530559999999999E-7</v>
      </c>
      <c r="I5002">
        <v>19.977049999999998</v>
      </c>
      <c r="J5002">
        <v>-397.22500000000002</v>
      </c>
      <c r="K5002">
        <v>1.112233</v>
      </c>
      <c r="L5002">
        <v>19.634740000000001</v>
      </c>
      <c r="M5002">
        <v>0.98741639999999997</v>
      </c>
      <c r="N5002">
        <v>0</v>
      </c>
      <c r="O5002">
        <v>-0.15766459999999999</v>
      </c>
      <c r="P5002">
        <v>0.99866500000000002</v>
      </c>
      <c r="Q5002">
        <v>-3.114395E-2</v>
      </c>
      <c r="R5002">
        <v>-4.12106E-2</v>
      </c>
      <c r="S5002">
        <v>2.9974669999999999</v>
      </c>
      <c r="T5002">
        <v>-0.3616415</v>
      </c>
      <c r="U5002">
        <v>0.10552980000000001</v>
      </c>
      <c r="V5002">
        <v>-0.11669069999999999</v>
      </c>
      <c r="W5002">
        <v>-1.9444630000000001E-2</v>
      </c>
      <c r="X5002">
        <v>0.99297789999999997</v>
      </c>
      <c r="Y5002">
        <v>-0.18981010000000001</v>
      </c>
      <c r="Z5002">
        <v>3.0307589999999999E-2</v>
      </c>
      <c r="AA5002">
        <v>0.98135289999999997</v>
      </c>
      <c r="AB5002">
        <v>16</v>
      </c>
      <c r="AC5002">
        <v>9.0843000000000398</v>
      </c>
      <c r="AD5002">
        <v>-1.1122339753056001</v>
      </c>
      <c r="AE5002">
        <v>0.34230999999999701</v>
      </c>
      <c r="AF5002">
        <v>-1.7442980428396999</v>
      </c>
      <c r="AG5002">
        <v>-1.1122339753056001</v>
      </c>
      <c r="AH5002">
        <v>8.7851831312291004</v>
      </c>
      <c r="AI5002">
        <v>97.078715006674102</v>
      </c>
      <c r="AJ5002">
        <v>101.230026279825</v>
      </c>
      <c r="AK5002">
        <v>9.0254685599868392</v>
      </c>
      <c r="AL5002">
        <v>91.114165493433205</v>
      </c>
      <c r="AM5002">
        <v>96.702424917882595</v>
      </c>
      <c r="AN5002">
        <v>0.99999996149536696</v>
      </c>
    </row>
    <row r="5003" spans="1:40" x14ac:dyDescent="0.3">
      <c r="A5003" t="str">
        <f>"20200111160602678"</f>
        <v>20200111160602678</v>
      </c>
      <c r="B5003" t="str">
        <f>"1578729962667137"</f>
        <v>1578729962667137</v>
      </c>
      <c r="C5003" t="s">
        <v>40</v>
      </c>
      <c r="D5003">
        <v>5.8264699999999996</v>
      </c>
      <c r="E5003">
        <v>0.47267900000000002</v>
      </c>
      <c r="F5003" t="s">
        <v>83</v>
      </c>
      <c r="G5003">
        <v>-387.88049999999998</v>
      </c>
      <c r="H5003" s="1">
        <v>-1.097097E-6</v>
      </c>
      <c r="I5003">
        <v>19.972390000000001</v>
      </c>
      <c r="J5003">
        <v>-397.1404</v>
      </c>
      <c r="K5003">
        <v>1.112228</v>
      </c>
      <c r="L5003">
        <v>19.623840000000001</v>
      </c>
      <c r="M5003">
        <v>0.98776240000000004</v>
      </c>
      <c r="N5003">
        <v>0</v>
      </c>
      <c r="O5003">
        <v>-0.15548509999999999</v>
      </c>
      <c r="P5003">
        <v>0.99873940000000005</v>
      </c>
      <c r="Q5003">
        <v>-3.0653260000000002E-2</v>
      </c>
      <c r="R5003">
        <v>-3.9756E-2</v>
      </c>
      <c r="S5003">
        <v>2.9973450000000001</v>
      </c>
      <c r="T5003">
        <v>-0.35675899999999999</v>
      </c>
      <c r="U5003">
        <v>0.1083069</v>
      </c>
      <c r="V5003">
        <v>-0.11595080000000001</v>
      </c>
      <c r="W5003">
        <v>-1.8966549999999999E-2</v>
      </c>
      <c r="X5003">
        <v>0.99307389999999995</v>
      </c>
      <c r="Y5003">
        <v>-0.18864410000000001</v>
      </c>
      <c r="Z5003">
        <v>2.9576849999999998E-2</v>
      </c>
      <c r="AA5003">
        <v>0.98160000000000003</v>
      </c>
      <c r="AB5003">
        <v>16</v>
      </c>
      <c r="AC5003">
        <v>9.2599000000000107</v>
      </c>
      <c r="AD5003">
        <v>-1.1122290970969999</v>
      </c>
      <c r="AE5003">
        <v>0.34855000000000202</v>
      </c>
      <c r="AF5003">
        <v>-1.7588556234712101</v>
      </c>
      <c r="AG5003">
        <v>-1.1122290970969999</v>
      </c>
      <c r="AH5003">
        <v>8.9639283357637094</v>
      </c>
      <c r="AI5003">
        <v>96.941970696609502</v>
      </c>
      <c r="AJ5003">
        <v>101.10124822938199</v>
      </c>
      <c r="AK5003">
        <v>9.2023169841813797</v>
      </c>
      <c r="AL5003">
        <v>91.086768382457706</v>
      </c>
      <c r="AM5003">
        <v>96.659671838786807</v>
      </c>
      <c r="AN5003">
        <v>1.0000000444503701</v>
      </c>
    </row>
    <row r="5004" spans="1:40" x14ac:dyDescent="0.3">
      <c r="A5004" t="str">
        <f>"20200111160602691"</f>
        <v>20200111160602691</v>
      </c>
      <c r="B5004" t="str">
        <f>"1578729962687633"</f>
        <v>1578729962687633</v>
      </c>
      <c r="C5004" t="s">
        <v>40</v>
      </c>
      <c r="D5004">
        <v>6.0641970000000001</v>
      </c>
      <c r="E5004">
        <v>0.47335959999999999</v>
      </c>
      <c r="F5004" t="s">
        <v>83</v>
      </c>
      <c r="G5004">
        <v>-387.69720000000001</v>
      </c>
      <c r="H5004" s="1">
        <v>-1.1850749999999901E-6</v>
      </c>
      <c r="I5004">
        <v>19.977460000000001</v>
      </c>
      <c r="J5004">
        <v>-397.06</v>
      </c>
      <c r="K5004">
        <v>1.1122240000000001</v>
      </c>
      <c r="L5004">
        <v>19.613620000000001</v>
      </c>
      <c r="M5004">
        <v>0.98808560000000001</v>
      </c>
      <c r="N5004">
        <v>0</v>
      </c>
      <c r="O5004">
        <v>-0.1534189</v>
      </c>
      <c r="P5004">
        <v>0.99879770000000001</v>
      </c>
      <c r="Q5004">
        <v>-3.022331E-2</v>
      </c>
      <c r="R5004">
        <v>-3.8597949999999999E-2</v>
      </c>
      <c r="S5004">
        <v>2.9973749999999999</v>
      </c>
      <c r="T5004">
        <v>-0.35303230000000002</v>
      </c>
      <c r="U5004">
        <v>0.1122437</v>
      </c>
      <c r="V5004">
        <v>-0.1150296</v>
      </c>
      <c r="W5004">
        <v>-1.8546150000000001E-2</v>
      </c>
      <c r="X5004">
        <v>0.99318890000000004</v>
      </c>
      <c r="Y5004">
        <v>-0.18794749999999999</v>
      </c>
      <c r="Z5004">
        <v>2.8988050000000001E-2</v>
      </c>
      <c r="AA5004">
        <v>0.98175120000000005</v>
      </c>
      <c r="AB5004">
        <v>16</v>
      </c>
      <c r="AC5004">
        <v>9.3627999999999894</v>
      </c>
      <c r="AD5004">
        <v>-1.11222518507499</v>
      </c>
      <c r="AE5004">
        <v>0.363839999999999</v>
      </c>
      <c r="AF5004">
        <v>-1.77111435288636</v>
      </c>
      <c r="AG5004">
        <v>-1.11222518507499</v>
      </c>
      <c r="AH5004">
        <v>9.0683401481183399</v>
      </c>
      <c r="AI5004">
        <v>96.863947356762296</v>
      </c>
      <c r="AJ5004">
        <v>101.051178088469</v>
      </c>
      <c r="AK5004">
        <v>9.3063786703147997</v>
      </c>
      <c r="AL5004">
        <v>91.062677068278305</v>
      </c>
      <c r="AM5004">
        <v>96.606473806973497</v>
      </c>
      <c r="AN5004">
        <v>0.99999997981959599</v>
      </c>
    </row>
    <row r="5005" spans="1:40" x14ac:dyDescent="0.3">
      <c r="A5005" t="str">
        <f>"20200111160602710"</f>
        <v>20200111160602710</v>
      </c>
      <c r="B5005" t="str">
        <f>"1578729962707057"</f>
        <v>1578729962707057</v>
      </c>
      <c r="C5005" t="s">
        <v>40</v>
      </c>
      <c r="D5005">
        <v>6.2371549999999996</v>
      </c>
      <c r="E5005">
        <v>0.47347660000000003</v>
      </c>
      <c r="F5005" t="s">
        <v>83</v>
      </c>
      <c r="G5005">
        <v>-387.50240000000002</v>
      </c>
      <c r="H5005" s="1">
        <v>-1.2738030000000001E-6</v>
      </c>
      <c r="I5005">
        <v>19.96491</v>
      </c>
      <c r="J5005">
        <v>-396.9194</v>
      </c>
      <c r="K5005">
        <v>1.112209</v>
      </c>
      <c r="L5005">
        <v>19.596160000000001</v>
      </c>
      <c r="M5005">
        <v>0.98863719999999999</v>
      </c>
      <c r="N5005">
        <v>0</v>
      </c>
      <c r="O5005">
        <v>-0.1498245</v>
      </c>
      <c r="P5005">
        <v>0.99888869999999996</v>
      </c>
      <c r="Q5005">
        <v>-2.972383E-2</v>
      </c>
      <c r="R5005">
        <v>-3.6581740000000001E-2</v>
      </c>
      <c r="S5005">
        <v>2.9973450000000001</v>
      </c>
      <c r="T5005">
        <v>-0.34880460000000002</v>
      </c>
      <c r="U5005">
        <v>0.1101685</v>
      </c>
      <c r="V5005">
        <v>-0.113428399999999</v>
      </c>
      <c r="W5005">
        <v>-1.8059080000000002E-2</v>
      </c>
      <c r="X5005">
        <v>0.99338199999999999</v>
      </c>
      <c r="Y5005">
        <v>-0.18380469999999999</v>
      </c>
      <c r="Z5005">
        <v>2.7989839999999998E-2</v>
      </c>
      <c r="AA5005">
        <v>0.9825642</v>
      </c>
      <c r="AB5005">
        <v>16</v>
      </c>
      <c r="AC5005">
        <v>9.4169999999999696</v>
      </c>
      <c r="AD5005">
        <v>-1.112210273803</v>
      </c>
      <c r="AE5005">
        <v>0.36874999999999802</v>
      </c>
      <c r="AF5005">
        <v>-1.7511992702268899</v>
      </c>
      <c r="AG5005">
        <v>-1.112210273803</v>
      </c>
      <c r="AH5005">
        <v>9.1283014042091803</v>
      </c>
      <c r="AI5005">
        <v>96.8235634536167</v>
      </c>
      <c r="AJ5005">
        <v>100.859840653791</v>
      </c>
      <c r="AK5005">
        <v>9.3610681603801709</v>
      </c>
      <c r="AL5005">
        <v>91.034765351926197</v>
      </c>
      <c r="AM5005">
        <v>96.514052992258698</v>
      </c>
      <c r="AN5005">
        <v>0.99999996511050204</v>
      </c>
    </row>
    <row r="5006" spans="1:40" x14ac:dyDescent="0.3">
      <c r="A5006" t="str">
        <f>"20200111160602723"</f>
        <v>20200111160602723</v>
      </c>
      <c r="B5006" t="str">
        <f>"1578729962716815"</f>
        <v>1578729962716815</v>
      </c>
      <c r="C5006" t="s">
        <v>40</v>
      </c>
      <c r="D5006">
        <v>5.8637860000000002</v>
      </c>
      <c r="E5006">
        <v>0.47360649999999999</v>
      </c>
      <c r="F5006" t="s">
        <v>83</v>
      </c>
      <c r="G5006">
        <v>-387.25279999999998</v>
      </c>
      <c r="H5006" s="1">
        <v>-1.3928499999999999E-6</v>
      </c>
      <c r="I5006">
        <v>19.968879999999999</v>
      </c>
      <c r="J5006">
        <v>-396.83100000000002</v>
      </c>
      <c r="K5006">
        <v>1.1121970000000001</v>
      </c>
      <c r="L5006">
        <v>19.585360000000001</v>
      </c>
      <c r="M5006">
        <v>0.9889753</v>
      </c>
      <c r="N5006">
        <v>0</v>
      </c>
      <c r="O5006">
        <v>-0.1475774</v>
      </c>
      <c r="P5006">
        <v>0.99894749999999999</v>
      </c>
      <c r="Q5006">
        <v>-2.9655379999999999E-2</v>
      </c>
      <c r="R5006">
        <v>-3.4993679999999999E-2</v>
      </c>
      <c r="S5006">
        <v>2.9973139999999998</v>
      </c>
      <c r="T5006">
        <v>-0.34486420000000001</v>
      </c>
      <c r="U5006">
        <v>0.1155701</v>
      </c>
      <c r="V5006">
        <v>-0.11275110000000001</v>
      </c>
      <c r="W5006">
        <v>-1.7996910000000001E-2</v>
      </c>
      <c r="X5006">
        <v>0.99346020000000002</v>
      </c>
      <c r="Y5006">
        <v>-0.18340790000000001</v>
      </c>
      <c r="Z5006">
        <v>2.7397109999999999E-2</v>
      </c>
      <c r="AA5006">
        <v>0.98265499999999995</v>
      </c>
      <c r="AB5006">
        <v>16</v>
      </c>
      <c r="AC5006">
        <v>9.5781999999999794</v>
      </c>
      <c r="AD5006">
        <v>-1.1121983928500001</v>
      </c>
      <c r="AE5006">
        <v>0.38351999999999697</v>
      </c>
      <c r="AF5006">
        <v>-1.7691354014199201</v>
      </c>
      <c r="AG5006">
        <v>-1.1121983928500001</v>
      </c>
      <c r="AH5006">
        <v>9.29162344913372</v>
      </c>
      <c r="AI5006">
        <v>96.706420284070106</v>
      </c>
      <c r="AJ5006">
        <v>100.780146524597</v>
      </c>
      <c r="AK5006">
        <v>9.5237120732468092</v>
      </c>
      <c r="AL5006">
        <v>91.031202726122203</v>
      </c>
      <c r="AM5006">
        <v>96.474982457153004</v>
      </c>
      <c r="AN5006">
        <v>0.99999993415239596</v>
      </c>
    </row>
    <row r="5007" spans="1:40" x14ac:dyDescent="0.3">
      <c r="A5007" t="str">
        <f>"20200111160602736"</f>
        <v>20200111160602736</v>
      </c>
      <c r="B5007" t="str">
        <f>"1578729962727551"</f>
        <v>1578729962727551</v>
      </c>
      <c r="C5007" t="s">
        <v>40</v>
      </c>
      <c r="D5007">
        <v>5.8543529999999997</v>
      </c>
      <c r="E5007">
        <v>0.47360649999999999</v>
      </c>
      <c r="F5007" t="s">
        <v>83</v>
      </c>
      <c r="G5007">
        <v>-387.11219999999997</v>
      </c>
      <c r="H5007" s="1">
        <v>-1.4601410000000001E-6</v>
      </c>
      <c r="I5007">
        <v>19.971889999999998</v>
      </c>
      <c r="J5007">
        <v>-396.74470000000002</v>
      </c>
      <c r="K5007">
        <v>1.112185</v>
      </c>
      <c r="L5007">
        <v>19.575130000000001</v>
      </c>
      <c r="M5007">
        <v>0.98929769999999995</v>
      </c>
      <c r="N5007">
        <v>0</v>
      </c>
      <c r="O5007">
        <v>-0.14540139999999999</v>
      </c>
      <c r="P5007">
        <v>0.99899720000000003</v>
      </c>
      <c r="Q5007">
        <v>-2.9659230000000002E-2</v>
      </c>
      <c r="R5007">
        <v>-3.3543459999999997E-2</v>
      </c>
      <c r="S5007">
        <v>2.9971619999999999</v>
      </c>
      <c r="T5007">
        <v>-0.34298800000000002</v>
      </c>
      <c r="U5007">
        <v>0.11920169999999999</v>
      </c>
      <c r="V5007">
        <v>-0.11200830000000001</v>
      </c>
      <c r="W5007">
        <v>-1.8003430000000001E-2</v>
      </c>
      <c r="X5007">
        <v>0.99354419999999999</v>
      </c>
      <c r="Y5007">
        <v>-0.18248039999999999</v>
      </c>
      <c r="Z5007">
        <v>2.69508E-2</v>
      </c>
      <c r="AA5007">
        <v>0.98284009999999999</v>
      </c>
      <c r="AB5007">
        <v>16</v>
      </c>
      <c r="AC5007">
        <v>9.63250000000005</v>
      </c>
      <c r="AD5007">
        <v>-1.1121864601410001</v>
      </c>
      <c r="AE5007">
        <v>0.39676</v>
      </c>
      <c r="AF5007">
        <v>-1.76967354336275</v>
      </c>
      <c r="AG5007">
        <v>-1.1121864601410001</v>
      </c>
      <c r="AH5007">
        <v>9.3480125352435497</v>
      </c>
      <c r="AI5007">
        <v>96.667580984436</v>
      </c>
      <c r="AJ5007">
        <v>100.719813266952</v>
      </c>
      <c r="AK5007">
        <v>9.5788329942258397</v>
      </c>
      <c r="AL5007">
        <v>91.031576256219395</v>
      </c>
      <c r="AM5007">
        <v>96.432144942711602</v>
      </c>
      <c r="AN5007">
        <v>1.0000000300571401</v>
      </c>
    </row>
    <row r="5008" spans="1:40" x14ac:dyDescent="0.3">
      <c r="A5008" t="str">
        <f>"20200111160602750"</f>
        <v>20200111160602750</v>
      </c>
      <c r="B5008" t="str">
        <f>"1578729962747071"</f>
        <v>1578729962747071</v>
      </c>
      <c r="C5008" t="s">
        <v>40</v>
      </c>
      <c r="D5008">
        <v>6.876741</v>
      </c>
      <c r="E5008">
        <v>0.47373920000000003</v>
      </c>
      <c r="F5008" t="s">
        <v>83</v>
      </c>
      <c r="G5008">
        <v>-387.02890000000002</v>
      </c>
      <c r="H5008" s="1">
        <v>-1.5004320000000001E-6</v>
      </c>
      <c r="I5008">
        <v>19.97542</v>
      </c>
      <c r="J5008">
        <v>-396.65069999999997</v>
      </c>
      <c r="K5008">
        <v>1.112174</v>
      </c>
      <c r="L5008">
        <v>19.564119999999999</v>
      </c>
      <c r="M5008">
        <v>0.98964180000000002</v>
      </c>
      <c r="N5008">
        <v>0</v>
      </c>
      <c r="O5008">
        <v>-0.1430411</v>
      </c>
      <c r="P5008">
        <v>0.99904400000000004</v>
      </c>
      <c r="Q5008">
        <v>-2.9994130000000001E-2</v>
      </c>
      <c r="R5008">
        <v>-3.1803049999999999E-2</v>
      </c>
      <c r="S5008">
        <v>2.9969790000000001</v>
      </c>
      <c r="T5008">
        <v>-0.34307120000000002</v>
      </c>
      <c r="U5008">
        <v>0.1234741</v>
      </c>
      <c r="V5008">
        <v>-0.11136699999999999</v>
      </c>
      <c r="W5008">
        <v>-1.8339600000000001E-2</v>
      </c>
      <c r="X5008">
        <v>0.99361010000000005</v>
      </c>
      <c r="Y5008">
        <v>-0.1815571</v>
      </c>
      <c r="Z5008">
        <v>2.6638470000000001E-2</v>
      </c>
      <c r="AA5008">
        <v>0.98301950000000005</v>
      </c>
      <c r="AB5008">
        <v>16</v>
      </c>
      <c r="AC5008">
        <v>9.62179999999994</v>
      </c>
      <c r="AD5008">
        <v>-1.112175500432</v>
      </c>
      <c r="AE5008">
        <v>0.411299999999997</v>
      </c>
      <c r="AF5008">
        <v>-1.7600124575043301</v>
      </c>
      <c r="AG5008">
        <v>-1.112175500432</v>
      </c>
      <c r="AH5008">
        <v>9.3394493338958</v>
      </c>
      <c r="AI5008">
        <v>96.674612470789398</v>
      </c>
      <c r="AJ5008">
        <v>100.672188500516</v>
      </c>
      <c r="AK5008">
        <v>9.56869333058272</v>
      </c>
      <c r="AL5008">
        <v>91.0508406006347</v>
      </c>
      <c r="AM5008">
        <v>96.395203248650702</v>
      </c>
      <c r="AN5008">
        <v>0.99999999021958497</v>
      </c>
    </row>
    <row r="5009" spans="1:40" x14ac:dyDescent="0.3">
      <c r="A5009" t="str">
        <f>"20200111160602767"</f>
        <v>20200111160602767</v>
      </c>
      <c r="B5009" t="str">
        <f>"1578729962756831"</f>
        <v>1578729962756831</v>
      </c>
      <c r="C5009" t="s">
        <v>40</v>
      </c>
      <c r="D5009">
        <v>6.2179659999999997</v>
      </c>
      <c r="E5009">
        <v>0.46163539999999997</v>
      </c>
      <c r="F5009" t="s">
        <v>83</v>
      </c>
      <c r="G5009">
        <v>-386.93880000000001</v>
      </c>
      <c r="H5009" s="1">
        <v>-1.5436370000000001E-6</v>
      </c>
      <c r="I5009">
        <v>19.977640000000001</v>
      </c>
      <c r="J5009">
        <v>-396.52839999999998</v>
      </c>
      <c r="K5009">
        <v>1.1121719999999999</v>
      </c>
      <c r="L5009">
        <v>19.550080000000001</v>
      </c>
      <c r="M5009">
        <v>0.99006769999999999</v>
      </c>
      <c r="N5009">
        <v>0</v>
      </c>
      <c r="O5009">
        <v>-0.140047</v>
      </c>
      <c r="P5009">
        <v>0.99907409999999996</v>
      </c>
      <c r="Q5009">
        <v>-3.0344449999999999E-2</v>
      </c>
      <c r="R5009">
        <v>-3.049783E-2</v>
      </c>
      <c r="S5009">
        <v>2.9966740000000001</v>
      </c>
      <c r="T5009">
        <v>-0.34316869999999999</v>
      </c>
      <c r="U5009">
        <v>0.12759400000000001</v>
      </c>
      <c r="V5009">
        <v>-0.10966049999999999</v>
      </c>
      <c r="W5009">
        <v>-1.8484270000000001E-2</v>
      </c>
      <c r="X5009">
        <v>0.99379720000000005</v>
      </c>
      <c r="Y5009">
        <v>-0.17996519999999999</v>
      </c>
      <c r="Z5009">
        <v>2.621803E-2</v>
      </c>
      <c r="AA5009">
        <v>0.98332350000000002</v>
      </c>
      <c r="AB5009">
        <v>16</v>
      </c>
      <c r="AC5009">
        <v>9.5895999999999599</v>
      </c>
      <c r="AD5009">
        <v>-1.1121735436369999</v>
      </c>
      <c r="AE5009">
        <v>0.42756000000000299</v>
      </c>
      <c r="AF5009">
        <v>-1.74304439439278</v>
      </c>
      <c r="AG5009">
        <v>-1.1121735436369999</v>
      </c>
      <c r="AH5009">
        <v>9.3102152880404798</v>
      </c>
      <c r="AI5009">
        <v>96.696850777556804</v>
      </c>
      <c r="AJ5009">
        <v>100.60407261827601</v>
      </c>
      <c r="AK5009">
        <v>9.5370457932031005</v>
      </c>
      <c r="AL5009">
        <v>91.059130992950699</v>
      </c>
      <c r="AM5009">
        <v>96.296825514883594</v>
      </c>
      <c r="AN5009">
        <v>0.99999998411276103</v>
      </c>
    </row>
    <row r="5010" spans="1:40" x14ac:dyDescent="0.3">
      <c r="A5010" t="str">
        <f>"20200111160602781"</f>
        <v>20200111160602781</v>
      </c>
      <c r="B5010" t="str">
        <f>"1578729962777326"</f>
        <v>1578729962777326</v>
      </c>
      <c r="C5010" t="s">
        <v>40</v>
      </c>
      <c r="D5010">
        <v>5.9382999999999999</v>
      </c>
      <c r="E5010">
        <v>0.47746880000000003</v>
      </c>
      <c r="F5010" t="s">
        <v>86</v>
      </c>
      <c r="G5010">
        <v>-279.68</v>
      </c>
      <c r="H5010">
        <v>-3.108764E-2</v>
      </c>
      <c r="I5010">
        <v>27.764489999999999</v>
      </c>
      <c r="J5010">
        <v>-396.43689999999998</v>
      </c>
      <c r="K5010">
        <v>1.1122339999999999</v>
      </c>
      <c r="L5010">
        <v>19.539760000000001</v>
      </c>
      <c r="M5010">
        <v>0.99035169999999995</v>
      </c>
      <c r="N5010">
        <v>0</v>
      </c>
      <c r="O5010">
        <v>-0.1379649</v>
      </c>
      <c r="P5010">
        <v>0.99909029999999999</v>
      </c>
      <c r="Q5010">
        <v>-3.0984810000000002E-2</v>
      </c>
      <c r="R5010">
        <v>-2.9312640000000001E-2</v>
      </c>
      <c r="S5010">
        <v>3.008362</v>
      </c>
      <c r="T5010">
        <v>-2.943432E-2</v>
      </c>
      <c r="U5010">
        <v>0.2114868</v>
      </c>
      <c r="V5010">
        <v>-0.1087535</v>
      </c>
      <c r="W5010">
        <v>-1.8440769999999999E-2</v>
      </c>
      <c r="X5010">
        <v>0.9938977</v>
      </c>
      <c r="Y5010">
        <v>-0.20707629999999999</v>
      </c>
      <c r="Z5010">
        <v>2.3584500000000002E-3</v>
      </c>
      <c r="AA5010">
        <v>0.97832200000000002</v>
      </c>
      <c r="AB5010">
        <v>16</v>
      </c>
      <c r="AC5010">
        <v>116.75689999999901</v>
      </c>
      <c r="AD5010">
        <v>-1.1433216399999999</v>
      </c>
      <c r="AE5010">
        <v>8.2247299999999992</v>
      </c>
      <c r="AF5010">
        <v>-24.2534672829333</v>
      </c>
      <c r="AG5010">
        <v>-1.1433216399999999</v>
      </c>
      <c r="AH5010">
        <v>114.4944331019</v>
      </c>
      <c r="AI5010">
        <v>90.559707658129497</v>
      </c>
      <c r="AJ5010">
        <v>101.960218117767</v>
      </c>
      <c r="AK5010">
        <v>117.040647088703</v>
      </c>
      <c r="AL5010">
        <v>91.056638172235694</v>
      </c>
      <c r="AM5010">
        <v>96.244531302796702</v>
      </c>
      <c r="AN5010">
        <v>1.00000001191286</v>
      </c>
    </row>
    <row r="5011" spans="1:40" x14ac:dyDescent="0.3">
      <c r="A5011" t="str">
        <f>"20200111160602800"</f>
        <v>20200111160602800</v>
      </c>
      <c r="B5011" t="str">
        <f>"1578729962796847"</f>
        <v>1578729962796847</v>
      </c>
      <c r="C5011" t="s">
        <v>40</v>
      </c>
      <c r="D5011">
        <v>5.9458589999999996</v>
      </c>
      <c r="E5011">
        <v>0.46543760000000001</v>
      </c>
      <c r="F5011" t="s">
        <v>87</v>
      </c>
      <c r="G5011">
        <v>-379.62720000000002</v>
      </c>
      <c r="H5011" s="1">
        <v>-2.8174360000000002E-7</v>
      </c>
      <c r="I5011">
        <v>20.086200000000002</v>
      </c>
      <c r="J5011">
        <v>-396.31150000000002</v>
      </c>
      <c r="K5011">
        <v>1.112331</v>
      </c>
      <c r="L5011">
        <v>19.525790000000001</v>
      </c>
      <c r="M5011">
        <v>0.99070499999999995</v>
      </c>
      <c r="N5011">
        <v>0</v>
      </c>
      <c r="O5011">
        <v>-0.13527339999999999</v>
      </c>
      <c r="P5011">
        <v>0.99912979999999996</v>
      </c>
      <c r="Q5011">
        <v>-3.0970830000000001E-2</v>
      </c>
      <c r="R5011">
        <v>-2.794775E-2</v>
      </c>
      <c r="S5011">
        <v>2.9994510000000001</v>
      </c>
      <c r="T5011">
        <v>-0.1984619</v>
      </c>
      <c r="U5011">
        <v>9.7503660000000006E-2</v>
      </c>
      <c r="V5011">
        <v>-0.1074281</v>
      </c>
      <c r="W5011">
        <v>-1.7076270000000001E-2</v>
      </c>
      <c r="X5011">
        <v>0.99406620000000001</v>
      </c>
      <c r="Y5011">
        <v>-0.16674800000000001</v>
      </c>
      <c r="Z5011">
        <v>1.44326E-2</v>
      </c>
      <c r="AA5011">
        <v>0.98589389999999999</v>
      </c>
      <c r="AB5011">
        <v>16</v>
      </c>
      <c r="AC5011">
        <v>16.6843</v>
      </c>
      <c r="AD5011">
        <v>-1.1123312817436</v>
      </c>
      <c r="AE5011">
        <v>0.56041000000000096</v>
      </c>
      <c r="AF5011">
        <v>-2.79999944320776</v>
      </c>
      <c r="AG5011">
        <v>-1.1123312817436</v>
      </c>
      <c r="AH5011">
        <v>16.382360941177499</v>
      </c>
      <c r="AI5011">
        <v>93.828958499768206</v>
      </c>
      <c r="AJ5011">
        <v>99.699018637270299</v>
      </c>
      <c r="AK5011">
        <v>16.657101421595701</v>
      </c>
      <c r="AL5011">
        <v>90.978445754291499</v>
      </c>
      <c r="AM5011">
        <v>96.167980742428199</v>
      </c>
      <c r="AN5011">
        <v>1.0000000028245799</v>
      </c>
    </row>
    <row r="5012" spans="1:40" x14ac:dyDescent="0.3">
      <c r="A5012" t="str">
        <f>"20200111160602814"</f>
        <v>20200111160602814</v>
      </c>
      <c r="B5012" t="str">
        <f>"1578729962807583"</f>
        <v>1578729962807583</v>
      </c>
      <c r="C5012" t="s">
        <v>40</v>
      </c>
      <c r="D5012">
        <v>5.8321649999999998</v>
      </c>
      <c r="E5012">
        <v>0.46813909999999997</v>
      </c>
      <c r="F5012" t="s">
        <v>41</v>
      </c>
      <c r="G5012">
        <v>-357.00150000000002</v>
      </c>
      <c r="H5012" s="1">
        <v>-1.911582E-6</v>
      </c>
      <c r="I5012">
        <v>22.03248</v>
      </c>
      <c r="J5012">
        <v>-396.22379999999998</v>
      </c>
      <c r="K5012">
        <v>1.1124039999999999</v>
      </c>
      <c r="L5012">
        <v>19.516110000000001</v>
      </c>
      <c r="M5012">
        <v>0.99092860000000005</v>
      </c>
      <c r="N5012">
        <v>0</v>
      </c>
      <c r="O5012">
        <v>-0.133510299999999</v>
      </c>
      <c r="P5012">
        <v>0.99916300000000002</v>
      </c>
      <c r="Q5012">
        <v>-3.086471E-2</v>
      </c>
      <c r="R5012">
        <v>-2.6854780000000002E-2</v>
      </c>
      <c r="S5012">
        <v>3.0053709999999998</v>
      </c>
      <c r="T5012">
        <v>-8.5041279999999997E-2</v>
      </c>
      <c r="U5012">
        <v>0.1916504</v>
      </c>
      <c r="V5012">
        <v>-0.10675850000000001</v>
      </c>
      <c r="W5012">
        <v>-1.5886359999999999E-2</v>
      </c>
      <c r="X5012">
        <v>0.99415810000000004</v>
      </c>
      <c r="Y5012">
        <v>-0.19619410000000001</v>
      </c>
      <c r="Z5012">
        <v>6.5416850000000002E-3</v>
      </c>
      <c r="AA5012">
        <v>0.98054330000000001</v>
      </c>
      <c r="AB5012">
        <v>15</v>
      </c>
      <c r="AC5012">
        <v>39.222299999999898</v>
      </c>
      <c r="AD5012">
        <v>-1.112405911582</v>
      </c>
      <c r="AE5012">
        <v>2.51636999999999</v>
      </c>
      <c r="AF5012">
        <v>-7.7248462313457402</v>
      </c>
      <c r="AG5012">
        <v>-1.112405911582</v>
      </c>
      <c r="AH5012">
        <v>38.504230454040503</v>
      </c>
      <c r="AI5012">
        <v>91.622529330470698</v>
      </c>
      <c r="AJ5012">
        <v>101.344267906593</v>
      </c>
      <c r="AK5012">
        <v>39.287230229018597</v>
      </c>
      <c r="AL5012">
        <v>90.910259633458793</v>
      </c>
      <c r="AM5012">
        <v>96.1292669485277</v>
      </c>
      <c r="AN5012">
        <v>1.0000000407759499</v>
      </c>
    </row>
    <row r="5013" spans="1:40" x14ac:dyDescent="0.3">
      <c r="A5013" t="str">
        <f>"20200111160602835"</f>
        <v>20200111160602835</v>
      </c>
      <c r="B5013" t="str">
        <f>"1578729962827103"</f>
        <v>1578729962827103</v>
      </c>
      <c r="C5013" t="s">
        <v>40</v>
      </c>
      <c r="D5013">
        <v>5.8000749999999996</v>
      </c>
      <c r="E5013">
        <v>0.47156209999999998</v>
      </c>
      <c r="F5013" t="s">
        <v>87</v>
      </c>
      <c r="G5013">
        <v>-371.25229999999999</v>
      </c>
      <c r="H5013" s="1">
        <v>-4.4722119999999996E-6</v>
      </c>
      <c r="I5013">
        <v>20.97954</v>
      </c>
      <c r="J5013">
        <v>-396.0847</v>
      </c>
      <c r="K5013">
        <v>1.1125419999999999</v>
      </c>
      <c r="L5013">
        <v>19.50085</v>
      </c>
      <c r="M5013">
        <v>0.99124420000000002</v>
      </c>
      <c r="N5013">
        <v>0</v>
      </c>
      <c r="O5013">
        <v>-0.1309285</v>
      </c>
      <c r="P5013">
        <v>0.99921150000000003</v>
      </c>
      <c r="Q5013">
        <v>-3.0779359999999999E-2</v>
      </c>
      <c r="R5013">
        <v>-2.5083029999999999E-2</v>
      </c>
      <c r="S5013">
        <v>3.0031430000000001</v>
      </c>
      <c r="T5013">
        <v>-0.13378109999999999</v>
      </c>
      <c r="U5013">
        <v>0.17599489999999901</v>
      </c>
      <c r="V5013">
        <v>-0.1059484</v>
      </c>
      <c r="W5013">
        <v>-1.399482E-2</v>
      </c>
      <c r="X5013">
        <v>0.99427310000000002</v>
      </c>
      <c r="Y5013">
        <v>-0.1884072</v>
      </c>
      <c r="Z5013">
        <v>1.0009260000000001E-2</v>
      </c>
      <c r="AA5013">
        <v>0.98204000000000002</v>
      </c>
      <c r="AB5013">
        <v>15</v>
      </c>
      <c r="AC5013">
        <v>24.8324</v>
      </c>
      <c r="AD5013">
        <v>-1.112546472212</v>
      </c>
      <c r="AE5013">
        <v>1.4786900000000001</v>
      </c>
      <c r="AF5013">
        <v>-4.7082849126581703</v>
      </c>
      <c r="AG5013">
        <v>-1.112546472212</v>
      </c>
      <c r="AH5013">
        <v>24.376188280667101</v>
      </c>
      <c r="AI5013">
        <v>92.565847388789706</v>
      </c>
      <c r="AJ5013">
        <v>100.93211402894001</v>
      </c>
      <c r="AK5013">
        <v>24.8516450474838</v>
      </c>
      <c r="AL5013">
        <v>90.801870331295007</v>
      </c>
      <c r="AM5013">
        <v>96.082408850891497</v>
      </c>
      <c r="AN5013">
        <v>0.99999995791649998</v>
      </c>
    </row>
    <row r="5014" spans="1:40" x14ac:dyDescent="0.3">
      <c r="A5014" t="str">
        <f>"20200111160602857"</f>
        <v>20200111160602857</v>
      </c>
      <c r="B5014" t="str">
        <f>"1578729962847599"</f>
        <v>1578729962847599</v>
      </c>
      <c r="C5014" t="s">
        <v>40</v>
      </c>
      <c r="D5014">
        <v>5.8384900000000002</v>
      </c>
      <c r="E5014">
        <v>0.47321750000000001</v>
      </c>
      <c r="F5014" t="s">
        <v>87</v>
      </c>
      <c r="G5014">
        <v>-378.63290000000001</v>
      </c>
      <c r="H5014" s="1">
        <v>-8.3890149999999996E-7</v>
      </c>
      <c r="I5014">
        <v>20.41376</v>
      </c>
      <c r="J5014">
        <v>-395.94900000000001</v>
      </c>
      <c r="K5014">
        <v>1.112681</v>
      </c>
      <c r="L5014">
        <v>19.48611</v>
      </c>
      <c r="M5014">
        <v>0.99151219999999995</v>
      </c>
      <c r="N5014">
        <v>0</v>
      </c>
      <c r="O5014">
        <v>-0.12863579999999999</v>
      </c>
      <c r="P5014">
        <v>0.99922180000000005</v>
      </c>
      <c r="Q5014">
        <v>-3.20866E-2</v>
      </c>
      <c r="R5014">
        <v>-2.2947579999999999E-2</v>
      </c>
      <c r="S5014">
        <v>3.0004270000000002</v>
      </c>
      <c r="T5014">
        <v>-0.19127479999999999</v>
      </c>
      <c r="U5014">
        <v>0.15695190000000001</v>
      </c>
      <c r="V5014">
        <v>-0.1057789</v>
      </c>
      <c r="W5014">
        <v>-1.34977E-2</v>
      </c>
      <c r="X5014">
        <v>0.99429800000000002</v>
      </c>
      <c r="Y5014">
        <v>-0.1796632</v>
      </c>
      <c r="Z5014">
        <v>1.3894770000000001E-2</v>
      </c>
      <c r="AA5014">
        <v>0.98363009999999995</v>
      </c>
      <c r="AB5014">
        <v>15</v>
      </c>
      <c r="AC5014">
        <v>17.316099999999999</v>
      </c>
      <c r="AD5014">
        <v>-1.1126818389014901</v>
      </c>
      <c r="AE5014">
        <v>0.92764999999999997</v>
      </c>
      <c r="AF5014">
        <v>-3.13490076676907</v>
      </c>
      <c r="AG5014">
        <v>-1.1126818389014901</v>
      </c>
      <c r="AH5014">
        <v>16.982913104538198</v>
      </c>
      <c r="AI5014">
        <v>93.686428157024295</v>
      </c>
      <c r="AJ5014">
        <v>100.458583624177</v>
      </c>
      <c r="AK5014">
        <v>17.3056349553666</v>
      </c>
      <c r="AL5014">
        <v>90.773384775703505</v>
      </c>
      <c r="AM5014">
        <v>96.072599825776607</v>
      </c>
      <c r="AN5014">
        <v>0.99999993819724797</v>
      </c>
    </row>
    <row r="5015" spans="1:40" x14ac:dyDescent="0.3">
      <c r="A5015" t="str">
        <f>"20200111160602871"</f>
        <v>20200111160602871</v>
      </c>
      <c r="B5015" t="str">
        <f>"1578729962867119"</f>
        <v>1578729962867119</v>
      </c>
      <c r="C5015" t="s">
        <v>40</v>
      </c>
      <c r="D5015">
        <v>5.8533739999999996</v>
      </c>
      <c r="E5015">
        <v>0.47203469999999997</v>
      </c>
      <c r="F5015" t="s">
        <v>83</v>
      </c>
      <c r="G5015">
        <v>-381.2321</v>
      </c>
      <c r="H5015" s="1">
        <v>-4.3084710000000002E-6</v>
      </c>
      <c r="I5015">
        <v>20.23038</v>
      </c>
      <c r="J5015">
        <v>-395.87150000000003</v>
      </c>
      <c r="K5015">
        <v>1.1127560000000001</v>
      </c>
      <c r="L5015">
        <v>19.477810000000002</v>
      </c>
      <c r="M5015">
        <v>0.99165769999999998</v>
      </c>
      <c r="N5015">
        <v>0</v>
      </c>
      <c r="O5015">
        <v>-0.12735539999999901</v>
      </c>
      <c r="P5015">
        <v>0.99921819999999895</v>
      </c>
      <c r="Q5015">
        <v>-3.299502E-2</v>
      </c>
      <c r="R5015">
        <v>-2.1784089999999999E-2</v>
      </c>
      <c r="S5015">
        <v>2.998535</v>
      </c>
      <c r="T5015">
        <v>-0.2267064</v>
      </c>
      <c r="U5015">
        <v>0.15164179999999999</v>
      </c>
      <c r="V5015">
        <v>-0.1056535</v>
      </c>
      <c r="W5015">
        <v>-1.338202E-2</v>
      </c>
      <c r="X5015">
        <v>0.99431290000000006</v>
      </c>
      <c r="Y5015">
        <v>-0.1764492</v>
      </c>
      <c r="Z5015">
        <v>1.6255459999999999E-2</v>
      </c>
      <c r="AA5015">
        <v>0.98417549999999998</v>
      </c>
      <c r="AB5015">
        <v>14</v>
      </c>
      <c r="AC5015">
        <v>14.6394</v>
      </c>
      <c r="AD5015">
        <v>-1.1127603084709901</v>
      </c>
      <c r="AE5015">
        <v>0.75256999999999796</v>
      </c>
      <c r="AF5015">
        <v>-2.5962541386029598</v>
      </c>
      <c r="AG5015">
        <v>-1.1127603084709901</v>
      </c>
      <c r="AH5015">
        <v>14.3416397279659</v>
      </c>
      <c r="AI5015">
        <v>94.365978531376797</v>
      </c>
      <c r="AJ5015">
        <v>100.261076118193</v>
      </c>
      <c r="AK5015">
        <v>14.617161186191</v>
      </c>
      <c r="AL5015">
        <v>90.766756198056498</v>
      </c>
      <c r="AM5015">
        <v>96.065364291208098</v>
      </c>
      <c r="AN5015">
        <v>0.99999994181396801</v>
      </c>
    </row>
    <row r="5016" spans="1:40" x14ac:dyDescent="0.3">
      <c r="A5016" t="str">
        <f>"20200111160602889"</f>
        <v>20200111160602889</v>
      </c>
      <c r="B5016" t="str">
        <f>"1578729962887614"</f>
        <v>1578729962887614</v>
      </c>
      <c r="C5016" t="s">
        <v>40</v>
      </c>
      <c r="D5016">
        <v>5.7034129999999896</v>
      </c>
      <c r="E5016">
        <v>0.4691921</v>
      </c>
      <c r="F5016" t="s">
        <v>83</v>
      </c>
      <c r="G5016">
        <v>-381.48930000000001</v>
      </c>
      <c r="H5016" s="1">
        <v>-4.196771E-6</v>
      </c>
      <c r="I5016">
        <v>20.267430000000001</v>
      </c>
      <c r="J5016">
        <v>-395.75850000000003</v>
      </c>
      <c r="K5016">
        <v>1.1128610000000001</v>
      </c>
      <c r="L5016">
        <v>19.465789999999998</v>
      </c>
      <c r="M5016">
        <v>0.99187809999999998</v>
      </c>
      <c r="N5016">
        <v>0</v>
      </c>
      <c r="O5016">
        <v>-0.12540109999999999</v>
      </c>
      <c r="P5016">
        <v>0.99924860000000004</v>
      </c>
      <c r="Q5016">
        <v>-3.3487580000000003E-2</v>
      </c>
      <c r="R5016">
        <v>-1.9513180000000001E-2</v>
      </c>
      <c r="S5016">
        <v>2.998291</v>
      </c>
      <c r="T5016">
        <v>-0.2319785</v>
      </c>
      <c r="U5016">
        <v>0.1646118</v>
      </c>
      <c r="V5016">
        <v>-0.1059591</v>
      </c>
      <c r="W5016">
        <v>-1.249314E-2</v>
      </c>
      <c r="X5016">
        <v>0.99429199999999995</v>
      </c>
      <c r="Y5016">
        <v>-0.17872089999999999</v>
      </c>
      <c r="Z5016">
        <v>1.6570229999999998E-2</v>
      </c>
      <c r="AA5016">
        <v>0.98376019999999997</v>
      </c>
      <c r="AB5016">
        <v>14</v>
      </c>
      <c r="AC5016">
        <v>14.2692</v>
      </c>
      <c r="AD5016">
        <v>-1.1128651967709999</v>
      </c>
      <c r="AE5016">
        <v>0.80163999999999802</v>
      </c>
      <c r="AF5016">
        <v>-2.5695073570592402</v>
      </c>
      <c r="AG5016">
        <v>-1.1128651967709999</v>
      </c>
      <c r="AH5016">
        <v>13.9712467831468</v>
      </c>
      <c r="AI5016">
        <v>94.479407361356607</v>
      </c>
      <c r="AJ5016">
        <v>100.421040298325</v>
      </c>
      <c r="AK5016">
        <v>14.2490902755143</v>
      </c>
      <c r="AL5016">
        <v>90.715822819788301</v>
      </c>
      <c r="AM5016">
        <v>96.082903761394803</v>
      </c>
      <c r="AN5016">
        <v>0.99999999534193396</v>
      </c>
    </row>
    <row r="5017" spans="1:40" x14ac:dyDescent="0.3">
      <c r="A5017" t="str">
        <f>"20200111160602926"</f>
        <v>20200111160602926</v>
      </c>
      <c r="B5017" t="str">
        <f>"1578729962917238"</f>
        <v>1578729962917238</v>
      </c>
      <c r="C5017" t="s">
        <v>40</v>
      </c>
      <c r="D5017">
        <v>5.3478159999999999</v>
      </c>
      <c r="E5017">
        <v>0.4691921</v>
      </c>
      <c r="F5017" t="s">
        <v>83</v>
      </c>
      <c r="G5017">
        <v>-382.053</v>
      </c>
      <c r="H5017" s="1">
        <v>-3.9535039999999996E-6</v>
      </c>
      <c r="I5017">
        <v>20.354790000000001</v>
      </c>
      <c r="J5017">
        <v>-395.53550000000001</v>
      </c>
      <c r="K5017">
        <v>1.1128450000000001</v>
      </c>
      <c r="L5017">
        <v>19.442779999999999</v>
      </c>
      <c r="M5017">
        <v>0.99244860000000001</v>
      </c>
      <c r="N5017">
        <v>0</v>
      </c>
      <c r="O5017">
        <v>-0.12066250000000001</v>
      </c>
      <c r="P5017">
        <v>0.99933640000000001</v>
      </c>
      <c r="Q5017">
        <v>-3.3391879999999999E-2</v>
      </c>
      <c r="R5017">
        <v>-1.454445E-2</v>
      </c>
      <c r="S5017">
        <v>2.9978940000000001</v>
      </c>
      <c r="T5017">
        <v>-0.24342549999999999</v>
      </c>
      <c r="U5017">
        <v>0.19445799999999999</v>
      </c>
      <c r="V5017">
        <v>-0.1061522</v>
      </c>
      <c r="W5017">
        <v>-1.166594E-2</v>
      </c>
      <c r="X5017">
        <v>0.99428150000000004</v>
      </c>
      <c r="Y5017">
        <v>-0.18369630000000001</v>
      </c>
      <c r="Z5017">
        <v>1.720325E-2</v>
      </c>
      <c r="AA5017">
        <v>0.9828325</v>
      </c>
      <c r="AB5017">
        <v>13</v>
      </c>
      <c r="AC5017">
        <v>13.4824999999999</v>
      </c>
      <c r="AD5017">
        <v>-1.112848953504</v>
      </c>
      <c r="AE5017">
        <v>0.91200999999999799</v>
      </c>
      <c r="AF5017">
        <v>-2.5155112719959898</v>
      </c>
      <c r="AG5017">
        <v>-1.112848953504</v>
      </c>
      <c r="AH5017">
        <v>13.184455872675301</v>
      </c>
      <c r="AI5017">
        <v>94.739584677407294</v>
      </c>
      <c r="AJ5017">
        <v>100.801852524628</v>
      </c>
      <c r="AK5017">
        <v>13.4683371806388</v>
      </c>
      <c r="AL5017">
        <v>90.668424259680407</v>
      </c>
      <c r="AM5017">
        <v>96.093969786005502</v>
      </c>
      <c r="AN5017">
        <v>1.00000004248158</v>
      </c>
    </row>
    <row r="5018" spans="1:40" x14ac:dyDescent="0.3">
      <c r="A5018" t="str">
        <f>"20200111160602947"</f>
        <v>20200111160602947</v>
      </c>
      <c r="B5018" t="str">
        <f>"1578729962936757"</f>
        <v>1578729962936757</v>
      </c>
      <c r="C5018" t="s">
        <v>40</v>
      </c>
      <c r="D5018">
        <v>5.5757009999999996</v>
      </c>
      <c r="E5018">
        <v>0.40884999999999999</v>
      </c>
      <c r="F5018" t="s">
        <v>83</v>
      </c>
      <c r="G5018">
        <v>-381.81909999999999</v>
      </c>
      <c r="H5018" s="1">
        <v>-4.0763509999999998E-6</v>
      </c>
      <c r="I5018">
        <v>20.400790000000001</v>
      </c>
      <c r="J5018">
        <v>-395.41539999999998</v>
      </c>
      <c r="K5018">
        <v>1.1126609999999999</v>
      </c>
      <c r="L5018">
        <v>19.43112</v>
      </c>
      <c r="M5018">
        <v>0.99277579999999999</v>
      </c>
      <c r="N5018">
        <v>0</v>
      </c>
      <c r="O5018">
        <v>-0.118115</v>
      </c>
      <c r="P5018">
        <v>0.99938539999999998</v>
      </c>
      <c r="Q5018">
        <v>-3.300898E-2</v>
      </c>
      <c r="R5018">
        <v>-1.1814150000000001E-2</v>
      </c>
      <c r="S5018">
        <v>2.9969480000000002</v>
      </c>
      <c r="T5018">
        <v>-0.24315010000000001</v>
      </c>
      <c r="U5018">
        <v>0.20932010000000001</v>
      </c>
      <c r="V5018">
        <v>-0.10630829999999999</v>
      </c>
      <c r="W5018">
        <v>-1.2285580000000001E-2</v>
      </c>
      <c r="X5018">
        <v>0.99425730000000001</v>
      </c>
      <c r="Y5018">
        <v>-0.1860455</v>
      </c>
      <c r="Z5018">
        <v>1.7076499999999901E-2</v>
      </c>
      <c r="AA5018">
        <v>0.98239270000000001</v>
      </c>
      <c r="AB5018">
        <v>13</v>
      </c>
      <c r="AC5018">
        <v>13.5962999999999</v>
      </c>
      <c r="AD5018">
        <v>-1.112665076351</v>
      </c>
      <c r="AE5018">
        <v>0.96967000000000003</v>
      </c>
      <c r="AF5018">
        <v>-2.5521580740415</v>
      </c>
      <c r="AG5018">
        <v>-1.112665076351</v>
      </c>
      <c r="AH5018">
        <v>13.297917327011699</v>
      </c>
      <c r="AI5018">
        <v>94.697580320794401</v>
      </c>
      <c r="AJ5018">
        <v>100.864195087772</v>
      </c>
      <c r="AK5018">
        <v>13.586248181270101</v>
      </c>
      <c r="AL5018">
        <v>90.703929602626104</v>
      </c>
      <c r="AM5018">
        <v>96.103010995170393</v>
      </c>
      <c r="AN5018">
        <v>0.99999998436405801</v>
      </c>
    </row>
    <row r="5019" spans="1:40" x14ac:dyDescent="0.3">
      <c r="A5019" t="str">
        <f>"20200111160602961"</f>
        <v>20200111160602961</v>
      </c>
      <c r="B5019" t="str">
        <f>"1578729962957254"</f>
        <v>1578729962957254</v>
      </c>
      <c r="C5019" t="s">
        <v>40</v>
      </c>
      <c r="D5019">
        <v>5.2983520000000004</v>
      </c>
      <c r="E5019">
        <v>0.409169</v>
      </c>
      <c r="F5019" t="s">
        <v>83</v>
      </c>
      <c r="G5019">
        <v>-381.80110000000002</v>
      </c>
      <c r="H5019" s="1">
        <v>-4.5657500000000003E-6</v>
      </c>
      <c r="I5019">
        <v>22.6037</v>
      </c>
      <c r="J5019">
        <v>-395.3331</v>
      </c>
      <c r="K5019">
        <v>1.1124940000000001</v>
      </c>
      <c r="L5019">
        <v>19.42343</v>
      </c>
      <c r="M5019">
        <v>0.99298090000000006</v>
      </c>
      <c r="N5019">
        <v>0</v>
      </c>
      <c r="O5019">
        <v>-0.1165069</v>
      </c>
      <c r="P5019">
        <v>0.99941480000000005</v>
      </c>
      <c r="Q5019">
        <v>-3.2620080000000003E-2</v>
      </c>
      <c r="R5019">
        <v>-1.029708E-2</v>
      </c>
      <c r="S5019">
        <v>3.0019529999999999</v>
      </c>
      <c r="T5019">
        <v>-0.24534310000000001</v>
      </c>
      <c r="U5019">
        <v>0.69955440000000002</v>
      </c>
      <c r="V5019">
        <v>-0.10620259999999999</v>
      </c>
      <c r="W5019">
        <v>-1.264463E-2</v>
      </c>
      <c r="X5019">
        <v>0.99426409999999998</v>
      </c>
      <c r="Y5019">
        <v>-0.33745199999999997</v>
      </c>
      <c r="Z5019">
        <v>2.2983969999999999E-2</v>
      </c>
      <c r="AA5019">
        <v>0.94106210000000001</v>
      </c>
      <c r="AB5019">
        <v>14</v>
      </c>
      <c r="AC5019">
        <v>13.531999999999901</v>
      </c>
      <c r="AD5019">
        <v>-1.1124985657499999</v>
      </c>
      <c r="AE5019">
        <v>3.1802700000000002</v>
      </c>
      <c r="AF5019">
        <v>-4.7053632837889197</v>
      </c>
      <c r="AG5019">
        <v>-1.1124985657499999</v>
      </c>
      <c r="AH5019">
        <v>12.9860298756596</v>
      </c>
      <c r="AI5019">
        <v>94.604920015391301</v>
      </c>
      <c r="AJ5019">
        <v>109.917498002587</v>
      </c>
      <c r="AK5019">
        <v>13.8569501919704</v>
      </c>
      <c r="AL5019">
        <v>90.724503247220397</v>
      </c>
      <c r="AM5019">
        <v>96.096947248551402</v>
      </c>
      <c r="AN5019">
        <v>0.99999998973170301</v>
      </c>
    </row>
    <row r="5020" spans="1:40" x14ac:dyDescent="0.3">
      <c r="A5020" t="str">
        <f>"20200111160602979"</f>
        <v>20200111160602979</v>
      </c>
      <c r="B5020" t="str">
        <f>"1578729962976776"</f>
        <v>1578729962976776</v>
      </c>
      <c r="C5020" t="s">
        <v>40</v>
      </c>
      <c r="D5020">
        <v>5.2523569999999999</v>
      </c>
      <c r="E5020">
        <v>0.40958519999999998</v>
      </c>
      <c r="F5020" t="s">
        <v>83</v>
      </c>
      <c r="G5020">
        <v>-381.13440000000003</v>
      </c>
      <c r="H5020" s="1">
        <v>-4.8460270000000004E-6</v>
      </c>
      <c r="I5020">
        <v>22.740410000000001</v>
      </c>
      <c r="J5020">
        <v>-395.22190000000001</v>
      </c>
      <c r="K5020">
        <v>1.112258</v>
      </c>
      <c r="L5020">
        <v>19.413209999999999</v>
      </c>
      <c r="M5020">
        <v>0.99322770000000005</v>
      </c>
      <c r="N5020">
        <v>0</v>
      </c>
      <c r="O5020">
        <v>-0.1145134</v>
      </c>
      <c r="P5020">
        <v>0.99941990000000003</v>
      </c>
      <c r="Q5020">
        <v>-3.2909630000000002E-2</v>
      </c>
      <c r="R5020">
        <v>-8.7831509999999995E-3</v>
      </c>
      <c r="S5020">
        <v>3.001312</v>
      </c>
      <c r="T5020">
        <v>-0.23515949999999999</v>
      </c>
      <c r="U5020">
        <v>0.70114140000000003</v>
      </c>
      <c r="V5020">
        <v>-0.1057085</v>
      </c>
      <c r="W5020">
        <v>-1.3664050000000001E-2</v>
      </c>
      <c r="X5020">
        <v>0.9943033</v>
      </c>
      <c r="Y5020">
        <v>-0.33620420000000001</v>
      </c>
      <c r="Z5020">
        <v>2.1833700000000001E-2</v>
      </c>
      <c r="AA5020">
        <v>0.94153600000000004</v>
      </c>
      <c r="AB5020">
        <v>14</v>
      </c>
      <c r="AC5020">
        <v>14.087499999999901</v>
      </c>
      <c r="AD5020">
        <v>-1.1122628460270001</v>
      </c>
      <c r="AE5020">
        <v>3.3271999999999999</v>
      </c>
      <c r="AF5020">
        <v>-4.88995067832938</v>
      </c>
      <c r="AG5020">
        <v>-1.1122628460270001</v>
      </c>
      <c r="AH5020">
        <v>13.533801509308701</v>
      </c>
      <c r="AI5020">
        <v>94.419805631942594</v>
      </c>
      <c r="AJ5020">
        <v>109.865492582125</v>
      </c>
      <c r="AK5020">
        <v>14.4330360481955</v>
      </c>
      <c r="AL5020">
        <v>90.782916742059996</v>
      </c>
      <c r="AM5020">
        <v>96.068556335017405</v>
      </c>
      <c r="AN5020">
        <v>1.0000000228127699</v>
      </c>
    </row>
    <row r="5021" spans="1:40" x14ac:dyDescent="0.3">
      <c r="A5021" t="str">
        <f>"20200111160602994"</f>
        <v>20200111160602994</v>
      </c>
      <c r="B5021" t="str">
        <f>"1578729962987511"</f>
        <v>1578729962987511</v>
      </c>
      <c r="C5021" t="s">
        <v>40</v>
      </c>
      <c r="D5021">
        <v>5.2773050000000001</v>
      </c>
      <c r="E5021">
        <v>0.40996179999999899</v>
      </c>
      <c r="F5021" t="s">
        <v>83</v>
      </c>
      <c r="G5021">
        <v>-381.0444</v>
      </c>
      <c r="H5021" s="1">
        <v>-4.8791289999999997E-6</v>
      </c>
      <c r="I5021">
        <v>22.73217</v>
      </c>
      <c r="J5021">
        <v>-395.13420000000002</v>
      </c>
      <c r="K5021">
        <v>1.112053</v>
      </c>
      <c r="L5021">
        <v>19.405239999999999</v>
      </c>
      <c r="M5021">
        <v>0.99340519999999999</v>
      </c>
      <c r="N5021">
        <v>0</v>
      </c>
      <c r="O5021">
        <v>-0.1130338</v>
      </c>
      <c r="P5021">
        <v>0.99942019999999998</v>
      </c>
      <c r="Q5021">
        <v>-3.3192390000000002E-2</v>
      </c>
      <c r="R5021">
        <v>-7.5895579999999997E-3</v>
      </c>
      <c r="S5021">
        <v>3.0001220000000002</v>
      </c>
      <c r="T5021">
        <v>-0.2353683</v>
      </c>
      <c r="U5021">
        <v>0.7023315</v>
      </c>
      <c r="V5021">
        <v>-0.10541499999999999</v>
      </c>
      <c r="W5021">
        <v>-1.4323519999999999E-2</v>
      </c>
      <c r="X5021">
        <v>0.99432520000000002</v>
      </c>
      <c r="Y5021">
        <v>-0.33524199999999998</v>
      </c>
      <c r="Z5021">
        <v>2.1708700000000001E-2</v>
      </c>
      <c r="AA5021">
        <v>0.94188190000000005</v>
      </c>
      <c r="AB5021">
        <v>14</v>
      </c>
      <c r="AC5021">
        <v>14.0898</v>
      </c>
      <c r="AD5021">
        <v>-1.1120578791289999</v>
      </c>
      <c r="AE5021">
        <v>3.3269299999999999</v>
      </c>
      <c r="AF5021">
        <v>-4.8697844728657804</v>
      </c>
      <c r="AG5021">
        <v>-1.1120578791289999</v>
      </c>
      <c r="AH5021">
        <v>13.5434301665676</v>
      </c>
      <c r="AI5021">
        <v>94.418315417440496</v>
      </c>
      <c r="AJ5021">
        <v>109.776962758553</v>
      </c>
      <c r="AK5021">
        <v>14.435233777649399</v>
      </c>
      <c r="AL5021">
        <v>90.820705272050006</v>
      </c>
      <c r="AM5021">
        <v>96.051699878679699</v>
      </c>
      <c r="AN5021">
        <v>1.00000004440261</v>
      </c>
    </row>
    <row r="5022" spans="1:40" x14ac:dyDescent="0.3">
      <c r="A5022" t="str">
        <f>"20200111160603014"</f>
        <v>20200111160603014</v>
      </c>
      <c r="B5022" t="str">
        <f>"1578729963007540"</f>
        <v>1578729963007540</v>
      </c>
      <c r="C5022" t="s">
        <v>40</v>
      </c>
      <c r="D5022">
        <v>5.3163070000000001</v>
      </c>
      <c r="E5022">
        <v>0.41107949999999999</v>
      </c>
      <c r="F5022" t="s">
        <v>83</v>
      </c>
      <c r="G5022">
        <v>-381.06689999999998</v>
      </c>
      <c r="H5022" s="1">
        <v>-4.8651789999999997E-6</v>
      </c>
      <c r="I5022">
        <v>22.70213</v>
      </c>
      <c r="J5022">
        <v>-395.01920000000001</v>
      </c>
      <c r="K5022">
        <v>1.11175</v>
      </c>
      <c r="L5022">
        <v>19.394780000000001</v>
      </c>
      <c r="M5022">
        <v>0.9936277</v>
      </c>
      <c r="N5022">
        <v>0</v>
      </c>
      <c r="O5022">
        <v>-0.1111383</v>
      </c>
      <c r="P5022">
        <v>0.99943119999999996</v>
      </c>
      <c r="Q5022">
        <v>-3.3177539999999998E-2</v>
      </c>
      <c r="R5022">
        <v>-6.0774139999999997E-3</v>
      </c>
      <c r="S5022">
        <v>2.9992070000000002</v>
      </c>
      <c r="T5022">
        <v>-0.23709540000000001</v>
      </c>
      <c r="U5022">
        <v>0.70291139999999996</v>
      </c>
      <c r="V5022">
        <v>-0.105029</v>
      </c>
      <c r="W5022">
        <v>-1.469317E-2</v>
      </c>
      <c r="X5022">
        <v>0.99436060000000004</v>
      </c>
      <c r="Y5022">
        <v>-0.33367079999999999</v>
      </c>
      <c r="Z5022">
        <v>2.1664389999999999E-2</v>
      </c>
      <c r="AA5022">
        <v>0.94244070000000002</v>
      </c>
      <c r="AB5022">
        <v>14</v>
      </c>
      <c r="AC5022">
        <v>13.952299999999999</v>
      </c>
      <c r="AD5022">
        <v>-1.1117548651789999</v>
      </c>
      <c r="AE5022">
        <v>3.30735</v>
      </c>
      <c r="AF5022">
        <v>-4.8088531652895004</v>
      </c>
      <c r="AG5022">
        <v>-1.1117548651789999</v>
      </c>
      <c r="AH5022">
        <v>13.417536514861601</v>
      </c>
      <c r="AI5022">
        <v>94.460043524667995</v>
      </c>
      <c r="AJ5022">
        <v>109.71771007996099</v>
      </c>
      <c r="AK5022">
        <v>14.296550415159899</v>
      </c>
      <c r="AL5022">
        <v>90.841886930101097</v>
      </c>
      <c r="AM5022">
        <v>96.029490727120503</v>
      </c>
      <c r="AN5022">
        <v>0.99999999145900398</v>
      </c>
    </row>
    <row r="5023" spans="1:40" x14ac:dyDescent="0.3">
      <c r="A5023" t="str">
        <f>"20200111160603029"</f>
        <v>20200111160603029</v>
      </c>
      <c r="B5023" t="str">
        <f>"1578729963017300"</f>
        <v>1578729963017300</v>
      </c>
      <c r="C5023" t="s">
        <v>40</v>
      </c>
      <c r="D5023">
        <v>5.3087439999999999</v>
      </c>
      <c r="E5023">
        <v>0.41136289999999998</v>
      </c>
      <c r="F5023" t="s">
        <v>83</v>
      </c>
      <c r="G5023">
        <v>-381.33019999999999</v>
      </c>
      <c r="H5023" s="1">
        <v>-4.7432489999999996E-6</v>
      </c>
      <c r="I5023">
        <v>22.584900000000001</v>
      </c>
      <c r="J5023">
        <v>-394.93079999999998</v>
      </c>
      <c r="K5023">
        <v>1.111505</v>
      </c>
      <c r="L5023">
        <v>19.386659999999999</v>
      </c>
      <c r="M5023">
        <v>0.99379360000000005</v>
      </c>
      <c r="N5023">
        <v>0</v>
      </c>
      <c r="O5023">
        <v>-0.1097028</v>
      </c>
      <c r="P5023">
        <v>0.99945879999999998</v>
      </c>
      <c r="Q5023">
        <v>-3.253818E-2</v>
      </c>
      <c r="R5023">
        <v>-4.8857680000000004E-3</v>
      </c>
      <c r="S5023">
        <v>2.9978940000000001</v>
      </c>
      <c r="T5023">
        <v>-0.243475</v>
      </c>
      <c r="U5023">
        <v>0.69863889999999995</v>
      </c>
      <c r="V5023">
        <v>-0.1047872</v>
      </c>
      <c r="W5023">
        <v>-1.43523E-2</v>
      </c>
      <c r="X5023">
        <v>0.99439109999999997</v>
      </c>
      <c r="Y5023">
        <v>-0.3310649</v>
      </c>
      <c r="Z5023">
        <v>2.2038950000000002E-2</v>
      </c>
      <c r="AA5023">
        <v>0.94335060000000004</v>
      </c>
      <c r="AB5023">
        <v>13</v>
      </c>
      <c r="AC5023">
        <v>13.600599999999901</v>
      </c>
      <c r="AD5023">
        <v>-1.111509743249</v>
      </c>
      <c r="AE5023">
        <v>3.1982400000000002</v>
      </c>
      <c r="AF5023">
        <v>-4.6418293639861998</v>
      </c>
      <c r="AG5023">
        <v>-1.111509743249</v>
      </c>
      <c r="AH5023">
        <v>13.0847557478893</v>
      </c>
      <c r="AI5023">
        <v>94.577254680409993</v>
      </c>
      <c r="AJ5023">
        <v>109.532188211643</v>
      </c>
      <c r="AK5023">
        <v>13.928132205562299</v>
      </c>
      <c r="AL5023">
        <v>90.822354448263297</v>
      </c>
      <c r="AM5023">
        <v>96.015528250695695</v>
      </c>
      <c r="AN5023">
        <v>1.00000000277916</v>
      </c>
    </row>
    <row r="5024" spans="1:40" x14ac:dyDescent="0.3">
      <c r="A5024" t="str">
        <f>"20200111160603047"</f>
        <v>20200111160603047</v>
      </c>
      <c r="B5024" t="str">
        <f>"1578729963036820"</f>
        <v>1578729963036820</v>
      </c>
      <c r="C5024" t="s">
        <v>40</v>
      </c>
      <c r="D5024">
        <v>5.2550059999999998</v>
      </c>
      <c r="E5024">
        <v>0.41182229999999997</v>
      </c>
      <c r="F5024" t="s">
        <v>83</v>
      </c>
      <c r="G5024">
        <v>-381.30860000000001</v>
      </c>
      <c r="H5024" s="1">
        <v>-4.7486959999999998E-6</v>
      </c>
      <c r="I5024">
        <v>22.56869</v>
      </c>
      <c r="J5024">
        <v>-394.82029999999997</v>
      </c>
      <c r="K5024">
        <v>1.111237</v>
      </c>
      <c r="L5024">
        <v>19.37631</v>
      </c>
      <c r="M5024">
        <v>0.99399159999999998</v>
      </c>
      <c r="N5024">
        <v>0</v>
      </c>
      <c r="O5024">
        <v>-0.1079777</v>
      </c>
      <c r="P5024">
        <v>0.99952700000000005</v>
      </c>
      <c r="Q5024">
        <v>-3.0596970000000001E-2</v>
      </c>
      <c r="R5024">
        <v>-3.1281350000000002E-3</v>
      </c>
      <c r="S5024">
        <v>2.997131</v>
      </c>
      <c r="T5024">
        <v>-0.24455160000000001</v>
      </c>
      <c r="U5024">
        <v>0.70010380000000005</v>
      </c>
      <c r="V5024">
        <v>-0.1048244</v>
      </c>
      <c r="W5024">
        <v>-1.284998E-2</v>
      </c>
      <c r="X5024">
        <v>0.99440770000000001</v>
      </c>
      <c r="Y5024">
        <v>-0.32991350000000003</v>
      </c>
      <c r="Z5024">
        <v>2.195511E-2</v>
      </c>
      <c r="AA5024">
        <v>0.94375580000000003</v>
      </c>
      <c r="AB5024">
        <v>13</v>
      </c>
      <c r="AC5024">
        <v>13.5116999999999</v>
      </c>
      <c r="AD5024">
        <v>-1.111241748696</v>
      </c>
      <c r="AE5024">
        <v>3.19238</v>
      </c>
      <c r="AF5024">
        <v>-4.6034152418916303</v>
      </c>
      <c r="AG5024">
        <v>-1.111241748696</v>
      </c>
      <c r="AH5024">
        <v>13.004603418389401</v>
      </c>
      <c r="AI5024">
        <v>94.605347221907195</v>
      </c>
      <c r="AJ5024">
        <v>109.493123778425</v>
      </c>
      <c r="AK5024">
        <v>13.8400144574675</v>
      </c>
      <c r="AL5024">
        <v>90.736269902338293</v>
      </c>
      <c r="AM5024">
        <v>96.017548409615998</v>
      </c>
      <c r="AN5024">
        <v>0.99999997532032403</v>
      </c>
    </row>
    <row r="5025" spans="1:40" x14ac:dyDescent="0.3">
      <c r="A5025" t="str">
        <f>"20200111160603070"</f>
        <v>20200111160603070</v>
      </c>
      <c r="B5025" t="str">
        <f>"1578729963067076"</f>
        <v>1578729963067076</v>
      </c>
      <c r="C5025" t="s">
        <v>40</v>
      </c>
      <c r="D5025">
        <v>5.3187170000000004</v>
      </c>
      <c r="E5025">
        <v>0.41239179999999998</v>
      </c>
      <c r="F5025" t="s">
        <v>83</v>
      </c>
      <c r="G5025">
        <v>-381.0795</v>
      </c>
      <c r="H5025" s="1">
        <v>-4.8412689999999999E-6</v>
      </c>
      <c r="I5025">
        <v>22.594740000000002</v>
      </c>
      <c r="J5025">
        <v>-394.68630000000002</v>
      </c>
      <c r="K5025">
        <v>1.111029</v>
      </c>
      <c r="L5025">
        <v>19.363710000000001</v>
      </c>
      <c r="M5025">
        <v>0.99420379999999997</v>
      </c>
      <c r="N5025">
        <v>0</v>
      </c>
      <c r="O5025">
        <v>-0.1061092</v>
      </c>
      <c r="P5025">
        <v>0.99961699999999998</v>
      </c>
      <c r="Q5025">
        <v>-2.7674089999999998E-2</v>
      </c>
      <c r="R5025">
        <v>-5.3826009999999997E-4</v>
      </c>
      <c r="S5025">
        <v>2.9961850000000001</v>
      </c>
      <c r="T5025">
        <v>-0.2423072</v>
      </c>
      <c r="U5025">
        <v>0.70178219999999902</v>
      </c>
      <c r="V5025">
        <v>-0.10554520000000001</v>
      </c>
      <c r="W5025">
        <v>-1.0499710000000001E-2</v>
      </c>
      <c r="X5025">
        <v>0.99435910000000005</v>
      </c>
      <c r="Y5025">
        <v>-0.32874019999999998</v>
      </c>
      <c r="Z5025">
        <v>2.1563639999999999E-2</v>
      </c>
      <c r="AA5025">
        <v>0.94417419999999996</v>
      </c>
      <c r="AB5025">
        <v>13</v>
      </c>
      <c r="AC5025">
        <v>13.6068</v>
      </c>
      <c r="AD5025">
        <v>-1.111033841269</v>
      </c>
      <c r="AE5025">
        <v>3.2310299999999899</v>
      </c>
      <c r="AF5025">
        <v>-4.6276004514473996</v>
      </c>
      <c r="AG5025">
        <v>-1.111033841269</v>
      </c>
      <c r="AH5025">
        <v>13.104360328911801</v>
      </c>
      <c r="AI5025">
        <v>94.570801048917104</v>
      </c>
      <c r="AJ5025">
        <v>109.44987892353601</v>
      </c>
      <c r="AK5025">
        <v>13.941784023740899</v>
      </c>
      <c r="AL5025">
        <v>90.601600107333496</v>
      </c>
      <c r="AM5025">
        <v>96.058913842463198</v>
      </c>
      <c r="AN5025">
        <v>1.00000002645296</v>
      </c>
    </row>
    <row r="5026" spans="1:40" x14ac:dyDescent="0.3">
      <c r="A5026" t="str">
        <f>"20200111160603084"</f>
        <v>20200111160603084</v>
      </c>
      <c r="B5026" t="str">
        <f>"1578729963076836"</f>
        <v>1578729963076836</v>
      </c>
      <c r="C5026" t="s">
        <v>40</v>
      </c>
      <c r="D5026">
        <v>5.2532360000000002</v>
      </c>
      <c r="E5026">
        <v>0.41240559999999998</v>
      </c>
      <c r="F5026" t="s">
        <v>83</v>
      </c>
      <c r="G5026">
        <v>-380.49110000000002</v>
      </c>
      <c r="H5026" s="1">
        <v>-5.0868680000000003E-6</v>
      </c>
      <c r="I5026">
        <v>22.70533</v>
      </c>
      <c r="J5026">
        <v>-394.60120000000001</v>
      </c>
      <c r="K5026">
        <v>1.110968</v>
      </c>
      <c r="L5026">
        <v>19.355650000000001</v>
      </c>
      <c r="M5026">
        <v>0.99432279999999995</v>
      </c>
      <c r="N5026">
        <v>0</v>
      </c>
      <c r="O5026">
        <v>-0.1050446</v>
      </c>
      <c r="P5026">
        <v>0.99966699999999997</v>
      </c>
      <c r="Q5026">
        <v>-2.5794109999999999E-2</v>
      </c>
      <c r="R5026">
        <v>6.2388649999999999E-4</v>
      </c>
      <c r="S5026">
        <v>2.9950559999999999</v>
      </c>
      <c r="T5026">
        <v>-0.23441679999999901</v>
      </c>
      <c r="U5026">
        <v>0.7050476</v>
      </c>
      <c r="V5026">
        <v>-0.1056426</v>
      </c>
      <c r="W5026">
        <v>-8.9604719999999902E-3</v>
      </c>
      <c r="X5026">
        <v>0.99436380000000002</v>
      </c>
      <c r="Y5026">
        <v>-0.32887230000000001</v>
      </c>
      <c r="Z5026">
        <v>2.0791549999999999E-2</v>
      </c>
      <c r="AA5026">
        <v>0.94414549999999997</v>
      </c>
      <c r="AB5026">
        <v>13</v>
      </c>
      <c r="AC5026">
        <v>14.1100999999999</v>
      </c>
      <c r="AD5026">
        <v>-1.1109730868679999</v>
      </c>
      <c r="AE5026">
        <v>3.3496800000000002</v>
      </c>
      <c r="AF5026">
        <v>-4.7854616565310497</v>
      </c>
      <c r="AG5026">
        <v>-1.1109730868679999</v>
      </c>
      <c r="AH5026">
        <v>13.600282125494299</v>
      </c>
      <c r="AI5026">
        <v>94.406305993527994</v>
      </c>
      <c r="AJ5026">
        <v>109.38517997272299</v>
      </c>
      <c r="AK5026">
        <v>14.4603796063213</v>
      </c>
      <c r="AL5026">
        <v>90.513404094367402</v>
      </c>
      <c r="AM5026">
        <v>96.064435075257506</v>
      </c>
      <c r="AN5026">
        <v>1.0000000078718301</v>
      </c>
    </row>
    <row r="5027" spans="1:40" x14ac:dyDescent="0.3">
      <c r="A5027" t="str">
        <f>"20200111160603102"</f>
        <v>20200111160603102</v>
      </c>
      <c r="B5027" t="str">
        <f>"1578729963097334"</f>
        <v>1578729963097334</v>
      </c>
      <c r="C5027" t="s">
        <v>40</v>
      </c>
      <c r="D5027">
        <v>5.2811409999999999</v>
      </c>
      <c r="E5027">
        <v>0.39658500000000002</v>
      </c>
      <c r="F5027" t="s">
        <v>83</v>
      </c>
      <c r="G5027">
        <v>-380.03320000000002</v>
      </c>
      <c r="H5027" s="1">
        <v>-5.2797030000000003E-6</v>
      </c>
      <c r="I5027">
        <v>22.801310000000001</v>
      </c>
      <c r="J5027">
        <v>-394.49099999999999</v>
      </c>
      <c r="K5027">
        <v>1.110986</v>
      </c>
      <c r="L5027">
        <v>19.34534</v>
      </c>
      <c r="M5027">
        <v>0.99445340000000004</v>
      </c>
      <c r="N5027">
        <v>0</v>
      </c>
      <c r="O5027">
        <v>-0.10385900000000001</v>
      </c>
      <c r="P5027">
        <v>0.99973259999999997</v>
      </c>
      <c r="Q5027">
        <v>-2.299733E-2</v>
      </c>
      <c r="R5027">
        <v>2.423494E-3</v>
      </c>
      <c r="S5027">
        <v>2.9946899999999999</v>
      </c>
      <c r="T5027">
        <v>-0.22837940000000001</v>
      </c>
      <c r="U5027">
        <v>0.70831299999999997</v>
      </c>
      <c r="V5027">
        <v>-0.10625329999999999</v>
      </c>
      <c r="W5027">
        <v>-6.5304319999999897E-3</v>
      </c>
      <c r="X5027">
        <v>0.99431769999999997</v>
      </c>
      <c r="Y5027">
        <v>-0.32881500000000002</v>
      </c>
      <c r="Z5027">
        <v>2.0166139999999999E-2</v>
      </c>
      <c r="AA5027">
        <v>0.94417910000000005</v>
      </c>
      <c r="AB5027">
        <v>13</v>
      </c>
      <c r="AC5027">
        <v>14.457799999999899</v>
      </c>
      <c r="AD5027">
        <v>-1.1109912797029999</v>
      </c>
      <c r="AE5027">
        <v>3.4559700000000002</v>
      </c>
      <c r="AF5027">
        <v>-4.91161949334494</v>
      </c>
      <c r="AG5027">
        <v>-1.1109912797029999</v>
      </c>
      <c r="AH5027">
        <v>13.942726808580099</v>
      </c>
      <c r="AI5027">
        <v>94.298019506986506</v>
      </c>
      <c r="AJ5027">
        <v>109.405887019486</v>
      </c>
      <c r="AK5027">
        <v>14.824234837916</v>
      </c>
      <c r="AL5027">
        <v>90.374168833039604</v>
      </c>
      <c r="AM5027">
        <v>96.099509587867601</v>
      </c>
      <c r="AN5027">
        <v>1.00000004941814</v>
      </c>
    </row>
    <row r="5028" spans="1:40" x14ac:dyDescent="0.3">
      <c r="A5028" t="str">
        <f>"20200111160603117"</f>
        <v>20200111160603117</v>
      </c>
      <c r="B5028" t="str">
        <f>"1578729963107601"</f>
        <v>1578729963107601</v>
      </c>
      <c r="C5028" t="s">
        <v>40</v>
      </c>
      <c r="D5028">
        <v>5.2537010000000004</v>
      </c>
      <c r="E5028">
        <v>0.40009640000000002</v>
      </c>
      <c r="F5028" t="s">
        <v>84</v>
      </c>
      <c r="G5028">
        <v>-281.70249999999999</v>
      </c>
      <c r="H5028">
        <v>7.4668619999999999</v>
      </c>
      <c r="I5028">
        <v>50.1982</v>
      </c>
      <c r="J5028">
        <v>-394.41239999999999</v>
      </c>
      <c r="K5028">
        <v>1.1110310000000001</v>
      </c>
      <c r="L5028">
        <v>19.338039999999999</v>
      </c>
      <c r="M5028">
        <v>0.99453599999999998</v>
      </c>
      <c r="N5028">
        <v>0</v>
      </c>
      <c r="O5028">
        <v>-0.10310030000000001</v>
      </c>
      <c r="P5028">
        <v>0.99974739999999995</v>
      </c>
      <c r="Q5028">
        <v>-2.2251409999999999E-2</v>
      </c>
      <c r="R5028">
        <v>3.214228E-3</v>
      </c>
      <c r="S5028">
        <v>3.0027159999999999</v>
      </c>
      <c r="T5028">
        <v>0.16920950000000001</v>
      </c>
      <c r="U5028">
        <v>0.82138060000000002</v>
      </c>
      <c r="V5028">
        <v>-0.1062826</v>
      </c>
      <c r="W5028">
        <v>-6.0067419999999998E-3</v>
      </c>
      <c r="X5028">
        <v>0.99431780000000003</v>
      </c>
      <c r="Y5028">
        <v>-0.36121599999999998</v>
      </c>
      <c r="Z5028">
        <v>-1.57004E-2</v>
      </c>
      <c r="AA5028">
        <v>0.93235000000000001</v>
      </c>
      <c r="AB5028">
        <v>13</v>
      </c>
      <c r="AC5028">
        <v>112.7099</v>
      </c>
      <c r="AD5028">
        <v>6.3558309999999896</v>
      </c>
      <c r="AE5028">
        <v>30.860159999999901</v>
      </c>
      <c r="AF5028">
        <v>-42.192831354471103</v>
      </c>
      <c r="AG5028">
        <v>6.3558309999999896</v>
      </c>
      <c r="AH5028">
        <v>108.605708565491</v>
      </c>
      <c r="AI5028">
        <v>86.877604784659297</v>
      </c>
      <c r="AJ5028">
        <v>111.230925394268</v>
      </c>
      <c r="AK5028">
        <v>116.686895315711</v>
      </c>
      <c r="AL5028">
        <v>90.344163041851601</v>
      </c>
      <c r="AM5028">
        <v>96.101178271804102</v>
      </c>
      <c r="AN5028">
        <v>0.99999997970452703</v>
      </c>
    </row>
    <row r="5029" spans="1:40" x14ac:dyDescent="0.3">
      <c r="A5029" t="str">
        <f>"20200111160603136"</f>
        <v>20200111160603136</v>
      </c>
      <c r="B5029" t="str">
        <f>"1578729963127121"</f>
        <v>1578729963127121</v>
      </c>
      <c r="C5029" t="s">
        <v>40</v>
      </c>
      <c r="D5029">
        <v>6.622325</v>
      </c>
      <c r="E5029">
        <v>0.4029529</v>
      </c>
      <c r="F5029" t="s">
        <v>84</v>
      </c>
      <c r="G5029">
        <v>-280.86259999999999</v>
      </c>
      <c r="H5029">
        <v>6.0024940000000004</v>
      </c>
      <c r="I5029">
        <v>49.517859999999999</v>
      </c>
      <c r="J5029">
        <v>-394.29129999999998</v>
      </c>
      <c r="K5029">
        <v>1.1111089999999999</v>
      </c>
      <c r="L5029">
        <v>19.326930000000001</v>
      </c>
      <c r="M5029">
        <v>0.99465760000000003</v>
      </c>
      <c r="N5029">
        <v>0</v>
      </c>
      <c r="O5029">
        <v>-0.1019693</v>
      </c>
      <c r="P5029">
        <v>0.99976659999999995</v>
      </c>
      <c r="Q5029">
        <v>-2.1222479999999998E-2</v>
      </c>
      <c r="R5029">
        <v>4.0628909999999999E-3</v>
      </c>
      <c r="S5029">
        <v>3.0010680000000001</v>
      </c>
      <c r="T5029">
        <v>0.12927910000000001</v>
      </c>
      <c r="U5029">
        <v>0.79763790000000001</v>
      </c>
      <c r="V5029">
        <v>-0.1059976</v>
      </c>
      <c r="W5029">
        <v>-5.3023419999999998E-3</v>
      </c>
      <c r="X5029">
        <v>0.99435220000000002</v>
      </c>
      <c r="Y5029">
        <v>-0.35369089999999997</v>
      </c>
      <c r="Z5029">
        <v>-1.180994E-2</v>
      </c>
      <c r="AA5029">
        <v>0.9352878</v>
      </c>
      <c r="AB5029">
        <v>13</v>
      </c>
      <c r="AC5029">
        <v>113.42870000000001</v>
      </c>
      <c r="AD5029">
        <v>4.8913849999999996</v>
      </c>
      <c r="AE5029">
        <v>30.190929999999899</v>
      </c>
      <c r="AF5029">
        <v>-41.529142753385003</v>
      </c>
      <c r="AG5029">
        <v>4.8913849999999996</v>
      </c>
      <c r="AH5029">
        <v>109.568086608774</v>
      </c>
      <c r="AI5029">
        <v>87.609604631147505</v>
      </c>
      <c r="AJ5029">
        <v>110.758005794862</v>
      </c>
      <c r="AK5029">
        <v>117.276429635955</v>
      </c>
      <c r="AL5029">
        <v>90.303803256340103</v>
      </c>
      <c r="AM5029">
        <v>96.084731751396802</v>
      </c>
      <c r="AN5029">
        <v>0.99999995184064105</v>
      </c>
    </row>
    <row r="5030" spans="1:40" x14ac:dyDescent="0.3">
      <c r="A5030" t="str">
        <f>"20200111160603150"</f>
        <v>20200111160603150</v>
      </c>
      <c r="B5030" t="str">
        <f>"1578729963147617"</f>
        <v>1578729963147617</v>
      </c>
      <c r="C5030" t="s">
        <v>40</v>
      </c>
      <c r="D5030">
        <v>5.2189040000000002</v>
      </c>
      <c r="E5030">
        <v>0.4064141</v>
      </c>
      <c r="F5030" t="s">
        <v>84</v>
      </c>
      <c r="G5030">
        <v>-281.70139999999998</v>
      </c>
      <c r="H5030">
        <v>4.800249</v>
      </c>
      <c r="I5030">
        <v>48.56232</v>
      </c>
      <c r="J5030">
        <v>-394.21409999999997</v>
      </c>
      <c r="K5030">
        <v>1.111146</v>
      </c>
      <c r="L5030">
        <v>19.319949999999999</v>
      </c>
      <c r="M5030">
        <v>0.99473420000000001</v>
      </c>
      <c r="N5030">
        <v>0</v>
      </c>
      <c r="O5030">
        <v>-0.10125099999999999</v>
      </c>
      <c r="P5030">
        <v>0.99977249999999995</v>
      </c>
      <c r="Q5030">
        <v>-2.0956430000000002E-2</v>
      </c>
      <c r="R5030">
        <v>3.9961939999999998E-3</v>
      </c>
      <c r="S5030">
        <v>2.9996640000000001</v>
      </c>
      <c r="T5030">
        <v>9.8287579999999999E-2</v>
      </c>
      <c r="U5030">
        <v>0.77890009999999998</v>
      </c>
      <c r="V5030">
        <v>-0.1052124</v>
      </c>
      <c r="W5030">
        <v>-5.2344649999999998E-3</v>
      </c>
      <c r="X5030">
        <v>0.99443599999999999</v>
      </c>
      <c r="Y5030">
        <v>-0.34782210000000002</v>
      </c>
      <c r="Z5030">
        <v>-8.8735140000000007E-3</v>
      </c>
      <c r="AA5030">
        <v>0.93751850000000003</v>
      </c>
      <c r="AB5030">
        <v>13</v>
      </c>
      <c r="AC5030">
        <v>112.5127</v>
      </c>
      <c r="AD5030">
        <v>3.6891029999999998</v>
      </c>
      <c r="AE5030">
        <v>29.242370000000001</v>
      </c>
      <c r="AF5030">
        <v>-40.444782700870903</v>
      </c>
      <c r="AG5030">
        <v>3.6891029999999998</v>
      </c>
      <c r="AH5030">
        <v>108.86351783764199</v>
      </c>
      <c r="AI5030">
        <v>88.180554800785501</v>
      </c>
      <c r="AJ5030">
        <v>110.380949928639</v>
      </c>
      <c r="AK5030">
        <v>116.192320936678</v>
      </c>
      <c r="AL5030">
        <v>90.299914121083802</v>
      </c>
      <c r="AM5030">
        <v>96.039486994176002</v>
      </c>
      <c r="AN5030">
        <v>1.00000000341679</v>
      </c>
    </row>
    <row r="5031" spans="1:40" x14ac:dyDescent="0.3">
      <c r="A5031" t="str">
        <f>"20200111160603169"</f>
        <v>20200111160603169</v>
      </c>
      <c r="B5031" t="str">
        <f>"1578729963157376"</f>
        <v>1578729963157376</v>
      </c>
      <c r="C5031" t="s">
        <v>40</v>
      </c>
      <c r="D5031">
        <v>5.2195830000000001</v>
      </c>
      <c r="E5031">
        <v>0.40779409999999999</v>
      </c>
      <c r="F5031" t="s">
        <v>84</v>
      </c>
      <c r="G5031">
        <v>-281.70069999999998</v>
      </c>
      <c r="H5031">
        <v>3.267455</v>
      </c>
      <c r="I5031">
        <v>47.575659999999999</v>
      </c>
      <c r="J5031">
        <v>-394.10610000000003</v>
      </c>
      <c r="K5031">
        <v>1.1111869999999999</v>
      </c>
      <c r="L5031">
        <v>19.310269999999999</v>
      </c>
      <c r="M5031">
        <v>0.99484260000000002</v>
      </c>
      <c r="N5031">
        <v>0</v>
      </c>
      <c r="O5031">
        <v>-0.10022250000000001</v>
      </c>
      <c r="P5031">
        <v>0.99978350000000005</v>
      </c>
      <c r="Q5031">
        <v>-2.060348E-2</v>
      </c>
      <c r="R5031">
        <v>2.9685919999999999E-3</v>
      </c>
      <c r="S5031">
        <v>2.9988709999999998</v>
      </c>
      <c r="T5031">
        <v>5.7473179999999999E-2</v>
      </c>
      <c r="U5031">
        <v>0.75311280000000003</v>
      </c>
      <c r="V5031">
        <v>-0.1031624</v>
      </c>
      <c r="W5031">
        <v>-5.1473020000000003E-3</v>
      </c>
      <c r="X5031">
        <v>0.99465119999999896</v>
      </c>
      <c r="Y5031">
        <v>-0.3394819</v>
      </c>
      <c r="Z5031">
        <v>-5.098025E-3</v>
      </c>
      <c r="AA5031">
        <v>0.94059879999999996</v>
      </c>
      <c r="AB5031">
        <v>13</v>
      </c>
      <c r="AC5031">
        <v>112.4054</v>
      </c>
      <c r="AD5031">
        <v>2.1562679999999999</v>
      </c>
      <c r="AE5031">
        <v>28.26539</v>
      </c>
      <c r="AF5031">
        <v>-39.376335088931398</v>
      </c>
      <c r="AG5031">
        <v>2.1562679999999999</v>
      </c>
      <c r="AH5031">
        <v>108.968418810031</v>
      </c>
      <c r="AI5031">
        <v>88.933835132397505</v>
      </c>
      <c r="AJ5031">
        <v>109.867599449848</v>
      </c>
      <c r="AK5031">
        <v>115.88469076923801</v>
      </c>
      <c r="AL5031">
        <v>90.294919984982002</v>
      </c>
      <c r="AM5031">
        <v>95.921383632299793</v>
      </c>
      <c r="AN5031">
        <v>0.99999999257653904</v>
      </c>
    </row>
    <row r="5032" spans="1:40" x14ac:dyDescent="0.3">
      <c r="A5032" t="str">
        <f>"20200111160603180"</f>
        <v>20200111160603180</v>
      </c>
      <c r="B5032" t="str">
        <f>"1578729963176897"</f>
        <v>1578729963176897</v>
      </c>
      <c r="C5032" t="s">
        <v>40</v>
      </c>
      <c r="D5032">
        <v>5.2233669999999996</v>
      </c>
      <c r="E5032">
        <v>0.40948200000000001</v>
      </c>
      <c r="F5032" t="s">
        <v>84</v>
      </c>
      <c r="G5032">
        <v>-280.86259999999999</v>
      </c>
      <c r="H5032">
        <v>1.8222419999999999</v>
      </c>
      <c r="I5032">
        <v>47.291870000000003</v>
      </c>
      <c r="J5032">
        <v>-394.03250000000003</v>
      </c>
      <c r="K5032">
        <v>1.1112059999999999</v>
      </c>
      <c r="L5032">
        <v>19.30377</v>
      </c>
      <c r="M5032">
        <v>0.99491799999999997</v>
      </c>
      <c r="N5032">
        <v>0</v>
      </c>
      <c r="O5032">
        <v>-9.9495810000000004E-2</v>
      </c>
      <c r="P5032">
        <v>0.99979340000000005</v>
      </c>
      <c r="Q5032">
        <v>-2.0187839999999999E-2</v>
      </c>
      <c r="R5032">
        <v>2.3337430000000001E-3</v>
      </c>
      <c r="S5032">
        <v>2.9988709999999998</v>
      </c>
      <c r="T5032">
        <v>1.882994E-2</v>
      </c>
      <c r="U5032">
        <v>0.74099729999999997</v>
      </c>
      <c r="V5032">
        <v>-0.10180549999999999</v>
      </c>
      <c r="W5032">
        <v>-4.9030089999999998E-3</v>
      </c>
      <c r="X5032">
        <v>0.99479220000000002</v>
      </c>
      <c r="Y5032">
        <v>-0.33528150000000001</v>
      </c>
      <c r="Z5032">
        <v>-1.653671E-3</v>
      </c>
      <c r="AA5032">
        <v>0.94211659999999997</v>
      </c>
      <c r="AB5032">
        <v>13</v>
      </c>
      <c r="AC5032">
        <v>113.1699</v>
      </c>
      <c r="AD5032">
        <v>0.711036</v>
      </c>
      <c r="AE5032">
        <v>27.988099999999999</v>
      </c>
      <c r="AF5032">
        <v>-39.109009729147701</v>
      </c>
      <c r="AG5032">
        <v>0.711036</v>
      </c>
      <c r="AH5032">
        <v>109.81909796414</v>
      </c>
      <c r="AI5032">
        <v>89.650535455543505</v>
      </c>
      <c r="AJ5032">
        <v>109.601939078497</v>
      </c>
      <c r="AK5032">
        <v>116.577246887397</v>
      </c>
      <c r="AL5032">
        <v>90.280922859328598</v>
      </c>
      <c r="AM5032">
        <v>95.843219408123005</v>
      </c>
      <c r="AN5032">
        <v>0.99999996025417104</v>
      </c>
    </row>
    <row r="5033" spans="1:40" x14ac:dyDescent="0.3">
      <c r="A5033" t="str">
        <f>"20200111160603193"</f>
        <v>20200111160603193</v>
      </c>
      <c r="B5033" t="str">
        <f>"1578729963187633"</f>
        <v>1578729963187633</v>
      </c>
      <c r="C5033" t="s">
        <v>40</v>
      </c>
      <c r="D5033">
        <v>5.1216910000000002</v>
      </c>
      <c r="E5033">
        <v>0.40948200000000001</v>
      </c>
      <c r="F5033" t="s">
        <v>41</v>
      </c>
      <c r="G5033">
        <v>-305.54180000000002</v>
      </c>
      <c r="H5033" s="1">
        <v>-1.9984370000000002E-6</v>
      </c>
      <c r="I5033">
        <v>40.81035</v>
      </c>
      <c r="J5033">
        <v>-393.96019999999999</v>
      </c>
      <c r="K5033">
        <v>1.1112200000000001</v>
      </c>
      <c r="L5033">
        <v>19.29739</v>
      </c>
      <c r="M5033">
        <v>0.99499369999999998</v>
      </c>
      <c r="N5033">
        <v>0</v>
      </c>
      <c r="O5033">
        <v>-9.876008E-2</v>
      </c>
      <c r="P5033">
        <v>0.99980829999999998</v>
      </c>
      <c r="Q5033">
        <v>-1.9518379999999998E-2</v>
      </c>
      <c r="R5033">
        <v>1.641261E-3</v>
      </c>
      <c r="S5033">
        <v>2.9981689999999999</v>
      </c>
      <c r="T5033">
        <v>-3.7649040000000002E-2</v>
      </c>
      <c r="U5033">
        <v>0.72866819999999999</v>
      </c>
      <c r="V5033">
        <v>-0.1003821</v>
      </c>
      <c r="W5033">
        <v>-4.3836719999999999E-3</v>
      </c>
      <c r="X5033">
        <v>0.99493929999999997</v>
      </c>
      <c r="Y5033">
        <v>-0.33095380000000002</v>
      </c>
      <c r="Z5033">
        <v>3.272671E-3</v>
      </c>
      <c r="AA5033">
        <v>0.94364130000000002</v>
      </c>
      <c r="AB5033">
        <v>13</v>
      </c>
      <c r="AC5033">
        <v>88.418399999999906</v>
      </c>
      <c r="AD5033">
        <v>-1.111221998437</v>
      </c>
      <c r="AE5033">
        <v>21.51296</v>
      </c>
      <c r="AF5033">
        <v>-30.1365003961185</v>
      </c>
      <c r="AG5033">
        <v>-1.111221998437</v>
      </c>
      <c r="AH5033">
        <v>85.848373158942707</v>
      </c>
      <c r="AI5033">
        <v>90.699737544224206</v>
      </c>
      <c r="AJ5033">
        <v>109.343284544376</v>
      </c>
      <c r="AK5033">
        <v>90.991134977491797</v>
      </c>
      <c r="AL5033">
        <v>90.251166709647293</v>
      </c>
      <c r="AM5033">
        <v>95.761229473870301</v>
      </c>
      <c r="AN5033">
        <v>0.99999999663255101</v>
      </c>
    </row>
    <row r="5034" spans="1:40" x14ac:dyDescent="0.3">
      <c r="A5034" t="str">
        <f>"20200111160603214"</f>
        <v>20200111160603214</v>
      </c>
      <c r="B5034" t="str">
        <f>"1578729963207153"</f>
        <v>1578729963207153</v>
      </c>
      <c r="C5034" t="s">
        <v>40</v>
      </c>
      <c r="D5034">
        <v>5.2168979999999996</v>
      </c>
      <c r="E5034">
        <v>0.41046840000000001</v>
      </c>
      <c r="F5034" t="s">
        <v>41</v>
      </c>
      <c r="G5034">
        <v>-300.2996</v>
      </c>
      <c r="H5034" s="1">
        <v>-1.109903E-6</v>
      </c>
      <c r="I5034">
        <v>41.99053</v>
      </c>
      <c r="J5034">
        <v>-393.83609999999999</v>
      </c>
      <c r="K5034">
        <v>1.1112580000000001</v>
      </c>
      <c r="L5034">
        <v>19.286619999999999</v>
      </c>
      <c r="M5034">
        <v>0.99512469999999997</v>
      </c>
      <c r="N5034">
        <v>0</v>
      </c>
      <c r="O5034">
        <v>-9.7468239999999998E-2</v>
      </c>
      <c r="P5034">
        <v>0.99982969999999904</v>
      </c>
      <c r="Q5034">
        <v>-1.8458349999999998E-2</v>
      </c>
      <c r="R5034">
        <v>-3.6259060000000002E-4</v>
      </c>
      <c r="S5034">
        <v>2.9987180000000002</v>
      </c>
      <c r="T5034">
        <v>-3.5577770000000002E-2</v>
      </c>
      <c r="U5034">
        <v>0.7265625</v>
      </c>
      <c r="V5034">
        <v>-9.7098359999999995E-2</v>
      </c>
      <c r="W5034">
        <v>-3.5502490000000001E-3</v>
      </c>
      <c r="X5034">
        <v>0.9952685</v>
      </c>
      <c r="Y5034">
        <v>-0.32906590000000002</v>
      </c>
      <c r="Z5034">
        <v>3.0661410000000001E-3</v>
      </c>
      <c r="AA5034">
        <v>0.94430199999999997</v>
      </c>
      <c r="AB5034">
        <v>13</v>
      </c>
      <c r="AC5034">
        <v>93.536500000000004</v>
      </c>
      <c r="AD5034">
        <v>-1.111259109903</v>
      </c>
      <c r="AE5034">
        <v>22.70391</v>
      </c>
      <c r="AF5034">
        <v>-31.709429135079901</v>
      </c>
      <c r="AG5034">
        <v>-1.111259109903</v>
      </c>
      <c r="AH5034">
        <v>90.865764540708398</v>
      </c>
      <c r="AI5034">
        <v>90.661552809873101</v>
      </c>
      <c r="AJ5034">
        <v>109.237456888399</v>
      </c>
      <c r="AK5034">
        <v>96.2460906138502</v>
      </c>
      <c r="AL5034">
        <v>90.203414702808601</v>
      </c>
      <c r="AM5034">
        <v>95.572140444763605</v>
      </c>
      <c r="AN5034">
        <v>1.0000000414374499</v>
      </c>
    </row>
    <row r="5035" spans="1:40" x14ac:dyDescent="0.3">
      <c r="A5035" t="str">
        <f>"20200111160603236"</f>
        <v>20200111160603236</v>
      </c>
      <c r="B5035" t="str">
        <f>"1578729963226672"</f>
        <v>1578729963226672</v>
      </c>
      <c r="C5035" t="s">
        <v>40</v>
      </c>
      <c r="D5035">
        <v>5.8678879999999998</v>
      </c>
      <c r="E5035">
        <v>0.41197440000000002</v>
      </c>
      <c r="F5035" t="s">
        <v>41</v>
      </c>
      <c r="G5035">
        <v>-338.86649999999997</v>
      </c>
      <c r="H5035">
        <v>7.9986630000000003E-2</v>
      </c>
      <c r="I5035">
        <v>32.36974</v>
      </c>
      <c r="J5035">
        <v>-393.70890000000003</v>
      </c>
      <c r="K5035">
        <v>1.1113010000000001</v>
      </c>
      <c r="L5035">
        <v>19.275759999999998</v>
      </c>
      <c r="M5035">
        <v>0.99525960000000002</v>
      </c>
      <c r="N5035">
        <v>0</v>
      </c>
      <c r="O5035">
        <v>-9.6110639999999997E-2</v>
      </c>
      <c r="P5035">
        <v>0.99985239999999997</v>
      </c>
      <c r="Q5035">
        <v>-1.6989580000000001E-2</v>
      </c>
      <c r="R5035">
        <v>-2.5857800000000002E-3</v>
      </c>
      <c r="S5035">
        <v>2.9997250000000002</v>
      </c>
      <c r="T5035">
        <v>-5.627716E-2</v>
      </c>
      <c r="U5035">
        <v>0.71395869999999995</v>
      </c>
      <c r="V5035">
        <v>-9.3531139999999999E-2</v>
      </c>
      <c r="W5035">
        <v>-2.2746250000000002E-3</v>
      </c>
      <c r="X5035">
        <v>0.99561379999999999</v>
      </c>
      <c r="Y5035">
        <v>-0.323907</v>
      </c>
      <c r="Z5035">
        <v>4.7775669999999999E-3</v>
      </c>
      <c r="AA5035">
        <v>0.9460769</v>
      </c>
      <c r="AB5035">
        <v>13</v>
      </c>
      <c r="AC5035">
        <v>54.842399999999998</v>
      </c>
      <c r="AD5035">
        <v>-1.03131437</v>
      </c>
      <c r="AE5035">
        <v>13.093979999999901</v>
      </c>
      <c r="AF5035">
        <v>-18.298748927354001</v>
      </c>
      <c r="AG5035">
        <v>-1.03131437</v>
      </c>
      <c r="AH5035">
        <v>53.312013524887497</v>
      </c>
      <c r="AI5035">
        <v>91.0482276499542</v>
      </c>
      <c r="AJ5035">
        <v>108.94420680420301</v>
      </c>
      <c r="AK5035">
        <v>56.374449954867899</v>
      </c>
      <c r="AL5035">
        <v>90.130326519200807</v>
      </c>
      <c r="AM5035">
        <v>95.366797585589694</v>
      </c>
      <c r="AN5035">
        <v>1.00000004340951</v>
      </c>
    </row>
    <row r="5036" spans="1:40" x14ac:dyDescent="0.3">
      <c r="A5036" t="str">
        <f>"20200111160603249"</f>
        <v>20200111160603249</v>
      </c>
      <c r="B5036" t="str">
        <f>"1578729963247169"</f>
        <v>1578729963247169</v>
      </c>
      <c r="C5036" t="s">
        <v>40</v>
      </c>
      <c r="D5036">
        <v>5.837593</v>
      </c>
      <c r="E5036">
        <v>0.47585729999999998</v>
      </c>
      <c r="F5036" t="s">
        <v>41</v>
      </c>
      <c r="G5036">
        <v>-346.40350000000001</v>
      </c>
      <c r="H5036">
        <v>7.9985819999999999E-2</v>
      </c>
      <c r="I5036">
        <v>30.24615</v>
      </c>
      <c r="J5036">
        <v>-393.63569999999999</v>
      </c>
      <c r="K5036">
        <v>1.1113280000000001</v>
      </c>
      <c r="L5036">
        <v>19.26962</v>
      </c>
      <c r="M5036">
        <v>0.99533769999999999</v>
      </c>
      <c r="N5036">
        <v>0</v>
      </c>
      <c r="O5036">
        <v>-9.5315479999999994E-2</v>
      </c>
      <c r="P5036">
        <v>0.99986030000000004</v>
      </c>
      <c r="Q5036">
        <v>-1.634876E-2</v>
      </c>
      <c r="R5036">
        <v>-3.5370240000000002E-3</v>
      </c>
      <c r="S5036">
        <v>3.0011290000000002</v>
      </c>
      <c r="T5036">
        <v>-6.5428260000000002E-2</v>
      </c>
      <c r="U5036">
        <v>0.69598389999999999</v>
      </c>
      <c r="V5036">
        <v>-9.1790200000000002E-2</v>
      </c>
      <c r="W5036">
        <v>-1.733294E-3</v>
      </c>
      <c r="X5036">
        <v>0.99577680000000002</v>
      </c>
      <c r="Y5036">
        <v>-0.31765110000000002</v>
      </c>
      <c r="Z5036">
        <v>5.470908E-3</v>
      </c>
      <c r="AA5036">
        <v>0.94819189999999998</v>
      </c>
      <c r="AB5036">
        <v>13</v>
      </c>
      <c r="AC5036">
        <v>47.232199999999899</v>
      </c>
      <c r="AD5036">
        <v>-1.03134218</v>
      </c>
      <c r="AE5036">
        <v>10.97653</v>
      </c>
      <c r="AF5036">
        <v>-15.4220180937031</v>
      </c>
      <c r="AG5036">
        <v>-1.03134218</v>
      </c>
      <c r="AH5036">
        <v>45.949977092801198</v>
      </c>
      <c r="AI5036">
        <v>91.218979145032307</v>
      </c>
      <c r="AJ5036">
        <v>108.553103927577</v>
      </c>
      <c r="AK5036">
        <v>48.479920622910598</v>
      </c>
      <c r="AL5036">
        <v>90.099310486513602</v>
      </c>
      <c r="AM5036">
        <v>95.266612618632905</v>
      </c>
      <c r="AN5036">
        <v>0.999999940271183</v>
      </c>
    </row>
    <row r="5037" spans="1:40" x14ac:dyDescent="0.3">
      <c r="A5037" t="str">
        <f>"20200111160603270"</f>
        <v>20200111160603270</v>
      </c>
      <c r="B5037" t="str">
        <f>"1578729963266689"</f>
        <v>1578729963266689</v>
      </c>
      <c r="C5037" t="s">
        <v>40</v>
      </c>
      <c r="D5037">
        <v>5.6840909999999996</v>
      </c>
      <c r="E5037">
        <v>0.48037489999999999</v>
      </c>
      <c r="F5037" t="s">
        <v>83</v>
      </c>
      <c r="G5037">
        <v>-381.9556</v>
      </c>
      <c r="H5037" s="1">
        <v>-3.9127839999999996E-6</v>
      </c>
      <c r="I5037">
        <v>20.028690000000001</v>
      </c>
      <c r="J5037">
        <v>-393.5172</v>
      </c>
      <c r="K5037">
        <v>1.1113759999999999</v>
      </c>
      <c r="L5037">
        <v>19.259799999999998</v>
      </c>
      <c r="M5037">
        <v>0.99546460000000003</v>
      </c>
      <c r="N5037">
        <v>0</v>
      </c>
      <c r="O5037">
        <v>-9.4002240000000001E-2</v>
      </c>
      <c r="P5037">
        <v>0.9998631</v>
      </c>
      <c r="Q5037">
        <v>-1.567969E-2</v>
      </c>
      <c r="R5037">
        <v>-5.2756790000000001E-3</v>
      </c>
      <c r="S5037">
        <v>2.996429</v>
      </c>
      <c r="T5037">
        <v>-0.28510249999999998</v>
      </c>
      <c r="U5037">
        <v>0.19473270000000001</v>
      </c>
      <c r="V5037">
        <v>-8.8745760000000007E-2</v>
      </c>
      <c r="W5037">
        <v>-1.2102320000000001E-3</v>
      </c>
      <c r="X5037">
        <v>0.99605359999999998</v>
      </c>
      <c r="Y5037">
        <v>-0.15724779999999999</v>
      </c>
      <c r="Z5037">
        <v>1.6368609999999999E-2</v>
      </c>
      <c r="AA5037">
        <v>0.98742350000000001</v>
      </c>
      <c r="AB5037">
        <v>13</v>
      </c>
      <c r="AC5037">
        <v>11.5616</v>
      </c>
      <c r="AD5037">
        <v>-1.1113799127839901</v>
      </c>
      <c r="AE5037">
        <v>0.76889000000000196</v>
      </c>
      <c r="AF5037">
        <v>-1.8355308226063001</v>
      </c>
      <c r="AG5037">
        <v>-1.1113799127839901</v>
      </c>
      <c r="AH5037">
        <v>11.333841288385599</v>
      </c>
      <c r="AI5037">
        <v>95.528854202088894</v>
      </c>
      <c r="AJ5037">
        <v>99.199256622103604</v>
      </c>
      <c r="AK5037">
        <v>11.535176507604501</v>
      </c>
      <c r="AL5037">
        <v>90.069341201071694</v>
      </c>
      <c r="AM5037">
        <v>95.091459309003199</v>
      </c>
      <c r="AN5037">
        <v>1.0000000243262099</v>
      </c>
    </row>
    <row r="5038" spans="1:40" x14ac:dyDescent="0.3">
      <c r="A5038" t="str">
        <f>"20200111160603292"</f>
        <v>20200111160603292</v>
      </c>
      <c r="B5038" t="str">
        <f>"1578729963287185"</f>
        <v>1578729963287185</v>
      </c>
      <c r="C5038" t="s">
        <v>40</v>
      </c>
      <c r="D5038">
        <v>5.606789</v>
      </c>
      <c r="E5038">
        <v>0.48190769999999999</v>
      </c>
      <c r="F5038" t="s">
        <v>83</v>
      </c>
      <c r="G5038">
        <v>-382.70960000000002</v>
      </c>
      <c r="H5038" s="1">
        <v>-3.4998380000000001E-6</v>
      </c>
      <c r="I5038">
        <v>19.816210000000002</v>
      </c>
      <c r="J5038">
        <v>-393.38650000000001</v>
      </c>
      <c r="K5038">
        <v>1.1114219999999999</v>
      </c>
      <c r="L5038">
        <v>19.249210000000001</v>
      </c>
      <c r="M5038">
        <v>0.99560590000000004</v>
      </c>
      <c r="N5038">
        <v>0</v>
      </c>
      <c r="O5038">
        <v>-9.2516150000000005E-2</v>
      </c>
      <c r="P5038">
        <v>0.99987890000000001</v>
      </c>
      <c r="Q5038">
        <v>-1.455918E-2</v>
      </c>
      <c r="R5038">
        <v>-5.4815080000000004E-3</v>
      </c>
      <c r="S5038">
        <v>2.996429</v>
      </c>
      <c r="T5038">
        <v>-0.3081315</v>
      </c>
      <c r="U5038">
        <v>0.1542664</v>
      </c>
      <c r="V5038">
        <v>-8.7056750000000002E-2</v>
      </c>
      <c r="W5038">
        <v>-2.376596E-4</v>
      </c>
      <c r="X5038">
        <v>0.99620330000000001</v>
      </c>
      <c r="Y5038">
        <v>-0.1423624</v>
      </c>
      <c r="Z5038">
        <v>1.6774589999999999E-2</v>
      </c>
      <c r="AA5038">
        <v>0.98967240000000001</v>
      </c>
      <c r="AB5038">
        <v>13</v>
      </c>
      <c r="AC5038">
        <v>10.6768999999999</v>
      </c>
      <c r="AD5038">
        <v>-1.111425499838</v>
      </c>
      <c r="AE5038">
        <v>0.56699999999999995</v>
      </c>
      <c r="AF5038">
        <v>-1.5358611345850799</v>
      </c>
      <c r="AG5038">
        <v>-1.111425499838</v>
      </c>
      <c r="AH5038">
        <v>10.4655508178212</v>
      </c>
      <c r="AI5038">
        <v>95.9982318303108</v>
      </c>
      <c r="AJ5038">
        <v>98.348788320598402</v>
      </c>
      <c r="AK5038">
        <v>10.6358774902129</v>
      </c>
      <c r="AL5038">
        <v>90.013616892515202</v>
      </c>
      <c r="AM5038">
        <v>94.9943067612341</v>
      </c>
      <c r="AN5038">
        <v>0.99999997456676804</v>
      </c>
    </row>
    <row r="5039" spans="1:40" x14ac:dyDescent="0.3">
      <c r="A5039" t="str">
        <f>"20200111160603304"</f>
        <v>20200111160603304</v>
      </c>
      <c r="B5039" t="str">
        <f>"1578729963296945"</f>
        <v>1578729963296945</v>
      </c>
      <c r="C5039" t="s">
        <v>40</v>
      </c>
      <c r="D5039">
        <v>5.608822</v>
      </c>
      <c r="E5039">
        <v>0.48290729999999998</v>
      </c>
      <c r="F5039" t="s">
        <v>83</v>
      </c>
      <c r="G5039">
        <v>-382.82119999999998</v>
      </c>
      <c r="H5039" s="1">
        <v>-3.4289389999999999E-6</v>
      </c>
      <c r="I5039">
        <v>19.74794</v>
      </c>
      <c r="J5039">
        <v>-393.31360000000001</v>
      </c>
      <c r="K5039">
        <v>1.111442</v>
      </c>
      <c r="L5039">
        <v>19.24335</v>
      </c>
      <c r="M5039">
        <v>0.99568469999999998</v>
      </c>
      <c r="N5039">
        <v>0</v>
      </c>
      <c r="O5039">
        <v>-9.1675660000000006E-2</v>
      </c>
      <c r="P5039">
        <v>0.99988719999999998</v>
      </c>
      <c r="Q5039">
        <v>-1.402669E-2</v>
      </c>
      <c r="R5039">
        <v>-5.4019319999999999E-3</v>
      </c>
      <c r="S5039">
        <v>2.9964900000000001</v>
      </c>
      <c r="T5039">
        <v>-0.3152182</v>
      </c>
      <c r="U5039">
        <v>0.14144899999999999</v>
      </c>
      <c r="V5039">
        <v>-8.6296200000000003E-2</v>
      </c>
      <c r="W5039">
        <v>2.1821659999999999E-4</v>
      </c>
      <c r="X5039">
        <v>0.99626950000000003</v>
      </c>
      <c r="Y5039">
        <v>-0.13727609999999901</v>
      </c>
      <c r="Z5039">
        <v>1.6804659999999999E-2</v>
      </c>
      <c r="AA5039">
        <v>0.9903902</v>
      </c>
      <c r="AB5039">
        <v>13</v>
      </c>
      <c r="AC5039">
        <v>10.4924</v>
      </c>
      <c r="AD5039">
        <v>-1.1114454289389999</v>
      </c>
      <c r="AE5039">
        <v>0.50458999999999998</v>
      </c>
      <c r="AF5039">
        <v>-1.44824910028216</v>
      </c>
      <c r="AG5039">
        <v>-1.1114454289389999</v>
      </c>
      <c r="AH5039">
        <v>10.286782714374</v>
      </c>
      <c r="AI5039">
        <v>96.106892159991801</v>
      </c>
      <c r="AJ5039">
        <v>98.013851451793997</v>
      </c>
      <c r="AK5039">
        <v>10.4475181268434</v>
      </c>
      <c r="AL5039">
        <v>89.987497109690906</v>
      </c>
      <c r="AM5039">
        <v>94.950565690045394</v>
      </c>
      <c r="AN5039">
        <v>0.999999999191587</v>
      </c>
    </row>
    <row r="5040" spans="1:40" x14ac:dyDescent="0.3">
      <c r="A5040" t="str">
        <f>"20200111160603316"</f>
        <v>20200111160603316</v>
      </c>
      <c r="B5040" t="str">
        <f>"1578729963306705"</f>
        <v>1578729963306705</v>
      </c>
      <c r="C5040" t="s">
        <v>40</v>
      </c>
      <c r="D5040">
        <v>5.5968609999999996</v>
      </c>
      <c r="E5040">
        <v>0.4836625</v>
      </c>
      <c r="F5040" t="s">
        <v>83</v>
      </c>
      <c r="G5040">
        <v>-382.9298</v>
      </c>
      <c r="H5040" s="1">
        <v>-3.3667170000000001E-6</v>
      </c>
      <c r="I5040">
        <v>19.707070000000002</v>
      </c>
      <c r="J5040">
        <v>-393.2423</v>
      </c>
      <c r="K5040">
        <v>1.1114569999999999</v>
      </c>
      <c r="L5040">
        <v>19.237760000000002</v>
      </c>
      <c r="M5040">
        <v>0.99576209999999998</v>
      </c>
      <c r="N5040">
        <v>0</v>
      </c>
      <c r="O5040">
        <v>-9.0842930000000002E-2</v>
      </c>
      <c r="P5040">
        <v>0.99989830000000002</v>
      </c>
      <c r="Q5040">
        <v>-1.3404360000000001E-2</v>
      </c>
      <c r="R5040">
        <v>-4.8913300000000002E-3</v>
      </c>
      <c r="S5040">
        <v>2.996521</v>
      </c>
      <c r="T5040">
        <v>-0.32073689999999999</v>
      </c>
      <c r="U5040">
        <v>0.13381960000000001</v>
      </c>
      <c r="V5040">
        <v>-8.597312E-2</v>
      </c>
      <c r="W5040">
        <v>7.7468529999999999E-4</v>
      </c>
      <c r="X5040">
        <v>0.99629719999999999</v>
      </c>
      <c r="Y5040">
        <v>-0.13390959999999999</v>
      </c>
      <c r="Z5040">
        <v>1.6829520000000001E-2</v>
      </c>
      <c r="AA5040">
        <v>0.99085060000000003</v>
      </c>
      <c r="AB5040">
        <v>13</v>
      </c>
      <c r="AC5040">
        <v>10.3125</v>
      </c>
      <c r="AD5040">
        <v>-1.111460366717</v>
      </c>
      <c r="AE5040">
        <v>0.46931</v>
      </c>
      <c r="AF5040">
        <v>-1.3881910285835699</v>
      </c>
      <c r="AG5040">
        <v>-1.111460366717</v>
      </c>
      <c r="AH5040">
        <v>10.1100173899541</v>
      </c>
      <c r="AI5040">
        <v>96.215847076076003</v>
      </c>
      <c r="AJ5040">
        <v>97.818306046518899</v>
      </c>
      <c r="AK5040">
        <v>10.2652262568244</v>
      </c>
      <c r="AL5040">
        <v>89.955613799377502</v>
      </c>
      <c r="AM5040">
        <v>94.931986659693905</v>
      </c>
      <c r="AN5040">
        <v>1.0000000441138399</v>
      </c>
    </row>
    <row r="5041" spans="1:40" x14ac:dyDescent="0.3">
      <c r="A5041" t="str">
        <f>"20200111160603336"</f>
        <v>20200111160603336</v>
      </c>
      <c r="B5041" t="str">
        <f>"1578729963327203"</f>
        <v>1578729963327203</v>
      </c>
      <c r="C5041" t="s">
        <v>40</v>
      </c>
      <c r="D5041">
        <v>5.6082580000000002</v>
      </c>
      <c r="E5041">
        <v>0.48446090000000003</v>
      </c>
      <c r="F5041" t="s">
        <v>83</v>
      </c>
      <c r="G5041">
        <v>-382.95780000000002</v>
      </c>
      <c r="H5041" s="1">
        <v>-3.3467390000000001E-6</v>
      </c>
      <c r="I5041">
        <v>19.681650000000001</v>
      </c>
      <c r="J5041">
        <v>-393.1277</v>
      </c>
      <c r="K5041">
        <v>1.1114740000000001</v>
      </c>
      <c r="L5041">
        <v>19.228909999999999</v>
      </c>
      <c r="M5041">
        <v>0.99588540000000003</v>
      </c>
      <c r="N5041">
        <v>0</v>
      </c>
      <c r="O5041">
        <v>-8.9495409999999997E-2</v>
      </c>
      <c r="P5041">
        <v>0.99991169999999996</v>
      </c>
      <c r="Q5041">
        <v>-1.255334E-2</v>
      </c>
      <c r="R5041">
        <v>-4.3841740000000002E-3</v>
      </c>
      <c r="S5041">
        <v>2.9965519999999999</v>
      </c>
      <c r="T5041">
        <v>-0.32383869999999998</v>
      </c>
      <c r="U5041">
        <v>0.12933349999999999</v>
      </c>
      <c r="V5041">
        <v>-8.5132159999999998E-2</v>
      </c>
      <c r="W5041">
        <v>1.5290410000000001E-3</v>
      </c>
      <c r="X5041">
        <v>0.99636849999999999</v>
      </c>
      <c r="Y5041">
        <v>-0.1310866</v>
      </c>
      <c r="Z5041">
        <v>1.669466E-2</v>
      </c>
      <c r="AA5041">
        <v>0.99123039999999996</v>
      </c>
      <c r="AB5041">
        <v>13</v>
      </c>
      <c r="AC5041">
        <v>10.169899999999901</v>
      </c>
      <c r="AD5041">
        <v>-1.111477346739</v>
      </c>
      <c r="AE5041">
        <v>0.45274000000000197</v>
      </c>
      <c r="AF5041">
        <v>-1.34513935061089</v>
      </c>
      <c r="AG5041">
        <v>-1.111477346739</v>
      </c>
      <c r="AH5041">
        <v>9.9697123548422404</v>
      </c>
      <c r="AI5041">
        <v>96.304713612792</v>
      </c>
      <c r="AJ5041">
        <v>97.684091495683603</v>
      </c>
      <c r="AK5041">
        <v>10.121262085489599</v>
      </c>
      <c r="AL5041">
        <v>89.912392370316894</v>
      </c>
      <c r="AM5041">
        <v>94.883630323821194</v>
      </c>
      <c r="AN5041">
        <v>1.00000000521244</v>
      </c>
    </row>
    <row r="5042" spans="1:40" x14ac:dyDescent="0.3">
      <c r="A5042" t="str">
        <f>"20200111160603350"</f>
        <v>20200111160603350</v>
      </c>
      <c r="B5042" t="str">
        <f>"1578729963346721"</f>
        <v>1578729963346721</v>
      </c>
      <c r="C5042" t="s">
        <v>40</v>
      </c>
      <c r="D5042">
        <v>5.6233409999999999</v>
      </c>
      <c r="E5042">
        <v>0.48469139999999999</v>
      </c>
      <c r="F5042" t="s">
        <v>83</v>
      </c>
      <c r="G5042">
        <v>-383.01459999999997</v>
      </c>
      <c r="H5042" s="1">
        <v>-3.3115060000000001E-6</v>
      </c>
      <c r="I5042">
        <v>19.65015</v>
      </c>
      <c r="J5042">
        <v>-393.05160000000001</v>
      </c>
      <c r="K5042">
        <v>1.1114790000000001</v>
      </c>
      <c r="L5042">
        <v>19.223109999999998</v>
      </c>
      <c r="M5042">
        <v>0.99596629999999997</v>
      </c>
      <c r="N5042">
        <v>0</v>
      </c>
      <c r="O5042">
        <v>-8.8599579999999997E-2</v>
      </c>
      <c r="P5042">
        <v>0.99992099999999995</v>
      </c>
      <c r="Q5042">
        <v>-1.204626E-2</v>
      </c>
      <c r="R5042">
        <v>-3.5837859999999998E-3</v>
      </c>
      <c r="S5042">
        <v>2.9966430000000002</v>
      </c>
      <c r="T5042">
        <v>-0.32934400000000003</v>
      </c>
      <c r="U5042">
        <v>0.124816899999999</v>
      </c>
      <c r="V5042">
        <v>-8.5034700000000005E-2</v>
      </c>
      <c r="W5042">
        <v>1.9791750000000001E-3</v>
      </c>
      <c r="X5042">
        <v>0.99637600000000004</v>
      </c>
      <c r="Y5042">
        <v>-0.12867799999999999</v>
      </c>
      <c r="Z5042">
        <v>1.6746810000000001E-2</v>
      </c>
      <c r="AA5042">
        <v>0.99154500000000001</v>
      </c>
      <c r="AB5042">
        <v>13</v>
      </c>
      <c r="AC5042">
        <v>10.037000000000001</v>
      </c>
      <c r="AD5042">
        <v>-1.111482311506</v>
      </c>
      <c r="AE5042">
        <v>0.42703999999999798</v>
      </c>
      <c r="AF5042">
        <v>-1.2988249992829399</v>
      </c>
      <c r="AG5042">
        <v>-1.111482311506</v>
      </c>
      <c r="AH5042">
        <v>9.8392396787326195</v>
      </c>
      <c r="AI5042">
        <v>96.390082993846704</v>
      </c>
      <c r="AJ5042">
        <v>97.519829951130305</v>
      </c>
      <c r="AK5042">
        <v>9.9866399135594897</v>
      </c>
      <c r="AL5042">
        <v>89.886601548754797</v>
      </c>
      <c r="AM5042">
        <v>94.878029955131197</v>
      </c>
      <c r="AN5042">
        <v>0.99999997535688501</v>
      </c>
    </row>
    <row r="5043" spans="1:40" x14ac:dyDescent="0.3">
      <c r="A5043" t="str">
        <f>"20200111160603363"</f>
        <v>20200111160603363</v>
      </c>
      <c r="B5043" t="str">
        <f>"1578729963357457"</f>
        <v>1578729963357457</v>
      </c>
      <c r="C5043" t="s">
        <v>40</v>
      </c>
      <c r="D5043">
        <v>5.723954</v>
      </c>
      <c r="E5043">
        <v>0.48465269999999999</v>
      </c>
      <c r="F5043" t="s">
        <v>83</v>
      </c>
      <c r="G5043">
        <v>-383.06560000000002</v>
      </c>
      <c r="H5043" s="1">
        <v>-3.2852419999999998E-6</v>
      </c>
      <c r="I5043">
        <v>19.642209999999999</v>
      </c>
      <c r="J5043">
        <v>-392.9753</v>
      </c>
      <c r="K5043">
        <v>1.111475</v>
      </c>
      <c r="L5043">
        <v>19.217379999999999</v>
      </c>
      <c r="M5043">
        <v>0.99604669999999895</v>
      </c>
      <c r="N5043">
        <v>0</v>
      </c>
      <c r="O5043">
        <v>-8.7701779999999993E-2</v>
      </c>
      <c r="P5043">
        <v>0.99993089999999996</v>
      </c>
      <c r="Q5043">
        <v>-1.139859E-2</v>
      </c>
      <c r="R5043">
        <v>-2.8885730000000002E-3</v>
      </c>
      <c r="S5043">
        <v>2.9966430000000002</v>
      </c>
      <c r="T5043">
        <v>-0.33353870000000002</v>
      </c>
      <c r="U5043">
        <v>0.12576289999999901</v>
      </c>
      <c r="V5043">
        <v>-8.4830269999999999E-2</v>
      </c>
      <c r="W5043">
        <v>2.574266E-3</v>
      </c>
      <c r="X5043">
        <v>0.9963921</v>
      </c>
      <c r="Y5043">
        <v>-0.1280724</v>
      </c>
      <c r="Z5043">
        <v>1.682575E-2</v>
      </c>
      <c r="AA5043">
        <v>0.99162209999999995</v>
      </c>
      <c r="AB5043">
        <v>13</v>
      </c>
      <c r="AC5043">
        <v>9.9096999999999795</v>
      </c>
      <c r="AD5043">
        <v>-1.111478285242</v>
      </c>
      <c r="AE5043">
        <v>0.42483000000000298</v>
      </c>
      <c r="AF5043">
        <v>-1.2763506381962599</v>
      </c>
      <c r="AG5043">
        <v>-1.111478285242</v>
      </c>
      <c r="AH5043">
        <v>9.7122894566242195</v>
      </c>
      <c r="AI5043">
        <v>96.473369794369205</v>
      </c>
      <c r="AJ5043">
        <v>97.486682496882594</v>
      </c>
      <c r="AK5043">
        <v>9.8586521096670499</v>
      </c>
      <c r="AL5043">
        <v>89.8525052613155</v>
      </c>
      <c r="AM5043">
        <v>94.866280923263403</v>
      </c>
      <c r="AN5043">
        <v>1.0000000092480601</v>
      </c>
    </row>
    <row r="5044" spans="1:40" x14ac:dyDescent="0.3">
      <c r="A5044" t="str">
        <f>"20200111160603381"</f>
        <v>20200111160603381</v>
      </c>
      <c r="B5044" t="str">
        <f>"1578729963376977"</f>
        <v>1578729963376977</v>
      </c>
      <c r="C5044" t="s">
        <v>40</v>
      </c>
      <c r="D5044">
        <v>5.7278079999999996</v>
      </c>
      <c r="E5044">
        <v>0.48444209999999899</v>
      </c>
      <c r="F5044" t="s">
        <v>83</v>
      </c>
      <c r="G5044">
        <v>-382.9796</v>
      </c>
      <c r="H5044" s="1">
        <v>-3.3268020000000001E-6</v>
      </c>
      <c r="I5044">
        <v>19.645510000000002</v>
      </c>
      <c r="J5044">
        <v>-392.87020000000001</v>
      </c>
      <c r="K5044">
        <v>1.1114660000000001</v>
      </c>
      <c r="L5044">
        <v>19.209589999999999</v>
      </c>
      <c r="M5044">
        <v>0.99615480000000001</v>
      </c>
      <c r="N5044">
        <v>0</v>
      </c>
      <c r="O5044">
        <v>-8.6475540000000004E-2</v>
      </c>
      <c r="P5044">
        <v>0.99995339999999999</v>
      </c>
      <c r="Q5044">
        <v>-9.5490699999999998E-3</v>
      </c>
      <c r="R5044">
        <v>-1.452484E-3</v>
      </c>
      <c r="S5044">
        <v>2.9967649999999999</v>
      </c>
      <c r="T5044">
        <v>-0.3332251</v>
      </c>
      <c r="U5044">
        <v>0.1283569</v>
      </c>
      <c r="V5044">
        <v>-8.5038799999999998E-2</v>
      </c>
      <c r="W5044">
        <v>4.3600100000000001E-3</v>
      </c>
      <c r="X5044">
        <v>0.99636809999999998</v>
      </c>
      <c r="Y5044">
        <v>-0.1277191</v>
      </c>
      <c r="Z5044">
        <v>1.6653930000000001E-2</v>
      </c>
      <c r="AA5044">
        <v>0.99167050000000001</v>
      </c>
      <c r="AB5044">
        <v>13</v>
      </c>
      <c r="AC5044">
        <v>9.8905999999999992</v>
      </c>
      <c r="AD5044">
        <v>-1.1114693268019999</v>
      </c>
      <c r="AE5044">
        <v>0.43592000000000197</v>
      </c>
      <c r="AF5044">
        <v>-1.27361362870655</v>
      </c>
      <c r="AG5044">
        <v>-1.1114693268019999</v>
      </c>
      <c r="AH5044">
        <v>9.6936635700766391</v>
      </c>
      <c r="AI5044">
        <v>96.485675126466504</v>
      </c>
      <c r="AJ5044">
        <v>97.485001750249594</v>
      </c>
      <c r="AK5044">
        <v>9.8399476192447093</v>
      </c>
      <c r="AL5044">
        <v>89.750189036625997</v>
      </c>
      <c r="AM5044">
        <v>94.878302509457399</v>
      </c>
      <c r="AN5044">
        <v>0.99999999894512404</v>
      </c>
    </row>
    <row r="5045" spans="1:40" x14ac:dyDescent="0.3">
      <c r="A5045" t="str">
        <f>"20200111160603394"</f>
        <v>20200111160603394</v>
      </c>
      <c r="B5045" t="str">
        <f>"1578729963386738"</f>
        <v>1578729963386738</v>
      </c>
      <c r="C5045" t="s">
        <v>40</v>
      </c>
      <c r="D5045">
        <v>5.6126069999999997</v>
      </c>
      <c r="E5045">
        <v>0.48462240000000001</v>
      </c>
      <c r="F5045" t="s">
        <v>83</v>
      </c>
      <c r="G5045">
        <v>-382.84280000000001</v>
      </c>
      <c r="H5045" s="1">
        <v>-3.3956580000000001E-6</v>
      </c>
      <c r="I5045">
        <v>19.661290000000001</v>
      </c>
      <c r="J5045">
        <v>-392.79829999999998</v>
      </c>
      <c r="K5045">
        <v>1.1114550000000001</v>
      </c>
      <c r="L5045">
        <v>19.204350000000002</v>
      </c>
      <c r="M5045">
        <v>0.99622659999999996</v>
      </c>
      <c r="N5045">
        <v>0</v>
      </c>
      <c r="O5045">
        <v>-8.5650710000000005E-2</v>
      </c>
      <c r="P5045">
        <v>0.99996470000000004</v>
      </c>
      <c r="Q5045">
        <v>-8.4036309999999999E-3</v>
      </c>
      <c r="R5045">
        <v>-2.9578949999999998E-4</v>
      </c>
      <c r="S5045">
        <v>2.997131</v>
      </c>
      <c r="T5045">
        <v>-0.33221139999999999</v>
      </c>
      <c r="U5045">
        <v>0.13500980000000001</v>
      </c>
      <c r="V5045">
        <v>-8.5368540000000007E-2</v>
      </c>
      <c r="W5045">
        <v>5.4662599999999997E-3</v>
      </c>
      <c r="X5045">
        <v>0.99633439999999995</v>
      </c>
      <c r="Y5045">
        <v>-0.12909480000000001</v>
      </c>
      <c r="Z5045">
        <v>1.6586010000000002E-2</v>
      </c>
      <c r="AA5045">
        <v>0.99149350000000003</v>
      </c>
      <c r="AB5045">
        <v>13</v>
      </c>
      <c r="AC5045">
        <v>9.9554999999999705</v>
      </c>
      <c r="AD5045">
        <v>-1.11145839565799</v>
      </c>
      <c r="AE5045">
        <v>0.45693999999999901</v>
      </c>
      <c r="AF5045">
        <v>-1.2919705848948499</v>
      </c>
      <c r="AG5045">
        <v>-1.11145839565799</v>
      </c>
      <c r="AH5045">
        <v>9.7583937811370198</v>
      </c>
      <c r="AI5045">
        <v>96.442117784641596</v>
      </c>
      <c r="AJ5045">
        <v>97.541859827817902</v>
      </c>
      <c r="AK5045">
        <v>9.9060979676785905</v>
      </c>
      <c r="AL5045">
        <v>89.686804797558196</v>
      </c>
      <c r="AM5045">
        <v>94.897291267491696</v>
      </c>
      <c r="AN5045">
        <v>0.99999995212173798</v>
      </c>
    </row>
    <row r="5046" spans="1:40" x14ac:dyDescent="0.3">
      <c r="A5046" t="str">
        <f>"20200111160603407"</f>
        <v>20200111160603407</v>
      </c>
      <c r="B5046" t="str">
        <f>"1578729963397473"</f>
        <v>1578729963397473</v>
      </c>
      <c r="C5046" t="s">
        <v>40</v>
      </c>
      <c r="D5046">
        <v>5.5641800000000003</v>
      </c>
      <c r="E5046">
        <v>0.48478369999999998</v>
      </c>
      <c r="F5046" t="s">
        <v>83</v>
      </c>
      <c r="G5046">
        <v>-382.74889999999999</v>
      </c>
      <c r="H5046" s="1">
        <v>-3.4409329999999998E-6</v>
      </c>
      <c r="I5046">
        <v>19.664670000000001</v>
      </c>
      <c r="J5046">
        <v>-392.726</v>
      </c>
      <c r="K5046">
        <v>1.1114440000000001</v>
      </c>
      <c r="L5046">
        <v>19.19913</v>
      </c>
      <c r="M5046">
        <v>0.9962974</v>
      </c>
      <c r="N5046">
        <v>0</v>
      </c>
      <c r="O5046">
        <v>-8.4830950000000002E-2</v>
      </c>
      <c r="P5046">
        <v>0.99997369999999997</v>
      </c>
      <c r="Q5046">
        <v>-7.2511169999999996E-3</v>
      </c>
      <c r="R5046">
        <v>7.1522950000000001E-4</v>
      </c>
      <c r="S5046">
        <v>2.9973749999999999</v>
      </c>
      <c r="T5046">
        <v>-0.33150859999999999</v>
      </c>
      <c r="U5046">
        <v>0.13729859999999999</v>
      </c>
      <c r="V5046">
        <v>-8.5557980000000006E-2</v>
      </c>
      <c r="W5046">
        <v>6.5829909999999998E-3</v>
      </c>
      <c r="X5046">
        <v>0.99631139999999996</v>
      </c>
      <c r="Y5046">
        <v>-0.12904189999999999</v>
      </c>
      <c r="Z5046">
        <v>1.6456479999999999E-2</v>
      </c>
      <c r="AA5046">
        <v>0.99150260000000001</v>
      </c>
      <c r="AB5046">
        <v>13</v>
      </c>
      <c r="AC5046">
        <v>9.9771000000000001</v>
      </c>
      <c r="AD5046">
        <v>-1.111447440933</v>
      </c>
      <c r="AE5046">
        <v>0.46554000000000001</v>
      </c>
      <c r="AF5046">
        <v>-1.2942839814835201</v>
      </c>
      <c r="AG5046">
        <v>-1.111447440933</v>
      </c>
      <c r="AH5046">
        <v>9.7805211787831698</v>
      </c>
      <c r="AI5046">
        <v>96.427654699271102</v>
      </c>
      <c r="AJ5046">
        <v>97.538312314338398</v>
      </c>
      <c r="AK5046">
        <v>9.9281962595079492</v>
      </c>
      <c r="AL5046">
        <v>89.622819657789506</v>
      </c>
      <c r="AM5046">
        <v>94.908218493146904</v>
      </c>
      <c r="AN5046">
        <v>0.99999995474107195</v>
      </c>
    </row>
    <row r="5047" spans="1:40" x14ac:dyDescent="0.3">
      <c r="A5047" t="str">
        <f>"20200111160603426"</f>
        <v>20200111160603426</v>
      </c>
      <c r="B5047" t="str">
        <f>"1578729963416995"</f>
        <v>1578729963416995</v>
      </c>
      <c r="C5047" t="s">
        <v>40</v>
      </c>
      <c r="D5047">
        <v>5.5676009999999998</v>
      </c>
      <c r="E5047">
        <v>0.4852264</v>
      </c>
      <c r="F5047" t="s">
        <v>83</v>
      </c>
      <c r="G5047">
        <v>-382.60660000000001</v>
      </c>
      <c r="H5047" s="1">
        <v>-3.5093250000000001E-6</v>
      </c>
      <c r="I5047">
        <v>19.66891</v>
      </c>
      <c r="J5047">
        <v>-392.61380000000003</v>
      </c>
      <c r="K5047">
        <v>1.111423</v>
      </c>
      <c r="L5047">
        <v>19.191040000000001</v>
      </c>
      <c r="M5047">
        <v>0.99640260000000003</v>
      </c>
      <c r="N5047">
        <v>0</v>
      </c>
      <c r="O5047">
        <v>-8.3593059999999997E-2</v>
      </c>
      <c r="P5047">
        <v>0.99998609999999999</v>
      </c>
      <c r="Q5047">
        <v>-4.7250870000000002E-3</v>
      </c>
      <c r="R5047">
        <v>2.420073E-3</v>
      </c>
      <c r="S5047">
        <v>2.9975589999999999</v>
      </c>
      <c r="T5047">
        <v>-0.32923249999999998</v>
      </c>
      <c r="U5047">
        <v>0.13916020000000001</v>
      </c>
      <c r="V5047">
        <v>-8.6021890000000004E-2</v>
      </c>
      <c r="W5047">
        <v>9.0596080000000002E-3</v>
      </c>
      <c r="X5047">
        <v>0.99625209999999997</v>
      </c>
      <c r="Y5047">
        <v>-0.1284506</v>
      </c>
      <c r="Z5047">
        <v>1.617538E-2</v>
      </c>
      <c r="AA5047">
        <v>0.99158400000000002</v>
      </c>
      <c r="AB5047">
        <v>13</v>
      </c>
      <c r="AC5047">
        <v>10.007199999999999</v>
      </c>
      <c r="AD5047">
        <v>-1.111426509325</v>
      </c>
      <c r="AE5047">
        <v>0.47786999999999902</v>
      </c>
      <c r="AF5047">
        <v>-1.29685061341166</v>
      </c>
      <c r="AG5047">
        <v>-1.111426509325</v>
      </c>
      <c r="AH5047">
        <v>9.8114689063154792</v>
      </c>
      <c r="AI5047">
        <v>96.407558240061107</v>
      </c>
      <c r="AJ5047">
        <v>97.529538276195595</v>
      </c>
      <c r="AK5047">
        <v>9.9590166431597105</v>
      </c>
      <c r="AL5047">
        <v>89.480915619670995</v>
      </c>
      <c r="AM5047">
        <v>94.934992910033102</v>
      </c>
      <c r="AN5047">
        <v>1.0000000444053401</v>
      </c>
    </row>
    <row r="5048" spans="1:40" x14ac:dyDescent="0.3">
      <c r="A5048" t="str">
        <f>"20200111160603448"</f>
        <v>20200111160603448</v>
      </c>
      <c r="B5048" t="str">
        <f>"1578729963437488"</f>
        <v>1578729963437488</v>
      </c>
      <c r="C5048" t="s">
        <v>40</v>
      </c>
      <c r="D5048">
        <v>5.5476479999999997</v>
      </c>
      <c r="E5048">
        <v>0.48569430000000002</v>
      </c>
      <c r="F5048" t="s">
        <v>83</v>
      </c>
      <c r="G5048">
        <v>-382.36759999999998</v>
      </c>
      <c r="H5048" s="1">
        <v>-3.6231219999999999E-6</v>
      </c>
      <c r="I5048">
        <v>19.671939999999999</v>
      </c>
      <c r="J5048">
        <v>-392.49250000000001</v>
      </c>
      <c r="K5048">
        <v>1.1113839999999999</v>
      </c>
      <c r="L5048">
        <v>19.182459999999999</v>
      </c>
      <c r="M5048">
        <v>0.99651049999999997</v>
      </c>
      <c r="N5048">
        <v>0</v>
      </c>
      <c r="O5048">
        <v>-8.2306320000000002E-2</v>
      </c>
      <c r="P5048">
        <v>0.99998620000000005</v>
      </c>
      <c r="Q5048">
        <v>-3.310136E-3</v>
      </c>
      <c r="R5048">
        <v>4.1215069999999999E-3</v>
      </c>
      <c r="S5048">
        <v>2.9981689999999999</v>
      </c>
      <c r="T5048">
        <v>-0.32521670000000003</v>
      </c>
      <c r="U5048">
        <v>0.1407166</v>
      </c>
      <c r="V5048">
        <v>-8.6431640000000004E-2</v>
      </c>
      <c r="W5048">
        <v>1.042997E-2</v>
      </c>
      <c r="X5048">
        <v>0.99620319999999996</v>
      </c>
      <c r="Y5048">
        <v>-0.12771749999999901</v>
      </c>
      <c r="Z5048">
        <v>1.579736E-2</v>
      </c>
      <c r="AA5048">
        <v>0.99168480000000003</v>
      </c>
      <c r="AB5048">
        <v>13</v>
      </c>
      <c r="AC5048">
        <v>10.1249</v>
      </c>
      <c r="AD5048">
        <v>-1.1113876231219999</v>
      </c>
      <c r="AE5048">
        <v>0.48948000000000003</v>
      </c>
      <c r="AF5048">
        <v>-1.3055485642573501</v>
      </c>
      <c r="AG5048">
        <v>-1.1113876231219999</v>
      </c>
      <c r="AH5048">
        <v>9.9308715254405708</v>
      </c>
      <c r="AI5048">
        <v>96.331507817337098</v>
      </c>
      <c r="AJ5048">
        <v>97.489363607477998</v>
      </c>
      <c r="AK5048">
        <v>10.0777898746337</v>
      </c>
      <c r="AL5048">
        <v>89.402395911703493</v>
      </c>
      <c r="AM5048">
        <v>94.958625133965597</v>
      </c>
      <c r="AN5048">
        <v>1.0000000141787599</v>
      </c>
    </row>
    <row r="5049" spans="1:40" x14ac:dyDescent="0.3">
      <c r="A5049" t="str">
        <f>"20200111160603460"</f>
        <v>20200111160603460</v>
      </c>
      <c r="B5049" t="str">
        <f>"1578729963457009"</f>
        <v>1578729963457009</v>
      </c>
      <c r="C5049" t="s">
        <v>40</v>
      </c>
      <c r="D5049">
        <v>5.5391649999999997</v>
      </c>
      <c r="E5049">
        <v>0.48619390000000001</v>
      </c>
      <c r="F5049" t="s">
        <v>83</v>
      </c>
      <c r="G5049">
        <v>-382.23559999999998</v>
      </c>
      <c r="H5049" s="1">
        <v>-3.6847859999999999E-6</v>
      </c>
      <c r="I5049">
        <v>19.669250000000002</v>
      </c>
      <c r="J5049">
        <v>-392.41840000000002</v>
      </c>
      <c r="K5049">
        <v>1.111362</v>
      </c>
      <c r="L5049">
        <v>19.177250000000001</v>
      </c>
      <c r="M5049">
        <v>0.9965733</v>
      </c>
      <c r="N5049">
        <v>0</v>
      </c>
      <c r="O5049">
        <v>-8.1545790000000007E-2</v>
      </c>
      <c r="P5049">
        <v>0.99998339999999997</v>
      </c>
      <c r="Q5049">
        <v>-2.9331800000000001E-3</v>
      </c>
      <c r="R5049">
        <v>4.9826100000000002E-3</v>
      </c>
      <c r="S5049">
        <v>2.998383</v>
      </c>
      <c r="T5049">
        <v>-0.324891599999999</v>
      </c>
      <c r="U5049">
        <v>0.1423035</v>
      </c>
      <c r="V5049">
        <v>-8.6528720000000003E-2</v>
      </c>
      <c r="W5049">
        <v>1.0783289999999999E-2</v>
      </c>
      <c r="X5049">
        <v>0.99619100000000005</v>
      </c>
      <c r="Y5049">
        <v>-0.12748950000000001</v>
      </c>
      <c r="Z5049">
        <v>1.5686080000000002E-2</v>
      </c>
      <c r="AA5049">
        <v>0.99171580000000004</v>
      </c>
      <c r="AB5049">
        <v>13</v>
      </c>
      <c r="AC5049">
        <v>10.1828</v>
      </c>
      <c r="AD5049">
        <v>-1.1113656847860001</v>
      </c>
      <c r="AE5049">
        <v>0.49199999999999999</v>
      </c>
      <c r="AF5049">
        <v>-1.30529304600455</v>
      </c>
      <c r="AG5049">
        <v>-1.1113656847860001</v>
      </c>
      <c r="AH5049">
        <v>9.9900335536791705</v>
      </c>
      <c r="AI5049">
        <v>96.294837484135002</v>
      </c>
      <c r="AJ5049">
        <v>97.444069025834096</v>
      </c>
      <c r="AK5049">
        <v>10.1360590973466</v>
      </c>
      <c r="AL5049">
        <v>89.382151021721398</v>
      </c>
      <c r="AM5049">
        <v>94.964227336184905</v>
      </c>
      <c r="AN5049">
        <v>1.00000000360453</v>
      </c>
    </row>
    <row r="5050" spans="1:40" x14ac:dyDescent="0.3">
      <c r="A5050" t="str">
        <f>"20200111160603473"</f>
        <v>20200111160603473</v>
      </c>
      <c r="B5050" t="str">
        <f>"1578729963466769"</f>
        <v>1578729963466769</v>
      </c>
      <c r="C5050" t="s">
        <v>40</v>
      </c>
      <c r="D5050">
        <v>5.5843179999999997</v>
      </c>
      <c r="E5050">
        <v>0.48647400000000002</v>
      </c>
      <c r="F5050" t="s">
        <v>83</v>
      </c>
      <c r="G5050">
        <v>-382.26069999999999</v>
      </c>
      <c r="H5050" s="1">
        <v>-3.6690969999999999E-6</v>
      </c>
      <c r="I5050">
        <v>19.654879999999999</v>
      </c>
      <c r="J5050">
        <v>-392.34859999999998</v>
      </c>
      <c r="K5050">
        <v>1.11134</v>
      </c>
      <c r="L5050">
        <v>19.172360000000001</v>
      </c>
      <c r="M5050">
        <v>0.99662980000000001</v>
      </c>
      <c r="N5050">
        <v>0</v>
      </c>
      <c r="O5050">
        <v>-8.0857860000000004E-2</v>
      </c>
      <c r="P5050">
        <v>0.99998180000000003</v>
      </c>
      <c r="Q5050">
        <v>-2.6963199999999999E-3</v>
      </c>
      <c r="R5050">
        <v>5.4264830000000002E-3</v>
      </c>
      <c r="S5050">
        <v>2.998383</v>
      </c>
      <c r="T5050">
        <v>-0.32805780000000001</v>
      </c>
      <c r="U5050">
        <v>0.14099120000000001</v>
      </c>
      <c r="V5050">
        <v>-8.6282899999999996E-2</v>
      </c>
      <c r="W5050">
        <v>1.1001189999999999E-2</v>
      </c>
      <c r="X5050">
        <v>0.99620989999999998</v>
      </c>
      <c r="Y5050">
        <v>-0.12635869999999999</v>
      </c>
      <c r="Z5050">
        <v>1.5701630000000001E-2</v>
      </c>
      <c r="AA5050">
        <v>0.99186030000000003</v>
      </c>
      <c r="AB5050">
        <v>13</v>
      </c>
      <c r="AC5050">
        <v>10.0878999999999</v>
      </c>
      <c r="AD5050">
        <v>-1.111343669097</v>
      </c>
      <c r="AE5050">
        <v>0.48251999999999701</v>
      </c>
      <c r="AF5050">
        <v>-1.2811899575736301</v>
      </c>
      <c r="AG5050">
        <v>-1.111343669097</v>
      </c>
      <c r="AH5050">
        <v>9.8960137195870708</v>
      </c>
      <c r="AI5050">
        <v>96.354994288480498</v>
      </c>
      <c r="AJ5050">
        <v>97.376780729261498</v>
      </c>
      <c r="AK5050">
        <v>10.0402997961457</v>
      </c>
      <c r="AL5050">
        <v>89.369665506343694</v>
      </c>
      <c r="AM5050">
        <v>94.950101157526007</v>
      </c>
      <c r="AN5050">
        <v>0.99999996493591703</v>
      </c>
    </row>
    <row r="5051" spans="1:40" x14ac:dyDescent="0.3">
      <c r="A5051" t="str">
        <f>"20200111160603494"</f>
        <v>20200111160603494</v>
      </c>
      <c r="B5051" t="str">
        <f>"1578729963487264"</f>
        <v>1578729963487264</v>
      </c>
      <c r="C5051" t="s">
        <v>40</v>
      </c>
      <c r="D5051">
        <v>5.588851</v>
      </c>
      <c r="E5051">
        <v>0.48692600000000003</v>
      </c>
      <c r="F5051" t="s">
        <v>83</v>
      </c>
      <c r="G5051">
        <v>-382.21809999999999</v>
      </c>
      <c r="H5051" s="1">
        <v>-3.6868250000000001E-6</v>
      </c>
      <c r="I5051">
        <v>19.64583</v>
      </c>
      <c r="J5051">
        <v>-392.23070000000001</v>
      </c>
      <c r="K5051">
        <v>1.111294</v>
      </c>
      <c r="L5051">
        <v>19.164180000000002</v>
      </c>
      <c r="M5051">
        <v>0.99671909999999997</v>
      </c>
      <c r="N5051">
        <v>0</v>
      </c>
      <c r="O5051">
        <v>-7.9756709999999995E-2</v>
      </c>
      <c r="P5051">
        <v>0.99998410000000004</v>
      </c>
      <c r="Q5051">
        <v>-1.441637E-3</v>
      </c>
      <c r="R5051">
        <v>5.4967419999999998E-3</v>
      </c>
      <c r="S5051">
        <v>2.9984130000000002</v>
      </c>
      <c r="T5051">
        <v>-0.32893440000000002</v>
      </c>
      <c r="U5051">
        <v>0.1401367</v>
      </c>
      <c r="V5051">
        <v>-8.5252270000000005E-2</v>
      </c>
      <c r="W5051">
        <v>1.2229439999999999E-2</v>
      </c>
      <c r="X5051">
        <v>0.99628439999999996</v>
      </c>
      <c r="Y5051">
        <v>-0.1249885</v>
      </c>
      <c r="Z5051">
        <v>1.554815E-2</v>
      </c>
      <c r="AA5051">
        <v>0.99203629999999998</v>
      </c>
      <c r="AB5051">
        <v>13</v>
      </c>
      <c r="AC5051">
        <v>10.012600000000001</v>
      </c>
      <c r="AD5051">
        <v>-1.111297686825</v>
      </c>
      <c r="AE5051">
        <v>0.48165000000000102</v>
      </c>
      <c r="AF5051">
        <v>-1.2632376176039499</v>
      </c>
      <c r="AG5051">
        <v>-1.111297686825</v>
      </c>
      <c r="AH5051">
        <v>9.8215686740027994</v>
      </c>
      <c r="AI5051">
        <v>96.403184575880502</v>
      </c>
      <c r="AJ5051">
        <v>97.329072331823198</v>
      </c>
      <c r="AK5051">
        <v>9.9646356203036994</v>
      </c>
      <c r="AL5051">
        <v>89.299287275202801</v>
      </c>
      <c r="AM5051">
        <v>94.890897895906093</v>
      </c>
      <c r="AN5051">
        <v>1.00000005721311</v>
      </c>
    </row>
    <row r="5052" spans="1:40" x14ac:dyDescent="0.3">
      <c r="A5052" t="str">
        <f>"20200111160603507"</f>
        <v>20200111160603507</v>
      </c>
      <c r="B5052" t="str">
        <f>"1578729963497025"</f>
        <v>1578729963497025</v>
      </c>
      <c r="C5052" t="s">
        <v>40</v>
      </c>
      <c r="D5052">
        <v>5.5363410000000002</v>
      </c>
      <c r="E5052">
        <v>0.48710330000000002</v>
      </c>
      <c r="F5052" t="s">
        <v>83</v>
      </c>
      <c r="G5052">
        <v>-382.08850000000001</v>
      </c>
      <c r="H5052" s="1">
        <v>-3.7431709999999998E-6</v>
      </c>
      <c r="I5052">
        <v>19.627310000000001</v>
      </c>
      <c r="J5052">
        <v>-392.15859999999998</v>
      </c>
      <c r="K5052">
        <v>1.1112569999999999</v>
      </c>
      <c r="L5052">
        <v>19.159179999999999</v>
      </c>
      <c r="M5052">
        <v>0.99676940000000003</v>
      </c>
      <c r="N5052">
        <v>0</v>
      </c>
      <c r="O5052">
        <v>-7.9129539999999998E-2</v>
      </c>
      <c r="P5052">
        <v>0.99998679999999995</v>
      </c>
      <c r="Q5052">
        <v>-7.2386490000000004E-4</v>
      </c>
      <c r="R5052">
        <v>5.1360190000000003E-3</v>
      </c>
      <c r="S5052">
        <v>2.9987789999999999</v>
      </c>
      <c r="T5052">
        <v>-0.32858029999999999</v>
      </c>
      <c r="U5052">
        <v>0.13693239999999901</v>
      </c>
      <c r="V5052">
        <v>-8.4265229999999997E-2</v>
      </c>
      <c r="W5052">
        <v>1.2934630000000001E-2</v>
      </c>
      <c r="X5052">
        <v>0.99635940000000001</v>
      </c>
      <c r="Y5052">
        <v>-0.1233172</v>
      </c>
      <c r="Z5052">
        <v>1.537029E-2</v>
      </c>
      <c r="AA5052">
        <v>0.99224820000000002</v>
      </c>
      <c r="AB5052">
        <v>13</v>
      </c>
      <c r="AC5052">
        <v>10.070099999999901</v>
      </c>
      <c r="AD5052">
        <v>-1.111260743171</v>
      </c>
      <c r="AE5052">
        <v>0.46813000000000199</v>
      </c>
      <c r="AF5052">
        <v>-1.24840968591414</v>
      </c>
      <c r="AG5052">
        <v>-1.111260743171</v>
      </c>
      <c r="AH5052">
        <v>9.88139823107295</v>
      </c>
      <c r="AI5052">
        <v>96.366329131928197</v>
      </c>
      <c r="AJ5052">
        <v>97.200563815417695</v>
      </c>
      <c r="AK5052">
        <v>10.021749257701901</v>
      </c>
      <c r="AL5052">
        <v>89.258879620383695</v>
      </c>
      <c r="AM5052">
        <v>94.834179461836399</v>
      </c>
      <c r="AN5052">
        <v>0.99999999380427396</v>
      </c>
    </row>
    <row r="5053" spans="1:40" x14ac:dyDescent="0.3">
      <c r="A5053" t="str">
        <f>"20200111160603519"</f>
        <v>20200111160603519</v>
      </c>
      <c r="B5053" t="str">
        <f>"1578729963506786"</f>
        <v>1578729963506786</v>
      </c>
      <c r="C5053" t="s">
        <v>40</v>
      </c>
      <c r="D5053">
        <v>5.5779500000000004</v>
      </c>
      <c r="E5053">
        <v>0.48726900000000001</v>
      </c>
      <c r="F5053" t="s">
        <v>83</v>
      </c>
      <c r="G5053">
        <v>-381.98829999999998</v>
      </c>
      <c r="H5053" s="1">
        <v>-3.7877659999999999E-6</v>
      </c>
      <c r="I5053">
        <v>19.615459999999999</v>
      </c>
      <c r="J5053">
        <v>-392.08909999999997</v>
      </c>
      <c r="K5053">
        <v>1.1112139999999999</v>
      </c>
      <c r="L5053">
        <v>19.15436</v>
      </c>
      <c r="M5053">
        <v>0.99681319999999995</v>
      </c>
      <c r="N5053">
        <v>0</v>
      </c>
      <c r="O5053">
        <v>-7.8576969999999996E-2</v>
      </c>
      <c r="P5053">
        <v>0.99998860000000001</v>
      </c>
      <c r="Q5053">
        <v>4.464146E-4</v>
      </c>
      <c r="R5053">
        <v>4.7854859999999898E-3</v>
      </c>
      <c r="S5053">
        <v>2.9990839999999999</v>
      </c>
      <c r="T5053">
        <v>-0.32769670000000001</v>
      </c>
      <c r="U5053">
        <v>0.134552</v>
      </c>
      <c r="V5053">
        <v>-8.3362629999999993E-2</v>
      </c>
      <c r="W5053">
        <v>1.4095140000000001E-2</v>
      </c>
      <c r="X5053">
        <v>0.99641959999999996</v>
      </c>
      <c r="Y5053">
        <v>-0.1219944</v>
      </c>
      <c r="Z5053">
        <v>1.5195749999999999E-2</v>
      </c>
      <c r="AA5053">
        <v>0.99241449999999998</v>
      </c>
      <c r="AB5053">
        <v>13</v>
      </c>
      <c r="AC5053">
        <v>10.1007999999999</v>
      </c>
      <c r="AD5053">
        <v>-1.1112177877660001</v>
      </c>
      <c r="AE5053">
        <v>0.46110000000000101</v>
      </c>
      <c r="AF5053">
        <v>-1.2384813909480901</v>
      </c>
      <c r="AG5053">
        <v>-1.1112177877660001</v>
      </c>
      <c r="AH5053">
        <v>9.9135946379992799</v>
      </c>
      <c r="AI5053">
        <v>96.346677909060901</v>
      </c>
      <c r="AJ5053">
        <v>97.120930809634004</v>
      </c>
      <c r="AK5053">
        <v>10.0522634154771</v>
      </c>
      <c r="AL5053">
        <v>89.192381231049197</v>
      </c>
      <c r="AM5053">
        <v>94.782352426732302</v>
      </c>
      <c r="AN5053">
        <v>1.0000000101581401</v>
      </c>
    </row>
    <row r="5054" spans="1:40" x14ac:dyDescent="0.3">
      <c r="A5054" t="str">
        <f>"20200111160603538"</f>
        <v>20200111160603538</v>
      </c>
      <c r="B5054" t="str">
        <f>"1578729963527294"</f>
        <v>1578729963527294</v>
      </c>
      <c r="C5054" t="s">
        <v>40</v>
      </c>
      <c r="D5054">
        <v>5.7156589999999996</v>
      </c>
      <c r="E5054">
        <v>0.48979479999999997</v>
      </c>
      <c r="F5054" t="s">
        <v>83</v>
      </c>
      <c r="G5054">
        <v>-381.84559999999999</v>
      </c>
      <c r="H5054" s="1">
        <v>-3.8568360000000002E-6</v>
      </c>
      <c r="I5054">
        <v>19.606449999999999</v>
      </c>
      <c r="J5054">
        <v>-391.98559999999998</v>
      </c>
      <c r="K5054">
        <v>1.111135</v>
      </c>
      <c r="L5054">
        <v>19.14716</v>
      </c>
      <c r="M5054">
        <v>0.99687150000000002</v>
      </c>
      <c r="N5054">
        <v>0</v>
      </c>
      <c r="O5054">
        <v>-7.7840670000000001E-2</v>
      </c>
      <c r="P5054">
        <v>0.99998960000000003</v>
      </c>
      <c r="Q5054">
        <v>2.7244560000000001E-3</v>
      </c>
      <c r="R5054">
        <v>3.7036389999999999E-3</v>
      </c>
      <c r="S5054">
        <v>2.9995419999999999</v>
      </c>
      <c r="T5054">
        <v>-0.32539249999999997</v>
      </c>
      <c r="U5054">
        <v>0.13238529999999901</v>
      </c>
      <c r="V5054">
        <v>-8.1546579999999994E-2</v>
      </c>
      <c r="W5054">
        <v>1.636319E-2</v>
      </c>
      <c r="X5054">
        <v>0.99653519999999896</v>
      </c>
      <c r="Y5054">
        <v>-0.1205686</v>
      </c>
      <c r="Z5054">
        <v>1.4930850000000001E-2</v>
      </c>
      <c r="AA5054">
        <v>0.99259269999999999</v>
      </c>
      <c r="AB5054">
        <v>13</v>
      </c>
      <c r="AC5054">
        <v>10.139999999999899</v>
      </c>
      <c r="AD5054">
        <v>-1.1111388568360001</v>
      </c>
      <c r="AE5054">
        <v>0.45928999999999898</v>
      </c>
      <c r="AF5054">
        <v>-1.2325054940125499</v>
      </c>
      <c r="AG5054">
        <v>-1.1111388568360001</v>
      </c>
      <c r="AH5054">
        <v>9.9541902701586409</v>
      </c>
      <c r="AI5054">
        <v>96.321411427022298</v>
      </c>
      <c r="AJ5054">
        <v>97.0583111526567</v>
      </c>
      <c r="AK5054">
        <v>10.0915609935461</v>
      </c>
      <c r="AL5054">
        <v>89.062416431822498</v>
      </c>
      <c r="AM5054">
        <v>94.678096460510105</v>
      </c>
      <c r="AN5054">
        <v>1.0000000017678501</v>
      </c>
    </row>
    <row r="5055" spans="1:40" x14ac:dyDescent="0.3">
      <c r="A5055" t="str">
        <f>"20200111160603851"</f>
        <v>20200111160603851</v>
      </c>
      <c r="B5055" t="str">
        <f>"1578729963847408"</f>
        <v>1578729963847408</v>
      </c>
      <c r="C5055" t="s">
        <v>40</v>
      </c>
      <c r="D5055">
        <v>5.6143169999999998</v>
      </c>
      <c r="E5055">
        <v>0.48675770000000002</v>
      </c>
      <c r="F5055" t="s">
        <v>41</v>
      </c>
      <c r="G5055">
        <v>-337.39249999999998</v>
      </c>
      <c r="H5055" s="1">
        <v>-1.4414019999999999E-6</v>
      </c>
      <c r="I5055">
        <v>20.895969999999998</v>
      </c>
      <c r="J5055">
        <v>-390.20850000000002</v>
      </c>
      <c r="K5055">
        <v>1.109372</v>
      </c>
      <c r="L5055">
        <v>18.995729999999998</v>
      </c>
      <c r="M5055">
        <v>0.99612000000000001</v>
      </c>
      <c r="N5055">
        <v>0</v>
      </c>
      <c r="O5055">
        <v>-8.744275E-2</v>
      </c>
      <c r="P5055">
        <v>0.99999070000000001</v>
      </c>
      <c r="Q5055">
        <v>1.3032460000000001E-3</v>
      </c>
      <c r="R5055">
        <v>4.1160839999999999E-3</v>
      </c>
      <c r="S5055">
        <v>2.9998170000000002</v>
      </c>
      <c r="T5055">
        <v>-6.1055419999999999E-2</v>
      </c>
      <c r="U5055">
        <v>9.6099850000000001E-2</v>
      </c>
      <c r="V5055">
        <v>-9.1524220000000003E-2</v>
      </c>
      <c r="W5055">
        <v>1.137119E-2</v>
      </c>
      <c r="X5055">
        <v>0.99573789999999995</v>
      </c>
      <c r="Y5055">
        <v>-0.1192556</v>
      </c>
      <c r="Z5055">
        <v>2.9912609999999998E-3</v>
      </c>
      <c r="AA5055">
        <v>0.99285909999999999</v>
      </c>
      <c r="AB5055">
        <v>13</v>
      </c>
      <c r="AC5055">
        <v>52.816000000000003</v>
      </c>
      <c r="AD5055">
        <v>-1.109373441402</v>
      </c>
      <c r="AE5055">
        <v>1.9002399999999999</v>
      </c>
      <c r="AF5055">
        <v>-6.50869689038693</v>
      </c>
      <c r="AG5055">
        <v>-1.109373441402</v>
      </c>
      <c r="AH5055">
        <v>52.424401187294698</v>
      </c>
      <c r="AI5055">
        <v>91.203043888091898</v>
      </c>
      <c r="AJ5055">
        <v>97.077282503470101</v>
      </c>
      <c r="AK5055">
        <v>52.838543550043497</v>
      </c>
      <c r="AL5055">
        <v>89.348464747891398</v>
      </c>
      <c r="AM5055">
        <v>95.251641037436002</v>
      </c>
      <c r="AN5055">
        <v>0.99999997615251601</v>
      </c>
    </row>
    <row r="5056" spans="1:40" x14ac:dyDescent="0.3">
      <c r="A5056" t="str">
        <f>"20200111160603864"</f>
        <v>20200111160603864</v>
      </c>
      <c r="B5056" t="str">
        <f>"1578729963857169"</f>
        <v>1578729963857169</v>
      </c>
      <c r="C5056" t="s">
        <v>40</v>
      </c>
      <c r="D5056">
        <v>5.5153429999999997</v>
      </c>
      <c r="E5056">
        <v>0.4485307</v>
      </c>
      <c r="F5056" t="s">
        <v>41</v>
      </c>
      <c r="G5056">
        <v>-340.90530000000001</v>
      </c>
      <c r="H5056" s="1">
        <v>-4.21048E-6</v>
      </c>
      <c r="I5056">
        <v>20.983499999999999</v>
      </c>
      <c r="J5056">
        <v>-390.12619999999998</v>
      </c>
      <c r="K5056">
        <v>1.109308</v>
      </c>
      <c r="L5056">
        <v>18.987369999999999</v>
      </c>
      <c r="M5056">
        <v>0.99603549999999996</v>
      </c>
      <c r="N5056">
        <v>0</v>
      </c>
      <c r="O5056">
        <v>-8.8455740000000005E-2</v>
      </c>
      <c r="P5056">
        <v>0.99999760000000004</v>
      </c>
      <c r="Q5056">
        <v>6.3572080000000005E-4</v>
      </c>
      <c r="R5056">
        <v>2.1251210000000002E-3</v>
      </c>
      <c r="S5056">
        <v>2.999603</v>
      </c>
      <c r="T5056">
        <v>-6.7494269999999995E-2</v>
      </c>
      <c r="U5056">
        <v>0.1209412</v>
      </c>
      <c r="V5056">
        <v>-9.0557189999999996E-2</v>
      </c>
      <c r="W5056">
        <v>1.019919E-2</v>
      </c>
      <c r="X5056">
        <v>0.99583909999999998</v>
      </c>
      <c r="Y5056">
        <v>-0.1284614</v>
      </c>
      <c r="Z5056">
        <v>3.4328010000000001E-3</v>
      </c>
      <c r="AA5056">
        <v>0.99170860000000005</v>
      </c>
      <c r="AB5056">
        <v>13</v>
      </c>
      <c r="AC5056">
        <v>49.220899999999901</v>
      </c>
      <c r="AD5056">
        <v>-1.1093122104799999</v>
      </c>
      <c r="AE5056">
        <v>1.99612999999999</v>
      </c>
      <c r="AF5056">
        <v>-6.3391546943702899</v>
      </c>
      <c r="AG5056">
        <v>-1.1093122104799999</v>
      </c>
      <c r="AH5056">
        <v>48.826605177903197</v>
      </c>
      <c r="AI5056">
        <v>91.290674530776698</v>
      </c>
      <c r="AJ5056">
        <v>97.397329524893095</v>
      </c>
      <c r="AK5056">
        <v>49.248886576432596</v>
      </c>
      <c r="AL5056">
        <v>89.415619367964098</v>
      </c>
      <c r="AM5056">
        <v>95.195933255682903</v>
      </c>
      <c r="AN5056">
        <v>1.0000000706130701</v>
      </c>
    </row>
    <row r="5057" spans="1:40" x14ac:dyDescent="0.3">
      <c r="A5057" t="str">
        <f>"20200111160603878"</f>
        <v>20200111160603878</v>
      </c>
      <c r="B5057" t="str">
        <f>"1578729963866929"</f>
        <v>1578729963866929</v>
      </c>
      <c r="C5057" t="s">
        <v>40</v>
      </c>
      <c r="D5057">
        <v>5.4912070000000002</v>
      </c>
      <c r="E5057">
        <v>0.44518360000000001</v>
      </c>
      <c r="F5057" t="s">
        <v>87</v>
      </c>
      <c r="G5057">
        <v>-376.54820000000001</v>
      </c>
      <c r="H5057" s="1">
        <v>-1.9595090000000001E-6</v>
      </c>
      <c r="I5057">
        <v>20.921700000000001</v>
      </c>
      <c r="J5057">
        <v>-390.0401</v>
      </c>
      <c r="K5057">
        <v>1.109245</v>
      </c>
      <c r="L5057">
        <v>18.97852</v>
      </c>
      <c r="M5057">
        <v>0.99594709999999997</v>
      </c>
      <c r="N5057">
        <v>0</v>
      </c>
      <c r="O5057">
        <v>-8.9501479999999994E-2</v>
      </c>
      <c r="P5057">
        <v>1</v>
      </c>
      <c r="Q5057" s="1">
        <v>2.6840719999999999E-6</v>
      </c>
      <c r="R5057">
        <v>3.4881639999999998E-4</v>
      </c>
      <c r="S5057">
        <v>2.9992679999999998</v>
      </c>
      <c r="T5057">
        <v>-0.24503639999999999</v>
      </c>
      <c r="U5057">
        <v>0.42727660000000001</v>
      </c>
      <c r="V5057">
        <v>-8.9835929999999994E-2</v>
      </c>
      <c r="W5057">
        <v>9.0271829999999994E-3</v>
      </c>
      <c r="X5057">
        <v>0.99591569999999996</v>
      </c>
      <c r="Y5057">
        <v>-0.22804089999999999</v>
      </c>
      <c r="Z5057">
        <v>1.652137E-2</v>
      </c>
      <c r="AA5057">
        <v>0.97351140000000003</v>
      </c>
      <c r="AB5057">
        <v>13</v>
      </c>
      <c r="AC5057">
        <v>13.4918999999999</v>
      </c>
      <c r="AD5057">
        <v>-1.109246959509</v>
      </c>
      <c r="AE5057">
        <v>1.9431799999999999</v>
      </c>
      <c r="AF5057">
        <v>-3.12229736427678</v>
      </c>
      <c r="AG5057">
        <v>-1.109246959509</v>
      </c>
      <c r="AH5057">
        <v>13.176568049241199</v>
      </c>
      <c r="AI5057">
        <v>94.682926655894505</v>
      </c>
      <c r="AJ5057">
        <v>103.330835777193</v>
      </c>
      <c r="AK5057">
        <v>13.586799299482999</v>
      </c>
      <c r="AL5057">
        <v>89.482773505276896</v>
      </c>
      <c r="AM5057">
        <v>95.154378755249994</v>
      </c>
      <c r="AN5057">
        <v>1.00000003292918</v>
      </c>
    </row>
    <row r="5058" spans="1:40" x14ac:dyDescent="0.3">
      <c r="A5058" t="str">
        <f>"20200111160603897"</f>
        <v>20200111160603897</v>
      </c>
      <c r="B5058" t="str">
        <f>"1578729963887424"</f>
        <v>1578729963887424</v>
      </c>
      <c r="C5058" t="s">
        <v>40</v>
      </c>
      <c r="D5058">
        <v>5.4552569999999996</v>
      </c>
      <c r="E5058">
        <v>0.44280580000000003</v>
      </c>
      <c r="F5058" t="s">
        <v>87</v>
      </c>
      <c r="G5058">
        <v>-376.0403</v>
      </c>
      <c r="H5058" s="1">
        <v>-2.2392830000000001E-6</v>
      </c>
      <c r="I5058">
        <v>21.070959999999999</v>
      </c>
      <c r="J5058">
        <v>-389.93130000000002</v>
      </c>
      <c r="K5058">
        <v>1.109167</v>
      </c>
      <c r="L5058">
        <v>18.967220000000001</v>
      </c>
      <c r="M5058">
        <v>0.99583489999999997</v>
      </c>
      <c r="N5058">
        <v>0</v>
      </c>
      <c r="O5058">
        <v>-9.0804979999999993E-2</v>
      </c>
      <c r="P5058">
        <v>0.99999680000000002</v>
      </c>
      <c r="Q5058">
        <v>-1.550049E-3</v>
      </c>
      <c r="R5058">
        <v>-2.0484269999999998E-3</v>
      </c>
      <c r="S5058">
        <v>2.9998469999999999</v>
      </c>
      <c r="T5058">
        <v>-0.2376875</v>
      </c>
      <c r="U5058">
        <v>0.44836429999999999</v>
      </c>
      <c r="V5058">
        <v>-8.8756119999999994E-2</v>
      </c>
      <c r="W5058">
        <v>6.7904119999999896E-3</v>
      </c>
      <c r="X5058">
        <v>0.99603019999999998</v>
      </c>
      <c r="Y5058">
        <v>-0.23601530000000001</v>
      </c>
      <c r="Z5058">
        <v>1.6433099999999999E-2</v>
      </c>
      <c r="AA5058">
        <v>0.97161039999999999</v>
      </c>
      <c r="AB5058">
        <v>13</v>
      </c>
      <c r="AC5058">
        <v>13.891</v>
      </c>
      <c r="AD5058">
        <v>-1.1091692392829999</v>
      </c>
      <c r="AE5058">
        <v>2.10373999999999</v>
      </c>
      <c r="AF5058">
        <v>-3.33567221653204</v>
      </c>
      <c r="AG5058">
        <v>-1.1091692392829999</v>
      </c>
      <c r="AH5058">
        <v>13.558067525443199</v>
      </c>
      <c r="AI5058">
        <v>94.542030917378099</v>
      </c>
      <c r="AJ5058">
        <v>103.821884050121</v>
      </c>
      <c r="AK5058">
        <v>14.0063614319349</v>
      </c>
      <c r="AL5058">
        <v>89.610935045279504</v>
      </c>
      <c r="AM5058">
        <v>95.092169550990207</v>
      </c>
      <c r="AN5058">
        <v>0.99999995892231097</v>
      </c>
    </row>
    <row r="5059" spans="1:40" x14ac:dyDescent="0.3">
      <c r="A5059" t="str">
        <f>"20200111160603911"</f>
        <v>20200111160603911</v>
      </c>
      <c r="B5059" t="str">
        <f>"1578729963906944"</f>
        <v>1578729963906944</v>
      </c>
      <c r="C5059" t="s">
        <v>40</v>
      </c>
      <c r="D5059">
        <v>5.4617690000000003</v>
      </c>
      <c r="E5059">
        <v>0.44173800000000002</v>
      </c>
      <c r="F5059" t="s">
        <v>87</v>
      </c>
      <c r="G5059">
        <v>-375.73430000000002</v>
      </c>
      <c r="H5059" s="1">
        <v>-2.402902E-6</v>
      </c>
      <c r="I5059">
        <v>21.142330000000001</v>
      </c>
      <c r="J5059">
        <v>-389.84379999999999</v>
      </c>
      <c r="K5059">
        <v>1.1091150000000001</v>
      </c>
      <c r="L5059">
        <v>18.958069999999999</v>
      </c>
      <c r="M5059">
        <v>0.99574479999999999</v>
      </c>
      <c r="N5059">
        <v>0</v>
      </c>
      <c r="O5059">
        <v>-9.1835219999999995E-2</v>
      </c>
      <c r="P5059">
        <v>0.99999309999999997</v>
      </c>
      <c r="Q5059">
        <v>-1.887096E-3</v>
      </c>
      <c r="R5059">
        <v>-3.246629E-3</v>
      </c>
      <c r="S5059">
        <v>3.0005799999999998</v>
      </c>
      <c r="T5059">
        <v>-0.23442730000000001</v>
      </c>
      <c r="U5059">
        <v>0.45971679999999998</v>
      </c>
      <c r="V5059">
        <v>-8.8594660000000006E-2</v>
      </c>
      <c r="W5059">
        <v>5.9063730000000004E-3</v>
      </c>
      <c r="X5059">
        <v>0.9960502</v>
      </c>
      <c r="Y5059">
        <v>-0.2405881</v>
      </c>
      <c r="Z5059">
        <v>1.645746E-2</v>
      </c>
      <c r="AA5059">
        <v>0.97048780000000001</v>
      </c>
      <c r="AB5059">
        <v>14</v>
      </c>
      <c r="AC5059">
        <v>14.109499999999899</v>
      </c>
      <c r="AD5059">
        <v>-1.1091174029019999</v>
      </c>
      <c r="AE5059">
        <v>2.1842599999999899</v>
      </c>
      <c r="AF5059">
        <v>-3.44999698877383</v>
      </c>
      <c r="AG5059">
        <v>-1.1091174029019999</v>
      </c>
      <c r="AH5059">
        <v>13.766201808570401</v>
      </c>
      <c r="AI5059">
        <v>94.468656233161795</v>
      </c>
      <c r="AJ5059">
        <v>104.069325752187</v>
      </c>
      <c r="AK5059">
        <v>14.2352004857767</v>
      </c>
      <c r="AL5059">
        <v>89.661587770321304</v>
      </c>
      <c r="AM5059">
        <v>95.082853213757005</v>
      </c>
      <c r="AN5059">
        <v>0.99999994997128405</v>
      </c>
    </row>
    <row r="5060" spans="1:40" x14ac:dyDescent="0.3">
      <c r="A5060" t="str">
        <f>"20200111160603929"</f>
        <v>20200111160603929</v>
      </c>
      <c r="B5060" t="str">
        <f>"1578729963916705"</f>
        <v>1578729963916705</v>
      </c>
      <c r="C5060" t="s">
        <v>40</v>
      </c>
      <c r="D5060">
        <v>5.5349690000000002</v>
      </c>
      <c r="E5060">
        <v>0.44121899999999997</v>
      </c>
      <c r="F5060" t="s">
        <v>87</v>
      </c>
      <c r="G5060">
        <v>-375.41329999999999</v>
      </c>
      <c r="H5060" s="1">
        <v>-2.5675029999999999E-6</v>
      </c>
      <c r="I5060">
        <v>21.190550000000002</v>
      </c>
      <c r="J5060">
        <v>-389.73390000000001</v>
      </c>
      <c r="K5060">
        <v>1.1090450000000001</v>
      </c>
      <c r="L5060">
        <v>18.9465</v>
      </c>
      <c r="M5060">
        <v>0.99563210000000002</v>
      </c>
      <c r="N5060">
        <v>0</v>
      </c>
      <c r="O5060">
        <v>-9.3102169999999998E-2</v>
      </c>
      <c r="P5060">
        <v>0.99998589999999998</v>
      </c>
      <c r="Q5060">
        <v>-2.428997E-3</v>
      </c>
      <c r="R5060">
        <v>-4.7045050000000003E-3</v>
      </c>
      <c r="S5060">
        <v>3.0011290000000002</v>
      </c>
      <c r="T5060">
        <v>-0.23066529999999999</v>
      </c>
      <c r="U5060">
        <v>0.4642944</v>
      </c>
      <c r="V5060">
        <v>-8.8411420000000004E-2</v>
      </c>
      <c r="W5060">
        <v>4.6847340000000003E-3</v>
      </c>
      <c r="X5060">
        <v>0.99607299999999999</v>
      </c>
      <c r="Y5060">
        <v>-0.2432617</v>
      </c>
      <c r="Z5060">
        <v>1.6388130000000001E-2</v>
      </c>
      <c r="AA5060">
        <v>0.96982219999999997</v>
      </c>
      <c r="AB5060">
        <v>14</v>
      </c>
      <c r="AC5060">
        <v>14.320600000000001</v>
      </c>
      <c r="AD5060">
        <v>-1.109047567503</v>
      </c>
      <c r="AE5060">
        <v>2.2440500000000001</v>
      </c>
      <c r="AF5060">
        <v>-3.5468512529449701</v>
      </c>
      <c r="AG5060">
        <v>-1.109047567503</v>
      </c>
      <c r="AH5060">
        <v>13.967700279087</v>
      </c>
      <c r="AI5060">
        <v>94.400718790316802</v>
      </c>
      <c r="AJ5060">
        <v>104.248101325825</v>
      </c>
      <c r="AK5060">
        <v>14.4536082485969</v>
      </c>
      <c r="AL5060">
        <v>89.731583524761902</v>
      </c>
      <c r="AM5060">
        <v>95.072279767184497</v>
      </c>
      <c r="AN5060">
        <v>0.99999997362403303</v>
      </c>
    </row>
    <row r="5061" spans="1:40" x14ac:dyDescent="0.3">
      <c r="A5061" t="str">
        <f>"20200111160603942"</f>
        <v>20200111160603942</v>
      </c>
      <c r="B5061" t="str">
        <f>"1578729963937200"</f>
        <v>1578729963937200</v>
      </c>
      <c r="C5061" t="s">
        <v>40</v>
      </c>
      <c r="D5061">
        <v>5.4120089999999896</v>
      </c>
      <c r="E5061">
        <v>0.44017519999999999</v>
      </c>
      <c r="F5061" t="s">
        <v>87</v>
      </c>
      <c r="G5061">
        <v>-375.34809999999999</v>
      </c>
      <c r="H5061" s="1">
        <v>-2.592655E-6</v>
      </c>
      <c r="I5061">
        <v>21.169219999999999</v>
      </c>
      <c r="J5061">
        <v>-389.6497</v>
      </c>
      <c r="K5061">
        <v>1.1089979999999999</v>
      </c>
      <c r="L5061">
        <v>18.937560000000001</v>
      </c>
      <c r="M5061">
        <v>0.99554589999999998</v>
      </c>
      <c r="N5061">
        <v>0</v>
      </c>
      <c r="O5061">
        <v>-9.4055349999999996E-2</v>
      </c>
      <c r="P5061">
        <v>0.99998039999999999</v>
      </c>
      <c r="Q5061">
        <v>-2.5371310000000002E-3</v>
      </c>
      <c r="R5061">
        <v>-5.7703759999999998E-3</v>
      </c>
      <c r="S5061">
        <v>3.0016479999999999</v>
      </c>
      <c r="T5061">
        <v>-0.23140559999999999</v>
      </c>
      <c r="U5061">
        <v>0.46377560000000001</v>
      </c>
      <c r="V5061">
        <v>-8.8304800000000003E-2</v>
      </c>
      <c r="W5061">
        <v>4.0629450000000001E-3</v>
      </c>
      <c r="X5061">
        <v>0.9960852</v>
      </c>
      <c r="Y5061">
        <v>-0.24398990000000001</v>
      </c>
      <c r="Z5061">
        <v>1.653876E-2</v>
      </c>
      <c r="AA5061">
        <v>0.96963670000000002</v>
      </c>
      <c r="AB5061">
        <v>14</v>
      </c>
      <c r="AC5061">
        <v>14.301600000000001</v>
      </c>
      <c r="AD5061">
        <v>-1.109000592655</v>
      </c>
      <c r="AE5061">
        <v>2.2316600000000002</v>
      </c>
      <c r="AF5061">
        <v>-3.5461206604468098</v>
      </c>
      <c r="AG5061">
        <v>-1.109000592655</v>
      </c>
      <c r="AH5061">
        <v>13.9464268863981</v>
      </c>
      <c r="AI5061">
        <v>94.406868165709696</v>
      </c>
      <c r="AJ5061">
        <v>104.266128797503</v>
      </c>
      <c r="AK5061">
        <v>14.432867939207499</v>
      </c>
      <c r="AL5061">
        <v>89.767209755249198</v>
      </c>
      <c r="AM5061">
        <v>95.066132961945101</v>
      </c>
      <c r="AN5061">
        <v>0.99999998544207602</v>
      </c>
    </row>
    <row r="5062" spans="1:40" x14ac:dyDescent="0.3">
      <c r="A5062" t="str">
        <f>"20200111160603955"</f>
        <v>20200111160603955</v>
      </c>
      <c r="B5062" t="str">
        <f>"1578729963946961"</f>
        <v>1578729963946961</v>
      </c>
      <c r="C5062" t="s">
        <v>40</v>
      </c>
      <c r="D5062">
        <v>5.4570019999999904</v>
      </c>
      <c r="E5062">
        <v>0.439577</v>
      </c>
      <c r="F5062" t="s">
        <v>87</v>
      </c>
      <c r="G5062">
        <v>-375.10399999999998</v>
      </c>
      <c r="H5062" s="1">
        <v>-2.718449E-6</v>
      </c>
      <c r="I5062">
        <v>21.208379999999998</v>
      </c>
      <c r="J5062">
        <v>-389.56380000000001</v>
      </c>
      <c r="K5062">
        <v>1.108949</v>
      </c>
      <c r="L5062">
        <v>18.928380000000001</v>
      </c>
      <c r="M5062">
        <v>0.99545930000000005</v>
      </c>
      <c r="N5062">
        <v>0</v>
      </c>
      <c r="O5062">
        <v>-9.5001920000000004E-2</v>
      </c>
      <c r="P5062">
        <v>0.99997709999999995</v>
      </c>
      <c r="Q5062">
        <v>-2.291815E-3</v>
      </c>
      <c r="R5062">
        <v>-6.4316969999999897E-3</v>
      </c>
      <c r="S5062">
        <v>3.002167</v>
      </c>
      <c r="T5062">
        <v>-0.2288935</v>
      </c>
      <c r="U5062">
        <v>0.46868900000000002</v>
      </c>
      <c r="V5062">
        <v>-8.8593199999999997E-2</v>
      </c>
      <c r="W5062">
        <v>3.8016389999999999E-3</v>
      </c>
      <c r="X5062">
        <v>0.99606059999999996</v>
      </c>
      <c r="Y5062">
        <v>-0.246447</v>
      </c>
      <c r="Z5062">
        <v>1.6519659999999999E-2</v>
      </c>
      <c r="AA5062">
        <v>0.96901550000000003</v>
      </c>
      <c r="AB5062">
        <v>14</v>
      </c>
      <c r="AC5062">
        <v>14.4597999999999</v>
      </c>
      <c r="AD5062">
        <v>-1.1089517184490001</v>
      </c>
      <c r="AE5062">
        <v>2.2799999999999998</v>
      </c>
      <c r="AF5062">
        <v>-3.6226302663693599</v>
      </c>
      <c r="AG5062">
        <v>-1.1089517184490001</v>
      </c>
      <c r="AH5062">
        <v>14.096887254534</v>
      </c>
      <c r="AI5062">
        <v>94.356996431302505</v>
      </c>
      <c r="AJ5062">
        <v>104.41206691741201</v>
      </c>
      <c r="AK5062">
        <v>14.597104309681001</v>
      </c>
      <c r="AL5062">
        <v>89.782181597383101</v>
      </c>
      <c r="AM5062">
        <v>95.082717097516195</v>
      </c>
      <c r="AN5062">
        <v>0.99999996320884199</v>
      </c>
    </row>
    <row r="5063" spans="1:40" x14ac:dyDescent="0.3">
      <c r="A5063" t="str">
        <f>"20200111160603975"</f>
        <v>20200111160603975</v>
      </c>
      <c r="B5063" t="str">
        <f>"1578729963967456"</f>
        <v>1578729963967456</v>
      </c>
      <c r="C5063" t="s">
        <v>40</v>
      </c>
      <c r="D5063">
        <v>5.432474</v>
      </c>
      <c r="E5063">
        <v>0.43804880000000002</v>
      </c>
      <c r="F5063" t="s">
        <v>87</v>
      </c>
      <c r="G5063">
        <v>-374.70209999999997</v>
      </c>
      <c r="H5063" s="1">
        <v>-2.9224639999999998E-6</v>
      </c>
      <c r="I5063">
        <v>21.261099999999999</v>
      </c>
      <c r="J5063">
        <v>-389.4359</v>
      </c>
      <c r="K5063">
        <v>1.1088739999999999</v>
      </c>
      <c r="L5063">
        <v>18.914580000000001</v>
      </c>
      <c r="M5063">
        <v>0.99533059999999995</v>
      </c>
      <c r="N5063">
        <v>0</v>
      </c>
      <c r="O5063">
        <v>-9.6383579999999996E-2</v>
      </c>
      <c r="P5063">
        <v>0.99996819999999997</v>
      </c>
      <c r="Q5063">
        <v>-2.1387770000000001E-3</v>
      </c>
      <c r="R5063">
        <v>-7.6921439999999997E-3</v>
      </c>
      <c r="S5063">
        <v>3.0025330000000001</v>
      </c>
      <c r="T5063">
        <v>-0.22404250000000001</v>
      </c>
      <c r="U5063">
        <v>0.47128300000000001</v>
      </c>
      <c r="V5063">
        <v>-8.8720649999999998E-2</v>
      </c>
      <c r="W5063">
        <v>3.2199009999999998E-3</v>
      </c>
      <c r="X5063">
        <v>0.99605140000000003</v>
      </c>
      <c r="Y5063">
        <v>-0.24862129999999999</v>
      </c>
      <c r="Z5063">
        <v>1.6350420000000001E-2</v>
      </c>
      <c r="AA5063">
        <v>0.96846279999999996</v>
      </c>
      <c r="AB5063">
        <v>14</v>
      </c>
      <c r="AC5063">
        <v>14.7338</v>
      </c>
      <c r="AD5063">
        <v>-1.1088769224639901</v>
      </c>
      <c r="AE5063">
        <v>2.3465199999999999</v>
      </c>
      <c r="AF5063">
        <v>-3.7350778070991302</v>
      </c>
      <c r="AG5063">
        <v>-1.1088769224639901</v>
      </c>
      <c r="AH5063">
        <v>14.3597083718919</v>
      </c>
      <c r="AI5063">
        <v>94.274034560284804</v>
      </c>
      <c r="AJ5063">
        <v>104.580022568148</v>
      </c>
      <c r="AK5063">
        <v>14.878899111830799</v>
      </c>
      <c r="AL5063">
        <v>89.815512953880798</v>
      </c>
      <c r="AM5063">
        <v>95.090037467822896</v>
      </c>
      <c r="AN5063">
        <v>1.0000000564704099</v>
      </c>
    </row>
    <row r="5064" spans="1:40" x14ac:dyDescent="0.3">
      <c r="A5064" t="str">
        <f>"20200111160603989"</f>
        <v>20200111160603989</v>
      </c>
      <c r="B5064" t="str">
        <f>"1578729963986977"</f>
        <v>1578729963986977</v>
      </c>
      <c r="C5064" t="s">
        <v>40</v>
      </c>
      <c r="D5064">
        <v>5.4249799999999997</v>
      </c>
      <c r="E5064">
        <v>0.43684820000000002</v>
      </c>
      <c r="F5064" t="s">
        <v>87</v>
      </c>
      <c r="G5064">
        <v>-373.38929999999999</v>
      </c>
      <c r="H5064" s="1">
        <v>-3.5995680000000002E-6</v>
      </c>
      <c r="I5064">
        <v>21.473669999999998</v>
      </c>
      <c r="J5064">
        <v>-389.34559999999999</v>
      </c>
      <c r="K5064">
        <v>1.1088279999999999</v>
      </c>
      <c r="L5064">
        <v>18.904789999999998</v>
      </c>
      <c r="M5064">
        <v>0.99524029999999997</v>
      </c>
      <c r="N5064">
        <v>0</v>
      </c>
      <c r="O5064">
        <v>-9.7336259999999994E-2</v>
      </c>
      <c r="P5064">
        <v>0.99996499999999999</v>
      </c>
      <c r="Q5064">
        <v>-1.8875859999999999E-3</v>
      </c>
      <c r="R5064">
        <v>-8.1710250000000002E-3</v>
      </c>
      <c r="S5064">
        <v>3.0033569999999998</v>
      </c>
      <c r="T5064">
        <v>-0.20754349999999999</v>
      </c>
      <c r="U5064">
        <v>0.47897339999999999</v>
      </c>
      <c r="V5064">
        <v>-8.9197559999999995E-2</v>
      </c>
      <c r="W5064">
        <v>2.9709939999999998E-3</v>
      </c>
      <c r="X5064">
        <v>0.99600949999999999</v>
      </c>
      <c r="Y5064">
        <v>-0.25204870000000001</v>
      </c>
      <c r="Z5064">
        <v>1.532526E-2</v>
      </c>
      <c r="AA5064">
        <v>0.96759320000000004</v>
      </c>
      <c r="AB5064">
        <v>14</v>
      </c>
      <c r="AC5064">
        <v>15.956300000000001</v>
      </c>
      <c r="AD5064">
        <v>-1.108831599568</v>
      </c>
      <c r="AE5064">
        <v>2.5688800000000001</v>
      </c>
      <c r="AF5064">
        <v>-4.0905707594744198</v>
      </c>
      <c r="AG5064">
        <v>-1.108831599568</v>
      </c>
      <c r="AH5064">
        <v>15.557253096064899</v>
      </c>
      <c r="AI5064">
        <v>93.943233229817196</v>
      </c>
      <c r="AJ5064">
        <v>104.73170249549599</v>
      </c>
      <c r="AK5064">
        <v>16.124217827525399</v>
      </c>
      <c r="AL5064">
        <v>89.829774328637299</v>
      </c>
      <c r="AM5064">
        <v>95.117467757232802</v>
      </c>
      <c r="AN5064">
        <v>0.99999997780277505</v>
      </c>
    </row>
    <row r="5065" spans="1:40" x14ac:dyDescent="0.3">
      <c r="A5065" t="str">
        <f>"20200111160604009"</f>
        <v>20200111160604009</v>
      </c>
      <c r="B5065" t="str">
        <f>"1578729963996967"</f>
        <v>1578729963996967</v>
      </c>
      <c r="C5065" t="s">
        <v>40</v>
      </c>
      <c r="D5065">
        <v>5.4576710000000004</v>
      </c>
      <c r="E5065">
        <v>0.43628660000000002</v>
      </c>
      <c r="F5065" t="s">
        <v>87</v>
      </c>
      <c r="G5065">
        <v>-372.06920000000002</v>
      </c>
      <c r="H5065" s="1">
        <v>-4.2849850000000003E-6</v>
      </c>
      <c r="I5065">
        <v>21.704239999999999</v>
      </c>
      <c r="J5065">
        <v>-389.21319999999997</v>
      </c>
      <c r="K5065">
        <v>1.10876</v>
      </c>
      <c r="L5065">
        <v>18.89029</v>
      </c>
      <c r="M5065">
        <v>0.99510909999999997</v>
      </c>
      <c r="N5065">
        <v>0</v>
      </c>
      <c r="O5065">
        <v>-9.8698869999999994E-2</v>
      </c>
      <c r="P5065">
        <v>0.99995270000000003</v>
      </c>
      <c r="Q5065">
        <v>-1.6634460000000001E-3</v>
      </c>
      <c r="R5065">
        <v>-9.5855200000000002E-3</v>
      </c>
      <c r="S5065">
        <v>3.0037539999999998</v>
      </c>
      <c r="T5065">
        <v>-0.1927866</v>
      </c>
      <c r="U5065">
        <v>0.48672490000000002</v>
      </c>
      <c r="V5065">
        <v>-8.9152579999999995E-2</v>
      </c>
      <c r="W5065">
        <v>2.496065E-3</v>
      </c>
      <c r="X5065">
        <v>0.99601479999999998</v>
      </c>
      <c r="Y5065">
        <v>-0.25588719999999998</v>
      </c>
      <c r="Z5065">
        <v>1.4442399999999999E-2</v>
      </c>
      <c r="AA5065">
        <v>0.96659870000000003</v>
      </c>
      <c r="AB5065">
        <v>15</v>
      </c>
      <c r="AC5065">
        <v>17.143999999999899</v>
      </c>
      <c r="AD5065">
        <v>-1.1087642849849999</v>
      </c>
      <c r="AE5065">
        <v>2.81394999999999</v>
      </c>
      <c r="AF5065">
        <v>-4.4740947916057596</v>
      </c>
      <c r="AG5065">
        <v>-1.1087642849849999</v>
      </c>
      <c r="AH5065">
        <v>16.7144772604825</v>
      </c>
      <c r="AI5065">
        <v>93.666476569616705</v>
      </c>
      <c r="AJ5065">
        <v>104.985491932248</v>
      </c>
      <c r="AK5065">
        <v>17.338414937217301</v>
      </c>
      <c r="AL5065">
        <v>89.856985854073798</v>
      </c>
      <c r="AM5065">
        <v>95.114873771107995</v>
      </c>
      <c r="AN5065">
        <v>0.99999994734008801</v>
      </c>
    </row>
    <row r="5066" spans="1:40" x14ac:dyDescent="0.3">
      <c r="A5066" t="str">
        <f>"20200111160604023"</f>
        <v>20200111160604023</v>
      </c>
      <c r="B5066" t="str">
        <f>"1578729964017463"</f>
        <v>1578729964017463</v>
      </c>
      <c r="C5066" t="s">
        <v>40</v>
      </c>
      <c r="D5066">
        <v>5.3526730000000002</v>
      </c>
      <c r="E5066">
        <v>0.43541619999999998</v>
      </c>
      <c r="F5066" t="s">
        <v>87</v>
      </c>
      <c r="G5066">
        <v>-371.27330000000001</v>
      </c>
      <c r="H5066" s="1">
        <v>-4.6091210000000004E-6</v>
      </c>
      <c r="I5066">
        <v>21.796959999999999</v>
      </c>
      <c r="J5066">
        <v>-389.11509999999998</v>
      </c>
      <c r="K5066">
        <v>1.108711</v>
      </c>
      <c r="L5066">
        <v>18.879490000000001</v>
      </c>
      <c r="M5066">
        <v>0.99501249999999997</v>
      </c>
      <c r="N5066">
        <v>0</v>
      </c>
      <c r="O5066">
        <v>-9.9689089999999994E-2</v>
      </c>
      <c r="P5066">
        <v>0.99994340000000004</v>
      </c>
      <c r="Q5066">
        <v>-1.214253E-3</v>
      </c>
      <c r="R5066">
        <v>-1.059766E-2</v>
      </c>
      <c r="S5066">
        <v>3.0044249999999999</v>
      </c>
      <c r="T5066">
        <v>-0.1856872</v>
      </c>
      <c r="U5066">
        <v>0.48678589999999999</v>
      </c>
      <c r="V5066">
        <v>-8.913596E-2</v>
      </c>
      <c r="W5066">
        <v>2.4507660000000001E-3</v>
      </c>
      <c r="X5066">
        <v>0.99601640000000002</v>
      </c>
      <c r="Y5066">
        <v>-0.25688179999999999</v>
      </c>
      <c r="Z5066">
        <v>1.399974E-2</v>
      </c>
      <c r="AA5066">
        <v>0.96634140000000002</v>
      </c>
      <c r="AB5066">
        <v>15</v>
      </c>
      <c r="AC5066">
        <v>17.8417999999999</v>
      </c>
      <c r="AD5066">
        <v>-1.108715609121</v>
      </c>
      <c r="AE5066">
        <v>2.9174699999999998</v>
      </c>
      <c r="AF5066">
        <v>-4.6640390610234004</v>
      </c>
      <c r="AG5066">
        <v>-1.108715609121</v>
      </c>
      <c r="AH5066">
        <v>17.396651915661501</v>
      </c>
      <c r="AI5066">
        <v>93.522547650624105</v>
      </c>
      <c r="AJ5066">
        <v>105.008051326599</v>
      </c>
      <c r="AK5066">
        <v>18.045110377588401</v>
      </c>
      <c r="AL5066">
        <v>89.859581303666602</v>
      </c>
      <c r="AM5066">
        <v>95.113917131322196</v>
      </c>
      <c r="AN5066">
        <v>0.99999994734403197</v>
      </c>
    </row>
    <row r="5067" spans="1:40" x14ac:dyDescent="0.3">
      <c r="A5067" t="str">
        <f>"20200111160604041"</f>
        <v>20200111160604041</v>
      </c>
      <c r="B5067" t="str">
        <f>"1578729964036982"</f>
        <v>1578729964036982</v>
      </c>
      <c r="C5067" t="s">
        <v>40</v>
      </c>
      <c r="D5067">
        <v>5.3271230000000003</v>
      </c>
      <c r="E5067">
        <v>0.4346969</v>
      </c>
      <c r="F5067" t="s">
        <v>87</v>
      </c>
      <c r="G5067">
        <v>-370.66070000000002</v>
      </c>
      <c r="H5067" s="1">
        <v>-4.8612010000000004E-6</v>
      </c>
      <c r="I5067">
        <v>21.891870000000001</v>
      </c>
      <c r="J5067">
        <v>-388.99779999999998</v>
      </c>
      <c r="K5067">
        <v>1.1086579999999999</v>
      </c>
      <c r="L5067">
        <v>18.866389999999999</v>
      </c>
      <c r="M5067">
        <v>0.99489729999999998</v>
      </c>
      <c r="N5067">
        <v>0</v>
      </c>
      <c r="O5067">
        <v>-0.1008488</v>
      </c>
      <c r="P5067">
        <v>0.99992729999999996</v>
      </c>
      <c r="Q5067">
        <v>-8.8074059999999996E-4</v>
      </c>
      <c r="R5067">
        <v>-1.2025599999999999E-2</v>
      </c>
      <c r="S5067">
        <v>3.0051269999999999</v>
      </c>
      <c r="T5067">
        <v>-0.18054390000000001</v>
      </c>
      <c r="U5067">
        <v>0.49053960000000002</v>
      </c>
      <c r="V5067">
        <v>-8.887478E-2</v>
      </c>
      <c r="W5067">
        <v>2.232852E-3</v>
      </c>
      <c r="X5067">
        <v>0.99604029999999999</v>
      </c>
      <c r="Y5067">
        <v>-0.25917820000000003</v>
      </c>
      <c r="Z5067">
        <v>1.37459E-2</v>
      </c>
      <c r="AA5067">
        <v>0.96573169999999997</v>
      </c>
      <c r="AB5067">
        <v>15</v>
      </c>
      <c r="AC5067">
        <v>18.3370999999999</v>
      </c>
      <c r="AD5067">
        <v>-1.1086628612010001</v>
      </c>
      <c r="AE5067">
        <v>3.0254799999999999</v>
      </c>
      <c r="AF5067">
        <v>-4.8421071091773102</v>
      </c>
      <c r="AG5067">
        <v>-1.1086628612010001</v>
      </c>
      <c r="AH5067">
        <v>17.874886224006602</v>
      </c>
      <c r="AI5067">
        <v>93.425972876709494</v>
      </c>
      <c r="AJ5067">
        <v>105.157030716842</v>
      </c>
      <c r="AK5067">
        <v>18.552269190525799</v>
      </c>
      <c r="AL5067">
        <v>89.872066897266095</v>
      </c>
      <c r="AM5067">
        <v>95.098890088609593</v>
      </c>
      <c r="AN5067">
        <v>0.99999999568609599</v>
      </c>
    </row>
    <row r="5068" spans="1:40" x14ac:dyDescent="0.3">
      <c r="A5068" t="str">
        <f>"20200111160604055"</f>
        <v>20200111160604055</v>
      </c>
      <c r="B5068" t="str">
        <f>"1578729964046743"</f>
        <v>1578729964046743</v>
      </c>
      <c r="C5068" t="s">
        <v>40</v>
      </c>
      <c r="D5068">
        <v>5.3068749999999998</v>
      </c>
      <c r="E5068">
        <v>0.4343265</v>
      </c>
      <c r="F5068" t="s">
        <v>85</v>
      </c>
      <c r="G5068">
        <v>-369.97280000000001</v>
      </c>
      <c r="H5068" s="1">
        <v>-6.4166500000000002E-7</v>
      </c>
      <c r="I5068">
        <v>21.978020000000001</v>
      </c>
      <c r="J5068">
        <v>-388.89870000000002</v>
      </c>
      <c r="K5068">
        <v>1.1086129999999901</v>
      </c>
      <c r="L5068">
        <v>18.855260000000001</v>
      </c>
      <c r="M5068">
        <v>0.99480029999999997</v>
      </c>
      <c r="N5068">
        <v>0</v>
      </c>
      <c r="O5068">
        <v>-0.1018131</v>
      </c>
      <c r="P5068">
        <v>0.99991269999999999</v>
      </c>
      <c r="Q5068">
        <v>-8.160919E-4</v>
      </c>
      <c r="R5068">
        <v>-1.318799E-2</v>
      </c>
      <c r="S5068">
        <v>3.005951</v>
      </c>
      <c r="T5068">
        <v>-0.1751685</v>
      </c>
      <c r="U5068">
        <v>0.49163820000000003</v>
      </c>
      <c r="V5068">
        <v>-8.8682499999999997E-2</v>
      </c>
      <c r="W5068">
        <v>1.8609200000000001E-3</v>
      </c>
      <c r="X5068">
        <v>0.9960582</v>
      </c>
      <c r="Y5068">
        <v>-0.26044929999999999</v>
      </c>
      <c r="Z5068">
        <v>1.3425909999999999E-2</v>
      </c>
      <c r="AA5068">
        <v>0.96539410000000003</v>
      </c>
      <c r="AB5068">
        <v>15</v>
      </c>
      <c r="AC5068">
        <v>18.925899999999999</v>
      </c>
      <c r="AD5068">
        <v>-1.1086136416650001</v>
      </c>
      <c r="AE5068">
        <v>3.1227599999999902</v>
      </c>
      <c r="AF5068">
        <v>-5.0166862832754999</v>
      </c>
      <c r="AG5068">
        <v>-1.1086136416650001</v>
      </c>
      <c r="AH5068">
        <v>18.447991553379499</v>
      </c>
      <c r="AI5068">
        <v>93.318759119195207</v>
      </c>
      <c r="AJ5068">
        <v>105.212950656831</v>
      </c>
      <c r="AK5068">
        <v>19.150053729033001</v>
      </c>
      <c r="AL5068">
        <v>89.893377075735302</v>
      </c>
      <c r="AM5068">
        <v>95.087825683064906</v>
      </c>
      <c r="AN5068">
        <v>0.99999999330836797</v>
      </c>
    </row>
    <row r="5069" spans="1:40" x14ac:dyDescent="0.3">
      <c r="A5069" t="str">
        <f>"20200111160604069"</f>
        <v>20200111160604069</v>
      </c>
      <c r="B5069" t="str">
        <f>"1578729964057479"</f>
        <v>1578729964057479</v>
      </c>
      <c r="C5069" t="s">
        <v>40</v>
      </c>
      <c r="D5069">
        <v>5.7267760000000001</v>
      </c>
      <c r="E5069">
        <v>0.4343265</v>
      </c>
      <c r="F5069" t="s">
        <v>85</v>
      </c>
      <c r="G5069">
        <v>-369.66320000000002</v>
      </c>
      <c r="H5069" s="1">
        <v>-7.9305369999999899E-7</v>
      </c>
      <c r="I5069">
        <v>21.996929999999999</v>
      </c>
      <c r="J5069">
        <v>-388.80590000000001</v>
      </c>
      <c r="K5069">
        <v>1.1085700000000001</v>
      </c>
      <c r="L5069">
        <v>18.84479</v>
      </c>
      <c r="M5069">
        <v>0.99470930000000002</v>
      </c>
      <c r="N5069">
        <v>0</v>
      </c>
      <c r="O5069">
        <v>-0.1027081</v>
      </c>
      <c r="P5069">
        <v>0.99989470000000003</v>
      </c>
      <c r="Q5069">
        <v>-9.9275449999999994E-4</v>
      </c>
      <c r="R5069">
        <v>-1.4484439999999999E-2</v>
      </c>
      <c r="S5069">
        <v>3.0065919999999999</v>
      </c>
      <c r="T5069">
        <v>-0.1732813</v>
      </c>
      <c r="U5069">
        <v>0.4910583</v>
      </c>
      <c r="V5069">
        <v>-8.8287879999999999E-2</v>
      </c>
      <c r="W5069">
        <v>1.294915E-3</v>
      </c>
      <c r="X5069">
        <v>0.99609420000000004</v>
      </c>
      <c r="Y5069">
        <v>-0.26111410000000002</v>
      </c>
      <c r="Z5069">
        <v>1.3349120000000001E-2</v>
      </c>
      <c r="AA5069">
        <v>0.96521559999999995</v>
      </c>
      <c r="AB5069">
        <v>15</v>
      </c>
      <c r="AC5069">
        <v>19.142699999999898</v>
      </c>
      <c r="AD5069">
        <v>-1.1085707930536901</v>
      </c>
      <c r="AE5069">
        <v>3.1521400000000002</v>
      </c>
      <c r="AF5069">
        <v>-5.0849815155064402</v>
      </c>
      <c r="AG5069">
        <v>-1.1085707930536901</v>
      </c>
      <c r="AH5069">
        <v>18.6567960841715</v>
      </c>
      <c r="AI5069">
        <v>93.281058927151506</v>
      </c>
      <c r="AJ5069">
        <v>105.24586956402</v>
      </c>
      <c r="AK5069">
        <v>19.369099265133901</v>
      </c>
      <c r="AL5069">
        <v>89.925806817972898</v>
      </c>
      <c r="AM5069">
        <v>95.065121767938905</v>
      </c>
      <c r="AN5069">
        <v>1.00000004091669</v>
      </c>
    </row>
    <row r="5070" spans="1:40" x14ac:dyDescent="0.3">
      <c r="A5070" t="str">
        <f>"20200111160604086"</f>
        <v>20200111160604086</v>
      </c>
      <c r="B5070" t="str">
        <f>"1578729964077001"</f>
        <v>1578729964077001</v>
      </c>
      <c r="C5070" t="s">
        <v>40</v>
      </c>
      <c r="D5070">
        <v>5.2932620000000004</v>
      </c>
      <c r="E5070">
        <v>0.43391780000000002</v>
      </c>
      <c r="F5070" t="s">
        <v>85</v>
      </c>
      <c r="G5070">
        <v>-369.64260000000002</v>
      </c>
      <c r="H5070" s="1">
        <v>-7.8993949999999998E-7</v>
      </c>
      <c r="I5070">
        <v>21.94857</v>
      </c>
      <c r="J5070">
        <v>-388.68180000000001</v>
      </c>
      <c r="K5070">
        <v>1.108506</v>
      </c>
      <c r="L5070">
        <v>18.830629999999999</v>
      </c>
      <c r="M5070">
        <v>0.9945872</v>
      </c>
      <c r="N5070">
        <v>0</v>
      </c>
      <c r="O5070">
        <v>-0.103894</v>
      </c>
      <c r="P5070">
        <v>0.99986629999999999</v>
      </c>
      <c r="Q5070">
        <v>-1.308018E-3</v>
      </c>
      <c r="R5070">
        <v>-1.631486E-2</v>
      </c>
      <c r="S5070">
        <v>3.0072019999999999</v>
      </c>
      <c r="T5070">
        <v>-0.17396220000000001</v>
      </c>
      <c r="U5070">
        <v>0.48706050000000001</v>
      </c>
      <c r="V5070">
        <v>-8.7652869999999994E-2</v>
      </c>
      <c r="W5070">
        <v>4.9239789999999998E-4</v>
      </c>
      <c r="X5070">
        <v>0.99615100000000001</v>
      </c>
      <c r="Y5070">
        <v>-0.26097720000000002</v>
      </c>
      <c r="Z5070">
        <v>1.34643E-2</v>
      </c>
      <c r="AA5070">
        <v>0.96525110000000003</v>
      </c>
      <c r="AB5070">
        <v>16</v>
      </c>
      <c r="AC5070">
        <v>19.039199999999902</v>
      </c>
      <c r="AD5070">
        <v>-1.1085067899395</v>
      </c>
      <c r="AE5070">
        <v>3.1179399999999999</v>
      </c>
      <c r="AF5070">
        <v>-5.0624152249672001</v>
      </c>
      <c r="AG5070">
        <v>-1.1085067899395</v>
      </c>
      <c r="AH5070">
        <v>18.550988664242801</v>
      </c>
      <c r="AI5070">
        <v>93.299258915998493</v>
      </c>
      <c r="AJ5070">
        <v>105.26389972738301</v>
      </c>
      <c r="AK5070">
        <v>19.261256854997502</v>
      </c>
      <c r="AL5070">
        <v>89.971787678517899</v>
      </c>
      <c r="AM5070">
        <v>95.028593122625097</v>
      </c>
      <c r="AN5070">
        <v>1.00000004143796</v>
      </c>
    </row>
    <row r="5071" spans="1:40" x14ac:dyDescent="0.3">
      <c r="A5071" t="str">
        <f>"20200111160604098"</f>
        <v>20200111160604098</v>
      </c>
      <c r="B5071" t="str">
        <f>"1578729964086759"</f>
        <v>1578729964086759</v>
      </c>
      <c r="C5071" t="s">
        <v>40</v>
      </c>
      <c r="D5071">
        <v>5.3357809999999999</v>
      </c>
      <c r="E5071">
        <v>0.43357279999999998</v>
      </c>
      <c r="F5071" t="s">
        <v>87</v>
      </c>
      <c r="G5071">
        <v>-370.14299999999997</v>
      </c>
      <c r="H5071" s="1">
        <v>-5.0471719999999998E-6</v>
      </c>
      <c r="I5071">
        <v>21.81954</v>
      </c>
      <c r="J5071">
        <v>-388.59339999999997</v>
      </c>
      <c r="K5071">
        <v>1.108466</v>
      </c>
      <c r="L5071">
        <v>18.820499999999999</v>
      </c>
      <c r="M5071">
        <v>0.99449969999999999</v>
      </c>
      <c r="N5071">
        <v>0</v>
      </c>
      <c r="O5071">
        <v>-0.1047298</v>
      </c>
      <c r="P5071">
        <v>0.99985040000000003</v>
      </c>
      <c r="Q5071">
        <v>-1.312517E-3</v>
      </c>
      <c r="R5071">
        <v>-1.724506E-2</v>
      </c>
      <c r="S5071">
        <v>3.0081180000000001</v>
      </c>
      <c r="T5071">
        <v>-0.17986849999999999</v>
      </c>
      <c r="U5071">
        <v>0.48498540000000001</v>
      </c>
      <c r="V5071">
        <v>-8.7563600000000005E-2</v>
      </c>
      <c r="W5071">
        <v>1.6814879999999999E-4</v>
      </c>
      <c r="X5071">
        <v>0.99615889999999996</v>
      </c>
      <c r="Y5071">
        <v>-0.26105050000000002</v>
      </c>
      <c r="Z5071">
        <v>1.3968960000000001E-2</v>
      </c>
      <c r="AA5071">
        <v>0.96522410000000003</v>
      </c>
      <c r="AB5071">
        <v>16</v>
      </c>
      <c r="AC5071">
        <v>18.450399999999899</v>
      </c>
      <c r="AD5071">
        <v>-1.1084710471719901</v>
      </c>
      <c r="AE5071">
        <v>2.9990399999999999</v>
      </c>
      <c r="AF5071">
        <v>-4.8976334722166701</v>
      </c>
      <c r="AG5071">
        <v>-1.1084710471719901</v>
      </c>
      <c r="AH5071">
        <v>17.971649148059299</v>
      </c>
      <c r="AI5071">
        <v>93.405579642149405</v>
      </c>
      <c r="AJ5071">
        <v>105.24406339407</v>
      </c>
      <c r="AK5071">
        <v>18.660002539965902</v>
      </c>
      <c r="AL5071">
        <v>89.990365783222401</v>
      </c>
      <c r="AM5071">
        <v>95.023458339753304</v>
      </c>
      <c r="AN5071">
        <v>0.999999983184094</v>
      </c>
    </row>
    <row r="5072" spans="1:40" x14ac:dyDescent="0.3">
      <c r="A5072" t="str">
        <f>"20200111160604111"</f>
        <v>20200111160604111</v>
      </c>
      <c r="B5072" t="str">
        <f>"1578729964107255"</f>
        <v>1578729964107255</v>
      </c>
      <c r="C5072" t="s">
        <v>40</v>
      </c>
      <c r="D5072">
        <v>5.6482939999999999</v>
      </c>
      <c r="E5072">
        <v>0.43579869999999998</v>
      </c>
      <c r="F5072" t="s">
        <v>85</v>
      </c>
      <c r="G5072">
        <v>-369.8904</v>
      </c>
      <c r="H5072" s="1">
        <v>-6.4240209999999998E-7</v>
      </c>
      <c r="I5072">
        <v>21.834299999999999</v>
      </c>
      <c r="J5072">
        <v>-388.5086</v>
      </c>
      <c r="K5072">
        <v>1.108433</v>
      </c>
      <c r="L5072">
        <v>18.810700000000001</v>
      </c>
      <c r="M5072">
        <v>0.99441579999999996</v>
      </c>
      <c r="N5072">
        <v>0</v>
      </c>
      <c r="O5072">
        <v>-0.10552980000000001</v>
      </c>
      <c r="P5072">
        <v>0.99983610000000001</v>
      </c>
      <c r="Q5072">
        <v>-1.3731889999999999E-3</v>
      </c>
      <c r="R5072">
        <v>-1.8064480000000001E-2</v>
      </c>
      <c r="S5072">
        <v>3.008575</v>
      </c>
      <c r="T5072">
        <v>-0.1783082</v>
      </c>
      <c r="U5072">
        <v>0.48480220000000002</v>
      </c>
      <c r="V5072">
        <v>-8.7549340000000003E-2</v>
      </c>
      <c r="W5072">
        <v>-1.830863E-4</v>
      </c>
      <c r="X5072">
        <v>0.99616009999999999</v>
      </c>
      <c r="Y5072">
        <v>-0.26175520000000002</v>
      </c>
      <c r="Z5072">
        <v>1.3913780000000001E-2</v>
      </c>
      <c r="AA5072">
        <v>0.96503399999999995</v>
      </c>
      <c r="AB5072">
        <v>16</v>
      </c>
      <c r="AC5072">
        <v>18.618200000000002</v>
      </c>
      <c r="AD5072">
        <v>-1.1084336424021</v>
      </c>
      <c r="AE5072">
        <v>3.0235999999999899</v>
      </c>
      <c r="AF5072">
        <v>-4.95438308666228</v>
      </c>
      <c r="AG5072">
        <v>-1.1084336424021</v>
      </c>
      <c r="AH5072">
        <v>18.1325408134147</v>
      </c>
      <c r="AI5072">
        <v>93.374709627323199</v>
      </c>
      <c r="AJ5072">
        <v>105.28201044996</v>
      </c>
      <c r="AK5072">
        <v>18.829858556536301</v>
      </c>
      <c r="AL5072">
        <v>90.010490073041794</v>
      </c>
      <c r="AM5072">
        <v>95.022638419737405</v>
      </c>
      <c r="AN5072">
        <v>0.99999993264351705</v>
      </c>
    </row>
    <row r="5073" spans="1:40" x14ac:dyDescent="0.3">
      <c r="A5073" t="str">
        <f>"20200111160604129"</f>
        <v>20200111160604129</v>
      </c>
      <c r="B5073" t="str">
        <f>"1578729964127751"</f>
        <v>1578729964127751</v>
      </c>
      <c r="C5073" t="s">
        <v>40</v>
      </c>
      <c r="D5073">
        <v>6.3736560000000004</v>
      </c>
      <c r="E5073">
        <v>0.43579869999999998</v>
      </c>
      <c r="F5073" t="s">
        <v>87</v>
      </c>
      <c r="G5073">
        <v>-370.51659999999998</v>
      </c>
      <c r="H5073" s="1">
        <v>-4.8630010000000001E-6</v>
      </c>
      <c r="I5073">
        <v>21.589980000000001</v>
      </c>
      <c r="J5073">
        <v>-388.36799999999999</v>
      </c>
      <c r="K5073">
        <v>1.108371</v>
      </c>
      <c r="L5073">
        <v>18.794309999999999</v>
      </c>
      <c r="M5073">
        <v>0.99427500000000002</v>
      </c>
      <c r="N5073">
        <v>0</v>
      </c>
      <c r="O5073">
        <v>-0.10685020000000001</v>
      </c>
      <c r="P5073">
        <v>0.99980250000000004</v>
      </c>
      <c r="Q5073">
        <v>-1.680352E-3</v>
      </c>
      <c r="R5073">
        <v>-1.9813420000000002E-2</v>
      </c>
      <c r="S5073">
        <v>3.0086360000000001</v>
      </c>
      <c r="T5073">
        <v>-0.1853534</v>
      </c>
      <c r="U5073">
        <v>0.4647522</v>
      </c>
      <c r="V5073">
        <v>-8.7130830000000006E-2</v>
      </c>
      <c r="W5073">
        <v>-9.3855879999999998E-4</v>
      </c>
      <c r="X5073">
        <v>0.99619639999999998</v>
      </c>
      <c r="Y5073">
        <v>-0.25671040000000001</v>
      </c>
      <c r="Z5073">
        <v>1.439556E-2</v>
      </c>
      <c r="AA5073">
        <v>0.96638120000000005</v>
      </c>
      <c r="AB5073">
        <v>16</v>
      </c>
      <c r="AC5073">
        <v>17.851400000000002</v>
      </c>
      <c r="AD5073">
        <v>-1.1083758630009899</v>
      </c>
      <c r="AE5073">
        <v>2.7956699999999901</v>
      </c>
      <c r="AF5073">
        <v>-4.6695207691971898</v>
      </c>
      <c r="AG5073">
        <v>-1.1083758630009899</v>
      </c>
      <c r="AH5073">
        <v>17.385069248045198</v>
      </c>
      <c r="AI5073">
        <v>93.523376624286598</v>
      </c>
      <c r="AJ5073">
        <v>105.03445046786101</v>
      </c>
      <c r="AK5073">
        <v>18.035341805105102</v>
      </c>
      <c r="AL5073">
        <v>90.053775467847402</v>
      </c>
      <c r="AM5073">
        <v>94.998569536947997</v>
      </c>
      <c r="AN5073">
        <v>0.99999996490103404</v>
      </c>
    </row>
    <row r="5074" spans="1:40" x14ac:dyDescent="0.3">
      <c r="A5074" t="str">
        <f>"20200111160604141"</f>
        <v>20200111160604141</v>
      </c>
      <c r="B5074" t="str">
        <f>"1578729964137511"</f>
        <v>1578729964137511</v>
      </c>
      <c r="C5074" t="s">
        <v>40</v>
      </c>
      <c r="D5074">
        <v>5.6041499999999997</v>
      </c>
      <c r="E5074">
        <v>0.55983070000000001</v>
      </c>
      <c r="F5074" t="s">
        <v>87</v>
      </c>
      <c r="G5074">
        <v>-370.49299999999999</v>
      </c>
      <c r="H5074" s="1">
        <v>-4.8601539999999996E-6</v>
      </c>
      <c r="I5074">
        <v>21.522929999999999</v>
      </c>
      <c r="J5074">
        <v>-388.27620000000002</v>
      </c>
      <c r="K5074">
        <v>1.108331</v>
      </c>
      <c r="L5074">
        <v>18.78351</v>
      </c>
      <c r="M5074">
        <v>0.99418240000000002</v>
      </c>
      <c r="N5074">
        <v>0</v>
      </c>
      <c r="O5074">
        <v>-0.1077092</v>
      </c>
      <c r="P5074">
        <v>0.99978259999999997</v>
      </c>
      <c r="Q5074">
        <v>-1.615694E-3</v>
      </c>
      <c r="R5074">
        <v>-2.0792749999999999E-2</v>
      </c>
      <c r="S5074">
        <v>3.009369</v>
      </c>
      <c r="T5074">
        <v>-0.1866023</v>
      </c>
      <c r="U5074">
        <v>0.45938109999999999</v>
      </c>
      <c r="V5074">
        <v>-8.7016309999999999E-2</v>
      </c>
      <c r="W5074">
        <v>-1.145821E-3</v>
      </c>
      <c r="X5074">
        <v>0.99620620000000004</v>
      </c>
      <c r="Y5074">
        <v>-0.25581569999999998</v>
      </c>
      <c r="Z5074">
        <v>1.4516019999999999E-2</v>
      </c>
      <c r="AA5074">
        <v>0.96661660000000005</v>
      </c>
      <c r="AB5074">
        <v>16</v>
      </c>
      <c r="AC5074">
        <v>17.783199999999901</v>
      </c>
      <c r="AD5074">
        <v>-1.1083358601540001</v>
      </c>
      <c r="AE5074">
        <v>2.7394199999999902</v>
      </c>
      <c r="AF5074">
        <v>-4.6213625177094002</v>
      </c>
      <c r="AG5074">
        <v>-1.1083358601540001</v>
      </c>
      <c r="AH5074">
        <v>17.318970192499901</v>
      </c>
      <c r="AI5074">
        <v>93.538209876444398</v>
      </c>
      <c r="AJ5074">
        <v>104.94059146120399</v>
      </c>
      <c r="AK5074">
        <v>17.959179503186999</v>
      </c>
      <c r="AL5074">
        <v>90.065650723580205</v>
      </c>
      <c r="AM5074">
        <v>94.9919840501517</v>
      </c>
      <c r="AN5074">
        <v>0.99999997201510904</v>
      </c>
    </row>
    <row r="5075" spans="1:40" x14ac:dyDescent="0.3">
      <c r="A5075" t="str">
        <f>"20200111160604155"</f>
        <v>20200111160604155</v>
      </c>
      <c r="B5075" t="str">
        <f>"1578729964147271"</f>
        <v>1578729964147271</v>
      </c>
      <c r="C5075" t="s">
        <v>40</v>
      </c>
      <c r="D5075">
        <v>5.633699</v>
      </c>
      <c r="E5075">
        <v>0.55971459999999995</v>
      </c>
      <c r="F5075" t="s">
        <v>41</v>
      </c>
      <c r="G5075">
        <v>-359.05900000000003</v>
      </c>
      <c r="H5075" s="1">
        <v>-1.9214080000000002E-6</v>
      </c>
      <c r="I5075">
        <v>13.54602</v>
      </c>
      <c r="J5075">
        <v>-388.1816</v>
      </c>
      <c r="K5075">
        <v>1.1082909999999999</v>
      </c>
      <c r="L5075">
        <v>18.772310000000001</v>
      </c>
      <c r="M5075">
        <v>0.99408620000000003</v>
      </c>
      <c r="N5075">
        <v>0</v>
      </c>
      <c r="O5075">
        <v>-0.1085932</v>
      </c>
      <c r="P5075">
        <v>0.99975590000000003</v>
      </c>
      <c r="Q5075">
        <v>-1.677467E-3</v>
      </c>
      <c r="R5075">
        <v>-2.2034850000000002E-2</v>
      </c>
      <c r="S5075">
        <v>2.9893190000000001</v>
      </c>
      <c r="T5075">
        <v>-0.1133976</v>
      </c>
      <c r="U5075">
        <v>-0.53585819999999995</v>
      </c>
      <c r="V5075">
        <v>-8.6664759999999993E-2</v>
      </c>
      <c r="W5075">
        <v>-1.4635150000000001E-3</v>
      </c>
      <c r="X5075">
        <v>0.99623640000000002</v>
      </c>
      <c r="Y5075">
        <v>6.8539840000000005E-2</v>
      </c>
      <c r="Z5075">
        <v>2.7802539999999998E-3</v>
      </c>
      <c r="AA5075">
        <v>0.99764450000000005</v>
      </c>
      <c r="AB5075">
        <v>16</v>
      </c>
      <c r="AC5075">
        <v>29.122599999999899</v>
      </c>
      <c r="AD5075">
        <v>-1.108292921408</v>
      </c>
      <c r="AE5075">
        <v>-5.2262899999999997</v>
      </c>
      <c r="AF5075">
        <v>2.0300183058810801</v>
      </c>
      <c r="AG5075">
        <v>-1.108292921408</v>
      </c>
      <c r="AH5075">
        <v>29.476558445926099</v>
      </c>
      <c r="AI5075">
        <v>92.148173596613503</v>
      </c>
      <c r="AJ5075">
        <v>86.060323072817198</v>
      </c>
      <c r="AK5075">
        <v>29.567157207583399</v>
      </c>
      <c r="AL5075">
        <v>90.083853267417794</v>
      </c>
      <c r="AM5075">
        <v>94.971767530640093</v>
      </c>
      <c r="AN5075">
        <v>0.99999994359348399</v>
      </c>
    </row>
    <row r="5076" spans="1:40" x14ac:dyDescent="0.3">
      <c r="A5076" t="str">
        <f>"20200111160604168"</f>
        <v>20200111160604168</v>
      </c>
      <c r="B5076" t="str">
        <f>"1578729964157031"</f>
        <v>1578729964157031</v>
      </c>
      <c r="C5076" t="s">
        <v>40</v>
      </c>
      <c r="D5076">
        <v>5.5879469999999998</v>
      </c>
      <c r="E5076">
        <v>0.55977919999999903</v>
      </c>
      <c r="F5076" t="s">
        <v>42</v>
      </c>
      <c r="G5076">
        <v>-387.38690000000003</v>
      </c>
      <c r="H5076">
        <v>1.058522</v>
      </c>
      <c r="I5076">
        <v>18.629809999999999</v>
      </c>
      <c r="J5076">
        <v>-388.07760000000002</v>
      </c>
      <c r="K5076">
        <v>1.1082479999999999</v>
      </c>
      <c r="L5076">
        <v>18.759920000000001</v>
      </c>
      <c r="M5076">
        <v>0.99397979999999997</v>
      </c>
      <c r="N5076">
        <v>0</v>
      </c>
      <c r="O5076">
        <v>-0.10956399999999999</v>
      </c>
      <c r="P5076">
        <v>0.9997298</v>
      </c>
      <c r="Q5076">
        <v>-1.7812590000000001E-3</v>
      </c>
      <c r="R5076">
        <v>-2.318659E-2</v>
      </c>
      <c r="S5076">
        <v>2.9885860000000002</v>
      </c>
      <c r="T5076">
        <v>-0.1871601</v>
      </c>
      <c r="U5076">
        <v>-0.53598020000000002</v>
      </c>
      <c r="V5076">
        <v>-8.6490819999999996E-2</v>
      </c>
      <c r="W5076">
        <v>-1.8335910000000001E-3</v>
      </c>
      <c r="X5076">
        <v>0.996251</v>
      </c>
      <c r="Y5076">
        <v>6.7698339999999996E-2</v>
      </c>
      <c r="Z5076">
        <v>4.6728639999999997E-3</v>
      </c>
      <c r="AA5076">
        <v>0.99769490000000005</v>
      </c>
      <c r="AB5076">
        <v>17</v>
      </c>
      <c r="AC5076">
        <v>0.69069999999999199</v>
      </c>
      <c r="AD5076">
        <v>-4.9725999999999902E-2</v>
      </c>
      <c r="AE5076">
        <v>-0.130110000000001</v>
      </c>
      <c r="AF5076">
        <v>5.3383644000409999E-2</v>
      </c>
      <c r="AG5076">
        <v>-4.9725999999999902E-2</v>
      </c>
      <c r="AH5076">
        <v>0.69730683554518302</v>
      </c>
      <c r="AI5076">
        <v>94.0670823945877</v>
      </c>
      <c r="AJ5076">
        <v>85.622152670112797</v>
      </c>
      <c r="AK5076">
        <v>0.70111290918139502</v>
      </c>
      <c r="AL5076">
        <v>90.105057080371296</v>
      </c>
      <c r="AM5076">
        <v>94.961766486486994</v>
      </c>
      <c r="AN5076">
        <v>1.0000000395006099</v>
      </c>
    </row>
    <row r="5077" spans="1:40" x14ac:dyDescent="0.3">
      <c r="A5077" t="str">
        <f>"20200111160604186"</f>
        <v>20200111160604186</v>
      </c>
      <c r="B5077" t="str">
        <f>"1578729964177526"</f>
        <v>1578729964177526</v>
      </c>
      <c r="C5077" t="s">
        <v>40</v>
      </c>
      <c r="D5077">
        <v>5.5309030000000003</v>
      </c>
      <c r="E5077">
        <v>0.55956519999999899</v>
      </c>
      <c r="F5077" t="s">
        <v>42</v>
      </c>
      <c r="G5077">
        <v>-387.2439</v>
      </c>
      <c r="H5077">
        <v>1.046441</v>
      </c>
      <c r="I5077">
        <v>18.609200000000001</v>
      </c>
      <c r="J5077">
        <v>-387.94220000000001</v>
      </c>
      <c r="K5077">
        <v>1.108187</v>
      </c>
      <c r="L5077">
        <v>18.74362</v>
      </c>
      <c r="M5077">
        <v>0.99383969999999999</v>
      </c>
      <c r="N5077">
        <v>0</v>
      </c>
      <c r="O5077">
        <v>-0.1108259</v>
      </c>
      <c r="P5077">
        <v>0.99967640000000002</v>
      </c>
      <c r="Q5077">
        <v>-2.0795259999999999E-3</v>
      </c>
      <c r="R5077">
        <v>-2.5359679999999999E-2</v>
      </c>
      <c r="S5077">
        <v>2.9879150000000001</v>
      </c>
      <c r="T5077">
        <v>-0.2211803</v>
      </c>
      <c r="U5077">
        <v>-0.53863530000000004</v>
      </c>
      <c r="V5077">
        <v>-8.5591410000000007E-2</v>
      </c>
      <c r="W5077">
        <v>-2.4490919999999999E-3</v>
      </c>
      <c r="X5077">
        <v>0.99632730000000003</v>
      </c>
      <c r="Y5077">
        <v>6.7364579999999993E-2</v>
      </c>
      <c r="Z5077">
        <v>5.624759E-3</v>
      </c>
      <c r="AA5077">
        <v>0.99771259999999995</v>
      </c>
      <c r="AB5077">
        <v>17</v>
      </c>
      <c r="AC5077">
        <v>0.69830000000001702</v>
      </c>
      <c r="AD5077">
        <v>-6.1746000000000002E-2</v>
      </c>
      <c r="AE5077">
        <v>-0.13441999999999801</v>
      </c>
      <c r="AF5077">
        <v>5.5781658606799997E-2</v>
      </c>
      <c r="AG5077">
        <v>-6.1746000000000002E-2</v>
      </c>
      <c r="AH5077">
        <v>0.70359098178437396</v>
      </c>
      <c r="AI5077">
        <v>94.999727008624504</v>
      </c>
      <c r="AJ5077">
        <v>85.466993562003395</v>
      </c>
      <c r="AK5077">
        <v>0.70849448240704305</v>
      </c>
      <c r="AL5077">
        <v>90.140322777183499</v>
      </c>
      <c r="AM5077">
        <v>94.910048927608301</v>
      </c>
      <c r="AN5077">
        <v>0.99999998812135105</v>
      </c>
    </row>
    <row r="5078" spans="1:40" x14ac:dyDescent="0.3">
      <c r="A5078" t="str">
        <f>"20200111160604198"</f>
        <v>20200111160604198</v>
      </c>
      <c r="B5078" t="str">
        <f>"1578729964187287"</f>
        <v>1578729964187287</v>
      </c>
      <c r="C5078" t="s">
        <v>40</v>
      </c>
      <c r="D5078">
        <v>5.4874309999999999</v>
      </c>
      <c r="E5078">
        <v>0.55920550000000002</v>
      </c>
      <c r="F5078" t="s">
        <v>42</v>
      </c>
      <c r="G5078">
        <v>-387.09480000000002</v>
      </c>
      <c r="H5078">
        <v>1.0364719999999901</v>
      </c>
      <c r="I5078">
        <v>18.589390000000002</v>
      </c>
      <c r="J5078">
        <v>-387.84890000000001</v>
      </c>
      <c r="K5078">
        <v>1.1081479999999999</v>
      </c>
      <c r="L5078">
        <v>18.73227</v>
      </c>
      <c r="M5078">
        <v>0.99374240000000003</v>
      </c>
      <c r="N5078">
        <v>0</v>
      </c>
      <c r="O5078">
        <v>-0.1116946</v>
      </c>
      <c r="P5078">
        <v>0.99964889999999995</v>
      </c>
      <c r="Q5078">
        <v>-2.2479800000000001E-3</v>
      </c>
      <c r="R5078">
        <v>-2.640087E-2</v>
      </c>
      <c r="S5078">
        <v>2.986755</v>
      </c>
      <c r="T5078">
        <v>-0.25256220000000001</v>
      </c>
      <c r="U5078">
        <v>-0.54232789999999997</v>
      </c>
      <c r="V5078">
        <v>-8.5424589999999995E-2</v>
      </c>
      <c r="W5078">
        <v>-2.8144709999999998E-3</v>
      </c>
      <c r="X5078">
        <v>0.99634069999999997</v>
      </c>
      <c r="Y5078">
        <v>6.7790500000000004E-2</v>
      </c>
      <c r="Z5078">
        <v>6.4760149999999999E-3</v>
      </c>
      <c r="AA5078">
        <v>0.99767859999999997</v>
      </c>
      <c r="AB5078">
        <v>17</v>
      </c>
      <c r="AC5078">
        <v>0.754099999999994</v>
      </c>
      <c r="AD5078">
        <v>-7.1676000000000004E-2</v>
      </c>
      <c r="AE5078">
        <v>-0.14288000000000101</v>
      </c>
      <c r="AF5078">
        <v>5.7257675699266403E-2</v>
      </c>
      <c r="AG5078">
        <v>-7.1676000000000004E-2</v>
      </c>
      <c r="AH5078">
        <v>0.75872329066460598</v>
      </c>
      <c r="AI5078">
        <v>95.381459763345802</v>
      </c>
      <c r="AJ5078">
        <v>85.684307332621998</v>
      </c>
      <c r="AK5078">
        <v>0.764249253973735</v>
      </c>
      <c r="AL5078">
        <v>90.161257516926398</v>
      </c>
      <c r="AM5078">
        <v>94.900460169135201</v>
      </c>
      <c r="AN5078">
        <v>1.00000003615008</v>
      </c>
    </row>
    <row r="5079" spans="1:40" x14ac:dyDescent="0.3">
      <c r="A5079" t="str">
        <f>"20200111160604210"</f>
        <v>20200111160604210</v>
      </c>
      <c r="B5079" t="str">
        <f>"1578729964206807"</f>
        <v>1578729964206807</v>
      </c>
      <c r="C5079" t="s">
        <v>40</v>
      </c>
      <c r="D5079">
        <v>5.5583559999999999</v>
      </c>
      <c r="E5079">
        <v>0.55858560000000002</v>
      </c>
      <c r="F5079" t="s">
        <v>42</v>
      </c>
      <c r="G5079">
        <v>-387.0915</v>
      </c>
      <c r="H5079">
        <v>1.0421750000000001</v>
      </c>
      <c r="I5079">
        <v>18.594339999999999</v>
      </c>
      <c r="J5079">
        <v>-387.75409999999999</v>
      </c>
      <c r="K5079">
        <v>1.1081110000000001</v>
      </c>
      <c r="L5079">
        <v>18.720669999999998</v>
      </c>
      <c r="M5079">
        <v>0.99364269999999999</v>
      </c>
      <c r="N5079">
        <v>0</v>
      </c>
      <c r="O5079">
        <v>-0.1125768</v>
      </c>
      <c r="P5079">
        <v>0.99962169999999895</v>
      </c>
      <c r="Q5079">
        <v>-2.6135170000000001E-3</v>
      </c>
      <c r="R5079">
        <v>-2.7377289999999999E-2</v>
      </c>
      <c r="S5079">
        <v>2.986145</v>
      </c>
      <c r="T5079">
        <v>-0.2599011</v>
      </c>
      <c r="U5079">
        <v>-0.54235840000000002</v>
      </c>
      <c r="V5079">
        <v>-8.5337490000000002E-2</v>
      </c>
      <c r="W5079">
        <v>-3.3669469999999999E-3</v>
      </c>
      <c r="X5079">
        <v>0.99634639999999997</v>
      </c>
      <c r="Y5079">
        <v>6.6965479999999994E-2</v>
      </c>
      <c r="Z5079">
        <v>6.7756589999999998E-3</v>
      </c>
      <c r="AA5079">
        <v>0.99773230000000002</v>
      </c>
      <c r="AB5079">
        <v>17</v>
      </c>
      <c r="AC5079">
        <v>0.66259999999999697</v>
      </c>
      <c r="AD5079">
        <v>-6.5935999999999995E-2</v>
      </c>
      <c r="AE5079">
        <v>-0.126330000000002</v>
      </c>
      <c r="AF5079">
        <v>5.0451442069481399E-2</v>
      </c>
      <c r="AG5079">
        <v>-6.5935999999999995E-2</v>
      </c>
      <c r="AH5079">
        <v>0.66624366702195903</v>
      </c>
      <c r="AI5079">
        <v>95.635943273151</v>
      </c>
      <c r="AJ5079">
        <v>85.669529819983893</v>
      </c>
      <c r="AK5079">
        <v>0.671396699388489</v>
      </c>
      <c r="AL5079">
        <v>90.192912220100993</v>
      </c>
      <c r="AM5079">
        <v>94.8954600218282</v>
      </c>
      <c r="AN5079">
        <v>0.99999998616228003</v>
      </c>
    </row>
    <row r="5080" spans="1:40" x14ac:dyDescent="0.3">
      <c r="A5080" t="str">
        <f>"20200111160604230"</f>
        <v>20200111160604230</v>
      </c>
      <c r="B5080" t="str">
        <f>"1578729964217542"</f>
        <v>1578729964217542</v>
      </c>
      <c r="C5080" t="s">
        <v>40</v>
      </c>
      <c r="D5080">
        <v>5.524324</v>
      </c>
      <c r="E5080">
        <v>0.55810969999999904</v>
      </c>
      <c r="F5080" t="s">
        <v>42</v>
      </c>
      <c r="G5080">
        <v>-386.94009999999997</v>
      </c>
      <c r="H5080">
        <v>1.0326690000000001</v>
      </c>
      <c r="I5080">
        <v>18.573070000000001</v>
      </c>
      <c r="J5080">
        <v>-387.60379999999998</v>
      </c>
      <c r="K5080">
        <v>1.10805</v>
      </c>
      <c r="L5080">
        <v>18.702120000000001</v>
      </c>
      <c r="M5080">
        <v>0.99348320000000001</v>
      </c>
      <c r="N5080">
        <v>0</v>
      </c>
      <c r="O5080">
        <v>-0.113972699999999</v>
      </c>
      <c r="P5080">
        <v>0.99958069999999999</v>
      </c>
      <c r="Q5080">
        <v>-3.4576960000000001E-3</v>
      </c>
      <c r="R5080">
        <v>-2.875111E-2</v>
      </c>
      <c r="S5080">
        <v>2.9856259999999999</v>
      </c>
      <c r="T5080">
        <v>-0.27639069999999999</v>
      </c>
      <c r="U5080">
        <v>-0.53991699999999998</v>
      </c>
      <c r="V5080">
        <v>-8.5369899999999999E-2</v>
      </c>
      <c r="W5080">
        <v>-4.4806189999999999E-3</v>
      </c>
      <c r="X5080">
        <v>0.99633930000000004</v>
      </c>
      <c r="Y5080">
        <v>6.4840030000000007E-2</v>
      </c>
      <c r="Z5080">
        <v>7.4297119999999998E-3</v>
      </c>
      <c r="AA5080">
        <v>0.99786799999999998</v>
      </c>
      <c r="AB5080">
        <v>17</v>
      </c>
      <c r="AC5080">
        <v>0.66370000000000495</v>
      </c>
      <c r="AD5080">
        <v>-7.5380999999999906E-2</v>
      </c>
      <c r="AE5080">
        <v>-0.129049999999999</v>
      </c>
      <c r="AF5080">
        <v>5.1920007152321299E-2</v>
      </c>
      <c r="AG5080">
        <v>-7.5380999999999906E-2</v>
      </c>
      <c r="AH5080">
        <v>0.66580758950094499</v>
      </c>
      <c r="AI5080">
        <v>96.439987426170802</v>
      </c>
      <c r="AJ5080">
        <v>85.541070180321299</v>
      </c>
      <c r="AK5080">
        <v>0.67206973487931698</v>
      </c>
      <c r="AL5080">
        <v>90.256721404912</v>
      </c>
      <c r="AM5080">
        <v>94.897344938301103</v>
      </c>
      <c r="AN5080">
        <v>1.00000004824856</v>
      </c>
    </row>
    <row r="5081" spans="1:40" x14ac:dyDescent="0.3">
      <c r="A5081" t="str">
        <f>"20200111160604241"</f>
        <v>20200111160604241</v>
      </c>
      <c r="B5081" t="str">
        <f>"1578729964237062"</f>
        <v>1578729964237062</v>
      </c>
      <c r="C5081" t="s">
        <v>40</v>
      </c>
      <c r="D5081">
        <v>5.5026739999999998</v>
      </c>
      <c r="E5081">
        <v>0.55754740000000003</v>
      </c>
      <c r="F5081" t="s">
        <v>42</v>
      </c>
      <c r="G5081">
        <v>-386.78280000000001</v>
      </c>
      <c r="H5081">
        <v>1.0302439999999999</v>
      </c>
      <c r="I5081">
        <v>18.553319999999999</v>
      </c>
      <c r="J5081">
        <v>-387.50540000000001</v>
      </c>
      <c r="K5081">
        <v>1.1080110000000001</v>
      </c>
      <c r="L5081">
        <v>18.68985</v>
      </c>
      <c r="M5081">
        <v>0.99337790000000004</v>
      </c>
      <c r="N5081">
        <v>0</v>
      </c>
      <c r="O5081">
        <v>-0.1148861</v>
      </c>
      <c r="P5081">
        <v>0.99956089999999997</v>
      </c>
      <c r="Q5081">
        <v>-3.5318889999999999E-3</v>
      </c>
      <c r="R5081">
        <v>-2.942761E-2</v>
      </c>
      <c r="S5081">
        <v>2.984772</v>
      </c>
      <c r="T5081">
        <v>-0.28278029999999998</v>
      </c>
      <c r="U5081">
        <v>-0.54043580000000002</v>
      </c>
      <c r="V5081">
        <v>-8.5612099999999997E-2</v>
      </c>
      <c r="W5081">
        <v>-4.715988E-3</v>
      </c>
      <c r="X5081">
        <v>0.99631740000000002</v>
      </c>
      <c r="Y5081">
        <v>6.4156850000000001E-2</v>
      </c>
      <c r="Z5081">
        <v>7.7195359999999999E-3</v>
      </c>
      <c r="AA5081">
        <v>0.99790999999999996</v>
      </c>
      <c r="AB5081">
        <v>18</v>
      </c>
      <c r="AC5081">
        <v>0.72259999999999902</v>
      </c>
      <c r="AD5081">
        <v>-7.7766999999999906E-2</v>
      </c>
      <c r="AE5081">
        <v>-0.13652999999999599</v>
      </c>
      <c r="AF5081">
        <v>5.2027402989604697E-2</v>
      </c>
      <c r="AG5081">
        <v>-7.7766999999999906E-2</v>
      </c>
      <c r="AH5081">
        <v>0.72538875773124101</v>
      </c>
      <c r="AI5081">
        <v>96.103595977838694</v>
      </c>
      <c r="AJ5081">
        <v>85.897572569072494</v>
      </c>
      <c r="AK5081">
        <v>0.73139825457387897</v>
      </c>
      <c r="AL5081">
        <v>90.270207205673103</v>
      </c>
      <c r="AM5081">
        <v>94.9112785907042</v>
      </c>
      <c r="AN5081">
        <v>1.0000000168759899</v>
      </c>
    </row>
    <row r="5082" spans="1:40" x14ac:dyDescent="0.3">
      <c r="A5082" t="str">
        <f>"20200111160604255"</f>
        <v>20200111160604255</v>
      </c>
      <c r="B5082" t="str">
        <f>"1578729964246823"</f>
        <v>1578729964246823</v>
      </c>
      <c r="C5082" t="s">
        <v>40</v>
      </c>
      <c r="D5082">
        <v>5.4740399999999996</v>
      </c>
      <c r="E5082">
        <v>0.55745509999999998</v>
      </c>
      <c r="F5082" t="s">
        <v>42</v>
      </c>
      <c r="G5082">
        <v>-386.77859999999998</v>
      </c>
      <c r="H5082">
        <v>1.0376379999999901</v>
      </c>
      <c r="I5082">
        <v>18.558689999999999</v>
      </c>
      <c r="J5082">
        <v>-387.40120000000002</v>
      </c>
      <c r="K5082">
        <v>1.1079760000000001</v>
      </c>
      <c r="L5082">
        <v>18.676760000000002</v>
      </c>
      <c r="M5082">
        <v>0.99326570000000003</v>
      </c>
      <c r="N5082">
        <v>0</v>
      </c>
      <c r="O5082">
        <v>-0.11584899999999999</v>
      </c>
      <c r="P5082">
        <v>0.99953709999999996</v>
      </c>
      <c r="Q5082">
        <v>-3.6304050000000002E-3</v>
      </c>
      <c r="R5082">
        <v>-3.0213779999999999E-2</v>
      </c>
      <c r="S5082">
        <v>2.9844360000000001</v>
      </c>
      <c r="T5082">
        <v>-0.28887929999999901</v>
      </c>
      <c r="U5082">
        <v>-0.53805539999999996</v>
      </c>
      <c r="V5082">
        <v>-8.5795389999999999E-2</v>
      </c>
      <c r="W5082">
        <v>-4.9664540000000004E-3</v>
      </c>
      <c r="X5082">
        <v>0.99630039999999997</v>
      </c>
      <c r="Y5082">
        <v>6.245966E-2</v>
      </c>
      <c r="Z5082">
        <v>8.0594369999999992E-3</v>
      </c>
      <c r="AA5082">
        <v>0.99801490000000004</v>
      </c>
      <c r="AB5082">
        <v>18</v>
      </c>
      <c r="AC5082">
        <v>0.62260000000003302</v>
      </c>
      <c r="AD5082">
        <v>-7.0338000000000206E-2</v>
      </c>
      <c r="AE5082">
        <v>-0.11807000000000201</v>
      </c>
      <c r="AF5082">
        <v>4.4597890328615997E-2</v>
      </c>
      <c r="AG5082">
        <v>-7.0338000000000206E-2</v>
      </c>
      <c r="AH5082">
        <v>0.62439358286964797</v>
      </c>
      <c r="AI5082">
        <v>96.411082955845998</v>
      </c>
      <c r="AJ5082">
        <v>85.914533978385606</v>
      </c>
      <c r="AK5082">
        <v>0.629923608380063</v>
      </c>
      <c r="AL5082">
        <v>90.284558022921303</v>
      </c>
      <c r="AM5082">
        <v>94.921825296240797</v>
      </c>
      <c r="AN5082">
        <v>1.00000000082537</v>
      </c>
    </row>
    <row r="5083" spans="1:40" x14ac:dyDescent="0.3">
      <c r="A5083" t="str">
        <f>"20200111160604268"</f>
        <v>20200111160604268</v>
      </c>
      <c r="B5083" t="str">
        <f>"1578729964257559"</f>
        <v>1578729964257559</v>
      </c>
      <c r="C5083" t="s">
        <v>40</v>
      </c>
      <c r="D5083">
        <v>5.4505369999999997</v>
      </c>
      <c r="E5083">
        <v>0.55734469999999903</v>
      </c>
      <c r="F5083" t="s">
        <v>42</v>
      </c>
      <c r="G5083">
        <v>-386.62090000000001</v>
      </c>
      <c r="H5083">
        <v>1.031989</v>
      </c>
      <c r="I5083">
        <v>18.535319999999999</v>
      </c>
      <c r="J5083">
        <v>-387.29939999999999</v>
      </c>
      <c r="K5083">
        <v>1.107942</v>
      </c>
      <c r="L5083">
        <v>18.663879999999999</v>
      </c>
      <c r="M5083">
        <v>0.99315569999999997</v>
      </c>
      <c r="N5083">
        <v>0</v>
      </c>
      <c r="O5083">
        <v>-0.116787</v>
      </c>
      <c r="P5083">
        <v>0.99952110000000005</v>
      </c>
      <c r="Q5083">
        <v>-3.5811609999999998E-3</v>
      </c>
      <c r="R5083">
        <v>-3.0740819999999999E-2</v>
      </c>
      <c r="S5083">
        <v>2.9840089999999999</v>
      </c>
      <c r="T5083">
        <v>-0.29040529999999998</v>
      </c>
      <c r="U5083">
        <v>-0.53988649999999905</v>
      </c>
      <c r="V5083">
        <v>-8.6211019999999999E-2</v>
      </c>
      <c r="W5083">
        <v>-5.0565389999999997E-3</v>
      </c>
      <c r="X5083">
        <v>0.99626400000000004</v>
      </c>
      <c r="Y5083">
        <v>6.2143240000000002E-2</v>
      </c>
      <c r="Z5083">
        <v>8.2070719999999993E-3</v>
      </c>
      <c r="AA5083">
        <v>0.99803350000000002</v>
      </c>
      <c r="AB5083">
        <v>18</v>
      </c>
      <c r="AC5083">
        <v>0.678499999999985</v>
      </c>
      <c r="AD5083">
        <v>-7.5952999999999896E-2</v>
      </c>
      <c r="AE5083">
        <v>-0.12855999999999601</v>
      </c>
      <c r="AF5083">
        <v>4.7861209997214701E-2</v>
      </c>
      <c r="AG5083">
        <v>-7.5952999999999896E-2</v>
      </c>
      <c r="AH5083">
        <v>0.68063759824216596</v>
      </c>
      <c r="AI5083">
        <v>96.351792428738904</v>
      </c>
      <c r="AJ5083">
        <v>85.977684907769003</v>
      </c>
      <c r="AK5083">
        <v>0.68653266038278304</v>
      </c>
      <c r="AL5083">
        <v>90.289719597647107</v>
      </c>
      <c r="AM5083">
        <v>94.9457305740642</v>
      </c>
      <c r="AN5083">
        <v>0.99999993312604696</v>
      </c>
    </row>
    <row r="5084" spans="1:40" x14ac:dyDescent="0.3">
      <c r="A5084" t="str">
        <f>"20200111160604287"</f>
        <v>20200111160604287</v>
      </c>
      <c r="B5084" t="str">
        <f>"1578729964277079"</f>
        <v>1578729964277079</v>
      </c>
      <c r="C5084" t="s">
        <v>40</v>
      </c>
      <c r="D5084">
        <v>5.4533959999999997</v>
      </c>
      <c r="E5084">
        <v>0.55704489999999995</v>
      </c>
      <c r="F5084" t="s">
        <v>42</v>
      </c>
      <c r="G5084">
        <v>-386.46109999999999</v>
      </c>
      <c r="H5084">
        <v>1.025925</v>
      </c>
      <c r="I5084">
        <v>18.511970000000002</v>
      </c>
      <c r="J5084">
        <v>-387.13959999999997</v>
      </c>
      <c r="K5084">
        <v>1.1078939999999999</v>
      </c>
      <c r="L5084">
        <v>18.643429999999999</v>
      </c>
      <c r="M5084">
        <v>0.99298209999999998</v>
      </c>
      <c r="N5084">
        <v>0</v>
      </c>
      <c r="O5084">
        <v>-0.1182507</v>
      </c>
      <c r="P5084">
        <v>0.99951630000000002</v>
      </c>
      <c r="Q5084">
        <v>-2.749371E-3</v>
      </c>
      <c r="R5084">
        <v>-3.0983119999999999E-2</v>
      </c>
      <c r="S5084">
        <v>2.9837950000000002</v>
      </c>
      <c r="T5084">
        <v>-0.2919561</v>
      </c>
      <c r="U5084">
        <v>-0.54074100000000003</v>
      </c>
      <c r="V5084">
        <v>-8.7437349999999997E-2</v>
      </c>
      <c r="W5084">
        <v>-4.4172459999999997E-3</v>
      </c>
      <c r="X5084">
        <v>0.99616020000000005</v>
      </c>
      <c r="Y5084">
        <v>6.0976080000000002E-2</v>
      </c>
      <c r="Z5084">
        <v>8.4477700000000003E-3</v>
      </c>
      <c r="AA5084">
        <v>0.99810350000000003</v>
      </c>
      <c r="AB5084">
        <v>18</v>
      </c>
      <c r="AC5084">
        <v>0.678499999999985</v>
      </c>
      <c r="AD5084">
        <v>-8.1969000000000097E-2</v>
      </c>
      <c r="AE5084">
        <v>-0.131459999999997</v>
      </c>
      <c r="AF5084">
        <v>4.9606604819362202E-2</v>
      </c>
      <c r="AG5084">
        <v>-8.1969000000000097E-2</v>
      </c>
      <c r="AH5084">
        <v>0.67972321362259203</v>
      </c>
      <c r="AI5084">
        <v>96.858128452267394</v>
      </c>
      <c r="AJ5084">
        <v>85.825920018731495</v>
      </c>
      <c r="AK5084">
        <v>0.68644255356156902</v>
      </c>
      <c r="AL5084">
        <v>90.253090382723499</v>
      </c>
      <c r="AM5084">
        <v>95.016245939607799</v>
      </c>
      <c r="AN5084">
        <v>0.99999997315064304</v>
      </c>
    </row>
    <row r="5085" spans="1:40" x14ac:dyDescent="0.3">
      <c r="A5085" t="str">
        <f>"20200111160604309"</f>
        <v>20200111160604309</v>
      </c>
      <c r="B5085" t="str">
        <f>"1578729964297574"</f>
        <v>1578729964297574</v>
      </c>
      <c r="C5085" t="s">
        <v>40</v>
      </c>
      <c r="D5085">
        <v>5.4650220000000003</v>
      </c>
      <c r="E5085">
        <v>0.55689460000000002</v>
      </c>
      <c r="F5085" t="s">
        <v>42</v>
      </c>
      <c r="G5085">
        <v>-386.29629999999997</v>
      </c>
      <c r="H5085">
        <v>1.0251870000000001</v>
      </c>
      <c r="I5085">
        <v>18.49042</v>
      </c>
      <c r="J5085">
        <v>-386.96230000000003</v>
      </c>
      <c r="K5085">
        <v>1.107853</v>
      </c>
      <c r="L5085">
        <v>18.620539999999998</v>
      </c>
      <c r="M5085">
        <v>0.9927897</v>
      </c>
      <c r="N5085">
        <v>0</v>
      </c>
      <c r="O5085">
        <v>-0.11985319999999999</v>
      </c>
      <c r="P5085">
        <v>0.99951239999999997</v>
      </c>
      <c r="Q5085">
        <v>-2.0677909999999998E-3</v>
      </c>
      <c r="R5085">
        <v>-3.1163489999999999E-2</v>
      </c>
      <c r="S5085">
        <v>2.9839479999999998</v>
      </c>
      <c r="T5085">
        <v>-0.29230240000000002</v>
      </c>
      <c r="U5085">
        <v>-0.53927609999999904</v>
      </c>
      <c r="V5085">
        <v>-8.8864830000000006E-2</v>
      </c>
      <c r="W5085">
        <v>-3.9173519999999998E-3</v>
      </c>
      <c r="X5085">
        <v>0.99603600000000003</v>
      </c>
      <c r="Y5085">
        <v>5.8899010000000002E-2</v>
      </c>
      <c r="Z5085">
        <v>8.7121490000000006E-3</v>
      </c>
      <c r="AA5085">
        <v>0.9982259</v>
      </c>
      <c r="AB5085">
        <v>18</v>
      </c>
      <c r="AC5085">
        <v>0.66600000000005299</v>
      </c>
      <c r="AD5085">
        <v>-8.2665999999999906E-2</v>
      </c>
      <c r="AE5085">
        <v>-0.13011999999999799</v>
      </c>
      <c r="AF5085">
        <v>4.8637868976244301E-2</v>
      </c>
      <c r="AG5085">
        <v>-8.2665999999999906E-2</v>
      </c>
      <c r="AH5085">
        <v>0.66689771583344104</v>
      </c>
      <c r="AI5085">
        <v>97.047585279157005</v>
      </c>
      <c r="AJ5085">
        <v>85.828716526937697</v>
      </c>
      <c r="AK5085">
        <v>0.673759506974418</v>
      </c>
      <c r="AL5085">
        <v>90.224448308617696</v>
      </c>
      <c r="AM5085">
        <v>95.098344143697304</v>
      </c>
      <c r="AN5085">
        <v>1.0000000084768099</v>
      </c>
    </row>
    <row r="5086" spans="1:40" x14ac:dyDescent="0.3">
      <c r="A5086" t="str">
        <f>"20200111160604321"</f>
        <v>20200111160604321</v>
      </c>
      <c r="B5086" t="str">
        <f>"1578729964317095"</f>
        <v>1578729964317095</v>
      </c>
      <c r="C5086" t="s">
        <v>40</v>
      </c>
      <c r="D5086">
        <v>5.4739639999999996</v>
      </c>
      <c r="E5086">
        <v>0.55668589999999996</v>
      </c>
      <c r="F5086" t="s">
        <v>42</v>
      </c>
      <c r="G5086">
        <v>-386.1284</v>
      </c>
      <c r="H5086">
        <v>1.025776</v>
      </c>
      <c r="I5086">
        <v>18.46997</v>
      </c>
      <c r="J5086">
        <v>-386.84859999999998</v>
      </c>
      <c r="K5086">
        <v>1.107828</v>
      </c>
      <c r="L5086">
        <v>18.60568</v>
      </c>
      <c r="M5086">
        <v>0.99266620000000005</v>
      </c>
      <c r="N5086">
        <v>0</v>
      </c>
      <c r="O5086">
        <v>-0.1208687</v>
      </c>
      <c r="P5086">
        <v>0.99950150000000004</v>
      </c>
      <c r="Q5086">
        <v>-1.936344E-3</v>
      </c>
      <c r="R5086">
        <v>-3.1514019999999997E-2</v>
      </c>
      <c r="S5086">
        <v>2.9841000000000002</v>
      </c>
      <c r="T5086">
        <v>-0.29365150000000001</v>
      </c>
      <c r="U5086">
        <v>-0.538574199999999</v>
      </c>
      <c r="V5086">
        <v>-8.9534009999999997E-2</v>
      </c>
      <c r="W5086">
        <v>-3.8889860000000001E-3</v>
      </c>
      <c r="X5086">
        <v>0.99597619999999998</v>
      </c>
      <c r="Y5086">
        <v>5.7654400000000001E-2</v>
      </c>
      <c r="Z5086">
        <v>8.9103919999999996E-3</v>
      </c>
      <c r="AA5086">
        <v>0.99829690000000004</v>
      </c>
      <c r="AB5086">
        <v>19</v>
      </c>
      <c r="AC5086">
        <v>0.72019999999997697</v>
      </c>
      <c r="AD5086">
        <v>-8.2052E-2</v>
      </c>
      <c r="AE5086">
        <v>-0.135709999999999</v>
      </c>
      <c r="AF5086">
        <v>4.7075121910355198E-2</v>
      </c>
      <c r="AG5086">
        <v>-8.2052E-2</v>
      </c>
      <c r="AH5086">
        <v>0.72226942566980601</v>
      </c>
      <c r="AI5086">
        <v>96.467582584256405</v>
      </c>
      <c r="AJ5086">
        <v>86.270925818002993</v>
      </c>
      <c r="AK5086">
        <v>0.72843786355753504</v>
      </c>
      <c r="AL5086">
        <v>90.222823040028103</v>
      </c>
      <c r="AM5086">
        <v>95.136838413407503</v>
      </c>
      <c r="AN5086">
        <v>1.0000000270626099</v>
      </c>
    </row>
    <row r="5087" spans="1:40" x14ac:dyDescent="0.3">
      <c r="A5087" t="str">
        <f>"20200111160604335"</f>
        <v>20200111160604335</v>
      </c>
      <c r="B5087" t="str">
        <f>"1578729964327830"</f>
        <v>1578729964327830</v>
      </c>
      <c r="C5087" t="s">
        <v>40</v>
      </c>
      <c r="D5087">
        <v>5.5152950000000001</v>
      </c>
      <c r="E5087">
        <v>0.55662419999999901</v>
      </c>
      <c r="F5087" t="s">
        <v>42</v>
      </c>
      <c r="G5087">
        <v>-386.12299999999999</v>
      </c>
      <c r="H5087">
        <v>1.035747</v>
      </c>
      <c r="I5087">
        <v>18.474830000000001</v>
      </c>
      <c r="J5087">
        <v>-386.73899999999998</v>
      </c>
      <c r="K5087">
        <v>1.107809</v>
      </c>
      <c r="L5087">
        <v>18.591249999999999</v>
      </c>
      <c r="M5087">
        <v>0.9925484</v>
      </c>
      <c r="N5087">
        <v>0</v>
      </c>
      <c r="O5087">
        <v>-0.1218315</v>
      </c>
      <c r="P5087">
        <v>0.99948729999999997</v>
      </c>
      <c r="Q5087">
        <v>-2.281492E-3</v>
      </c>
      <c r="R5087">
        <v>-3.1944140000000003E-2</v>
      </c>
      <c r="S5087">
        <v>2.9840089999999999</v>
      </c>
      <c r="T5087">
        <v>-0.29630669999999998</v>
      </c>
      <c r="U5087">
        <v>-0.53781129999999999</v>
      </c>
      <c r="V5087">
        <v>-9.0072890000000003E-2</v>
      </c>
      <c r="W5087">
        <v>-4.3197309999999899E-3</v>
      </c>
      <c r="X5087">
        <v>0.99592579999999997</v>
      </c>
      <c r="Y5087">
        <v>5.6459540000000003E-2</v>
      </c>
      <c r="Z5087">
        <v>9.1433799999999996E-3</v>
      </c>
      <c r="AA5087">
        <v>0.998363</v>
      </c>
      <c r="AB5087">
        <v>19</v>
      </c>
      <c r="AC5087">
        <v>0.615999999999985</v>
      </c>
      <c r="AD5087">
        <v>-7.2062000000000001E-2</v>
      </c>
      <c r="AE5087">
        <v>-0.11642000000000099</v>
      </c>
      <c r="AF5087">
        <v>3.9976162337876098E-2</v>
      </c>
      <c r="AG5087">
        <v>-7.2062000000000001E-2</v>
      </c>
      <c r="AH5087">
        <v>0.61743658622521802</v>
      </c>
      <c r="AI5087">
        <v>96.643179155641107</v>
      </c>
      <c r="AJ5087">
        <v>86.295533915075794</v>
      </c>
      <c r="AK5087">
        <v>0.62291168186887902</v>
      </c>
      <c r="AL5087">
        <v>90.247503126567807</v>
      </c>
      <c r="AM5087">
        <v>95.167848798791894</v>
      </c>
      <c r="AN5087">
        <v>0.99999999234725201</v>
      </c>
    </row>
    <row r="5088" spans="1:40" x14ac:dyDescent="0.3">
      <c r="A5088" t="str">
        <f>"20200111160604354"</f>
        <v>20200111160604354</v>
      </c>
      <c r="B5088" t="str">
        <f>"1578729964347351"</f>
        <v>1578729964347351</v>
      </c>
      <c r="C5088" t="s">
        <v>40</v>
      </c>
      <c r="D5088">
        <v>5.6043900000000004</v>
      </c>
      <c r="E5088">
        <v>0.55653019999999997</v>
      </c>
      <c r="F5088" t="s">
        <v>42</v>
      </c>
      <c r="G5088">
        <v>-385.95670000000001</v>
      </c>
      <c r="H5088">
        <v>1.0294239999999999</v>
      </c>
      <c r="I5088">
        <v>18.449750000000002</v>
      </c>
      <c r="J5088">
        <v>-386.5822</v>
      </c>
      <c r="K5088">
        <v>1.107783</v>
      </c>
      <c r="L5088">
        <v>18.570430000000002</v>
      </c>
      <c r="M5088">
        <v>0.99238170000000003</v>
      </c>
      <c r="N5088">
        <v>0</v>
      </c>
      <c r="O5088">
        <v>-0.1231796</v>
      </c>
      <c r="P5088">
        <v>0.99947989999999998</v>
      </c>
      <c r="Q5088">
        <v>-3.6564599999999998E-3</v>
      </c>
      <c r="R5088">
        <v>-3.2038560000000001E-2</v>
      </c>
      <c r="S5088">
        <v>2.9836429999999998</v>
      </c>
      <c r="T5088">
        <v>-0.29877540000000002</v>
      </c>
      <c r="U5088">
        <v>-0.53845209999999999</v>
      </c>
      <c r="V5088">
        <v>-9.1333429999999993E-2</v>
      </c>
      <c r="W5088">
        <v>-5.8029179999999998E-3</v>
      </c>
      <c r="X5088">
        <v>0.99580349999999995</v>
      </c>
      <c r="Y5088">
        <v>5.53494E-2</v>
      </c>
      <c r="Z5088">
        <v>9.4071850000000002E-3</v>
      </c>
      <c r="AA5088">
        <v>0.9984227</v>
      </c>
      <c r="AB5088">
        <v>19</v>
      </c>
      <c r="AC5088">
        <v>0.62549999999998795</v>
      </c>
      <c r="AD5088">
        <v>-7.8358999999999998E-2</v>
      </c>
      <c r="AE5088">
        <v>-0.120679999999996</v>
      </c>
      <c r="AF5088">
        <v>4.2075281492776902E-2</v>
      </c>
      <c r="AG5088">
        <v>-7.8358999999999998E-2</v>
      </c>
      <c r="AH5088">
        <v>0.62612818768564804</v>
      </c>
      <c r="AI5088">
        <v>97.117506336301403</v>
      </c>
      <c r="AJ5088">
        <v>86.155552236642507</v>
      </c>
      <c r="AK5088">
        <v>0.63241360643823197</v>
      </c>
      <c r="AL5088">
        <v>90.332484563000904</v>
      </c>
      <c r="AM5088">
        <v>95.240411248418397</v>
      </c>
      <c r="AN5088">
        <v>1.0000000399525599</v>
      </c>
    </row>
    <row r="5089" spans="1:40" x14ac:dyDescent="0.3">
      <c r="A5089" t="str">
        <f>"20200111160604366"</f>
        <v>20200111160604366</v>
      </c>
      <c r="B5089" t="str">
        <f>"1578729964357110"</f>
        <v>1578729964357110</v>
      </c>
      <c r="C5089" t="s">
        <v>40</v>
      </c>
      <c r="D5089">
        <v>5.4647509999999997</v>
      </c>
      <c r="E5089">
        <v>0.55656340000000004</v>
      </c>
      <c r="F5089" t="s">
        <v>42</v>
      </c>
      <c r="G5089">
        <v>-385.78640000000001</v>
      </c>
      <c r="H5089">
        <v>1.0261659999999999</v>
      </c>
      <c r="I5089">
        <v>18.426870000000001</v>
      </c>
      <c r="J5089">
        <v>-386.46640000000002</v>
      </c>
      <c r="K5089">
        <v>1.107775</v>
      </c>
      <c r="L5089">
        <v>18.554960000000001</v>
      </c>
      <c r="M5089">
        <v>0.99226060000000005</v>
      </c>
      <c r="N5089">
        <v>0</v>
      </c>
      <c r="O5089">
        <v>-0.1241492</v>
      </c>
      <c r="P5089">
        <v>0.99947079999999999</v>
      </c>
      <c r="Q5089">
        <v>-4.1775600000000003E-3</v>
      </c>
      <c r="R5089">
        <v>-3.2255369999999998E-2</v>
      </c>
      <c r="S5089">
        <v>2.9832459999999998</v>
      </c>
      <c r="T5089">
        <v>-0.30589820000000001</v>
      </c>
      <c r="U5089">
        <v>-0.53765869999999905</v>
      </c>
      <c r="V5089">
        <v>-9.2091870000000006E-2</v>
      </c>
      <c r="W5089">
        <v>-6.3947190000000001E-3</v>
      </c>
      <c r="X5089">
        <v>0.99573</v>
      </c>
      <c r="Y5089">
        <v>5.4166209999999999E-2</v>
      </c>
      <c r="Z5089">
        <v>9.7891450000000008E-3</v>
      </c>
      <c r="AA5089">
        <v>0.99848400000000004</v>
      </c>
      <c r="AB5089">
        <v>19</v>
      </c>
      <c r="AC5089">
        <v>0.68000000000000604</v>
      </c>
      <c r="AD5089">
        <v>-8.1609000000000001E-2</v>
      </c>
      <c r="AE5089">
        <v>-0.12809000000000001</v>
      </c>
      <c r="AF5089">
        <v>4.2091847652257597E-2</v>
      </c>
      <c r="AG5089">
        <v>-8.1609000000000001E-2</v>
      </c>
      <c r="AH5089">
        <v>0.68116673156154905</v>
      </c>
      <c r="AI5089">
        <v>96.819026093296003</v>
      </c>
      <c r="AJ5089">
        <v>86.463975004822402</v>
      </c>
      <c r="AK5089">
        <v>0.68732806483223396</v>
      </c>
      <c r="AL5089">
        <v>90.366392900082801</v>
      </c>
      <c r="AM5089">
        <v>95.284070555185806</v>
      </c>
      <c r="AN5089">
        <v>1.00000001892559</v>
      </c>
    </row>
    <row r="5090" spans="1:40" x14ac:dyDescent="0.3">
      <c r="A5090" t="str">
        <f>"20200111160604379"</f>
        <v>20200111160604379</v>
      </c>
      <c r="B5090" t="str">
        <f>"1578729964366871"</f>
        <v>1578729964366871</v>
      </c>
      <c r="C5090" t="s">
        <v>40</v>
      </c>
      <c r="D5090">
        <v>5.4853670000000001</v>
      </c>
      <c r="E5090">
        <v>0.55659740000000002</v>
      </c>
      <c r="F5090" t="s">
        <v>42</v>
      </c>
      <c r="G5090">
        <v>-385.61579999999998</v>
      </c>
      <c r="H5090">
        <v>1.019863</v>
      </c>
      <c r="I5090">
        <v>18.401019999999999</v>
      </c>
      <c r="J5090">
        <v>-386.36180000000002</v>
      </c>
      <c r="K5090">
        <v>1.107777</v>
      </c>
      <c r="L5090">
        <v>18.54092</v>
      </c>
      <c r="M5090">
        <v>0.99215430000000004</v>
      </c>
      <c r="N5090">
        <v>0</v>
      </c>
      <c r="O5090">
        <v>-0.12499499999999999</v>
      </c>
      <c r="P5090">
        <v>0.99946210000000002</v>
      </c>
      <c r="Q5090">
        <v>-4.7618469999999996E-3</v>
      </c>
      <c r="R5090">
        <v>-3.2451639999999997E-2</v>
      </c>
      <c r="S5090">
        <v>2.9829409999999998</v>
      </c>
      <c r="T5090">
        <v>-0.30811060000000001</v>
      </c>
      <c r="U5090">
        <v>-0.53851319999999903</v>
      </c>
      <c r="V5090">
        <v>-9.2745739999999993E-2</v>
      </c>
      <c r="W5090">
        <v>-7.0343389999999997E-3</v>
      </c>
      <c r="X5090">
        <v>0.99566500000000002</v>
      </c>
      <c r="Y5090">
        <v>5.3621990000000001E-2</v>
      </c>
      <c r="Z5090">
        <v>9.9735190000000001E-3</v>
      </c>
      <c r="AA5090">
        <v>0.9985115</v>
      </c>
      <c r="AB5090">
        <v>19</v>
      </c>
      <c r="AC5090">
        <v>0.74600000000003697</v>
      </c>
      <c r="AD5090">
        <v>-8.7914000000000006E-2</v>
      </c>
      <c r="AE5090">
        <v>-0.139899999999997</v>
      </c>
      <c r="AF5090">
        <v>4.4953158008912003E-2</v>
      </c>
      <c r="AG5090">
        <v>-8.7914000000000006E-2</v>
      </c>
      <c r="AH5090">
        <v>0.74760623505724499</v>
      </c>
      <c r="AI5090">
        <v>96.694855847709604</v>
      </c>
      <c r="AJ5090">
        <v>86.558978881894404</v>
      </c>
      <c r="AK5090">
        <v>0.75409862783819104</v>
      </c>
      <c r="AL5090">
        <v>90.403041250928695</v>
      </c>
      <c r="AM5090">
        <v>95.3217192485601</v>
      </c>
      <c r="AN5090">
        <v>1.0000000232191499</v>
      </c>
    </row>
    <row r="5091" spans="1:40" x14ac:dyDescent="0.3">
      <c r="A5091" t="str">
        <f>"20200111160604398"</f>
        <v>20200111160604398</v>
      </c>
      <c r="B5091" t="str">
        <f>"1578729964387367"</f>
        <v>1578729964387367</v>
      </c>
      <c r="C5091" t="s">
        <v>40</v>
      </c>
      <c r="D5091">
        <v>5.645931</v>
      </c>
      <c r="E5091">
        <v>0.55625119999999995</v>
      </c>
      <c r="F5091" t="s">
        <v>42</v>
      </c>
      <c r="G5091">
        <v>-385.61070000000001</v>
      </c>
      <c r="H5091">
        <v>1.029406</v>
      </c>
      <c r="I5091">
        <v>18.404730000000001</v>
      </c>
      <c r="J5091">
        <v>-386.19540000000001</v>
      </c>
      <c r="K5091">
        <v>1.1077870000000001</v>
      </c>
      <c r="L5091">
        <v>18.518370000000001</v>
      </c>
      <c r="M5091">
        <v>0.99199040000000005</v>
      </c>
      <c r="N5091">
        <v>0</v>
      </c>
      <c r="O5091">
        <v>-0.1262885</v>
      </c>
      <c r="P5091">
        <v>0.99944379999999999</v>
      </c>
      <c r="Q5091">
        <v>-5.0575730000000001E-3</v>
      </c>
      <c r="R5091">
        <v>-3.2967429999999999E-2</v>
      </c>
      <c r="S5091">
        <v>2.9826350000000001</v>
      </c>
      <c r="T5091">
        <v>-0.31097370000000002</v>
      </c>
      <c r="U5091">
        <v>-0.53927609999999904</v>
      </c>
      <c r="V5091">
        <v>-9.3530240000000001E-2</v>
      </c>
      <c r="W5091">
        <v>-7.4073659999999899E-3</v>
      </c>
      <c r="X5091">
        <v>0.9955889</v>
      </c>
      <c r="Y5091">
        <v>5.2603919999999998E-2</v>
      </c>
      <c r="Z5091">
        <v>1.0250840000000001E-2</v>
      </c>
      <c r="AA5091">
        <v>0.99856279999999997</v>
      </c>
      <c r="AB5091">
        <v>19</v>
      </c>
      <c r="AC5091">
        <v>0.584699999999997</v>
      </c>
      <c r="AD5091">
        <v>-7.8381000000000006E-2</v>
      </c>
      <c r="AE5091">
        <v>-0.113640000000003</v>
      </c>
      <c r="AF5091">
        <v>3.8227077266061602E-2</v>
      </c>
      <c r="AG5091">
        <v>-7.8381000000000006E-2</v>
      </c>
      <c r="AH5091">
        <v>0.58425303237394499</v>
      </c>
      <c r="AI5091">
        <v>97.624834644684199</v>
      </c>
      <c r="AJ5091">
        <v>86.256531636748093</v>
      </c>
      <c r="AK5091">
        <v>0.59072539850209205</v>
      </c>
      <c r="AL5091">
        <v>90.424414683443004</v>
      </c>
      <c r="AM5091">
        <v>95.366879685623104</v>
      </c>
      <c r="AN5091">
        <v>1.0000000163343601</v>
      </c>
    </row>
    <row r="5092" spans="1:40" x14ac:dyDescent="0.3">
      <c r="A5092" t="str">
        <f>"20200111160604411"</f>
        <v>20200111160604411</v>
      </c>
      <c r="B5092" t="str">
        <f>"1578729964406887"</f>
        <v>1578729964406887</v>
      </c>
      <c r="C5092" t="s">
        <v>40</v>
      </c>
      <c r="D5092">
        <v>5.8739850000000002</v>
      </c>
      <c r="E5092">
        <v>0.55607329999999999</v>
      </c>
      <c r="F5092" t="s">
        <v>42</v>
      </c>
      <c r="G5092">
        <v>-385.43520000000001</v>
      </c>
      <c r="H5092">
        <v>1.0279130000000001</v>
      </c>
      <c r="I5092">
        <v>18.381430000000002</v>
      </c>
      <c r="J5092">
        <v>-386.0804</v>
      </c>
      <c r="K5092">
        <v>1.107807</v>
      </c>
      <c r="L5092">
        <v>18.502749999999999</v>
      </c>
      <c r="M5092">
        <v>0.99188209999999999</v>
      </c>
      <c r="N5092">
        <v>0</v>
      </c>
      <c r="O5092">
        <v>-0.12713459999999999</v>
      </c>
      <c r="P5092">
        <v>0.99942869999999995</v>
      </c>
      <c r="Q5092">
        <v>-5.1210989999999996E-3</v>
      </c>
      <c r="R5092">
        <v>-3.3409849999999998E-2</v>
      </c>
      <c r="S5092">
        <v>2.982361</v>
      </c>
      <c r="T5092">
        <v>-0.31336360000000002</v>
      </c>
      <c r="U5092">
        <v>-0.53750609999999999</v>
      </c>
      <c r="V5092">
        <v>-9.3937939999999998E-2</v>
      </c>
      <c r="W5092">
        <v>-7.5171259999999998E-3</v>
      </c>
      <c r="X5092">
        <v>0.99554969999999998</v>
      </c>
      <c r="Y5092">
        <v>5.1212000000000001E-2</v>
      </c>
      <c r="Z5092">
        <v>1.0490050000000001E-2</v>
      </c>
      <c r="AA5092">
        <v>0.99863270000000004</v>
      </c>
      <c r="AB5092">
        <v>20</v>
      </c>
      <c r="AC5092">
        <v>0.64519999999998801</v>
      </c>
      <c r="AD5092">
        <v>-7.9894000000000104E-2</v>
      </c>
      <c r="AE5092">
        <v>-0.12132</v>
      </c>
      <c r="AF5092">
        <v>3.77489656712812E-2</v>
      </c>
      <c r="AG5092">
        <v>-7.9894000000000104E-2</v>
      </c>
      <c r="AH5092">
        <v>0.64582396417326005</v>
      </c>
      <c r="AI5092">
        <v>97.040257870332397</v>
      </c>
      <c r="AJ5092">
        <v>86.654818595186896</v>
      </c>
      <c r="AK5092">
        <v>0.65184095325908697</v>
      </c>
      <c r="AL5092">
        <v>90.430703639705101</v>
      </c>
      <c r="AM5092">
        <v>95.390347508875095</v>
      </c>
      <c r="AN5092">
        <v>1.0000000244624101</v>
      </c>
    </row>
    <row r="5093" spans="1:40" x14ac:dyDescent="0.3">
      <c r="A5093" t="str">
        <f>"20200111160604442"</f>
        <v>20200111160604442</v>
      </c>
      <c r="B5093" t="str">
        <f>"1578729964437143"</f>
        <v>1578729964437143</v>
      </c>
      <c r="C5093" t="s">
        <v>40</v>
      </c>
      <c r="D5093">
        <v>4.2679679999999998</v>
      </c>
      <c r="E5093">
        <v>0.46423799999999998</v>
      </c>
      <c r="F5093" t="s">
        <v>42</v>
      </c>
      <c r="G5093">
        <v>-385.2604</v>
      </c>
      <c r="H5093">
        <v>1.021242</v>
      </c>
      <c r="I5093">
        <v>18.355</v>
      </c>
      <c r="J5093">
        <v>-385.7996</v>
      </c>
      <c r="K5093">
        <v>1.1078629999999901</v>
      </c>
      <c r="L5093">
        <v>18.464320000000001</v>
      </c>
      <c r="M5093">
        <v>0.99163710000000005</v>
      </c>
      <c r="N5093">
        <v>0</v>
      </c>
      <c r="O5093">
        <v>-0.12903019999999901</v>
      </c>
      <c r="P5093">
        <v>0.99939940000000005</v>
      </c>
      <c r="Q5093">
        <v>-6.3312990000000003E-3</v>
      </c>
      <c r="R5093">
        <v>-3.4074399999999998E-2</v>
      </c>
      <c r="S5093">
        <v>2.9821780000000002</v>
      </c>
      <c r="T5093">
        <v>-0.314832</v>
      </c>
      <c r="U5093">
        <v>-0.53707890000000003</v>
      </c>
      <c r="V5093">
        <v>-9.5178719999999994E-2</v>
      </c>
      <c r="W5093">
        <v>-8.8198659999999904E-3</v>
      </c>
      <c r="X5093">
        <v>0.99542109999999995</v>
      </c>
      <c r="Y5093">
        <v>4.9199670000000001E-2</v>
      </c>
      <c r="Z5093">
        <v>1.084045E-2</v>
      </c>
      <c r="AA5093">
        <v>0.99873009999999995</v>
      </c>
      <c r="AB5093">
        <v>20</v>
      </c>
      <c r="AC5093">
        <v>0.53919999999999302</v>
      </c>
      <c r="AD5093">
        <v>-8.6620999999999795E-2</v>
      </c>
      <c r="AE5093">
        <v>-0.10932</v>
      </c>
      <c r="AF5093">
        <v>3.7893494733855698E-2</v>
      </c>
      <c r="AG5093">
        <v>-8.6620999999999795E-2</v>
      </c>
      <c r="AH5093">
        <v>0.53552337406294803</v>
      </c>
      <c r="AI5093">
        <v>99.165498292930593</v>
      </c>
      <c r="AJ5093">
        <v>85.952511718541402</v>
      </c>
      <c r="AK5093">
        <v>0.54380547878070196</v>
      </c>
      <c r="AL5093">
        <v>90.505347663522201</v>
      </c>
      <c r="AM5093">
        <v>95.461819562896295</v>
      </c>
      <c r="AN5093">
        <v>0.99999997255115203</v>
      </c>
    </row>
    <row r="5094" spans="1:40" x14ac:dyDescent="0.3">
      <c r="A5094" t="str">
        <f>"20200111160604468"</f>
        <v>20200111160604468</v>
      </c>
      <c r="B5094" t="str">
        <f>"1578729964457638"</f>
        <v>1578729964457638</v>
      </c>
      <c r="C5094" t="s">
        <v>40</v>
      </c>
      <c r="D5094">
        <v>4.9358120000000003</v>
      </c>
      <c r="E5094">
        <v>0.46423799999999998</v>
      </c>
      <c r="F5094" t="s">
        <v>44</v>
      </c>
      <c r="G5094">
        <v>-289.95659999999998</v>
      </c>
      <c r="H5094">
        <v>-0.05</v>
      </c>
      <c r="I5094">
        <v>24.315449999999998</v>
      </c>
      <c r="J5094">
        <v>-385.56319999999999</v>
      </c>
      <c r="K5094">
        <v>1.107939</v>
      </c>
      <c r="L5094">
        <v>18.431789999999999</v>
      </c>
      <c r="M5094">
        <v>0.99145910000000004</v>
      </c>
      <c r="N5094">
        <v>0</v>
      </c>
      <c r="O5094">
        <v>-0.13039039999999999</v>
      </c>
      <c r="P5094">
        <v>0.99938110000000002</v>
      </c>
      <c r="Q5094">
        <v>-7.5376019999999896E-3</v>
      </c>
      <c r="R5094">
        <v>-3.4365470000000002E-2</v>
      </c>
      <c r="S5094">
        <v>3.0078130000000001</v>
      </c>
      <c r="T5094">
        <v>-3.6336899999999998E-2</v>
      </c>
      <c r="U5094">
        <v>0.18362429999999999</v>
      </c>
      <c r="V5094">
        <v>-9.6253539999999999E-2</v>
      </c>
      <c r="W5094">
        <v>-1.008295E-2</v>
      </c>
      <c r="X5094">
        <v>0.99530580000000002</v>
      </c>
      <c r="Y5094">
        <v>-0.1905406</v>
      </c>
      <c r="Z5094">
        <v>2.7217360000000002E-3</v>
      </c>
      <c r="AA5094">
        <v>0.98167550000000003</v>
      </c>
      <c r="AB5094">
        <v>20</v>
      </c>
      <c r="AC5094">
        <v>95.6066</v>
      </c>
      <c r="AD5094">
        <v>-1.1579390000000001</v>
      </c>
      <c r="AE5094">
        <v>5.8836599999999901</v>
      </c>
      <c r="AF5094">
        <v>-18.296983084998502</v>
      </c>
      <c r="AG5094">
        <v>-1.1579390000000001</v>
      </c>
      <c r="AH5094">
        <v>94.009461070659796</v>
      </c>
      <c r="AI5094">
        <v>90.692694775361105</v>
      </c>
      <c r="AJ5094">
        <v>101.01373873204901</v>
      </c>
      <c r="AK5094">
        <v>95.7804739158058</v>
      </c>
      <c r="AL5094">
        <v>90.577720256294498</v>
      </c>
      <c r="AM5094">
        <v>95.523754571481703</v>
      </c>
      <c r="AN5094">
        <v>1.00000002267843</v>
      </c>
    </row>
    <row r="5095" spans="1:40" x14ac:dyDescent="0.3">
      <c r="A5095" t="str">
        <f>"20200111160604480"</f>
        <v>20200111160604480</v>
      </c>
      <c r="B5095" t="str">
        <f>"1578729964477159"</f>
        <v>1578729964477159</v>
      </c>
      <c r="C5095" t="s">
        <v>40</v>
      </c>
      <c r="D5095">
        <v>5.2744970000000002</v>
      </c>
      <c r="E5095">
        <v>0.41440120000000003</v>
      </c>
      <c r="F5095" t="s">
        <v>44</v>
      </c>
      <c r="G5095">
        <v>-297.81259999999997</v>
      </c>
      <c r="H5095">
        <v>-0.05</v>
      </c>
      <c r="I5095">
        <v>23.7638</v>
      </c>
      <c r="J5095">
        <v>-385.45359999999999</v>
      </c>
      <c r="K5095">
        <v>1.1079730000000001</v>
      </c>
      <c r="L5095">
        <v>18.416689999999999</v>
      </c>
      <c r="M5095">
        <v>0.99138570000000004</v>
      </c>
      <c r="N5095">
        <v>0</v>
      </c>
      <c r="O5095">
        <v>-0.13094729999999999</v>
      </c>
      <c r="P5095">
        <v>0.99938090000000002</v>
      </c>
      <c r="Q5095">
        <v>-8.1666919999999997E-3</v>
      </c>
      <c r="R5095">
        <v>-3.4218720000000001E-2</v>
      </c>
      <c r="S5095">
        <v>3.0079039999999999</v>
      </c>
      <c r="T5095">
        <v>-3.9691690000000002E-2</v>
      </c>
      <c r="U5095">
        <v>0.18276980000000001</v>
      </c>
      <c r="V5095">
        <v>-9.6957180000000004E-2</v>
      </c>
      <c r="W5095">
        <v>-1.07335E-2</v>
      </c>
      <c r="X5095">
        <v>0.99523070000000002</v>
      </c>
      <c r="Y5095">
        <v>-0.1908078</v>
      </c>
      <c r="Z5095">
        <v>2.9819960000000002E-3</v>
      </c>
      <c r="AA5095">
        <v>0.98162289999999996</v>
      </c>
      <c r="AB5095">
        <v>21</v>
      </c>
      <c r="AC5095">
        <v>87.641000000000005</v>
      </c>
      <c r="AD5095">
        <v>-1.1579729999999999</v>
      </c>
      <c r="AE5095">
        <v>5.3471099999999998</v>
      </c>
      <c r="AF5095">
        <v>-16.7745435389234</v>
      </c>
      <c r="AG5095">
        <v>-1.1579729999999999</v>
      </c>
      <c r="AH5095">
        <v>86.171167173090197</v>
      </c>
      <c r="AI5095">
        <v>90.755713666069497</v>
      </c>
      <c r="AJ5095">
        <v>101.015738193959</v>
      </c>
      <c r="AK5095">
        <v>87.796334003081398</v>
      </c>
      <c r="AL5095">
        <v>90.614996043468295</v>
      </c>
      <c r="AM5095">
        <v>95.564299492929806</v>
      </c>
      <c r="AN5095">
        <v>1.00000002449914</v>
      </c>
    </row>
    <row r="5096" spans="1:40" x14ac:dyDescent="0.3">
      <c r="A5096" t="str">
        <f>"20200111160604497"</f>
        <v>20200111160604497</v>
      </c>
      <c r="B5096" t="str">
        <f>"1578729964486921"</f>
        <v>1578729964486921</v>
      </c>
      <c r="C5096" t="s">
        <v>40</v>
      </c>
      <c r="D5096">
        <v>5.4451689999999999</v>
      </c>
      <c r="E5096">
        <v>0.41980289999999998</v>
      </c>
      <c r="F5096" t="s">
        <v>85</v>
      </c>
      <c r="G5096">
        <v>-369.52839999999998</v>
      </c>
      <c r="H5096" s="1">
        <v>-7.2789959999999998E-7</v>
      </c>
      <c r="I5096">
        <v>21.512519999999999</v>
      </c>
      <c r="J5096">
        <v>-385.28829999999999</v>
      </c>
      <c r="K5096">
        <v>1.108033</v>
      </c>
      <c r="L5096">
        <v>18.393830000000001</v>
      </c>
      <c r="M5096">
        <v>0.99128740000000004</v>
      </c>
      <c r="N5096">
        <v>0</v>
      </c>
      <c r="O5096">
        <v>-0.13168869999999999</v>
      </c>
      <c r="P5096">
        <v>0.99939259999999996</v>
      </c>
      <c r="Q5096">
        <v>-8.9919140000000002E-3</v>
      </c>
      <c r="R5096">
        <v>-3.3673269999999998E-2</v>
      </c>
      <c r="S5096">
        <v>3.0202330000000002</v>
      </c>
      <c r="T5096">
        <v>-0.21012839999999999</v>
      </c>
      <c r="U5096">
        <v>0.58712769999999903</v>
      </c>
      <c r="V5096">
        <v>-9.8242700000000002E-2</v>
      </c>
      <c r="W5096">
        <v>-1.158524E-2</v>
      </c>
      <c r="X5096">
        <v>0.99509510000000001</v>
      </c>
      <c r="Y5096">
        <v>-0.31738169999999999</v>
      </c>
      <c r="Z5096">
        <v>2.000097E-2</v>
      </c>
      <c r="AA5096">
        <v>0.94808689999999995</v>
      </c>
      <c r="AB5096">
        <v>21</v>
      </c>
      <c r="AC5096">
        <v>15.7599</v>
      </c>
      <c r="AD5096">
        <v>-1.1080337278996</v>
      </c>
      <c r="AE5096">
        <v>3.11869</v>
      </c>
      <c r="AF5096">
        <v>-5.1424760639228202</v>
      </c>
      <c r="AG5096">
        <v>-1.1080337278996</v>
      </c>
      <c r="AH5096">
        <v>15.139932222753499</v>
      </c>
      <c r="AI5096">
        <v>93.9641333979271</v>
      </c>
      <c r="AJ5096">
        <v>108.76072785235399</v>
      </c>
      <c r="AK5096">
        <v>16.027799178918901</v>
      </c>
      <c r="AL5096">
        <v>90.663800171679497</v>
      </c>
      <c r="AM5096">
        <v>95.638365623368699</v>
      </c>
      <c r="AN5096">
        <v>1.0000000519665699</v>
      </c>
    </row>
    <row r="5097" spans="1:40" x14ac:dyDescent="0.3">
      <c r="A5097" t="str">
        <f>"20200111160604510"</f>
        <v>20200111160604510</v>
      </c>
      <c r="B5097" t="str">
        <f>"1578729964507415"</f>
        <v>1578729964507415</v>
      </c>
      <c r="C5097" t="s">
        <v>40</v>
      </c>
      <c r="D5097">
        <v>5.2643779999999998</v>
      </c>
      <c r="E5097">
        <v>0.42388039999999999</v>
      </c>
      <c r="F5097" t="s">
        <v>87</v>
      </c>
      <c r="G5097">
        <v>-370.20209999999997</v>
      </c>
      <c r="H5097" s="1">
        <v>-4.9009729999999996E-6</v>
      </c>
      <c r="I5097">
        <v>21.12321</v>
      </c>
      <c r="J5097">
        <v>-385.16739999999999</v>
      </c>
      <c r="K5097">
        <v>1.1080829999999999</v>
      </c>
      <c r="L5097">
        <v>18.37717</v>
      </c>
      <c r="M5097">
        <v>0.99122469999999996</v>
      </c>
      <c r="N5097">
        <v>0</v>
      </c>
      <c r="O5097">
        <v>-0.13215940000000001</v>
      </c>
      <c r="P5097">
        <v>0.99939389999999995</v>
      </c>
      <c r="Q5097">
        <v>-9.1567039999999999E-3</v>
      </c>
      <c r="R5097">
        <v>-3.3586520000000002E-2</v>
      </c>
      <c r="S5097">
        <v>3.0182190000000002</v>
      </c>
      <c r="T5097">
        <v>-0.22167899999999999</v>
      </c>
      <c r="U5097">
        <v>0.54605099999999995</v>
      </c>
      <c r="V5097">
        <v>-9.8799540000000005E-2</v>
      </c>
      <c r="W5097">
        <v>-1.176658E-2</v>
      </c>
      <c r="X5097">
        <v>0.99503779999999997</v>
      </c>
      <c r="Y5097">
        <v>-0.30536869999999999</v>
      </c>
      <c r="Z5097">
        <v>2.073268E-2</v>
      </c>
      <c r="AA5097">
        <v>0.95200850000000004</v>
      </c>
      <c r="AB5097">
        <v>21</v>
      </c>
      <c r="AC5097">
        <v>14.965299999999999</v>
      </c>
      <c r="AD5097">
        <v>-1.108087900973</v>
      </c>
      <c r="AE5097">
        <v>2.7460399999999998</v>
      </c>
      <c r="AF5097">
        <v>-4.6749697463899</v>
      </c>
      <c r="AG5097">
        <v>-1.108087900973</v>
      </c>
      <c r="AH5097">
        <v>14.3947657198778</v>
      </c>
      <c r="AI5097">
        <v>94.187392266429299</v>
      </c>
      <c r="AJ5097">
        <v>107.992175774052</v>
      </c>
      <c r="AK5097">
        <v>15.175390639325</v>
      </c>
      <c r="AL5097">
        <v>90.674190922732393</v>
      </c>
      <c r="AM5097">
        <v>95.670440624522101</v>
      </c>
      <c r="AN5097">
        <v>1.0000000124689701</v>
      </c>
    </row>
    <row r="5098" spans="1:40" x14ac:dyDescent="0.3">
      <c r="A5098" t="str">
        <f>"20200111160604523"</f>
        <v>20200111160604523</v>
      </c>
      <c r="B5098" t="str">
        <f>"1578729964517305"</f>
        <v>1578729964517305</v>
      </c>
      <c r="C5098" t="s">
        <v>40</v>
      </c>
      <c r="D5098">
        <v>5.1121470000000002</v>
      </c>
      <c r="E5098">
        <v>0.42492469999999999</v>
      </c>
      <c r="F5098" t="s">
        <v>87</v>
      </c>
      <c r="G5098">
        <v>-371.60079999999999</v>
      </c>
      <c r="H5098" s="1">
        <v>-4.2371539999999999E-6</v>
      </c>
      <c r="I5098">
        <v>20.692350000000001</v>
      </c>
      <c r="J5098">
        <v>-385.05259999999998</v>
      </c>
      <c r="K5098">
        <v>1.108136</v>
      </c>
      <c r="L5098">
        <v>18.3613</v>
      </c>
      <c r="M5098">
        <v>0.99117089999999997</v>
      </c>
      <c r="N5098">
        <v>0</v>
      </c>
      <c r="O5098">
        <v>-0.1325634</v>
      </c>
      <c r="P5098">
        <v>0.99938830000000001</v>
      </c>
      <c r="Q5098">
        <v>-9.1637420000000008E-3</v>
      </c>
      <c r="R5098">
        <v>-3.3753209999999999E-2</v>
      </c>
      <c r="S5098">
        <v>3.0168460000000001</v>
      </c>
      <c r="T5098">
        <v>-0.24640699999999999</v>
      </c>
      <c r="U5098">
        <v>0.5148315</v>
      </c>
      <c r="V5098">
        <v>-9.9037700000000006E-2</v>
      </c>
      <c r="W5098">
        <v>-1.178773E-2</v>
      </c>
      <c r="X5098">
        <v>0.99501379999999995</v>
      </c>
      <c r="Y5098">
        <v>-0.29601769999999999</v>
      </c>
      <c r="Z5098">
        <v>2.2721310000000002E-2</v>
      </c>
      <c r="AA5098">
        <v>0.95491219999999999</v>
      </c>
      <c r="AB5098">
        <v>21</v>
      </c>
      <c r="AC5098">
        <v>13.451799999999899</v>
      </c>
      <c r="AD5098">
        <v>-1.1081402371539999</v>
      </c>
      <c r="AE5098">
        <v>2.3310499999999998</v>
      </c>
      <c r="AF5098">
        <v>-4.06690564025459</v>
      </c>
      <c r="AG5098">
        <v>-1.1081402371539999</v>
      </c>
      <c r="AH5098">
        <v>12.938821659618901</v>
      </c>
      <c r="AI5098">
        <v>94.6708995918776</v>
      </c>
      <c r="AJ5098">
        <v>107.448876358402</v>
      </c>
      <c r="AK5098">
        <v>13.608115307101</v>
      </c>
      <c r="AL5098">
        <v>90.675402861858899</v>
      </c>
      <c r="AM5098">
        <v>95.684156237645993</v>
      </c>
      <c r="AN5098">
        <v>0.99999993939513898</v>
      </c>
    </row>
    <row r="5099" spans="1:40" x14ac:dyDescent="0.3">
      <c r="A5099" t="str">
        <f>"20200111160604534"</f>
        <v>20200111160604534</v>
      </c>
      <c r="B5099" t="str">
        <f>"1578729964527065"</f>
        <v>1578729964527065</v>
      </c>
      <c r="C5099" t="s">
        <v>40</v>
      </c>
      <c r="D5099">
        <v>5.1473009999999997</v>
      </c>
      <c r="E5099">
        <v>0.42578729999999998</v>
      </c>
      <c r="F5099" t="s">
        <v>87</v>
      </c>
      <c r="G5099">
        <v>-371.81330000000003</v>
      </c>
      <c r="H5099" s="1">
        <v>-4.1077279999999996E-6</v>
      </c>
      <c r="I5099">
        <v>20.58351</v>
      </c>
      <c r="J5099">
        <v>-384.9332</v>
      </c>
      <c r="K5099">
        <v>1.1081920000000001</v>
      </c>
      <c r="L5099">
        <v>18.344850000000001</v>
      </c>
      <c r="M5099">
        <v>0.99112650000000002</v>
      </c>
      <c r="N5099">
        <v>0</v>
      </c>
      <c r="O5099">
        <v>-0.13289529999999999</v>
      </c>
      <c r="P5099">
        <v>0.99939310000000003</v>
      </c>
      <c r="Q5099">
        <v>-9.1626329999999999E-3</v>
      </c>
      <c r="R5099">
        <v>-3.3611170000000003E-2</v>
      </c>
      <c r="S5099">
        <v>3.0166629999999999</v>
      </c>
      <c r="T5099">
        <v>-0.2524979</v>
      </c>
      <c r="U5099">
        <v>0.50634769999999996</v>
      </c>
      <c r="V5099">
        <v>-9.9510230000000005E-2</v>
      </c>
      <c r="W5099">
        <v>-1.179705E-2</v>
      </c>
      <c r="X5099">
        <v>0.99496660000000003</v>
      </c>
      <c r="Y5099">
        <v>-0.29367169999999998</v>
      </c>
      <c r="Z5099">
        <v>2.3217499999999999E-2</v>
      </c>
      <c r="AA5099">
        <v>0.95562429999999998</v>
      </c>
      <c r="AB5099">
        <v>21</v>
      </c>
      <c r="AC5099">
        <v>13.1198999999999</v>
      </c>
      <c r="AD5099">
        <v>-1.108196107728</v>
      </c>
      <c r="AE5099">
        <v>2.2386599999999901</v>
      </c>
      <c r="AF5099">
        <v>-3.9351011165314702</v>
      </c>
      <c r="AG5099">
        <v>-1.108196107728</v>
      </c>
      <c r="AH5099">
        <v>12.618536562117701</v>
      </c>
      <c r="AI5099">
        <v>94.792507253904603</v>
      </c>
      <c r="AJ5099">
        <v>107.320132879599</v>
      </c>
      <c r="AK5099">
        <v>13.2642596619642</v>
      </c>
      <c r="AL5099">
        <v>90.675936857636003</v>
      </c>
      <c r="AM5099">
        <v>95.711366836467704</v>
      </c>
      <c r="AN5099">
        <v>0.99999999568945697</v>
      </c>
    </row>
    <row r="5100" spans="1:40" x14ac:dyDescent="0.3">
      <c r="A5100" t="str">
        <f>"20200111160604554"</f>
        <v>20200111160604554</v>
      </c>
      <c r="B5100" t="str">
        <f>"1578729964547561"</f>
        <v>1578729964547561</v>
      </c>
      <c r="C5100" t="s">
        <v>40</v>
      </c>
      <c r="D5100">
        <v>5.203506</v>
      </c>
      <c r="E5100">
        <v>0.42719649999999998</v>
      </c>
      <c r="F5100" t="s">
        <v>87</v>
      </c>
      <c r="G5100">
        <v>-371.88170000000002</v>
      </c>
      <c r="H5100" s="1">
        <v>-4.055707E-6</v>
      </c>
      <c r="I5100">
        <v>20.509419999999999</v>
      </c>
      <c r="J5100">
        <v>-384.74579999999997</v>
      </c>
      <c r="K5100">
        <v>1.10829</v>
      </c>
      <c r="L5100">
        <v>18.31906</v>
      </c>
      <c r="M5100">
        <v>0.99106959999999999</v>
      </c>
      <c r="N5100">
        <v>0</v>
      </c>
      <c r="O5100">
        <v>-0.13331809999999999</v>
      </c>
      <c r="P5100">
        <v>0.99939440000000002</v>
      </c>
      <c r="Q5100">
        <v>-9.5481630000000001E-3</v>
      </c>
      <c r="R5100">
        <v>-3.3461299999999999E-2</v>
      </c>
      <c r="S5100">
        <v>3.0162960000000001</v>
      </c>
      <c r="T5100">
        <v>-0.25611040000000002</v>
      </c>
      <c r="U5100">
        <v>0.50024409999999997</v>
      </c>
      <c r="V5100">
        <v>-0.100081</v>
      </c>
      <c r="W5100">
        <v>-1.2194109999999999E-2</v>
      </c>
      <c r="X5100">
        <v>0.99490460000000003</v>
      </c>
      <c r="Y5100">
        <v>-0.29217759999999998</v>
      </c>
      <c r="Z5100">
        <v>2.35275E-2</v>
      </c>
      <c r="AA5100">
        <v>0.95607470000000006</v>
      </c>
      <c r="AB5100">
        <v>21</v>
      </c>
      <c r="AC5100">
        <v>12.864099999999899</v>
      </c>
      <c r="AD5100">
        <v>-1.108294055707</v>
      </c>
      <c r="AE5100">
        <v>2.1903600000000001</v>
      </c>
      <c r="AF5100">
        <v>-3.8580015584163601</v>
      </c>
      <c r="AG5100">
        <v>-1.108294055707</v>
      </c>
      <c r="AH5100">
        <v>12.3680340344964</v>
      </c>
      <c r="AI5100">
        <v>94.889424949936497</v>
      </c>
      <c r="AJ5100">
        <v>107.32443861969</v>
      </c>
      <c r="AK5100">
        <v>13.0031056912231</v>
      </c>
      <c r="AL5100">
        <v>90.698688330994301</v>
      </c>
      <c r="AM5100">
        <v>95.744263172457593</v>
      </c>
      <c r="AN5100">
        <v>1.00000003299042</v>
      </c>
    </row>
    <row r="5101" spans="1:40" x14ac:dyDescent="0.3">
      <c r="A5101" t="str">
        <f>"20200111160604567"</f>
        <v>20200111160604567</v>
      </c>
      <c r="B5101" t="str">
        <f>"1578729964557321"</f>
        <v>1578729964557321</v>
      </c>
      <c r="C5101" t="s">
        <v>40</v>
      </c>
      <c r="D5101">
        <v>5.1917330000000002</v>
      </c>
      <c r="E5101">
        <v>0.42777710000000002</v>
      </c>
      <c r="F5101" t="s">
        <v>87</v>
      </c>
      <c r="G5101">
        <v>-371.9271</v>
      </c>
      <c r="H5101" s="1">
        <v>-4.0057090000000001E-6</v>
      </c>
      <c r="I5101">
        <v>20.40232</v>
      </c>
      <c r="J5101">
        <v>-384.62720000000002</v>
      </c>
      <c r="K5101">
        <v>1.1083480000000001</v>
      </c>
      <c r="L5101">
        <v>18.302800000000001</v>
      </c>
      <c r="M5101">
        <v>0.99104239999999999</v>
      </c>
      <c r="N5101">
        <v>0</v>
      </c>
      <c r="O5101">
        <v>-0.1335211</v>
      </c>
      <c r="P5101">
        <v>0.99939829999999996</v>
      </c>
      <c r="Q5101">
        <v>-9.7510870000000003E-3</v>
      </c>
      <c r="R5101">
        <v>-3.3288869999999998E-2</v>
      </c>
      <c r="S5101">
        <v>3.0157470000000002</v>
      </c>
      <c r="T5101">
        <v>-0.26074019999999998</v>
      </c>
      <c r="U5101">
        <v>0.4901123</v>
      </c>
      <c r="V5101">
        <v>-0.1004545</v>
      </c>
      <c r="W5101">
        <v>-1.2400299999999901E-2</v>
      </c>
      <c r="X5101">
        <v>0.99486430000000003</v>
      </c>
      <c r="Y5101">
        <v>-0.28922629999999999</v>
      </c>
      <c r="Z5101">
        <v>2.3852229999999999E-2</v>
      </c>
      <c r="AA5101">
        <v>0.95696349999999997</v>
      </c>
      <c r="AB5101">
        <v>22</v>
      </c>
      <c r="AC5101">
        <v>12.700100000000001</v>
      </c>
      <c r="AD5101">
        <v>-1.1083520057089999</v>
      </c>
      <c r="AE5101">
        <v>2.0995199999999898</v>
      </c>
      <c r="AF5101">
        <v>-3.74866675641946</v>
      </c>
      <c r="AG5101">
        <v>-1.1083520057089999</v>
      </c>
      <c r="AH5101">
        <v>12.2154896583562</v>
      </c>
      <c r="AI5101">
        <v>94.957475290024902</v>
      </c>
      <c r="AJ5101">
        <v>107.060105350483</v>
      </c>
      <c r="AK5101">
        <v>12.8257215864313</v>
      </c>
      <c r="AL5101">
        <v>90.710503117690394</v>
      </c>
      <c r="AM5101">
        <v>95.765788450427195</v>
      </c>
      <c r="AN5101">
        <v>0.99999992471241195</v>
      </c>
    </row>
    <row r="5102" spans="1:40" x14ac:dyDescent="0.3">
      <c r="A5102" t="str">
        <f>"20200111160604578"</f>
        <v>20200111160604578</v>
      </c>
      <c r="B5102" t="str">
        <f>"1578729964567081"</f>
        <v>1578729964567081</v>
      </c>
      <c r="C5102" t="s">
        <v>40</v>
      </c>
      <c r="D5102">
        <v>5.1958729999999997</v>
      </c>
      <c r="E5102">
        <v>0.42834329999999998</v>
      </c>
      <c r="F5102" t="s">
        <v>87</v>
      </c>
      <c r="G5102">
        <v>-371.94709999999998</v>
      </c>
      <c r="H5102" s="1">
        <v>-3.9815540000000001E-6</v>
      </c>
      <c r="I5102">
        <v>20.347059999999999</v>
      </c>
      <c r="J5102">
        <v>-384.512</v>
      </c>
      <c r="K5102">
        <v>1.108401</v>
      </c>
      <c r="L5102">
        <v>18.287019999999998</v>
      </c>
      <c r="M5102">
        <v>0.99102409999999996</v>
      </c>
      <c r="N5102">
        <v>0</v>
      </c>
      <c r="O5102">
        <v>-0.13365679999999999</v>
      </c>
      <c r="P5102">
        <v>0.99941869999999999</v>
      </c>
      <c r="Q5102">
        <v>-9.7828359999999996E-3</v>
      </c>
      <c r="R5102">
        <v>-3.2659260000000002E-2</v>
      </c>
      <c r="S5102">
        <v>3.0154420000000002</v>
      </c>
      <c r="T5102">
        <v>-0.26357580000000003</v>
      </c>
      <c r="U5102">
        <v>0.48614499999999999</v>
      </c>
      <c r="V5102">
        <v>-0.1012159</v>
      </c>
      <c r="W5102">
        <v>-1.243002E-2</v>
      </c>
      <c r="X5102">
        <v>0.99478690000000003</v>
      </c>
      <c r="Y5102">
        <v>-0.28811490000000001</v>
      </c>
      <c r="Z5102">
        <v>2.40789E-2</v>
      </c>
      <c r="AA5102">
        <v>0.95729310000000001</v>
      </c>
      <c r="AB5102">
        <v>22</v>
      </c>
      <c r="AC5102">
        <v>12.5648999999999</v>
      </c>
      <c r="AD5102">
        <v>-1.108404981554</v>
      </c>
      <c r="AE5102">
        <v>2.0600399999999901</v>
      </c>
      <c r="AF5102">
        <v>-3.6929612615694301</v>
      </c>
      <c r="AG5102">
        <v>-1.108404981554</v>
      </c>
      <c r="AH5102">
        <v>12.085240650063399</v>
      </c>
      <c r="AI5102">
        <v>95.012689933480004</v>
      </c>
      <c r="AJ5102">
        <v>106.991902291938</v>
      </c>
      <c r="AK5102">
        <v>12.685407602932299</v>
      </c>
      <c r="AL5102">
        <v>90.712205976076007</v>
      </c>
      <c r="AM5102">
        <v>95.809641660788799</v>
      </c>
      <c r="AN5102">
        <v>1.0000000701108001</v>
      </c>
    </row>
    <row r="5103" spans="1:40" x14ac:dyDescent="0.3">
      <c r="A5103" t="str">
        <f>"20200111160604598"</f>
        <v>20200111160604598</v>
      </c>
      <c r="B5103" t="str">
        <f>"1578729964587577"</f>
        <v>1578729964587577</v>
      </c>
      <c r="C5103" t="s">
        <v>40</v>
      </c>
      <c r="D5103">
        <v>5.1680859999999997</v>
      </c>
      <c r="E5103">
        <v>0.42918800000000001</v>
      </c>
      <c r="F5103" t="s">
        <v>87</v>
      </c>
      <c r="G5103">
        <v>-371.9298</v>
      </c>
      <c r="H5103" s="1">
        <v>-3.9786999999999997E-6</v>
      </c>
      <c r="I5103">
        <v>20.305630000000001</v>
      </c>
      <c r="J5103">
        <v>-384.32299999999998</v>
      </c>
      <c r="K5103">
        <v>1.108487</v>
      </c>
      <c r="L5103">
        <v>18.261230000000001</v>
      </c>
      <c r="M5103">
        <v>0.99100600000000005</v>
      </c>
      <c r="N5103">
        <v>0</v>
      </c>
      <c r="O5103">
        <v>-0.13379160000000001</v>
      </c>
      <c r="P5103">
        <v>0.9994478</v>
      </c>
      <c r="Q5103">
        <v>-9.9376440000000007E-3</v>
      </c>
      <c r="R5103">
        <v>-3.1702479999999998E-2</v>
      </c>
      <c r="S5103">
        <v>3.0149539999999999</v>
      </c>
      <c r="T5103">
        <v>-0.26559820000000001</v>
      </c>
      <c r="U5103">
        <v>0.48370360000000001</v>
      </c>
      <c r="V5103">
        <v>-0.1023</v>
      </c>
      <c r="W5103">
        <v>-1.257132E-2</v>
      </c>
      <c r="X5103">
        <v>0.99467410000000001</v>
      </c>
      <c r="Y5103">
        <v>-0.28749069999999999</v>
      </c>
      <c r="Z5103">
        <v>2.4252699999999999E-2</v>
      </c>
      <c r="AA5103">
        <v>0.95747629999999995</v>
      </c>
      <c r="AB5103">
        <v>22</v>
      </c>
      <c r="AC5103">
        <v>12.3932</v>
      </c>
      <c r="AD5103">
        <v>-1.1084909786999999</v>
      </c>
      <c r="AE5103">
        <v>2.0444</v>
      </c>
      <c r="AF5103">
        <v>-3.65566044066995</v>
      </c>
      <c r="AG5103">
        <v>-1.1084909786999999</v>
      </c>
      <c r="AH5103">
        <v>11.915453575309501</v>
      </c>
      <c r="AI5103">
        <v>95.082405650928493</v>
      </c>
      <c r="AJ5103">
        <v>107.056010311921</v>
      </c>
      <c r="AK5103">
        <v>12.512819003433799</v>
      </c>
      <c r="AL5103">
        <v>90.720302590728593</v>
      </c>
      <c r="AM5103">
        <v>95.872096132916298</v>
      </c>
      <c r="AN5103">
        <v>0.99999994664867398</v>
      </c>
    </row>
    <row r="5104" spans="1:40" x14ac:dyDescent="0.3">
      <c r="A5104" t="str">
        <f>"20200111160604610"</f>
        <v>20200111160604610</v>
      </c>
      <c r="B5104" t="str">
        <f>"1578729964607097"</f>
        <v>1578729964607097</v>
      </c>
      <c r="C5104" t="s">
        <v>40</v>
      </c>
      <c r="D5104">
        <v>5.1537860000000002</v>
      </c>
      <c r="E5104">
        <v>0.42994890000000002</v>
      </c>
      <c r="F5104" t="s">
        <v>87</v>
      </c>
      <c r="G5104">
        <v>-371.79399999999998</v>
      </c>
      <c r="H5104" s="1">
        <v>-4.029818E-6</v>
      </c>
      <c r="I5104">
        <v>20.25647</v>
      </c>
      <c r="J5104">
        <v>-384.20749999999998</v>
      </c>
      <c r="K5104">
        <v>1.1085339999999999</v>
      </c>
      <c r="L5104">
        <v>18.245509999999999</v>
      </c>
      <c r="M5104">
        <v>0.9910021</v>
      </c>
      <c r="N5104">
        <v>0</v>
      </c>
      <c r="O5104">
        <v>-0.13382149999999901</v>
      </c>
      <c r="P5104">
        <v>0.99946959999999996</v>
      </c>
      <c r="Q5104">
        <v>-9.7723099999999993E-3</v>
      </c>
      <c r="R5104">
        <v>-3.1075450000000001E-2</v>
      </c>
      <c r="S5104">
        <v>3.0141909999999998</v>
      </c>
      <c r="T5104">
        <v>-0.26667829999999998</v>
      </c>
      <c r="U5104">
        <v>0.48001100000000002</v>
      </c>
      <c r="V5104">
        <v>-0.1029528</v>
      </c>
      <c r="W5104">
        <v>-1.239003E-2</v>
      </c>
      <c r="X5104">
        <v>0.99460910000000002</v>
      </c>
      <c r="Y5104">
        <v>-0.28640339999999997</v>
      </c>
      <c r="Z5104">
        <v>2.4314019999999999E-2</v>
      </c>
      <c r="AA5104">
        <v>0.9578006</v>
      </c>
      <c r="AB5104">
        <v>22</v>
      </c>
      <c r="AC5104">
        <v>12.4134999999999</v>
      </c>
      <c r="AD5104">
        <v>-1.1085380298180001</v>
      </c>
      <c r="AE5104">
        <v>2.0109599999999999</v>
      </c>
      <c r="AF5104">
        <v>-3.62589502542937</v>
      </c>
      <c r="AG5104">
        <v>-1.1085380298180001</v>
      </c>
      <c r="AH5104">
        <v>11.939952593040299</v>
      </c>
      <c r="AI5104">
        <v>95.0766470016775</v>
      </c>
      <c r="AJ5104">
        <v>106.892355908589</v>
      </c>
      <c r="AK5104">
        <v>12.527507302853101</v>
      </c>
      <c r="AL5104">
        <v>90.709914572278805</v>
      </c>
      <c r="AM5104">
        <v>95.909686462453095</v>
      </c>
      <c r="AN5104">
        <v>1.0000000268370199</v>
      </c>
    </row>
    <row r="5105" spans="1:40" x14ac:dyDescent="0.3">
      <c r="A5105" t="str">
        <f>"20200111160604621"</f>
        <v>20200111160604621</v>
      </c>
      <c r="B5105" t="str">
        <f>"1578729964616857"</f>
        <v>1578729964616857</v>
      </c>
      <c r="C5105" t="s">
        <v>40</v>
      </c>
      <c r="D5105">
        <v>6.0698489999999996</v>
      </c>
      <c r="E5105">
        <v>0.42994890000000002</v>
      </c>
      <c r="F5105" t="s">
        <v>87</v>
      </c>
      <c r="G5105">
        <v>-371.68270000000001</v>
      </c>
      <c r="H5105" s="1">
        <v>-4.0736320000000003E-6</v>
      </c>
      <c r="I5105">
        <v>20.22336</v>
      </c>
      <c r="J5105">
        <v>-384.08539999999999</v>
      </c>
      <c r="K5105">
        <v>1.1085849999999999</v>
      </c>
      <c r="L5105">
        <v>18.22897</v>
      </c>
      <c r="M5105">
        <v>0.99100270000000001</v>
      </c>
      <c r="N5105">
        <v>0</v>
      </c>
      <c r="O5105">
        <v>-0.1338183</v>
      </c>
      <c r="P5105">
        <v>0.99948610000000004</v>
      </c>
      <c r="Q5105">
        <v>-9.6687879999999993E-3</v>
      </c>
      <c r="R5105">
        <v>-3.0569550000000001E-2</v>
      </c>
      <c r="S5105">
        <v>3.0137939999999999</v>
      </c>
      <c r="T5105">
        <v>-0.26674399999999998</v>
      </c>
      <c r="U5105">
        <v>0.4759216</v>
      </c>
      <c r="V5105">
        <v>-0.1034519</v>
      </c>
      <c r="W5105">
        <v>-1.226409E-2</v>
      </c>
      <c r="X5105">
        <v>0.99455890000000002</v>
      </c>
      <c r="Y5105">
        <v>-0.2851552</v>
      </c>
      <c r="Z5105">
        <v>2.4270369999999999E-2</v>
      </c>
      <c r="AA5105">
        <v>0.95817399999999997</v>
      </c>
      <c r="AB5105">
        <v>22</v>
      </c>
      <c r="AC5105">
        <v>12.4026999999999</v>
      </c>
      <c r="AD5105">
        <v>-1.1085890736320001</v>
      </c>
      <c r="AE5105">
        <v>1.9943899999999899</v>
      </c>
      <c r="AF5105">
        <v>-3.6080662369161298</v>
      </c>
      <c r="AG5105">
        <v>-1.1085890736320001</v>
      </c>
      <c r="AH5105">
        <v>11.9313408889083</v>
      </c>
      <c r="AI5105">
        <v>95.082313640290707</v>
      </c>
      <c r="AJ5105">
        <v>106.825443100984</v>
      </c>
      <c r="AK5105">
        <v>12.5141522729862</v>
      </c>
      <c r="AL5105">
        <v>90.702698174217502</v>
      </c>
      <c r="AM5105">
        <v>95.938429110495903</v>
      </c>
      <c r="AN5105">
        <v>1.00000005454317</v>
      </c>
    </row>
    <row r="5106" spans="1:40" x14ac:dyDescent="0.3">
      <c r="A5106" t="str">
        <f>"20200111160604633"</f>
        <v>20200111160604633</v>
      </c>
      <c r="B5106" t="str">
        <f>"1578729964627593"</f>
        <v>1578729964627593</v>
      </c>
      <c r="C5106" t="s">
        <v>40</v>
      </c>
      <c r="D5106">
        <v>5.259169</v>
      </c>
      <c r="E5106">
        <v>0.4300794</v>
      </c>
      <c r="F5106" t="s">
        <v>87</v>
      </c>
      <c r="G5106">
        <v>-371.5394</v>
      </c>
      <c r="H5106" s="1">
        <v>-4.1396899999999997E-6</v>
      </c>
      <c r="I5106">
        <v>20.21705</v>
      </c>
      <c r="J5106">
        <v>-383.96660000000003</v>
      </c>
      <c r="K5106">
        <v>1.1086339999999999</v>
      </c>
      <c r="L5106">
        <v>18.21292</v>
      </c>
      <c r="M5106">
        <v>0.99101050000000002</v>
      </c>
      <c r="N5106">
        <v>0</v>
      </c>
      <c r="O5106">
        <v>-0.13376109999999999</v>
      </c>
      <c r="P5106">
        <v>0.99951020000000002</v>
      </c>
      <c r="Q5106">
        <v>-9.7369850000000001E-3</v>
      </c>
      <c r="R5106">
        <v>-2.9744199999999998E-2</v>
      </c>
      <c r="S5106">
        <v>3.0135800000000001</v>
      </c>
      <c r="T5106">
        <v>-0.266285099999999</v>
      </c>
      <c r="U5106">
        <v>0.47753909999999999</v>
      </c>
      <c r="V5106">
        <v>-0.1042144</v>
      </c>
      <c r="W5106">
        <v>-1.2297020000000001E-2</v>
      </c>
      <c r="X5106">
        <v>0.9944788</v>
      </c>
      <c r="Y5106">
        <v>-0.28561589999999998</v>
      </c>
      <c r="Z5106">
        <v>2.4244740000000001E-2</v>
      </c>
      <c r="AA5106">
        <v>0.95803740000000004</v>
      </c>
      <c r="AB5106">
        <v>22</v>
      </c>
      <c r="AC5106">
        <v>12.427199999999999</v>
      </c>
      <c r="AD5106">
        <v>-1.10863813969</v>
      </c>
      <c r="AE5106">
        <v>2.00413</v>
      </c>
      <c r="AF5106">
        <v>-3.6203189723508098</v>
      </c>
      <c r="AG5106">
        <v>-1.10863813969</v>
      </c>
      <c r="AH5106">
        <v>11.954717836747299</v>
      </c>
      <c r="AI5106">
        <v>95.072044077632</v>
      </c>
      <c r="AJ5106">
        <v>106.84820196822299</v>
      </c>
      <c r="AK5106">
        <v>12.53997872975</v>
      </c>
      <c r="AL5106">
        <v>90.704585125458493</v>
      </c>
      <c r="AM5106">
        <v>95.982360841378195</v>
      </c>
      <c r="AN5106">
        <v>0.99999997075883895</v>
      </c>
    </row>
    <row r="5107" spans="1:40" x14ac:dyDescent="0.3">
      <c r="A5107" t="str">
        <f>"20200111160604646"</f>
        <v>20200111160604646</v>
      </c>
      <c r="B5107" t="str">
        <f>"1578729964637353"</f>
        <v>1578729964637353</v>
      </c>
      <c r="C5107" t="s">
        <v>40</v>
      </c>
      <c r="D5107">
        <v>5.1121400000000001</v>
      </c>
      <c r="E5107">
        <v>0.43018630000000002</v>
      </c>
      <c r="F5107" t="s">
        <v>87</v>
      </c>
      <c r="G5107">
        <v>-371.42140000000001</v>
      </c>
      <c r="H5107" s="1">
        <v>-4.1929299999999997E-6</v>
      </c>
      <c r="I5107">
        <v>20.2074</v>
      </c>
      <c r="J5107">
        <v>-383.84030000000001</v>
      </c>
      <c r="K5107">
        <v>1.1086879999999999</v>
      </c>
      <c r="L5107">
        <v>18.195889999999999</v>
      </c>
      <c r="M5107">
        <v>0.99102210000000002</v>
      </c>
      <c r="N5107">
        <v>0</v>
      </c>
      <c r="O5107">
        <v>-0.1336765</v>
      </c>
      <c r="P5107">
        <v>0.99953190000000003</v>
      </c>
      <c r="Q5107">
        <v>-9.9651419999999998E-3</v>
      </c>
      <c r="R5107">
        <v>-2.8937959999999999E-2</v>
      </c>
      <c r="S5107">
        <v>3.0131230000000002</v>
      </c>
      <c r="T5107">
        <v>-0.26627339999999999</v>
      </c>
      <c r="U5107">
        <v>0.47903440000000003</v>
      </c>
      <c r="V5107">
        <v>-0.1049297</v>
      </c>
      <c r="W5107">
        <v>-1.247938E-2</v>
      </c>
      <c r="X5107">
        <v>0.99440130000000004</v>
      </c>
      <c r="Y5107">
        <v>-0.28601890000000002</v>
      </c>
      <c r="Z5107">
        <v>2.4256730000000001E-2</v>
      </c>
      <c r="AA5107">
        <v>0.95791689999999996</v>
      </c>
      <c r="AB5107">
        <v>22</v>
      </c>
      <c r="AC5107">
        <v>12.418900000000001</v>
      </c>
      <c r="AD5107">
        <v>-1.10869219293</v>
      </c>
      <c r="AE5107">
        <v>2.0115099999999999</v>
      </c>
      <c r="AF5107">
        <v>-3.6254207598525698</v>
      </c>
      <c r="AG5107">
        <v>-1.10869219293</v>
      </c>
      <c r="AH5107">
        <v>11.9457742392649</v>
      </c>
      <c r="AI5107">
        <v>95.075151242855199</v>
      </c>
      <c r="AJ5107">
        <v>106.88250924461801</v>
      </c>
      <c r="AK5107">
        <v>12.532932467707599</v>
      </c>
      <c r="AL5107">
        <v>90.715034392840096</v>
      </c>
      <c r="AM5107">
        <v>96.023587323060397</v>
      </c>
      <c r="AN5107">
        <v>0.99999996115448098</v>
      </c>
    </row>
    <row r="5108" spans="1:40" x14ac:dyDescent="0.3">
      <c r="A5108" t="str">
        <f>"20200111160604666"</f>
        <v>20200111160604666</v>
      </c>
      <c r="B5108" t="str">
        <f>"1578729964656873"</f>
        <v>1578729964656873</v>
      </c>
      <c r="C5108" t="s">
        <v>40</v>
      </c>
      <c r="D5108">
        <v>5.216145</v>
      </c>
      <c r="E5108">
        <v>0.37625350000000002</v>
      </c>
      <c r="F5108" t="s">
        <v>87</v>
      </c>
      <c r="G5108">
        <v>-371.39400000000001</v>
      </c>
      <c r="H5108" s="1">
        <v>-4.1991890000000003E-6</v>
      </c>
      <c r="I5108">
        <v>20.182259999999999</v>
      </c>
      <c r="J5108">
        <v>-383.63249999999999</v>
      </c>
      <c r="K5108">
        <v>1.108781</v>
      </c>
      <c r="L5108">
        <v>18.168060000000001</v>
      </c>
      <c r="M5108">
        <v>0.99105430000000005</v>
      </c>
      <c r="N5108">
        <v>0</v>
      </c>
      <c r="O5108">
        <v>-0.13344020000000001</v>
      </c>
      <c r="P5108">
        <v>0.99957050000000003</v>
      </c>
      <c r="Q5108">
        <v>-1.1004140000000001E-2</v>
      </c>
      <c r="R5108">
        <v>-2.7170840000000002E-2</v>
      </c>
      <c r="S5108">
        <v>3.0126650000000001</v>
      </c>
      <c r="T5108">
        <v>-0.26836070000000001</v>
      </c>
      <c r="U5108">
        <v>0.48080440000000002</v>
      </c>
      <c r="V5108">
        <v>-0.1064466</v>
      </c>
      <c r="W5108">
        <v>-1.339627E-2</v>
      </c>
      <c r="X5108">
        <v>0.99422820000000001</v>
      </c>
      <c r="Y5108">
        <v>-0.28633609999999998</v>
      </c>
      <c r="Z5108">
        <v>2.4441959999999999E-2</v>
      </c>
      <c r="AA5108">
        <v>0.95781740000000004</v>
      </c>
      <c r="AB5108">
        <v>23</v>
      </c>
      <c r="AC5108">
        <v>12.238499999999901</v>
      </c>
      <c r="AD5108">
        <v>-1.1087851991889901</v>
      </c>
      <c r="AE5108">
        <v>2.0142000000000002</v>
      </c>
      <c r="AF5108">
        <v>-3.6005248815711699</v>
      </c>
      <c r="AG5108">
        <v>-1.1087851991889901</v>
      </c>
      <c r="AH5108">
        <v>11.766242342219</v>
      </c>
      <c r="AI5108">
        <v>95.1490125859182</v>
      </c>
      <c r="AJ5108">
        <v>107.014354374715</v>
      </c>
      <c r="AK5108">
        <v>12.354660776265</v>
      </c>
      <c r="AL5108">
        <v>90.767572671388095</v>
      </c>
      <c r="AM5108">
        <v>96.111068075832307</v>
      </c>
      <c r="AN5108">
        <v>1.0000000261883499</v>
      </c>
    </row>
    <row r="5109" spans="1:40" x14ac:dyDescent="0.3">
      <c r="A5109" t="str">
        <f>"20200111160604678"</f>
        <v>20200111160604678</v>
      </c>
      <c r="B5109" t="str">
        <f>"1578729964667610"</f>
        <v>1578729964667610</v>
      </c>
      <c r="C5109" t="s">
        <v>40</v>
      </c>
      <c r="D5109">
        <v>5.1277290000000004</v>
      </c>
      <c r="E5109">
        <v>0.37625350000000002</v>
      </c>
      <c r="F5109" t="s">
        <v>84</v>
      </c>
      <c r="G5109">
        <v>-280.04239999999999</v>
      </c>
      <c r="H5109">
        <v>22.60106</v>
      </c>
      <c r="I5109">
        <v>48.108409999999999</v>
      </c>
      <c r="J5109">
        <v>-383.5136</v>
      </c>
      <c r="K5109">
        <v>1.10884</v>
      </c>
      <c r="L5109">
        <v>18.15222</v>
      </c>
      <c r="M5109">
        <v>0.99107849999999997</v>
      </c>
      <c r="N5109">
        <v>0</v>
      </c>
      <c r="O5109">
        <v>-0.13326109999999999</v>
      </c>
      <c r="P5109">
        <v>0.99958760000000002</v>
      </c>
      <c r="Q5109">
        <v>-1.1473000000000001E-2</v>
      </c>
      <c r="R5109">
        <v>-2.6325080000000001E-2</v>
      </c>
      <c r="S5109">
        <v>3.0320429999999998</v>
      </c>
      <c r="T5109">
        <v>0.62907100000000005</v>
      </c>
      <c r="U5109">
        <v>0.87634279999999998</v>
      </c>
      <c r="V5109">
        <v>-0.10710500000000001</v>
      </c>
      <c r="W5109">
        <v>-1.3763569999999999E-2</v>
      </c>
      <c r="X5109">
        <v>0.99415240000000005</v>
      </c>
      <c r="Y5109">
        <v>-0.39276949999999999</v>
      </c>
      <c r="Z5109">
        <v>-6.6421560000000004E-2</v>
      </c>
      <c r="AA5109">
        <v>0.91723509999999997</v>
      </c>
      <c r="AB5109">
        <v>23</v>
      </c>
      <c r="AC5109">
        <v>103.4712</v>
      </c>
      <c r="AD5109">
        <v>21.49222</v>
      </c>
      <c r="AE5109">
        <v>29.956189999999999</v>
      </c>
      <c r="AF5109">
        <v>-41.813237723740599</v>
      </c>
      <c r="AG5109">
        <v>21.49222</v>
      </c>
      <c r="AH5109">
        <v>94.783222266619404</v>
      </c>
      <c r="AI5109">
        <v>78.279613234821198</v>
      </c>
      <c r="AJ5109">
        <v>113.804481273931</v>
      </c>
      <c r="AK5109">
        <v>105.802275933525</v>
      </c>
      <c r="AL5109">
        <v>90.788619407140999</v>
      </c>
      <c r="AM5109">
        <v>96.149043191952799</v>
      </c>
      <c r="AN5109">
        <v>0.99999995565495103</v>
      </c>
    </row>
    <row r="5110" spans="1:40" x14ac:dyDescent="0.3">
      <c r="A5110" t="str">
        <f>"20200111160604690"</f>
        <v>20200111160604690</v>
      </c>
      <c r="B5110" t="str">
        <f>"1578729964687129"</f>
        <v>1578729964687129</v>
      </c>
      <c r="C5110" t="s">
        <v>40</v>
      </c>
      <c r="D5110">
        <v>5.1208629999999999</v>
      </c>
      <c r="E5110">
        <v>0.4342686</v>
      </c>
      <c r="F5110" t="s">
        <v>84</v>
      </c>
      <c r="G5110">
        <v>-280.04239999999999</v>
      </c>
      <c r="H5110">
        <v>22.522120000000001</v>
      </c>
      <c r="I5110">
        <v>48.155430000000003</v>
      </c>
      <c r="J5110">
        <v>-383.39670000000001</v>
      </c>
      <c r="K5110">
        <v>1.1089</v>
      </c>
      <c r="L5110">
        <v>18.136690000000002</v>
      </c>
      <c r="M5110">
        <v>0.99110560000000003</v>
      </c>
      <c r="N5110">
        <v>0</v>
      </c>
      <c r="O5110">
        <v>-0.13306209999999999</v>
      </c>
      <c r="P5110">
        <v>0.99960950000000004</v>
      </c>
      <c r="Q5110">
        <v>-1.203589E-2</v>
      </c>
      <c r="R5110">
        <v>-2.5225379999999999E-2</v>
      </c>
      <c r="S5110">
        <v>3.0315859999999999</v>
      </c>
      <c r="T5110">
        <v>0.62738419999999995</v>
      </c>
      <c r="U5110">
        <v>0.87905880000000003</v>
      </c>
      <c r="V5110">
        <v>-0.1079965</v>
      </c>
      <c r="W5110">
        <v>-1.4202350000000001E-2</v>
      </c>
      <c r="X5110">
        <v>0.99404979999999998</v>
      </c>
      <c r="Y5110">
        <v>-0.39342709999999997</v>
      </c>
      <c r="Z5110">
        <v>-6.627487E-2</v>
      </c>
      <c r="AA5110">
        <v>0.91696390000000005</v>
      </c>
      <c r="AB5110">
        <v>23</v>
      </c>
      <c r="AC5110">
        <v>103.35429999999999</v>
      </c>
      <c r="AD5110">
        <v>21.413219999999999</v>
      </c>
      <c r="AE5110">
        <v>30.018740000000001</v>
      </c>
      <c r="AF5110">
        <v>-41.847813497391698</v>
      </c>
      <c r="AG5110">
        <v>21.413219999999999</v>
      </c>
      <c r="AH5110">
        <v>94.692444282034401</v>
      </c>
      <c r="AI5110">
        <v>78.313930890103506</v>
      </c>
      <c r="AJ5110">
        <v>113.84226653056299</v>
      </c>
      <c r="AK5110">
        <v>105.718609948235</v>
      </c>
      <c r="AL5110">
        <v>90.813762090665804</v>
      </c>
      <c r="AM5110">
        <v>96.200463377141801</v>
      </c>
      <c r="AN5110">
        <v>0.99999997781890504</v>
      </c>
    </row>
    <row r="5111" spans="1:40" x14ac:dyDescent="0.3">
      <c r="A5111" t="str">
        <f>"20200111160604710"</f>
        <v>20200111160604710</v>
      </c>
      <c r="B5111" t="str">
        <f>"1578729964707625"</f>
        <v>1578729964707625</v>
      </c>
      <c r="C5111" t="s">
        <v>40</v>
      </c>
      <c r="D5111">
        <v>5.2025139999999999</v>
      </c>
      <c r="E5111">
        <v>0.43442439999999999</v>
      </c>
      <c r="F5111" t="s">
        <v>87</v>
      </c>
      <c r="G5111">
        <v>-371.36540000000002</v>
      </c>
      <c r="H5111" s="1">
        <v>-4.157339E-6</v>
      </c>
      <c r="I5111">
        <v>19.974319999999999</v>
      </c>
      <c r="J5111">
        <v>-383.18889999999999</v>
      </c>
      <c r="K5111">
        <v>1.109024</v>
      </c>
      <c r="L5111">
        <v>18.109279999999998</v>
      </c>
      <c r="M5111">
        <v>0.99116159999999998</v>
      </c>
      <c r="N5111">
        <v>0</v>
      </c>
      <c r="O5111">
        <v>-0.1326485</v>
      </c>
      <c r="P5111">
        <v>0.99963999999999997</v>
      </c>
      <c r="Q5111">
        <v>-1.3146909999999999E-2</v>
      </c>
      <c r="R5111">
        <v>-2.3387660000000001E-2</v>
      </c>
      <c r="S5111">
        <v>3.00943</v>
      </c>
      <c r="T5111">
        <v>-0.27737580000000001</v>
      </c>
      <c r="U5111">
        <v>0.4596558</v>
      </c>
      <c r="V5111">
        <v>-0.1094043</v>
      </c>
      <c r="W5111">
        <v>-1.501838E-2</v>
      </c>
      <c r="X5111">
        <v>0.99388379999999998</v>
      </c>
      <c r="Y5111">
        <v>-0.27906950000000003</v>
      </c>
      <c r="Z5111">
        <v>2.4894030000000001E-2</v>
      </c>
      <c r="AA5111">
        <v>0.95994820000000003</v>
      </c>
      <c r="AB5111">
        <v>23</v>
      </c>
      <c r="AC5111">
        <v>11.8234999999999</v>
      </c>
      <c r="AD5111">
        <v>-1.109028157339</v>
      </c>
      <c r="AE5111">
        <v>1.86504</v>
      </c>
      <c r="AF5111">
        <v>-3.38784753716758</v>
      </c>
      <c r="AG5111">
        <v>-1.109028157339</v>
      </c>
      <c r="AH5111">
        <v>11.3739810774918</v>
      </c>
      <c r="AI5111">
        <v>95.338695356794403</v>
      </c>
      <c r="AJ5111">
        <v>106.586659202711</v>
      </c>
      <c r="AK5111">
        <v>11.919517605171899</v>
      </c>
      <c r="AL5111">
        <v>90.860522199928297</v>
      </c>
      <c r="AM5111">
        <v>96.281688978751902</v>
      </c>
      <c r="AN5111">
        <v>0.99999993024937395</v>
      </c>
    </row>
    <row r="5112" spans="1:40" x14ac:dyDescent="0.3">
      <c r="A5112" t="str">
        <f>"20200111160604721"</f>
        <v>20200111160604721</v>
      </c>
      <c r="B5112" t="str">
        <f>"1578729964717385"</f>
        <v>1578729964717385</v>
      </c>
      <c r="C5112" t="s">
        <v>40</v>
      </c>
      <c r="D5112">
        <v>5.1794969999999996</v>
      </c>
      <c r="E5112">
        <v>0.4343186</v>
      </c>
      <c r="F5112" t="s">
        <v>87</v>
      </c>
      <c r="G5112">
        <v>-371.57159999999999</v>
      </c>
      <c r="H5112" s="1">
        <v>-4.0407189999999996E-6</v>
      </c>
      <c r="I5112">
        <v>19.902349999999998</v>
      </c>
      <c r="J5112">
        <v>-383.07139999999998</v>
      </c>
      <c r="K5112">
        <v>1.1090979999999999</v>
      </c>
      <c r="L5112">
        <v>18.09384</v>
      </c>
      <c r="M5112">
        <v>0.99119740000000001</v>
      </c>
      <c r="N5112">
        <v>0</v>
      </c>
      <c r="O5112">
        <v>-0.132384</v>
      </c>
      <c r="P5112">
        <v>0.99965510000000002</v>
      </c>
      <c r="Q5112">
        <v>-1.384528E-2</v>
      </c>
      <c r="R5112">
        <v>-2.231996E-2</v>
      </c>
      <c r="S5112">
        <v>3.0081790000000002</v>
      </c>
      <c r="T5112">
        <v>-0.28717120000000002</v>
      </c>
      <c r="U5112">
        <v>0.4642944</v>
      </c>
      <c r="V5112">
        <v>-0.1101973</v>
      </c>
      <c r="W5112">
        <v>-1.55035E-2</v>
      </c>
      <c r="X5112">
        <v>0.99378880000000003</v>
      </c>
      <c r="Y5112">
        <v>-0.28019119999999997</v>
      </c>
      <c r="Z5112">
        <v>2.58053E-2</v>
      </c>
      <c r="AA5112">
        <v>0.95959729999999999</v>
      </c>
      <c r="AB5112">
        <v>23</v>
      </c>
      <c r="AC5112">
        <v>11.499799999999899</v>
      </c>
      <c r="AD5112">
        <v>-1.109102040719</v>
      </c>
      <c r="AE5112">
        <v>1.8085099999999901</v>
      </c>
      <c r="AF5112">
        <v>-3.2851634659250002</v>
      </c>
      <c r="AG5112">
        <v>-1.109102040719</v>
      </c>
      <c r="AH5112">
        <v>11.0587834648524</v>
      </c>
      <c r="AI5112">
        <v>95.491492259408503</v>
      </c>
      <c r="AJ5112">
        <v>106.54477493408299</v>
      </c>
      <c r="AK5112">
        <v>11.589611643927901</v>
      </c>
      <c r="AL5112">
        <v>90.888320713809904</v>
      </c>
      <c r="AM5112">
        <v>96.327452806795506</v>
      </c>
      <c r="AN5112">
        <v>0.99999999122248995</v>
      </c>
    </row>
    <row r="5113" spans="1:40" x14ac:dyDescent="0.3">
      <c r="A5113" t="str">
        <f>"20200111160604733"</f>
        <v>20200111160604733</v>
      </c>
      <c r="B5113" t="str">
        <f>"1578729964727145"</f>
        <v>1578729964727145</v>
      </c>
      <c r="C5113" t="s">
        <v>40</v>
      </c>
      <c r="D5113">
        <v>5.1189580000000001</v>
      </c>
      <c r="E5113">
        <v>0.43434650000000002</v>
      </c>
      <c r="F5113" t="s">
        <v>87</v>
      </c>
      <c r="G5113">
        <v>-371.48219999999998</v>
      </c>
      <c r="H5113" s="1">
        <v>-4.0819660000000004E-6</v>
      </c>
      <c r="I5113">
        <v>19.898510000000002</v>
      </c>
      <c r="J5113">
        <v>-382.94150000000002</v>
      </c>
      <c r="K5113">
        <v>1.109191</v>
      </c>
      <c r="L5113">
        <v>18.076899999999998</v>
      </c>
      <c r="M5113">
        <v>0.99124230000000002</v>
      </c>
      <c r="N5113">
        <v>0</v>
      </c>
      <c r="O5113">
        <v>-0.13205129999999901</v>
      </c>
      <c r="P5113">
        <v>0.99966650000000001</v>
      </c>
      <c r="Q5113">
        <v>-1.472305E-2</v>
      </c>
      <c r="R5113">
        <v>-2.1224549999999998E-2</v>
      </c>
      <c r="S5113">
        <v>3.0074770000000002</v>
      </c>
      <c r="T5113">
        <v>-0.28781899999999999</v>
      </c>
      <c r="U5113">
        <v>0.46832279999999998</v>
      </c>
      <c r="V5113">
        <v>-0.1109492</v>
      </c>
      <c r="W5113">
        <v>-1.6075860000000001E-2</v>
      </c>
      <c r="X5113">
        <v>0.99369600000000002</v>
      </c>
      <c r="Y5113">
        <v>-0.28114630000000002</v>
      </c>
      <c r="Z5113">
        <v>2.588064E-2</v>
      </c>
      <c r="AA5113">
        <v>0.95931580000000005</v>
      </c>
      <c r="AB5113">
        <v>23</v>
      </c>
      <c r="AC5113">
        <v>11.459300000000001</v>
      </c>
      <c r="AD5113">
        <v>-1.1091950819659999</v>
      </c>
      <c r="AE5113">
        <v>1.82161</v>
      </c>
      <c r="AF5113">
        <v>-3.2888202979587402</v>
      </c>
      <c r="AG5113">
        <v>-1.1091950819659999</v>
      </c>
      <c r="AH5113">
        <v>11.0177209709494</v>
      </c>
      <c r="AI5113">
        <v>95.510136539025893</v>
      </c>
      <c r="AJ5113">
        <v>106.620510370159</v>
      </c>
      <c r="AK5113">
        <v>11.5514859682996</v>
      </c>
      <c r="AL5113">
        <v>90.921118654236807</v>
      </c>
      <c r="AM5113">
        <v>96.370862677937197</v>
      </c>
      <c r="AN5113">
        <v>0.99999994933568803</v>
      </c>
    </row>
    <row r="5114" spans="1:40" x14ac:dyDescent="0.3">
      <c r="A5114" t="str">
        <f>"20200111160604746"</f>
        <v>20200111160604746</v>
      </c>
      <c r="B5114" t="str">
        <f>"1578729964736905"</f>
        <v>1578729964736905</v>
      </c>
      <c r="C5114" t="s">
        <v>40</v>
      </c>
      <c r="D5114">
        <v>5.3484970000000001</v>
      </c>
      <c r="E5114">
        <v>0.43501079999999998</v>
      </c>
      <c r="F5114" t="s">
        <v>87</v>
      </c>
      <c r="G5114">
        <v>-371.47269999999997</v>
      </c>
      <c r="H5114" s="1">
        <v>-4.0802969999999998E-6</v>
      </c>
      <c r="I5114">
        <v>19.87528</v>
      </c>
      <c r="J5114">
        <v>-382.80799999999999</v>
      </c>
      <c r="K5114">
        <v>1.109289</v>
      </c>
      <c r="L5114">
        <v>18.059539999999998</v>
      </c>
      <c r="M5114">
        <v>0.99129120000000004</v>
      </c>
      <c r="N5114">
        <v>0</v>
      </c>
      <c r="O5114">
        <v>-0.13168569999999999</v>
      </c>
      <c r="P5114">
        <v>0.99967079999999997</v>
      </c>
      <c r="Q5114">
        <v>-1.5831339999999999E-2</v>
      </c>
      <c r="R5114">
        <v>-2.0191069999999998E-2</v>
      </c>
      <c r="S5114">
        <v>3.0066830000000002</v>
      </c>
      <c r="T5114">
        <v>-0.29078900000000002</v>
      </c>
      <c r="U5114">
        <v>0.4714661</v>
      </c>
      <c r="V5114">
        <v>-0.1116055</v>
      </c>
      <c r="W5114">
        <v>-1.6832099999999999E-2</v>
      </c>
      <c r="X5114">
        <v>0.99360999999999999</v>
      </c>
      <c r="Y5114">
        <v>-0.28177000000000002</v>
      </c>
      <c r="Z5114">
        <v>2.6146320000000001E-2</v>
      </c>
      <c r="AA5114">
        <v>0.95912560000000002</v>
      </c>
      <c r="AB5114">
        <v>23</v>
      </c>
      <c r="AC5114">
        <v>11.3353</v>
      </c>
      <c r="AD5114">
        <v>-1.109293080297</v>
      </c>
      <c r="AE5114">
        <v>1.8157399999999999</v>
      </c>
      <c r="AF5114">
        <v>-3.2621650712902701</v>
      </c>
      <c r="AG5114">
        <v>-1.109293080297</v>
      </c>
      <c r="AH5114">
        <v>10.8957422929121</v>
      </c>
      <c r="AI5114">
        <v>95.570565783446398</v>
      </c>
      <c r="AJ5114">
        <v>106.66760272160499</v>
      </c>
      <c r="AK5114">
        <v>11.427574204698599</v>
      </c>
      <c r="AL5114">
        <v>90.964453864706698</v>
      </c>
      <c r="AM5114">
        <v>96.408785820858398</v>
      </c>
      <c r="AN5114">
        <v>0.999999969660329</v>
      </c>
    </row>
    <row r="5115" spans="1:40" x14ac:dyDescent="0.3">
      <c r="A5115" t="str">
        <f>"20200111160604758"</f>
        <v>20200111160604758</v>
      </c>
      <c r="B5115" t="str">
        <f>"1578729964747642"</f>
        <v>1578729964747642</v>
      </c>
      <c r="C5115" t="s">
        <v>40</v>
      </c>
      <c r="D5115">
        <v>5.1785620000000003</v>
      </c>
      <c r="E5115">
        <v>0.4349499</v>
      </c>
      <c r="F5115" t="s">
        <v>87</v>
      </c>
      <c r="G5115">
        <v>-371.39499999999998</v>
      </c>
      <c r="H5115" s="1">
        <v>-4.1078720000000002E-6</v>
      </c>
      <c r="I5115">
        <v>19.840869999999999</v>
      </c>
      <c r="J5115">
        <v>-382.68029999999999</v>
      </c>
      <c r="K5115">
        <v>1.1093949999999999</v>
      </c>
      <c r="L5115">
        <v>18.043089999999999</v>
      </c>
      <c r="M5115">
        <v>0.99134359999999999</v>
      </c>
      <c r="N5115">
        <v>0</v>
      </c>
      <c r="O5115">
        <v>-0.13129209999999999</v>
      </c>
      <c r="P5115">
        <v>0.99967439999999996</v>
      </c>
      <c r="Q5115">
        <v>-1.6927870000000001E-2</v>
      </c>
      <c r="R5115">
        <v>-1.910164E-2</v>
      </c>
      <c r="S5115">
        <v>3.0058289999999999</v>
      </c>
      <c r="T5115">
        <v>-0.2921531</v>
      </c>
      <c r="U5115">
        <v>0.46914670000000003</v>
      </c>
      <c r="V5115">
        <v>-0.11228970000000001</v>
      </c>
      <c r="W5115">
        <v>-1.7523159999999999E-2</v>
      </c>
      <c r="X5115">
        <v>0.99352099999999999</v>
      </c>
      <c r="Y5115">
        <v>-0.28069620000000001</v>
      </c>
      <c r="Z5115">
        <v>2.6187510000000001E-2</v>
      </c>
      <c r="AA5115">
        <v>0.95943929999999999</v>
      </c>
      <c r="AB5115">
        <v>23</v>
      </c>
      <c r="AC5115">
        <v>11.285299999999999</v>
      </c>
      <c r="AD5115">
        <v>-1.109399107872</v>
      </c>
      <c r="AE5115">
        <v>1.7977799999999999</v>
      </c>
      <c r="AF5115">
        <v>-3.2334150075577601</v>
      </c>
      <c r="AG5115">
        <v>-1.109399107872</v>
      </c>
      <c r="AH5115">
        <v>10.8493257908172</v>
      </c>
      <c r="AI5115">
        <v>95.596866300498107</v>
      </c>
      <c r="AJ5115">
        <v>106.595588889277</v>
      </c>
      <c r="AK5115">
        <v>11.375131168779401</v>
      </c>
      <c r="AL5115">
        <v>91.004054492872697</v>
      </c>
      <c r="AM5115">
        <v>96.448317880040804</v>
      </c>
      <c r="AN5115">
        <v>1.0000000076517299</v>
      </c>
    </row>
    <row r="5116" spans="1:40" x14ac:dyDescent="0.3">
      <c r="A5116" t="str">
        <f>"20200111160604776"</f>
        <v>20200111160604776</v>
      </c>
      <c r="B5116" t="str">
        <f>"1578729964767164"</f>
        <v>1578729964767164</v>
      </c>
      <c r="C5116" t="s">
        <v>40</v>
      </c>
      <c r="D5116">
        <v>5.129988</v>
      </c>
      <c r="E5116">
        <v>0.43460789999999999</v>
      </c>
      <c r="F5116" t="s">
        <v>87</v>
      </c>
      <c r="G5116">
        <v>-371.29759999999999</v>
      </c>
      <c r="H5116" s="1">
        <v>-4.152091E-6</v>
      </c>
      <c r="I5116">
        <v>19.834140000000001</v>
      </c>
      <c r="J5116">
        <v>-382.48860000000002</v>
      </c>
      <c r="K5116">
        <v>1.1095660000000001</v>
      </c>
      <c r="L5116">
        <v>18.018460000000001</v>
      </c>
      <c r="M5116">
        <v>0.99143029999999999</v>
      </c>
      <c r="N5116">
        <v>0</v>
      </c>
      <c r="O5116">
        <v>-0.13063569999999999</v>
      </c>
      <c r="P5116">
        <v>0.99966860000000002</v>
      </c>
      <c r="Q5116">
        <v>-1.9094090000000001E-2</v>
      </c>
      <c r="R5116">
        <v>-1.7263290000000001E-2</v>
      </c>
      <c r="S5116">
        <v>3.0050349999999999</v>
      </c>
      <c r="T5116">
        <v>-0.29288199999999998</v>
      </c>
      <c r="U5116">
        <v>0.47283940000000002</v>
      </c>
      <c r="V5116">
        <v>-0.1134496</v>
      </c>
      <c r="W5116">
        <v>-1.9000900000000001E-2</v>
      </c>
      <c r="X5116">
        <v>0.99336210000000003</v>
      </c>
      <c r="Y5116">
        <v>-0.28124060000000001</v>
      </c>
      <c r="Z5116">
        <v>2.62201E-2</v>
      </c>
      <c r="AA5116">
        <v>0.95927899999999999</v>
      </c>
      <c r="AB5116">
        <v>23</v>
      </c>
      <c r="AC5116">
        <v>11.191000000000001</v>
      </c>
      <c r="AD5116">
        <v>-1.109570152091</v>
      </c>
      <c r="AE5116">
        <v>1.81567999999999</v>
      </c>
      <c r="AF5116">
        <v>-3.2311161965743098</v>
      </c>
      <c r="AG5116">
        <v>-1.109570152091</v>
      </c>
      <c r="AH5116">
        <v>10.754891978687001</v>
      </c>
      <c r="AI5116">
        <v>95.642857146478804</v>
      </c>
      <c r="AJ5116">
        <v>106.721961750503</v>
      </c>
      <c r="AK5116">
        <v>11.2844565341625</v>
      </c>
      <c r="AL5116">
        <v>91.088736836916198</v>
      </c>
      <c r="AM5116">
        <v>96.515389412715393</v>
      </c>
      <c r="AN5116">
        <v>1.00000005382868</v>
      </c>
    </row>
    <row r="5117" spans="1:40" x14ac:dyDescent="0.3">
      <c r="A5117" t="str">
        <f>"20200111160604790"</f>
        <v>20200111160604790</v>
      </c>
      <c r="B5117" t="str">
        <f>"1578729964787657"</f>
        <v>1578729964787657</v>
      </c>
      <c r="C5117" t="s">
        <v>40</v>
      </c>
      <c r="D5117">
        <v>5.2024080000000001</v>
      </c>
      <c r="E5117">
        <v>0.43449070000000001</v>
      </c>
      <c r="F5117" t="s">
        <v>87</v>
      </c>
      <c r="G5117">
        <v>-371.2876</v>
      </c>
      <c r="H5117" s="1">
        <v>-4.150909E-6</v>
      </c>
      <c r="I5117">
        <v>19.811820000000001</v>
      </c>
      <c r="J5117">
        <v>-382.35759999999999</v>
      </c>
      <c r="K5117">
        <v>1.1096809999999999</v>
      </c>
      <c r="L5117">
        <v>18.001799999999999</v>
      </c>
      <c r="M5117">
        <v>0.99149500000000002</v>
      </c>
      <c r="N5117">
        <v>0</v>
      </c>
      <c r="O5117">
        <v>-0.1301426</v>
      </c>
      <c r="P5117">
        <v>0.99966259999999996</v>
      </c>
      <c r="Q5117">
        <v>-2.0253520000000001E-2</v>
      </c>
      <c r="R5117">
        <v>-1.6263099999999999E-2</v>
      </c>
      <c r="S5117">
        <v>3.0036010000000002</v>
      </c>
      <c r="T5117">
        <v>-0.29753610000000003</v>
      </c>
      <c r="U5117">
        <v>0.48089599999999999</v>
      </c>
      <c r="V5117">
        <v>-0.11394459999999999</v>
      </c>
      <c r="W5117">
        <v>-1.9645599999999999E-2</v>
      </c>
      <c r="X5117">
        <v>0.99329290000000003</v>
      </c>
      <c r="Y5117">
        <v>-0.28327380000000002</v>
      </c>
      <c r="Z5117">
        <v>2.66938E-2</v>
      </c>
      <c r="AA5117">
        <v>0.95866750000000001</v>
      </c>
      <c r="AB5117">
        <v>24</v>
      </c>
      <c r="AC5117">
        <v>11.069999999999901</v>
      </c>
      <c r="AD5117">
        <v>-1.109685150909</v>
      </c>
      <c r="AE5117">
        <v>1.81002</v>
      </c>
      <c r="AF5117">
        <v>-3.2039484849804798</v>
      </c>
      <c r="AG5117">
        <v>-1.109685150909</v>
      </c>
      <c r="AH5117">
        <v>10.636196361147</v>
      </c>
      <c r="AI5117">
        <v>95.704754993423805</v>
      </c>
      <c r="AJ5117">
        <v>106.763912039979</v>
      </c>
      <c r="AK5117">
        <v>11.163572907516301</v>
      </c>
      <c r="AL5117">
        <v>91.125682323326302</v>
      </c>
      <c r="AM5117">
        <v>96.544023068611196</v>
      </c>
      <c r="AN5117">
        <v>1.00000005332946</v>
      </c>
    </row>
    <row r="5118" spans="1:40" x14ac:dyDescent="0.3">
      <c r="A5118" t="str">
        <f>"20200111160604802"</f>
        <v>20200111160604802</v>
      </c>
      <c r="B5118" t="str">
        <f>"1578729964797417"</f>
        <v>1578729964797417</v>
      </c>
      <c r="C5118" t="s">
        <v>40</v>
      </c>
      <c r="D5118">
        <v>5.1949620000000003</v>
      </c>
      <c r="E5118">
        <v>0.43447350000000001</v>
      </c>
      <c r="F5118" t="s">
        <v>87</v>
      </c>
      <c r="G5118">
        <v>-371.20280000000002</v>
      </c>
      <c r="H5118" s="1">
        <v>-4.1884810000000003E-6</v>
      </c>
      <c r="I5118">
        <v>19.802409999999998</v>
      </c>
      <c r="J5118">
        <v>-382.22800000000001</v>
      </c>
      <c r="K5118">
        <v>1.1097950000000001</v>
      </c>
      <c r="L5118">
        <v>17.985320000000002</v>
      </c>
      <c r="M5118">
        <v>0.99156239999999995</v>
      </c>
      <c r="N5118">
        <v>0</v>
      </c>
      <c r="O5118">
        <v>-0.1296243</v>
      </c>
      <c r="P5118">
        <v>0.99964679999999995</v>
      </c>
      <c r="Q5118">
        <v>-2.174183E-2</v>
      </c>
      <c r="R5118">
        <v>-1.528914E-2</v>
      </c>
      <c r="S5118">
        <v>3.0028079999999999</v>
      </c>
      <c r="T5118">
        <v>-0.29871959999999997</v>
      </c>
      <c r="U5118">
        <v>0.48471069999999999</v>
      </c>
      <c r="V5118">
        <v>-0.11438619999999999</v>
      </c>
      <c r="W5118">
        <v>-2.0598809999999999E-2</v>
      </c>
      <c r="X5118">
        <v>0.99322279999999996</v>
      </c>
      <c r="Y5118">
        <v>-0.28398220000000002</v>
      </c>
      <c r="Z5118">
        <v>2.678792E-2</v>
      </c>
      <c r="AA5118">
        <v>0.95845530000000001</v>
      </c>
      <c r="AB5118">
        <v>24</v>
      </c>
      <c r="AC5118">
        <v>11.0251999999999</v>
      </c>
      <c r="AD5118">
        <v>-1.1097991884809999</v>
      </c>
      <c r="AE5118">
        <v>1.8170900000000001</v>
      </c>
      <c r="AF5118">
        <v>-3.1993345205511701</v>
      </c>
      <c r="AG5118">
        <v>-1.1097991884809999</v>
      </c>
      <c r="AH5118">
        <v>10.592156379485701</v>
      </c>
      <c r="AI5118">
        <v>95.7276164173648</v>
      </c>
      <c r="AJ5118">
        <v>106.806811021204</v>
      </c>
      <c r="AK5118">
        <v>11.1203045093479</v>
      </c>
      <c r="AL5118">
        <v>91.180308329593004</v>
      </c>
      <c r="AM5118">
        <v>96.569623204330398</v>
      </c>
      <c r="AN5118">
        <v>1.0000000220818399</v>
      </c>
    </row>
    <row r="5119" spans="1:40" x14ac:dyDescent="0.3">
      <c r="A5119" t="str">
        <f>"20200111160604814"</f>
        <v>20200111160604814</v>
      </c>
      <c r="B5119" t="str">
        <f>"1578729964807177"</f>
        <v>1578729964807177</v>
      </c>
      <c r="C5119" t="s">
        <v>40</v>
      </c>
      <c r="D5119">
        <v>5.1932929999999997</v>
      </c>
      <c r="E5119">
        <v>0.43447010000000003</v>
      </c>
      <c r="F5119" t="s">
        <v>87</v>
      </c>
      <c r="G5119">
        <v>-371.21159999999998</v>
      </c>
      <c r="H5119" s="1">
        <v>-4.1770799999999997E-6</v>
      </c>
      <c r="I5119">
        <v>19.775279999999999</v>
      </c>
      <c r="J5119">
        <v>-382.1019</v>
      </c>
      <c r="K5119">
        <v>1.1099079999999999</v>
      </c>
      <c r="L5119">
        <v>17.969449999999998</v>
      </c>
      <c r="M5119">
        <v>0.99163279999999998</v>
      </c>
      <c r="N5119">
        <v>0</v>
      </c>
      <c r="O5119">
        <v>-0.12907679999999999</v>
      </c>
      <c r="P5119">
        <v>0.99963429999999998</v>
      </c>
      <c r="Q5119">
        <v>-2.29064E-2</v>
      </c>
      <c r="R5119">
        <v>-1.437165E-2</v>
      </c>
      <c r="S5119">
        <v>3.0019529999999999</v>
      </c>
      <c r="T5119">
        <v>-0.30242000000000002</v>
      </c>
      <c r="U5119">
        <v>0.48776249999999999</v>
      </c>
      <c r="V5119">
        <v>-0.1147437</v>
      </c>
      <c r="W5119">
        <v>-2.121342E-2</v>
      </c>
      <c r="X5119">
        <v>0.99316859999999996</v>
      </c>
      <c r="Y5119">
        <v>-0.28439579999999998</v>
      </c>
      <c r="Z5119">
        <v>2.7089809999999999E-2</v>
      </c>
      <c r="AA5119">
        <v>0.95832410000000001</v>
      </c>
      <c r="AB5119">
        <v>24</v>
      </c>
      <c r="AC5119">
        <v>10.8903</v>
      </c>
      <c r="AD5119">
        <v>-1.10991217707999</v>
      </c>
      <c r="AE5119">
        <v>1.80583</v>
      </c>
      <c r="AF5119">
        <v>-3.1644212356729899</v>
      </c>
      <c r="AG5119">
        <v>-1.10991217707999</v>
      </c>
      <c r="AH5119">
        <v>10.4603607829656</v>
      </c>
      <c r="AI5119">
        <v>95.799132633181998</v>
      </c>
      <c r="AJ5119">
        <v>106.83137942737</v>
      </c>
      <c r="AK5119">
        <v>10.9847446264087</v>
      </c>
      <c r="AL5119">
        <v>91.215530617028094</v>
      </c>
      <c r="AM5119">
        <v>96.590331898036695</v>
      </c>
      <c r="AN5119">
        <v>0.99999999695187303</v>
      </c>
    </row>
    <row r="5120" spans="1:40" x14ac:dyDescent="0.3">
      <c r="A5120" t="str">
        <f>"20200111160604826"</f>
        <v>20200111160604826</v>
      </c>
      <c r="B5120" t="str">
        <f>"1578729964817621"</f>
        <v>1578729964817621</v>
      </c>
      <c r="C5120" t="s">
        <v>40</v>
      </c>
      <c r="D5120">
        <v>5.3210639999999998</v>
      </c>
      <c r="E5120">
        <v>0.43440030000000002</v>
      </c>
      <c r="F5120" t="s">
        <v>87</v>
      </c>
      <c r="G5120">
        <v>-371.15100000000001</v>
      </c>
      <c r="H5120" s="1">
        <v>-4.2013459999999999E-6</v>
      </c>
      <c r="I5120">
        <v>19.758790000000001</v>
      </c>
      <c r="J5120">
        <v>-381.97219999999999</v>
      </c>
      <c r="K5120">
        <v>1.110023</v>
      </c>
      <c r="L5120">
        <v>17.953189999999999</v>
      </c>
      <c r="M5120">
        <v>0.9917068</v>
      </c>
      <c r="N5120">
        <v>0</v>
      </c>
      <c r="O5120">
        <v>-0.128498</v>
      </c>
      <c r="P5120">
        <v>0.99961809999999995</v>
      </c>
      <c r="Q5120">
        <v>-2.4223689999999999E-2</v>
      </c>
      <c r="R5120">
        <v>-1.3312620000000001E-2</v>
      </c>
      <c r="S5120">
        <v>3.0011899999999998</v>
      </c>
      <c r="T5120">
        <v>-0.30418289999999998</v>
      </c>
      <c r="U5120">
        <v>0.49038700000000002</v>
      </c>
      <c r="V5120">
        <v>-0.115210199999999</v>
      </c>
      <c r="W5120">
        <v>-2.1955410000000002E-2</v>
      </c>
      <c r="X5120">
        <v>0.9930985</v>
      </c>
      <c r="Y5120">
        <v>-0.28466859999999999</v>
      </c>
      <c r="Z5120">
        <v>2.7207680000000001E-2</v>
      </c>
      <c r="AA5120">
        <v>0.95823979999999997</v>
      </c>
      <c r="AB5120">
        <v>24</v>
      </c>
      <c r="AC5120">
        <v>10.8211999999999</v>
      </c>
      <c r="AD5120">
        <v>-1.110027201346</v>
      </c>
      <c r="AE5120">
        <v>1.8056000000000001</v>
      </c>
      <c r="AF5120">
        <v>-3.1489011154606001</v>
      </c>
      <c r="AG5120">
        <v>-1.110027201346</v>
      </c>
      <c r="AH5120">
        <v>10.3930743373702</v>
      </c>
      <c r="AI5120">
        <v>95.836271633742996</v>
      </c>
      <c r="AJ5120">
        <v>106.855796612357</v>
      </c>
      <c r="AK5120">
        <v>10.916214215779201</v>
      </c>
      <c r="AL5120">
        <v>91.258053377981298</v>
      </c>
      <c r="AM5120">
        <v>96.617351238689395</v>
      </c>
      <c r="AN5120">
        <v>1.00000003045727</v>
      </c>
    </row>
    <row r="5121" spans="1:40" x14ac:dyDescent="0.3">
      <c r="A5121" t="str">
        <f>"20200111160604844"</f>
        <v>20200111160604844</v>
      </c>
      <c r="B5121" t="str">
        <f>"1578729964837143"</f>
        <v>1578729964837143</v>
      </c>
      <c r="C5121" t="s">
        <v>40</v>
      </c>
      <c r="D5121">
        <v>4.7990309999999896</v>
      </c>
      <c r="E5121">
        <v>0.43315239999999999</v>
      </c>
      <c r="F5121" t="s">
        <v>87</v>
      </c>
      <c r="G5121">
        <v>-371.09899999999999</v>
      </c>
      <c r="H5121" s="1">
        <v>-4.2218129999999997E-6</v>
      </c>
      <c r="I5121">
        <v>19.743289999999998</v>
      </c>
      <c r="J5121">
        <v>-381.78339999999997</v>
      </c>
      <c r="K5121">
        <v>1.1101909999999999</v>
      </c>
      <c r="L5121">
        <v>17.92972</v>
      </c>
      <c r="M5121">
        <v>0.99181949999999997</v>
      </c>
      <c r="N5121">
        <v>0</v>
      </c>
      <c r="O5121">
        <v>-0.12760439999999901</v>
      </c>
      <c r="P5121">
        <v>0.99960959999999999</v>
      </c>
      <c r="Q5121">
        <v>-2.5393700000000002E-2</v>
      </c>
      <c r="R5121">
        <v>-1.1647619999999999E-2</v>
      </c>
      <c r="S5121">
        <v>3.0003359999999999</v>
      </c>
      <c r="T5121">
        <v>-0.30629889999999999</v>
      </c>
      <c r="U5121">
        <v>0.49395749999999999</v>
      </c>
      <c r="V5121">
        <v>-0.1159628</v>
      </c>
      <c r="W5121">
        <v>-2.226011E-2</v>
      </c>
      <c r="X5121">
        <v>0.99300409999999995</v>
      </c>
      <c r="Y5121">
        <v>-0.2849333</v>
      </c>
      <c r="Z5121">
        <v>2.732443E-2</v>
      </c>
      <c r="AA5121">
        <v>0.95815779999999995</v>
      </c>
      <c r="AB5121">
        <v>24</v>
      </c>
      <c r="AC5121">
        <v>10.684399999999901</v>
      </c>
      <c r="AD5121">
        <v>-1.110195221813</v>
      </c>
      <c r="AE5121">
        <v>1.8135699999999899</v>
      </c>
      <c r="AF5121">
        <v>-3.1292878724959001</v>
      </c>
      <c r="AG5121">
        <v>-1.110195221813</v>
      </c>
      <c r="AH5121">
        <v>10.2579821917756</v>
      </c>
      <c r="AI5121">
        <v>95.910085101711402</v>
      </c>
      <c r="AJ5121">
        <v>106.964788788227</v>
      </c>
      <c r="AK5121">
        <v>10.781983800130201</v>
      </c>
      <c r="AL5121">
        <v>91.275515691638503</v>
      </c>
      <c r="AM5121">
        <v>96.660818832225601</v>
      </c>
      <c r="AN5121">
        <v>1.0000000130489299</v>
      </c>
    </row>
    <row r="5122" spans="1:40" x14ac:dyDescent="0.3">
      <c r="A5122" t="str">
        <f>"20200111160604856"</f>
        <v>20200111160604856</v>
      </c>
      <c r="B5122" t="str">
        <f>"1578729964846901"</f>
        <v>1578729964846901</v>
      </c>
      <c r="C5122" t="s">
        <v>40</v>
      </c>
      <c r="D5122">
        <v>4.8405519999999997</v>
      </c>
      <c r="E5122">
        <v>0.43204140000000002</v>
      </c>
      <c r="F5122" t="s">
        <v>87</v>
      </c>
      <c r="G5122">
        <v>-370.79039999999998</v>
      </c>
      <c r="H5122" s="1">
        <v>-4.3810769999999999E-6</v>
      </c>
      <c r="I5122">
        <v>19.793600000000001</v>
      </c>
      <c r="J5122">
        <v>-381.65230000000003</v>
      </c>
      <c r="K5122">
        <v>1.1103080000000001</v>
      </c>
      <c r="L5122">
        <v>17.91357</v>
      </c>
      <c r="M5122">
        <v>0.99190140000000004</v>
      </c>
      <c r="N5122">
        <v>0</v>
      </c>
      <c r="O5122">
        <v>-0.12694810000000001</v>
      </c>
      <c r="P5122">
        <v>0.99960729999999998</v>
      </c>
      <c r="Q5122">
        <v>-2.5939830000000001E-2</v>
      </c>
      <c r="R5122">
        <v>-1.060987E-2</v>
      </c>
      <c r="S5122">
        <v>2.9993590000000001</v>
      </c>
      <c r="T5122">
        <v>-0.3029075</v>
      </c>
      <c r="U5122">
        <v>0.50854489999999997</v>
      </c>
      <c r="V5122">
        <v>-0.1163346</v>
      </c>
      <c r="W5122">
        <v>-2.219343E-2</v>
      </c>
      <c r="X5122">
        <v>0.99296209999999996</v>
      </c>
      <c r="Y5122">
        <v>-0.28891070000000002</v>
      </c>
      <c r="Z5122">
        <v>2.7155700000000001E-2</v>
      </c>
      <c r="AA5122">
        <v>0.95697089999999996</v>
      </c>
      <c r="AB5122">
        <v>24</v>
      </c>
      <c r="AC5122">
        <v>10.8619</v>
      </c>
      <c r="AD5122">
        <v>-1.1103123810769999</v>
      </c>
      <c r="AE5122">
        <v>1.8800300000000001</v>
      </c>
      <c r="AF5122">
        <v>-3.2111499252146101</v>
      </c>
      <c r="AG5122">
        <v>-1.1103123810769999</v>
      </c>
      <c r="AH5122">
        <v>10.429541356365</v>
      </c>
      <c r="AI5122">
        <v>95.809570659978206</v>
      </c>
      <c r="AJ5122">
        <v>107.11306785907</v>
      </c>
      <c r="AK5122">
        <v>10.969029598369501</v>
      </c>
      <c r="AL5122">
        <v>91.271694269222493</v>
      </c>
      <c r="AM5122">
        <v>96.682262021511093</v>
      </c>
      <c r="AN5122">
        <v>1.00000000976436</v>
      </c>
    </row>
    <row r="5123" spans="1:40" x14ac:dyDescent="0.3">
      <c r="A5123" t="str">
        <f>"20200111160604870"</f>
        <v>20200111160604870</v>
      </c>
      <c r="B5123" t="str">
        <f>"1578729964867397"</f>
        <v>1578729964867397</v>
      </c>
      <c r="C5123" t="s">
        <v>40</v>
      </c>
      <c r="D5123">
        <v>4.8384720000000003</v>
      </c>
      <c r="E5123">
        <v>0.43104959999999998</v>
      </c>
      <c r="F5123" t="s">
        <v>87</v>
      </c>
      <c r="G5123">
        <v>-370.5206</v>
      </c>
      <c r="H5123" s="1">
        <v>-4.5223510000000002E-6</v>
      </c>
      <c r="I5123">
        <v>19.845179999999999</v>
      </c>
      <c r="J5123">
        <v>-381.51949999999999</v>
      </c>
      <c r="K5123">
        <v>1.11042</v>
      </c>
      <c r="L5123">
        <v>17.89734</v>
      </c>
      <c r="M5123">
        <v>0.99198569999999997</v>
      </c>
      <c r="N5123">
        <v>0</v>
      </c>
      <c r="O5123">
        <v>-0.12626589999999999</v>
      </c>
      <c r="P5123">
        <v>0.99960579999999999</v>
      </c>
      <c r="Q5123">
        <v>-2.631754E-2</v>
      </c>
      <c r="R5123">
        <v>-9.7940079999999999E-3</v>
      </c>
      <c r="S5123">
        <v>2.9989319999999999</v>
      </c>
      <c r="T5123">
        <v>-0.2991241</v>
      </c>
      <c r="U5123">
        <v>0.52038569999999995</v>
      </c>
      <c r="V5123">
        <v>-0.1164598</v>
      </c>
      <c r="W5123">
        <v>-2.1951680000000001E-2</v>
      </c>
      <c r="X5123">
        <v>0.99295279999999997</v>
      </c>
      <c r="Y5123">
        <v>-0.29198499999999999</v>
      </c>
      <c r="Z5123">
        <v>2.6898390000000001E-2</v>
      </c>
      <c r="AA5123">
        <v>0.95604460000000002</v>
      </c>
      <c r="AB5123">
        <v>24</v>
      </c>
      <c r="AC5123">
        <v>10.9988999999999</v>
      </c>
      <c r="AD5123">
        <v>-1.1104245223510001</v>
      </c>
      <c r="AE5123">
        <v>1.94784</v>
      </c>
      <c r="AF5123">
        <v>-3.2885515687548001</v>
      </c>
      <c r="AG5123">
        <v>-1.1104245223510001</v>
      </c>
      <c r="AH5123">
        <v>10.5605542541979</v>
      </c>
      <c r="AI5123">
        <v>95.732907429752501</v>
      </c>
      <c r="AJ5123">
        <v>107.29656369126501</v>
      </c>
      <c r="AK5123">
        <v>11.116335736026301</v>
      </c>
      <c r="AL5123">
        <v>91.257839636243304</v>
      </c>
      <c r="AM5123">
        <v>96.689450458346897</v>
      </c>
      <c r="AN5123">
        <v>1.00000001214935</v>
      </c>
    </row>
    <row r="5124" spans="1:40" x14ac:dyDescent="0.3">
      <c r="A5124" t="str">
        <f>"20200111160604883"</f>
        <v>20200111160604883</v>
      </c>
      <c r="B5124" t="str">
        <f>"1578729964877157"</f>
        <v>1578729964877157</v>
      </c>
      <c r="C5124" t="s">
        <v>40</v>
      </c>
      <c r="D5124">
        <v>4.8782909999999999</v>
      </c>
      <c r="E5124">
        <v>0.41544500000000001</v>
      </c>
      <c r="F5124" t="s">
        <v>87</v>
      </c>
      <c r="G5124">
        <v>-370.23899999999998</v>
      </c>
      <c r="H5124" s="1">
        <v>-4.6682999999999998E-6</v>
      </c>
      <c r="I5124">
        <v>19.893419999999999</v>
      </c>
      <c r="J5124">
        <v>-381.38729999999998</v>
      </c>
      <c r="K5124">
        <v>1.1105309999999999</v>
      </c>
      <c r="L5124">
        <v>17.881260000000001</v>
      </c>
      <c r="M5124">
        <v>0.99207109999999998</v>
      </c>
      <c r="N5124">
        <v>0</v>
      </c>
      <c r="O5124">
        <v>-0.1255694</v>
      </c>
      <c r="P5124">
        <v>0.99959869999999995</v>
      </c>
      <c r="Q5124">
        <v>-2.6873310000000001E-2</v>
      </c>
      <c r="R5124">
        <v>-8.9709799999999999E-3</v>
      </c>
      <c r="S5124">
        <v>2.9986570000000001</v>
      </c>
      <c r="T5124">
        <v>-0.29517910000000003</v>
      </c>
      <c r="U5124">
        <v>0.53060909999999994</v>
      </c>
      <c r="V5124">
        <v>-0.116577399999999</v>
      </c>
      <c r="W5124">
        <v>-2.1892209999999999E-2</v>
      </c>
      <c r="X5124">
        <v>0.9929403</v>
      </c>
      <c r="Y5124">
        <v>-0.2945354</v>
      </c>
      <c r="Z5124">
        <v>2.659713E-2</v>
      </c>
      <c r="AA5124">
        <v>0.95527030000000002</v>
      </c>
      <c r="AB5124">
        <v>23</v>
      </c>
      <c r="AC5124">
        <v>11.1482999999999</v>
      </c>
      <c r="AD5124">
        <v>-1.1105356682999901</v>
      </c>
      <c r="AE5124">
        <v>2.0121600000000002</v>
      </c>
      <c r="AF5124">
        <v>-3.36381104040681</v>
      </c>
      <c r="AG5124">
        <v>-1.1105356682999901</v>
      </c>
      <c r="AH5124">
        <v>10.7045169352408</v>
      </c>
      <c r="AI5124">
        <v>95.652322184629796</v>
      </c>
      <c r="AJ5124">
        <v>107.444919769732</v>
      </c>
      <c r="AK5124">
        <v>11.2754244710781</v>
      </c>
      <c r="AL5124">
        <v>91.254431453474396</v>
      </c>
      <c r="AM5124">
        <v>96.696227623145205</v>
      </c>
      <c r="AN5124">
        <v>0.99999999920676697</v>
      </c>
    </row>
    <row r="5125" spans="1:40" x14ac:dyDescent="0.3">
      <c r="A5125" t="str">
        <f>"20200111160604899"</f>
        <v>20200111160604899</v>
      </c>
      <c r="B5125" t="str">
        <f>"1578729964897653"</f>
        <v>1578729964897653</v>
      </c>
      <c r="C5125" t="s">
        <v>40</v>
      </c>
      <c r="D5125">
        <v>4.7851889999999999</v>
      </c>
      <c r="E5125">
        <v>0.41480400000000001</v>
      </c>
      <c r="F5125" t="s">
        <v>85</v>
      </c>
      <c r="G5125">
        <v>-365.68990000000002</v>
      </c>
      <c r="H5125" s="1">
        <v>-2.4862609999999998E-6</v>
      </c>
      <c r="I5125">
        <v>21.301570000000002</v>
      </c>
      <c r="J5125">
        <v>-381.214</v>
      </c>
      <c r="K5125">
        <v>1.110665</v>
      </c>
      <c r="L5125">
        <v>17.860379999999999</v>
      </c>
      <c r="M5125">
        <v>0.99218870000000003</v>
      </c>
      <c r="N5125">
        <v>0</v>
      </c>
      <c r="O5125">
        <v>-0.12460069999999999</v>
      </c>
      <c r="P5125">
        <v>0.99958860000000005</v>
      </c>
      <c r="Q5125">
        <v>-2.7654479999999999E-2</v>
      </c>
      <c r="R5125">
        <v>-7.6306239999999999E-3</v>
      </c>
      <c r="S5125">
        <v>3.0013429999999999</v>
      </c>
      <c r="T5125">
        <v>-0.21233340000000001</v>
      </c>
      <c r="U5125">
        <v>0.65396119999999902</v>
      </c>
      <c r="V5125">
        <v>-0.11693530000000001</v>
      </c>
      <c r="W5125">
        <v>-2.1888089999999999E-2</v>
      </c>
      <c r="X5125">
        <v>0.99289830000000001</v>
      </c>
      <c r="Y5125">
        <v>-0.33188610000000002</v>
      </c>
      <c r="Z5125">
        <v>2.0304490000000001E-2</v>
      </c>
      <c r="AA5125">
        <v>0.94310090000000002</v>
      </c>
      <c r="AB5125">
        <v>23</v>
      </c>
      <c r="AC5125">
        <v>15.524099999999899</v>
      </c>
      <c r="AD5125">
        <v>-1.110667486261</v>
      </c>
      <c r="AE5125">
        <v>3.4411900000000002</v>
      </c>
      <c r="AF5125">
        <v>-5.32275125297737</v>
      </c>
      <c r="AG5125">
        <v>-1.110667486261</v>
      </c>
      <c r="AH5125">
        <v>14.9016295377417</v>
      </c>
      <c r="AI5125">
        <v>94.015006968900096</v>
      </c>
      <c r="AJ5125">
        <v>109.656349808236</v>
      </c>
      <c r="AK5125">
        <v>15.8626550755605</v>
      </c>
      <c r="AL5125">
        <v>91.254195345435605</v>
      </c>
      <c r="AM5125">
        <v>96.716879446315701</v>
      </c>
      <c r="AN5125">
        <v>0.999999993506414</v>
      </c>
    </row>
    <row r="5126" spans="1:40" x14ac:dyDescent="0.3">
      <c r="A5126" t="str">
        <f>"20200111160604924"</f>
        <v>20200111160604924</v>
      </c>
      <c r="B5126" t="str">
        <f>"1578729964917173"</f>
        <v>1578729964917173</v>
      </c>
      <c r="C5126" t="s">
        <v>40</v>
      </c>
      <c r="D5126">
        <v>4.86571</v>
      </c>
      <c r="E5126">
        <v>0.41397260000000002</v>
      </c>
      <c r="F5126" t="s">
        <v>85</v>
      </c>
      <c r="G5126">
        <v>-365.46879999999999</v>
      </c>
      <c r="H5126" s="1">
        <v>-2.6007259999999998E-6</v>
      </c>
      <c r="I5126">
        <v>21.33888</v>
      </c>
      <c r="J5126">
        <v>-380.95400000000001</v>
      </c>
      <c r="K5126">
        <v>1.1108610000000001</v>
      </c>
      <c r="L5126">
        <v>17.829529999999998</v>
      </c>
      <c r="M5126">
        <v>0.99237410000000004</v>
      </c>
      <c r="N5126">
        <v>0</v>
      </c>
      <c r="O5126">
        <v>-0.1230518</v>
      </c>
      <c r="P5126">
        <v>0.99956959999999995</v>
      </c>
      <c r="Q5126">
        <v>-2.8838920000000001E-2</v>
      </c>
      <c r="R5126">
        <v>-5.3982509999999997E-3</v>
      </c>
      <c r="S5126">
        <v>3.0004580000000001</v>
      </c>
      <c r="T5126">
        <v>-0.2116518</v>
      </c>
      <c r="U5126">
        <v>0.66287229999999997</v>
      </c>
      <c r="V5126">
        <v>-0.1175961</v>
      </c>
      <c r="W5126">
        <v>-2.1953360000000002E-2</v>
      </c>
      <c r="X5126">
        <v>0.9928188</v>
      </c>
      <c r="Y5126">
        <v>-0.33315289999999997</v>
      </c>
      <c r="Z5126">
        <v>2.017557E-2</v>
      </c>
      <c r="AA5126">
        <v>0.94265690000000002</v>
      </c>
      <c r="AB5126">
        <v>23</v>
      </c>
      <c r="AC5126">
        <v>15.485200000000001</v>
      </c>
      <c r="AD5126">
        <v>-1.110863600726</v>
      </c>
      <c r="AE5126">
        <v>3.50935</v>
      </c>
      <c r="AF5126">
        <v>-5.3619637649797101</v>
      </c>
      <c r="AG5126">
        <v>-1.110863600726</v>
      </c>
      <c r="AH5126">
        <v>14.8629158816545</v>
      </c>
      <c r="AI5126">
        <v>94.021587644460695</v>
      </c>
      <c r="AJ5126">
        <v>109.83747806212899</v>
      </c>
      <c r="AK5126">
        <v>15.8395372994766</v>
      </c>
      <c r="AL5126">
        <v>91.2579359553025</v>
      </c>
      <c r="AM5126">
        <v>96.755022593872894</v>
      </c>
      <c r="AN5126">
        <v>0.99999998119196898</v>
      </c>
    </row>
    <row r="5127" spans="1:40" x14ac:dyDescent="0.3">
      <c r="A5127" t="str">
        <f>"20200111160604936"</f>
        <v>20200111160604936</v>
      </c>
      <c r="B5127" t="str">
        <f>"1578729964926934"</f>
        <v>1578729964926934</v>
      </c>
      <c r="C5127" t="s">
        <v>40</v>
      </c>
      <c r="D5127">
        <v>4.8625879999999997</v>
      </c>
      <c r="E5127">
        <v>0.41356759999999898</v>
      </c>
      <c r="F5127" t="s">
        <v>85</v>
      </c>
      <c r="G5127">
        <v>-365.4821</v>
      </c>
      <c r="H5127" s="1">
        <v>-2.588828E-6</v>
      </c>
      <c r="I5127">
        <v>21.31795</v>
      </c>
      <c r="J5127">
        <v>-380.8236</v>
      </c>
      <c r="K5127">
        <v>1.1109530000000001</v>
      </c>
      <c r="L5127">
        <v>17.814299999999999</v>
      </c>
      <c r="M5127">
        <v>0.99247379999999996</v>
      </c>
      <c r="N5127">
        <v>0</v>
      </c>
      <c r="O5127">
        <v>-0.1222134</v>
      </c>
      <c r="P5127">
        <v>0.99956230000000001</v>
      </c>
      <c r="Q5127">
        <v>-2.9299329999999998E-2</v>
      </c>
      <c r="R5127">
        <v>-4.1321429999999996E-3</v>
      </c>
      <c r="S5127">
        <v>2.9987180000000002</v>
      </c>
      <c r="T5127">
        <v>-0.21530469999999999</v>
      </c>
      <c r="U5127">
        <v>0.67611690000000002</v>
      </c>
      <c r="V5127">
        <v>-0.1180118</v>
      </c>
      <c r="W5127">
        <v>-2.189982E-2</v>
      </c>
      <c r="X5127">
        <v>0.99277070000000001</v>
      </c>
      <c r="Y5127">
        <v>-0.33639239999999998</v>
      </c>
      <c r="Z5127">
        <v>2.0580680000000001E-2</v>
      </c>
      <c r="AA5127">
        <v>0.94149700000000003</v>
      </c>
      <c r="AB5127">
        <v>23</v>
      </c>
      <c r="AC5127">
        <v>15.3414999999999</v>
      </c>
      <c r="AD5127">
        <v>-1.1109555888280001</v>
      </c>
      <c r="AE5127">
        <v>3.5036499999999999</v>
      </c>
      <c r="AF5127">
        <v>-5.3258333956186901</v>
      </c>
      <c r="AG5127">
        <v>-1.1109555888280001</v>
      </c>
      <c r="AH5127">
        <v>14.724896324629199</v>
      </c>
      <c r="AI5127">
        <v>94.058293136034294</v>
      </c>
      <c r="AJ5127">
        <v>109.88450124005099</v>
      </c>
      <c r="AK5127">
        <v>15.697811804494</v>
      </c>
      <c r="AL5127">
        <v>91.254867546648399</v>
      </c>
      <c r="AM5127">
        <v>96.779005025631307</v>
      </c>
      <c r="AN5127">
        <v>1.0000000249168799</v>
      </c>
    </row>
    <row r="5128" spans="1:40" x14ac:dyDescent="0.3">
      <c r="A5128" t="str">
        <f>"20200111160604958"</f>
        <v>20200111160604958</v>
      </c>
      <c r="B5128" t="str">
        <f>"1578729964947429"</f>
        <v>1578729964947429</v>
      </c>
      <c r="C5128" t="s">
        <v>40</v>
      </c>
      <c r="D5128">
        <v>5.1325029999999998</v>
      </c>
      <c r="E5128">
        <v>0.41300130000000002</v>
      </c>
      <c r="F5128" t="s">
        <v>85</v>
      </c>
      <c r="G5128">
        <v>-365.28739999999999</v>
      </c>
      <c r="H5128" s="1">
        <v>-2.6903229999999999E-6</v>
      </c>
      <c r="I5128">
        <v>21.353349999999999</v>
      </c>
      <c r="J5128">
        <v>-380.61790000000002</v>
      </c>
      <c r="K5128">
        <v>1.1110880000000001</v>
      </c>
      <c r="L5128">
        <v>17.79053</v>
      </c>
      <c r="M5128">
        <v>0.99263610000000002</v>
      </c>
      <c r="N5128">
        <v>0</v>
      </c>
      <c r="O5128">
        <v>-0.1208359</v>
      </c>
      <c r="P5128">
        <v>0.99955280000000002</v>
      </c>
      <c r="Q5128">
        <v>-2.9842670000000002E-2</v>
      </c>
      <c r="R5128">
        <v>-2.0534989999999999E-3</v>
      </c>
      <c r="S5128">
        <v>2.9978639999999999</v>
      </c>
      <c r="T5128">
        <v>-0.21436910000000001</v>
      </c>
      <c r="U5128">
        <v>0.68289180000000005</v>
      </c>
      <c r="V5128">
        <v>-0.1186936</v>
      </c>
      <c r="W5128">
        <v>-2.1682750000000001E-2</v>
      </c>
      <c r="X5128">
        <v>0.99269410000000002</v>
      </c>
      <c r="Y5128">
        <v>-0.33717920000000001</v>
      </c>
      <c r="Z5128">
        <v>2.0422940000000001E-2</v>
      </c>
      <c r="AA5128">
        <v>0.94121900000000003</v>
      </c>
      <c r="AB5128">
        <v>23</v>
      </c>
      <c r="AC5128">
        <v>15.330500000000001</v>
      </c>
      <c r="AD5128">
        <v>-1.11109069032299</v>
      </c>
      <c r="AE5128">
        <v>3.5628199999999901</v>
      </c>
      <c r="AF5128">
        <v>-5.3625286267378804</v>
      </c>
      <c r="AG5128">
        <v>-1.11109069032299</v>
      </c>
      <c r="AH5128">
        <v>14.714295546658899</v>
      </c>
      <c r="AI5128">
        <v>94.058124128466105</v>
      </c>
      <c r="AJ5128">
        <v>110.023937950122</v>
      </c>
      <c r="AK5128">
        <v>15.700373537885399</v>
      </c>
      <c r="AL5128">
        <v>91.242427498295598</v>
      </c>
      <c r="AM5128">
        <v>96.8183234932429</v>
      </c>
      <c r="AN5128">
        <v>0.99999994425166405</v>
      </c>
    </row>
    <row r="5129" spans="1:40" x14ac:dyDescent="0.3">
      <c r="A5129" t="str">
        <f>"20200111160604971"</f>
        <v>20200111160604971</v>
      </c>
      <c r="B5129" t="str">
        <f>"1578729964966948"</f>
        <v>1578729964966948</v>
      </c>
      <c r="C5129" t="s">
        <v>40</v>
      </c>
      <c r="D5129">
        <v>4.8480089999999896</v>
      </c>
      <c r="E5129">
        <v>0.41315560000000001</v>
      </c>
      <c r="F5129" t="s">
        <v>85</v>
      </c>
      <c r="G5129">
        <v>-365.18729999999999</v>
      </c>
      <c r="H5129" s="1">
        <v>-2.7399210000000002E-6</v>
      </c>
      <c r="I5129">
        <v>21.362089999999998</v>
      </c>
      <c r="J5129">
        <v>-380.47550000000001</v>
      </c>
      <c r="K5129">
        <v>1.1111709999999999</v>
      </c>
      <c r="L5129">
        <v>17.774319999999999</v>
      </c>
      <c r="M5129">
        <v>0.99275329999999995</v>
      </c>
      <c r="N5129">
        <v>0</v>
      </c>
      <c r="O5129">
        <v>-0.1198323</v>
      </c>
      <c r="P5129">
        <v>0.99954229999999999</v>
      </c>
      <c r="Q5129">
        <v>-3.0243530000000001E-2</v>
      </c>
      <c r="R5129">
        <v>-7.3896420000000001E-4</v>
      </c>
      <c r="S5129">
        <v>2.9963679999999999</v>
      </c>
      <c r="T5129">
        <v>-0.21575649999999999</v>
      </c>
      <c r="U5129">
        <v>0.69354249999999995</v>
      </c>
      <c r="V5129">
        <v>-0.118992</v>
      </c>
      <c r="W5129">
        <v>-2.1600620000000001E-2</v>
      </c>
      <c r="X5129">
        <v>0.99266019999999999</v>
      </c>
      <c r="Y5129">
        <v>-0.33948909999999999</v>
      </c>
      <c r="Z5129">
        <v>2.0567869999999999E-2</v>
      </c>
      <c r="AA5129">
        <v>0.94038509999999997</v>
      </c>
      <c r="AB5129">
        <v>23</v>
      </c>
      <c r="AC5129">
        <v>15.2882</v>
      </c>
      <c r="AD5129">
        <v>-1.111173739921</v>
      </c>
      <c r="AE5129">
        <v>3.5877699999999901</v>
      </c>
      <c r="AF5129">
        <v>-5.3671367098365401</v>
      </c>
      <c r="AG5129">
        <v>-1.111173739921</v>
      </c>
      <c r="AH5129">
        <v>14.6746040938074</v>
      </c>
      <c r="AI5129">
        <v>94.067668887058105</v>
      </c>
      <c r="AJ5129">
        <v>110.089649461458</v>
      </c>
      <c r="AK5129">
        <v>15.6647652025926</v>
      </c>
      <c r="AL5129">
        <v>91.237720651810093</v>
      </c>
      <c r="AM5129">
        <v>96.835534248712804</v>
      </c>
      <c r="AN5129">
        <v>0.99999997775621097</v>
      </c>
    </row>
    <row r="5130" spans="1:40" x14ac:dyDescent="0.3">
      <c r="A5130" t="str">
        <f>"20200111160604990"</f>
        <v>20200111160604990</v>
      </c>
      <c r="B5130" t="str">
        <f>"1578729964987445"</f>
        <v>1578729964987445</v>
      </c>
      <c r="C5130" t="s">
        <v>40</v>
      </c>
      <c r="D5130">
        <v>4.8917789999999997</v>
      </c>
      <c r="E5130">
        <v>0.41249140000000001</v>
      </c>
      <c r="F5130" t="s">
        <v>85</v>
      </c>
      <c r="G5130">
        <v>-364.84109999999998</v>
      </c>
      <c r="H5130" s="1">
        <v>-2.9155229999999999E-6</v>
      </c>
      <c r="I5130">
        <v>21.406949999999998</v>
      </c>
      <c r="J5130">
        <v>-380.27929999999998</v>
      </c>
      <c r="K5130">
        <v>1.111281</v>
      </c>
      <c r="L5130">
        <v>17.75235</v>
      </c>
      <c r="M5130">
        <v>0.99292150000000001</v>
      </c>
      <c r="N5130">
        <v>0</v>
      </c>
      <c r="O5130">
        <v>-0.1183797</v>
      </c>
      <c r="P5130">
        <v>0.9995482</v>
      </c>
      <c r="Q5130">
        <v>-3.0046380000000001E-2</v>
      </c>
      <c r="R5130">
        <v>9.0996960000000004E-4</v>
      </c>
      <c r="S5130">
        <v>2.995422</v>
      </c>
      <c r="T5130">
        <v>-0.21289230000000001</v>
      </c>
      <c r="U5130">
        <v>0.69598389999999999</v>
      </c>
      <c r="V5130">
        <v>-0.1191782</v>
      </c>
      <c r="W5130">
        <v>-2.0792999999999999E-2</v>
      </c>
      <c r="X5130">
        <v>0.99265519999999996</v>
      </c>
      <c r="Y5130">
        <v>-0.338941099999999</v>
      </c>
      <c r="Z5130">
        <v>2.0178930000000001E-2</v>
      </c>
      <c r="AA5130">
        <v>0.94059119999999996</v>
      </c>
      <c r="AB5130">
        <v>23</v>
      </c>
      <c r="AC5130">
        <v>15.438199999999901</v>
      </c>
      <c r="AD5130">
        <v>-1.1112839155230001</v>
      </c>
      <c r="AE5130">
        <v>3.6545999999999998</v>
      </c>
      <c r="AF5130">
        <v>-5.4299123372429099</v>
      </c>
      <c r="AG5130">
        <v>-1.1112839155230001</v>
      </c>
      <c r="AH5130">
        <v>14.8242479884382</v>
      </c>
      <c r="AI5130">
        <v>94.026438382058004</v>
      </c>
      <c r="AJ5130">
        <v>110.117067905008</v>
      </c>
      <c r="AK5130">
        <v>15.8264723913371</v>
      </c>
      <c r="AL5130">
        <v>91.191436924276601</v>
      </c>
      <c r="AM5130">
        <v>96.846163284061802</v>
      </c>
      <c r="AN5130">
        <v>1.0000000691456301</v>
      </c>
    </row>
    <row r="5131" spans="1:40" x14ac:dyDescent="0.3">
      <c r="A5131" t="str">
        <f>"20200111160605005"</f>
        <v>20200111160605005</v>
      </c>
      <c r="B5131" t="str">
        <f>"1578729964997205"</f>
        <v>1578729964997205</v>
      </c>
      <c r="C5131" t="s">
        <v>40</v>
      </c>
      <c r="D5131">
        <v>4.8759240000000004</v>
      </c>
      <c r="E5131">
        <v>0.41194770000000003</v>
      </c>
      <c r="F5131" t="s">
        <v>85</v>
      </c>
      <c r="G5131">
        <v>-364.13040000000001</v>
      </c>
      <c r="H5131" s="1">
        <v>-3.2920200000000001E-6</v>
      </c>
      <c r="I5131">
        <v>21.559339999999999</v>
      </c>
      <c r="J5131">
        <v>-380.12830000000002</v>
      </c>
      <c r="K5131">
        <v>1.1113569999999999</v>
      </c>
      <c r="L5131">
        <v>17.735659999999999</v>
      </c>
      <c r="M5131">
        <v>0.99305600000000005</v>
      </c>
      <c r="N5131">
        <v>0</v>
      </c>
      <c r="O5131">
        <v>-0.1172092</v>
      </c>
      <c r="P5131">
        <v>0.99954339999999997</v>
      </c>
      <c r="Q5131">
        <v>-3.0139699999999998E-2</v>
      </c>
      <c r="R5131">
        <v>2.1828210000000002E-3</v>
      </c>
      <c r="S5131">
        <v>2.994507</v>
      </c>
      <c r="T5131">
        <v>-0.20606630000000001</v>
      </c>
      <c r="U5131">
        <v>0.70593260000000002</v>
      </c>
      <c r="V5131">
        <v>-0.1192708</v>
      </c>
      <c r="W5131">
        <v>-2.04534E-2</v>
      </c>
      <c r="X5131">
        <v>0.99265099999999995</v>
      </c>
      <c r="Y5131">
        <v>-0.34092620000000001</v>
      </c>
      <c r="Z5131">
        <v>1.9520180000000002E-2</v>
      </c>
      <c r="AA5131">
        <v>0.93988740000000004</v>
      </c>
      <c r="AB5131">
        <v>23</v>
      </c>
      <c r="AC5131">
        <v>15.9979</v>
      </c>
      <c r="AD5131">
        <v>-1.1113602920200001</v>
      </c>
      <c r="AE5131">
        <v>3.82368</v>
      </c>
      <c r="AF5131">
        <v>-5.6467397990711703</v>
      </c>
      <c r="AG5131">
        <v>-1.1113602920200001</v>
      </c>
      <c r="AH5131">
        <v>15.3692625924421</v>
      </c>
      <c r="AI5131">
        <v>93.882965963320402</v>
      </c>
      <c r="AJ5131">
        <v>110.17357093807701</v>
      </c>
      <c r="AK5131">
        <v>16.4114296967855</v>
      </c>
      <c r="AL5131">
        <v>91.171975295075598</v>
      </c>
      <c r="AM5131">
        <v>96.851460837332795</v>
      </c>
      <c r="AN5131">
        <v>0.999999936552597</v>
      </c>
    </row>
    <row r="5132" spans="1:40" x14ac:dyDescent="0.3">
      <c r="A5132" t="str">
        <f>"20200111160605249"</f>
        <v>20200111160605249</v>
      </c>
      <c r="B5132" t="str">
        <f>"1578729965237341"</f>
        <v>1578729965237341</v>
      </c>
      <c r="C5132" t="s">
        <v>40</v>
      </c>
      <c r="D5132">
        <v>5.1263480000000001</v>
      </c>
      <c r="E5132">
        <v>0.41204669999999999</v>
      </c>
      <c r="F5132" t="s">
        <v>85</v>
      </c>
      <c r="G5132">
        <v>-363.79579999999999</v>
      </c>
      <c r="H5132" s="1">
        <v>-3.4690580000000001E-6</v>
      </c>
      <c r="I5132">
        <v>21.630230000000001</v>
      </c>
      <c r="J5132">
        <v>-377.6628</v>
      </c>
      <c r="K5132">
        <v>1.1118300000000001</v>
      </c>
      <c r="L5132">
        <v>17.4985</v>
      </c>
      <c r="M5132">
        <v>0.99548570000000003</v>
      </c>
      <c r="N5132">
        <v>0</v>
      </c>
      <c r="O5132">
        <v>-9.392549E-2</v>
      </c>
      <c r="P5132">
        <v>0.9994634</v>
      </c>
      <c r="Q5132">
        <v>-2.9829970000000001E-2</v>
      </c>
      <c r="R5132">
        <v>1.354031E-2</v>
      </c>
      <c r="S5132">
        <v>2.9937130000000001</v>
      </c>
      <c r="T5132">
        <v>-0.20370969999999999</v>
      </c>
      <c r="U5132">
        <v>0.71386719999999904</v>
      </c>
      <c r="V5132">
        <v>-0.1072989</v>
      </c>
      <c r="W5132">
        <v>-1.6687359999999998E-2</v>
      </c>
      <c r="X5132">
        <v>0.99408669999999999</v>
      </c>
      <c r="Y5132">
        <v>-0.32138539999999999</v>
      </c>
      <c r="Z5132">
        <v>1.7078320000000001E-2</v>
      </c>
      <c r="AA5132">
        <v>0.94679449999999998</v>
      </c>
      <c r="AB5132">
        <v>23</v>
      </c>
      <c r="AC5132">
        <v>13.867000000000001</v>
      </c>
      <c r="AD5132">
        <v>-1.1118334690579901</v>
      </c>
      <c r="AE5132">
        <v>4.1317299999999904</v>
      </c>
      <c r="AF5132">
        <v>-5.3842564272267603</v>
      </c>
      <c r="AG5132">
        <v>-1.1118334690579901</v>
      </c>
      <c r="AH5132">
        <v>13.338817138708499</v>
      </c>
      <c r="AI5132">
        <v>94.4198193915405</v>
      </c>
      <c r="AJ5132">
        <v>111.981624818873</v>
      </c>
      <c r="AK5132">
        <v>14.4274195058213</v>
      </c>
      <c r="AL5132">
        <v>90.956159732412004</v>
      </c>
      <c r="AM5132">
        <v>96.160493737764497</v>
      </c>
      <c r="AN5132">
        <v>0.99999994452093299</v>
      </c>
    </row>
    <row r="5133" spans="1:40" x14ac:dyDescent="0.3">
      <c r="A5133" t="str">
        <f>"20200111160605264"</f>
        <v>20200111160605264</v>
      </c>
      <c r="B5133" t="str">
        <f>"1578729965256861"</f>
        <v>1578729965256861</v>
      </c>
      <c r="C5133" t="s">
        <v>40</v>
      </c>
      <c r="D5133">
        <v>6.3851430000000002</v>
      </c>
      <c r="E5133">
        <v>0.43149470000000001</v>
      </c>
      <c r="F5133" t="s">
        <v>85</v>
      </c>
      <c r="G5133">
        <v>-361.48079999999999</v>
      </c>
      <c r="H5133" s="1">
        <v>-4.5008579999999997E-6</v>
      </c>
      <c r="I5133">
        <v>21.5443</v>
      </c>
      <c r="J5133">
        <v>-377.49549999999999</v>
      </c>
      <c r="K5133">
        <v>1.11172</v>
      </c>
      <c r="L5133">
        <v>17.484649999999998</v>
      </c>
      <c r="M5133">
        <v>0.99565459999999995</v>
      </c>
      <c r="N5133">
        <v>0</v>
      </c>
      <c r="O5133">
        <v>-9.211358E-2</v>
      </c>
      <c r="P5133">
        <v>0.99946049999999997</v>
      </c>
      <c r="Q5133">
        <v>-2.9659350000000001E-2</v>
      </c>
      <c r="R5133">
        <v>1.411303E-2</v>
      </c>
      <c r="S5133">
        <v>2.985382</v>
      </c>
      <c r="T5133">
        <v>-0.20511979999999999</v>
      </c>
      <c r="U5133">
        <v>0.74639889999999998</v>
      </c>
      <c r="V5133">
        <v>-0.1060644</v>
      </c>
      <c r="W5133">
        <v>-1.6459640000000001E-2</v>
      </c>
      <c r="X5133">
        <v>0.99422299999999997</v>
      </c>
      <c r="Y5133">
        <v>-0.32995029999999997</v>
      </c>
      <c r="Z5133">
        <v>1.7388440000000002E-2</v>
      </c>
      <c r="AA5133">
        <v>0.94383819999999996</v>
      </c>
      <c r="AB5133">
        <v>23</v>
      </c>
      <c r="AC5133">
        <v>16.014700000000001</v>
      </c>
      <c r="AD5133">
        <v>-1.1117245008579999</v>
      </c>
      <c r="AE5133">
        <v>4.0596500000000004</v>
      </c>
      <c r="AF5133">
        <v>-5.4928248288513899</v>
      </c>
      <c r="AG5133">
        <v>-1.1117245008579999</v>
      </c>
      <c r="AH5133">
        <v>15.5024215877331</v>
      </c>
      <c r="AI5133">
        <v>93.867043724402393</v>
      </c>
      <c r="AJ5133">
        <v>109.510276688918</v>
      </c>
      <c r="AK5133">
        <v>16.484299531677699</v>
      </c>
      <c r="AL5133">
        <v>90.943110515496201</v>
      </c>
      <c r="AM5133">
        <v>96.089322839529402</v>
      </c>
      <c r="AN5133">
        <v>0.99999997521264405</v>
      </c>
    </row>
    <row r="5134" spans="1:40" x14ac:dyDescent="0.3">
      <c r="A5134" t="str">
        <f>"20200111160605304"</f>
        <v>20200111160605304</v>
      </c>
      <c r="B5134" t="str">
        <f>"1578729965296876"</f>
        <v>1578729965296876</v>
      </c>
      <c r="C5134" t="s">
        <v>40</v>
      </c>
      <c r="D5134">
        <v>5.6280989999999997</v>
      </c>
      <c r="E5134">
        <v>0.52544250000000003</v>
      </c>
      <c r="F5134" t="s">
        <v>41</v>
      </c>
      <c r="G5134">
        <v>-358.59300000000002</v>
      </c>
      <c r="H5134" s="1">
        <v>-1.0151879999999999E-6</v>
      </c>
      <c r="I5134">
        <v>21.229520000000001</v>
      </c>
      <c r="J5134">
        <v>-377.10469999999998</v>
      </c>
      <c r="K5134">
        <v>1.111615</v>
      </c>
      <c r="L5134">
        <v>17.453309999999998</v>
      </c>
      <c r="M5134">
        <v>0.99604130000000002</v>
      </c>
      <c r="N5134">
        <v>0</v>
      </c>
      <c r="O5134">
        <v>-8.7812420000000002E-2</v>
      </c>
      <c r="P5134">
        <v>0.99950919999999999</v>
      </c>
      <c r="Q5134">
        <v>-2.9083580000000001E-2</v>
      </c>
      <c r="R5134">
        <v>1.1660759999999999E-2</v>
      </c>
      <c r="S5134">
        <v>2.9880070000000001</v>
      </c>
      <c r="T5134">
        <v>-0.17573420000000001</v>
      </c>
      <c r="U5134">
        <v>0.59197999999999995</v>
      </c>
      <c r="V5134">
        <v>-9.9338869999999996E-2</v>
      </c>
      <c r="W5134">
        <v>-1.5687690000000001E-2</v>
      </c>
      <c r="X5134">
        <v>0.99492999999999998</v>
      </c>
      <c r="Y5134">
        <v>-0.27912429999999999</v>
      </c>
      <c r="Z5134">
        <v>1.323939E-2</v>
      </c>
      <c r="AA5134">
        <v>0.96016369999999895</v>
      </c>
      <c r="AB5134">
        <v>23</v>
      </c>
      <c r="AC5134">
        <v>18.511699999999902</v>
      </c>
      <c r="AD5134">
        <v>-1.1116160151879999</v>
      </c>
      <c r="AE5134">
        <v>3.7762099999999901</v>
      </c>
      <c r="AF5134">
        <v>-5.3687461097371498</v>
      </c>
      <c r="AG5134">
        <v>-1.1116160151879999</v>
      </c>
      <c r="AH5134">
        <v>18.046073205926799</v>
      </c>
      <c r="AI5134">
        <v>93.378898281773303</v>
      </c>
      <c r="AJ5134">
        <v>106.56785636410901</v>
      </c>
      <c r="AK5134">
        <v>18.860537720587701</v>
      </c>
      <c r="AL5134">
        <v>90.898875290476894</v>
      </c>
      <c r="AM5134">
        <v>95.701804884143797</v>
      </c>
      <c r="AN5134">
        <v>1.0000000098052</v>
      </c>
    </row>
    <row r="5135" spans="1:40" x14ac:dyDescent="0.3">
      <c r="A5135" t="str">
        <f>"20200111160605315"</f>
        <v>20200111160605315</v>
      </c>
      <c r="B5135" t="str">
        <f>"1578729965307613"</f>
        <v>1578729965307613</v>
      </c>
      <c r="C5135" t="s">
        <v>40</v>
      </c>
      <c r="D5135">
        <v>5.4031260000000003</v>
      </c>
      <c r="E5135">
        <v>0.5320395</v>
      </c>
      <c r="F5135" t="s">
        <v>41</v>
      </c>
      <c r="G5135">
        <v>-358.39460000000003</v>
      </c>
      <c r="H5135" s="1">
        <v>-1.3816020000000001E-6</v>
      </c>
      <c r="I5135">
        <v>16.424630000000001</v>
      </c>
      <c r="J5135">
        <v>-376.9787</v>
      </c>
      <c r="K5135">
        <v>1.111634</v>
      </c>
      <c r="L5135">
        <v>17.443570000000001</v>
      </c>
      <c r="M5135">
        <v>0.99615109999999996</v>
      </c>
      <c r="N5135">
        <v>0</v>
      </c>
      <c r="O5135">
        <v>-8.6547650000000004E-2</v>
      </c>
      <c r="P5135">
        <v>0.99950340000000004</v>
      </c>
      <c r="Q5135">
        <v>-2.9426870000000001E-2</v>
      </c>
      <c r="R5135">
        <v>1.127447E-2</v>
      </c>
      <c r="S5135">
        <v>2.9981689999999999</v>
      </c>
      <c r="T5135">
        <v>-0.17812839999999999</v>
      </c>
      <c r="U5135">
        <v>-0.16482539999999901</v>
      </c>
      <c r="V5135">
        <v>-9.7689689999999996E-2</v>
      </c>
      <c r="W5135">
        <v>-1.5964900000000001E-2</v>
      </c>
      <c r="X5135">
        <v>0.99508890000000005</v>
      </c>
      <c r="Y5135">
        <v>-3.1531950000000003E-2</v>
      </c>
      <c r="Z5135">
        <v>6.0613910000000002E-3</v>
      </c>
      <c r="AA5135">
        <v>0.99948440000000005</v>
      </c>
      <c r="AB5135">
        <v>22</v>
      </c>
      <c r="AC5135">
        <v>18.5840999999999</v>
      </c>
      <c r="AD5135">
        <v>-1.1116353816019999</v>
      </c>
      <c r="AE5135">
        <v>-1.01894</v>
      </c>
      <c r="AF5135">
        <v>-0.59133962172946197</v>
      </c>
      <c r="AG5135">
        <v>-1.1116353816019999</v>
      </c>
      <c r="AH5135">
        <v>18.536424265888499</v>
      </c>
      <c r="AI5135">
        <v>93.430195337511904</v>
      </c>
      <c r="AJ5135">
        <v>91.827201265852807</v>
      </c>
      <c r="AK5135">
        <v>18.579139924519598</v>
      </c>
      <c r="AL5135">
        <v>90.914760218722407</v>
      </c>
      <c r="AM5135">
        <v>95.606864668599002</v>
      </c>
      <c r="AN5135">
        <v>1.00000003623375</v>
      </c>
    </row>
    <row r="5136" spans="1:40" x14ac:dyDescent="0.3">
      <c r="A5136" t="str">
        <f>"20200111160605328"</f>
        <v>20200111160605328</v>
      </c>
      <c r="B5136" t="str">
        <f>"1578729965316906"</f>
        <v>1578729965316906</v>
      </c>
      <c r="C5136" t="s">
        <v>40</v>
      </c>
      <c r="D5136">
        <v>5.422828</v>
      </c>
      <c r="E5136">
        <v>0.53594509999999995</v>
      </c>
      <c r="F5136" t="s">
        <v>85</v>
      </c>
      <c r="G5136">
        <v>-360.80259999999998</v>
      </c>
      <c r="H5136" s="1">
        <v>-4.9419790000000003E-6</v>
      </c>
      <c r="I5136">
        <v>16.2685</v>
      </c>
      <c r="J5136">
        <v>-376.86</v>
      </c>
      <c r="K5136">
        <v>1.1116549999999901</v>
      </c>
      <c r="L5136">
        <v>17.434570000000001</v>
      </c>
      <c r="M5136">
        <v>0.996251</v>
      </c>
      <c r="N5136">
        <v>0</v>
      </c>
      <c r="O5136">
        <v>-8.5381659999999998E-2</v>
      </c>
      <c r="P5136">
        <v>0.99950479999999997</v>
      </c>
      <c r="Q5136">
        <v>-2.9727279999999998E-2</v>
      </c>
      <c r="R5136">
        <v>1.033625E-2</v>
      </c>
      <c r="S5136">
        <v>2.9978940000000001</v>
      </c>
      <c r="T5136">
        <v>-0.20601800000000001</v>
      </c>
      <c r="U5136">
        <v>-0.21777340000000001</v>
      </c>
      <c r="V5136">
        <v>-9.5589939999999998E-2</v>
      </c>
      <c r="W5136">
        <v>-1.6203840000000001E-2</v>
      </c>
      <c r="X5136">
        <v>0.99528890000000003</v>
      </c>
      <c r="Y5136">
        <v>-1.2749409999999999E-2</v>
      </c>
      <c r="Z5136">
        <v>6.2805810000000004E-3</v>
      </c>
      <c r="AA5136">
        <v>0.99989899999999998</v>
      </c>
      <c r="AB5136">
        <v>22</v>
      </c>
      <c r="AC5136">
        <v>16.057400000000001</v>
      </c>
      <c r="AD5136">
        <v>-1.1116599419790001</v>
      </c>
      <c r="AE5136">
        <v>-1.1660699999999999</v>
      </c>
      <c r="AF5136">
        <v>-0.208336076359738</v>
      </c>
      <c r="AG5136">
        <v>-1.1116599419790001</v>
      </c>
      <c r="AH5136">
        <v>16.021934912594698</v>
      </c>
      <c r="AI5136">
        <v>93.968693585805198</v>
      </c>
      <c r="AJ5136">
        <v>90.744985250642799</v>
      </c>
      <c r="AK5136">
        <v>16.061805318541701</v>
      </c>
      <c r="AL5136">
        <v>90.928452278763899</v>
      </c>
      <c r="AM5136">
        <v>95.485997896654595</v>
      </c>
      <c r="AN5136">
        <v>0.999999997761579</v>
      </c>
    </row>
    <row r="5137" spans="1:40" x14ac:dyDescent="0.3">
      <c r="A5137" t="str">
        <f>"20200111160605347"</f>
        <v>20200111160605347</v>
      </c>
      <c r="B5137" t="str">
        <f>"1578729965337400"</f>
        <v>1578729965337400</v>
      </c>
      <c r="C5137" t="s">
        <v>40</v>
      </c>
      <c r="D5137">
        <v>5.4424679999999999</v>
      </c>
      <c r="E5137">
        <v>0.53624179999999999</v>
      </c>
      <c r="F5137" t="s">
        <v>85</v>
      </c>
      <c r="G5137">
        <v>-362.06709999999998</v>
      </c>
      <c r="H5137" s="1">
        <v>-4.3572219999999997E-6</v>
      </c>
      <c r="I5137">
        <v>16.195180000000001</v>
      </c>
      <c r="J5137">
        <v>-376.6748</v>
      </c>
      <c r="K5137">
        <v>1.1116889999999999</v>
      </c>
      <c r="L5137">
        <v>17.420809999999999</v>
      </c>
      <c r="M5137">
        <v>0.99639869999999997</v>
      </c>
      <c r="N5137">
        <v>0</v>
      </c>
      <c r="O5137">
        <v>-8.3628300000000003E-2</v>
      </c>
      <c r="P5137">
        <v>0.99950669999999997</v>
      </c>
      <c r="Q5137">
        <v>-3.0203210000000001E-2</v>
      </c>
      <c r="R5137">
        <v>8.6304339999999993E-3</v>
      </c>
      <c r="S5137">
        <v>2.9973749999999999</v>
      </c>
      <c r="T5137">
        <v>-0.22524759999999999</v>
      </c>
      <c r="U5137">
        <v>-0.2511292</v>
      </c>
      <c r="V5137">
        <v>-9.2137570000000002E-2</v>
      </c>
      <c r="W5137">
        <v>-1.6593190000000001E-2</v>
      </c>
      <c r="X5137">
        <v>0.99560800000000005</v>
      </c>
      <c r="Y5137" s="1">
        <v>8.6606699999999999E-5</v>
      </c>
      <c r="Z5137">
        <v>6.2511509999999999E-3</v>
      </c>
      <c r="AA5137">
        <v>0.99998039999999999</v>
      </c>
      <c r="AB5137">
        <v>22</v>
      </c>
      <c r="AC5137">
        <v>14.607699999999999</v>
      </c>
      <c r="AD5137">
        <v>-1.111693357222</v>
      </c>
      <c r="AE5137">
        <v>-1.22562999999999</v>
      </c>
      <c r="AF5137">
        <v>-3.98725362317442E-4</v>
      </c>
      <c r="AG5137">
        <v>-1.111693357222</v>
      </c>
      <c r="AH5137">
        <v>14.575201699306</v>
      </c>
      <c r="AI5137">
        <v>94.3616720356179</v>
      </c>
      <c r="AJ5137">
        <v>90.001567407498698</v>
      </c>
      <c r="AK5137">
        <v>14.6175362785569</v>
      </c>
      <c r="AL5137">
        <v>90.950763409829193</v>
      </c>
      <c r="AM5137">
        <v>95.287322035813801</v>
      </c>
      <c r="AN5137">
        <v>0.99999997771194005</v>
      </c>
    </row>
    <row r="5138" spans="1:40" x14ac:dyDescent="0.3">
      <c r="A5138" t="str">
        <f>"20200111160605359"</f>
        <v>20200111160605359</v>
      </c>
      <c r="B5138" t="str">
        <f>"1578729965356921"</f>
        <v>1578729965356921</v>
      </c>
      <c r="C5138" t="s">
        <v>40</v>
      </c>
      <c r="D5138">
        <v>5.494167</v>
      </c>
      <c r="E5138">
        <v>0.54010719999999901</v>
      </c>
      <c r="F5138" t="s">
        <v>85</v>
      </c>
      <c r="G5138">
        <v>-361.1078</v>
      </c>
      <c r="H5138" s="1">
        <v>-4.8320020000000001E-6</v>
      </c>
      <c r="I5138">
        <v>16.074950000000001</v>
      </c>
      <c r="J5138">
        <v>-376.5462</v>
      </c>
      <c r="K5138">
        <v>1.1116980000000001</v>
      </c>
      <c r="L5138">
        <v>17.4115</v>
      </c>
      <c r="M5138">
        <v>0.9964982</v>
      </c>
      <c r="N5138">
        <v>0</v>
      </c>
      <c r="O5138">
        <v>-8.2427239999999999E-2</v>
      </c>
      <c r="P5138">
        <v>0.99949750000000004</v>
      </c>
      <c r="Q5138">
        <v>-3.0562019999999999E-2</v>
      </c>
      <c r="R5138">
        <v>8.3993019999999904E-3</v>
      </c>
      <c r="S5138">
        <v>2.9971920000000001</v>
      </c>
      <c r="T5138">
        <v>-0.21404039999999999</v>
      </c>
      <c r="U5138">
        <v>-0.25912479999999999</v>
      </c>
      <c r="V5138">
        <v>-9.0705649999999999E-2</v>
      </c>
      <c r="W5138">
        <v>-1.6902750000000001E-2</v>
      </c>
      <c r="X5138">
        <v>0.99573429999999996</v>
      </c>
      <c r="Y5138">
        <v>3.9101420000000001E-3</v>
      </c>
      <c r="Z5138">
        <v>5.7192240000000002E-3</v>
      </c>
      <c r="AA5138">
        <v>0.99997599999999998</v>
      </c>
      <c r="AB5138">
        <v>22</v>
      </c>
      <c r="AC5138">
        <v>15.4384</v>
      </c>
      <c r="AD5138">
        <v>-1.1117028320019999</v>
      </c>
      <c r="AE5138">
        <v>-1.3365499999999899</v>
      </c>
      <c r="AF5138">
        <v>5.9027019010108699E-2</v>
      </c>
      <c r="AG5138">
        <v>-1.1117028320019999</v>
      </c>
      <c r="AH5138">
        <v>15.416687776554101</v>
      </c>
      <c r="AI5138">
        <v>94.124449807451697</v>
      </c>
      <c r="AJ5138">
        <v>89.780628459917693</v>
      </c>
      <c r="AK5138">
        <v>15.4568311556867</v>
      </c>
      <c r="AL5138">
        <v>90.968502351403103</v>
      </c>
      <c r="AM5138">
        <v>95.204949509751799</v>
      </c>
      <c r="AN5138">
        <v>1.00000000704798</v>
      </c>
    </row>
    <row r="5139" spans="1:40" x14ac:dyDescent="0.3">
      <c r="A5139" t="str">
        <f>"20200111160605372"</f>
        <v>20200111160605372</v>
      </c>
      <c r="B5139" t="str">
        <f>"1578729965367657"</f>
        <v>1578729965367657</v>
      </c>
      <c r="C5139" t="s">
        <v>40</v>
      </c>
      <c r="D5139">
        <v>5.4595789999999997</v>
      </c>
      <c r="E5139">
        <v>0.54116690000000001</v>
      </c>
      <c r="F5139" t="s">
        <v>85</v>
      </c>
      <c r="G5139">
        <v>-362.26679999999999</v>
      </c>
      <c r="H5139" s="1">
        <v>-4.292217E-6</v>
      </c>
      <c r="I5139">
        <v>16.02937</v>
      </c>
      <c r="J5139">
        <v>-376.4325</v>
      </c>
      <c r="K5139">
        <v>1.1116870000000001</v>
      </c>
      <c r="L5139">
        <v>17.403379999999999</v>
      </c>
      <c r="M5139">
        <v>0.99658559999999996</v>
      </c>
      <c r="N5139">
        <v>0</v>
      </c>
      <c r="O5139">
        <v>-8.1358829999999993E-2</v>
      </c>
      <c r="P5139">
        <v>0.99948689999999996</v>
      </c>
      <c r="Q5139">
        <v>-3.0935560000000001E-2</v>
      </c>
      <c r="R5139">
        <v>8.3225219999999902E-3</v>
      </c>
      <c r="S5139">
        <v>2.996826</v>
      </c>
      <c r="T5139">
        <v>-0.23331489999999999</v>
      </c>
      <c r="U5139">
        <v>-0.29006959999999998</v>
      </c>
      <c r="V5139">
        <v>-8.9560810000000005E-2</v>
      </c>
      <c r="W5139">
        <v>-1.7234590000000001E-2</v>
      </c>
      <c r="X5139">
        <v>0.99583219999999995</v>
      </c>
      <c r="Y5139">
        <v>1.5231649999999999E-2</v>
      </c>
      <c r="Z5139">
        <v>5.708411E-3</v>
      </c>
      <c r="AA5139">
        <v>0.99986770000000003</v>
      </c>
      <c r="AB5139">
        <v>22</v>
      </c>
      <c r="AC5139">
        <v>14.165699999999999</v>
      </c>
      <c r="AD5139">
        <v>-1.1116912922169999</v>
      </c>
      <c r="AE5139">
        <v>-1.37400999999999</v>
      </c>
      <c r="AF5139">
        <v>0.215520293661843</v>
      </c>
      <c r="AG5139">
        <v>-1.1116912922169999</v>
      </c>
      <c r="AH5139">
        <v>14.144229723050101</v>
      </c>
      <c r="AI5139">
        <v>94.493507150402806</v>
      </c>
      <c r="AJ5139">
        <v>89.127032865515503</v>
      </c>
      <c r="AK5139">
        <v>14.1894869880692</v>
      </c>
      <c r="AL5139">
        <v>90.987518189481605</v>
      </c>
      <c r="AM5139">
        <v>95.139106824332003</v>
      </c>
      <c r="AN5139">
        <v>0.999999970168581</v>
      </c>
    </row>
    <row r="5140" spans="1:40" x14ac:dyDescent="0.3">
      <c r="A5140" t="str">
        <f>"20200111160605384"</f>
        <v>20200111160605384</v>
      </c>
      <c r="B5140" t="str">
        <f>"1578729965377417"</f>
        <v>1578729965377417</v>
      </c>
      <c r="C5140" t="s">
        <v>40</v>
      </c>
      <c r="D5140">
        <v>5.4138199999999896</v>
      </c>
      <c r="E5140">
        <v>0.54220459999999904</v>
      </c>
      <c r="F5140" t="s">
        <v>42</v>
      </c>
      <c r="G5140">
        <v>-375.58179999999999</v>
      </c>
      <c r="H5140">
        <v>1.043534</v>
      </c>
      <c r="I5140">
        <v>17.318439999999999</v>
      </c>
      <c r="J5140">
        <v>-376.30470000000003</v>
      </c>
      <c r="K5140">
        <v>1.1116760000000001</v>
      </c>
      <c r="L5140">
        <v>17.394379999999899</v>
      </c>
      <c r="M5140">
        <v>0.99668279999999998</v>
      </c>
      <c r="N5140">
        <v>0</v>
      </c>
      <c r="O5140">
        <v>-8.0153470000000004E-2</v>
      </c>
      <c r="P5140">
        <v>0.99947010000000003</v>
      </c>
      <c r="Q5140">
        <v>-3.1480309999999997E-2</v>
      </c>
      <c r="R5140">
        <v>8.2894749999999993E-3</v>
      </c>
      <c r="S5140">
        <v>2.996613</v>
      </c>
      <c r="T5140">
        <v>-0.24013470000000001</v>
      </c>
      <c r="U5140">
        <v>-0.29858400000000002</v>
      </c>
      <c r="V5140">
        <v>-8.8322029999999996E-2</v>
      </c>
      <c r="W5140">
        <v>-1.7733450000000001E-2</v>
      </c>
      <c r="X5140">
        <v>0.99593410000000004</v>
      </c>
      <c r="Y5140">
        <v>1.9256539999999999E-2</v>
      </c>
      <c r="Z5140">
        <v>5.6177739999999999E-3</v>
      </c>
      <c r="AA5140">
        <v>0.99979879999999999</v>
      </c>
      <c r="AB5140">
        <v>22</v>
      </c>
      <c r="AC5140">
        <v>0.72290000000003796</v>
      </c>
      <c r="AD5140">
        <v>-6.8142000000000105E-2</v>
      </c>
      <c r="AE5140">
        <v>-7.5939999999999203E-2</v>
      </c>
      <c r="AF5140">
        <v>1.75923054476637E-2</v>
      </c>
      <c r="AG5140">
        <v>-6.8142000000000105E-2</v>
      </c>
      <c r="AH5140">
        <v>0.720330578780354</v>
      </c>
      <c r="AI5140">
        <v>95.402396599107306</v>
      </c>
      <c r="AJ5140">
        <v>88.600969399834696</v>
      </c>
      <c r="AK5140">
        <v>0.72376029464250302</v>
      </c>
      <c r="AL5140">
        <v>91.016105108814699</v>
      </c>
      <c r="AM5140">
        <v>95.067881082159801</v>
      </c>
      <c r="AN5140">
        <v>0.99999999388751604</v>
      </c>
    </row>
    <row r="5141" spans="1:40" x14ac:dyDescent="0.3">
      <c r="A5141" t="str">
        <f>"20200111160605402"</f>
        <v>20200111160605402</v>
      </c>
      <c r="B5141" t="str">
        <f>"1578729965396937"</f>
        <v>1578729965396937</v>
      </c>
      <c r="C5141" t="s">
        <v>40</v>
      </c>
      <c r="D5141">
        <v>5.4076629999999897</v>
      </c>
      <c r="E5141">
        <v>0.54378159999999998</v>
      </c>
      <c r="F5141" t="s">
        <v>42</v>
      </c>
      <c r="G5141">
        <v>-375.39010000000002</v>
      </c>
      <c r="H5141">
        <v>1.0371699999999999</v>
      </c>
      <c r="I5141">
        <v>17.300689999999999</v>
      </c>
      <c r="J5141">
        <v>-376.11880000000002</v>
      </c>
      <c r="K5141">
        <v>1.1116490000000001</v>
      </c>
      <c r="L5141">
        <v>17.38156</v>
      </c>
      <c r="M5141">
        <v>0.9968224</v>
      </c>
      <c r="N5141">
        <v>0</v>
      </c>
      <c r="O5141">
        <v>-7.838929E-2</v>
      </c>
      <c r="P5141">
        <v>0.99945329999999999</v>
      </c>
      <c r="Q5141">
        <v>-3.198165E-2</v>
      </c>
      <c r="R5141">
        <v>8.3887010000000001E-3</v>
      </c>
      <c r="S5141">
        <v>2.9964599999999999</v>
      </c>
      <c r="T5141">
        <v>-0.24410319999999999</v>
      </c>
      <c r="U5141">
        <v>-0.3069153</v>
      </c>
      <c r="V5141">
        <v>-8.6658150000000003E-2</v>
      </c>
      <c r="W5141">
        <v>-1.816748E-2</v>
      </c>
      <c r="X5141">
        <v>0.99607250000000003</v>
      </c>
      <c r="Y5141">
        <v>2.376849E-2</v>
      </c>
      <c r="Z5141">
        <v>5.3841419999999997E-3</v>
      </c>
      <c r="AA5141">
        <v>0.99970300000000001</v>
      </c>
      <c r="AB5141">
        <v>22</v>
      </c>
      <c r="AC5141">
        <v>0.72870000000000301</v>
      </c>
      <c r="AD5141">
        <v>-7.4478999999999698E-2</v>
      </c>
      <c r="AE5141">
        <v>-8.0870000000000802E-2</v>
      </c>
      <c r="AF5141">
        <v>2.3253145670104999E-2</v>
      </c>
      <c r="AG5141">
        <v>-7.4478999999999698E-2</v>
      </c>
      <c r="AH5141">
        <v>0.72531240937161501</v>
      </c>
      <c r="AI5141">
        <v>95.859901689748099</v>
      </c>
      <c r="AJ5141">
        <v>88.163755482287897</v>
      </c>
      <c r="AK5141">
        <v>0.729497033176292</v>
      </c>
      <c r="AL5141">
        <v>91.040977136247903</v>
      </c>
      <c r="AM5141">
        <v>94.972204152979202</v>
      </c>
      <c r="AN5141">
        <v>1.0000000587736</v>
      </c>
    </row>
    <row r="5142" spans="1:40" x14ac:dyDescent="0.3">
      <c r="A5142" t="str">
        <f>"20200111160605415"</f>
        <v>20200111160605415</v>
      </c>
      <c r="B5142" t="str">
        <f>"1578729965407673"</f>
        <v>1578729965407673</v>
      </c>
      <c r="C5142" t="s">
        <v>40</v>
      </c>
      <c r="D5142">
        <v>5.6385800000000001</v>
      </c>
      <c r="E5142">
        <v>0.54476930000000001</v>
      </c>
      <c r="F5142" t="s">
        <v>85</v>
      </c>
      <c r="G5142">
        <v>-362.94580000000002</v>
      </c>
      <c r="H5142" s="1">
        <v>-3.980152E-6</v>
      </c>
      <c r="I5142">
        <v>15.979189999999999</v>
      </c>
      <c r="J5142">
        <v>-375.99860000000001</v>
      </c>
      <c r="K5142">
        <v>1.1116239999999999</v>
      </c>
      <c r="L5142">
        <v>17.37341</v>
      </c>
      <c r="M5142">
        <v>0.99691050000000003</v>
      </c>
      <c r="N5142">
        <v>0</v>
      </c>
      <c r="O5142">
        <v>-7.7257409999999999E-2</v>
      </c>
      <c r="P5142">
        <v>0.99944290000000002</v>
      </c>
      <c r="Q5142">
        <v>-3.2192419999999999E-2</v>
      </c>
      <c r="R5142">
        <v>8.8336290000000008E-3</v>
      </c>
      <c r="S5142">
        <v>2.9961850000000001</v>
      </c>
      <c r="T5142">
        <v>-0.25284499999999999</v>
      </c>
      <c r="U5142">
        <v>-0.31896970000000002</v>
      </c>
      <c r="V5142">
        <v>-8.5971980000000003E-2</v>
      </c>
      <c r="W5142">
        <v>-1.8342420000000002E-2</v>
      </c>
      <c r="X5142">
        <v>0.99612869999999998</v>
      </c>
      <c r="Y5142">
        <v>2.888224E-2</v>
      </c>
      <c r="Z5142">
        <v>5.2659250000000003E-3</v>
      </c>
      <c r="AA5142">
        <v>0.99956889999999998</v>
      </c>
      <c r="AB5142">
        <v>22</v>
      </c>
      <c r="AC5142">
        <v>13.0527999999999</v>
      </c>
      <c r="AD5142">
        <v>-1.1116279801519999</v>
      </c>
      <c r="AE5142">
        <v>-1.39422</v>
      </c>
      <c r="AF5142">
        <v>0.37880886381143197</v>
      </c>
      <c r="AG5142">
        <v>-1.1116279801519999</v>
      </c>
      <c r="AH5142">
        <v>13.028078903403401</v>
      </c>
      <c r="AI5142">
        <v>94.874930829911904</v>
      </c>
      <c r="AJ5142">
        <v>88.334517627052605</v>
      </c>
      <c r="AK5142">
        <v>13.0809041291061</v>
      </c>
      <c r="AL5142">
        <v>91.051002184972901</v>
      </c>
      <c r="AM5142">
        <v>94.932751726897095</v>
      </c>
      <c r="AN5142">
        <v>1.00000000634013</v>
      </c>
    </row>
    <row r="5143" spans="1:40" x14ac:dyDescent="0.3">
      <c r="A5143" t="str">
        <f>"20200111160605428"</f>
        <v>20200111160605428</v>
      </c>
      <c r="B5143" t="str">
        <f>"1578729965416967"</f>
        <v>1578729965416967</v>
      </c>
      <c r="C5143" t="s">
        <v>40</v>
      </c>
      <c r="D5143">
        <v>5.4016469999999996</v>
      </c>
      <c r="E5143">
        <v>0.54514219999999902</v>
      </c>
      <c r="F5143" t="s">
        <v>42</v>
      </c>
      <c r="G5143">
        <v>-375.18869999999998</v>
      </c>
      <c r="H5143">
        <v>1.042559</v>
      </c>
      <c r="I5143">
        <v>17.285219999999999</v>
      </c>
      <c r="J5143">
        <v>-375.8734</v>
      </c>
      <c r="K5143">
        <v>1.1115950000000001</v>
      </c>
      <c r="L5143">
        <v>17.365079999999999</v>
      </c>
      <c r="M5143">
        <v>0.997</v>
      </c>
      <c r="N5143">
        <v>0</v>
      </c>
      <c r="O5143">
        <v>-7.6091279999999997E-2</v>
      </c>
      <c r="P5143">
        <v>0.99942920000000002</v>
      </c>
      <c r="Q5143">
        <v>-3.2321030000000001E-2</v>
      </c>
      <c r="R5143">
        <v>9.8529180000000004E-3</v>
      </c>
      <c r="S5143">
        <v>2.9963069999999998</v>
      </c>
      <c r="T5143">
        <v>-0.25565510000000002</v>
      </c>
      <c r="U5143">
        <v>-0.32543949999999999</v>
      </c>
      <c r="V5143">
        <v>-8.58241E-2</v>
      </c>
      <c r="W5143">
        <v>-1.844906E-2</v>
      </c>
      <c r="X5143">
        <v>0.99613949999999996</v>
      </c>
      <c r="Y5143">
        <v>3.21684E-2</v>
      </c>
      <c r="Z5143">
        <v>5.0851380000000003E-3</v>
      </c>
      <c r="AA5143">
        <v>0.99946950000000001</v>
      </c>
      <c r="AB5143">
        <v>22</v>
      </c>
      <c r="AC5143">
        <v>0.68470000000001996</v>
      </c>
      <c r="AD5143">
        <v>-6.9036000000000097E-2</v>
      </c>
      <c r="AE5143">
        <v>-7.9859999999996406E-2</v>
      </c>
      <c r="AF5143">
        <v>2.7250180804678E-2</v>
      </c>
      <c r="AG5143">
        <v>-6.9036000000000097E-2</v>
      </c>
      <c r="AH5143">
        <v>0.68195212927458204</v>
      </c>
      <c r="AI5143">
        <v>95.775947549715994</v>
      </c>
      <c r="AJ5143">
        <v>87.711730665690993</v>
      </c>
      <c r="AK5143">
        <v>0.68597904360995199</v>
      </c>
      <c r="AL5143">
        <v>91.057113222590601</v>
      </c>
      <c r="AM5143">
        <v>94.924255554246102</v>
      </c>
      <c r="AN5143">
        <v>1.00000002370797</v>
      </c>
    </row>
    <row r="5144" spans="1:40" x14ac:dyDescent="0.3">
      <c r="A5144" t="str">
        <f>"20200111160605448"</f>
        <v>20200111160605448</v>
      </c>
      <c r="B5144" t="str">
        <f>"1578729965437463"</f>
        <v>1578729965437463</v>
      </c>
      <c r="C5144" t="s">
        <v>40</v>
      </c>
      <c r="D5144">
        <v>5.489058</v>
      </c>
      <c r="E5144">
        <v>0.54565540000000001</v>
      </c>
      <c r="F5144" t="s">
        <v>42</v>
      </c>
      <c r="G5144">
        <v>-374.99619999999999</v>
      </c>
      <c r="H5144">
        <v>1.035728</v>
      </c>
      <c r="I5144">
        <v>17.269649999999999</v>
      </c>
      <c r="J5144">
        <v>-375.6771</v>
      </c>
      <c r="K5144">
        <v>1.111542</v>
      </c>
      <c r="L5144">
        <v>17.352170000000001</v>
      </c>
      <c r="M5144">
        <v>0.99713459999999998</v>
      </c>
      <c r="N5144">
        <v>0</v>
      </c>
      <c r="O5144">
        <v>-7.4312020000000006E-2</v>
      </c>
      <c r="P5144">
        <v>0.99941100000000005</v>
      </c>
      <c r="Q5144">
        <v>-3.2344449999999997E-2</v>
      </c>
      <c r="R5144">
        <v>1.147225E-2</v>
      </c>
      <c r="S5144">
        <v>2.9964900000000001</v>
      </c>
      <c r="T5144">
        <v>-0.25929669999999999</v>
      </c>
      <c r="U5144">
        <v>-0.32513429999999999</v>
      </c>
      <c r="V5144">
        <v>-8.5663489999999995E-2</v>
      </c>
      <c r="W5144">
        <v>-1.849278E-2</v>
      </c>
      <c r="X5144">
        <v>0.9961525</v>
      </c>
      <c r="Y5144">
        <v>3.3836610000000003E-2</v>
      </c>
      <c r="Z5144">
        <v>4.9325819999999996E-3</v>
      </c>
      <c r="AA5144">
        <v>0.99941519999999995</v>
      </c>
      <c r="AB5144">
        <v>22</v>
      </c>
      <c r="AC5144">
        <v>0.68090000000000805</v>
      </c>
      <c r="AD5144">
        <v>-7.5814000000000006E-2</v>
      </c>
      <c r="AE5144">
        <v>-8.25200000000023E-2</v>
      </c>
      <c r="AF5144">
        <v>3.1305180263008797E-2</v>
      </c>
      <c r="AG5144">
        <v>-7.5814000000000006E-2</v>
      </c>
      <c r="AH5144">
        <v>0.67687969300013195</v>
      </c>
      <c r="AI5144">
        <v>96.384018156941096</v>
      </c>
      <c r="AJ5144">
        <v>87.351999932293197</v>
      </c>
      <c r="AK5144">
        <v>0.68183128096564505</v>
      </c>
      <c r="AL5144">
        <v>91.059618636130295</v>
      </c>
      <c r="AM5144">
        <v>94.915021728734601</v>
      </c>
      <c r="AN5144">
        <v>1.0000000098436701</v>
      </c>
    </row>
    <row r="5145" spans="1:40" x14ac:dyDescent="0.3">
      <c r="A5145" t="str">
        <f>"20200111160605459"</f>
        <v>20200111160605459</v>
      </c>
      <c r="B5145" t="str">
        <f>"1578729965456984"</f>
        <v>1578729965456984</v>
      </c>
      <c r="C5145" t="s">
        <v>40</v>
      </c>
      <c r="D5145">
        <v>5.4672989999999997</v>
      </c>
      <c r="E5145">
        <v>0.54621070000000005</v>
      </c>
      <c r="F5145" t="s">
        <v>42</v>
      </c>
      <c r="G5145">
        <v>-374.79930000000002</v>
      </c>
      <c r="H5145">
        <v>1.0343830000000001</v>
      </c>
      <c r="I5145">
        <v>17.256930000000001</v>
      </c>
      <c r="J5145">
        <v>-375.55450000000002</v>
      </c>
      <c r="K5145">
        <v>1.111504</v>
      </c>
      <c r="L5145">
        <v>17.344239999999999</v>
      </c>
      <c r="M5145">
        <v>0.99721510000000002</v>
      </c>
      <c r="N5145">
        <v>0</v>
      </c>
      <c r="O5145">
        <v>-7.3235289999999995E-2</v>
      </c>
      <c r="P5145">
        <v>0.99939330000000004</v>
      </c>
      <c r="Q5145">
        <v>-3.2531669999999999E-2</v>
      </c>
      <c r="R5145">
        <v>1.2437739999999999E-2</v>
      </c>
      <c r="S5145">
        <v>2.9969480000000002</v>
      </c>
      <c r="T5145">
        <v>-0.26358559999999998</v>
      </c>
      <c r="U5145">
        <v>-0.323974599999999</v>
      </c>
      <c r="V5145">
        <v>-8.5550050000000002E-2</v>
      </c>
      <c r="W5145">
        <v>-1.8729909999999999E-2</v>
      </c>
      <c r="X5145">
        <v>0.99615779999999998</v>
      </c>
      <c r="Y5145">
        <v>3.4515480000000001E-2</v>
      </c>
      <c r="Z5145">
        <v>4.8896410000000001E-3</v>
      </c>
      <c r="AA5145">
        <v>0.99939219999999895</v>
      </c>
      <c r="AB5145">
        <v>22</v>
      </c>
      <c r="AC5145">
        <v>0.75520000000000198</v>
      </c>
      <c r="AD5145">
        <v>-7.7120999999999995E-2</v>
      </c>
      <c r="AE5145">
        <v>-8.7309999999998597E-2</v>
      </c>
      <c r="AF5145">
        <v>3.1439175529684601E-2</v>
      </c>
      <c r="AG5145">
        <v>-7.7120999999999995E-2</v>
      </c>
      <c r="AH5145">
        <v>0.75182942894456495</v>
      </c>
      <c r="AI5145">
        <v>95.851711019831995</v>
      </c>
      <c r="AJ5145">
        <v>87.605463244887702</v>
      </c>
      <c r="AK5145">
        <v>0.75642815959355703</v>
      </c>
      <c r="AL5145">
        <v>91.073207557548301</v>
      </c>
      <c r="AM5145">
        <v>94.908518837034194</v>
      </c>
      <c r="AN5145">
        <v>0.99999999154222496</v>
      </c>
    </row>
    <row r="5146" spans="1:40" x14ac:dyDescent="0.3">
      <c r="A5146" t="str">
        <f>"20200111160605472"</f>
        <v>20200111160605472</v>
      </c>
      <c r="B5146" t="str">
        <f>"1578729965467720"</f>
        <v>1578729965467720</v>
      </c>
      <c r="C5146" t="s">
        <v>40</v>
      </c>
      <c r="D5146">
        <v>5.4484979999999998</v>
      </c>
      <c r="E5146">
        <v>0.54646070000000002</v>
      </c>
      <c r="F5146" t="s">
        <v>42</v>
      </c>
      <c r="G5146">
        <v>-374.7928</v>
      </c>
      <c r="H5146">
        <v>1.043612</v>
      </c>
      <c r="I5146">
        <v>17.261199999999999</v>
      </c>
      <c r="J5146">
        <v>-375.44209999999998</v>
      </c>
      <c r="K5146">
        <v>1.111467</v>
      </c>
      <c r="L5146">
        <v>17.3371</v>
      </c>
      <c r="M5146">
        <v>0.9972858</v>
      </c>
      <c r="N5146">
        <v>0</v>
      </c>
      <c r="O5146">
        <v>-7.227915E-2</v>
      </c>
      <c r="P5146">
        <v>0.99936539999999996</v>
      </c>
      <c r="Q5146">
        <v>-3.2926669999999998E-2</v>
      </c>
      <c r="R5146">
        <v>1.360083E-2</v>
      </c>
      <c r="S5146">
        <v>2.9971920000000001</v>
      </c>
      <c r="T5146">
        <v>-0.2672716</v>
      </c>
      <c r="U5146">
        <v>-0.32537840000000001</v>
      </c>
      <c r="V5146">
        <v>-8.5753549999999998E-2</v>
      </c>
      <c r="W5146">
        <v>-1.9193579999999998E-2</v>
      </c>
      <c r="X5146">
        <v>0.99613149999999995</v>
      </c>
      <c r="Y5146">
        <v>3.5922559999999999E-2</v>
      </c>
      <c r="Z5146">
        <v>4.8102450000000003E-3</v>
      </c>
      <c r="AA5146">
        <v>0.99934299999999998</v>
      </c>
      <c r="AB5146">
        <v>22</v>
      </c>
      <c r="AC5146">
        <v>0.649299999999982</v>
      </c>
      <c r="AD5146">
        <v>-6.7854999999999999E-2</v>
      </c>
      <c r="AE5146">
        <v>-7.5900000000000703E-2</v>
      </c>
      <c r="AF5146">
        <v>2.84593480037507E-2</v>
      </c>
      <c r="AG5146">
        <v>-6.7854999999999999E-2</v>
      </c>
      <c r="AH5146">
        <v>0.64612651610959604</v>
      </c>
      <c r="AI5146">
        <v>95.989355764553096</v>
      </c>
      <c r="AJ5146">
        <v>87.477974937128096</v>
      </c>
      <c r="AK5146">
        <v>0.65030278358140503</v>
      </c>
      <c r="AL5146">
        <v>91.099778643439507</v>
      </c>
      <c r="AM5146">
        <v>94.920266867488394</v>
      </c>
      <c r="AN5146">
        <v>1.00000001507153</v>
      </c>
    </row>
    <row r="5147" spans="1:40" x14ac:dyDescent="0.3">
      <c r="A5147" t="str">
        <f>"20200111160605484"</f>
        <v>20200111160605484</v>
      </c>
      <c r="B5147" t="str">
        <f>"1578729965477480"</f>
        <v>1578729965477480</v>
      </c>
      <c r="C5147" t="s">
        <v>40</v>
      </c>
      <c r="D5147">
        <v>5.4478019999999896</v>
      </c>
      <c r="E5147">
        <v>0.54672359999999998</v>
      </c>
      <c r="F5147" t="s">
        <v>42</v>
      </c>
      <c r="G5147">
        <v>-374.60109999999997</v>
      </c>
      <c r="H5147">
        <v>1.0356890000000001</v>
      </c>
      <c r="I5147">
        <v>17.246189999999999</v>
      </c>
      <c r="J5147">
        <v>-375.31459999999998</v>
      </c>
      <c r="K5147">
        <v>1.111426</v>
      </c>
      <c r="L5147">
        <v>17.329070000000002</v>
      </c>
      <c r="M5147">
        <v>0.99736389999999997</v>
      </c>
      <c r="N5147">
        <v>0</v>
      </c>
      <c r="O5147">
        <v>-7.121326E-2</v>
      </c>
      <c r="P5147">
        <v>0.99931590000000003</v>
      </c>
      <c r="Q5147">
        <v>-3.3785120000000002E-2</v>
      </c>
      <c r="R5147">
        <v>1.505223E-2</v>
      </c>
      <c r="S5147">
        <v>2.9973749999999999</v>
      </c>
      <c r="T5147">
        <v>-0.27014500000000002</v>
      </c>
      <c r="U5147">
        <v>-0.32376100000000002</v>
      </c>
      <c r="V5147">
        <v>-8.6131949999999999E-2</v>
      </c>
      <c r="W5147">
        <v>-2.0142230000000001E-2</v>
      </c>
      <c r="X5147">
        <v>0.99608010000000002</v>
      </c>
      <c r="Y5147">
        <v>3.6447859999999999E-2</v>
      </c>
      <c r="Z5147">
        <v>4.7428319999999998E-3</v>
      </c>
      <c r="AA5147">
        <v>0.99932430000000005</v>
      </c>
      <c r="AB5147">
        <v>22</v>
      </c>
      <c r="AC5147">
        <v>0.71350000000001002</v>
      </c>
      <c r="AD5147">
        <v>-7.5737000000000096E-2</v>
      </c>
      <c r="AE5147">
        <v>-8.2880000000002896E-2</v>
      </c>
      <c r="AF5147">
        <v>3.1503705080145397E-2</v>
      </c>
      <c r="AG5147">
        <v>-7.5737000000000096E-2</v>
      </c>
      <c r="AH5147">
        <v>0.70970077554019395</v>
      </c>
      <c r="AI5147">
        <v>96.085420967824902</v>
      </c>
      <c r="AJ5147">
        <v>87.458301852297794</v>
      </c>
      <c r="AK5147">
        <v>0.71442548065220102</v>
      </c>
      <c r="AL5147">
        <v>91.1541428260674</v>
      </c>
      <c r="AM5147">
        <v>94.942124723499603</v>
      </c>
      <c r="AN5147">
        <v>0.99999999392809202</v>
      </c>
    </row>
    <row r="5148" spans="1:40" x14ac:dyDescent="0.3">
      <c r="A5148" t="str">
        <f>"20200111160605497"</f>
        <v>20200111160605497</v>
      </c>
      <c r="B5148" t="str">
        <f>"1578729965487239"</f>
        <v>1578729965487239</v>
      </c>
      <c r="C5148" t="s">
        <v>40</v>
      </c>
      <c r="D5148">
        <v>5.4764089999999896</v>
      </c>
      <c r="E5148">
        <v>0.54699439999999999</v>
      </c>
      <c r="F5148" t="s">
        <v>42</v>
      </c>
      <c r="G5148">
        <v>-374.40719999999999</v>
      </c>
      <c r="H5148">
        <v>1.0286249999999999</v>
      </c>
      <c r="I5148">
        <v>17.23124</v>
      </c>
      <c r="J5148">
        <v>-375.1823</v>
      </c>
      <c r="K5148">
        <v>1.111378</v>
      </c>
      <c r="L5148">
        <v>17.320889999999999</v>
      </c>
      <c r="M5148">
        <v>0.9974404</v>
      </c>
      <c r="N5148">
        <v>0</v>
      </c>
      <c r="O5148">
        <v>-7.0157230000000001E-2</v>
      </c>
      <c r="P5148">
        <v>0.99927480000000002</v>
      </c>
      <c r="Q5148">
        <v>-3.4469710000000001E-2</v>
      </c>
      <c r="R5148">
        <v>1.6182220000000001E-2</v>
      </c>
      <c r="S5148">
        <v>2.9976500000000001</v>
      </c>
      <c r="T5148">
        <v>-0.27380330000000003</v>
      </c>
      <c r="U5148">
        <v>-0.32150269999999997</v>
      </c>
      <c r="V5148">
        <v>-8.620129E-2</v>
      </c>
      <c r="W5148">
        <v>-2.0935229999999999E-2</v>
      </c>
      <c r="X5148">
        <v>0.99605770000000005</v>
      </c>
      <c r="Y5148">
        <v>3.675026E-2</v>
      </c>
      <c r="Z5148">
        <v>4.6972130000000004E-3</v>
      </c>
      <c r="AA5148">
        <v>0.99931340000000002</v>
      </c>
      <c r="AB5148">
        <v>22</v>
      </c>
      <c r="AC5148">
        <v>0.775100000000009</v>
      </c>
      <c r="AD5148">
        <v>-8.2752999999999993E-2</v>
      </c>
      <c r="AE5148">
        <v>-8.9649999999998897E-2</v>
      </c>
      <c r="AF5148">
        <v>3.4655196609552102E-2</v>
      </c>
      <c r="AG5148">
        <v>-8.2752999999999993E-2</v>
      </c>
      <c r="AH5148">
        <v>0.77080976768658505</v>
      </c>
      <c r="AI5148">
        <v>96.121583127940099</v>
      </c>
      <c r="AJ5148">
        <v>87.425745828529202</v>
      </c>
      <c r="AK5148">
        <v>0.77601336304350699</v>
      </c>
      <c r="AL5148">
        <v>91.1995880268897</v>
      </c>
      <c r="AM5148">
        <v>94.946194301064295</v>
      </c>
      <c r="AN5148">
        <v>0.99999994399105196</v>
      </c>
    </row>
    <row r="5149" spans="1:40" x14ac:dyDescent="0.3">
      <c r="A5149" t="str">
        <f>"20200111160605515"</f>
        <v>20200111160605515</v>
      </c>
      <c r="B5149" t="str">
        <f>"1578729965507735"</f>
        <v>1578729965507735</v>
      </c>
      <c r="C5149" t="s">
        <v>40</v>
      </c>
      <c r="D5149">
        <v>5.504791</v>
      </c>
      <c r="E5149">
        <v>0.54746430000000001</v>
      </c>
      <c r="F5149" t="s">
        <v>42</v>
      </c>
      <c r="G5149">
        <v>-374.4015</v>
      </c>
      <c r="H5149">
        <v>1.039256</v>
      </c>
      <c r="I5149">
        <v>17.236979999999999</v>
      </c>
      <c r="J5149">
        <v>-375.0104</v>
      </c>
      <c r="K5149">
        <v>1.1113059999999999</v>
      </c>
      <c r="L5149">
        <v>17.310389999999899</v>
      </c>
      <c r="M5149">
        <v>0.99753530000000001</v>
      </c>
      <c r="N5149">
        <v>0</v>
      </c>
      <c r="O5149">
        <v>-6.8825010000000006E-2</v>
      </c>
      <c r="P5149">
        <v>0.99919369999999996</v>
      </c>
      <c r="Q5149">
        <v>-3.6150599999999998E-2</v>
      </c>
      <c r="R5149">
        <v>1.7473309999999999E-2</v>
      </c>
      <c r="S5149">
        <v>2.9978030000000002</v>
      </c>
      <c r="T5149">
        <v>-0.27720820000000002</v>
      </c>
      <c r="U5149">
        <v>-0.32019039999999999</v>
      </c>
      <c r="V5149">
        <v>-8.6151800000000001E-2</v>
      </c>
      <c r="W5149">
        <v>-2.2760619999999999E-2</v>
      </c>
      <c r="X5149">
        <v>0.99602199999999996</v>
      </c>
      <c r="Y5149">
        <v>3.7641260000000003E-2</v>
      </c>
      <c r="Z5149">
        <v>4.5921260000000002E-3</v>
      </c>
      <c r="AA5149">
        <v>0.99928079999999997</v>
      </c>
      <c r="AB5149">
        <v>22</v>
      </c>
      <c r="AC5149">
        <v>0.60890000000000499</v>
      </c>
      <c r="AD5149">
        <v>-7.2049999999999906E-2</v>
      </c>
      <c r="AE5149">
        <v>-7.3409999999999004E-2</v>
      </c>
      <c r="AF5149">
        <v>3.0898016103093E-2</v>
      </c>
      <c r="AG5149">
        <v>-7.2049999999999906E-2</v>
      </c>
      <c r="AH5149">
        <v>0.60417066163439803</v>
      </c>
      <c r="AI5149">
        <v>96.791862571991999</v>
      </c>
      <c r="AJ5149">
        <v>87.072375300329796</v>
      </c>
      <c r="AK5149">
        <v>0.60923565086003795</v>
      </c>
      <c r="AL5149">
        <v>91.304200085610901</v>
      </c>
      <c r="AM5149">
        <v>94.943544965862799</v>
      </c>
      <c r="AN5149">
        <v>1.0000000014750099</v>
      </c>
    </row>
    <row r="5150" spans="1:40" x14ac:dyDescent="0.3">
      <c r="A5150" t="str">
        <f>"20200111160605529"</f>
        <v>20200111160605529</v>
      </c>
      <c r="B5150" t="str">
        <f>"1578729965517495"</f>
        <v>1578729965517495</v>
      </c>
      <c r="C5150" t="s">
        <v>40</v>
      </c>
      <c r="D5150">
        <v>5.4452129999999999</v>
      </c>
      <c r="E5150">
        <v>0.54764389999999996</v>
      </c>
      <c r="F5150" t="s">
        <v>42</v>
      </c>
      <c r="G5150">
        <v>-374.20609999999999</v>
      </c>
      <c r="H5150">
        <v>1.0349109999999999</v>
      </c>
      <c r="I5150">
        <v>17.224260000000001</v>
      </c>
      <c r="J5150">
        <v>-374.8793</v>
      </c>
      <c r="K5150">
        <v>1.111253</v>
      </c>
      <c r="L5150">
        <v>17.302489999999999</v>
      </c>
      <c r="M5150">
        <v>0.99760420000000005</v>
      </c>
      <c r="N5150">
        <v>0</v>
      </c>
      <c r="O5150">
        <v>-6.7841380000000007E-2</v>
      </c>
      <c r="P5150">
        <v>0.99915189999999998</v>
      </c>
      <c r="Q5150">
        <v>-3.6790780000000002E-2</v>
      </c>
      <c r="R5150">
        <v>1.8482289999999998E-2</v>
      </c>
      <c r="S5150">
        <v>2.9977109999999998</v>
      </c>
      <c r="T5150">
        <v>-0.28491290000000002</v>
      </c>
      <c r="U5150">
        <v>-0.31991579999999997</v>
      </c>
      <c r="V5150">
        <v>-8.6174029999999999E-2</v>
      </c>
      <c r="W5150">
        <v>-2.3512330000000001E-2</v>
      </c>
      <c r="X5150">
        <v>0.99600259999999996</v>
      </c>
      <c r="Y5150">
        <v>3.8538419999999997E-2</v>
      </c>
      <c r="Z5150">
        <v>4.5842490000000003E-3</v>
      </c>
      <c r="AA5150">
        <v>0.99924659999999998</v>
      </c>
      <c r="AB5150">
        <v>22</v>
      </c>
      <c r="AC5150">
        <v>0.67320000000000801</v>
      </c>
      <c r="AD5150">
        <v>-7.6341999999999896E-2</v>
      </c>
      <c r="AE5150">
        <v>-7.8229999999997801E-2</v>
      </c>
      <c r="AF5150">
        <v>3.1969085874806298E-2</v>
      </c>
      <c r="AG5150">
        <v>-7.6341999999999896E-2</v>
      </c>
      <c r="AH5150">
        <v>0.66847446102311403</v>
      </c>
      <c r="AI5150">
        <v>96.507767601900497</v>
      </c>
      <c r="AJ5150">
        <v>87.261975924205302</v>
      </c>
      <c r="AK5150">
        <v>0.67357867280356598</v>
      </c>
      <c r="AL5150">
        <v>91.347281449811106</v>
      </c>
      <c r="AM5150">
        <v>94.944910076280607</v>
      </c>
      <c r="AN5150">
        <v>0.99999998615761398</v>
      </c>
    </row>
    <row r="5151" spans="1:40" x14ac:dyDescent="0.3">
      <c r="A5151" t="str">
        <f>"20200111160605542"</f>
        <v>20200111160605542</v>
      </c>
      <c r="B5151" t="str">
        <f>"1578729965537018"</f>
        <v>1578729965537018</v>
      </c>
      <c r="C5151" t="s">
        <v>40</v>
      </c>
      <c r="D5151">
        <v>5.441554</v>
      </c>
      <c r="E5151">
        <v>0.54803480000000004</v>
      </c>
      <c r="F5151" t="s">
        <v>42</v>
      </c>
      <c r="G5151">
        <v>-374.01190000000003</v>
      </c>
      <c r="H5151">
        <v>1.0281070000000001</v>
      </c>
      <c r="I5151">
        <v>17.210270000000001</v>
      </c>
      <c r="J5151">
        <v>-374.7407</v>
      </c>
      <c r="K5151">
        <v>1.1111979999999999</v>
      </c>
      <c r="L5151">
        <v>17.29419</v>
      </c>
      <c r="M5151">
        <v>0.99767410000000001</v>
      </c>
      <c r="N5151">
        <v>0</v>
      </c>
      <c r="O5151">
        <v>-6.68324E-2</v>
      </c>
      <c r="P5151">
        <v>0.99913419999999997</v>
      </c>
      <c r="Q5151">
        <v>-3.6969809999999999E-2</v>
      </c>
      <c r="R5151">
        <v>1.9082169999999999E-2</v>
      </c>
      <c r="S5151">
        <v>2.9978940000000001</v>
      </c>
      <c r="T5151">
        <v>-0.28738370000000002</v>
      </c>
      <c r="U5151">
        <v>-0.31829829999999998</v>
      </c>
      <c r="V5151">
        <v>-8.5766899999999993E-2</v>
      </c>
      <c r="W5151">
        <v>-2.3807399999999999E-2</v>
      </c>
      <c r="X5151">
        <v>0.99603070000000005</v>
      </c>
      <c r="Y5151">
        <v>3.9005230000000002E-2</v>
      </c>
      <c r="Z5151">
        <v>4.5055269999999996E-3</v>
      </c>
      <c r="AA5151">
        <v>0.99922880000000003</v>
      </c>
      <c r="AB5151">
        <v>22</v>
      </c>
      <c r="AC5151">
        <v>0.72879999999997802</v>
      </c>
      <c r="AD5151">
        <v>-8.3090999999999998E-2</v>
      </c>
      <c r="AE5151">
        <v>-8.3919999999999106E-2</v>
      </c>
      <c r="AF5151">
        <v>3.4576941166327001E-2</v>
      </c>
      <c r="AG5151">
        <v>-8.3090999999999998E-2</v>
      </c>
      <c r="AH5151">
        <v>0.72349806160383001</v>
      </c>
      <c r="AI5151">
        <v>96.544094701097094</v>
      </c>
      <c r="AJ5151">
        <v>87.263839848673101</v>
      </c>
      <c r="AK5151">
        <v>0.72907415554655297</v>
      </c>
      <c r="AL5151">
        <v>91.364192493078093</v>
      </c>
      <c r="AM5151">
        <v>94.921524657615507</v>
      </c>
      <c r="AN5151">
        <v>0.99999995438642897</v>
      </c>
    </row>
    <row r="5152" spans="1:40" x14ac:dyDescent="0.3">
      <c r="A5152" t="str">
        <f>"20200111160605559"</f>
        <v>20200111160605559</v>
      </c>
      <c r="B5152" t="str">
        <f>"1578729965547751"</f>
        <v>1578729965547751</v>
      </c>
      <c r="C5152" t="s">
        <v>40</v>
      </c>
      <c r="D5152">
        <v>5.3626480000000001</v>
      </c>
      <c r="E5152">
        <v>0.54821779999999998</v>
      </c>
      <c r="F5152" t="s">
        <v>42</v>
      </c>
      <c r="G5152">
        <v>-374.00540000000001</v>
      </c>
      <c r="H5152">
        <v>1.040295</v>
      </c>
      <c r="I5152">
        <v>17.215699999999998</v>
      </c>
      <c r="J5152">
        <v>-374.577</v>
      </c>
      <c r="K5152">
        <v>1.111137</v>
      </c>
      <c r="L5152">
        <v>17.284579999999998</v>
      </c>
      <c r="M5152">
        <v>0.99775130000000001</v>
      </c>
      <c r="N5152">
        <v>0</v>
      </c>
      <c r="O5152">
        <v>-6.5699320000000005E-2</v>
      </c>
      <c r="P5152">
        <v>0.99909680000000001</v>
      </c>
      <c r="Q5152">
        <v>-3.740769E-2</v>
      </c>
      <c r="R5152">
        <v>2.015716E-2</v>
      </c>
      <c r="S5152">
        <v>2.9980159999999998</v>
      </c>
      <c r="T5152">
        <v>-0.28911690000000001</v>
      </c>
      <c r="U5152">
        <v>-0.31954959999999999</v>
      </c>
      <c r="V5152">
        <v>-8.5707779999999997E-2</v>
      </c>
      <c r="W5152">
        <v>-2.438133E-2</v>
      </c>
      <c r="X5152">
        <v>0.99602190000000002</v>
      </c>
      <c r="Y5152">
        <v>4.0537539999999997E-2</v>
      </c>
      <c r="Z5152">
        <v>4.3504009999999899E-3</v>
      </c>
      <c r="AA5152">
        <v>0.99916859999999996</v>
      </c>
      <c r="AB5152">
        <v>22</v>
      </c>
      <c r="AC5152">
        <v>0.57159999999998901</v>
      </c>
      <c r="AD5152">
        <v>-7.0842000000000002E-2</v>
      </c>
      <c r="AE5152">
        <v>-6.8879999999999997E-2</v>
      </c>
      <c r="AF5152">
        <v>3.0709172988924598E-2</v>
      </c>
      <c r="AG5152">
        <v>-7.0842000000000002E-2</v>
      </c>
      <c r="AH5152">
        <v>0.56631635744485498</v>
      </c>
      <c r="AI5152">
        <v>97.119889020033497</v>
      </c>
      <c r="AJ5152">
        <v>86.896108648124198</v>
      </c>
      <c r="AK5152">
        <v>0.57155564819120797</v>
      </c>
      <c r="AL5152">
        <v>91.3970858185385</v>
      </c>
      <c r="AM5152">
        <v>94.918192085076996</v>
      </c>
      <c r="AN5152">
        <v>0.99999994904235201</v>
      </c>
    </row>
    <row r="5153" spans="1:40" x14ac:dyDescent="0.3">
      <c r="A5153" t="str">
        <f>"20200111160605573"</f>
        <v>20200111160605573</v>
      </c>
      <c r="B5153" t="str">
        <f>"1578729965567271"</f>
        <v>1578729965567271</v>
      </c>
      <c r="C5153" t="s">
        <v>40</v>
      </c>
      <c r="D5153">
        <v>5.4459229999999996</v>
      </c>
      <c r="E5153">
        <v>0.54868919999999999</v>
      </c>
      <c r="F5153" t="s">
        <v>42</v>
      </c>
      <c r="G5153">
        <v>-373.80939999999998</v>
      </c>
      <c r="H5153">
        <v>1.0367679999999999</v>
      </c>
      <c r="I5153">
        <v>17.203229999999898</v>
      </c>
      <c r="J5153">
        <v>-374.44760000000002</v>
      </c>
      <c r="K5153">
        <v>1.1110899999999999</v>
      </c>
      <c r="L5153">
        <v>17.27704</v>
      </c>
      <c r="M5153">
        <v>0.9978089</v>
      </c>
      <c r="N5153">
        <v>0</v>
      </c>
      <c r="O5153">
        <v>-6.4843040000000005E-2</v>
      </c>
      <c r="P5153">
        <v>0.99908680000000005</v>
      </c>
      <c r="Q5153">
        <v>-3.7212250000000002E-2</v>
      </c>
      <c r="R5153">
        <v>2.09991E-2</v>
      </c>
      <c r="S5153">
        <v>2.998291</v>
      </c>
      <c r="T5153">
        <v>-0.29052719999999999</v>
      </c>
      <c r="U5153">
        <v>-0.317749</v>
      </c>
      <c r="V5153">
        <v>-8.5695599999999997E-2</v>
      </c>
      <c r="W5153">
        <v>-2.4291239999999999E-2</v>
      </c>
      <c r="X5153">
        <v>0.99602520000000005</v>
      </c>
      <c r="Y5153">
        <v>4.0788150000000002E-2</v>
      </c>
      <c r="Z5153">
        <v>4.2769280000000002E-3</v>
      </c>
      <c r="AA5153">
        <v>0.99915869999999996</v>
      </c>
      <c r="AB5153">
        <v>22</v>
      </c>
      <c r="AC5153">
        <v>0.63820000000003996</v>
      </c>
      <c r="AD5153">
        <v>-7.4321999999999694E-2</v>
      </c>
      <c r="AE5153">
        <v>-7.3810000000001694E-2</v>
      </c>
      <c r="AF5153">
        <v>3.1842094530093699E-2</v>
      </c>
      <c r="AG5153">
        <v>-7.4321999999999694E-2</v>
      </c>
      <c r="AH5153">
        <v>0.63316948570575204</v>
      </c>
      <c r="AI5153">
        <v>96.6864211216988</v>
      </c>
      <c r="AJ5153">
        <v>87.121020575125002</v>
      </c>
      <c r="AK5153">
        <v>0.63831126912890201</v>
      </c>
      <c r="AL5153">
        <v>91.391922441863798</v>
      </c>
      <c r="AM5153">
        <v>94.917480371805794</v>
      </c>
      <c r="AN5153">
        <v>0.99999999961756803</v>
      </c>
    </row>
    <row r="5154" spans="1:40" x14ac:dyDescent="0.3">
      <c r="A5154" t="str">
        <f>"20200111160605592"</f>
        <v>20200111160605592</v>
      </c>
      <c r="B5154" t="str">
        <f>"1578729965587768"</f>
        <v>1578729965587768</v>
      </c>
      <c r="C5154" t="s">
        <v>40</v>
      </c>
      <c r="D5154">
        <v>5.2631269999999999</v>
      </c>
      <c r="E5154">
        <v>0.54911009999999905</v>
      </c>
      <c r="F5154" t="s">
        <v>42</v>
      </c>
      <c r="G5154">
        <v>-373.61489999999998</v>
      </c>
      <c r="H5154">
        <v>1.0306409999999999</v>
      </c>
      <c r="I5154">
        <v>17.188140000000001</v>
      </c>
      <c r="J5154">
        <v>-374.24540000000002</v>
      </c>
      <c r="K5154">
        <v>1.11102099999999</v>
      </c>
      <c r="L5154">
        <v>17.265409999999999</v>
      </c>
      <c r="M5154">
        <v>0.99789300000000003</v>
      </c>
      <c r="N5154">
        <v>0</v>
      </c>
      <c r="O5154">
        <v>-6.3571509999999998E-2</v>
      </c>
      <c r="P5154">
        <v>0.99905849999999996</v>
      </c>
      <c r="Q5154">
        <v>-3.7197899999999999E-2</v>
      </c>
      <c r="R5154">
        <v>2.2328560000000001E-2</v>
      </c>
      <c r="S5154">
        <v>2.9986269999999999</v>
      </c>
      <c r="T5154">
        <v>-0.28979680000000002</v>
      </c>
      <c r="U5154">
        <v>-0.3190308</v>
      </c>
      <c r="V5154">
        <v>-8.5754670000000005E-2</v>
      </c>
      <c r="W5154">
        <v>-2.4436980000000001E-2</v>
      </c>
      <c r="X5154">
        <v>0.99601660000000003</v>
      </c>
      <c r="Y5154">
        <v>4.2457950000000001E-2</v>
      </c>
      <c r="Z5154">
        <v>4.0634770000000002E-3</v>
      </c>
      <c r="AA5154">
        <v>0.99909000000000003</v>
      </c>
      <c r="AB5154">
        <v>22</v>
      </c>
      <c r="AC5154">
        <v>0.63050000000004003</v>
      </c>
      <c r="AD5154">
        <v>-8.0379999999999896E-2</v>
      </c>
      <c r="AE5154">
        <v>-7.7269999999998604E-2</v>
      </c>
      <c r="AF5154">
        <v>3.64449059413995E-2</v>
      </c>
      <c r="AG5154">
        <v>-8.0379999999999896E-2</v>
      </c>
      <c r="AH5154">
        <v>0.62414313189155801</v>
      </c>
      <c r="AI5154">
        <v>97.326076402805796</v>
      </c>
      <c r="AJ5154">
        <v>86.658184986810596</v>
      </c>
      <c r="AK5154">
        <v>0.63035214337422596</v>
      </c>
      <c r="AL5154">
        <v>91.400275139902703</v>
      </c>
      <c r="AM5154">
        <v>94.920895634100006</v>
      </c>
      <c r="AN5154">
        <v>1.00000004844694</v>
      </c>
    </row>
    <row r="5155" spans="1:40" x14ac:dyDescent="0.3">
      <c r="A5155" t="str">
        <f>"20200111160605605"</f>
        <v>20200111160605605</v>
      </c>
      <c r="B5155" t="str">
        <f>"1578729965597528"</f>
        <v>1578729965597528</v>
      </c>
      <c r="C5155" t="s">
        <v>40</v>
      </c>
      <c r="D5155">
        <v>5.2588949999999999</v>
      </c>
      <c r="E5155">
        <v>0.5492745</v>
      </c>
      <c r="F5155" t="s">
        <v>42</v>
      </c>
      <c r="G5155">
        <v>-373.41649999999998</v>
      </c>
      <c r="H5155">
        <v>1.031161</v>
      </c>
      <c r="I5155">
        <v>17.177050000000001</v>
      </c>
      <c r="J5155">
        <v>-374.12670000000003</v>
      </c>
      <c r="K5155">
        <v>1.1109830000000001</v>
      </c>
      <c r="L5155">
        <v>17.25864</v>
      </c>
      <c r="M5155">
        <v>0.99793960000000004</v>
      </c>
      <c r="N5155">
        <v>0</v>
      </c>
      <c r="O5155">
        <v>-6.2856579999999995E-2</v>
      </c>
      <c r="P5155">
        <v>0.99904499999999996</v>
      </c>
      <c r="Q5155">
        <v>-3.7009779999999999E-2</v>
      </c>
      <c r="R5155">
        <v>2.3231930000000001E-2</v>
      </c>
      <c r="S5155">
        <v>2.9992070000000002</v>
      </c>
      <c r="T5155">
        <v>-0.28900150000000002</v>
      </c>
      <c r="U5155">
        <v>-0.31854250000000001</v>
      </c>
      <c r="V5155">
        <v>-8.5944370000000006E-2</v>
      </c>
      <c r="W5155">
        <v>-2.434016E-2</v>
      </c>
      <c r="X5155">
        <v>0.99600259999999996</v>
      </c>
      <c r="Y5155">
        <v>4.2986410000000003E-2</v>
      </c>
      <c r="Z5155">
        <v>3.9579769999999997E-3</v>
      </c>
      <c r="AA5155">
        <v>0.99906779999999995</v>
      </c>
      <c r="AB5155">
        <v>22</v>
      </c>
      <c r="AC5155">
        <v>0.71020000000004202</v>
      </c>
      <c r="AD5155">
        <v>-7.9822000000000004E-2</v>
      </c>
      <c r="AE5155">
        <v>-8.1589999999998497E-2</v>
      </c>
      <c r="AF5155">
        <v>3.6331224704133899E-2</v>
      </c>
      <c r="AG5155">
        <v>-7.9822000000000004E-2</v>
      </c>
      <c r="AH5155">
        <v>0.70513284100571705</v>
      </c>
      <c r="AI5155">
        <v>96.449983117691701</v>
      </c>
      <c r="AJ5155">
        <v>87.050503670634896</v>
      </c>
      <c r="AK5155">
        <v>0.71056585411719397</v>
      </c>
      <c r="AL5155">
        <v>91.394726139859898</v>
      </c>
      <c r="AM5155">
        <v>94.931796618372701</v>
      </c>
      <c r="AN5155">
        <v>1.00000002866514</v>
      </c>
    </row>
    <row r="5156" spans="1:40" x14ac:dyDescent="0.3">
      <c r="A5156" t="str">
        <f>"20200111160605617"</f>
        <v>20200111160605617</v>
      </c>
      <c r="B5156" t="str">
        <f>"1578729965607288"</f>
        <v>1578729965607288</v>
      </c>
      <c r="C5156" t="s">
        <v>40</v>
      </c>
      <c r="D5156">
        <v>6.2223949999999997</v>
      </c>
      <c r="E5156">
        <v>0.5492745</v>
      </c>
      <c r="F5156" t="s">
        <v>42</v>
      </c>
      <c r="G5156">
        <v>-373.22210000000001</v>
      </c>
      <c r="H5156">
        <v>1.0240229999999999</v>
      </c>
      <c r="I5156">
        <v>17.162700000000001</v>
      </c>
      <c r="J5156">
        <v>-374.00560000000002</v>
      </c>
      <c r="K5156">
        <v>1.1109530000000001</v>
      </c>
      <c r="L5156">
        <v>17.251799999999999</v>
      </c>
      <c r="M5156">
        <v>0.99798390000000003</v>
      </c>
      <c r="N5156">
        <v>0</v>
      </c>
      <c r="O5156">
        <v>-6.2167849999999997E-2</v>
      </c>
      <c r="P5156">
        <v>0.99902020000000002</v>
      </c>
      <c r="Q5156">
        <v>-3.6874789999999998E-2</v>
      </c>
      <c r="R5156">
        <v>2.447742E-2</v>
      </c>
      <c r="S5156">
        <v>2.9995729999999998</v>
      </c>
      <c r="T5156">
        <v>-0.28843829999999998</v>
      </c>
      <c r="U5156">
        <v>-0.31723020000000002</v>
      </c>
      <c r="V5156">
        <v>-8.6500590000000002E-2</v>
      </c>
      <c r="W5156">
        <v>-2.4293729999999999E-2</v>
      </c>
      <c r="X5156">
        <v>0.99595549999999999</v>
      </c>
      <c r="Y5156">
        <v>4.3226380000000002E-2</v>
      </c>
      <c r="Z5156">
        <v>3.872753E-3</v>
      </c>
      <c r="AA5156">
        <v>0.9990578</v>
      </c>
      <c r="AB5156">
        <v>22</v>
      </c>
      <c r="AC5156">
        <v>0.78350000000000297</v>
      </c>
      <c r="AD5156">
        <v>-8.6930000000000104E-2</v>
      </c>
      <c r="AE5156">
        <v>-8.9099999999998403E-2</v>
      </c>
      <c r="AF5156">
        <v>3.9732275120038803E-2</v>
      </c>
      <c r="AG5156">
        <v>-8.6930000000000104E-2</v>
      </c>
      <c r="AH5156">
        <v>0.77806803791118995</v>
      </c>
      <c r="AI5156">
        <v>96.366731552556502</v>
      </c>
      <c r="AJ5156">
        <v>87.076713245217306</v>
      </c>
      <c r="AK5156">
        <v>0.78391667299859302</v>
      </c>
      <c r="AL5156">
        <v>91.3920652227782</v>
      </c>
      <c r="AM5156">
        <v>94.963789135691599</v>
      </c>
      <c r="AN5156">
        <v>0.99999994768395395</v>
      </c>
    </row>
    <row r="5157" spans="1:40" x14ac:dyDescent="0.3">
      <c r="A5157" t="str">
        <f>"20200111160605628"</f>
        <v>20200111160605628</v>
      </c>
      <c r="B5157" t="str">
        <f>"1578729965617048"</f>
        <v>1578729965617048</v>
      </c>
      <c r="C5157" t="s">
        <v>40</v>
      </c>
      <c r="D5157">
        <v>5.5449830000000002</v>
      </c>
      <c r="E5157">
        <v>0.57303329999999997</v>
      </c>
      <c r="F5157" t="s">
        <v>42</v>
      </c>
      <c r="G5157">
        <v>-373.21620000000001</v>
      </c>
      <c r="H5157">
        <v>1.035215</v>
      </c>
      <c r="I5157">
        <v>17.16901</v>
      </c>
      <c r="J5157">
        <v>-373.8879</v>
      </c>
      <c r="K5157">
        <v>1.1109290000000001</v>
      </c>
      <c r="L5157">
        <v>17.24521</v>
      </c>
      <c r="M5157">
        <v>0.99802550000000001</v>
      </c>
      <c r="N5157">
        <v>0</v>
      </c>
      <c r="O5157">
        <v>-6.1515819999999999E-2</v>
      </c>
      <c r="P5157">
        <v>0.99901200000000001</v>
      </c>
      <c r="Q5157">
        <v>-3.6316679999999997E-2</v>
      </c>
      <c r="R5157">
        <v>2.5613400000000001E-2</v>
      </c>
      <c r="S5157">
        <v>3</v>
      </c>
      <c r="T5157">
        <v>-0.28790349999999998</v>
      </c>
      <c r="U5157">
        <v>-0.31356810000000002</v>
      </c>
      <c r="V5157">
        <v>-8.698504E-2</v>
      </c>
      <c r="W5157">
        <v>-2.3817930000000001E-2</v>
      </c>
      <c r="X5157">
        <v>0.99592480000000005</v>
      </c>
      <c r="Y5157">
        <v>4.2657359999999998E-2</v>
      </c>
      <c r="Z5157">
        <v>3.8304430000000002E-3</v>
      </c>
      <c r="AA5157">
        <v>0.99908240000000004</v>
      </c>
      <c r="AB5157">
        <v>22</v>
      </c>
      <c r="AC5157">
        <v>0.67169999999998697</v>
      </c>
      <c r="AD5157">
        <v>-7.5714000000000004E-2</v>
      </c>
      <c r="AE5157">
        <v>-7.6200000000000004E-2</v>
      </c>
      <c r="AF5157">
        <v>3.43018665335562E-2</v>
      </c>
      <c r="AG5157">
        <v>-7.5714000000000004E-2</v>
      </c>
      <c r="AH5157">
        <v>0.66675158445301996</v>
      </c>
      <c r="AI5157">
        <v>96.470074280515902</v>
      </c>
      <c r="AJ5157">
        <v>87.054943601187603</v>
      </c>
      <c r="AK5157">
        <v>0.67191286876670198</v>
      </c>
      <c r="AL5157">
        <v>91.364795995989198</v>
      </c>
      <c r="AM5157">
        <v>94.991602066383294</v>
      </c>
      <c r="AN5157">
        <v>0.99999994911416201</v>
      </c>
    </row>
    <row r="5158" spans="1:40" x14ac:dyDescent="0.3">
      <c r="A5158" t="str">
        <f>"20200111160605641"</f>
        <v>20200111160605641</v>
      </c>
      <c r="B5158" t="str">
        <f>"1578729965637544"</f>
        <v>1578729965637544</v>
      </c>
      <c r="C5158" t="s">
        <v>40</v>
      </c>
      <c r="D5158">
        <v>5.3806240000000001</v>
      </c>
      <c r="E5158">
        <v>0.62261259999999996</v>
      </c>
      <c r="F5158" t="s">
        <v>82</v>
      </c>
      <c r="G5158">
        <v>-279.02</v>
      </c>
      <c r="H5158">
        <v>5.4171959999999997</v>
      </c>
      <c r="I5158">
        <v>1.0981669999999999</v>
      </c>
      <c r="J5158">
        <v>-373.7663</v>
      </c>
      <c r="K5158">
        <v>1.1109070000000001</v>
      </c>
      <c r="L5158">
        <v>17.23846</v>
      </c>
      <c r="M5158">
        <v>0.99806640000000002</v>
      </c>
      <c r="N5158">
        <v>0</v>
      </c>
      <c r="O5158">
        <v>-6.0864260000000003E-2</v>
      </c>
      <c r="P5158">
        <v>0.99900949999999999</v>
      </c>
      <c r="Q5158">
        <v>-3.5741679999999998E-2</v>
      </c>
      <c r="R5158">
        <v>2.650893E-2</v>
      </c>
      <c r="S5158">
        <v>3.0211790000000001</v>
      </c>
      <c r="T5158">
        <v>0.13713810000000001</v>
      </c>
      <c r="U5158">
        <v>-0.51422120000000004</v>
      </c>
      <c r="V5158">
        <v>-8.7231110000000001E-2</v>
      </c>
      <c r="W5158">
        <v>-2.3322740000000002E-2</v>
      </c>
      <c r="X5158">
        <v>0.99591510000000005</v>
      </c>
      <c r="Y5158">
        <v>0.1074286</v>
      </c>
      <c r="Z5158">
        <v>-3.1750369999999998E-4</v>
      </c>
      <c r="AA5158">
        <v>0.99421269999999995</v>
      </c>
      <c r="AB5158">
        <v>22</v>
      </c>
      <c r="AC5158">
        <v>94.746300000000005</v>
      </c>
      <c r="AD5158">
        <v>4.3062889999999996</v>
      </c>
      <c r="AE5158">
        <v>-16.140293</v>
      </c>
      <c r="AF5158">
        <v>10.3225204526432</v>
      </c>
      <c r="AG5158">
        <v>4.3062889999999996</v>
      </c>
      <c r="AH5158">
        <v>95.361622930007499</v>
      </c>
      <c r="AI5158">
        <v>87.429420310377296</v>
      </c>
      <c r="AJ5158">
        <v>83.822011975339393</v>
      </c>
      <c r="AK5158">
        <v>96.015299204302295</v>
      </c>
      <c r="AL5158">
        <v>91.336415675682204</v>
      </c>
      <c r="AM5158">
        <v>95.005699560135497</v>
      </c>
      <c r="AN5158">
        <v>1.0000000515804699</v>
      </c>
    </row>
    <row r="5159" spans="1:40" x14ac:dyDescent="0.3">
      <c r="A5159" t="str">
        <f>"20200111160605661"</f>
        <v>20200111160605661</v>
      </c>
      <c r="B5159" t="str">
        <f>"1578729965657064"</f>
        <v>1578729965657064</v>
      </c>
      <c r="C5159" t="s">
        <v>40</v>
      </c>
      <c r="D5159">
        <v>5.1568930000000002</v>
      </c>
      <c r="E5159">
        <v>0.627731699999999</v>
      </c>
      <c r="F5159" t="s">
        <v>85</v>
      </c>
      <c r="G5159">
        <v>-360.42090000000002</v>
      </c>
      <c r="H5159" s="1">
        <v>-5.65133E-6</v>
      </c>
      <c r="I5159">
        <v>13.28668</v>
      </c>
      <c r="J5159">
        <v>-373.5693</v>
      </c>
      <c r="K5159">
        <v>1.1108800000000001</v>
      </c>
      <c r="L5159">
        <v>17.22766</v>
      </c>
      <c r="M5159">
        <v>0.99812869999999998</v>
      </c>
      <c r="N5159">
        <v>0</v>
      </c>
      <c r="O5159">
        <v>-5.9861940000000002E-2</v>
      </c>
      <c r="P5159">
        <v>0.99901180000000001</v>
      </c>
      <c r="Q5159">
        <v>-3.4137109999999998E-2</v>
      </c>
      <c r="R5159">
        <v>2.846839E-2</v>
      </c>
      <c r="S5159">
        <v>3.0177</v>
      </c>
      <c r="T5159">
        <v>-0.25120150000000002</v>
      </c>
      <c r="U5159">
        <v>-0.89358519999999897</v>
      </c>
      <c r="V5159">
        <v>-8.8192339999999994E-2</v>
      </c>
      <c r="W5159">
        <v>-2.1837809999999999E-2</v>
      </c>
      <c r="X5159">
        <v>0.99586399999999997</v>
      </c>
      <c r="Y5159">
        <v>0.22549159999999999</v>
      </c>
      <c r="Z5159">
        <v>-4.3150339999999997E-3</v>
      </c>
      <c r="AA5159">
        <v>0.97423550000000003</v>
      </c>
      <c r="AB5159">
        <v>22</v>
      </c>
      <c r="AC5159">
        <v>13.148399999999899</v>
      </c>
      <c r="AD5159">
        <v>-1.1108856513299901</v>
      </c>
      <c r="AE5159">
        <v>-3.9409800000000001</v>
      </c>
      <c r="AF5159">
        <v>3.1262847455564602</v>
      </c>
      <c r="AG5159">
        <v>-1.1108856513299901</v>
      </c>
      <c r="AH5159">
        <v>13.273808591635699</v>
      </c>
      <c r="AI5159">
        <v>94.657098142026499</v>
      </c>
      <c r="AJ5159">
        <v>76.747064796683404</v>
      </c>
      <c r="AK5159">
        <v>13.682167875304399</v>
      </c>
      <c r="AL5159">
        <v>91.251313888535705</v>
      </c>
      <c r="AM5159">
        <v>95.060832555104795</v>
      </c>
      <c r="AN5159">
        <v>0.99999994263813397</v>
      </c>
    </row>
    <row r="5160" spans="1:40" x14ac:dyDescent="0.3">
      <c r="A5160" t="str">
        <f>"20200111160605684"</f>
        <v>20200111160605684</v>
      </c>
      <c r="B5160" t="str">
        <f>"1578729965677559"</f>
        <v>1578729965677559</v>
      </c>
      <c r="C5160" t="s">
        <v>40</v>
      </c>
      <c r="D5160">
        <v>4.757066</v>
      </c>
      <c r="E5160">
        <v>0.63917800000000002</v>
      </c>
      <c r="F5160" t="s">
        <v>85</v>
      </c>
      <c r="G5160">
        <v>-360.94049999999999</v>
      </c>
      <c r="H5160" s="1">
        <v>-5.3947229999999998E-6</v>
      </c>
      <c r="I5160">
        <v>13.348509999999999</v>
      </c>
      <c r="J5160">
        <v>-373.33440000000002</v>
      </c>
      <c r="K5160">
        <v>1.110851</v>
      </c>
      <c r="L5160">
        <v>17.214939999999999</v>
      </c>
      <c r="M5160">
        <v>0.9981968</v>
      </c>
      <c r="N5160">
        <v>0</v>
      </c>
      <c r="O5160">
        <v>-5.8740689999999998E-2</v>
      </c>
      <c r="P5160">
        <v>0.99902029999999997</v>
      </c>
      <c r="Q5160">
        <v>-3.2050559999999999E-2</v>
      </c>
      <c r="R5160">
        <v>3.0516419999999999E-2</v>
      </c>
      <c r="S5160">
        <v>3.0202939999999998</v>
      </c>
      <c r="T5160">
        <v>-0.26567839999999998</v>
      </c>
      <c r="U5160">
        <v>-0.92773439999999996</v>
      </c>
      <c r="V5160">
        <v>-8.9123369999999993E-2</v>
      </c>
      <c r="W5160">
        <v>-1.9877289999999999E-2</v>
      </c>
      <c r="X5160">
        <v>0.99582230000000005</v>
      </c>
      <c r="Y5160">
        <v>0.2363401</v>
      </c>
      <c r="Z5160">
        <v>-5.1134980000000002E-3</v>
      </c>
      <c r="AA5160">
        <v>0.97165690000000005</v>
      </c>
      <c r="AB5160">
        <v>22</v>
      </c>
      <c r="AC5160">
        <v>12.3939</v>
      </c>
      <c r="AD5160">
        <v>-1.1108563947229999</v>
      </c>
      <c r="AE5160">
        <v>-3.86642999999999</v>
      </c>
      <c r="AF5160">
        <v>3.1089107719640401</v>
      </c>
      <c r="AG5160">
        <v>-1.1108563947229999</v>
      </c>
      <c r="AH5160">
        <v>12.508059325465201</v>
      </c>
      <c r="AI5160">
        <v>94.926083108794401</v>
      </c>
      <c r="AJ5160">
        <v>76.041834299778998</v>
      </c>
      <c r="AK5160">
        <v>12.9364166679606</v>
      </c>
      <c r="AL5160">
        <v>91.138959758482798</v>
      </c>
      <c r="AM5160">
        <v>95.114189996657203</v>
      </c>
      <c r="AN5160">
        <v>1.00000006745759</v>
      </c>
    </row>
    <row r="5161" spans="1:40" x14ac:dyDescent="0.3">
      <c r="A5161" t="str">
        <f>"20200111160605716"</f>
        <v>20200111160605716</v>
      </c>
      <c r="B5161" t="str">
        <f>"1578729965706839"</f>
        <v>1578729965706839</v>
      </c>
      <c r="C5161" t="s">
        <v>40</v>
      </c>
      <c r="D5161">
        <v>4.7240859999999998</v>
      </c>
      <c r="E5161">
        <v>0.65093440000000002</v>
      </c>
      <c r="F5161" t="s">
        <v>41</v>
      </c>
      <c r="G5161">
        <v>-351.24459999999999</v>
      </c>
      <c r="H5161" s="1">
        <v>-5.5769690000000003E-6</v>
      </c>
      <c r="I5161">
        <v>9.8016079999999999</v>
      </c>
      <c r="J5161">
        <v>-373.02120000000002</v>
      </c>
      <c r="K5161">
        <v>1.1108119999999999</v>
      </c>
      <c r="L5161">
        <v>17.198239999999998</v>
      </c>
      <c r="M5161">
        <v>0.99827920000000003</v>
      </c>
      <c r="N5161">
        <v>0</v>
      </c>
      <c r="O5161">
        <v>-5.7360080000000001E-2</v>
      </c>
      <c r="P5161">
        <v>0.99899760000000004</v>
      </c>
      <c r="Q5161">
        <v>-3.0281969999999998E-2</v>
      </c>
      <c r="R5161">
        <v>3.2973710000000003E-2</v>
      </c>
      <c r="S5161">
        <v>3.0291440000000001</v>
      </c>
      <c r="T5161">
        <v>-0.15233070000000001</v>
      </c>
      <c r="U5161">
        <v>-1.0165709999999999</v>
      </c>
      <c r="V5161">
        <v>-9.0203069999999996E-2</v>
      </c>
      <c r="W5161">
        <v>-1.8248E-2</v>
      </c>
      <c r="X5161">
        <v>0.99575619999999998</v>
      </c>
      <c r="Y5161">
        <v>0.26301839999999999</v>
      </c>
      <c r="Z5161">
        <v>-3.634745E-3</v>
      </c>
      <c r="AA5161">
        <v>0.96478399999999997</v>
      </c>
      <c r="AB5161">
        <v>22</v>
      </c>
      <c r="AC5161">
        <v>21.776599999999998</v>
      </c>
      <c r="AD5161">
        <v>-1.1108175769689901</v>
      </c>
      <c r="AE5161">
        <v>-7.3966319999999897</v>
      </c>
      <c r="AF5161">
        <v>6.1209724809958201</v>
      </c>
      <c r="AG5161">
        <v>-1.1108175769689901</v>
      </c>
      <c r="AH5161">
        <v>22.113456216776701</v>
      </c>
      <c r="AI5161">
        <v>92.771654532809194</v>
      </c>
      <c r="AJ5161">
        <v>74.527989062582293</v>
      </c>
      <c r="AK5161">
        <v>22.971834181312399</v>
      </c>
      <c r="AL5161">
        <v>91.045591422090993</v>
      </c>
      <c r="AM5161">
        <v>95.176153906414797</v>
      </c>
      <c r="AN5161">
        <v>0.99999999658993199</v>
      </c>
    </row>
    <row r="5162" spans="1:40" x14ac:dyDescent="0.3">
      <c r="A5162" t="str">
        <f>"20200111160605740"</f>
        <v>20200111160605740</v>
      </c>
      <c r="B5162" t="str">
        <f>"1578729965737095"</f>
        <v>1578729965737095</v>
      </c>
      <c r="C5162" t="s">
        <v>40</v>
      </c>
      <c r="D5162">
        <v>4.6370589999999998</v>
      </c>
      <c r="E5162">
        <v>0.65575850000000002</v>
      </c>
      <c r="F5162" t="s">
        <v>41</v>
      </c>
      <c r="G5162">
        <v>-303.23989999999998</v>
      </c>
      <c r="H5162" s="1">
        <v>-1.4476389999999999E-6</v>
      </c>
      <c r="I5162">
        <v>-8.2239109999999993</v>
      </c>
      <c r="J5162">
        <v>-372.78410000000002</v>
      </c>
      <c r="K5162">
        <v>1.1107830000000001</v>
      </c>
      <c r="L5162">
        <v>17.18582</v>
      </c>
      <c r="M5162">
        <v>0.99833640000000001</v>
      </c>
      <c r="N5162">
        <v>0</v>
      </c>
      <c r="O5162">
        <v>-5.6373619999999999E-2</v>
      </c>
      <c r="P5162">
        <v>0.99898089999999995</v>
      </c>
      <c r="Q5162">
        <v>-2.978449E-2</v>
      </c>
      <c r="R5162">
        <v>3.391715E-2</v>
      </c>
      <c r="S5162">
        <v>3.0380859999999998</v>
      </c>
      <c r="T5162">
        <v>-4.836178E-2</v>
      </c>
      <c r="U5162">
        <v>-1.1068119999999999</v>
      </c>
      <c r="V5162">
        <v>-9.0162419999999993E-2</v>
      </c>
      <c r="W5162">
        <v>-1.7832979999999998E-2</v>
      </c>
      <c r="X5162">
        <v>0.99576739999999997</v>
      </c>
      <c r="Y5162">
        <v>0.28876160000000001</v>
      </c>
      <c r="Z5162">
        <v>-1.359664E-3</v>
      </c>
      <c r="AA5162">
        <v>0.95740009999999998</v>
      </c>
      <c r="AB5162">
        <v>22</v>
      </c>
      <c r="AC5162">
        <v>69.544200000000004</v>
      </c>
      <c r="AD5162">
        <v>-1.1107844476389901</v>
      </c>
      <c r="AE5162">
        <v>-25.409731000000001</v>
      </c>
      <c r="AF5162">
        <v>21.443745336579202</v>
      </c>
      <c r="AG5162">
        <v>-1.1107844476389901</v>
      </c>
      <c r="AH5162">
        <v>70.850187845514199</v>
      </c>
      <c r="AI5162">
        <v>90.859698286782006</v>
      </c>
      <c r="AJ5162">
        <v>73.160867080102506</v>
      </c>
      <c r="AK5162">
        <v>74.032541317273697</v>
      </c>
      <c r="AL5162">
        <v>91.021808657522598</v>
      </c>
      <c r="AM5162">
        <v>95.173776058627794</v>
      </c>
      <c r="AN5162">
        <v>0.99999999602934797</v>
      </c>
    </row>
    <row r="5163" spans="1:40" x14ac:dyDescent="0.3">
      <c r="A5163" t="str">
        <f>"20200111160605751"</f>
        <v>20200111160605751</v>
      </c>
      <c r="B5163" t="str">
        <f>"1578729965746856"</f>
        <v>1578729965746856</v>
      </c>
      <c r="C5163" t="s">
        <v>40</v>
      </c>
      <c r="D5163">
        <v>4.6268029999999998</v>
      </c>
      <c r="E5163">
        <v>0.65768530000000003</v>
      </c>
      <c r="F5163" t="s">
        <v>82</v>
      </c>
      <c r="G5163">
        <v>-279.02</v>
      </c>
      <c r="H5163">
        <v>1.040402</v>
      </c>
      <c r="I5163">
        <v>-18.081900000000001</v>
      </c>
      <c r="J5163">
        <v>-372.66860000000003</v>
      </c>
      <c r="K5163">
        <v>1.1107720000000001</v>
      </c>
      <c r="L5163">
        <v>17.17981</v>
      </c>
      <c r="M5163">
        <v>0.99836270000000005</v>
      </c>
      <c r="N5163">
        <v>0</v>
      </c>
      <c r="O5163">
        <v>-5.5913119999999997E-2</v>
      </c>
      <c r="P5163">
        <v>0.99898489999999995</v>
      </c>
      <c r="Q5163">
        <v>-2.9710779999999999E-2</v>
      </c>
      <c r="R5163">
        <v>3.3862549999999998E-2</v>
      </c>
      <c r="S5163">
        <v>3.0418400000000001</v>
      </c>
      <c r="T5163">
        <v>-2.2832159999999998E-3</v>
      </c>
      <c r="U5163">
        <v>-1.1441349999999999</v>
      </c>
      <c r="V5163">
        <v>-8.9648729999999996E-2</v>
      </c>
      <c r="W5163">
        <v>-1.7791649999999999E-2</v>
      </c>
      <c r="X5163">
        <v>0.99581450000000005</v>
      </c>
      <c r="Y5163">
        <v>0.29916429999999999</v>
      </c>
      <c r="Z5163" s="1">
        <v>-6.8098880000000005E-5</v>
      </c>
      <c r="AA5163">
        <v>0.95420159999999998</v>
      </c>
      <c r="AB5163">
        <v>22</v>
      </c>
      <c r="AC5163">
        <v>93.648600000000002</v>
      </c>
      <c r="AD5163">
        <v>-7.0369999999999794E-2</v>
      </c>
      <c r="AE5163">
        <v>-35.261710000000001</v>
      </c>
      <c r="AF5163">
        <v>29.9699582983699</v>
      </c>
      <c r="AG5163">
        <v>-7.0369999999999794E-2</v>
      </c>
      <c r="AH5163">
        <v>95.473766919566003</v>
      </c>
      <c r="AI5163">
        <v>90.040291969163704</v>
      </c>
      <c r="AJ5163">
        <v>72.572521093058299</v>
      </c>
      <c r="AK5163">
        <v>100.06719503490901</v>
      </c>
      <c r="AL5163">
        <v>91.019440265569401</v>
      </c>
      <c r="AM5163">
        <v>95.144215668580998</v>
      </c>
      <c r="AN5163">
        <v>0.99999997800529195</v>
      </c>
    </row>
    <row r="5164" spans="1:40" x14ac:dyDescent="0.3">
      <c r="A5164" t="str">
        <f>"20200111160605773"</f>
        <v>20200111160605773</v>
      </c>
      <c r="B5164" t="str">
        <f>"1578729965767351"</f>
        <v>1578729965767351</v>
      </c>
      <c r="C5164" t="s">
        <v>40</v>
      </c>
      <c r="D5164">
        <v>5.0231219999999999</v>
      </c>
      <c r="E5164">
        <v>0.65432999999999997</v>
      </c>
      <c r="F5164" t="s">
        <v>88</v>
      </c>
      <c r="G5164">
        <v>-282.3562</v>
      </c>
      <c r="H5164">
        <v>1.469592</v>
      </c>
      <c r="I5164">
        <v>-17.25919</v>
      </c>
      <c r="J5164">
        <v>-372.4624</v>
      </c>
      <c r="K5164">
        <v>1.1107549999999999</v>
      </c>
      <c r="L5164">
        <v>17.169250000000002</v>
      </c>
      <c r="M5164">
        <v>0.99840770000000001</v>
      </c>
      <c r="N5164">
        <v>0</v>
      </c>
      <c r="O5164">
        <v>-5.5116680000000001E-2</v>
      </c>
      <c r="P5164">
        <v>0.99899199999999999</v>
      </c>
      <c r="Q5164">
        <v>-2.9845529999999999E-2</v>
      </c>
      <c r="R5164">
        <v>3.3533050000000002E-2</v>
      </c>
      <c r="S5164">
        <v>3.042694</v>
      </c>
      <c r="T5164">
        <v>1.208889E-2</v>
      </c>
      <c r="U5164">
        <v>-1.1602779999999999</v>
      </c>
      <c r="V5164">
        <v>-8.852728E-2</v>
      </c>
      <c r="W5164">
        <v>-1.797692E-2</v>
      </c>
      <c r="X5164">
        <v>0.99591149999999995</v>
      </c>
      <c r="Y5164">
        <v>0.3042591</v>
      </c>
      <c r="Z5164">
        <v>3.729615E-4</v>
      </c>
      <c r="AA5164">
        <v>0.95258929999999997</v>
      </c>
      <c r="AB5164">
        <v>22</v>
      </c>
      <c r="AC5164">
        <v>90.106200000000001</v>
      </c>
      <c r="AD5164">
        <v>0.35883700000000002</v>
      </c>
      <c r="AE5164">
        <v>-34.428440000000002</v>
      </c>
      <c r="AF5164">
        <v>29.408978744304001</v>
      </c>
      <c r="AG5164">
        <v>0.35883700000000002</v>
      </c>
      <c r="AH5164">
        <v>91.865658468501195</v>
      </c>
      <c r="AI5164">
        <v>89.786853294001901</v>
      </c>
      <c r="AJ5164">
        <v>72.248557627122494</v>
      </c>
      <c r="AK5164">
        <v>96.458882435091496</v>
      </c>
      <c r="AL5164">
        <v>91.030057148395898</v>
      </c>
      <c r="AM5164">
        <v>95.079711365051097</v>
      </c>
      <c r="AN5164">
        <v>0.999999982394567</v>
      </c>
    </row>
    <row r="5165" spans="1:40" x14ac:dyDescent="0.3">
      <c r="A5165" t="str">
        <f>"20200111160605784"</f>
        <v>20200111160605784</v>
      </c>
      <c r="B5165" t="str">
        <f>"1578729965777111"</f>
        <v>1578729965777111</v>
      </c>
      <c r="C5165" t="s">
        <v>40</v>
      </c>
      <c r="D5165">
        <v>5.0660619999999996</v>
      </c>
      <c r="E5165">
        <v>0.65299819999999997</v>
      </c>
      <c r="F5165" t="s">
        <v>82</v>
      </c>
      <c r="G5165">
        <v>-279.02</v>
      </c>
      <c r="H5165">
        <v>0.74600330000000004</v>
      </c>
      <c r="I5165">
        <v>-17.667310000000001</v>
      </c>
      <c r="J5165">
        <v>-372.33569999999997</v>
      </c>
      <c r="K5165">
        <v>1.110746</v>
      </c>
      <c r="L5165">
        <v>17.162749999999999</v>
      </c>
      <c r="M5165">
        <v>0.99843409999999999</v>
      </c>
      <c r="N5165">
        <v>0</v>
      </c>
      <c r="O5165">
        <v>-5.4641389999999998E-2</v>
      </c>
      <c r="P5165">
        <v>0.9989941</v>
      </c>
      <c r="Q5165">
        <v>-3.0027519999999999E-2</v>
      </c>
      <c r="R5165">
        <v>3.3309100000000001E-2</v>
      </c>
      <c r="S5165">
        <v>3.04068</v>
      </c>
      <c r="T5165">
        <v>-1.1869309999999999E-2</v>
      </c>
      <c r="U5165">
        <v>-1.1336059999999999</v>
      </c>
      <c r="V5165">
        <v>-8.78298E-2</v>
      </c>
      <c r="W5165">
        <v>-1.8186589999999999E-2</v>
      </c>
      <c r="X5165">
        <v>0.99596949999999995</v>
      </c>
      <c r="Y5165">
        <v>0.29760019999999998</v>
      </c>
      <c r="Z5165">
        <v>-3.561619E-4</v>
      </c>
      <c r="AA5165">
        <v>0.9546905</v>
      </c>
      <c r="AB5165">
        <v>22</v>
      </c>
      <c r="AC5165">
        <v>93.315700000000007</v>
      </c>
      <c r="AD5165">
        <v>-0.36474269999999998</v>
      </c>
      <c r="AE5165">
        <v>-34.830059999999897</v>
      </c>
      <c r="AF5165">
        <v>29.678354070837401</v>
      </c>
      <c r="AG5165">
        <v>-0.36474269999999998</v>
      </c>
      <c r="AH5165">
        <v>95.078294981647005</v>
      </c>
      <c r="AI5165">
        <v>90.209814949373197</v>
      </c>
      <c r="AJ5165">
        <v>72.664430926822106</v>
      </c>
      <c r="AK5165">
        <v>99.603312767238194</v>
      </c>
      <c r="AL5165">
        <v>91.042072263842101</v>
      </c>
      <c r="AM5165">
        <v>95.039604786357998</v>
      </c>
      <c r="AN5165">
        <v>1.00000003537705</v>
      </c>
    </row>
    <row r="5166" spans="1:40" x14ac:dyDescent="0.3">
      <c r="A5166" t="str">
        <f>"20200111160605796"</f>
        <v>20200111160605796</v>
      </c>
      <c r="B5166" t="str">
        <f>"1578729965786872"</f>
        <v>1578729965786872</v>
      </c>
      <c r="C5166" t="s">
        <v>40</v>
      </c>
      <c r="D5166">
        <v>5.0522269999999896</v>
      </c>
      <c r="E5166">
        <v>0.65183059999999904</v>
      </c>
      <c r="F5166" t="s">
        <v>82</v>
      </c>
      <c r="G5166">
        <v>-279.02</v>
      </c>
      <c r="H5166">
        <v>0.45437739999999999</v>
      </c>
      <c r="I5166">
        <v>-17.322179999999999</v>
      </c>
      <c r="J5166">
        <v>-372.21600000000001</v>
      </c>
      <c r="K5166">
        <v>1.1107389999999999</v>
      </c>
      <c r="L5166">
        <v>17.156739999999999</v>
      </c>
      <c r="M5166">
        <v>0.99845830000000002</v>
      </c>
      <c r="N5166">
        <v>0</v>
      </c>
      <c r="O5166">
        <v>-5.4205789999999997E-2</v>
      </c>
      <c r="P5166">
        <v>0.99900880000000003</v>
      </c>
      <c r="Q5166">
        <v>-3.0064239999999999E-2</v>
      </c>
      <c r="R5166">
        <v>3.2829659999999997E-2</v>
      </c>
      <c r="S5166">
        <v>3.0398559999999999</v>
      </c>
      <c r="T5166">
        <v>-2.1381859999999999E-2</v>
      </c>
      <c r="U5166">
        <v>-1.123383</v>
      </c>
      <c r="V5166">
        <v>-8.6917830000000001E-2</v>
      </c>
      <c r="W5166">
        <v>-1.824572E-2</v>
      </c>
      <c r="X5166">
        <v>0.99604839999999994</v>
      </c>
      <c r="Y5166">
        <v>0.29527510000000001</v>
      </c>
      <c r="Z5166">
        <v>-6.3715169999999999E-4</v>
      </c>
      <c r="AA5166">
        <v>0.95541209999999999</v>
      </c>
      <c r="AB5166">
        <v>22</v>
      </c>
      <c r="AC5166">
        <v>93.195999999999998</v>
      </c>
      <c r="AD5166">
        <v>-0.65636159999999899</v>
      </c>
      <c r="AE5166">
        <v>-34.478920000000002</v>
      </c>
      <c r="AF5166">
        <v>29.374816309541501</v>
      </c>
      <c r="AG5166">
        <v>-0.65636159999999899</v>
      </c>
      <c r="AH5166">
        <v>94.923911331297703</v>
      </c>
      <c r="AI5166">
        <v>90.378464790424204</v>
      </c>
      <c r="AJ5166">
        <v>72.804981010360507</v>
      </c>
      <c r="AK5166">
        <v>99.367296361536006</v>
      </c>
      <c r="AL5166">
        <v>91.0454607463911</v>
      </c>
      <c r="AM5166">
        <v>94.987148898425701</v>
      </c>
      <c r="AN5166">
        <v>1.0000000153063899</v>
      </c>
    </row>
    <row r="5167" spans="1:40" x14ac:dyDescent="0.3">
      <c r="A5167" t="str">
        <f>"20200111160605809"</f>
        <v>20200111160605809</v>
      </c>
      <c r="B5167" t="str">
        <f>"1578729965797607"</f>
        <v>1578729965797607</v>
      </c>
      <c r="C5167" t="s">
        <v>40</v>
      </c>
      <c r="D5167">
        <v>5.1430420000000003</v>
      </c>
      <c r="E5167">
        <v>0.65101909999999996</v>
      </c>
      <c r="F5167" t="s">
        <v>82</v>
      </c>
      <c r="G5167">
        <v>-279.02</v>
      </c>
      <c r="H5167">
        <v>0.15002219999999999</v>
      </c>
      <c r="I5167">
        <v>-17.042850000000001</v>
      </c>
      <c r="J5167">
        <v>-372.09899999999999</v>
      </c>
      <c r="K5167">
        <v>1.1107340000000001</v>
      </c>
      <c r="L5167">
        <v>17.150849999999998</v>
      </c>
      <c r="M5167">
        <v>0.99848130000000002</v>
      </c>
      <c r="N5167">
        <v>0</v>
      </c>
      <c r="O5167">
        <v>-5.3785449999999999E-2</v>
      </c>
      <c r="P5167">
        <v>0.99902199999999997</v>
      </c>
      <c r="Q5167">
        <v>-2.992156E-2</v>
      </c>
      <c r="R5167">
        <v>3.2557570000000001E-2</v>
      </c>
      <c r="S5167">
        <v>3.0386660000000001</v>
      </c>
      <c r="T5167">
        <v>-3.1324270000000001E-2</v>
      </c>
      <c r="U5167">
        <v>-1.1150819999999999</v>
      </c>
      <c r="V5167">
        <v>-8.6227880000000007E-2</v>
      </c>
      <c r="W5167">
        <v>-1.8123980000000001E-2</v>
      </c>
      <c r="X5167">
        <v>0.99611059999999996</v>
      </c>
      <c r="Y5167">
        <v>0.29349439999999999</v>
      </c>
      <c r="Z5167">
        <v>-9.2945560000000003E-4</v>
      </c>
      <c r="AA5167">
        <v>0.95596029999999999</v>
      </c>
      <c r="AB5167">
        <v>22</v>
      </c>
      <c r="AC5167">
        <v>93.078999999999994</v>
      </c>
      <c r="AD5167">
        <v>-0.9607118</v>
      </c>
      <c r="AE5167">
        <v>-34.1937</v>
      </c>
      <c r="AF5167">
        <v>29.134811413677301</v>
      </c>
      <c r="AG5167">
        <v>-0.9607118</v>
      </c>
      <c r="AH5167">
        <v>94.774608678299799</v>
      </c>
      <c r="AI5167">
        <v>90.555139221808602</v>
      </c>
      <c r="AJ5167">
        <v>72.911966042211802</v>
      </c>
      <c r="AK5167">
        <v>99.156374749171206</v>
      </c>
      <c r="AL5167">
        <v>91.038484392882197</v>
      </c>
      <c r="AM5167">
        <v>94.947451000083205</v>
      </c>
      <c r="AN5167">
        <v>1.00000002668634</v>
      </c>
    </row>
    <row r="5168" spans="1:40" x14ac:dyDescent="0.3">
      <c r="A5168" t="str">
        <f>"20200111160605827"</f>
        <v>20200111160605827</v>
      </c>
      <c r="B5168" t="str">
        <f>"1578729965817130"</f>
        <v>1578729965817130</v>
      </c>
      <c r="C5168" t="s">
        <v>40</v>
      </c>
      <c r="D5168">
        <v>5.0685000000000002</v>
      </c>
      <c r="E5168">
        <v>0.64923759999999997</v>
      </c>
      <c r="F5168" t="s">
        <v>41</v>
      </c>
      <c r="G5168">
        <v>-295.92489999999998</v>
      </c>
      <c r="H5168" s="1">
        <v>-4.8878720000000003E-6</v>
      </c>
      <c r="I5168">
        <v>-10.658469999999999</v>
      </c>
      <c r="J5168">
        <v>-371.91469999999998</v>
      </c>
      <c r="K5168">
        <v>1.110724</v>
      </c>
      <c r="L5168">
        <v>17.141719999999999</v>
      </c>
      <c r="M5168">
        <v>0.99851639999999997</v>
      </c>
      <c r="N5168">
        <v>0</v>
      </c>
      <c r="O5168">
        <v>-5.3137169999999997E-2</v>
      </c>
      <c r="P5168">
        <v>0.99904499999999996</v>
      </c>
      <c r="Q5168">
        <v>-3.000301E-2</v>
      </c>
      <c r="R5168">
        <v>3.1763699999999999E-2</v>
      </c>
      <c r="S5168">
        <v>3.03775</v>
      </c>
      <c r="T5168">
        <v>-4.4295189999999998E-2</v>
      </c>
      <c r="U5168">
        <v>-1.1090089999999999</v>
      </c>
      <c r="V5168">
        <v>-8.4790329999999997E-2</v>
      </c>
      <c r="W5168">
        <v>-1.8234219999999999E-2</v>
      </c>
      <c r="X5168">
        <v>0.99623200000000001</v>
      </c>
      <c r="Y5168">
        <v>0.29251159999999998</v>
      </c>
      <c r="Z5168">
        <v>-1.3172629999999999E-3</v>
      </c>
      <c r="AA5168">
        <v>0.95626100000000003</v>
      </c>
      <c r="AB5168">
        <v>22</v>
      </c>
      <c r="AC5168">
        <v>75.989800000000002</v>
      </c>
      <c r="AD5168">
        <v>-1.1107288878720001</v>
      </c>
      <c r="AE5168">
        <v>-27.800190000000001</v>
      </c>
      <c r="AF5168">
        <v>23.718271176687502</v>
      </c>
      <c r="AG5168">
        <v>-1.1107288878720001</v>
      </c>
      <c r="AH5168">
        <v>77.345181752842805</v>
      </c>
      <c r="AI5168">
        <v>90.786600305968406</v>
      </c>
      <c r="AJ5168">
        <v>72.951590538383996</v>
      </c>
      <c r="AK5168">
        <v>80.907770001734207</v>
      </c>
      <c r="AL5168">
        <v>91.044801707062504</v>
      </c>
      <c r="AM5168">
        <v>94.864778684139793</v>
      </c>
      <c r="AN5168">
        <v>1.0000000423322499</v>
      </c>
    </row>
    <row r="5169" spans="1:40" x14ac:dyDescent="0.3">
      <c r="A5169" t="str">
        <f>"20200111160605838"</f>
        <v>20200111160605838</v>
      </c>
      <c r="B5169" t="str">
        <f>"1578729965826888"</f>
        <v>1578729965826888</v>
      </c>
      <c r="C5169" t="s">
        <v>40</v>
      </c>
      <c r="D5169">
        <v>5.1151249999999999</v>
      </c>
      <c r="E5169">
        <v>0.6480764</v>
      </c>
      <c r="F5169" t="s">
        <v>44</v>
      </c>
      <c r="G5169">
        <v>-309.46929999999998</v>
      </c>
      <c r="H5169">
        <v>-0.05</v>
      </c>
      <c r="I5169">
        <v>-5.4137879999999896</v>
      </c>
      <c r="J5169">
        <v>-371.79880000000003</v>
      </c>
      <c r="K5169">
        <v>1.110719</v>
      </c>
      <c r="L5169">
        <v>17.13599</v>
      </c>
      <c r="M5169">
        <v>0.99853780000000003</v>
      </c>
      <c r="N5169">
        <v>0</v>
      </c>
      <c r="O5169">
        <v>-5.2737449999999998E-2</v>
      </c>
      <c r="P5169">
        <v>0.9990445</v>
      </c>
      <c r="Q5169">
        <v>-3.0139260000000001E-2</v>
      </c>
      <c r="R5169">
        <v>3.1657699999999997E-2</v>
      </c>
      <c r="S5169">
        <v>3.0360109999999998</v>
      </c>
      <c r="T5169">
        <v>-5.6432839999999998E-2</v>
      </c>
      <c r="U5169">
        <v>-1.096619</v>
      </c>
      <c r="V5169">
        <v>-8.4285589999999994E-2</v>
      </c>
      <c r="W5169">
        <v>-1.8387219999999999E-2</v>
      </c>
      <c r="X5169">
        <v>0.99627200000000005</v>
      </c>
      <c r="Y5169">
        <v>0.28960829999999999</v>
      </c>
      <c r="Z5169">
        <v>-1.661187E-3</v>
      </c>
      <c r="AA5169">
        <v>0.95714379999999999</v>
      </c>
      <c r="AB5169">
        <v>22</v>
      </c>
      <c r="AC5169">
        <v>62.329500000000003</v>
      </c>
      <c r="AD5169">
        <v>-1.1607190000000001</v>
      </c>
      <c r="AE5169">
        <v>-22.549778</v>
      </c>
      <c r="AF5169">
        <v>19.225167426489101</v>
      </c>
      <c r="AG5169">
        <v>-1.1607190000000001</v>
      </c>
      <c r="AH5169">
        <v>63.412606769121403</v>
      </c>
      <c r="AI5169">
        <v>91.003541132106207</v>
      </c>
      <c r="AJ5169">
        <v>73.133966600725699</v>
      </c>
      <c r="AK5169">
        <v>66.273018857063704</v>
      </c>
      <c r="AL5169">
        <v>91.053569449960605</v>
      </c>
      <c r="AM5169">
        <v>94.835764128286598</v>
      </c>
      <c r="AN5169">
        <v>1.00000002426248</v>
      </c>
    </row>
    <row r="5170" spans="1:40" x14ac:dyDescent="0.3">
      <c r="A5170" t="str">
        <f>"20200111160605851"</f>
        <v>20200111160605851</v>
      </c>
      <c r="B5170" t="str">
        <f>"1578729965847383"</f>
        <v>1578729965847383</v>
      </c>
      <c r="C5170" t="s">
        <v>40</v>
      </c>
      <c r="D5170">
        <v>5.296716</v>
      </c>
      <c r="E5170">
        <v>0.59984630000000005</v>
      </c>
      <c r="F5170" t="s">
        <v>44</v>
      </c>
      <c r="G5170">
        <v>-314.8331</v>
      </c>
      <c r="H5170">
        <v>-0.05</v>
      </c>
      <c r="I5170">
        <v>-3.272141</v>
      </c>
      <c r="J5170">
        <v>-371.68579999999997</v>
      </c>
      <c r="K5170">
        <v>1.1107149999999999</v>
      </c>
      <c r="L5170">
        <v>17.130489999999899</v>
      </c>
      <c r="M5170">
        <v>0.99855830000000001</v>
      </c>
      <c r="N5170">
        <v>0</v>
      </c>
      <c r="O5170">
        <v>-5.2351439999999999E-2</v>
      </c>
      <c r="P5170">
        <v>0.99904570000000004</v>
      </c>
      <c r="Q5170">
        <v>-3.0169049999999999E-2</v>
      </c>
      <c r="R5170">
        <v>3.1582880000000001E-2</v>
      </c>
      <c r="S5170">
        <v>3.0354610000000002</v>
      </c>
      <c r="T5170">
        <v>-6.1849830000000001E-2</v>
      </c>
      <c r="U5170">
        <v>-1.0874629999999901</v>
      </c>
      <c r="V5170">
        <v>-8.3825640000000007E-2</v>
      </c>
      <c r="W5170">
        <v>-1.8432049999999998E-2</v>
      </c>
      <c r="X5170">
        <v>0.99630989999999997</v>
      </c>
      <c r="Y5170">
        <v>0.2874699</v>
      </c>
      <c r="Z5170">
        <v>-1.808268E-3</v>
      </c>
      <c r="AA5170">
        <v>0.95778799999999997</v>
      </c>
      <c r="AB5170">
        <v>22</v>
      </c>
      <c r="AC5170">
        <v>56.852699999999899</v>
      </c>
      <c r="AD5170">
        <v>-1.1607149999999999</v>
      </c>
      <c r="AE5170">
        <v>-20.402631</v>
      </c>
      <c r="AF5170">
        <v>17.3916972330181</v>
      </c>
      <c r="AG5170">
        <v>-1.1607149999999999</v>
      </c>
      <c r="AH5170">
        <v>57.821559037215401</v>
      </c>
      <c r="AI5170">
        <v>91.101280866612996</v>
      </c>
      <c r="AJ5170">
        <v>73.259646968864701</v>
      </c>
      <c r="AK5170">
        <v>60.391647447725603</v>
      </c>
      <c r="AL5170">
        <v>91.056138536028996</v>
      </c>
      <c r="AM5170">
        <v>94.809317187248794</v>
      </c>
      <c r="AN5170">
        <v>0.99999994761330901</v>
      </c>
    </row>
    <row r="5171" spans="1:40" x14ac:dyDescent="0.3">
      <c r="A5171" t="str">
        <f>"20200111160605863"</f>
        <v>20200111160605863</v>
      </c>
      <c r="B5171" t="str">
        <f>"1578729965857144"</f>
        <v>1578729965857144</v>
      </c>
      <c r="C5171" t="s">
        <v>40</v>
      </c>
      <c r="D5171">
        <v>5.0994190000000001</v>
      </c>
      <c r="E5171">
        <v>0.59823879999999996</v>
      </c>
      <c r="F5171" t="s">
        <v>41</v>
      </c>
      <c r="G5171">
        <v>-358.50720000000001</v>
      </c>
      <c r="H5171" s="1">
        <v>-1.9634230000000001E-6</v>
      </c>
      <c r="I5171">
        <v>14.093859999999999</v>
      </c>
      <c r="J5171">
        <v>-371.55790000000002</v>
      </c>
      <c r="K5171">
        <v>1.1107089999999999</v>
      </c>
      <c r="L5171">
        <v>17.12424</v>
      </c>
      <c r="M5171">
        <v>0.9985811</v>
      </c>
      <c r="N5171">
        <v>0</v>
      </c>
      <c r="O5171">
        <v>-5.1917980000000002E-2</v>
      </c>
      <c r="P5171">
        <v>0.99903350000000002</v>
      </c>
      <c r="Q5171">
        <v>-3.0234230000000001E-2</v>
      </c>
      <c r="R5171">
        <v>3.1912620000000003E-2</v>
      </c>
      <c r="S5171">
        <v>3.0171199999999998</v>
      </c>
      <c r="T5171">
        <v>-0.25428889999999998</v>
      </c>
      <c r="U5171">
        <v>-0.69519039999999999</v>
      </c>
      <c r="V5171">
        <v>-8.3722920000000006E-2</v>
      </c>
      <c r="W5171">
        <v>-1.8514059999999999E-2</v>
      </c>
      <c r="X5171">
        <v>0.99631709999999996</v>
      </c>
      <c r="Y5171">
        <v>0.17322589999999999</v>
      </c>
      <c r="Z5171">
        <v>-2.8889240000000002E-3</v>
      </c>
      <c r="AA5171">
        <v>0.98487789999999997</v>
      </c>
      <c r="AB5171">
        <v>22</v>
      </c>
      <c r="AC5171">
        <v>13.050700000000001</v>
      </c>
      <c r="AD5171">
        <v>-1.1107109634229999</v>
      </c>
      <c r="AE5171">
        <v>-3.0303799999999899</v>
      </c>
      <c r="AF5171">
        <v>2.3326473795210498</v>
      </c>
      <c r="AG5171">
        <v>-1.1107109634229999</v>
      </c>
      <c r="AH5171">
        <v>13.1004036960812</v>
      </c>
      <c r="AI5171">
        <v>94.771507503158801</v>
      </c>
      <c r="AJ5171">
        <v>79.903772554701902</v>
      </c>
      <c r="AK5171">
        <v>13.352733789069299</v>
      </c>
      <c r="AL5171">
        <v>91.060838076899401</v>
      </c>
      <c r="AM5171">
        <v>94.803416888368702</v>
      </c>
      <c r="AN5171">
        <v>1.0000000307517001</v>
      </c>
    </row>
    <row r="5172" spans="1:40" x14ac:dyDescent="0.3">
      <c r="A5172" t="str">
        <f>"20200111160605875"</f>
        <v>20200111160605875</v>
      </c>
      <c r="B5172" t="str">
        <f>"1578729965866903"</f>
        <v>1578729965866903</v>
      </c>
      <c r="C5172" t="s">
        <v>40</v>
      </c>
      <c r="D5172">
        <v>5.1292419999999996</v>
      </c>
      <c r="E5172">
        <v>0.59705220000000003</v>
      </c>
      <c r="F5172" t="s">
        <v>41</v>
      </c>
      <c r="G5172">
        <v>-356.27659999999997</v>
      </c>
      <c r="H5172" s="1">
        <v>-2.8360629999999999E-6</v>
      </c>
      <c r="I5172">
        <v>13.6671</v>
      </c>
      <c r="J5172">
        <v>-371.43450000000001</v>
      </c>
      <c r="K5172">
        <v>1.110706</v>
      </c>
      <c r="L5172">
        <v>17.11835</v>
      </c>
      <c r="M5172">
        <v>0.99860260000000001</v>
      </c>
      <c r="N5172">
        <v>0</v>
      </c>
      <c r="O5172">
        <v>-5.1505620000000002E-2</v>
      </c>
      <c r="P5172">
        <v>0.99900999999999995</v>
      </c>
      <c r="Q5172">
        <v>-3.0383219999999999E-2</v>
      </c>
      <c r="R5172">
        <v>3.2494210000000003E-2</v>
      </c>
      <c r="S5172">
        <v>3.0180660000000001</v>
      </c>
      <c r="T5172">
        <v>-0.21936629999999999</v>
      </c>
      <c r="U5172">
        <v>-0.68276979999999998</v>
      </c>
      <c r="V5172">
        <v>-8.389083E-2</v>
      </c>
      <c r="W5172">
        <v>-1.8675790000000001E-2</v>
      </c>
      <c r="X5172">
        <v>0.99629990000000002</v>
      </c>
      <c r="Y5172">
        <v>0.1698229</v>
      </c>
      <c r="Z5172">
        <v>-2.4010020000000002E-3</v>
      </c>
      <c r="AA5172">
        <v>0.98547169999999895</v>
      </c>
      <c r="AB5172">
        <v>22</v>
      </c>
      <c r="AC5172">
        <v>15.1579</v>
      </c>
      <c r="AD5172">
        <v>-1.110708836063</v>
      </c>
      <c r="AE5172">
        <v>-3.4512499999999999</v>
      </c>
      <c r="AF5172">
        <v>2.6523572794046899</v>
      </c>
      <c r="AG5172">
        <v>-1.110708836063</v>
      </c>
      <c r="AH5172">
        <v>15.237764813760901</v>
      </c>
      <c r="AI5172">
        <v>94.107477265586297</v>
      </c>
      <c r="AJ5172">
        <v>80.125757930237199</v>
      </c>
      <c r="AK5172">
        <v>15.5067130551774</v>
      </c>
      <c r="AL5172">
        <v>91.070106186645305</v>
      </c>
      <c r="AM5172">
        <v>94.813087843129196</v>
      </c>
      <c r="AN5172">
        <v>0.99999997361511095</v>
      </c>
    </row>
    <row r="5173" spans="1:40" x14ac:dyDescent="0.3">
      <c r="A5173" t="str">
        <f>"20200111160605896"</f>
        <v>20200111160605896</v>
      </c>
      <c r="B5173" t="str">
        <f>"1578729965887399"</f>
        <v>1578729965887399</v>
      </c>
      <c r="C5173" t="s">
        <v>40</v>
      </c>
      <c r="D5173">
        <v>4.9567489999999896</v>
      </c>
      <c r="E5173">
        <v>0.59794389999999997</v>
      </c>
      <c r="F5173" t="s">
        <v>41</v>
      </c>
      <c r="G5173">
        <v>-355.43540000000002</v>
      </c>
      <c r="H5173" s="1">
        <v>-3.1517939999999999E-6</v>
      </c>
      <c r="I5173">
        <v>13.55639</v>
      </c>
      <c r="J5173">
        <v>-371.23239999999998</v>
      </c>
      <c r="K5173">
        <v>1.1107070000000001</v>
      </c>
      <c r="L5173">
        <v>17.108699999999999</v>
      </c>
      <c r="M5173">
        <v>0.9986372</v>
      </c>
      <c r="N5173">
        <v>0</v>
      </c>
      <c r="O5173">
        <v>-5.0835529999999997E-2</v>
      </c>
      <c r="P5173">
        <v>0.99896099999999999</v>
      </c>
      <c r="Q5173">
        <v>-3.0204580000000002E-2</v>
      </c>
      <c r="R5173">
        <v>3.4130519999999998E-2</v>
      </c>
      <c r="S5173">
        <v>3.0184630000000001</v>
      </c>
      <c r="T5173">
        <v>-0.2095506</v>
      </c>
      <c r="U5173">
        <v>-0.67199709999999901</v>
      </c>
      <c r="V5173">
        <v>-8.4854490000000005E-2</v>
      </c>
      <c r="W5173">
        <v>-1.8514630000000001E-2</v>
      </c>
      <c r="X5173">
        <v>0.99622129999999998</v>
      </c>
      <c r="Y5173">
        <v>0.16713749999999999</v>
      </c>
      <c r="Z5173">
        <v>-2.2480870000000002E-3</v>
      </c>
      <c r="AA5173">
        <v>0.985931</v>
      </c>
      <c r="AB5173">
        <v>22</v>
      </c>
      <c r="AC5173">
        <v>15.796999999999899</v>
      </c>
      <c r="AD5173">
        <v>-1.1107101517939999</v>
      </c>
      <c r="AE5173">
        <v>-3.5523099999999999</v>
      </c>
      <c r="AF5173">
        <v>2.7317565312914298</v>
      </c>
      <c r="AG5173">
        <v>-1.1107101517939999</v>
      </c>
      <c r="AH5173">
        <v>15.8824297566435</v>
      </c>
      <c r="AI5173">
        <v>93.942660614690496</v>
      </c>
      <c r="AJ5173">
        <v>80.240693668389397</v>
      </c>
      <c r="AK5173">
        <v>16.153877112392099</v>
      </c>
      <c r="AL5173">
        <v>91.060870797818794</v>
      </c>
      <c r="AM5173">
        <v>94.868494166211207</v>
      </c>
      <c r="AN5173">
        <v>0.99999997728544299</v>
      </c>
    </row>
    <row r="5174" spans="1:40" x14ac:dyDescent="0.3">
      <c r="A5174" t="str">
        <f>"20200111160605908"</f>
        <v>20200111160605908</v>
      </c>
      <c r="B5174" t="str">
        <f>"1578729965897160"</f>
        <v>1578729965897160</v>
      </c>
      <c r="C5174" t="s">
        <v>40</v>
      </c>
      <c r="D5174">
        <v>4.9501689999999998</v>
      </c>
      <c r="E5174">
        <v>0.59973409999999905</v>
      </c>
      <c r="F5174" t="s">
        <v>41</v>
      </c>
      <c r="G5174">
        <v>-353.58260000000001</v>
      </c>
      <c r="H5174" s="1">
        <v>-3.8865510000000003E-6</v>
      </c>
      <c r="I5174">
        <v>13.16455</v>
      </c>
      <c r="J5174">
        <v>-371.10730000000001</v>
      </c>
      <c r="K5174">
        <v>1.110708</v>
      </c>
      <c r="L5174">
        <v>17.102810000000002</v>
      </c>
      <c r="M5174">
        <v>0.99865820000000005</v>
      </c>
      <c r="N5174">
        <v>0</v>
      </c>
      <c r="O5174">
        <v>-5.0423530000000001E-2</v>
      </c>
      <c r="P5174">
        <v>0.99892590000000003</v>
      </c>
      <c r="Q5174">
        <v>-3.0092790000000001E-2</v>
      </c>
      <c r="R5174">
        <v>3.5238329999999998E-2</v>
      </c>
      <c r="S5174">
        <v>3.0204469999999999</v>
      </c>
      <c r="T5174">
        <v>-0.19007859999999999</v>
      </c>
      <c r="U5174">
        <v>-0.67495729999999998</v>
      </c>
      <c r="V5174">
        <v>-8.5548189999999996E-2</v>
      </c>
      <c r="W5174">
        <v>-1.8410989999999999E-2</v>
      </c>
      <c r="X5174">
        <v>0.99616389999999999</v>
      </c>
      <c r="Y5174">
        <v>0.16837160000000001</v>
      </c>
      <c r="Z5174">
        <v>-2.1019210000000001E-3</v>
      </c>
      <c r="AA5174">
        <v>0.98572130000000002</v>
      </c>
      <c r="AB5174">
        <v>22</v>
      </c>
      <c r="AC5174">
        <v>17.5246999999999</v>
      </c>
      <c r="AD5174">
        <v>-1.1107118865509999</v>
      </c>
      <c r="AE5174">
        <v>-3.9382600000000001</v>
      </c>
      <c r="AF5174">
        <v>3.0379141295606198</v>
      </c>
      <c r="AG5174">
        <v>-1.1107118865509999</v>
      </c>
      <c r="AH5174">
        <v>17.6335702118988</v>
      </c>
      <c r="AI5174">
        <v>93.552022356034101</v>
      </c>
      <c r="AJ5174">
        <v>80.225029243374195</v>
      </c>
      <c r="AK5174">
        <v>17.927782951929</v>
      </c>
      <c r="AL5174">
        <v>91.054931641015003</v>
      </c>
      <c r="AM5174">
        <v>94.908382729296903</v>
      </c>
      <c r="AN5174">
        <v>0.99999998651413302</v>
      </c>
    </row>
    <row r="5175" spans="1:40" x14ac:dyDescent="0.3">
      <c r="A5175" t="str">
        <f>"20200111160605928"</f>
        <v>20200111160605928</v>
      </c>
      <c r="B5175" t="str">
        <f>"1578729965917655"</f>
        <v>1578729965917655</v>
      </c>
      <c r="C5175" t="s">
        <v>40</v>
      </c>
      <c r="D5175">
        <v>4.9486939999999997</v>
      </c>
      <c r="E5175">
        <v>0.6019061</v>
      </c>
      <c r="F5175" t="s">
        <v>41</v>
      </c>
      <c r="G5175">
        <v>-352.23790000000002</v>
      </c>
      <c r="H5175" s="1">
        <v>-4.5182649999999997E-6</v>
      </c>
      <c r="I5175">
        <v>12.817159999999999</v>
      </c>
      <c r="J5175">
        <v>-370.91809999999998</v>
      </c>
      <c r="K5175">
        <v>1.110714</v>
      </c>
      <c r="L5175">
        <v>17.093989999999899</v>
      </c>
      <c r="M5175">
        <v>0.9986893</v>
      </c>
      <c r="N5175">
        <v>0</v>
      </c>
      <c r="O5175">
        <v>-4.9804689999999999E-2</v>
      </c>
      <c r="P5175">
        <v>0.99885990000000002</v>
      </c>
      <c r="Q5175">
        <v>-2.9290779999999999E-2</v>
      </c>
      <c r="R5175">
        <v>3.769542E-2</v>
      </c>
      <c r="S5175">
        <v>3.0220950000000002</v>
      </c>
      <c r="T5175">
        <v>-0.177890299999999</v>
      </c>
      <c r="U5175">
        <v>-0.68637079999999995</v>
      </c>
      <c r="V5175">
        <v>-8.7382810000000005E-2</v>
      </c>
      <c r="W5175">
        <v>-1.7619650000000001E-2</v>
      </c>
      <c r="X5175">
        <v>0.99601890000000004</v>
      </c>
      <c r="Y5175">
        <v>0.1724299</v>
      </c>
      <c r="Z5175">
        <v>-2.119236E-3</v>
      </c>
      <c r="AA5175">
        <v>0.98501950000000005</v>
      </c>
      <c r="AB5175">
        <v>22</v>
      </c>
      <c r="AC5175">
        <v>18.6801999999999</v>
      </c>
      <c r="AD5175">
        <v>-1.1107185182649999</v>
      </c>
      <c r="AE5175">
        <v>-4.2768299999999897</v>
      </c>
      <c r="AF5175">
        <v>3.32990892865099</v>
      </c>
      <c r="AG5175">
        <v>-1.1107185182649999</v>
      </c>
      <c r="AH5175">
        <v>18.806856196394602</v>
      </c>
      <c r="AI5175">
        <v>93.3282704581014</v>
      </c>
      <c r="AJ5175">
        <v>79.959370189448904</v>
      </c>
      <c r="AK5175">
        <v>19.131644704305799</v>
      </c>
      <c r="AL5175">
        <v>91.009583896331407</v>
      </c>
      <c r="AM5175">
        <v>95.013840513200506</v>
      </c>
      <c r="AN5175">
        <v>0.99999992835341101</v>
      </c>
    </row>
    <row r="5176" spans="1:40" x14ac:dyDescent="0.3">
      <c r="A5176" t="str">
        <f>"20200111160605939"</f>
        <v>20200111160605939</v>
      </c>
      <c r="B5176" t="str">
        <f>"1578729965927415"</f>
        <v>1578729965927415</v>
      </c>
      <c r="C5176" t="s">
        <v>40</v>
      </c>
      <c r="D5176">
        <v>4.9514420000000001</v>
      </c>
      <c r="E5176">
        <v>0.60323549999999904</v>
      </c>
      <c r="F5176" t="s">
        <v>41</v>
      </c>
      <c r="G5176">
        <v>-349.06229999999999</v>
      </c>
      <c r="H5176" s="1">
        <v>-2.3164200000000001E-6</v>
      </c>
      <c r="I5176">
        <v>12.05719</v>
      </c>
      <c r="J5176">
        <v>-370.8023</v>
      </c>
      <c r="K5176">
        <v>1.1107209999999901</v>
      </c>
      <c r="L5176">
        <v>17.088650000000001</v>
      </c>
      <c r="M5176">
        <v>0.99870809999999999</v>
      </c>
      <c r="N5176">
        <v>0</v>
      </c>
      <c r="O5176">
        <v>-4.9427489999999998E-2</v>
      </c>
      <c r="P5176">
        <v>0.99882839999999995</v>
      </c>
      <c r="Q5176">
        <v>-2.8957199999999999E-2</v>
      </c>
      <c r="R5176">
        <v>3.8776629999999999E-2</v>
      </c>
      <c r="S5176">
        <v>3.0252379999999999</v>
      </c>
      <c r="T5176">
        <v>-0.15374350000000001</v>
      </c>
      <c r="U5176">
        <v>-0.69717410000000002</v>
      </c>
      <c r="V5176">
        <v>-8.8085269999999993E-2</v>
      </c>
      <c r="W5176">
        <v>-1.7290630000000001E-2</v>
      </c>
      <c r="X5176">
        <v>0.99596289999999998</v>
      </c>
      <c r="Y5176">
        <v>0.17596899999999999</v>
      </c>
      <c r="Z5176">
        <v>-1.9369879999999999E-3</v>
      </c>
      <c r="AA5176">
        <v>0.98439379999999999</v>
      </c>
      <c r="AB5176">
        <v>22</v>
      </c>
      <c r="AC5176">
        <v>21.74</v>
      </c>
      <c r="AD5176">
        <v>-1.1107233164200001</v>
      </c>
      <c r="AE5176">
        <v>-5.03146</v>
      </c>
      <c r="AF5176">
        <v>3.9409168798352399</v>
      </c>
      <c r="AG5176">
        <v>-1.1107233164200001</v>
      </c>
      <c r="AH5176">
        <v>21.907854550737401</v>
      </c>
      <c r="AI5176">
        <v>92.856625052820405</v>
      </c>
      <c r="AJ5176">
        <v>79.802351727879895</v>
      </c>
      <c r="AK5176">
        <v>22.287185177937499</v>
      </c>
      <c r="AL5176">
        <v>90.990729454959606</v>
      </c>
      <c r="AM5176">
        <v>95.054220957426693</v>
      </c>
      <c r="AN5176">
        <v>1.00000003942658</v>
      </c>
    </row>
    <row r="5177" spans="1:40" x14ac:dyDescent="0.3">
      <c r="A5177" t="str">
        <f>"20200111160605952"</f>
        <v>20200111160605952</v>
      </c>
      <c r="B5177" t="str">
        <f>"1578729965946935"</f>
        <v>1578729965946935</v>
      </c>
      <c r="C5177" t="s">
        <v>40</v>
      </c>
      <c r="D5177">
        <v>4.9344809999999999</v>
      </c>
      <c r="E5177">
        <v>0.60518179999999999</v>
      </c>
      <c r="F5177" t="s">
        <v>41</v>
      </c>
      <c r="G5177">
        <v>-347.7457</v>
      </c>
      <c r="H5177" s="1">
        <v>-2.8542909999999999E-6</v>
      </c>
      <c r="I5177">
        <v>11.71963</v>
      </c>
      <c r="J5177">
        <v>-370.6737</v>
      </c>
      <c r="K5177">
        <v>1.110725</v>
      </c>
      <c r="L5177">
        <v>17.082789999999999</v>
      </c>
      <c r="M5177">
        <v>0.99872879999999997</v>
      </c>
      <c r="N5177">
        <v>0</v>
      </c>
      <c r="O5177">
        <v>-4.900856E-2</v>
      </c>
      <c r="P5177">
        <v>0.99878579999999995</v>
      </c>
      <c r="Q5177">
        <v>-2.8438700000000001E-2</v>
      </c>
      <c r="R5177">
        <v>4.0230000000000002E-2</v>
      </c>
      <c r="S5177">
        <v>3.0266109999999999</v>
      </c>
      <c r="T5177">
        <v>-0.14580299999999999</v>
      </c>
      <c r="U5177">
        <v>-0.70477290000000004</v>
      </c>
      <c r="V5177">
        <v>-8.9117500000000002E-2</v>
      </c>
      <c r="W5177">
        <v>-1.6777170000000001E-2</v>
      </c>
      <c r="X5177">
        <v>0.99587979999999998</v>
      </c>
      <c r="Y5177">
        <v>0.17864160000000001</v>
      </c>
      <c r="Z5177">
        <v>-1.9190920000000001E-3</v>
      </c>
      <c r="AA5177">
        <v>0.98391229999999996</v>
      </c>
      <c r="AB5177">
        <v>22</v>
      </c>
      <c r="AC5177">
        <v>22.928000000000001</v>
      </c>
      <c r="AD5177">
        <v>-1.110727854291</v>
      </c>
      <c r="AE5177">
        <v>-5.3631599999999899</v>
      </c>
      <c r="AF5177">
        <v>4.2235703456245499</v>
      </c>
      <c r="AG5177">
        <v>-1.110727854291</v>
      </c>
      <c r="AH5177">
        <v>23.1118779205853</v>
      </c>
      <c r="AI5177">
        <v>92.706690032829499</v>
      </c>
      <c r="AJ5177">
        <v>79.643781920676304</v>
      </c>
      <c r="AK5177">
        <v>23.520866562411701</v>
      </c>
      <c r="AL5177">
        <v>90.961306144230605</v>
      </c>
      <c r="AM5177">
        <v>95.113561245240703</v>
      </c>
      <c r="AN5177">
        <v>0.99999998914374899</v>
      </c>
    </row>
    <row r="5178" spans="1:40" x14ac:dyDescent="0.3">
      <c r="A5178" t="str">
        <f>"20200111160605966"</f>
        <v>20200111160605966</v>
      </c>
      <c r="B5178" t="str">
        <f>"1578729965957672"</f>
        <v>1578729965957672</v>
      </c>
      <c r="C5178" t="s">
        <v>40</v>
      </c>
      <c r="D5178">
        <v>4.9693940000000003</v>
      </c>
      <c r="E5178">
        <v>0.60594609999999904</v>
      </c>
      <c r="F5178" t="s">
        <v>41</v>
      </c>
      <c r="G5178">
        <v>-345.10759999999999</v>
      </c>
      <c r="H5178" s="1">
        <v>-3.9338229999999999E-6</v>
      </c>
      <c r="I5178">
        <v>11.036490000000001</v>
      </c>
      <c r="J5178">
        <v>-370.5326</v>
      </c>
      <c r="K5178">
        <v>1.1107279999999999</v>
      </c>
      <c r="L5178">
        <v>17.07639</v>
      </c>
      <c r="M5178">
        <v>0.99875119999999895</v>
      </c>
      <c r="N5178">
        <v>0</v>
      </c>
      <c r="O5178">
        <v>-4.8548620000000001E-2</v>
      </c>
      <c r="P5178">
        <v>0.99873809999999996</v>
      </c>
      <c r="Q5178">
        <v>-2.7979339999999998E-2</v>
      </c>
      <c r="R5178">
        <v>4.1706470000000002E-2</v>
      </c>
      <c r="S5178">
        <v>3.0287480000000002</v>
      </c>
      <c r="T5178">
        <v>-0.1315848</v>
      </c>
      <c r="U5178">
        <v>-0.71627810000000003</v>
      </c>
      <c r="V5178">
        <v>-9.013198E-2</v>
      </c>
      <c r="W5178">
        <v>-1.6322710000000001E-2</v>
      </c>
      <c r="X5178">
        <v>0.99579609999999996</v>
      </c>
      <c r="Y5178">
        <v>0.18250540000000001</v>
      </c>
      <c r="Z5178">
        <v>-1.832626E-3</v>
      </c>
      <c r="AA5178">
        <v>0.98320320000000005</v>
      </c>
      <c r="AB5178">
        <v>22</v>
      </c>
      <c r="AC5178">
        <v>25.425000000000001</v>
      </c>
      <c r="AD5178">
        <v>-1.110731933823</v>
      </c>
      <c r="AE5178">
        <v>-6.0399000000000003</v>
      </c>
      <c r="AF5178">
        <v>4.7896894770912599</v>
      </c>
      <c r="AG5178">
        <v>-1.110731933823</v>
      </c>
      <c r="AH5178">
        <v>25.641940473054099</v>
      </c>
      <c r="AI5178">
        <v>92.438211854698096</v>
      </c>
      <c r="AJ5178">
        <v>79.419580359419896</v>
      </c>
      <c r="AK5178">
        <v>26.109078151850301</v>
      </c>
      <c r="AL5178">
        <v>90.935263890656501</v>
      </c>
      <c r="AM5178">
        <v>95.171890544101004</v>
      </c>
      <c r="AN5178">
        <v>1.0000000387278301</v>
      </c>
    </row>
    <row r="5179" spans="1:40" x14ac:dyDescent="0.3">
      <c r="A5179" t="str">
        <f>"20200111160605985"</f>
        <v>20200111160605985</v>
      </c>
      <c r="B5179" t="str">
        <f>"1578729965977193"</f>
        <v>1578729965977193</v>
      </c>
      <c r="C5179" t="s">
        <v>40</v>
      </c>
      <c r="D5179">
        <v>5.1425320000000001</v>
      </c>
      <c r="E5179">
        <v>0.60541650000000002</v>
      </c>
      <c r="F5179" t="s">
        <v>41</v>
      </c>
      <c r="G5179">
        <v>-343.56459999999998</v>
      </c>
      <c r="H5179" s="1">
        <v>-4.5524429999999999E-6</v>
      </c>
      <c r="I5179">
        <v>10.68493</v>
      </c>
      <c r="J5179">
        <v>-370.33879999999999</v>
      </c>
      <c r="K5179">
        <v>1.1107340000000001</v>
      </c>
      <c r="L5179">
        <v>17.06775</v>
      </c>
      <c r="M5179">
        <v>0.99878180000000005</v>
      </c>
      <c r="N5179">
        <v>0</v>
      </c>
      <c r="O5179">
        <v>-4.7915109999999997E-2</v>
      </c>
      <c r="P5179">
        <v>0.99862519999999999</v>
      </c>
      <c r="Q5179">
        <v>-2.719533E-2</v>
      </c>
      <c r="R5179">
        <v>4.4817999999999997E-2</v>
      </c>
      <c r="S5179">
        <v>3.0302730000000002</v>
      </c>
      <c r="T5179">
        <v>-0.12480810000000001</v>
      </c>
      <c r="U5179">
        <v>-0.71817019999999998</v>
      </c>
      <c r="V5179">
        <v>-9.2603889999999994E-2</v>
      </c>
      <c r="W5179">
        <v>-1.5546539999999999E-2</v>
      </c>
      <c r="X5179">
        <v>0.99558159999999896</v>
      </c>
      <c r="Y5179">
        <v>0.1836101</v>
      </c>
      <c r="Z5179">
        <v>-1.7854170000000001E-3</v>
      </c>
      <c r="AA5179">
        <v>0.98299749999999997</v>
      </c>
      <c r="AB5179">
        <v>22</v>
      </c>
      <c r="AC5179">
        <v>26.7742</v>
      </c>
      <c r="AD5179">
        <v>-1.110738552443</v>
      </c>
      <c r="AE5179">
        <v>-6.3828199999999997</v>
      </c>
      <c r="AF5179">
        <v>5.0842301886790899</v>
      </c>
      <c r="AG5179">
        <v>-1.110738552443</v>
      </c>
      <c r="AH5179">
        <v>27.0053201101606</v>
      </c>
      <c r="AI5179">
        <v>92.3146500375084</v>
      </c>
      <c r="AJ5179">
        <v>79.337857131681801</v>
      </c>
      <c r="AK5179">
        <v>27.502189930905502</v>
      </c>
      <c r="AL5179">
        <v>90.890787059211306</v>
      </c>
      <c r="AM5179">
        <v>95.314069143055505</v>
      </c>
      <c r="AN5179">
        <v>0.99999994880383003</v>
      </c>
    </row>
    <row r="5180" spans="1:40" x14ac:dyDescent="0.3">
      <c r="A5180" t="str">
        <f>"20200111160605999"</f>
        <v>20200111160605999</v>
      </c>
      <c r="B5180" t="str">
        <f>"1578729965997687"</f>
        <v>1578729965997687</v>
      </c>
      <c r="C5180" t="s">
        <v>40</v>
      </c>
      <c r="D5180">
        <v>4.8723640000000001</v>
      </c>
      <c r="E5180">
        <v>0.60816459999999894</v>
      </c>
      <c r="F5180" t="s">
        <v>41</v>
      </c>
      <c r="G5180">
        <v>-344.4058</v>
      </c>
      <c r="H5180" s="1">
        <v>-4.1706670000000003E-6</v>
      </c>
      <c r="I5180">
        <v>11.04397</v>
      </c>
      <c r="J5180">
        <v>-370.2029</v>
      </c>
      <c r="K5180">
        <v>1.110738</v>
      </c>
      <c r="L5180">
        <v>17.06174</v>
      </c>
      <c r="M5180">
        <v>0.998803</v>
      </c>
      <c r="N5180">
        <v>0</v>
      </c>
      <c r="O5180">
        <v>-4.7469020000000001E-2</v>
      </c>
      <c r="P5180">
        <v>0.99856500000000004</v>
      </c>
      <c r="Q5180">
        <v>-2.6734540000000001E-2</v>
      </c>
      <c r="R5180">
        <v>4.6402029999999997E-2</v>
      </c>
      <c r="S5180">
        <v>3.0321959999999999</v>
      </c>
      <c r="T5180">
        <v>-0.12987209999999999</v>
      </c>
      <c r="U5180">
        <v>-0.70431519999999903</v>
      </c>
      <c r="V5180">
        <v>-9.373861E-2</v>
      </c>
      <c r="W5180">
        <v>-1.50895E-2</v>
      </c>
      <c r="X5180">
        <v>0.99548250000000005</v>
      </c>
      <c r="Y5180">
        <v>0.17964440000000001</v>
      </c>
      <c r="Z5180">
        <v>-1.7925580000000001E-3</v>
      </c>
      <c r="AA5180">
        <v>0.98372999999999999</v>
      </c>
      <c r="AB5180">
        <v>22</v>
      </c>
      <c r="AC5180">
        <v>25.7971</v>
      </c>
      <c r="AD5180">
        <v>-1.110742170667</v>
      </c>
      <c r="AE5180">
        <v>-6.0177699999999996</v>
      </c>
      <c r="AF5180">
        <v>4.7779363045457899</v>
      </c>
      <c r="AG5180">
        <v>-1.110742170667</v>
      </c>
      <c r="AH5180">
        <v>26.007965027739299</v>
      </c>
      <c r="AI5180">
        <v>92.405285456688802</v>
      </c>
      <c r="AJ5180">
        <v>79.590236148193199</v>
      </c>
      <c r="AK5180">
        <v>26.466519763355802</v>
      </c>
      <c r="AL5180">
        <v>90.8645974655186</v>
      </c>
      <c r="AM5180">
        <v>95.3793376898373</v>
      </c>
      <c r="AN5180">
        <v>1.00000001391061</v>
      </c>
    </row>
    <row r="5181" spans="1:40" x14ac:dyDescent="0.3">
      <c r="A5181" t="str">
        <f>"20200111160606239"</f>
        <v>20200111160606239</v>
      </c>
      <c r="B5181" t="str">
        <f>"1578729966237783"</f>
        <v>1578729966237783</v>
      </c>
      <c r="C5181" t="s">
        <v>40</v>
      </c>
      <c r="D5181">
        <v>5.3058690000000004</v>
      </c>
      <c r="E5181">
        <v>0.44172719999999999</v>
      </c>
      <c r="F5181" t="s">
        <v>41</v>
      </c>
      <c r="G5181">
        <v>-341.63139999999999</v>
      </c>
      <c r="H5181" s="1">
        <v>-5.321593E-6</v>
      </c>
      <c r="I5181">
        <v>10.266730000000001</v>
      </c>
      <c r="J5181">
        <v>-367.80309999999997</v>
      </c>
      <c r="K5181">
        <v>1.1107479999999901</v>
      </c>
      <c r="L5181">
        <v>16.96594</v>
      </c>
      <c r="M5181">
        <v>0.99914890000000001</v>
      </c>
      <c r="N5181">
        <v>0</v>
      </c>
      <c r="O5181">
        <v>-3.9529309999999998E-2</v>
      </c>
      <c r="P5181">
        <v>0.99769229999999998</v>
      </c>
      <c r="Q5181">
        <v>-2.7410859999999999E-2</v>
      </c>
      <c r="R5181">
        <v>6.2118189999999997E-2</v>
      </c>
      <c r="S5181">
        <v>3.0346679999999999</v>
      </c>
      <c r="T5181">
        <v>-0.1179757</v>
      </c>
      <c r="U5181">
        <v>-0.72171019999999997</v>
      </c>
      <c r="V5181">
        <v>-0.1014938</v>
      </c>
      <c r="W5181">
        <v>-1.5784719999999999E-2</v>
      </c>
      <c r="X5181">
        <v>0.99471089999999995</v>
      </c>
      <c r="Y5181">
        <v>0.19261929999999999</v>
      </c>
      <c r="Z5181">
        <v>-2.1781859999999999E-3</v>
      </c>
      <c r="AA5181">
        <v>0.98127109999999995</v>
      </c>
      <c r="AB5181">
        <v>22</v>
      </c>
      <c r="AC5181">
        <v>26.171699999999898</v>
      </c>
      <c r="AD5181">
        <v>-1.1107533215930001</v>
      </c>
      <c r="AE5181">
        <v>-6.6992099999999901</v>
      </c>
      <c r="AF5181">
        <v>5.6498012843382304</v>
      </c>
      <c r="AG5181">
        <v>-1.1107533215930001</v>
      </c>
      <c r="AH5181">
        <v>26.3714948002313</v>
      </c>
      <c r="AI5181">
        <v>92.358388792096903</v>
      </c>
      <c r="AJ5181">
        <v>77.907804860427007</v>
      </c>
      <c r="AK5181">
        <v>26.992772467691498</v>
      </c>
      <c r="AL5181">
        <v>90.904435431882106</v>
      </c>
      <c r="AM5181">
        <v>95.825925181126294</v>
      </c>
      <c r="AN5181">
        <v>0.99999996170136296</v>
      </c>
    </row>
    <row r="5182" spans="1:40" x14ac:dyDescent="0.3">
      <c r="A5182" t="str">
        <f>"20200111160606251"</f>
        <v>20200111160606251</v>
      </c>
      <c r="B5182" t="str">
        <f>"1578729966247543"</f>
        <v>1578729966247543</v>
      </c>
      <c r="C5182" t="s">
        <v>40</v>
      </c>
      <c r="D5182">
        <v>5.3947310000000002</v>
      </c>
      <c r="E5182">
        <v>0.44230550000000002</v>
      </c>
      <c r="F5182" t="s">
        <v>41</v>
      </c>
      <c r="G5182">
        <v>-354.08580000000001</v>
      </c>
      <c r="H5182" s="1">
        <v>-2.6214730000000001E-6</v>
      </c>
      <c r="I5182">
        <v>19.999559999999999</v>
      </c>
      <c r="J5182">
        <v>-367.68880000000001</v>
      </c>
      <c r="K5182">
        <v>1.1107479999999901</v>
      </c>
      <c r="L5182">
        <v>16.961849999999998</v>
      </c>
      <c r="M5182">
        <v>0.99916380000000005</v>
      </c>
      <c r="N5182">
        <v>0</v>
      </c>
      <c r="O5182">
        <v>-3.9151199999999997E-2</v>
      </c>
      <c r="P5182">
        <v>0.99769629999999998</v>
      </c>
      <c r="Q5182">
        <v>-2.7285029999999998E-2</v>
      </c>
      <c r="R5182">
        <v>6.2110409999999998E-2</v>
      </c>
      <c r="S5182">
        <v>2.9595950000000002</v>
      </c>
      <c r="T5182">
        <v>-0.2396518</v>
      </c>
      <c r="U5182">
        <v>0.65454100000000004</v>
      </c>
      <c r="V5182">
        <v>-0.1011098</v>
      </c>
      <c r="W5182">
        <v>-1.565772E-2</v>
      </c>
      <c r="X5182">
        <v>0.99475199999999997</v>
      </c>
      <c r="Y5182">
        <v>-0.25309169999999998</v>
      </c>
      <c r="Z5182">
        <v>1.323913E-2</v>
      </c>
      <c r="AA5182">
        <v>0.96735170000000004</v>
      </c>
      <c r="AB5182">
        <v>22</v>
      </c>
      <c r="AC5182">
        <v>13.603</v>
      </c>
      <c r="AD5182">
        <v>-1.1107506214730001</v>
      </c>
      <c r="AE5182">
        <v>3.0377100000000001</v>
      </c>
      <c r="AF5182">
        <v>-3.54547478890718</v>
      </c>
      <c r="AG5182">
        <v>-1.1107506214730001</v>
      </c>
      <c r="AH5182">
        <v>13.388602408497499</v>
      </c>
      <c r="AI5182">
        <v>94.585197171831297</v>
      </c>
      <c r="AJ5182">
        <v>104.83221060344999</v>
      </c>
      <c r="AK5182">
        <v>13.894561269601301</v>
      </c>
      <c r="AL5182">
        <v>90.897157979892697</v>
      </c>
      <c r="AM5182">
        <v>95.8037954948839</v>
      </c>
      <c r="AN5182">
        <v>0.99999994867781705</v>
      </c>
    </row>
    <row r="5183" spans="1:40" x14ac:dyDescent="0.3">
      <c r="A5183" t="str">
        <f>"20200111160606263"</f>
        <v>20200111160606263</v>
      </c>
      <c r="B5183" t="str">
        <f>"1578729966257303"</f>
        <v>1578729966257303</v>
      </c>
      <c r="C5183" t="s">
        <v>40</v>
      </c>
      <c r="D5183">
        <v>5.3010190000000001</v>
      </c>
      <c r="E5183">
        <v>0.44178149999999999</v>
      </c>
      <c r="F5183" t="s">
        <v>41</v>
      </c>
      <c r="G5183">
        <v>-354.35789999999997</v>
      </c>
      <c r="H5183" s="1">
        <v>-2.4754620000000001E-6</v>
      </c>
      <c r="I5183">
        <v>19.889569999999999</v>
      </c>
      <c r="J5183">
        <v>-367.56819999999999</v>
      </c>
      <c r="K5183">
        <v>1.1107479999999901</v>
      </c>
      <c r="L5183">
        <v>16.95758</v>
      </c>
      <c r="M5183">
        <v>0.99917920000000005</v>
      </c>
      <c r="N5183">
        <v>0</v>
      </c>
      <c r="O5183">
        <v>-3.8751969999999997E-2</v>
      </c>
      <c r="P5183">
        <v>0.99769339999999995</v>
      </c>
      <c r="Q5183">
        <v>-2.7077569999999999E-2</v>
      </c>
      <c r="R5183">
        <v>6.2248320000000003E-2</v>
      </c>
      <c r="S5183">
        <v>2.959686</v>
      </c>
      <c r="T5183">
        <v>-0.2466062</v>
      </c>
      <c r="U5183">
        <v>0.65002439999999995</v>
      </c>
      <c r="V5183">
        <v>-0.1008506</v>
      </c>
      <c r="W5183">
        <v>-1.5449350000000001E-2</v>
      </c>
      <c r="X5183">
        <v>0.99478160000000004</v>
      </c>
      <c r="Y5183">
        <v>-0.25124410000000003</v>
      </c>
      <c r="Z5183">
        <v>1.3515009999999999E-2</v>
      </c>
      <c r="AA5183">
        <v>0.96782939999999995</v>
      </c>
      <c r="AB5183">
        <v>22</v>
      </c>
      <c r="AC5183">
        <v>13.2103</v>
      </c>
      <c r="AD5183">
        <v>-1.1107504754619999</v>
      </c>
      <c r="AE5183">
        <v>2.9319899999999999</v>
      </c>
      <c r="AF5183">
        <v>-3.41871321145871</v>
      </c>
      <c r="AG5183">
        <v>-1.1107504754619999</v>
      </c>
      <c r="AH5183">
        <v>12.9991605493191</v>
      </c>
      <c r="AI5183">
        <v>94.724061146119297</v>
      </c>
      <c r="AJ5183">
        <v>104.734829592829</v>
      </c>
      <c r="AK5183">
        <v>13.4870138143296</v>
      </c>
      <c r="AL5183">
        <v>90.885217786674204</v>
      </c>
      <c r="AM5183">
        <v>95.788847271973495</v>
      </c>
      <c r="AN5183">
        <v>0.99999997881717095</v>
      </c>
    </row>
    <row r="5184" spans="1:40" x14ac:dyDescent="0.3">
      <c r="A5184" t="str">
        <f>"20200111160606286"</f>
        <v>20200111160606286</v>
      </c>
      <c r="B5184" t="str">
        <f>"1578729966276823"</f>
        <v>1578729966276823</v>
      </c>
      <c r="C5184" t="s">
        <v>40</v>
      </c>
      <c r="D5184">
        <v>5.2868360000000001</v>
      </c>
      <c r="E5184">
        <v>0.44197049999999999</v>
      </c>
      <c r="F5184" t="s">
        <v>41</v>
      </c>
      <c r="G5184">
        <v>-355.43180000000001</v>
      </c>
      <c r="H5184" s="1">
        <v>-1.949788E-6</v>
      </c>
      <c r="I5184">
        <v>19.645340000000001</v>
      </c>
      <c r="J5184">
        <v>-367.3476</v>
      </c>
      <c r="K5184">
        <v>1.110751</v>
      </c>
      <c r="L5184">
        <v>16.949860000000001</v>
      </c>
      <c r="M5184">
        <v>0.99920730000000002</v>
      </c>
      <c r="N5184">
        <v>0</v>
      </c>
      <c r="O5184">
        <v>-3.8022090000000001E-2</v>
      </c>
      <c r="P5184">
        <v>0.99766920000000003</v>
      </c>
      <c r="Q5184">
        <v>-2.6951429999999998E-2</v>
      </c>
      <c r="R5184">
        <v>6.2688480000000005E-2</v>
      </c>
      <c r="S5184">
        <v>2.9587400000000001</v>
      </c>
      <c r="T5184">
        <v>-0.27079150000000002</v>
      </c>
      <c r="U5184">
        <v>0.65527340000000001</v>
      </c>
      <c r="V5184">
        <v>-0.100563399999999</v>
      </c>
      <c r="W5184">
        <v>-1.5321970000000001E-2</v>
      </c>
      <c r="X5184">
        <v>0.99481269999999999</v>
      </c>
      <c r="Y5184">
        <v>-0.25204159999999998</v>
      </c>
      <c r="Z5184">
        <v>1.4807249999999999E-2</v>
      </c>
      <c r="AA5184">
        <v>0.96760310000000005</v>
      </c>
      <c r="AB5184">
        <v>22</v>
      </c>
      <c r="AC5184">
        <v>11.9157999999999</v>
      </c>
      <c r="AD5184">
        <v>-1.110752949788</v>
      </c>
      <c r="AE5184">
        <v>2.6954799999999999</v>
      </c>
      <c r="AF5184">
        <v>-3.1208278248304002</v>
      </c>
      <c r="AG5184">
        <v>-1.110752949788</v>
      </c>
      <c r="AH5184">
        <v>11.7079056289097</v>
      </c>
      <c r="AI5184">
        <v>95.237732508341693</v>
      </c>
      <c r="AJ5184">
        <v>104.925567297458</v>
      </c>
      <c r="AK5184">
        <v>12.167513823421499</v>
      </c>
      <c r="AL5184">
        <v>90.877918537574701</v>
      </c>
      <c r="AM5184">
        <v>95.772294170618395</v>
      </c>
      <c r="AN5184">
        <v>1.00000003413276</v>
      </c>
    </row>
    <row r="5185" spans="1:40" x14ac:dyDescent="0.3">
      <c r="A5185" t="str">
        <f>"20200111160606297"</f>
        <v>20200111160606297</v>
      </c>
      <c r="B5185" t="str">
        <f>"1578729966287559"</f>
        <v>1578729966287559</v>
      </c>
      <c r="C5185" t="s">
        <v>40</v>
      </c>
      <c r="D5185">
        <v>5.3114739999999996</v>
      </c>
      <c r="E5185">
        <v>0.44218170000000001</v>
      </c>
      <c r="F5185" t="s">
        <v>41</v>
      </c>
      <c r="G5185">
        <v>-355.2851</v>
      </c>
      <c r="H5185" s="1">
        <v>-2.0062759999999999E-6</v>
      </c>
      <c r="I5185">
        <v>19.620999999999999</v>
      </c>
      <c r="J5185">
        <v>-367.22550000000001</v>
      </c>
      <c r="K5185">
        <v>1.110751</v>
      </c>
      <c r="L5185">
        <v>16.945709999999998</v>
      </c>
      <c r="M5185">
        <v>0.99922259999999996</v>
      </c>
      <c r="N5185">
        <v>0</v>
      </c>
      <c r="O5185">
        <v>-3.7618100000000002E-2</v>
      </c>
      <c r="P5185">
        <v>0.997672</v>
      </c>
      <c r="Q5185">
        <v>-2.6761739999999999E-2</v>
      </c>
      <c r="R5185">
        <v>6.2726260000000006E-2</v>
      </c>
      <c r="S5185">
        <v>2.9584959999999998</v>
      </c>
      <c r="T5185">
        <v>-0.2724261</v>
      </c>
      <c r="U5185">
        <v>0.65515140000000005</v>
      </c>
      <c r="V5185">
        <v>-0.10019930000000001</v>
      </c>
      <c r="W5185">
        <v>-1.5131210000000001E-2</v>
      </c>
      <c r="X5185">
        <v>0.99485230000000002</v>
      </c>
      <c r="Y5185">
        <v>-0.25161840000000002</v>
      </c>
      <c r="Z5185">
        <v>1.484157E-2</v>
      </c>
      <c r="AA5185">
        <v>0.96771269999999998</v>
      </c>
      <c r="AB5185">
        <v>22</v>
      </c>
      <c r="AC5185">
        <v>11.9404</v>
      </c>
      <c r="AD5185">
        <v>-1.110753006276</v>
      </c>
      <c r="AE5185">
        <v>2.6752899999999902</v>
      </c>
      <c r="AF5185">
        <v>-3.0970826909351699</v>
      </c>
      <c r="AG5185">
        <v>-1.110753006276</v>
      </c>
      <c r="AH5185">
        <v>11.73460822172</v>
      </c>
      <c r="AI5185">
        <v>95.229268369746293</v>
      </c>
      <c r="AJ5185">
        <v>104.784780006666</v>
      </c>
      <c r="AK5185">
        <v>12.187154038277299</v>
      </c>
      <c r="AL5185">
        <v>90.866987578167596</v>
      </c>
      <c r="AM5185">
        <v>95.751307955930201</v>
      </c>
      <c r="AN5185">
        <v>0.99999997602592094</v>
      </c>
    </row>
    <row r="5186" spans="1:40" x14ac:dyDescent="0.3">
      <c r="A5186" t="str">
        <f>"20200111160606310"</f>
        <v>20200111160606310</v>
      </c>
      <c r="B5186" t="str">
        <f>"1578729966307080"</f>
        <v>1578729966307080</v>
      </c>
      <c r="C5186" t="s">
        <v>40</v>
      </c>
      <c r="D5186">
        <v>5.4561590000000004</v>
      </c>
      <c r="E5186">
        <v>0.44284639999999997</v>
      </c>
      <c r="F5186" t="s">
        <v>41</v>
      </c>
      <c r="G5186">
        <v>-355.08870000000002</v>
      </c>
      <c r="H5186" s="1">
        <v>-2.0918609999999998E-6</v>
      </c>
      <c r="I5186">
        <v>19.62613</v>
      </c>
      <c r="J5186">
        <v>-367.09829999999999</v>
      </c>
      <c r="K5186">
        <v>1.110751</v>
      </c>
      <c r="L5186">
        <v>16.941410000000001</v>
      </c>
      <c r="M5186">
        <v>0.99923830000000002</v>
      </c>
      <c r="N5186">
        <v>0</v>
      </c>
      <c r="O5186">
        <v>-3.7197309999999997E-2</v>
      </c>
      <c r="P5186">
        <v>0.99765110000000001</v>
      </c>
      <c r="Q5186">
        <v>-2.6651810000000001E-2</v>
      </c>
      <c r="R5186">
        <v>6.3103179999999995E-2</v>
      </c>
      <c r="S5186">
        <v>2.9586489999999999</v>
      </c>
      <c r="T5186">
        <v>-0.27077499999999999</v>
      </c>
      <c r="U5186">
        <v>0.65344239999999998</v>
      </c>
      <c r="V5186">
        <v>-0.1001563</v>
      </c>
      <c r="W5186">
        <v>-1.502093E-2</v>
      </c>
      <c r="X5186">
        <v>0.99485829999999997</v>
      </c>
      <c r="Y5186">
        <v>-0.25068689999999999</v>
      </c>
      <c r="Z5186">
        <v>1.4672070000000001E-2</v>
      </c>
      <c r="AA5186">
        <v>0.96795699999999996</v>
      </c>
      <c r="AB5186">
        <v>22</v>
      </c>
      <c r="AC5186">
        <v>12.009599999999899</v>
      </c>
      <c r="AD5186">
        <v>-1.110753091861</v>
      </c>
      <c r="AE5186">
        <v>2.6847199999999898</v>
      </c>
      <c r="AF5186">
        <v>-3.10432660296012</v>
      </c>
      <c r="AG5186">
        <v>-1.110753091861</v>
      </c>
      <c r="AH5186">
        <v>11.8052384821749</v>
      </c>
      <c r="AI5186">
        <v>95.199383852611703</v>
      </c>
      <c r="AJ5186">
        <v>104.73305389396501</v>
      </c>
      <c r="AK5186">
        <v>12.2570090850072</v>
      </c>
      <c r="AL5186">
        <v>90.860668282206603</v>
      </c>
      <c r="AM5186">
        <v>95.7488219087342</v>
      </c>
      <c r="AN5186">
        <v>0.99999997492332204</v>
      </c>
    </row>
    <row r="5187" spans="1:40" x14ac:dyDescent="0.3">
      <c r="A5187" t="str">
        <f>"20200111160606329"</f>
        <v>20200111160606329</v>
      </c>
      <c r="B5187" t="str">
        <f>"1578729966327575"</f>
        <v>1578729966327575</v>
      </c>
      <c r="C5187" t="s">
        <v>40</v>
      </c>
      <c r="D5187">
        <v>5.6009129999999896</v>
      </c>
      <c r="E5187">
        <v>0.44365949999999998</v>
      </c>
      <c r="F5187" t="s">
        <v>41</v>
      </c>
      <c r="G5187">
        <v>-354.95319999999998</v>
      </c>
      <c r="H5187" s="1">
        <v>-2.1490460000000001E-6</v>
      </c>
      <c r="I5187">
        <v>19.606770000000001</v>
      </c>
      <c r="J5187">
        <v>-366.91449999999998</v>
      </c>
      <c r="K5187">
        <v>1.110749</v>
      </c>
      <c r="L5187">
        <v>16.93524</v>
      </c>
      <c r="M5187">
        <v>0.9992607</v>
      </c>
      <c r="N5187">
        <v>0</v>
      </c>
      <c r="O5187">
        <v>-3.6589240000000002E-2</v>
      </c>
      <c r="P5187">
        <v>0.99765179999999998</v>
      </c>
      <c r="Q5187">
        <v>-2.5951979999999999E-2</v>
      </c>
      <c r="R5187">
        <v>6.3381660000000006E-2</v>
      </c>
      <c r="S5187">
        <v>2.958771</v>
      </c>
      <c r="T5187">
        <v>-0.2705997</v>
      </c>
      <c r="U5187">
        <v>0.64935299999999996</v>
      </c>
      <c r="V5187">
        <v>-9.9830039999999995E-2</v>
      </c>
      <c r="W5187">
        <v>-1.431988E-2</v>
      </c>
      <c r="X5187">
        <v>0.99490149999999999</v>
      </c>
      <c r="Y5187">
        <v>-0.2488242</v>
      </c>
      <c r="Z5187">
        <v>1.45252E-2</v>
      </c>
      <c r="AA5187">
        <v>0.96843979999999996</v>
      </c>
      <c r="AB5187">
        <v>22</v>
      </c>
      <c r="AC5187">
        <v>11.9612999999999</v>
      </c>
      <c r="AD5187">
        <v>-1.110751149046</v>
      </c>
      <c r="AE5187">
        <v>2.6715300000000002</v>
      </c>
      <c r="AF5187">
        <v>-3.0821108928340899</v>
      </c>
      <c r="AG5187">
        <v>-1.110751149046</v>
      </c>
      <c r="AH5187">
        <v>11.7589497001808</v>
      </c>
      <c r="AI5187">
        <v>95.220818209021999</v>
      </c>
      <c r="AJ5187">
        <v>104.687272036566</v>
      </c>
      <c r="AK5187">
        <v>12.2068044025542</v>
      </c>
      <c r="AL5187">
        <v>90.820496693313302</v>
      </c>
      <c r="AM5187">
        <v>95.729972739512107</v>
      </c>
      <c r="AN5187">
        <v>1.0000000452759299</v>
      </c>
    </row>
    <row r="5188" spans="1:40" x14ac:dyDescent="0.3">
      <c r="A5188" t="str">
        <f>"20200111160606343"</f>
        <v>20200111160606343</v>
      </c>
      <c r="B5188" t="str">
        <f>"1578729966337335"</f>
        <v>1578729966337335</v>
      </c>
      <c r="C5188" t="s">
        <v>40</v>
      </c>
      <c r="D5188">
        <v>5.3095309999999998</v>
      </c>
      <c r="E5188">
        <v>0.44352750000000002</v>
      </c>
      <c r="F5188" t="s">
        <v>41</v>
      </c>
      <c r="G5188">
        <v>-354.24810000000002</v>
      </c>
      <c r="H5188" s="1">
        <v>-2.469244E-6</v>
      </c>
      <c r="I5188">
        <v>19.689170000000001</v>
      </c>
      <c r="J5188">
        <v>-366.77</v>
      </c>
      <c r="K5188">
        <v>1.110749</v>
      </c>
      <c r="L5188">
        <v>16.930510000000002</v>
      </c>
      <c r="M5188">
        <v>0.99927820000000001</v>
      </c>
      <c r="N5188">
        <v>0</v>
      </c>
      <c r="O5188">
        <v>-3.611147E-2</v>
      </c>
      <c r="P5188">
        <v>0.99762989999999996</v>
      </c>
      <c r="Q5188">
        <v>-2.60967E-2</v>
      </c>
      <c r="R5188">
        <v>6.3669959999999998E-2</v>
      </c>
      <c r="S5188">
        <v>2.9594420000000001</v>
      </c>
      <c r="T5188">
        <v>-0.25952229999999998</v>
      </c>
      <c r="U5188">
        <v>0.64346309999999995</v>
      </c>
      <c r="V5188">
        <v>-9.9641960000000002E-2</v>
      </c>
      <c r="W5188">
        <v>-1.4464019999999999E-2</v>
      </c>
      <c r="X5188">
        <v>0.99491819999999997</v>
      </c>
      <c r="Y5188">
        <v>-0.24657599999999999</v>
      </c>
      <c r="Z5188">
        <v>1.3793980000000001E-2</v>
      </c>
      <c r="AA5188">
        <v>0.96902529999999998</v>
      </c>
      <c r="AB5188">
        <v>22</v>
      </c>
      <c r="AC5188">
        <v>12.521899999999899</v>
      </c>
      <c r="AD5188">
        <v>-1.1107514692439999</v>
      </c>
      <c r="AE5188">
        <v>2.7586599999999901</v>
      </c>
      <c r="AF5188">
        <v>-3.1851736115561202</v>
      </c>
      <c r="AG5188">
        <v>-1.1107514692439999</v>
      </c>
      <c r="AH5188">
        <v>12.3216401671709</v>
      </c>
      <c r="AI5188">
        <v>94.987990520939903</v>
      </c>
      <c r="AJ5188">
        <v>104.49381422418</v>
      </c>
      <c r="AK5188">
        <v>12.775050534985001</v>
      </c>
      <c r="AL5188">
        <v>90.828756219136906</v>
      </c>
      <c r="AM5188">
        <v>95.719153729571204</v>
      </c>
      <c r="AN5188">
        <v>0.99999997637922</v>
      </c>
    </row>
    <row r="5189" spans="1:40" x14ac:dyDescent="0.3">
      <c r="A5189" t="str">
        <f>"20200111160606356"</f>
        <v>20200111160606356</v>
      </c>
      <c r="B5189" t="str">
        <f>"1578729966347096"</f>
        <v>1578729966347096</v>
      </c>
      <c r="C5189" t="s">
        <v>40</v>
      </c>
      <c r="D5189">
        <v>5.3072269999999904</v>
      </c>
      <c r="E5189">
        <v>0.44334050000000003</v>
      </c>
      <c r="F5189" t="s">
        <v>41</v>
      </c>
      <c r="G5189">
        <v>-354.12779999999998</v>
      </c>
      <c r="H5189" s="1">
        <v>-2.5204980000000002E-6</v>
      </c>
      <c r="I5189">
        <v>19.687840000000001</v>
      </c>
      <c r="J5189">
        <v>-366.64429999999999</v>
      </c>
      <c r="K5189">
        <v>1.1107469999999999</v>
      </c>
      <c r="L5189">
        <v>16.926449999999999</v>
      </c>
      <c r="M5189">
        <v>0.99929310000000005</v>
      </c>
      <c r="N5189">
        <v>0</v>
      </c>
      <c r="O5189">
        <v>-3.5695560000000001E-2</v>
      </c>
      <c r="P5189">
        <v>0.99760950000000004</v>
      </c>
      <c r="Q5189">
        <v>-2.6033560000000001E-2</v>
      </c>
      <c r="R5189">
        <v>6.4013470000000003E-2</v>
      </c>
      <c r="S5189">
        <v>2.9591059999999998</v>
      </c>
      <c r="T5189">
        <v>-0.25998939999999998</v>
      </c>
      <c r="U5189">
        <v>0.64541630000000005</v>
      </c>
      <c r="V5189">
        <v>-9.9570409999999998E-2</v>
      </c>
      <c r="W5189">
        <v>-1.440056E-2</v>
      </c>
      <c r="X5189">
        <v>0.99492630000000004</v>
      </c>
      <c r="Y5189">
        <v>-0.2468032</v>
      </c>
      <c r="Z5189">
        <v>1.3793039999999999E-2</v>
      </c>
      <c r="AA5189">
        <v>0.96896740000000003</v>
      </c>
      <c r="AB5189">
        <v>22</v>
      </c>
      <c r="AC5189">
        <v>12.516500000000001</v>
      </c>
      <c r="AD5189">
        <v>-1.110749520498</v>
      </c>
      <c r="AE5189">
        <v>2.7613899999999898</v>
      </c>
      <c r="AF5189">
        <v>-3.1825443521631702</v>
      </c>
      <c r="AG5189">
        <v>-1.110749520498</v>
      </c>
      <c r="AH5189">
        <v>12.3174449276017</v>
      </c>
      <c r="AI5189">
        <v>94.989822948699199</v>
      </c>
      <c r="AJ5189">
        <v>104.48707842343499</v>
      </c>
      <c r="AK5189">
        <v>12.7703485698423</v>
      </c>
      <c r="AL5189">
        <v>90.825119836804504</v>
      </c>
      <c r="AM5189">
        <v>95.715027946536395</v>
      </c>
      <c r="AN5189">
        <v>0.99999999255378502</v>
      </c>
    </row>
    <row r="5190" spans="1:40" x14ac:dyDescent="0.3">
      <c r="A5190" t="str">
        <f>"20200111160606375"</f>
        <v>20200111160606375</v>
      </c>
      <c r="B5190" t="str">
        <f>"1578729966367591"</f>
        <v>1578729966367591</v>
      </c>
      <c r="C5190" t="s">
        <v>40</v>
      </c>
      <c r="D5190">
        <v>5.1531750000000001</v>
      </c>
      <c r="E5190">
        <v>0.44332080000000001</v>
      </c>
      <c r="F5190" t="s">
        <v>41</v>
      </c>
      <c r="G5190">
        <v>-354.00729999999999</v>
      </c>
      <c r="H5190" s="1">
        <v>-2.5737949999999999E-6</v>
      </c>
      <c r="I5190">
        <v>19.693739999999998</v>
      </c>
      <c r="J5190">
        <v>-366.45139999999998</v>
      </c>
      <c r="K5190">
        <v>1.1107479999999901</v>
      </c>
      <c r="L5190">
        <v>16.920289999999898</v>
      </c>
      <c r="M5190">
        <v>0.99931559999999997</v>
      </c>
      <c r="N5190">
        <v>0</v>
      </c>
      <c r="O5190">
        <v>-3.505664E-2</v>
      </c>
      <c r="P5190">
        <v>0.99757779999999996</v>
      </c>
      <c r="Q5190">
        <v>-2.615029E-2</v>
      </c>
      <c r="R5190">
        <v>6.4457979999999998E-2</v>
      </c>
      <c r="S5190">
        <v>2.9588320000000001</v>
      </c>
      <c r="T5190">
        <v>-0.26006980000000002</v>
      </c>
      <c r="U5190">
        <v>0.647949199999999</v>
      </c>
      <c r="V5190">
        <v>-9.9377160000000006E-2</v>
      </c>
      <c r="W5190">
        <v>-1.451269E-2</v>
      </c>
      <c r="X5190">
        <v>0.99494400000000005</v>
      </c>
      <c r="Y5190">
        <v>-0.2469952</v>
      </c>
      <c r="Z5190">
        <v>1.3750149999999999E-2</v>
      </c>
      <c r="AA5190">
        <v>0.96891919999999998</v>
      </c>
      <c r="AB5190">
        <v>22</v>
      </c>
      <c r="AC5190">
        <v>12.444099999999899</v>
      </c>
      <c r="AD5190">
        <v>-1.1107505737950001</v>
      </c>
      <c r="AE5190">
        <v>2.77345</v>
      </c>
      <c r="AF5190">
        <v>-3.1838576625622999</v>
      </c>
      <c r="AG5190">
        <v>-1.1107505737950001</v>
      </c>
      <c r="AH5190">
        <v>12.246263852296</v>
      </c>
      <c r="AI5190">
        <v>95.016732360660896</v>
      </c>
      <c r="AJ5190">
        <v>104.57346707495699</v>
      </c>
      <c r="AK5190">
        <v>12.702035065008101</v>
      </c>
      <c r="AL5190">
        <v>90.831545077360104</v>
      </c>
      <c r="AM5190">
        <v>95.703908413265196</v>
      </c>
      <c r="AN5190">
        <v>1.00000000061835</v>
      </c>
    </row>
    <row r="5191" spans="1:40" x14ac:dyDescent="0.3">
      <c r="A5191" t="str">
        <f>"20200111160606388"</f>
        <v>20200111160606388</v>
      </c>
      <c r="B5191" t="str">
        <f>"1578729966377351"</f>
        <v>1578729966377351</v>
      </c>
      <c r="C5191" t="s">
        <v>40</v>
      </c>
      <c r="D5191">
        <v>6.2686820000000001</v>
      </c>
      <c r="E5191">
        <v>0.44332080000000001</v>
      </c>
      <c r="F5191" t="s">
        <v>41</v>
      </c>
      <c r="G5191">
        <v>-353.84339999999997</v>
      </c>
      <c r="H5191" s="1">
        <v>-2.6424849999999999E-6</v>
      </c>
      <c r="I5191">
        <v>19.687709999999999</v>
      </c>
      <c r="J5191">
        <v>-366.33319999999998</v>
      </c>
      <c r="K5191">
        <v>1.110752</v>
      </c>
      <c r="L5191">
        <v>16.916599999999999</v>
      </c>
      <c r="M5191">
        <v>0.99932929999999998</v>
      </c>
      <c r="N5191">
        <v>0</v>
      </c>
      <c r="O5191">
        <v>-3.4664840000000002E-2</v>
      </c>
      <c r="P5191">
        <v>0.99756120000000004</v>
      </c>
      <c r="Q5191">
        <v>-2.6039639999999999E-2</v>
      </c>
      <c r="R5191">
        <v>6.4758289999999996E-2</v>
      </c>
      <c r="S5191">
        <v>2.9585569999999999</v>
      </c>
      <c r="T5191">
        <v>-0.26064500000000002</v>
      </c>
      <c r="U5191">
        <v>0.64941409999999999</v>
      </c>
      <c r="V5191">
        <v>-9.9286719999999995E-2</v>
      </c>
      <c r="W5191">
        <v>-1.439547E-2</v>
      </c>
      <c r="X5191">
        <v>0.99495469999999997</v>
      </c>
      <c r="Y5191">
        <v>-0.24708840000000001</v>
      </c>
      <c r="Z5191">
        <v>1.375093E-2</v>
      </c>
      <c r="AA5191">
        <v>0.96889539999999996</v>
      </c>
      <c r="AB5191">
        <v>22</v>
      </c>
      <c r="AC5191">
        <v>12.489800000000001</v>
      </c>
      <c r="AD5191">
        <v>-1.1107546424850001</v>
      </c>
      <c r="AE5191">
        <v>2.77110999999999</v>
      </c>
      <c r="AF5191">
        <v>-3.17847206637795</v>
      </c>
      <c r="AG5191">
        <v>-1.1107546424850001</v>
      </c>
      <c r="AH5191">
        <v>12.2935568918206</v>
      </c>
      <c r="AI5191">
        <v>94.999286849934094</v>
      </c>
      <c r="AJ5191">
        <v>104.496252147745</v>
      </c>
      <c r="AK5191">
        <v>12.7462936418779</v>
      </c>
      <c r="AL5191">
        <v>90.824828190737506</v>
      </c>
      <c r="AM5191">
        <v>95.698690767399199</v>
      </c>
      <c r="AN5191">
        <v>0.99999996868848395</v>
      </c>
    </row>
    <row r="5192" spans="1:40" x14ac:dyDescent="0.3">
      <c r="A5192" t="str">
        <f>"20200111160606399"</f>
        <v>20200111160606399</v>
      </c>
      <c r="B5192" t="str">
        <f>"1578729966396871"</f>
        <v>1578729966396871</v>
      </c>
      <c r="C5192" t="s">
        <v>40</v>
      </c>
      <c r="D5192">
        <v>7.3891989999999996</v>
      </c>
      <c r="E5192">
        <v>0.44332080000000001</v>
      </c>
      <c r="F5192" t="s">
        <v>41</v>
      </c>
      <c r="G5192">
        <v>-353.71230000000003</v>
      </c>
      <c r="H5192" s="1">
        <v>-2.6997050000000001E-6</v>
      </c>
      <c r="I5192">
        <v>19.691379999999999</v>
      </c>
      <c r="J5192">
        <v>-366.21269999999998</v>
      </c>
      <c r="K5192">
        <v>1.1107560000000001</v>
      </c>
      <c r="L5192">
        <v>16.912870000000002</v>
      </c>
      <c r="M5192">
        <v>0.99934299999999998</v>
      </c>
      <c r="N5192">
        <v>0</v>
      </c>
      <c r="O5192">
        <v>-3.426531E-2</v>
      </c>
      <c r="P5192">
        <v>0.99756409999999995</v>
      </c>
      <c r="Q5192">
        <v>-2.5913350000000002E-2</v>
      </c>
      <c r="R5192">
        <v>6.4765569999999995E-2</v>
      </c>
      <c r="S5192">
        <v>2.958313</v>
      </c>
      <c r="T5192">
        <v>-0.26035819999999998</v>
      </c>
      <c r="U5192">
        <v>0.65042109999999997</v>
      </c>
      <c r="V5192">
        <v>-9.8896929999999994E-2</v>
      </c>
      <c r="W5192">
        <v>-1.4256889999999999E-2</v>
      </c>
      <c r="X5192">
        <v>0.99499550000000003</v>
      </c>
      <c r="Y5192">
        <v>-0.24703639999999999</v>
      </c>
      <c r="Z5192">
        <v>1.369948E-2</v>
      </c>
      <c r="AA5192">
        <v>0.96890940000000003</v>
      </c>
      <c r="AB5192">
        <v>22</v>
      </c>
      <c r="AC5192">
        <v>12.5003999999999</v>
      </c>
      <c r="AD5192">
        <v>-1.1107586997050001</v>
      </c>
      <c r="AE5192">
        <v>2.77850999999999</v>
      </c>
      <c r="AF5192">
        <v>-3.1813020171884498</v>
      </c>
      <c r="AG5192">
        <v>-1.1107586997050001</v>
      </c>
      <c r="AH5192">
        <v>12.3052605766587</v>
      </c>
      <c r="AI5192">
        <v>94.994593363300794</v>
      </c>
      <c r="AJ5192">
        <v>104.49539666330899</v>
      </c>
      <c r="AK5192">
        <v>12.758287709289499</v>
      </c>
      <c r="AL5192">
        <v>90.816887338958793</v>
      </c>
      <c r="AM5192">
        <v>95.676233412874694</v>
      </c>
      <c r="AN5192">
        <v>0.99999995334807201</v>
      </c>
    </row>
    <row r="5193" spans="1:40" x14ac:dyDescent="0.3">
      <c r="A5193" t="str">
        <f>"20200111160606419"</f>
        <v>20200111160606419</v>
      </c>
      <c r="B5193" t="str">
        <f>"1578729966407607"</f>
        <v>1578729966407607</v>
      </c>
      <c r="C5193" t="s">
        <v>40</v>
      </c>
      <c r="D5193">
        <v>5.8640889999999999</v>
      </c>
      <c r="E5193">
        <v>0.44332080000000001</v>
      </c>
      <c r="F5193" t="s">
        <v>41</v>
      </c>
      <c r="G5193">
        <v>-353.5711</v>
      </c>
      <c r="H5193" s="1">
        <v>-2.760512E-6</v>
      </c>
      <c r="I5193">
        <v>19.692299999999999</v>
      </c>
      <c r="J5193">
        <v>-366.02379999999999</v>
      </c>
      <c r="K5193">
        <v>1.110765</v>
      </c>
      <c r="L5193">
        <v>16.907139999999998</v>
      </c>
      <c r="M5193">
        <v>0.99936380000000002</v>
      </c>
      <c r="N5193">
        <v>0</v>
      </c>
      <c r="O5193">
        <v>-3.3640679999999999E-2</v>
      </c>
      <c r="P5193">
        <v>0.99751869999999998</v>
      </c>
      <c r="Q5193">
        <v>-2.5913329999999998E-2</v>
      </c>
      <c r="R5193">
        <v>6.5459779999999995E-2</v>
      </c>
      <c r="S5193">
        <v>2.9583439999999999</v>
      </c>
      <c r="T5193">
        <v>-0.2599359</v>
      </c>
      <c r="U5193">
        <v>0.65045169999999997</v>
      </c>
      <c r="V5193">
        <v>-9.8967169999999993E-2</v>
      </c>
      <c r="W5193">
        <v>-1.422964E-2</v>
      </c>
      <c r="X5193">
        <v>0.99498900000000001</v>
      </c>
      <c r="Y5193">
        <v>-0.2464462</v>
      </c>
      <c r="Z5193">
        <v>1.3597400000000001E-2</v>
      </c>
      <c r="AA5193">
        <v>0.96906110000000001</v>
      </c>
      <c r="AB5193">
        <v>22</v>
      </c>
      <c r="AC5193">
        <v>12.452699999999901</v>
      </c>
      <c r="AD5193">
        <v>-1.1107677605120001</v>
      </c>
      <c r="AE5193">
        <v>2.7851599999999999</v>
      </c>
      <c r="AF5193">
        <v>-3.17844567204234</v>
      </c>
      <c r="AG5193">
        <v>-1.1107677605120001</v>
      </c>
      <c r="AH5193">
        <v>12.259057590403399</v>
      </c>
      <c r="AI5193">
        <v>95.012465185976595</v>
      </c>
      <c r="AJ5193">
        <v>104.53520606402201</v>
      </c>
      <c r="AK5193">
        <v>12.713017537655899</v>
      </c>
      <c r="AL5193">
        <v>90.815325794334498</v>
      </c>
      <c r="AM5193">
        <v>95.680275379488293</v>
      </c>
      <c r="AN5193">
        <v>1.0000000467566601</v>
      </c>
    </row>
    <row r="5194" spans="1:40" x14ac:dyDescent="0.3">
      <c r="A5194" t="str">
        <f>"20200111160606431"</f>
        <v>20200111160606431</v>
      </c>
      <c r="B5194" t="str">
        <f>"1578729966427129"</f>
        <v>1578729966427129</v>
      </c>
      <c r="C5194" t="s">
        <v>40</v>
      </c>
      <c r="D5194">
        <v>5.81982</v>
      </c>
      <c r="E5194">
        <v>0.59038259999999998</v>
      </c>
      <c r="F5194" t="s">
        <v>41</v>
      </c>
      <c r="G5194">
        <v>-353.3784</v>
      </c>
      <c r="H5194" s="1">
        <v>-2.8442889999999999E-6</v>
      </c>
      <c r="I5194">
        <v>19.696339999999999</v>
      </c>
      <c r="J5194">
        <v>-365.89830000000001</v>
      </c>
      <c r="K5194">
        <v>1.1107720000000001</v>
      </c>
      <c r="L5194">
        <v>16.903379999999999</v>
      </c>
      <c r="M5194">
        <v>0.99937730000000002</v>
      </c>
      <c r="N5194">
        <v>0</v>
      </c>
      <c r="O5194">
        <v>-3.32292E-2</v>
      </c>
      <c r="P5194">
        <v>0.997498</v>
      </c>
      <c r="Q5194">
        <v>-2.5883969999999999E-2</v>
      </c>
      <c r="R5194">
        <v>6.5786769999999994E-2</v>
      </c>
      <c r="S5194">
        <v>2.9578549999999999</v>
      </c>
      <c r="T5194">
        <v>-0.25981660000000001</v>
      </c>
      <c r="U5194">
        <v>0.65243530000000005</v>
      </c>
      <c r="V5194">
        <v>-9.8883760000000001E-2</v>
      </c>
      <c r="W5194">
        <v>-1.417215E-2</v>
      </c>
      <c r="X5194">
        <v>0.99499800000000005</v>
      </c>
      <c r="Y5194">
        <v>-0.246702</v>
      </c>
      <c r="Z5194">
        <v>1.35678E-2</v>
      </c>
      <c r="AA5194">
        <v>0.96899639999999998</v>
      </c>
      <c r="AB5194">
        <v>22</v>
      </c>
      <c r="AC5194">
        <v>12.5199</v>
      </c>
      <c r="AD5194">
        <v>-1.110774844289</v>
      </c>
      <c r="AE5194">
        <v>2.7929599999999999</v>
      </c>
      <c r="AF5194">
        <v>-3.1836016108507899</v>
      </c>
      <c r="AG5194">
        <v>-1.110774844289</v>
      </c>
      <c r="AH5194">
        <v>12.327734597963699</v>
      </c>
      <c r="AI5194">
        <v>94.985948198844795</v>
      </c>
      <c r="AJ5194">
        <v>104.480101329673</v>
      </c>
      <c r="AK5194">
        <v>12.780539123571801</v>
      </c>
      <c r="AL5194">
        <v>90.812031619573901</v>
      </c>
      <c r="AM5194">
        <v>95.675468283155396</v>
      </c>
      <c r="AN5194">
        <v>0.99999993391567799</v>
      </c>
    </row>
    <row r="5195" spans="1:40" x14ac:dyDescent="0.3">
      <c r="A5195" t="str">
        <f>"20200111160606444"</f>
        <v>20200111160606444</v>
      </c>
      <c r="B5195" t="str">
        <f>"1578729966436888"</f>
        <v>1578729966436888</v>
      </c>
      <c r="C5195" t="s">
        <v>40</v>
      </c>
      <c r="D5195">
        <v>5.5985579999999997</v>
      </c>
      <c r="E5195">
        <v>0.60122140000000002</v>
      </c>
      <c r="F5195" t="s">
        <v>42</v>
      </c>
      <c r="G5195">
        <v>-365.07209999999998</v>
      </c>
      <c r="H5195">
        <v>0.99046800000000002</v>
      </c>
      <c r="I5195">
        <v>16.763479999999898</v>
      </c>
      <c r="J5195">
        <v>-365.76510000000002</v>
      </c>
      <c r="K5195">
        <v>1.1107819999999999</v>
      </c>
      <c r="L5195">
        <v>16.899439999999998</v>
      </c>
      <c r="M5195">
        <v>0.99939109999999998</v>
      </c>
      <c r="N5195">
        <v>0</v>
      </c>
      <c r="O5195">
        <v>-3.279489E-2</v>
      </c>
      <c r="P5195">
        <v>0.9974788</v>
      </c>
      <c r="Q5195">
        <v>-2.5857310000000001E-2</v>
      </c>
      <c r="R5195">
        <v>6.6087309999999996E-2</v>
      </c>
      <c r="S5195">
        <v>3.0299070000000001</v>
      </c>
      <c r="T5195">
        <v>-0.44127470000000002</v>
      </c>
      <c r="U5195">
        <v>-0.51254270000000002</v>
      </c>
      <c r="V5195">
        <v>-9.8751489999999997E-2</v>
      </c>
      <c r="W5195">
        <v>-1.4108330000000001E-2</v>
      </c>
      <c r="X5195">
        <v>0.99501209999999995</v>
      </c>
      <c r="Y5195">
        <v>0.13333410000000001</v>
      </c>
      <c r="Z5195">
        <v>-4.876699E-3</v>
      </c>
      <c r="AA5195">
        <v>0.99105909999999997</v>
      </c>
      <c r="AB5195">
        <v>22</v>
      </c>
      <c r="AC5195">
        <v>0.69300000000004003</v>
      </c>
      <c r="AD5195">
        <v>-0.12031399999999901</v>
      </c>
      <c r="AE5195">
        <v>-0.13596</v>
      </c>
      <c r="AF5195">
        <v>0.109966668866278</v>
      </c>
      <c r="AG5195">
        <v>-0.12031399999999901</v>
      </c>
      <c r="AH5195">
        <v>0.67742445577167598</v>
      </c>
      <c r="AI5195">
        <v>99.943492137997595</v>
      </c>
      <c r="AJ5195">
        <v>80.779574290663902</v>
      </c>
      <c r="AK5195">
        <v>0.69675822215105399</v>
      </c>
      <c r="AL5195">
        <v>90.808374591361101</v>
      </c>
      <c r="AM5195">
        <v>95.667846268247104</v>
      </c>
      <c r="AN5195">
        <v>0.99999999044950905</v>
      </c>
    </row>
    <row r="5196" spans="1:40" x14ac:dyDescent="0.3">
      <c r="A5196" t="str">
        <f>"20200111160606457"</f>
        <v>20200111160606457</v>
      </c>
      <c r="B5196" t="str">
        <f>"1578729966447623"</f>
        <v>1578729966447623</v>
      </c>
      <c r="C5196" t="s">
        <v>40</v>
      </c>
      <c r="D5196">
        <v>9.4560359999999992</v>
      </c>
      <c r="E5196">
        <v>0.60122140000000002</v>
      </c>
      <c r="F5196" t="s">
        <v>42</v>
      </c>
      <c r="G5196">
        <v>-364.87639999999999</v>
      </c>
      <c r="H5196">
        <v>0.98336020000000002</v>
      </c>
      <c r="I5196">
        <v>16.723960000000002</v>
      </c>
      <c r="J5196">
        <v>-365.6318</v>
      </c>
      <c r="K5196">
        <v>1.1107899999999999</v>
      </c>
      <c r="L5196">
        <v>16.895600000000002</v>
      </c>
      <c r="M5196">
        <v>0.99940450000000003</v>
      </c>
      <c r="N5196">
        <v>0</v>
      </c>
      <c r="O5196">
        <v>-3.2363830000000003E-2</v>
      </c>
      <c r="P5196">
        <v>0.9974539</v>
      </c>
      <c r="Q5196">
        <v>-2.5635089999999999E-2</v>
      </c>
      <c r="R5196">
        <v>6.6549520000000001E-2</v>
      </c>
      <c r="S5196">
        <v>3.0358890000000001</v>
      </c>
      <c r="T5196">
        <v>-0.43536859999999999</v>
      </c>
      <c r="U5196">
        <v>-0.59802250000000001</v>
      </c>
      <c r="V5196">
        <v>-9.8783650000000001E-2</v>
      </c>
      <c r="W5196">
        <v>-1.3827509999999999E-2</v>
      </c>
      <c r="X5196">
        <v>0.99501289999999998</v>
      </c>
      <c r="Y5196">
        <v>0.160156299999999</v>
      </c>
      <c r="Z5196">
        <v>-6.7477919999999999E-3</v>
      </c>
      <c r="AA5196">
        <v>0.98706859999999996</v>
      </c>
      <c r="AB5196">
        <v>22</v>
      </c>
      <c r="AC5196">
        <v>0.75540000000000795</v>
      </c>
      <c r="AD5196">
        <v>-0.12742980000000001</v>
      </c>
      <c r="AE5196">
        <v>-0.17163999999999999</v>
      </c>
      <c r="AF5196">
        <v>0.14322503254520499</v>
      </c>
      <c r="AG5196">
        <v>-0.12742980000000001</v>
      </c>
      <c r="AH5196">
        <v>0.74052113592144697</v>
      </c>
      <c r="AI5196">
        <v>99.589576958600105</v>
      </c>
      <c r="AJ5196">
        <v>79.053517624903904</v>
      </c>
      <c r="AK5196">
        <v>0.76493353738870995</v>
      </c>
      <c r="AL5196">
        <v>90.792283180998893</v>
      </c>
      <c r="AM5196">
        <v>95.669675540092001</v>
      </c>
      <c r="AN5196">
        <v>1.0000000403532601</v>
      </c>
    </row>
    <row r="5197" spans="1:40" x14ac:dyDescent="0.3">
      <c r="A5197" t="str">
        <f>"20200111160606476"</f>
        <v>20200111160606476</v>
      </c>
      <c r="B5197" t="str">
        <f>"1578729966467143"</f>
        <v>1578729966467143</v>
      </c>
      <c r="C5197" t="s">
        <v>40</v>
      </c>
      <c r="D5197">
        <v>5.5552070000000002</v>
      </c>
      <c r="E5197">
        <v>0.61008819999999997</v>
      </c>
      <c r="F5197" t="s">
        <v>42</v>
      </c>
      <c r="G5197">
        <v>-364.86759999999998</v>
      </c>
      <c r="H5197">
        <v>1.001422</v>
      </c>
      <c r="I5197">
        <v>16.745000000000001</v>
      </c>
      <c r="J5197">
        <v>-365.44330000000002</v>
      </c>
      <c r="K5197">
        <v>1.1108100000000001</v>
      </c>
      <c r="L5197">
        <v>16.890229999999999</v>
      </c>
      <c r="M5197">
        <v>0.9994229</v>
      </c>
      <c r="N5197">
        <v>0</v>
      </c>
      <c r="O5197">
        <v>-3.1751410000000001E-2</v>
      </c>
      <c r="P5197">
        <v>0.99740709999999999</v>
      </c>
      <c r="Q5197">
        <v>-2.5665899999999998E-2</v>
      </c>
      <c r="R5197">
        <v>6.7236169999999998E-2</v>
      </c>
      <c r="S5197">
        <v>3.0362849999999999</v>
      </c>
      <c r="T5197">
        <v>-0.43462190000000001</v>
      </c>
      <c r="U5197">
        <v>-0.59655760000000002</v>
      </c>
      <c r="V5197">
        <v>-9.8859660000000002E-2</v>
      </c>
      <c r="W5197">
        <v>-1.3751060000000001E-2</v>
      </c>
      <c r="X5197">
        <v>0.99500639999999996</v>
      </c>
      <c r="Y5197">
        <v>0.16027529999999901</v>
      </c>
      <c r="Z5197">
        <v>-6.8304100000000003E-3</v>
      </c>
      <c r="AA5197">
        <v>0.9870487</v>
      </c>
      <c r="AB5197">
        <v>22</v>
      </c>
      <c r="AC5197">
        <v>0.57570000000003996</v>
      </c>
      <c r="AD5197">
        <v>-0.109388</v>
      </c>
      <c r="AE5197">
        <v>-0.145229999999997</v>
      </c>
      <c r="AF5197">
        <v>0.12271094263323599</v>
      </c>
      <c r="AG5197">
        <v>-0.109388</v>
      </c>
      <c r="AH5197">
        <v>0.56097982824988102</v>
      </c>
      <c r="AI5197">
        <v>100.78508372667</v>
      </c>
      <c r="AJ5197">
        <v>77.661243616446697</v>
      </c>
      <c r="AK5197">
        <v>0.58456999383239205</v>
      </c>
      <c r="AL5197">
        <v>90.787902510461706</v>
      </c>
      <c r="AM5197">
        <v>95.674046493287605</v>
      </c>
      <c r="AN5197">
        <v>1.00000003003369</v>
      </c>
    </row>
    <row r="5198" spans="1:40" x14ac:dyDescent="0.3">
      <c r="A5198" t="str">
        <f>"20200111160606498"</f>
        <v>20200111160606498</v>
      </c>
      <c r="B5198" t="str">
        <f>"1578729966487639"</f>
        <v>1578729966487639</v>
      </c>
      <c r="C5198" t="s">
        <v>40</v>
      </c>
      <c r="D5198">
        <v>5.505973</v>
      </c>
      <c r="E5198">
        <v>0.61355349999999997</v>
      </c>
      <c r="F5198" t="s">
        <v>42</v>
      </c>
      <c r="G5198">
        <v>-364.66449999999998</v>
      </c>
      <c r="H5198">
        <v>1.010151</v>
      </c>
      <c r="I5198">
        <v>16.719629999999999</v>
      </c>
      <c r="J5198">
        <v>-365.23489999999998</v>
      </c>
      <c r="K5198">
        <v>1.110835</v>
      </c>
      <c r="L5198">
        <v>16.884399999999999</v>
      </c>
      <c r="M5198">
        <v>0.99944250000000001</v>
      </c>
      <c r="N5198">
        <v>0</v>
      </c>
      <c r="O5198">
        <v>-3.1068749999999999E-2</v>
      </c>
      <c r="P5198">
        <v>0.99734319999999999</v>
      </c>
      <c r="Q5198">
        <v>-2.5789320000000001E-2</v>
      </c>
      <c r="R5198">
        <v>6.8130049999999998E-2</v>
      </c>
      <c r="S5198">
        <v>3.0426030000000002</v>
      </c>
      <c r="T5198">
        <v>-0.39329429999999999</v>
      </c>
      <c r="U5198">
        <v>-0.66625979999999996</v>
      </c>
      <c r="V5198">
        <v>-9.9072279999999999E-2</v>
      </c>
      <c r="W5198">
        <v>-1.37152E-2</v>
      </c>
      <c r="X5198">
        <v>0.99498569999999997</v>
      </c>
      <c r="Y5198">
        <v>0.18225479999999999</v>
      </c>
      <c r="Z5198">
        <v>-7.6452219999999897E-3</v>
      </c>
      <c r="AA5198">
        <v>0.98322160000000003</v>
      </c>
      <c r="AB5198">
        <v>22</v>
      </c>
      <c r="AC5198">
        <v>0.57040000000000601</v>
      </c>
      <c r="AD5198">
        <v>-0.100684</v>
      </c>
      <c r="AE5198">
        <v>-0.16477</v>
      </c>
      <c r="AF5198">
        <v>0.142859193917515</v>
      </c>
      <c r="AG5198">
        <v>-0.100684</v>
      </c>
      <c r="AH5198">
        <v>0.559163870798289</v>
      </c>
      <c r="AI5198">
        <v>99.896108250061602</v>
      </c>
      <c r="AJ5198">
        <v>75.668242735521801</v>
      </c>
      <c r="AK5198">
        <v>0.58584149012244602</v>
      </c>
      <c r="AL5198">
        <v>90.785847726828194</v>
      </c>
      <c r="AM5198">
        <v>95.686287447109194</v>
      </c>
      <c r="AN5198">
        <v>0.99999998328996398</v>
      </c>
    </row>
    <row r="5199" spans="1:40" x14ac:dyDescent="0.3">
      <c r="A5199" t="str">
        <f>"20200111160606513"</f>
        <v>20200111160606513</v>
      </c>
      <c r="B5199" t="str">
        <f>"1578729966507160"</f>
        <v>1578729966507160</v>
      </c>
      <c r="C5199" t="s">
        <v>40</v>
      </c>
      <c r="D5199">
        <v>5.53409</v>
      </c>
      <c r="E5199">
        <v>0.61507000000000001</v>
      </c>
      <c r="F5199" t="s">
        <v>42</v>
      </c>
      <c r="G5199">
        <v>-364.4649</v>
      </c>
      <c r="H5199">
        <v>1.0119260000000001</v>
      </c>
      <c r="I5199">
        <v>16.709340000000001</v>
      </c>
      <c r="J5199">
        <v>-365.08510000000001</v>
      </c>
      <c r="K5199">
        <v>1.110857</v>
      </c>
      <c r="L5199">
        <v>16.880310000000001</v>
      </c>
      <c r="M5199">
        <v>0.99945600000000001</v>
      </c>
      <c r="N5199">
        <v>0</v>
      </c>
      <c r="O5199">
        <v>-3.0575950000000001E-2</v>
      </c>
      <c r="P5199">
        <v>0.99729369999999995</v>
      </c>
      <c r="Q5199">
        <v>-2.6046059999999999E-2</v>
      </c>
      <c r="R5199">
        <v>6.8755640000000007E-2</v>
      </c>
      <c r="S5199">
        <v>3.045105</v>
      </c>
      <c r="T5199">
        <v>-0.39120270000000001</v>
      </c>
      <c r="U5199">
        <v>-0.6911621</v>
      </c>
      <c r="V5199">
        <v>-9.9205420000000002E-2</v>
      </c>
      <c r="W5199">
        <v>-1.383473E-2</v>
      </c>
      <c r="X5199">
        <v>0.99497080000000004</v>
      </c>
      <c r="Y5199">
        <v>0.19017600000000001</v>
      </c>
      <c r="Z5199">
        <v>-8.1549309999999903E-3</v>
      </c>
      <c r="AA5199">
        <v>0.98171620000000004</v>
      </c>
      <c r="AB5199">
        <v>22</v>
      </c>
      <c r="AC5199">
        <v>0.62020000000001096</v>
      </c>
      <c r="AD5199">
        <v>-9.8930999999999797E-2</v>
      </c>
      <c r="AE5199">
        <v>-0.17097000000000001</v>
      </c>
      <c r="AF5199">
        <v>0.148415685182336</v>
      </c>
      <c r="AG5199">
        <v>-9.8930999999999797E-2</v>
      </c>
      <c r="AH5199">
        <v>0.61069629499076805</v>
      </c>
      <c r="AI5199">
        <v>98.945812067530099</v>
      </c>
      <c r="AJ5199">
        <v>76.340391444886805</v>
      </c>
      <c r="AK5199">
        <v>0.63621106803056604</v>
      </c>
      <c r="AL5199">
        <v>90.792696924917195</v>
      </c>
      <c r="AM5199">
        <v>95.693963591711807</v>
      </c>
      <c r="AN5199">
        <v>1.00000000398209</v>
      </c>
    </row>
    <row r="5200" spans="1:40" x14ac:dyDescent="0.3">
      <c r="A5200" t="str">
        <f>"20200111160606531"</f>
        <v>20200111160606531</v>
      </c>
      <c r="B5200" t="str">
        <f>"1578729966527656"</f>
        <v>1578729966527656</v>
      </c>
      <c r="C5200" t="s">
        <v>40</v>
      </c>
      <c r="D5200">
        <v>5.5221349999999996</v>
      </c>
      <c r="E5200">
        <v>0.61603149999999995</v>
      </c>
      <c r="F5200" t="s">
        <v>42</v>
      </c>
      <c r="G5200">
        <v>-364.26979999999998</v>
      </c>
      <c r="H5200">
        <v>1.0051079999999999</v>
      </c>
      <c r="I5200">
        <v>16.692489999999999</v>
      </c>
      <c r="J5200">
        <v>-364.90100000000001</v>
      </c>
      <c r="K5200">
        <v>1.1108849999999999</v>
      </c>
      <c r="L5200">
        <v>16.875339999999898</v>
      </c>
      <c r="M5200">
        <v>0.99947200000000003</v>
      </c>
      <c r="N5200">
        <v>0</v>
      </c>
      <c r="O5200">
        <v>-2.9970159999999999E-2</v>
      </c>
      <c r="P5200">
        <v>0.99721879999999996</v>
      </c>
      <c r="Q5200">
        <v>-2.5697279999999999E-2</v>
      </c>
      <c r="R5200">
        <v>6.9962800000000006E-2</v>
      </c>
      <c r="S5200">
        <v>3.046173</v>
      </c>
      <c r="T5200">
        <v>-0.39511030000000003</v>
      </c>
      <c r="U5200">
        <v>-0.7012024</v>
      </c>
      <c r="V5200">
        <v>-9.9807229999999997E-2</v>
      </c>
      <c r="W5200">
        <v>-1.330509E-2</v>
      </c>
      <c r="X5200">
        <v>0.99491779999999996</v>
      </c>
      <c r="Y5200">
        <v>0.19371459999999999</v>
      </c>
      <c r="Z5200">
        <v>-8.5327519999999994E-3</v>
      </c>
      <c r="AA5200">
        <v>0.98102080000000003</v>
      </c>
      <c r="AB5200">
        <v>22</v>
      </c>
      <c r="AC5200">
        <v>0.63120000000003496</v>
      </c>
      <c r="AD5200">
        <v>-0.105777</v>
      </c>
      <c r="AE5200">
        <v>-0.18284999999999799</v>
      </c>
      <c r="AF5200">
        <v>0.15971122359676601</v>
      </c>
      <c r="AG5200">
        <v>-0.105777</v>
      </c>
      <c r="AH5200">
        <v>0.62032484478527194</v>
      </c>
      <c r="AI5200">
        <v>99.376824788429204</v>
      </c>
      <c r="AJ5200">
        <v>75.561977272101103</v>
      </c>
      <c r="AK5200">
        <v>0.64922982196572598</v>
      </c>
      <c r="AL5200">
        <v>90.762348020552594</v>
      </c>
      <c r="AM5200">
        <v>95.728578986458501</v>
      </c>
      <c r="AN5200">
        <v>0.99999996866850904</v>
      </c>
    </row>
    <row r="5201" spans="1:40" x14ac:dyDescent="0.3">
      <c r="A5201" t="str">
        <f>"20200111160606554"</f>
        <v>20200111160606554</v>
      </c>
      <c r="B5201" t="str">
        <f>"1578729966547175"</f>
        <v>1578729966547175</v>
      </c>
      <c r="C5201" t="s">
        <v>40</v>
      </c>
      <c r="D5201">
        <v>5.4828250000000001</v>
      </c>
      <c r="E5201">
        <v>0.6168228</v>
      </c>
      <c r="F5201" t="s">
        <v>42</v>
      </c>
      <c r="G5201">
        <v>-364.0727</v>
      </c>
      <c r="H5201">
        <v>1.0033540000000001</v>
      </c>
      <c r="I5201">
        <v>16.68328</v>
      </c>
      <c r="J5201">
        <v>-364.6764</v>
      </c>
      <c r="K5201">
        <v>1.110924</v>
      </c>
      <c r="L5201">
        <v>16.869450000000001</v>
      </c>
      <c r="M5201">
        <v>0.99949100000000002</v>
      </c>
      <c r="N5201">
        <v>0</v>
      </c>
      <c r="O5201">
        <v>-2.923533E-2</v>
      </c>
      <c r="P5201">
        <v>0.99716660000000001</v>
      </c>
      <c r="Q5201">
        <v>-2.556392E-2</v>
      </c>
      <c r="R5201">
        <v>7.0750919999999995E-2</v>
      </c>
      <c r="S5201">
        <v>3.0476380000000001</v>
      </c>
      <c r="T5201">
        <v>-0.395789</v>
      </c>
      <c r="U5201">
        <v>-0.70538330000000005</v>
      </c>
      <c r="V5201">
        <v>-9.9862729999999997E-2</v>
      </c>
      <c r="W5201">
        <v>-1.294962E-2</v>
      </c>
      <c r="X5201">
        <v>0.99491700000000005</v>
      </c>
      <c r="Y5201">
        <v>0.19558639999999999</v>
      </c>
      <c r="Z5201">
        <v>-8.7551409999999993E-3</v>
      </c>
      <c r="AA5201">
        <v>0.98064739999999995</v>
      </c>
      <c r="AB5201">
        <v>22</v>
      </c>
      <c r="AC5201">
        <v>0.60370000000000301</v>
      </c>
      <c r="AD5201">
        <v>-0.107569999999999</v>
      </c>
      <c r="AE5201">
        <v>-0.18617</v>
      </c>
      <c r="AF5201">
        <v>0.163693703305446</v>
      </c>
      <c r="AG5201">
        <v>-0.107569999999999</v>
      </c>
      <c r="AH5201">
        <v>0.59172934890926399</v>
      </c>
      <c r="AI5201">
        <v>99.937843362316102</v>
      </c>
      <c r="AJ5201">
        <v>74.536634058462596</v>
      </c>
      <c r="AK5201">
        <v>0.62330614930580697</v>
      </c>
      <c r="AL5201">
        <v>90.741979275677593</v>
      </c>
      <c r="AM5201">
        <v>95.731747862215798</v>
      </c>
      <c r="AN5201">
        <v>1.0000000471950901</v>
      </c>
    </row>
    <row r="5202" spans="1:40" x14ac:dyDescent="0.3">
      <c r="A5202" t="str">
        <f>"20200111160606566"</f>
        <v>20200111160606566</v>
      </c>
      <c r="B5202" t="str">
        <f>"1578729966557913"</f>
        <v>1578729966557913</v>
      </c>
      <c r="C5202" t="s">
        <v>40</v>
      </c>
      <c r="D5202">
        <v>5.4804300000000001</v>
      </c>
      <c r="E5202">
        <v>0.6171278</v>
      </c>
      <c r="F5202" t="s">
        <v>42</v>
      </c>
      <c r="G5202">
        <v>-363.87369999999999</v>
      </c>
      <c r="H5202">
        <v>1.0064379999999999</v>
      </c>
      <c r="I5202">
        <v>16.682489999999898</v>
      </c>
      <c r="J5202">
        <v>-364.55099999999999</v>
      </c>
      <c r="K5202">
        <v>1.1109469999999999</v>
      </c>
      <c r="L5202">
        <v>16.866239999999902</v>
      </c>
      <c r="M5202">
        <v>0.99950130000000004</v>
      </c>
      <c r="N5202">
        <v>0</v>
      </c>
      <c r="O5202">
        <v>-2.882556E-2</v>
      </c>
      <c r="P5202">
        <v>0.99714700000000001</v>
      </c>
      <c r="Q5202">
        <v>-2.5488719999999999E-2</v>
      </c>
      <c r="R5202">
        <v>7.1051509999999998E-2</v>
      </c>
      <c r="S5202">
        <v>3.0487060000000001</v>
      </c>
      <c r="T5202">
        <v>-0.39689259999999998</v>
      </c>
      <c r="U5202">
        <v>-0.70956419999999998</v>
      </c>
      <c r="V5202">
        <v>-9.9754819999999994E-2</v>
      </c>
      <c r="W5202">
        <v>-1.275539E-2</v>
      </c>
      <c r="X5202">
        <v>0.99493030000000005</v>
      </c>
      <c r="Y5202">
        <v>0.1971668</v>
      </c>
      <c r="Z5202">
        <v>-8.9285040000000003E-3</v>
      </c>
      <c r="AA5202">
        <v>0.98032929999999996</v>
      </c>
      <c r="AB5202">
        <v>22</v>
      </c>
      <c r="AC5202">
        <v>0.67730000000000201</v>
      </c>
      <c r="AD5202">
        <v>-0.10450899999999901</v>
      </c>
      <c r="AE5202">
        <v>-0.183749999999999</v>
      </c>
      <c r="AF5202">
        <v>0.16058712470022801</v>
      </c>
      <c r="AG5202">
        <v>-0.10450899999999901</v>
      </c>
      <c r="AH5202">
        <v>0.66751226030223498</v>
      </c>
      <c r="AI5202">
        <v>98.655225131193703</v>
      </c>
      <c r="AJ5202">
        <v>76.473090571335405</v>
      </c>
      <c r="AK5202">
        <v>0.69446596270392202</v>
      </c>
      <c r="AL5202">
        <v>90.730849822683496</v>
      </c>
      <c r="AM5202">
        <v>95.725519374414603</v>
      </c>
      <c r="AN5202">
        <v>1.00000001297268</v>
      </c>
    </row>
    <row r="5203" spans="1:40" x14ac:dyDescent="0.3">
      <c r="A5203" t="str">
        <f>"20200111160606579"</f>
        <v>20200111160606579</v>
      </c>
      <c r="B5203" t="str">
        <f>"1578729966567671"</f>
        <v>1578729966567671</v>
      </c>
      <c r="C5203" t="s">
        <v>40</v>
      </c>
      <c r="D5203">
        <v>5.6926550000000002</v>
      </c>
      <c r="E5203">
        <v>0.61718640000000002</v>
      </c>
      <c r="F5203" t="s">
        <v>42</v>
      </c>
      <c r="G5203">
        <v>-363.68079999999998</v>
      </c>
      <c r="H5203">
        <v>0.99743009999999999</v>
      </c>
      <c r="I5203">
        <v>16.663219999999999</v>
      </c>
      <c r="J5203">
        <v>-364.42970000000003</v>
      </c>
      <c r="K5203">
        <v>1.1109719999999901</v>
      </c>
      <c r="L5203">
        <v>16.863189999999999</v>
      </c>
      <c r="M5203">
        <v>0.99951120000000004</v>
      </c>
      <c r="N5203">
        <v>0</v>
      </c>
      <c r="O5203">
        <v>-2.8428459999999999E-2</v>
      </c>
      <c r="P5203">
        <v>0.99714720000000001</v>
      </c>
      <c r="Q5203">
        <v>-2.4815940000000002E-2</v>
      </c>
      <c r="R5203">
        <v>7.1285719999999997E-2</v>
      </c>
      <c r="S5203">
        <v>3.0490719999999998</v>
      </c>
      <c r="T5203">
        <v>-0.39780179999999998</v>
      </c>
      <c r="U5203">
        <v>-0.7109375</v>
      </c>
      <c r="V5203">
        <v>-9.9594950000000002E-2</v>
      </c>
      <c r="W5203">
        <v>-1.197429E-2</v>
      </c>
      <c r="X5203">
        <v>0.99495599999999995</v>
      </c>
      <c r="Y5203">
        <v>0.19793379999999999</v>
      </c>
      <c r="Z5203">
        <v>-9.0472999999999994E-3</v>
      </c>
      <c r="AA5203">
        <v>0.98017359999999998</v>
      </c>
      <c r="AB5203">
        <v>22</v>
      </c>
      <c r="AC5203">
        <v>0.74890000000004797</v>
      </c>
      <c r="AD5203">
        <v>-0.113541899999999</v>
      </c>
      <c r="AE5203">
        <v>-0.19996999999999601</v>
      </c>
      <c r="AF5203">
        <v>0.17484575333210201</v>
      </c>
      <c r="AG5203">
        <v>-0.113541899999999</v>
      </c>
      <c r="AH5203">
        <v>0.73843845727003699</v>
      </c>
      <c r="AI5203">
        <v>98.509609139842595</v>
      </c>
      <c r="AJ5203">
        <v>76.678963390388404</v>
      </c>
      <c r="AK5203">
        <v>0.76730317064979803</v>
      </c>
      <c r="AL5203">
        <v>90.686092683064601</v>
      </c>
      <c r="AM5203">
        <v>95.716257629394093</v>
      </c>
      <c r="AN5203">
        <v>0.99999998981125304</v>
      </c>
    </row>
    <row r="5204" spans="1:40" x14ac:dyDescent="0.3">
      <c r="A5204" t="str">
        <f>"20200111160606597"</f>
        <v>20200111160606597</v>
      </c>
      <c r="B5204" t="str">
        <f>"1578729966587194"</f>
        <v>1578729966587194</v>
      </c>
      <c r="C5204" t="s">
        <v>40</v>
      </c>
      <c r="D5204">
        <v>5.4498480000000002</v>
      </c>
      <c r="E5204">
        <v>0.61760709999999996</v>
      </c>
      <c r="F5204" t="s">
        <v>42</v>
      </c>
      <c r="G5204">
        <v>-363.67329999999998</v>
      </c>
      <c r="H5204">
        <v>1.013131</v>
      </c>
      <c r="I5204">
        <v>16.686769999999999</v>
      </c>
      <c r="J5204">
        <v>-364.25009999999997</v>
      </c>
      <c r="K5204">
        <v>1.1109990000000001</v>
      </c>
      <c r="L5204">
        <v>16.85876</v>
      </c>
      <c r="M5204">
        <v>0.99952609999999997</v>
      </c>
      <c r="N5204">
        <v>0</v>
      </c>
      <c r="O5204">
        <v>-2.7830190000000001E-2</v>
      </c>
      <c r="P5204">
        <v>0.99715600000000004</v>
      </c>
      <c r="Q5204">
        <v>-2.463545E-2</v>
      </c>
      <c r="R5204">
        <v>7.1230050000000003E-2</v>
      </c>
      <c r="S5204">
        <v>3.0495610000000002</v>
      </c>
      <c r="T5204">
        <v>-0.39440979999999998</v>
      </c>
      <c r="U5204">
        <v>-0.71066280000000004</v>
      </c>
      <c r="V5204">
        <v>-9.8943929999999999E-2</v>
      </c>
      <c r="W5204">
        <v>-1.164343E-2</v>
      </c>
      <c r="X5204">
        <v>0.99502489999999999</v>
      </c>
      <c r="Y5204">
        <v>0.1984167</v>
      </c>
      <c r="Z5204">
        <v>-9.0760660000000007E-3</v>
      </c>
      <c r="AA5204">
        <v>0.98007569999999999</v>
      </c>
      <c r="AB5204">
        <v>22</v>
      </c>
      <c r="AC5204">
        <v>0.57679999999999099</v>
      </c>
      <c r="AD5204">
        <v>-9.7867999999999997E-2</v>
      </c>
      <c r="AE5204">
        <v>-0.17198999999999701</v>
      </c>
      <c r="AF5204">
        <v>0.15185470180773</v>
      </c>
      <c r="AG5204">
        <v>-9.7867999999999997E-2</v>
      </c>
      <c r="AH5204">
        <v>0.56638894275330398</v>
      </c>
      <c r="AI5204">
        <v>99.4752414317513</v>
      </c>
      <c r="AJ5204">
        <v>74.991388621039206</v>
      </c>
      <c r="AK5204">
        <v>0.59450351585025996</v>
      </c>
      <c r="AL5204">
        <v>90.667134465017696</v>
      </c>
      <c r="AM5204">
        <v>95.678746672283907</v>
      </c>
      <c r="AN5204">
        <v>1.0000000111830001</v>
      </c>
    </row>
    <row r="5205" spans="1:40" x14ac:dyDescent="0.3">
      <c r="A5205" t="str">
        <f>"20200111160606609"</f>
        <v>20200111160606609</v>
      </c>
      <c r="B5205" t="str">
        <f>"1578729966607688"</f>
        <v>1578729966607688</v>
      </c>
      <c r="C5205" t="s">
        <v>40</v>
      </c>
      <c r="D5205">
        <v>5.4620119999999996</v>
      </c>
      <c r="E5205">
        <v>0.61800959999999905</v>
      </c>
      <c r="F5205" t="s">
        <v>42</v>
      </c>
      <c r="G5205">
        <v>-363.47750000000002</v>
      </c>
      <c r="H5205">
        <v>1.0109600000000001</v>
      </c>
      <c r="I5205">
        <v>16.677679999999999</v>
      </c>
      <c r="J5205">
        <v>-364.13240000000002</v>
      </c>
      <c r="K5205">
        <v>1.11102099999999</v>
      </c>
      <c r="L5205">
        <v>16.855899999999998</v>
      </c>
      <c r="M5205">
        <v>0.99953599999999998</v>
      </c>
      <c r="N5205">
        <v>0</v>
      </c>
      <c r="O5205">
        <v>-2.742781E-2</v>
      </c>
      <c r="P5205">
        <v>0.9971662</v>
      </c>
      <c r="Q5205">
        <v>-2.4780690000000001E-2</v>
      </c>
      <c r="R5205">
        <v>7.1031220000000006E-2</v>
      </c>
      <c r="S5205">
        <v>3.0498349999999999</v>
      </c>
      <c r="T5205">
        <v>-0.3950166</v>
      </c>
      <c r="U5205">
        <v>-0.71392819999999901</v>
      </c>
      <c r="V5205">
        <v>-9.8345059999999998E-2</v>
      </c>
      <c r="W5205">
        <v>-1.1696679999999999E-2</v>
      </c>
      <c r="X5205">
        <v>0.99508359999999996</v>
      </c>
      <c r="Y5205">
        <v>0.199769</v>
      </c>
      <c r="Z5205">
        <v>-9.2252429999999993E-3</v>
      </c>
      <c r="AA5205">
        <v>0.97979959999999999</v>
      </c>
      <c r="AB5205">
        <v>22</v>
      </c>
      <c r="AC5205">
        <v>0.65489999999999704</v>
      </c>
      <c r="AD5205">
        <v>-0.100060999999999</v>
      </c>
      <c r="AE5205">
        <v>-0.17821999999999899</v>
      </c>
      <c r="AF5205">
        <v>0.156781304056094</v>
      </c>
      <c r="AG5205">
        <v>-0.100060999999999</v>
      </c>
      <c r="AH5205">
        <v>0.64551220814024901</v>
      </c>
      <c r="AI5205">
        <v>98.566121493849906</v>
      </c>
      <c r="AJ5205">
        <v>76.348402952417402</v>
      </c>
      <c r="AK5205">
        <v>0.671772723382418</v>
      </c>
      <c r="AL5205">
        <v>90.670185702588199</v>
      </c>
      <c r="AM5205">
        <v>95.644267185029307</v>
      </c>
      <c r="AN5205">
        <v>0.99999996706919203</v>
      </c>
    </row>
    <row r="5206" spans="1:40" x14ac:dyDescent="0.3">
      <c r="A5206" t="str">
        <f>"20200111160606622"</f>
        <v>20200111160606622</v>
      </c>
      <c r="B5206" t="str">
        <f>"1578729966617447"</f>
        <v>1578729966617447</v>
      </c>
      <c r="C5206" t="s">
        <v>40</v>
      </c>
      <c r="D5206">
        <v>5.3456929999999998</v>
      </c>
      <c r="E5206">
        <v>0.61819669999999904</v>
      </c>
      <c r="F5206" t="s">
        <v>42</v>
      </c>
      <c r="G5206">
        <v>-363.28590000000003</v>
      </c>
      <c r="H5206">
        <v>1.001177</v>
      </c>
      <c r="I5206">
        <v>16.656379999999999</v>
      </c>
      <c r="J5206">
        <v>-364.00709999999998</v>
      </c>
      <c r="K5206">
        <v>1.1110409999999999</v>
      </c>
      <c r="L5206">
        <v>16.852969999999999</v>
      </c>
      <c r="M5206">
        <v>0.99954659999999995</v>
      </c>
      <c r="N5206">
        <v>0</v>
      </c>
      <c r="O5206">
        <v>-2.6989269999999999E-2</v>
      </c>
      <c r="P5206">
        <v>0.99715229999999999</v>
      </c>
      <c r="Q5206">
        <v>-2.5196199999999998E-2</v>
      </c>
      <c r="R5206">
        <v>7.1078699999999995E-2</v>
      </c>
      <c r="S5206">
        <v>3.0498050000000001</v>
      </c>
      <c r="T5206">
        <v>-0.39580870000000001</v>
      </c>
      <c r="U5206">
        <v>-0.71774289999999996</v>
      </c>
      <c r="V5206">
        <v>-9.7954639999999996E-2</v>
      </c>
      <c r="W5206">
        <v>-1.202012E-2</v>
      </c>
      <c r="X5206">
        <v>0.99511830000000001</v>
      </c>
      <c r="Y5206">
        <v>0.2013413</v>
      </c>
      <c r="Z5206">
        <v>-9.3984749999999999E-3</v>
      </c>
      <c r="AA5206">
        <v>0.97947600000000001</v>
      </c>
      <c r="AB5206">
        <v>22</v>
      </c>
      <c r="AC5206">
        <v>0.72119999999995299</v>
      </c>
      <c r="AD5206">
        <v>-0.109863999999999</v>
      </c>
      <c r="AE5206">
        <v>-0.19659000000000401</v>
      </c>
      <c r="AF5206">
        <v>0.17330835837161099</v>
      </c>
      <c r="AG5206">
        <v>-0.109863999999999</v>
      </c>
      <c r="AH5206">
        <v>0.71088770208803498</v>
      </c>
      <c r="AI5206">
        <v>98.539016827661698</v>
      </c>
      <c r="AJ5206">
        <v>76.299040176208393</v>
      </c>
      <c r="AK5206">
        <v>0.73991027196374903</v>
      </c>
      <c r="AL5206">
        <v>90.688718721766804</v>
      </c>
      <c r="AM5206">
        <v>95.621809058024596</v>
      </c>
      <c r="AN5206">
        <v>1.00000001288861</v>
      </c>
    </row>
    <row r="5207" spans="1:40" x14ac:dyDescent="0.3">
      <c r="A5207" t="str">
        <f>"20200111160606634"</f>
        <v>20200111160606634</v>
      </c>
      <c r="B5207" t="str">
        <f>"1578729966627207"</f>
        <v>1578729966627207</v>
      </c>
      <c r="C5207" t="s">
        <v>40</v>
      </c>
      <c r="D5207">
        <v>5.351153</v>
      </c>
      <c r="E5207">
        <v>0.61834080000000002</v>
      </c>
      <c r="F5207" t="s">
        <v>42</v>
      </c>
      <c r="G5207">
        <v>-363.27870000000001</v>
      </c>
      <c r="H5207">
        <v>1.0160530000000001</v>
      </c>
      <c r="I5207">
        <v>16.680959999999999</v>
      </c>
      <c r="J5207">
        <v>-363.8886</v>
      </c>
      <c r="K5207">
        <v>1.1110610000000001</v>
      </c>
      <c r="L5207">
        <v>16.850249999999999</v>
      </c>
      <c r="M5207">
        <v>0.99955720000000003</v>
      </c>
      <c r="N5207">
        <v>0</v>
      </c>
      <c r="O5207">
        <v>-2.655312E-2</v>
      </c>
      <c r="P5207">
        <v>0.9971506</v>
      </c>
      <c r="Q5207">
        <v>-2.522369E-2</v>
      </c>
      <c r="R5207">
        <v>7.1094930000000001E-2</v>
      </c>
      <c r="S5207">
        <v>3.0497740000000002</v>
      </c>
      <c r="T5207">
        <v>-0.3978217</v>
      </c>
      <c r="U5207">
        <v>-0.71893309999999999</v>
      </c>
      <c r="V5207">
        <v>-9.7536159999999997E-2</v>
      </c>
      <c r="W5207">
        <v>-1.1968609999999999E-2</v>
      </c>
      <c r="X5207">
        <v>0.99516000000000004</v>
      </c>
      <c r="Y5207">
        <v>0.20210919999999999</v>
      </c>
      <c r="Z5207">
        <v>-9.5505769999999993E-3</v>
      </c>
      <c r="AA5207">
        <v>0.97931639999999998</v>
      </c>
      <c r="AB5207">
        <v>22</v>
      </c>
      <c r="AC5207">
        <v>0.60989999999998101</v>
      </c>
      <c r="AD5207">
        <v>-9.5007999999999898E-2</v>
      </c>
      <c r="AE5207">
        <v>-0.16929</v>
      </c>
      <c r="AF5207">
        <v>0.149662139901165</v>
      </c>
      <c r="AG5207">
        <v>-9.5007999999999898E-2</v>
      </c>
      <c r="AH5207">
        <v>0.600647655436363</v>
      </c>
      <c r="AI5207">
        <v>98.725845776191505</v>
      </c>
      <c r="AJ5207">
        <v>76.008634426730396</v>
      </c>
      <c r="AK5207">
        <v>0.62626103356746998</v>
      </c>
      <c r="AL5207">
        <v>90.6857672210446</v>
      </c>
      <c r="AM5207">
        <v>95.597711465347402</v>
      </c>
      <c r="AN5207">
        <v>0.99999998786643796</v>
      </c>
    </row>
    <row r="5208" spans="1:40" x14ac:dyDescent="0.3">
      <c r="A5208" t="str">
        <f>"20200111160606646"</f>
        <v>20200111160606646</v>
      </c>
      <c r="B5208" t="str">
        <f>"1578729966636967"</f>
        <v>1578729966636967</v>
      </c>
      <c r="C5208" t="s">
        <v>40</v>
      </c>
      <c r="D5208">
        <v>5.3438829999999999</v>
      </c>
      <c r="E5208">
        <v>0.61850109999999903</v>
      </c>
      <c r="F5208" t="s">
        <v>42</v>
      </c>
      <c r="G5208">
        <v>-363.0874</v>
      </c>
      <c r="H5208">
        <v>1.006475</v>
      </c>
      <c r="I5208">
        <v>16.66093</v>
      </c>
      <c r="J5208">
        <v>-363.76760000000002</v>
      </c>
      <c r="K5208">
        <v>1.111086</v>
      </c>
      <c r="L5208">
        <v>16.847529999999999</v>
      </c>
      <c r="M5208">
        <v>0.99956820000000002</v>
      </c>
      <c r="N5208">
        <v>0</v>
      </c>
      <c r="O5208">
        <v>-2.6097140000000001E-2</v>
      </c>
      <c r="P5208">
        <v>0.99714219999999998</v>
      </c>
      <c r="Q5208">
        <v>-2.5166290000000001E-2</v>
      </c>
      <c r="R5208">
        <v>7.1234770000000003E-2</v>
      </c>
      <c r="S5208">
        <v>3.0498349999999999</v>
      </c>
      <c r="T5208">
        <v>-0.39812110000000001</v>
      </c>
      <c r="U5208">
        <v>-0.72012330000000002</v>
      </c>
      <c r="V5208">
        <v>-9.7221740000000001E-2</v>
      </c>
      <c r="W5208">
        <v>-1.183444E-2</v>
      </c>
      <c r="X5208">
        <v>0.99519239999999998</v>
      </c>
      <c r="Y5208">
        <v>0.20290150000000001</v>
      </c>
      <c r="Z5208">
        <v>-9.6662880000000003E-3</v>
      </c>
      <c r="AA5208">
        <v>0.97915140000000001</v>
      </c>
      <c r="AB5208">
        <v>22</v>
      </c>
      <c r="AC5208">
        <v>0.68020000000001302</v>
      </c>
      <c r="AD5208">
        <v>-0.104611</v>
      </c>
      <c r="AE5208">
        <v>-0.18659999999999799</v>
      </c>
      <c r="AF5208">
        <v>0.16515067584625501</v>
      </c>
      <c r="AG5208">
        <v>-0.104611</v>
      </c>
      <c r="AH5208">
        <v>0.67009812479414999</v>
      </c>
      <c r="AI5208">
        <v>98.619130064751701</v>
      </c>
      <c r="AJ5208">
        <v>76.154948694213203</v>
      </c>
      <c r="AK5208">
        <v>0.69803273841999103</v>
      </c>
      <c r="AL5208">
        <v>90.678079282046596</v>
      </c>
      <c r="AM5208">
        <v>95.579600088456303</v>
      </c>
      <c r="AN5208">
        <v>1.0000000168582499</v>
      </c>
    </row>
    <row r="5209" spans="1:40" x14ac:dyDescent="0.3">
      <c r="A5209" t="str">
        <f>"20200111160606666"</f>
        <v>20200111160606666</v>
      </c>
      <c r="B5209" t="str">
        <f>"1578729966657463"</f>
        <v>1578729966657463</v>
      </c>
      <c r="C5209" t="s">
        <v>40</v>
      </c>
      <c r="D5209">
        <v>5.2943369999999996</v>
      </c>
      <c r="E5209">
        <v>0.6191913</v>
      </c>
      <c r="F5209" t="s">
        <v>42</v>
      </c>
      <c r="G5209">
        <v>-362.89609999999999</v>
      </c>
      <c r="H5209">
        <v>0.99733780000000005</v>
      </c>
      <c r="I5209">
        <v>16.64114</v>
      </c>
      <c r="J5209">
        <v>-363.5754</v>
      </c>
      <c r="K5209">
        <v>1.11113</v>
      </c>
      <c r="L5209">
        <v>16.843350000000001</v>
      </c>
      <c r="M5209">
        <v>0.99958630000000004</v>
      </c>
      <c r="N5209">
        <v>0</v>
      </c>
      <c r="O5209">
        <v>-2.5326999999999999E-2</v>
      </c>
      <c r="P5209">
        <v>0.99715830000000005</v>
      </c>
      <c r="Q5209">
        <v>-2.4827350000000002E-2</v>
      </c>
      <c r="R5209">
        <v>7.1125830000000001E-2</v>
      </c>
      <c r="S5209">
        <v>3.050049</v>
      </c>
      <c r="T5209">
        <v>-0.39829019999999998</v>
      </c>
      <c r="U5209">
        <v>-0.7209778</v>
      </c>
      <c r="V5209">
        <v>-9.6346169999999995E-2</v>
      </c>
      <c r="W5209">
        <v>-1.1386230000000001E-2</v>
      </c>
      <c r="X5209">
        <v>0.99528280000000002</v>
      </c>
      <c r="Y5209">
        <v>0.20388500000000001</v>
      </c>
      <c r="Z5209">
        <v>-9.8311189999999993E-3</v>
      </c>
      <c r="AA5209">
        <v>0.97894550000000002</v>
      </c>
      <c r="AB5209">
        <v>22</v>
      </c>
      <c r="AC5209">
        <v>0.67930000000001201</v>
      </c>
      <c r="AD5209">
        <v>-0.113792199999999</v>
      </c>
      <c r="AE5209">
        <v>-0.20221</v>
      </c>
      <c r="AF5209">
        <v>0.18029154914773801</v>
      </c>
      <c r="AG5209">
        <v>-0.113792199999999</v>
      </c>
      <c r="AH5209">
        <v>0.66701048664376905</v>
      </c>
      <c r="AI5209">
        <v>99.352101829952701</v>
      </c>
      <c r="AJ5209">
        <v>74.874516172814893</v>
      </c>
      <c r="AK5209">
        <v>0.70025473705480201</v>
      </c>
      <c r="AL5209">
        <v>90.652396993913499</v>
      </c>
      <c r="AM5209">
        <v>95.529164434515096</v>
      </c>
      <c r="AN5209">
        <v>1.00000004134156</v>
      </c>
    </row>
    <row r="5210" spans="1:40" x14ac:dyDescent="0.3">
      <c r="A5210" t="str">
        <f>"20200111160606677"</f>
        <v>20200111160606677</v>
      </c>
      <c r="B5210" t="str">
        <f>"1578729966667223"</f>
        <v>1578729966667223</v>
      </c>
      <c r="C5210" t="s">
        <v>40</v>
      </c>
      <c r="D5210">
        <v>5.2212259999999997</v>
      </c>
      <c r="E5210">
        <v>0.61931449999999999</v>
      </c>
      <c r="F5210" t="s">
        <v>42</v>
      </c>
      <c r="G5210">
        <v>-362.69990000000001</v>
      </c>
      <c r="H5210">
        <v>0.99950600000000001</v>
      </c>
      <c r="I5210">
        <v>16.63485</v>
      </c>
      <c r="J5210">
        <v>-363.4581</v>
      </c>
      <c r="K5210">
        <v>1.111159</v>
      </c>
      <c r="L5210">
        <v>16.840969999999999</v>
      </c>
      <c r="M5210">
        <v>0.99959799999999999</v>
      </c>
      <c r="N5210">
        <v>0</v>
      </c>
      <c r="O5210">
        <v>-2.482827E-2</v>
      </c>
      <c r="P5210">
        <v>0.99716159999999998</v>
      </c>
      <c r="Q5210">
        <v>-2.4715520000000001E-2</v>
      </c>
      <c r="R5210">
        <v>7.1119589999999996E-2</v>
      </c>
      <c r="S5210">
        <v>3.0507200000000001</v>
      </c>
      <c r="T5210">
        <v>-0.38891740000000002</v>
      </c>
      <c r="U5210">
        <v>-0.72683719999999996</v>
      </c>
      <c r="V5210">
        <v>-9.5842819999999995E-2</v>
      </c>
      <c r="W5210">
        <v>-1.121523E-2</v>
      </c>
      <c r="X5210">
        <v>0.99533329999999998</v>
      </c>
      <c r="Y5210">
        <v>0.206151</v>
      </c>
      <c r="Z5210">
        <v>-9.8017350000000007E-3</v>
      </c>
      <c r="AA5210">
        <v>0.97847110000000004</v>
      </c>
      <c r="AB5210">
        <v>22</v>
      </c>
      <c r="AC5210">
        <v>0.758199999999987</v>
      </c>
      <c r="AD5210">
        <v>-0.111653</v>
      </c>
      <c r="AE5210">
        <v>-0.206120000000002</v>
      </c>
      <c r="AF5210">
        <v>0.18352393415679999</v>
      </c>
      <c r="AG5210">
        <v>-0.111653</v>
      </c>
      <c r="AH5210">
        <v>0.74798011716549295</v>
      </c>
      <c r="AI5210">
        <v>98.248854606267997</v>
      </c>
      <c r="AJ5210">
        <v>76.214276218631596</v>
      </c>
      <c r="AK5210">
        <v>0.77821698933671102</v>
      </c>
      <c r="AL5210">
        <v>90.642598815104705</v>
      </c>
      <c r="AM5210">
        <v>95.500178173683693</v>
      </c>
      <c r="AN5210">
        <v>1.00000000280919</v>
      </c>
    </row>
    <row r="5211" spans="1:40" x14ac:dyDescent="0.3">
      <c r="A5211" t="str">
        <f>"20200111160606690"</f>
        <v>20200111160606690</v>
      </c>
      <c r="B5211" t="str">
        <f>"1578729966687719"</f>
        <v>1578729966687719</v>
      </c>
      <c r="C5211" t="s">
        <v>40</v>
      </c>
      <c r="D5211">
        <v>5.1682110000000003</v>
      </c>
      <c r="E5211">
        <v>0.61943919999999997</v>
      </c>
      <c r="F5211" t="s">
        <v>42</v>
      </c>
      <c r="G5211">
        <v>-362.69310000000002</v>
      </c>
      <c r="H5211">
        <v>1.0136320000000001</v>
      </c>
      <c r="I5211">
        <v>16.658580000000001</v>
      </c>
      <c r="J5211">
        <v>-363.3449</v>
      </c>
      <c r="K5211">
        <v>1.1111839999999999</v>
      </c>
      <c r="L5211">
        <v>16.83868</v>
      </c>
      <c r="M5211">
        <v>0.99960950000000004</v>
      </c>
      <c r="N5211">
        <v>0</v>
      </c>
      <c r="O5211">
        <v>-2.432987E-2</v>
      </c>
      <c r="P5211">
        <v>0.99717489999999998</v>
      </c>
      <c r="Q5211">
        <v>-2.427151E-2</v>
      </c>
      <c r="R5211">
        <v>7.1086960000000005E-2</v>
      </c>
      <c r="S5211">
        <v>3.0507810000000002</v>
      </c>
      <c r="T5211">
        <v>-0.3888857</v>
      </c>
      <c r="U5211">
        <v>-0.72775269999999903</v>
      </c>
      <c r="V5211">
        <v>-9.5315070000000002E-2</v>
      </c>
      <c r="W5211">
        <v>-1.07177E-2</v>
      </c>
      <c r="X5211">
        <v>0.99538950000000004</v>
      </c>
      <c r="Y5211">
        <v>0.2069029</v>
      </c>
      <c r="Z5211">
        <v>-9.9098080000000009E-3</v>
      </c>
      <c r="AA5211">
        <v>0.97831129999999999</v>
      </c>
      <c r="AB5211">
        <v>22</v>
      </c>
      <c r="AC5211">
        <v>0.65179999999997995</v>
      </c>
      <c r="AD5211">
        <v>-9.7552E-2</v>
      </c>
      <c r="AE5211">
        <v>-0.18009999999999901</v>
      </c>
      <c r="AF5211">
        <v>0.160839750334731</v>
      </c>
      <c r="AG5211">
        <v>-9.7552E-2</v>
      </c>
      <c r="AH5211">
        <v>0.64261583068158201</v>
      </c>
      <c r="AI5211">
        <v>98.3772811752373</v>
      </c>
      <c r="AJ5211">
        <v>75.948166705557</v>
      </c>
      <c r="AK5211">
        <v>0.66958264899437003</v>
      </c>
      <c r="AL5211">
        <v>90.614090706008795</v>
      </c>
      <c r="AM5211">
        <v>95.469769161972394</v>
      </c>
      <c r="AN5211">
        <v>1.0000000441863199</v>
      </c>
    </row>
    <row r="5212" spans="1:40" x14ac:dyDescent="0.3">
      <c r="A5212" t="str">
        <f>"20200111160606710"</f>
        <v>20200111160606710</v>
      </c>
      <c r="B5212" t="str">
        <f>"1578729966697479"</f>
        <v>1578729966697479</v>
      </c>
      <c r="C5212" t="s">
        <v>40</v>
      </c>
      <c r="D5212">
        <v>5.075361</v>
      </c>
      <c r="E5212">
        <v>0.61943919999999997</v>
      </c>
      <c r="F5212" t="s">
        <v>42</v>
      </c>
      <c r="G5212">
        <v>-362.50290000000001</v>
      </c>
      <c r="H5212">
        <v>1.004208</v>
      </c>
      <c r="I5212">
        <v>16.6373</v>
      </c>
      <c r="J5212">
        <v>-363.1549</v>
      </c>
      <c r="K5212">
        <v>1.1112310000000001</v>
      </c>
      <c r="L5212">
        <v>16.835049999999999</v>
      </c>
      <c r="M5212">
        <v>0.9996294</v>
      </c>
      <c r="N5212">
        <v>0</v>
      </c>
      <c r="O5212">
        <v>-2.344802E-2</v>
      </c>
      <c r="P5212">
        <v>0.99718669999999998</v>
      </c>
      <c r="Q5212">
        <v>-2.4108890000000001E-2</v>
      </c>
      <c r="R5212">
        <v>7.0976330000000004E-2</v>
      </c>
      <c r="S5212">
        <v>3.0510250000000001</v>
      </c>
      <c r="T5212">
        <v>-0.38779740000000001</v>
      </c>
      <c r="U5212">
        <v>-0.7287903</v>
      </c>
      <c r="V5212">
        <v>-9.4325649999999997E-2</v>
      </c>
      <c r="W5212">
        <v>-1.0474010000000001E-2</v>
      </c>
      <c r="X5212">
        <v>0.99548630000000005</v>
      </c>
      <c r="Y5212">
        <v>0.2080553</v>
      </c>
      <c r="Z5212">
        <v>-1.0063020000000001E-2</v>
      </c>
      <c r="AA5212">
        <v>0.97806530000000003</v>
      </c>
      <c r="AB5212">
        <v>22</v>
      </c>
      <c r="AC5212">
        <v>0.65199999999998604</v>
      </c>
      <c r="AD5212">
        <v>-0.10702299999999899</v>
      </c>
      <c r="AE5212">
        <v>-0.19774999999999901</v>
      </c>
      <c r="AF5212">
        <v>0.178013727013278</v>
      </c>
      <c r="AG5212">
        <v>-0.10702299999999899</v>
      </c>
      <c r="AH5212">
        <v>0.64065054225257301</v>
      </c>
      <c r="AI5212">
        <v>99.143653393981893</v>
      </c>
      <c r="AJ5212">
        <v>74.471302422528296</v>
      </c>
      <c r="AK5212">
        <v>0.67348045763976905</v>
      </c>
      <c r="AL5212">
        <v>90.600127538752602</v>
      </c>
      <c r="AM5212">
        <v>95.412805896811406</v>
      </c>
      <c r="AN5212">
        <v>1.0000000033105401</v>
      </c>
    </row>
    <row r="5213" spans="1:40" x14ac:dyDescent="0.3">
      <c r="A5213" t="str">
        <f>"20200111160606720"</f>
        <v>20200111160606720</v>
      </c>
      <c r="B5213" t="str">
        <f>"1578729966716999"</f>
        <v>1578729966716999</v>
      </c>
      <c r="C5213" t="s">
        <v>40</v>
      </c>
      <c r="D5213">
        <v>4.3593900000000003</v>
      </c>
      <c r="E5213">
        <v>0.61943919999999997</v>
      </c>
      <c r="F5213" t="s">
        <v>42</v>
      </c>
      <c r="G5213">
        <v>-362.30869999999999</v>
      </c>
      <c r="H5213">
        <v>1.0038210000000001</v>
      </c>
      <c r="I5213">
        <v>16.632560000000002</v>
      </c>
      <c r="J5213">
        <v>-363.04020000000003</v>
      </c>
      <c r="K5213">
        <v>1.111262</v>
      </c>
      <c r="L5213">
        <v>16.832979999999999</v>
      </c>
      <c r="M5213">
        <v>0.99964160000000002</v>
      </c>
      <c r="N5213">
        <v>0</v>
      </c>
      <c r="O5213">
        <v>-2.2886699999999999E-2</v>
      </c>
      <c r="P5213">
        <v>0.99719179999999996</v>
      </c>
      <c r="Q5213">
        <v>-2.4120780000000001E-2</v>
      </c>
      <c r="R5213">
        <v>7.0900420000000006E-2</v>
      </c>
      <c r="S5213">
        <v>3.0509949999999999</v>
      </c>
      <c r="T5213">
        <v>-0.38739879999999999</v>
      </c>
      <c r="U5213">
        <v>-0.72897339999999999</v>
      </c>
      <c r="V5213">
        <v>-9.3690529999999994E-2</v>
      </c>
      <c r="W5213">
        <v>-1.044165E-2</v>
      </c>
      <c r="X5213">
        <v>0.99554659999999995</v>
      </c>
      <c r="Y5213">
        <v>0.20865600000000001</v>
      </c>
      <c r="Z5213">
        <v>-1.016016E-2</v>
      </c>
      <c r="AA5213">
        <v>0.97793629999999998</v>
      </c>
      <c r="AB5213">
        <v>22</v>
      </c>
      <c r="AC5213">
        <v>0.73150000000003901</v>
      </c>
      <c r="AD5213">
        <v>-0.10744099999999999</v>
      </c>
      <c r="AE5213">
        <v>-0.20041999999999699</v>
      </c>
      <c r="AF5213">
        <v>0.18001201316697801</v>
      </c>
      <c r="AG5213">
        <v>-0.10744099999999999</v>
      </c>
      <c r="AH5213">
        <v>0.72141926108252596</v>
      </c>
      <c r="AI5213">
        <v>98.2222994117204</v>
      </c>
      <c r="AJ5213">
        <v>75.989383543905902</v>
      </c>
      <c r="AK5213">
        <v>0.75126136838405699</v>
      </c>
      <c r="AL5213">
        <v>90.598273355026805</v>
      </c>
      <c r="AM5213">
        <v>95.3762505637375</v>
      </c>
      <c r="AN5213">
        <v>0.99999998811898105</v>
      </c>
    </row>
    <row r="5214" spans="1:40" x14ac:dyDescent="0.3">
      <c r="A5214" t="str">
        <f>"20200111160606733"</f>
        <v>20200111160606733</v>
      </c>
      <c r="B5214" t="str">
        <f>"1578729966727736"</f>
        <v>1578729966727736</v>
      </c>
      <c r="C5214" t="s">
        <v>40</v>
      </c>
      <c r="D5214">
        <v>5.0486559999999896</v>
      </c>
      <c r="E5214">
        <v>0.52398639999999996</v>
      </c>
      <c r="F5214" t="s">
        <v>42</v>
      </c>
      <c r="G5214">
        <v>-362.30220000000003</v>
      </c>
      <c r="H5214">
        <v>1.0175339999999999</v>
      </c>
      <c r="I5214">
        <v>16.656279999999999</v>
      </c>
      <c r="J5214">
        <v>-362.91849999999999</v>
      </c>
      <c r="K5214">
        <v>1.111294</v>
      </c>
      <c r="L5214">
        <v>16.830870000000001</v>
      </c>
      <c r="M5214">
        <v>0.99965519999999997</v>
      </c>
      <c r="N5214">
        <v>0</v>
      </c>
      <c r="O5214">
        <v>-2.2255E-2</v>
      </c>
      <c r="P5214">
        <v>0.99718609999999996</v>
      </c>
      <c r="Q5214">
        <v>-2.3728530000000001E-2</v>
      </c>
      <c r="R5214">
        <v>7.1111560000000004E-2</v>
      </c>
      <c r="S5214">
        <v>3.050964</v>
      </c>
      <c r="T5214">
        <v>-0.38761590000000001</v>
      </c>
      <c r="U5214">
        <v>-0.72921749999999996</v>
      </c>
      <c r="V5214">
        <v>-9.3272720000000003E-2</v>
      </c>
      <c r="W5214">
        <v>-1.000786E-2</v>
      </c>
      <c r="X5214">
        <v>0.99559030000000004</v>
      </c>
      <c r="Y5214">
        <v>0.20933840000000001</v>
      </c>
      <c r="Z5214">
        <v>-1.028713E-2</v>
      </c>
      <c r="AA5214">
        <v>0.97778920000000002</v>
      </c>
      <c r="AB5214">
        <v>22</v>
      </c>
      <c r="AC5214">
        <v>0.61629999999996699</v>
      </c>
      <c r="AD5214">
        <v>-9.3759999999999996E-2</v>
      </c>
      <c r="AE5214">
        <v>-0.17459000000000199</v>
      </c>
      <c r="AF5214">
        <v>0.157456125075669</v>
      </c>
      <c r="AG5214">
        <v>-9.3759999999999996E-2</v>
      </c>
      <c r="AH5214">
        <v>0.60702749156471103</v>
      </c>
      <c r="AI5214">
        <v>98.503292870487002</v>
      </c>
      <c r="AJ5214">
        <v>75.458591127525807</v>
      </c>
      <c r="AK5214">
        <v>0.63408654333552195</v>
      </c>
      <c r="AL5214">
        <v>90.573417711357095</v>
      </c>
      <c r="AM5214">
        <v>95.3521813197586</v>
      </c>
      <c r="AN5214">
        <v>1.00000000150603</v>
      </c>
    </row>
    <row r="5215" spans="1:40" x14ac:dyDescent="0.3">
      <c r="A5215" t="str">
        <f>"20200111160606746"</f>
        <v>20200111160606746</v>
      </c>
      <c r="B5215" t="str">
        <f>"1578729966737497"</f>
        <v>1578729966737497</v>
      </c>
      <c r="C5215" t="s">
        <v>40</v>
      </c>
      <c r="D5215">
        <v>5.0042879999999998</v>
      </c>
      <c r="E5215">
        <v>0.52091339999999997</v>
      </c>
      <c r="F5215" t="s">
        <v>41</v>
      </c>
      <c r="G5215">
        <v>-349.3947</v>
      </c>
      <c r="H5215" s="1">
        <v>-9.0051799999999996E-7</v>
      </c>
      <c r="I5215">
        <v>16.953610000000001</v>
      </c>
      <c r="J5215">
        <v>-362.79360000000003</v>
      </c>
      <c r="K5215">
        <v>1.111326</v>
      </c>
      <c r="L5215">
        <v>16.82883</v>
      </c>
      <c r="M5215">
        <v>0.99966929999999998</v>
      </c>
      <c r="N5215">
        <v>0</v>
      </c>
      <c r="O5215">
        <v>-2.1586560000000001E-2</v>
      </c>
      <c r="P5215">
        <v>0.99718450000000003</v>
      </c>
      <c r="Q5215">
        <v>-2.364523E-2</v>
      </c>
      <c r="R5215">
        <v>7.1162199999999995E-2</v>
      </c>
      <c r="S5215">
        <v>3.0006409999999999</v>
      </c>
      <c r="T5215">
        <v>-0.2465724</v>
      </c>
      <c r="U5215">
        <v>2.7252200000000001E-2</v>
      </c>
      <c r="V5215">
        <v>-9.2657069999999994E-2</v>
      </c>
      <c r="W5215">
        <v>-9.8840579999999994E-3</v>
      </c>
      <c r="X5215">
        <v>0.99564900000000001</v>
      </c>
      <c r="Y5215">
        <v>-3.0491899999999999E-2</v>
      </c>
      <c r="Z5215">
        <v>3.021606E-3</v>
      </c>
      <c r="AA5215">
        <v>0.99953040000000004</v>
      </c>
      <c r="AB5215">
        <v>22</v>
      </c>
      <c r="AC5215">
        <v>13.398899999999999</v>
      </c>
      <c r="AD5215">
        <v>-1.111326900518</v>
      </c>
      <c r="AE5215">
        <v>0.124780000000001</v>
      </c>
      <c r="AF5215">
        <v>-0.41118688699888101</v>
      </c>
      <c r="AG5215">
        <v>-1.111326900518</v>
      </c>
      <c r="AH5215">
        <v>13.301585489088399</v>
      </c>
      <c r="AI5215">
        <v>94.773612244371293</v>
      </c>
      <c r="AJ5215">
        <v>91.770598940872503</v>
      </c>
      <c r="AK5215">
        <v>13.354261441928699</v>
      </c>
      <c r="AL5215">
        <v>90.566324041024203</v>
      </c>
      <c r="AM5215">
        <v>95.316745512424703</v>
      </c>
      <c r="AN5215">
        <v>0.99999997921226602</v>
      </c>
    </row>
    <row r="5216" spans="1:40" x14ac:dyDescent="0.3">
      <c r="A5216" t="str">
        <f>"20200111160606766"</f>
        <v>20200111160606766</v>
      </c>
      <c r="B5216" t="str">
        <f>"1578729966757015"</f>
        <v>1578729966757015</v>
      </c>
      <c r="C5216" t="s">
        <v>40</v>
      </c>
      <c r="D5216">
        <v>4.9755830000000003</v>
      </c>
      <c r="E5216">
        <v>0.51911090000000004</v>
      </c>
      <c r="F5216" t="s">
        <v>41</v>
      </c>
      <c r="G5216">
        <v>-349.61669999999998</v>
      </c>
      <c r="H5216" s="1">
        <v>-7.9732900000000003E-7</v>
      </c>
      <c r="I5216">
        <v>17.05752</v>
      </c>
      <c r="J5216">
        <v>-362.60449999999997</v>
      </c>
      <c r="K5216">
        <v>1.1113820000000001</v>
      </c>
      <c r="L5216">
        <v>16.825959999999998</v>
      </c>
      <c r="M5216">
        <v>0.9996912</v>
      </c>
      <c r="N5216">
        <v>0</v>
      </c>
      <c r="O5216">
        <v>-2.050766E-2</v>
      </c>
      <c r="P5216">
        <v>0.99719610000000003</v>
      </c>
      <c r="Q5216">
        <v>-2.21371E-2</v>
      </c>
      <c r="R5216">
        <v>7.1483430000000001E-2</v>
      </c>
      <c r="S5216">
        <v>2.9987490000000001</v>
      </c>
      <c r="T5216">
        <v>-0.25290940000000001</v>
      </c>
      <c r="U5216">
        <v>5.2062990000000003E-2</v>
      </c>
      <c r="V5216">
        <v>-9.1905860000000006E-2</v>
      </c>
      <c r="W5216">
        <v>-8.3225920000000002E-3</v>
      </c>
      <c r="X5216">
        <v>0.99573290000000003</v>
      </c>
      <c r="Y5216">
        <v>-3.765545E-2</v>
      </c>
      <c r="Z5216">
        <v>3.3115089999999998E-3</v>
      </c>
      <c r="AA5216">
        <v>0.99928530000000004</v>
      </c>
      <c r="AB5216">
        <v>22</v>
      </c>
      <c r="AC5216">
        <v>12.987799999999901</v>
      </c>
      <c r="AD5216">
        <v>-1.11138279732899</v>
      </c>
      <c r="AE5216">
        <v>0.23155999999999799</v>
      </c>
      <c r="AF5216">
        <v>-0.49426880394755701</v>
      </c>
      <c r="AG5216">
        <v>-1.11138279732899</v>
      </c>
      <c r="AH5216">
        <v>12.885991861265101</v>
      </c>
      <c r="AI5216">
        <v>94.925806894439603</v>
      </c>
      <c r="AJ5216">
        <v>92.196620986995299</v>
      </c>
      <c r="AK5216">
        <v>12.9432708239202</v>
      </c>
      <c r="AL5216">
        <v>90.476854910603294</v>
      </c>
      <c r="AM5216">
        <v>95.273442587913294</v>
      </c>
      <c r="AN5216">
        <v>0.99999998039117299</v>
      </c>
    </row>
    <row r="5217" spans="1:40" x14ac:dyDescent="0.3">
      <c r="A5217" t="str">
        <f>"20200111160606779"</f>
        <v>20200111160606779</v>
      </c>
      <c r="B5217" t="str">
        <f>"1578729966767752"</f>
        <v>1578729966767752</v>
      </c>
      <c r="C5217" t="s">
        <v>40</v>
      </c>
      <c r="D5217">
        <v>4.9117309999999996</v>
      </c>
      <c r="E5217">
        <v>0.51870349999999998</v>
      </c>
      <c r="F5217" t="s">
        <v>41</v>
      </c>
      <c r="G5217">
        <v>-349.7876</v>
      </c>
      <c r="H5217" s="1">
        <v>-7.2371909999999999E-7</v>
      </c>
      <c r="I5217">
        <v>17.11553</v>
      </c>
      <c r="J5217">
        <v>-362.47890000000001</v>
      </c>
      <c r="K5217">
        <v>1.1114219999999999</v>
      </c>
      <c r="L5217">
        <v>16.82422</v>
      </c>
      <c r="M5217">
        <v>0.99970599999999998</v>
      </c>
      <c r="N5217">
        <v>0</v>
      </c>
      <c r="O5217">
        <v>-1.9752619999999999E-2</v>
      </c>
      <c r="P5217">
        <v>0.9971951</v>
      </c>
      <c r="Q5217">
        <v>-2.1374199999999999E-2</v>
      </c>
      <c r="R5217">
        <v>7.1732309999999994E-2</v>
      </c>
      <c r="S5217">
        <v>2.9977420000000001</v>
      </c>
      <c r="T5217">
        <v>-0.25994070000000002</v>
      </c>
      <c r="U5217">
        <v>6.7749019999999993E-2</v>
      </c>
      <c r="V5217">
        <v>-9.1403609999999996E-2</v>
      </c>
      <c r="W5217">
        <v>-7.5285019999999899E-3</v>
      </c>
      <c r="X5217">
        <v>0.99578549999999999</v>
      </c>
      <c r="Y5217">
        <v>-4.210734E-2</v>
      </c>
      <c r="Z5217">
        <v>3.531508E-3</v>
      </c>
      <c r="AA5217">
        <v>0.99910679999999996</v>
      </c>
      <c r="AB5217">
        <v>22</v>
      </c>
      <c r="AC5217">
        <v>12.6913</v>
      </c>
      <c r="AD5217">
        <v>-1.1114227237190999</v>
      </c>
      <c r="AE5217">
        <v>0.29130999999999901</v>
      </c>
      <c r="AF5217">
        <v>-0.53784176132339101</v>
      </c>
      <c r="AG5217">
        <v>-1.1114227237190999</v>
      </c>
      <c r="AH5217">
        <v>12.586591282964299</v>
      </c>
      <c r="AI5217">
        <v>95.041673324955099</v>
      </c>
      <c r="AJ5217">
        <v>92.446836195321595</v>
      </c>
      <c r="AK5217">
        <v>12.647008118737601</v>
      </c>
      <c r="AL5217">
        <v>90.431355452473397</v>
      </c>
      <c r="AM5217">
        <v>95.244509771256403</v>
      </c>
      <c r="AN5217">
        <v>1.0000000301368199</v>
      </c>
    </row>
    <row r="5218" spans="1:40" x14ac:dyDescent="0.3">
      <c r="A5218" t="str">
        <f>"20200111160606798"</f>
        <v>20200111160606798</v>
      </c>
      <c r="B5218" t="str">
        <f>"1578729966787272"</f>
        <v>1578729966787272</v>
      </c>
      <c r="C5218" t="s">
        <v>40</v>
      </c>
      <c r="D5218">
        <v>4.8716589999999904</v>
      </c>
      <c r="E5218">
        <v>0.51868340000000002</v>
      </c>
      <c r="F5218" t="s">
        <v>41</v>
      </c>
      <c r="G5218">
        <v>-349.78649999999999</v>
      </c>
      <c r="H5218" s="1">
        <v>-7.2065209999999897E-7</v>
      </c>
      <c r="I5218">
        <v>17.128439999999902</v>
      </c>
      <c r="J5218">
        <v>-362.28910000000002</v>
      </c>
      <c r="K5218">
        <v>1.11147</v>
      </c>
      <c r="L5218">
        <v>16.821839999999899</v>
      </c>
      <c r="M5218">
        <v>0.99972780000000006</v>
      </c>
      <c r="N5218">
        <v>0</v>
      </c>
      <c r="O5218">
        <v>-1.8568009999999999E-2</v>
      </c>
      <c r="P5218">
        <v>0.99719380000000002</v>
      </c>
      <c r="Q5218">
        <v>-2.0094270000000001E-2</v>
      </c>
      <c r="R5218">
        <v>7.2118360000000006E-2</v>
      </c>
      <c r="S5218">
        <v>2.9975890000000001</v>
      </c>
      <c r="T5218">
        <v>-0.26248719999999998</v>
      </c>
      <c r="U5218">
        <v>7.1868899999999999E-2</v>
      </c>
      <c r="V5218">
        <v>-9.0611440000000001E-2</v>
      </c>
      <c r="W5218">
        <v>-6.2053400000000002E-3</v>
      </c>
      <c r="X5218">
        <v>0.99586699999999995</v>
      </c>
      <c r="Y5218">
        <v>-4.2296279999999999E-2</v>
      </c>
      <c r="Z5218">
        <v>3.4708339999999999E-3</v>
      </c>
      <c r="AA5218">
        <v>0.99909910000000002</v>
      </c>
      <c r="AB5218">
        <v>22</v>
      </c>
      <c r="AC5218">
        <v>12.502599999999999</v>
      </c>
      <c r="AD5218">
        <v>-1.1114707206521</v>
      </c>
      <c r="AE5218">
        <v>0.30659999999999898</v>
      </c>
      <c r="AF5218">
        <v>-0.53449707530621804</v>
      </c>
      <c r="AG5218">
        <v>-1.1114707206521</v>
      </c>
      <c r="AH5218">
        <v>12.396836514458601</v>
      </c>
      <c r="AI5218">
        <v>95.118573933609497</v>
      </c>
      <c r="AJ5218">
        <v>92.468813007289299</v>
      </c>
      <c r="AK5218">
        <v>12.458033948123299</v>
      </c>
      <c r="AL5218">
        <v>90.355542070501699</v>
      </c>
      <c r="AM5218">
        <v>95.198884068065595</v>
      </c>
      <c r="AN5218">
        <v>1.0000000104961899</v>
      </c>
    </row>
    <row r="5219" spans="1:40" x14ac:dyDescent="0.3">
      <c r="A5219" t="str">
        <f>"20200111160606812"</f>
        <v>20200111160606812</v>
      </c>
      <c r="B5219" t="str">
        <f>"1578729966807768"</f>
        <v>1578729966807768</v>
      </c>
      <c r="C5219" t="s">
        <v>40</v>
      </c>
      <c r="D5219">
        <v>4.8565060000000004</v>
      </c>
      <c r="E5219">
        <v>0.51870870000000002</v>
      </c>
      <c r="F5219" t="s">
        <v>41</v>
      </c>
      <c r="G5219">
        <v>-349.60320000000002</v>
      </c>
      <c r="H5219" s="1">
        <v>-7.8186750000000004E-7</v>
      </c>
      <c r="I5219">
        <v>17.132850000000001</v>
      </c>
      <c r="J5219">
        <v>-362.16219999999998</v>
      </c>
      <c r="K5219">
        <v>1.1114980000000001</v>
      </c>
      <c r="L5219">
        <v>16.82037</v>
      </c>
      <c r="M5219">
        <v>0.99974240000000003</v>
      </c>
      <c r="N5219">
        <v>0</v>
      </c>
      <c r="O5219">
        <v>-1.7748320000000001E-2</v>
      </c>
      <c r="P5219">
        <v>0.99717909999999998</v>
      </c>
      <c r="Q5219">
        <v>-1.9550620000000001E-2</v>
      </c>
      <c r="R5219">
        <v>7.2469060000000002E-2</v>
      </c>
      <c r="S5219">
        <v>2.9978639999999999</v>
      </c>
      <c r="T5219">
        <v>-0.26265690000000003</v>
      </c>
      <c r="U5219">
        <v>7.3516849999999995E-2</v>
      </c>
      <c r="V5219">
        <v>-9.0145890000000006E-2</v>
      </c>
      <c r="W5219">
        <v>-5.6356440000000004E-3</v>
      </c>
      <c r="X5219">
        <v>0.99591260000000004</v>
      </c>
      <c r="Y5219">
        <v>-4.2027729999999999E-2</v>
      </c>
      <c r="Z5219">
        <v>3.3893170000000002E-3</v>
      </c>
      <c r="AA5219">
        <v>0.99911070000000002</v>
      </c>
      <c r="AB5219">
        <v>22</v>
      </c>
      <c r="AC5219">
        <v>12.5589999999999</v>
      </c>
      <c r="AD5219">
        <v>-1.1114987818675</v>
      </c>
      <c r="AE5219">
        <v>0.31247999999999998</v>
      </c>
      <c r="AF5219">
        <v>-0.53119613806153398</v>
      </c>
      <c r="AG5219">
        <v>-1.1114987818675</v>
      </c>
      <c r="AH5219">
        <v>12.453987654886699</v>
      </c>
      <c r="AI5219">
        <v>95.095437202797797</v>
      </c>
      <c r="AJ5219">
        <v>92.442339054121703</v>
      </c>
      <c r="AK5219">
        <v>12.514767572242601</v>
      </c>
      <c r="AL5219">
        <v>90.322900333563993</v>
      </c>
      <c r="AM5219">
        <v>95.172082579373097</v>
      </c>
      <c r="AN5219">
        <v>0.99999997440297295</v>
      </c>
    </row>
    <row r="5220" spans="1:40" x14ac:dyDescent="0.3">
      <c r="A5220" t="str">
        <f>"20200111160606833"</f>
        <v>20200111160606833</v>
      </c>
      <c r="B5220" t="str">
        <f>"1578729966827833"</f>
        <v>1578729966827833</v>
      </c>
      <c r="C5220" t="s">
        <v>40</v>
      </c>
      <c r="D5220">
        <v>4.9054760000000002</v>
      </c>
      <c r="E5220">
        <v>0.51867619999999903</v>
      </c>
      <c r="F5220" t="s">
        <v>41</v>
      </c>
      <c r="G5220">
        <v>-349.50400000000002</v>
      </c>
      <c r="H5220" s="1">
        <v>-8.151445E-7</v>
      </c>
      <c r="I5220">
        <v>17.134689999999999</v>
      </c>
      <c r="J5220">
        <v>-361.95830000000001</v>
      </c>
      <c r="K5220">
        <v>1.111534</v>
      </c>
      <c r="L5220">
        <v>16.818359999999998</v>
      </c>
      <c r="M5220">
        <v>0.99976480000000001</v>
      </c>
      <c r="N5220">
        <v>0</v>
      </c>
      <c r="O5220">
        <v>-1.6393540000000002E-2</v>
      </c>
      <c r="P5220">
        <v>0.99715279999999995</v>
      </c>
      <c r="Q5220">
        <v>-1.9021529999999998E-2</v>
      </c>
      <c r="R5220">
        <v>7.296909E-2</v>
      </c>
      <c r="S5220">
        <v>2.9979550000000001</v>
      </c>
      <c r="T5220">
        <v>-0.26324500000000001</v>
      </c>
      <c r="U5220">
        <v>7.4462890000000004E-2</v>
      </c>
      <c r="V5220">
        <v>-8.9297500000000002E-2</v>
      </c>
      <c r="W5220">
        <v>-5.067457E-3</v>
      </c>
      <c r="X5220">
        <v>0.99599210000000005</v>
      </c>
      <c r="Y5220">
        <v>-4.0996320000000003E-2</v>
      </c>
      <c r="Z5220">
        <v>3.2328470000000001E-3</v>
      </c>
      <c r="AA5220">
        <v>0.99915410000000004</v>
      </c>
      <c r="AB5220">
        <v>22</v>
      </c>
      <c r="AC5220">
        <v>12.4542999999999</v>
      </c>
      <c r="AD5220">
        <v>-1.1115348151444999</v>
      </c>
      <c r="AE5220">
        <v>0.316329999999997</v>
      </c>
      <c r="AF5220">
        <v>-0.51636770763129702</v>
      </c>
      <c r="AG5220">
        <v>-1.1115348151444999</v>
      </c>
      <c r="AH5220">
        <v>12.3491373437187</v>
      </c>
      <c r="AI5220">
        <v>95.138815754849503</v>
      </c>
      <c r="AJ5220">
        <v>92.394374996691695</v>
      </c>
      <c r="AK5220">
        <v>12.4098081527794</v>
      </c>
      <c r="AL5220">
        <v>90.290345143656197</v>
      </c>
      <c r="AM5220">
        <v>95.123260072589801</v>
      </c>
      <c r="AN5220">
        <v>0.999999992944553</v>
      </c>
    </row>
    <row r="5221" spans="1:40" x14ac:dyDescent="0.3">
      <c r="A5221" t="str">
        <f>"20200111160606846"</f>
        <v>20200111160606846</v>
      </c>
      <c r="B5221" t="str">
        <f>"1578729966837594"</f>
        <v>1578729966837594</v>
      </c>
      <c r="C5221" t="s">
        <v>40</v>
      </c>
      <c r="D5221">
        <v>4.9876310000000004</v>
      </c>
      <c r="E5221">
        <v>0.51835209999999998</v>
      </c>
      <c r="F5221" t="s">
        <v>41</v>
      </c>
      <c r="G5221">
        <v>-348.9975</v>
      </c>
      <c r="H5221" s="1">
        <v>-9.841565E-7</v>
      </c>
      <c r="I5221">
        <v>17.147300000000001</v>
      </c>
      <c r="J5221">
        <v>-361.83859999999999</v>
      </c>
      <c r="K5221">
        <v>1.111551</v>
      </c>
      <c r="L5221">
        <v>16.81729</v>
      </c>
      <c r="M5221">
        <v>0.99977740000000004</v>
      </c>
      <c r="N5221">
        <v>0</v>
      </c>
      <c r="O5221">
        <v>-1.558316E-2</v>
      </c>
      <c r="P5221">
        <v>0.99710900000000002</v>
      </c>
      <c r="Q5221">
        <v>-1.8967020000000001E-2</v>
      </c>
      <c r="R5221">
        <v>7.358046E-2</v>
      </c>
      <c r="S5221">
        <v>2.9981080000000002</v>
      </c>
      <c r="T5221">
        <v>-0.2571213</v>
      </c>
      <c r="U5221">
        <v>7.6110839999999999E-2</v>
      </c>
      <c r="V5221">
        <v>-8.910092E-2</v>
      </c>
      <c r="W5221">
        <v>-4.9923679999999996E-3</v>
      </c>
      <c r="X5221">
        <v>0.99601010000000001</v>
      </c>
      <c r="Y5221">
        <v>-4.0748090000000001E-2</v>
      </c>
      <c r="Z5221">
        <v>3.0777510000000001E-3</v>
      </c>
      <c r="AA5221">
        <v>0.99916470000000002</v>
      </c>
      <c r="AB5221">
        <v>22</v>
      </c>
      <c r="AC5221">
        <v>12.8410999999999</v>
      </c>
      <c r="AD5221">
        <v>-1.1115519841565</v>
      </c>
      <c r="AE5221">
        <v>0.33001000000000102</v>
      </c>
      <c r="AF5221">
        <v>-0.52615520851747599</v>
      </c>
      <c r="AG5221">
        <v>-1.1115519841565</v>
      </c>
      <c r="AH5221">
        <v>12.739007098086599</v>
      </c>
      <c r="AI5221">
        <v>94.982531115214201</v>
      </c>
      <c r="AJ5221">
        <v>92.365125295958407</v>
      </c>
      <c r="AK5221">
        <v>12.7982299151888</v>
      </c>
      <c r="AL5221">
        <v>90.286042801964598</v>
      </c>
      <c r="AM5221">
        <v>95.111949629164599</v>
      </c>
      <c r="AN5221">
        <v>1.00000000849255</v>
      </c>
    </row>
    <row r="5222" spans="1:40" x14ac:dyDescent="0.3">
      <c r="A5222" t="str">
        <f>"20200111160606857"</f>
        <v>20200111160606857</v>
      </c>
      <c r="B5222" t="str">
        <f>"1578729966847354"</f>
        <v>1578729966847354</v>
      </c>
      <c r="C5222" t="s">
        <v>40</v>
      </c>
      <c r="D5222">
        <v>4.8102609999999997</v>
      </c>
      <c r="E5222">
        <v>0.51840350000000002</v>
      </c>
      <c r="F5222" t="s">
        <v>41</v>
      </c>
      <c r="G5222">
        <v>-348.90170000000001</v>
      </c>
      <c r="H5222" s="1">
        <v>-1.01216E-6</v>
      </c>
      <c r="I5222">
        <v>17.164479999999902</v>
      </c>
      <c r="J5222">
        <v>-361.72739999999999</v>
      </c>
      <c r="K5222">
        <v>1.1115549999999901</v>
      </c>
      <c r="L5222">
        <v>16.816410000000001</v>
      </c>
      <c r="M5222">
        <v>0.99978880000000003</v>
      </c>
      <c r="N5222">
        <v>0</v>
      </c>
      <c r="O5222">
        <v>-1.4819590000000001E-2</v>
      </c>
      <c r="P5222">
        <v>0.99704280000000001</v>
      </c>
      <c r="Q5222">
        <v>-1.8812059999999999E-2</v>
      </c>
      <c r="R5222">
        <v>7.45112E-2</v>
      </c>
      <c r="S5222">
        <v>2.9978639999999999</v>
      </c>
      <c r="T5222">
        <v>-0.25758059999999999</v>
      </c>
      <c r="U5222">
        <v>8.0474850000000001E-2</v>
      </c>
      <c r="V5222">
        <v>-8.9270080000000002E-2</v>
      </c>
      <c r="W5222">
        <v>-4.8206680000000002E-3</v>
      </c>
      <c r="X5222">
        <v>0.99599579999999999</v>
      </c>
      <c r="Y5222">
        <v>-4.1440049999999999E-2</v>
      </c>
      <c r="Z5222">
        <v>3.0476090000000002E-3</v>
      </c>
      <c r="AA5222">
        <v>0.99913629999999998</v>
      </c>
      <c r="AB5222">
        <v>22</v>
      </c>
      <c r="AC5222">
        <v>12.8256999999999</v>
      </c>
      <c r="AD5222">
        <v>-1.1115560121600001</v>
      </c>
      <c r="AE5222">
        <v>0.34806999999999599</v>
      </c>
      <c r="AF5222">
        <v>-0.53411385161499003</v>
      </c>
      <c r="AG5222">
        <v>-1.1115560121600001</v>
      </c>
      <c r="AH5222">
        <v>12.7236349657137</v>
      </c>
      <c r="AI5222">
        <v>94.988399071609905</v>
      </c>
      <c r="AJ5222">
        <v>92.403755928304307</v>
      </c>
      <c r="AK5222">
        <v>12.783259408906099</v>
      </c>
      <c r="AL5222">
        <v>90.276204997908906</v>
      </c>
      <c r="AM5222">
        <v>95.121676349627407</v>
      </c>
      <c r="AN5222">
        <v>1.0000000098204</v>
      </c>
    </row>
    <row r="5223" spans="1:40" x14ac:dyDescent="0.3">
      <c r="A5223" t="str">
        <f>"20200111160606876"</f>
        <v>20200111160606876</v>
      </c>
      <c r="B5223" t="str">
        <f>"1578729966867849"</f>
        <v>1578729966867849</v>
      </c>
      <c r="C5223" t="s">
        <v>40</v>
      </c>
      <c r="D5223">
        <v>4.8061590000000001</v>
      </c>
      <c r="E5223">
        <v>0.51845249999999998</v>
      </c>
      <c r="F5223" t="s">
        <v>41</v>
      </c>
      <c r="G5223">
        <v>-348.84030000000001</v>
      </c>
      <c r="H5223" s="1">
        <v>-1.0308810000000001E-6</v>
      </c>
      <c r="I5223">
        <v>17.172639999999902</v>
      </c>
      <c r="J5223">
        <v>-361.54169999999999</v>
      </c>
      <c r="K5223">
        <v>1.111561</v>
      </c>
      <c r="L5223">
        <v>16.815159999999999</v>
      </c>
      <c r="M5223">
        <v>0.99980659999999999</v>
      </c>
      <c r="N5223">
        <v>0</v>
      </c>
      <c r="O5223">
        <v>-1.353508E-2</v>
      </c>
      <c r="P5223">
        <v>0.99690250000000002</v>
      </c>
      <c r="Q5223">
        <v>-1.8512870000000001E-2</v>
      </c>
      <c r="R5223">
        <v>7.6439339999999995E-2</v>
      </c>
      <c r="S5223">
        <v>2.9977719999999999</v>
      </c>
      <c r="T5223">
        <v>-0.25856820000000003</v>
      </c>
      <c r="U5223">
        <v>8.2885739999999999E-2</v>
      </c>
      <c r="V5223">
        <v>-8.9917529999999996E-2</v>
      </c>
      <c r="W5223">
        <v>-4.4964769999999996E-3</v>
      </c>
      <c r="X5223">
        <v>0.99593909999999997</v>
      </c>
      <c r="Y5223">
        <v>-4.0965090000000003E-2</v>
      </c>
      <c r="Z5223">
        <v>2.9282900000000001E-3</v>
      </c>
      <c r="AA5223">
        <v>0.9991563</v>
      </c>
      <c r="AB5223">
        <v>22</v>
      </c>
      <c r="AC5223">
        <v>12.7013999999999</v>
      </c>
      <c r="AD5223">
        <v>-1.1115620308809999</v>
      </c>
      <c r="AE5223">
        <v>0.35747999999999502</v>
      </c>
      <c r="AF5223">
        <v>-0.52535874738467303</v>
      </c>
      <c r="AG5223">
        <v>-1.1115620308809999</v>
      </c>
      <c r="AH5223">
        <v>12.5989797923938</v>
      </c>
      <c r="AI5223">
        <v>95.037587567060001</v>
      </c>
      <c r="AJ5223">
        <v>92.387765638389794</v>
      </c>
      <c r="AK5223">
        <v>12.658825528898699</v>
      </c>
      <c r="AL5223">
        <v>90.257630013723499</v>
      </c>
      <c r="AM5223">
        <v>95.1589147808169</v>
      </c>
      <c r="AN5223">
        <v>1.0000000357077601</v>
      </c>
    </row>
    <row r="5224" spans="1:40" x14ac:dyDescent="0.3">
      <c r="A5224" t="str">
        <f>"20200111160607147"</f>
        <v>20200111160607147</v>
      </c>
      <c r="B5224" t="str">
        <f>"1578729967137306"</f>
        <v>1578729967137306</v>
      </c>
      <c r="C5224" t="s">
        <v>40</v>
      </c>
      <c r="D5224">
        <v>4.8966430000000001</v>
      </c>
      <c r="E5224">
        <v>0.51843859999999997</v>
      </c>
      <c r="F5224" t="s">
        <v>41</v>
      </c>
      <c r="G5224">
        <v>-348.74200000000002</v>
      </c>
      <c r="H5224" s="1">
        <v>-1.059103E-6</v>
      </c>
      <c r="I5224">
        <v>17.192299999999999</v>
      </c>
      <c r="J5224">
        <v>-358.99579999999997</v>
      </c>
      <c r="K5224">
        <v>1.111302</v>
      </c>
      <c r="L5224">
        <v>16.821290000000001</v>
      </c>
      <c r="M5224">
        <v>0.99990109999999999</v>
      </c>
      <c r="N5224">
        <v>0</v>
      </c>
      <c r="O5224">
        <v>3.567827E-3</v>
      </c>
      <c r="P5224">
        <v>0.99533680000000002</v>
      </c>
      <c r="Q5224">
        <v>-1.610323E-2</v>
      </c>
      <c r="R5224">
        <v>9.5107090000000005E-2</v>
      </c>
      <c r="S5224">
        <v>2.997681</v>
      </c>
      <c r="T5224">
        <v>-0.26032690000000003</v>
      </c>
      <c r="U5224">
        <v>8.8348389999999999E-2</v>
      </c>
      <c r="V5224">
        <v>-9.1550220000000002E-2</v>
      </c>
      <c r="W5224">
        <v>-2.7209589999999998E-3</v>
      </c>
      <c r="X5224">
        <v>0.99579669999999998</v>
      </c>
      <c r="Y5224">
        <v>-2.580903E-2</v>
      </c>
      <c r="Z5224">
        <v>8.0910200000000002E-4</v>
      </c>
      <c r="AA5224">
        <v>0.99966659999999996</v>
      </c>
      <c r="AB5224">
        <v>21</v>
      </c>
      <c r="AC5224">
        <v>10.2538</v>
      </c>
      <c r="AD5224">
        <v>-1.111303059103</v>
      </c>
      <c r="AE5224">
        <v>0.37100999999999801</v>
      </c>
      <c r="AF5224">
        <v>-0.33054293942984603</v>
      </c>
      <c r="AG5224">
        <v>-1.111303059103</v>
      </c>
      <c r="AH5224">
        <v>10.136153493809999</v>
      </c>
      <c r="AI5224">
        <v>96.253481400731701</v>
      </c>
      <c r="AJ5224">
        <v>91.867770286676702</v>
      </c>
      <c r="AK5224">
        <v>10.202247829476301</v>
      </c>
      <c r="AL5224">
        <v>90.155899665992294</v>
      </c>
      <c r="AM5224">
        <v>95.252816114546206</v>
      </c>
      <c r="AN5224">
        <v>0.99999995706540801</v>
      </c>
    </row>
    <row r="5225" spans="1:40" x14ac:dyDescent="0.3">
      <c r="A5225" t="str">
        <f>"20200111160607158"</f>
        <v>20200111160607158</v>
      </c>
      <c r="B5225" t="str">
        <f>"1578729967147067"</f>
        <v>1578729967147067</v>
      </c>
      <c r="C5225" t="s">
        <v>40</v>
      </c>
      <c r="D5225">
        <v>4.8288399999999996</v>
      </c>
      <c r="E5225">
        <v>0.50994249999999997</v>
      </c>
      <c r="F5225" t="s">
        <v>41</v>
      </c>
      <c r="G5225">
        <v>-345.64679999999998</v>
      </c>
      <c r="H5225" s="1">
        <v>-2.231427E-6</v>
      </c>
      <c r="I5225">
        <v>17.46499</v>
      </c>
      <c r="J5225">
        <v>-358.88229999999999</v>
      </c>
      <c r="K5225">
        <v>1.1112649999999999</v>
      </c>
      <c r="L5225">
        <v>16.822510000000001</v>
      </c>
      <c r="M5225">
        <v>0.99990029999999996</v>
      </c>
      <c r="N5225">
        <v>0</v>
      </c>
      <c r="O5225">
        <v>4.293514E-3</v>
      </c>
      <c r="P5225">
        <v>0.99521950000000003</v>
      </c>
      <c r="Q5225">
        <v>-1.6051869999999999E-2</v>
      </c>
      <c r="R5225">
        <v>9.6337049999999994E-2</v>
      </c>
      <c r="S5225">
        <v>2.996216</v>
      </c>
      <c r="T5225">
        <v>-0.24943499999999999</v>
      </c>
      <c r="U5225">
        <v>0.14450070000000001</v>
      </c>
      <c r="V5225">
        <v>-9.205824E-2</v>
      </c>
      <c r="W5225">
        <v>-2.8180530000000001E-3</v>
      </c>
      <c r="X5225">
        <v>0.99574969999999996</v>
      </c>
      <c r="Y5225">
        <v>-4.374625E-2</v>
      </c>
      <c r="Z5225">
        <v>1.4601099999999999E-3</v>
      </c>
      <c r="AA5225">
        <v>0.99904159999999997</v>
      </c>
      <c r="AB5225">
        <v>21</v>
      </c>
      <c r="AC5225">
        <v>13.2355</v>
      </c>
      <c r="AD5225">
        <v>-1.111267231427</v>
      </c>
      <c r="AE5225">
        <v>0.64247999999999905</v>
      </c>
      <c r="AF5225">
        <v>-0.58155213483060697</v>
      </c>
      <c r="AG5225">
        <v>-1.111267231427</v>
      </c>
      <c r="AH5225">
        <v>13.145684504188599</v>
      </c>
      <c r="AI5225">
        <v>94.827297497448697</v>
      </c>
      <c r="AJ5225">
        <v>92.533057240563707</v>
      </c>
      <c r="AK5225">
        <v>13.205382948965701</v>
      </c>
      <c r="AL5225">
        <v>90.161462746877802</v>
      </c>
      <c r="AM5225">
        <v>95.282047930012297</v>
      </c>
      <c r="AN5225">
        <v>1.00000006301234</v>
      </c>
    </row>
    <row r="5226" spans="1:40" x14ac:dyDescent="0.3">
      <c r="A5226" t="str">
        <f>"20200111160607178"</f>
        <v>20200111160607178</v>
      </c>
      <c r="B5226" t="str">
        <f>"1578729967167562"</f>
        <v>1578729967167562</v>
      </c>
      <c r="C5226" t="s">
        <v>40</v>
      </c>
      <c r="D5226">
        <v>4.8413389999999996</v>
      </c>
      <c r="E5226">
        <v>0.51039570000000001</v>
      </c>
      <c r="F5226" t="s">
        <v>44</v>
      </c>
      <c r="G5226">
        <v>-290.86399999999998</v>
      </c>
      <c r="H5226">
        <v>-0.05</v>
      </c>
      <c r="I5226">
        <v>21.597819999999999</v>
      </c>
      <c r="J5226">
        <v>-358.69810000000001</v>
      </c>
      <c r="K5226">
        <v>1.11113</v>
      </c>
      <c r="L5226">
        <v>16.824619999999999</v>
      </c>
      <c r="M5226">
        <v>0.99990100000000004</v>
      </c>
      <c r="N5226">
        <v>0</v>
      </c>
      <c r="O5226">
        <v>5.4876319999999897E-3</v>
      </c>
      <c r="P5226">
        <v>0.99500670000000002</v>
      </c>
      <c r="Q5226">
        <v>-1.603249E-2</v>
      </c>
      <c r="R5226">
        <v>9.8512249999999996E-2</v>
      </c>
      <c r="S5226">
        <v>2.9932249999999998</v>
      </c>
      <c r="T5226">
        <v>-5.1102880000000003E-2</v>
      </c>
      <c r="U5226">
        <v>0.210144</v>
      </c>
      <c r="V5226">
        <v>-9.3044730000000006E-2</v>
      </c>
      <c r="W5226">
        <v>-3.2928570000000002E-3</v>
      </c>
      <c r="X5226">
        <v>0.99565650000000006</v>
      </c>
      <c r="Y5226">
        <v>-6.4549949999999995E-2</v>
      </c>
      <c r="Z5226">
        <v>4.5673790000000001E-4</v>
      </c>
      <c r="AA5226">
        <v>0.99791439999999998</v>
      </c>
      <c r="AB5226">
        <v>21</v>
      </c>
      <c r="AC5226">
        <v>67.834099999999907</v>
      </c>
      <c r="AD5226">
        <v>-1.16113</v>
      </c>
      <c r="AE5226">
        <v>4.7732000000000001</v>
      </c>
      <c r="AF5226">
        <v>-4.39956557403967</v>
      </c>
      <c r="AG5226">
        <v>-1.16113</v>
      </c>
      <c r="AH5226">
        <v>67.839495257859198</v>
      </c>
      <c r="AI5226">
        <v>90.978514508790099</v>
      </c>
      <c r="AJ5226">
        <v>93.710582280663601</v>
      </c>
      <c r="AK5226">
        <v>67.991922439053596</v>
      </c>
      <c r="AL5226">
        <v>90.188667146697</v>
      </c>
      <c r="AM5226">
        <v>95.338821535305897</v>
      </c>
      <c r="AN5226">
        <v>1.0000000153401201</v>
      </c>
    </row>
    <row r="5227" spans="1:40" x14ac:dyDescent="0.3">
      <c r="A5227" t="str">
        <f>"20200111160607506"</f>
        <v>20200111160607506</v>
      </c>
      <c r="B5227" t="str">
        <f>"1578729967497231"</f>
        <v>1578729967497231</v>
      </c>
      <c r="C5227" t="s">
        <v>40</v>
      </c>
      <c r="D5227">
        <v>5.1736719999999998</v>
      </c>
      <c r="E5227">
        <v>0.51026249999999995</v>
      </c>
      <c r="F5227" t="s">
        <v>44</v>
      </c>
      <c r="G5227">
        <v>-292.84739999999999</v>
      </c>
      <c r="H5227">
        <v>-0.05</v>
      </c>
      <c r="I5227">
        <v>21.513750000000002</v>
      </c>
      <c r="J5227">
        <v>-355.52480000000003</v>
      </c>
      <c r="K5227">
        <v>1.110493</v>
      </c>
      <c r="L5227">
        <v>16.891850000000002</v>
      </c>
      <c r="M5227">
        <v>0.99966659999999996</v>
      </c>
      <c r="N5227">
        <v>0</v>
      </c>
      <c r="O5227">
        <v>2.453259E-2</v>
      </c>
      <c r="P5227">
        <v>0.99318139999999999</v>
      </c>
      <c r="Q5227">
        <v>-6.8226759999999997E-3</v>
      </c>
      <c r="R5227">
        <v>0.11637939999999899</v>
      </c>
      <c r="S5227">
        <v>2.9931030000000001</v>
      </c>
      <c r="T5227">
        <v>-5.2776690000000001E-2</v>
      </c>
      <c r="U5227">
        <v>0.21313480000000001</v>
      </c>
      <c r="V5227">
        <v>-9.1980690000000004E-2</v>
      </c>
      <c r="W5227">
        <v>1.016442E-3</v>
      </c>
      <c r="X5227">
        <v>0.99576030000000004</v>
      </c>
      <c r="Y5227">
        <v>-4.6532579999999997E-2</v>
      </c>
      <c r="Z5227" s="1">
        <v>-2.218579E-5</v>
      </c>
      <c r="AA5227">
        <v>0.99891669999999999</v>
      </c>
      <c r="AB5227">
        <v>22</v>
      </c>
      <c r="AC5227">
        <v>62.677399999999999</v>
      </c>
      <c r="AD5227">
        <v>-1.160493</v>
      </c>
      <c r="AE5227">
        <v>4.6219000000000001</v>
      </c>
      <c r="AF5227">
        <v>-3.0817692791576099</v>
      </c>
      <c r="AG5227">
        <v>-1.160493</v>
      </c>
      <c r="AH5227">
        <v>62.750530017041903</v>
      </c>
      <c r="AI5227">
        <v>91.058218279141499</v>
      </c>
      <c r="AJ5227">
        <v>92.811619564884097</v>
      </c>
      <c r="AK5227">
        <v>62.836876619646503</v>
      </c>
      <c r="AL5227">
        <v>89.941762154869394</v>
      </c>
      <c r="AM5227">
        <v>95.277567597699004</v>
      </c>
      <c r="AN5227">
        <v>1.0000000277716501</v>
      </c>
    </row>
    <row r="5228" spans="1:40" x14ac:dyDescent="0.3">
      <c r="A5228" t="str">
        <f>"20200111160607527"</f>
        <v>20200111160607527</v>
      </c>
      <c r="B5228" t="str">
        <f>"1578729967517727"</f>
        <v>1578729967517727</v>
      </c>
      <c r="C5228" t="s">
        <v>40</v>
      </c>
      <c r="D5228">
        <v>5.2367730000000003</v>
      </c>
      <c r="E5228">
        <v>0.51489229999999997</v>
      </c>
      <c r="F5228" t="s">
        <v>89</v>
      </c>
      <c r="G5228">
        <v>-279.68</v>
      </c>
      <c r="H5228">
        <v>0.51114309999999996</v>
      </c>
      <c r="I5228">
        <v>23.689959999999999</v>
      </c>
      <c r="J5228">
        <v>-355.32240000000002</v>
      </c>
      <c r="K5228">
        <v>1.1105240000000001</v>
      </c>
      <c r="L5228">
        <v>16.898129999999998</v>
      </c>
      <c r="M5228">
        <v>0.99963709999999995</v>
      </c>
      <c r="N5228">
        <v>0</v>
      </c>
      <c r="O5228">
        <v>2.5743909999999998E-2</v>
      </c>
      <c r="P5228">
        <v>0.99315430000000005</v>
      </c>
      <c r="Q5228">
        <v>-5.9667740000000002E-3</v>
      </c>
      <c r="R5228">
        <v>0.116657399999999</v>
      </c>
      <c r="S5228">
        <v>2.9890439999999998</v>
      </c>
      <c r="T5228">
        <v>-2.3620249999999999E-2</v>
      </c>
      <c r="U5228">
        <v>0.26791379999999998</v>
      </c>
      <c r="V5228">
        <v>-9.1053729999999999E-2</v>
      </c>
      <c r="W5228">
        <v>1.759353E-3</v>
      </c>
      <c r="X5228">
        <v>0.99584439999999996</v>
      </c>
      <c r="Y5228">
        <v>-6.3601370000000004E-2</v>
      </c>
      <c r="Z5228" s="1">
        <v>4.7834689999999997E-5</v>
      </c>
      <c r="AA5228">
        <v>0.99797539999999996</v>
      </c>
      <c r="AB5228">
        <v>22</v>
      </c>
      <c r="AC5228">
        <v>75.642399999999995</v>
      </c>
      <c r="AD5228">
        <v>-0.59938089999999999</v>
      </c>
      <c r="AE5228">
        <v>6.79183</v>
      </c>
      <c r="AF5228">
        <v>-4.8418848633285698</v>
      </c>
      <c r="AG5228">
        <v>-0.59938089999999999</v>
      </c>
      <c r="AH5228">
        <v>75.787461599375206</v>
      </c>
      <c r="AI5228">
        <v>90.452204251496696</v>
      </c>
      <c r="AJ5228">
        <v>93.655526145643293</v>
      </c>
      <c r="AK5228">
        <v>75.944337788737002</v>
      </c>
      <c r="AL5228">
        <v>89.899196443705407</v>
      </c>
      <c r="AM5228">
        <v>95.224238542587102</v>
      </c>
      <c r="AN5228">
        <v>0.99999997304062505</v>
      </c>
    </row>
    <row r="5229" spans="1:40" x14ac:dyDescent="0.3">
      <c r="A5229" t="str">
        <f>"20200111160607539"</f>
        <v>20200111160607539</v>
      </c>
      <c r="B5229" t="str">
        <f>"1578729967527018"</f>
        <v>1578729967527018</v>
      </c>
      <c r="C5229" t="s">
        <v>40</v>
      </c>
      <c r="D5229">
        <v>5.2047639999999999</v>
      </c>
      <c r="E5229">
        <v>0.51515219999999995</v>
      </c>
      <c r="F5229" t="s">
        <v>42</v>
      </c>
      <c r="G5229">
        <v>-354.42200000000003</v>
      </c>
      <c r="H5229">
        <v>1.018281</v>
      </c>
      <c r="I5229">
        <v>16.969940000000001</v>
      </c>
      <c r="J5229">
        <v>-355.19380000000001</v>
      </c>
      <c r="K5229">
        <v>1.1105480000000001</v>
      </c>
      <c r="L5229">
        <v>16.902279999999902</v>
      </c>
      <c r="M5229">
        <v>0.99961750000000005</v>
      </c>
      <c r="N5229">
        <v>0</v>
      </c>
      <c r="O5229">
        <v>2.65139E-2</v>
      </c>
      <c r="P5229">
        <v>0.99311649999999996</v>
      </c>
      <c r="Q5229">
        <v>-5.3471350000000003E-3</v>
      </c>
      <c r="R5229">
        <v>0.117008</v>
      </c>
      <c r="S5229">
        <v>2.9906920000000001</v>
      </c>
      <c r="T5229">
        <v>-0.30651089999999998</v>
      </c>
      <c r="U5229">
        <v>0.2397156</v>
      </c>
      <c r="V5229">
        <v>-9.0639059999999994E-2</v>
      </c>
      <c r="W5229">
        <v>2.3191589999999999E-3</v>
      </c>
      <c r="X5229">
        <v>0.99588109999999996</v>
      </c>
      <c r="Y5229">
        <v>-5.3300220000000002E-2</v>
      </c>
      <c r="Z5229" s="1">
        <v>1.477124E-5</v>
      </c>
      <c r="AA5229">
        <v>0.99857850000000004</v>
      </c>
      <c r="AB5229">
        <v>22</v>
      </c>
      <c r="AC5229">
        <v>0.77180000000004101</v>
      </c>
      <c r="AD5229">
        <v>-9.2266999999999794E-2</v>
      </c>
      <c r="AE5229">
        <v>6.7660000000003606E-2</v>
      </c>
      <c r="AF5229">
        <v>-4.6512479523598799E-2</v>
      </c>
      <c r="AG5229">
        <v>-9.2266999999999794E-2</v>
      </c>
      <c r="AH5229">
        <v>0.76250822684566899</v>
      </c>
      <c r="AI5229">
        <v>96.886831193250401</v>
      </c>
      <c r="AJ5229">
        <v>93.490678083431504</v>
      </c>
      <c r="AK5229">
        <v>0.76947735902218695</v>
      </c>
      <c r="AL5229">
        <v>89.867121857038597</v>
      </c>
      <c r="AM5229">
        <v>95.200386867648106</v>
      </c>
      <c r="AN5229">
        <v>0.99999999151667995</v>
      </c>
    </row>
    <row r="5230" spans="1:40" x14ac:dyDescent="0.3">
      <c r="A5230" t="str">
        <f>"20200111160607558"</f>
        <v>20200111160607558</v>
      </c>
      <c r="B5230" t="str">
        <f>"1578729967547512"</f>
        <v>1578729967547512</v>
      </c>
      <c r="C5230" t="s">
        <v>40</v>
      </c>
      <c r="D5230">
        <v>5.2081359999999997</v>
      </c>
      <c r="E5230">
        <v>0.51557050000000004</v>
      </c>
      <c r="F5230" t="s">
        <v>41</v>
      </c>
      <c r="G5230">
        <v>-344.36340000000001</v>
      </c>
      <c r="H5230" s="1">
        <v>-2.7284669999999999E-6</v>
      </c>
      <c r="I5230">
        <v>17.766779999999901</v>
      </c>
      <c r="J5230">
        <v>-355.00209999999998</v>
      </c>
      <c r="K5230">
        <v>1.1105830000000001</v>
      </c>
      <c r="L5230">
        <v>16.908629999999999</v>
      </c>
      <c r="M5230">
        <v>0.999587</v>
      </c>
      <c r="N5230">
        <v>0</v>
      </c>
      <c r="O5230">
        <v>2.766035E-2</v>
      </c>
      <c r="P5230">
        <v>0.99306640000000002</v>
      </c>
      <c r="Q5230">
        <v>-3.2422549999999999E-3</v>
      </c>
      <c r="R5230">
        <v>0.1175104</v>
      </c>
      <c r="S5230">
        <v>2.991028</v>
      </c>
      <c r="T5230">
        <v>-0.30670069999999999</v>
      </c>
      <c r="U5230">
        <v>0.2387695</v>
      </c>
      <c r="V5230">
        <v>-9.0004959999999995E-2</v>
      </c>
      <c r="W5230">
        <v>4.3499979999999999E-3</v>
      </c>
      <c r="X5230">
        <v>0.99593180000000003</v>
      </c>
      <c r="Y5230">
        <v>-5.1845549999999997E-2</v>
      </c>
      <c r="Z5230">
        <v>-1.7646419999999899E-4</v>
      </c>
      <c r="AA5230">
        <v>0.99865510000000002</v>
      </c>
      <c r="AB5230">
        <v>22</v>
      </c>
      <c r="AC5230">
        <v>10.638699999999901</v>
      </c>
      <c r="AD5230">
        <v>-1.110585728467</v>
      </c>
      <c r="AE5230">
        <v>0.85814999999999797</v>
      </c>
      <c r="AF5230">
        <v>-0.55750637820411497</v>
      </c>
      <c r="AG5230">
        <v>-1.110585728467</v>
      </c>
      <c r="AH5230">
        <v>10.544203910930401</v>
      </c>
      <c r="AI5230">
        <v>96.004278713324297</v>
      </c>
      <c r="AJ5230">
        <v>93.026596073746802</v>
      </c>
      <c r="AK5230">
        <v>10.617177126585601</v>
      </c>
      <c r="AL5230">
        <v>89.750762683381893</v>
      </c>
      <c r="AM5230">
        <v>95.163941515391102</v>
      </c>
      <c r="AN5230">
        <v>0.99999998277921998</v>
      </c>
    </row>
    <row r="5231" spans="1:40" x14ac:dyDescent="0.3">
      <c r="A5231" t="str">
        <f>"20200111160607570"</f>
        <v>20200111160607570</v>
      </c>
      <c r="B5231" t="str">
        <f>"1578729967567033"</f>
        <v>1578729967567033</v>
      </c>
      <c r="C5231" t="s">
        <v>40</v>
      </c>
      <c r="D5231">
        <v>5.2031599999999996</v>
      </c>
      <c r="E5231">
        <v>0.51579200000000003</v>
      </c>
      <c r="F5231" t="s">
        <v>41</v>
      </c>
      <c r="G5231">
        <v>-344.0317</v>
      </c>
      <c r="H5231" s="1">
        <v>-2.8686860000000002E-6</v>
      </c>
      <c r="I5231">
        <v>17.77834</v>
      </c>
      <c r="J5231">
        <v>-354.87819999999999</v>
      </c>
      <c r="K5231">
        <v>1.110606</v>
      </c>
      <c r="L5231">
        <v>16.912870000000002</v>
      </c>
      <c r="M5231">
        <v>0.99956659999999997</v>
      </c>
      <c r="N5231">
        <v>0</v>
      </c>
      <c r="O5231">
        <v>2.8400950000000001E-2</v>
      </c>
      <c r="P5231">
        <v>0.99299300000000001</v>
      </c>
      <c r="Q5231">
        <v>-2.4221080000000001E-3</v>
      </c>
      <c r="R5231">
        <v>0.1181488</v>
      </c>
      <c r="S5231">
        <v>2.9918819999999999</v>
      </c>
      <c r="T5231">
        <v>-0.30288409999999999</v>
      </c>
      <c r="U5231">
        <v>0.23721310000000001</v>
      </c>
      <c r="V5231">
        <v>-8.9908199999999994E-2</v>
      </c>
      <c r="W5231">
        <v>5.1315240000000002E-3</v>
      </c>
      <c r="X5231">
        <v>0.99593679999999996</v>
      </c>
      <c r="Y5231">
        <v>-5.0580100000000003E-2</v>
      </c>
      <c r="Z5231">
        <v>-3.1263539999999999E-4</v>
      </c>
      <c r="AA5231">
        <v>0.99871989999999999</v>
      </c>
      <c r="AB5231">
        <v>22</v>
      </c>
      <c r="AC5231">
        <v>10.846499999999899</v>
      </c>
      <c r="AD5231">
        <v>-1.1106088686860001</v>
      </c>
      <c r="AE5231">
        <v>0.86546999999999796</v>
      </c>
      <c r="AF5231">
        <v>-0.55131706039956496</v>
      </c>
      <c r="AG5231">
        <v>-1.1106088686860001</v>
      </c>
      <c r="AH5231">
        <v>10.754662610388801</v>
      </c>
      <c r="AI5231">
        <v>95.888224777684599</v>
      </c>
      <c r="AJ5231">
        <v>92.934588953455204</v>
      </c>
      <c r="AK5231">
        <v>10.825902753285099</v>
      </c>
      <c r="AL5231">
        <v>89.705984031159502</v>
      </c>
      <c r="AM5231">
        <v>95.158394219269397</v>
      </c>
      <c r="AN5231">
        <v>0.99999996328002005</v>
      </c>
    </row>
    <row r="5232" spans="1:40" x14ac:dyDescent="0.3">
      <c r="A5232" t="str">
        <f>"20200111160607584"</f>
        <v>20200111160607584</v>
      </c>
      <c r="B5232" t="str">
        <f>"1578729967577769"</f>
        <v>1578729967577769</v>
      </c>
      <c r="C5232" t="s">
        <v>40</v>
      </c>
      <c r="D5232">
        <v>5.233892</v>
      </c>
      <c r="E5232">
        <v>0.51579149999999996</v>
      </c>
      <c r="F5232" t="s">
        <v>41</v>
      </c>
      <c r="G5232">
        <v>-343.94850000000002</v>
      </c>
      <c r="H5232" s="1">
        <v>-2.9040519999999998E-6</v>
      </c>
      <c r="I5232">
        <v>17.780279999999902</v>
      </c>
      <c r="J5232">
        <v>-354.73970000000003</v>
      </c>
      <c r="K5232">
        <v>1.1106259999999999</v>
      </c>
      <c r="L5232">
        <v>16.917660000000001</v>
      </c>
      <c r="M5232">
        <v>0.99954299999999996</v>
      </c>
      <c r="N5232">
        <v>0</v>
      </c>
      <c r="O5232">
        <v>2.922845E-2</v>
      </c>
      <c r="P5232">
        <v>0.99288430000000005</v>
      </c>
      <c r="Q5232">
        <v>-1.7288360000000001E-3</v>
      </c>
      <c r="R5232">
        <v>0.11907089999999899</v>
      </c>
      <c r="S5232">
        <v>2.9921570000000002</v>
      </c>
      <c r="T5232">
        <v>-0.30404320000000001</v>
      </c>
      <c r="U5232">
        <v>0.2374878</v>
      </c>
      <c r="V5232">
        <v>-9.0010000000000007E-2</v>
      </c>
      <c r="W5232">
        <v>5.7871650000000004E-3</v>
      </c>
      <c r="X5232">
        <v>0.99592409999999998</v>
      </c>
      <c r="Y5232">
        <v>-4.9844319999999998E-2</v>
      </c>
      <c r="Z5232">
        <v>-4.3468990000000002E-4</v>
      </c>
      <c r="AA5232">
        <v>0.99875689999999995</v>
      </c>
      <c r="AB5232">
        <v>23</v>
      </c>
      <c r="AC5232">
        <v>10.7912</v>
      </c>
      <c r="AD5232">
        <v>-1.1106289040520001</v>
      </c>
      <c r="AE5232">
        <v>0.86261999999999595</v>
      </c>
      <c r="AF5232">
        <v>-0.54113640597990598</v>
      </c>
      <c r="AG5232">
        <v>-1.1106289040520001</v>
      </c>
      <c r="AH5232">
        <v>10.699191466446001</v>
      </c>
      <c r="AI5232">
        <v>95.918847470807407</v>
      </c>
      <c r="AJ5232">
        <v>92.895399651884603</v>
      </c>
      <c r="AK5232">
        <v>10.7702842677463</v>
      </c>
      <c r="AL5232">
        <v>89.668418036584598</v>
      </c>
      <c r="AM5232">
        <v>95.164268828072593</v>
      </c>
      <c r="AN5232">
        <v>1.0000000521697701</v>
      </c>
    </row>
    <row r="5233" spans="1:40" x14ac:dyDescent="0.3">
      <c r="A5233" t="str">
        <f>"20200111160607604"</f>
        <v>20200111160607604</v>
      </c>
      <c r="B5233" t="str">
        <f>"1578729967597290"</f>
        <v>1578729967597290</v>
      </c>
      <c r="C5233" t="s">
        <v>40</v>
      </c>
      <c r="D5233">
        <v>5.2506389999999996</v>
      </c>
      <c r="E5233">
        <v>0.51578789999999997</v>
      </c>
      <c r="F5233" t="s">
        <v>42</v>
      </c>
      <c r="G5233">
        <v>-353.82400000000001</v>
      </c>
      <c r="H5233">
        <v>1.017477</v>
      </c>
      <c r="I5233">
        <v>16.99109</v>
      </c>
      <c r="J5233">
        <v>-354.54090000000002</v>
      </c>
      <c r="K5233">
        <v>1.1106549999999999</v>
      </c>
      <c r="L5233">
        <v>16.924769999999999</v>
      </c>
      <c r="M5233">
        <v>0.99950779999999995</v>
      </c>
      <c r="N5233">
        <v>0</v>
      </c>
      <c r="O5233">
        <v>3.041835E-2</v>
      </c>
      <c r="P5233">
        <v>0.99267099999999997</v>
      </c>
      <c r="Q5233" s="1">
        <v>5.4572710000000001E-5</v>
      </c>
      <c r="R5233">
        <v>0.12084930000000001</v>
      </c>
      <c r="S5233">
        <v>2.9921259999999998</v>
      </c>
      <c r="T5233">
        <v>-0.30443920000000002</v>
      </c>
      <c r="U5233">
        <v>0.240448</v>
      </c>
      <c r="V5233">
        <v>-9.061205E-2</v>
      </c>
      <c r="W5233">
        <v>7.531874E-3</v>
      </c>
      <c r="X5233">
        <v>0.99585780000000002</v>
      </c>
      <c r="Y5233">
        <v>-4.9644849999999997E-2</v>
      </c>
      <c r="Z5233">
        <v>-5.6579009999999997E-4</v>
      </c>
      <c r="AA5233">
        <v>0.99876679999999995</v>
      </c>
      <c r="AB5233">
        <v>23</v>
      </c>
      <c r="AC5233">
        <v>0.71690000000000897</v>
      </c>
      <c r="AD5233">
        <v>-9.31779999999999E-2</v>
      </c>
      <c r="AE5233">
        <v>6.6319999999997395E-2</v>
      </c>
      <c r="AF5233">
        <v>-4.3748966843085699E-2</v>
      </c>
      <c r="AG5233">
        <v>-9.31779999999999E-2</v>
      </c>
      <c r="AH5233">
        <v>0.70674778320240605</v>
      </c>
      <c r="AI5233">
        <v>97.496404370278896</v>
      </c>
      <c r="AJ5233">
        <v>93.542192693985697</v>
      </c>
      <c r="AK5233">
        <v>0.71420483115514699</v>
      </c>
      <c r="AL5233">
        <v>89.568451334272694</v>
      </c>
      <c r="AM5233">
        <v>95.198966641179197</v>
      </c>
      <c r="AN5233">
        <v>1.00000001527599</v>
      </c>
    </row>
    <row r="5234" spans="1:40" x14ac:dyDescent="0.3">
      <c r="A5234" t="str">
        <f>"20200111160607616"</f>
        <v>20200111160607616</v>
      </c>
      <c r="B5234" t="str">
        <f>"1578729967607049"</f>
        <v>1578729967607049</v>
      </c>
      <c r="C5234" t="s">
        <v>40</v>
      </c>
      <c r="D5234">
        <v>6.1708249999999998</v>
      </c>
      <c r="E5234">
        <v>0.51578789999999997</v>
      </c>
      <c r="F5234" t="s">
        <v>42</v>
      </c>
      <c r="G5234">
        <v>-353.62110000000001</v>
      </c>
      <c r="H5234">
        <v>1.017236</v>
      </c>
      <c r="I5234">
        <v>17.000119999999999</v>
      </c>
      <c r="J5234">
        <v>-354.41039999999998</v>
      </c>
      <c r="K5234">
        <v>1.1106750000000001</v>
      </c>
      <c r="L5234">
        <v>16.92963</v>
      </c>
      <c r="M5234">
        <v>0.99948380000000003</v>
      </c>
      <c r="N5234">
        <v>0</v>
      </c>
      <c r="O5234">
        <v>3.1201799999999998E-2</v>
      </c>
      <c r="P5234">
        <v>0.99256489999999997</v>
      </c>
      <c r="Q5234">
        <v>7.6766219999999997E-4</v>
      </c>
      <c r="R5234">
        <v>0.1217154</v>
      </c>
      <c r="S5234">
        <v>2.9922179999999998</v>
      </c>
      <c r="T5234">
        <v>-0.30404170000000003</v>
      </c>
      <c r="U5234">
        <v>0.2462463</v>
      </c>
      <c r="V5234">
        <v>-9.0701770000000001E-2</v>
      </c>
      <c r="W5234">
        <v>8.2280340000000004E-3</v>
      </c>
      <c r="X5234">
        <v>0.99584410000000001</v>
      </c>
      <c r="Y5234">
        <v>-5.0780680000000002E-2</v>
      </c>
      <c r="Z5234">
        <v>-5.8670320000000001E-4</v>
      </c>
      <c r="AA5234">
        <v>0.99870970000000003</v>
      </c>
      <c r="AB5234">
        <v>23</v>
      </c>
      <c r="AC5234">
        <v>0.78929999999996803</v>
      </c>
      <c r="AD5234">
        <v>-9.3438999999999994E-2</v>
      </c>
      <c r="AE5234">
        <v>7.0490000000002995E-2</v>
      </c>
      <c r="AF5234">
        <v>-4.5198953979300599E-2</v>
      </c>
      <c r="AG5234">
        <v>-9.3438999999999994E-2</v>
      </c>
      <c r="AH5234">
        <v>0.78026676334969702</v>
      </c>
      <c r="AI5234">
        <v>96.817480197924894</v>
      </c>
      <c r="AJ5234">
        <v>93.315300051753098</v>
      </c>
      <c r="AK5234">
        <v>0.78714040307306998</v>
      </c>
      <c r="AL5234">
        <v>89.528563054608099</v>
      </c>
      <c r="AM5234">
        <v>95.204157374256098</v>
      </c>
      <c r="AN5234">
        <v>0.99999999156472397</v>
      </c>
    </row>
    <row r="5235" spans="1:40" x14ac:dyDescent="0.3">
      <c r="A5235" t="str">
        <f>"20200111160607629"</f>
        <v>20200111160607629</v>
      </c>
      <c r="B5235" t="str">
        <f>"1578729967617785"</f>
        <v>1578729967617785</v>
      </c>
      <c r="C5235" t="s">
        <v>40</v>
      </c>
      <c r="D5235">
        <v>5.2673420000000002</v>
      </c>
      <c r="E5235">
        <v>0.51564979999999905</v>
      </c>
      <c r="F5235" t="s">
        <v>41</v>
      </c>
      <c r="G5235">
        <v>-343.40269999999998</v>
      </c>
      <c r="H5235" s="1">
        <v>-3.1266249999999999E-6</v>
      </c>
      <c r="I5235">
        <v>17.84554</v>
      </c>
      <c r="J5235">
        <v>-354.29419999999999</v>
      </c>
      <c r="K5235">
        <v>1.110692</v>
      </c>
      <c r="L5235">
        <v>16.933989999999898</v>
      </c>
      <c r="M5235">
        <v>0.99946179999999996</v>
      </c>
      <c r="N5235">
        <v>0</v>
      </c>
      <c r="O5235">
        <v>3.1900669999999999E-2</v>
      </c>
      <c r="P5235">
        <v>0.99241729999999995</v>
      </c>
      <c r="Q5235">
        <v>1.9169009999999999E-3</v>
      </c>
      <c r="R5235">
        <v>0.1229008</v>
      </c>
      <c r="S5235">
        <v>2.9921880000000001</v>
      </c>
      <c r="T5235">
        <v>-0.30191240000000003</v>
      </c>
      <c r="U5235">
        <v>0.24899289999999999</v>
      </c>
      <c r="V5235">
        <v>-9.1197550000000002E-2</v>
      </c>
      <c r="W5235">
        <v>9.3628649999999997E-3</v>
      </c>
      <c r="X5235">
        <v>0.99578880000000003</v>
      </c>
      <c r="Y5235">
        <v>-5.0997519999999998E-2</v>
      </c>
      <c r="Z5235">
        <v>-6.4184120000000005E-4</v>
      </c>
      <c r="AA5235">
        <v>0.99869859999999999</v>
      </c>
      <c r="AB5235">
        <v>23</v>
      </c>
      <c r="AC5235">
        <v>10.891500000000001</v>
      </c>
      <c r="AD5235">
        <v>-1.110695126625</v>
      </c>
      <c r="AE5235">
        <v>0.91155000000000197</v>
      </c>
      <c r="AF5235">
        <v>-0.557868507538271</v>
      </c>
      <c r="AG5235">
        <v>-1.110695126625</v>
      </c>
      <c r="AH5235">
        <v>10.803466654916001</v>
      </c>
      <c r="AI5235">
        <v>95.862150822919702</v>
      </c>
      <c r="AJ5235">
        <v>92.956009161707399</v>
      </c>
      <c r="AK5235">
        <v>10.8747300058389</v>
      </c>
      <c r="AL5235">
        <v>89.463539510648204</v>
      </c>
      <c r="AM5235">
        <v>95.2327350290563</v>
      </c>
      <c r="AN5235">
        <v>0.99999999528622496</v>
      </c>
    </row>
    <row r="5236" spans="1:40" x14ac:dyDescent="0.3">
      <c r="A5236" t="str">
        <f>"20200111160607647"</f>
        <v>20200111160607647</v>
      </c>
      <c r="B5236" t="str">
        <f>"1578729967637814"</f>
        <v>1578729967637814</v>
      </c>
      <c r="C5236" t="s">
        <v>40</v>
      </c>
      <c r="D5236">
        <v>6.2423320000000002</v>
      </c>
      <c r="E5236">
        <v>0.51571429999999996</v>
      </c>
      <c r="F5236" t="s">
        <v>41</v>
      </c>
      <c r="G5236">
        <v>-342.63720000000001</v>
      </c>
      <c r="H5236" s="1">
        <v>-3.4415800000000001E-6</v>
      </c>
      <c r="I5236">
        <v>17.921320000000001</v>
      </c>
      <c r="J5236">
        <v>-354.09879999999998</v>
      </c>
      <c r="K5236">
        <v>1.1107209999999901</v>
      </c>
      <c r="L5236">
        <v>16.94153</v>
      </c>
      <c r="M5236">
        <v>0.99942330000000001</v>
      </c>
      <c r="N5236">
        <v>0</v>
      </c>
      <c r="O5236">
        <v>3.3085410000000003E-2</v>
      </c>
      <c r="P5236">
        <v>0.99217390000000005</v>
      </c>
      <c r="Q5236">
        <v>3.5986360000000001E-3</v>
      </c>
      <c r="R5236">
        <v>0.1248117</v>
      </c>
      <c r="S5236">
        <v>2.9920960000000001</v>
      </c>
      <c r="T5236">
        <v>-0.28509069999999997</v>
      </c>
      <c r="U5236">
        <v>0.25344850000000002</v>
      </c>
      <c r="V5236">
        <v>-9.1938590000000001E-2</v>
      </c>
      <c r="W5236">
        <v>1.1026940000000001E-2</v>
      </c>
      <c r="X5236">
        <v>0.99570360000000002</v>
      </c>
      <c r="Y5236">
        <v>-5.13073E-2</v>
      </c>
      <c r="Z5236">
        <v>-7.0381929999999897E-4</v>
      </c>
      <c r="AA5236">
        <v>0.99868270000000003</v>
      </c>
      <c r="AB5236">
        <v>23</v>
      </c>
      <c r="AC5236">
        <v>11.461599999999899</v>
      </c>
      <c r="AD5236">
        <v>-1.1107244415799999</v>
      </c>
      <c r="AE5236">
        <v>0.97979000000000105</v>
      </c>
      <c r="AF5236">
        <v>-0.59448827804910498</v>
      </c>
      <c r="AG5236">
        <v>-1.1107244415799999</v>
      </c>
      <c r="AH5236">
        <v>11.381630422564401</v>
      </c>
      <c r="AI5236">
        <v>95.566260817269097</v>
      </c>
      <c r="AJ5236">
        <v>92.989970932219293</v>
      </c>
      <c r="AK5236">
        <v>11.451141260752401</v>
      </c>
      <c r="AL5236">
        <v>89.368190058977206</v>
      </c>
      <c r="AM5236">
        <v>95.275464358208296</v>
      </c>
      <c r="AN5236">
        <v>0.99999997839495502</v>
      </c>
    </row>
    <row r="5237" spans="1:40" x14ac:dyDescent="0.3">
      <c r="A5237" t="str">
        <f>"20200111160607659"</f>
        <v>20200111160607659</v>
      </c>
      <c r="B5237" t="str">
        <f>"1578729967647575"</f>
        <v>1578729967647575</v>
      </c>
      <c r="C5237" t="s">
        <v>40</v>
      </c>
      <c r="D5237">
        <v>5.3050179999999996</v>
      </c>
      <c r="E5237">
        <v>0.51693270000000002</v>
      </c>
      <c r="F5237" t="s">
        <v>41</v>
      </c>
      <c r="G5237">
        <v>-342.31699999999898</v>
      </c>
      <c r="H5237" s="1">
        <v>-3.5720339999999999E-6</v>
      </c>
      <c r="I5237">
        <v>17.960319999999999</v>
      </c>
      <c r="J5237">
        <v>-353.97469999999998</v>
      </c>
      <c r="K5237">
        <v>1.1107419999999999</v>
      </c>
      <c r="L5237">
        <v>16.946439999999999</v>
      </c>
      <c r="M5237">
        <v>0.99939789999999995</v>
      </c>
      <c r="N5237">
        <v>0</v>
      </c>
      <c r="O5237">
        <v>3.3848070000000001E-2</v>
      </c>
      <c r="P5237">
        <v>0.99201709999999999</v>
      </c>
      <c r="Q5237">
        <v>4.3916739999999999E-3</v>
      </c>
      <c r="R5237">
        <v>0.12602830000000001</v>
      </c>
      <c r="S5237">
        <v>2.9921570000000002</v>
      </c>
      <c r="T5237">
        <v>-0.28208450000000002</v>
      </c>
      <c r="U5237">
        <v>0.2587585</v>
      </c>
      <c r="V5237">
        <v>-9.2401609999999995E-2</v>
      </c>
      <c r="W5237">
        <v>1.1811759999999999E-2</v>
      </c>
      <c r="X5237">
        <v>0.99565179999999998</v>
      </c>
      <c r="Y5237">
        <v>-5.2303599999999902E-2</v>
      </c>
      <c r="Z5237">
        <v>-7.2109769999999999E-4</v>
      </c>
      <c r="AA5237">
        <v>0.99863089999999999</v>
      </c>
      <c r="AB5237">
        <v>23</v>
      </c>
      <c r="AC5237">
        <v>11.6577</v>
      </c>
      <c r="AD5237">
        <v>-1.110745572034</v>
      </c>
      <c r="AE5237">
        <v>1.0138799999999999</v>
      </c>
      <c r="AF5237">
        <v>-0.61317212716568503</v>
      </c>
      <c r="AG5237">
        <v>-1.110745572034</v>
      </c>
      <c r="AH5237">
        <v>11.580992321158501</v>
      </c>
      <c r="AI5237">
        <v>95.470926200297896</v>
      </c>
      <c r="AJ5237">
        <v>93.0307766538549</v>
      </c>
      <c r="AK5237">
        <v>11.650284070616401</v>
      </c>
      <c r="AL5237">
        <v>89.323220293399501</v>
      </c>
      <c r="AM5237">
        <v>95.302155822121605</v>
      </c>
      <c r="AN5237">
        <v>1.0000000410240599</v>
      </c>
    </row>
    <row r="5238" spans="1:40" x14ac:dyDescent="0.3">
      <c r="A5238" t="str">
        <f>"20200111160607670"</f>
        <v>20200111160607670</v>
      </c>
      <c r="B5238" t="str">
        <f>"1578729967667095"</f>
        <v>1578729967667095</v>
      </c>
      <c r="C5238" t="s">
        <v>40</v>
      </c>
      <c r="D5238">
        <v>5.3275639999999997</v>
      </c>
      <c r="E5238">
        <v>0.51604799999999995</v>
      </c>
      <c r="F5238" t="s">
        <v>90</v>
      </c>
      <c r="G5238">
        <v>-275.9982</v>
      </c>
      <c r="H5238">
        <v>3.658963</v>
      </c>
      <c r="I5238">
        <v>23.239550000000001</v>
      </c>
      <c r="J5238">
        <v>-353.86189999999999</v>
      </c>
      <c r="K5238">
        <v>1.1107640000000001</v>
      </c>
      <c r="L5238">
        <v>16.95102</v>
      </c>
      <c r="M5238">
        <v>0.99937370000000003</v>
      </c>
      <c r="N5238">
        <v>0</v>
      </c>
      <c r="O5238">
        <v>3.4552800000000002E-2</v>
      </c>
      <c r="P5238">
        <v>0.99186549999999996</v>
      </c>
      <c r="Q5238">
        <v>5.7028740000000001E-3</v>
      </c>
      <c r="R5238">
        <v>0.12716369999999999</v>
      </c>
      <c r="S5238">
        <v>2.99295</v>
      </c>
      <c r="T5238">
        <v>9.7807649999999996E-2</v>
      </c>
      <c r="U5238">
        <v>0.2415466</v>
      </c>
      <c r="V5238">
        <v>-9.2842590000000003E-2</v>
      </c>
      <c r="W5238">
        <v>1.311819E-2</v>
      </c>
      <c r="X5238">
        <v>0.99559439999999999</v>
      </c>
      <c r="Y5238">
        <v>-4.5947729999999999E-2</v>
      </c>
      <c r="Z5238">
        <v>3.7715030000000003E-4</v>
      </c>
      <c r="AA5238">
        <v>0.99894369999999999</v>
      </c>
      <c r="AB5238">
        <v>23</v>
      </c>
      <c r="AC5238">
        <v>77.863699999999994</v>
      </c>
      <c r="AD5238">
        <v>2.5481989999999901</v>
      </c>
      <c r="AE5238">
        <v>6.2885299999999997</v>
      </c>
      <c r="AF5238">
        <v>-3.59046690343258</v>
      </c>
      <c r="AG5238">
        <v>2.5481989999999901</v>
      </c>
      <c r="AH5238">
        <v>77.951549036435395</v>
      </c>
      <c r="AI5238">
        <v>88.129676519449504</v>
      </c>
      <c r="AJ5238">
        <v>92.637193321190793</v>
      </c>
      <c r="AK5238">
        <v>78.075788615345004</v>
      </c>
      <c r="AL5238">
        <v>89.248361535303601</v>
      </c>
      <c r="AM5238">
        <v>95.327620107081898</v>
      </c>
      <c r="AN5238">
        <v>1.0000000213690701</v>
      </c>
    </row>
    <row r="5239" spans="1:40" x14ac:dyDescent="0.3">
      <c r="A5239" t="str">
        <f>"20200111160607685"</f>
        <v>20200111160607685</v>
      </c>
      <c r="B5239" t="str">
        <f>"1578729967677831"</f>
        <v>1578729967677831</v>
      </c>
      <c r="C5239" t="s">
        <v>40</v>
      </c>
      <c r="D5239">
        <v>6.1182480000000004</v>
      </c>
      <c r="E5239">
        <v>0.51442399999999999</v>
      </c>
      <c r="F5239" t="s">
        <v>44</v>
      </c>
      <c r="G5239">
        <v>-309.80959999999999</v>
      </c>
      <c r="H5239">
        <v>-0.05</v>
      </c>
      <c r="I5239">
        <v>20.740549999999999</v>
      </c>
      <c r="J5239">
        <v>-353.71170000000001</v>
      </c>
      <c r="K5239">
        <v>1.110798</v>
      </c>
      <c r="L5239">
        <v>16.957179999999902</v>
      </c>
      <c r="M5239">
        <v>0.99934040000000002</v>
      </c>
      <c r="N5239">
        <v>0</v>
      </c>
      <c r="O5239">
        <v>3.5503319999999998E-2</v>
      </c>
      <c r="P5239">
        <v>0.9917028</v>
      </c>
      <c r="Q5239">
        <v>7.0736180000000003E-3</v>
      </c>
      <c r="R5239">
        <v>0.128358</v>
      </c>
      <c r="S5239">
        <v>2.992035</v>
      </c>
      <c r="T5239">
        <v>-7.8839060000000002E-2</v>
      </c>
      <c r="U5239">
        <v>0.25738529999999998</v>
      </c>
      <c r="V5239">
        <v>-9.3098130000000001E-2</v>
      </c>
      <c r="W5239">
        <v>1.4485629999999999E-2</v>
      </c>
      <c r="X5239">
        <v>0.99555159999999998</v>
      </c>
      <c r="Y5239">
        <v>-5.0274100000000002E-2</v>
      </c>
      <c r="Z5239">
        <v>-2.7212159999999999E-4</v>
      </c>
      <c r="AA5239">
        <v>0.99873540000000005</v>
      </c>
      <c r="AB5239">
        <v>23</v>
      </c>
      <c r="AC5239">
        <v>43.902099999999997</v>
      </c>
      <c r="AD5239">
        <v>-1.160798</v>
      </c>
      <c r="AE5239">
        <v>3.7833700000000001</v>
      </c>
      <c r="AF5239">
        <v>-2.2207278629939</v>
      </c>
      <c r="AG5239">
        <v>-1.160798</v>
      </c>
      <c r="AH5239">
        <v>43.978228014994002</v>
      </c>
      <c r="AI5239">
        <v>91.510038426147005</v>
      </c>
      <c r="AJ5239">
        <v>92.890756597477505</v>
      </c>
      <c r="AK5239">
        <v>44.049558721706703</v>
      </c>
      <c r="AL5239">
        <v>89.170005543589198</v>
      </c>
      <c r="AM5239">
        <v>95.342427467547097</v>
      </c>
      <c r="AN5239">
        <v>1.00000004177427</v>
      </c>
    </row>
    <row r="5240" spans="1:40" x14ac:dyDescent="0.3">
      <c r="A5240" t="str">
        <f>"20200111160607704"</f>
        <v>20200111160607704</v>
      </c>
      <c r="B5240" t="str">
        <f>"1578729967697351"</f>
        <v>1578729967697351</v>
      </c>
      <c r="C5240" t="s">
        <v>40</v>
      </c>
      <c r="D5240">
        <v>5.3445600000000004</v>
      </c>
      <c r="E5240">
        <v>0.51508199999999904</v>
      </c>
      <c r="F5240" t="s">
        <v>44</v>
      </c>
      <c r="G5240">
        <v>-284.06599999999997</v>
      </c>
      <c r="H5240">
        <v>-0.05</v>
      </c>
      <c r="I5240">
        <v>23.319669999999999</v>
      </c>
      <c r="J5240">
        <v>-353.51620000000003</v>
      </c>
      <c r="K5240">
        <v>1.1108469999999999</v>
      </c>
      <c r="L5240">
        <v>16.965520000000001</v>
      </c>
      <c r="M5240">
        <v>0.99929400000000002</v>
      </c>
      <c r="N5240">
        <v>0</v>
      </c>
      <c r="O5240">
        <v>3.6785760000000001E-2</v>
      </c>
      <c r="P5240">
        <v>0.99144909999999997</v>
      </c>
      <c r="Q5240">
        <v>1.006843E-2</v>
      </c>
      <c r="R5240">
        <v>0.1301052</v>
      </c>
      <c r="S5240">
        <v>2.9901119999999999</v>
      </c>
      <c r="T5240">
        <v>-4.9836749999999999E-2</v>
      </c>
      <c r="U5240">
        <v>0.27316279999999998</v>
      </c>
      <c r="V5240">
        <v>-9.3584020000000004E-2</v>
      </c>
      <c r="W5240">
        <v>1.7481219999999999E-2</v>
      </c>
      <c r="X5240">
        <v>0.99545790000000001</v>
      </c>
      <c r="Y5240">
        <v>-5.4278270000000003E-2</v>
      </c>
      <c r="Z5240">
        <v>-1.6009499999999999E-4</v>
      </c>
      <c r="AA5240">
        <v>0.99852589999999997</v>
      </c>
      <c r="AB5240">
        <v>23</v>
      </c>
      <c r="AC5240">
        <v>69.450199999999995</v>
      </c>
      <c r="AD5240">
        <v>-1.160847</v>
      </c>
      <c r="AE5240">
        <v>6.3541499999999997</v>
      </c>
      <c r="AF5240">
        <v>-3.79394505270891</v>
      </c>
      <c r="AG5240">
        <v>-1.160847</v>
      </c>
      <c r="AH5240">
        <v>69.617652009843297</v>
      </c>
      <c r="AI5240">
        <v>90.953880927182198</v>
      </c>
      <c r="AJ5240">
        <v>93.119355778955693</v>
      </c>
      <c r="AK5240">
        <v>69.730617781459699</v>
      </c>
      <c r="AL5240">
        <v>88.998348848826097</v>
      </c>
      <c r="AM5240">
        <v>95.370650154296797</v>
      </c>
      <c r="AN5240">
        <v>0.99999999626222902</v>
      </c>
    </row>
    <row r="5241" spans="1:40" x14ac:dyDescent="0.3">
      <c r="A5241" t="str">
        <f>"20200111160607715"</f>
        <v>20200111160607715</v>
      </c>
      <c r="B5241" t="str">
        <f>"1578729967707111"</f>
        <v>1578729967707111</v>
      </c>
      <c r="C5241" t="s">
        <v>40</v>
      </c>
      <c r="D5241">
        <v>7.9644639999999898</v>
      </c>
      <c r="E5241">
        <v>0.51526549999999904</v>
      </c>
      <c r="F5241" t="s">
        <v>89</v>
      </c>
      <c r="G5241">
        <v>-279.68</v>
      </c>
      <c r="H5241">
        <v>0.4348822</v>
      </c>
      <c r="I5241">
        <v>23.705089999999998</v>
      </c>
      <c r="J5241">
        <v>-353.38889999999998</v>
      </c>
      <c r="K5241">
        <v>1.1108880000000001</v>
      </c>
      <c r="L5241">
        <v>16.971129999999999</v>
      </c>
      <c r="M5241">
        <v>0.99926139999999997</v>
      </c>
      <c r="N5241">
        <v>0</v>
      </c>
      <c r="O5241">
        <v>3.765305E-2</v>
      </c>
      <c r="P5241">
        <v>0.99132989999999999</v>
      </c>
      <c r="Q5241">
        <v>1.1216210000000001E-2</v>
      </c>
      <c r="R5241">
        <v>0.13091659999999999</v>
      </c>
      <c r="S5241">
        <v>2.990326</v>
      </c>
      <c r="T5241">
        <v>-2.7376060000000001E-2</v>
      </c>
      <c r="U5241">
        <v>0.2729492</v>
      </c>
      <c r="V5241">
        <v>-9.3538869999999996E-2</v>
      </c>
      <c r="W5241">
        <v>1.8635929999999998E-2</v>
      </c>
      <c r="X5241">
        <v>0.99544120000000003</v>
      </c>
      <c r="Y5241">
        <v>-5.3336149999999999E-2</v>
      </c>
      <c r="Z5241">
        <v>-1.001571E-4</v>
      </c>
      <c r="AA5241">
        <v>0.99857660000000004</v>
      </c>
      <c r="AB5241">
        <v>23</v>
      </c>
      <c r="AC5241">
        <v>73.7088999999999</v>
      </c>
      <c r="AD5241">
        <v>-0.67600579999999899</v>
      </c>
      <c r="AE5241">
        <v>6.7339599999999997</v>
      </c>
      <c r="AF5241">
        <v>-3.9534080649359402</v>
      </c>
      <c r="AG5241">
        <v>-0.67600579999999899</v>
      </c>
      <c r="AH5241">
        <v>73.904024706557706</v>
      </c>
      <c r="AI5241">
        <v>90.523326092252006</v>
      </c>
      <c r="AJ5241">
        <v>93.062051154334199</v>
      </c>
      <c r="AK5241">
        <v>74.012777862994895</v>
      </c>
      <c r="AL5241">
        <v>88.9321780492957</v>
      </c>
      <c r="AM5241">
        <v>95.368163733028396</v>
      </c>
      <c r="AN5241">
        <v>1.0000000003726399</v>
      </c>
    </row>
    <row r="5242" spans="1:40" x14ac:dyDescent="0.3">
      <c r="A5242" t="str">
        <f>"20200111160607729"</f>
        <v>20200111160607729</v>
      </c>
      <c r="B5242" t="str">
        <f>"1578729967717847"</f>
        <v>1578729967717847</v>
      </c>
      <c r="C5242" t="s">
        <v>40</v>
      </c>
      <c r="D5242">
        <v>5.3289099999999996</v>
      </c>
      <c r="E5242">
        <v>0.51482079999999997</v>
      </c>
      <c r="F5242" t="s">
        <v>89</v>
      </c>
      <c r="G5242">
        <v>-279.68</v>
      </c>
      <c r="H5242">
        <v>0.61311709999999997</v>
      </c>
      <c r="I5242">
        <v>23.722480000000001</v>
      </c>
      <c r="J5242">
        <v>-353.26060000000001</v>
      </c>
      <c r="K5242">
        <v>1.11093</v>
      </c>
      <c r="L5242">
        <v>16.976870000000002</v>
      </c>
      <c r="M5242">
        <v>0.99922750000000005</v>
      </c>
      <c r="N5242">
        <v>0</v>
      </c>
      <c r="O5242">
        <v>3.8540650000000003E-2</v>
      </c>
      <c r="P5242">
        <v>0.9911972</v>
      </c>
      <c r="Q5242">
        <v>1.1950000000000001E-2</v>
      </c>
      <c r="R5242">
        <v>0.1318529</v>
      </c>
      <c r="S5242">
        <v>2.9902950000000001</v>
      </c>
      <c r="T5242">
        <v>-2.0193929999999999E-2</v>
      </c>
      <c r="U5242">
        <v>0.27389530000000001</v>
      </c>
      <c r="V5242">
        <v>-9.3598780000000006E-2</v>
      </c>
      <c r="W5242">
        <v>1.937823E-2</v>
      </c>
      <c r="X5242">
        <v>0.99542140000000001</v>
      </c>
      <c r="Y5242">
        <v>-5.276368E-2</v>
      </c>
      <c r="Z5242" s="1">
        <v>-8.1783100000000006E-5</v>
      </c>
      <c r="AA5242">
        <v>0.99860700000000002</v>
      </c>
      <c r="AB5242">
        <v>23</v>
      </c>
      <c r="AC5242">
        <v>73.580600000000004</v>
      </c>
      <c r="AD5242">
        <v>-0.4978129</v>
      </c>
      <c r="AE5242">
        <v>6.7456099999999903</v>
      </c>
      <c r="AF5242">
        <v>-3.90449286713068</v>
      </c>
      <c r="AG5242">
        <v>-0.4978129</v>
      </c>
      <c r="AH5242">
        <v>73.782567619051605</v>
      </c>
      <c r="AI5242">
        <v>90.386030119484204</v>
      </c>
      <c r="AJ5242">
        <v>93.0292044894898</v>
      </c>
      <c r="AK5242">
        <v>73.887483153053793</v>
      </c>
      <c r="AL5242">
        <v>88.889639712303094</v>
      </c>
      <c r="AM5242">
        <v>95.371688064159301</v>
      </c>
      <c r="AN5242">
        <v>1.00000000549669</v>
      </c>
    </row>
    <row r="5243" spans="1:40" x14ac:dyDescent="0.3">
      <c r="A5243" t="str">
        <f>"20200111160607742"</f>
        <v>20200111160607742</v>
      </c>
      <c r="B5243" t="str">
        <f>"1578729967737367"</f>
        <v>1578729967737367</v>
      </c>
      <c r="C5243" t="s">
        <v>40</v>
      </c>
      <c r="D5243">
        <v>5.2926789999999997</v>
      </c>
      <c r="E5243">
        <v>0.5149724</v>
      </c>
      <c r="F5243" t="s">
        <v>89</v>
      </c>
      <c r="G5243">
        <v>-279.68</v>
      </c>
      <c r="H5243">
        <v>0.5199686</v>
      </c>
      <c r="I5243">
        <v>23.881710000000002</v>
      </c>
      <c r="J5243">
        <v>-353.12189999999998</v>
      </c>
      <c r="K5243">
        <v>1.1109719999999901</v>
      </c>
      <c r="L5243">
        <v>16.983250000000002</v>
      </c>
      <c r="M5243">
        <v>0.99918910000000005</v>
      </c>
      <c r="N5243">
        <v>0</v>
      </c>
      <c r="O5243">
        <v>3.9518980000000002E-2</v>
      </c>
      <c r="P5243">
        <v>0.99107109999999998</v>
      </c>
      <c r="Q5243">
        <v>1.2365009999999999E-2</v>
      </c>
      <c r="R5243">
        <v>0.132760299999999</v>
      </c>
      <c r="S5243">
        <v>2.9896240000000001</v>
      </c>
      <c r="T5243">
        <v>-2.4011020000000001E-2</v>
      </c>
      <c r="U5243">
        <v>0.28054810000000002</v>
      </c>
      <c r="V5243">
        <v>-9.3538170000000004E-2</v>
      </c>
      <c r="W5243">
        <v>1.980587E-2</v>
      </c>
      <c r="X5243">
        <v>0.99541869999999999</v>
      </c>
      <c r="Y5243">
        <v>-5.4009389999999997E-2</v>
      </c>
      <c r="Z5243">
        <v>-1.000871E-4</v>
      </c>
      <c r="AA5243">
        <v>0.99854039999999999</v>
      </c>
      <c r="AB5243">
        <v>23</v>
      </c>
      <c r="AC5243">
        <v>73.441899999999904</v>
      </c>
      <c r="AD5243">
        <v>-0.59100339999999896</v>
      </c>
      <c r="AE5243">
        <v>6.89846</v>
      </c>
      <c r="AF5243">
        <v>-3.99037942228225</v>
      </c>
      <c r="AG5243">
        <v>-0.59100339999999896</v>
      </c>
      <c r="AH5243">
        <v>73.652425589845805</v>
      </c>
      <c r="AI5243">
        <v>90.459070940920498</v>
      </c>
      <c r="AJ5243">
        <v>93.101168615845694</v>
      </c>
      <c r="AK5243">
        <v>73.762810468557603</v>
      </c>
      <c r="AL5243">
        <v>88.865133063385898</v>
      </c>
      <c r="AM5243">
        <v>95.368244424764995</v>
      </c>
      <c r="AN5243">
        <v>1.00000002502154</v>
      </c>
    </row>
    <row r="5244" spans="1:40" x14ac:dyDescent="0.3">
      <c r="A5244" t="str">
        <f>"20200111160607760"</f>
        <v>20200111160607760</v>
      </c>
      <c r="B5244" t="str">
        <f>"1578729967757863"</f>
        <v>1578729967757863</v>
      </c>
      <c r="C5244" t="s">
        <v>40</v>
      </c>
      <c r="D5244">
        <v>5.2928879999999996</v>
      </c>
      <c r="E5244">
        <v>0.51549719999999999</v>
      </c>
      <c r="F5244" t="s">
        <v>89</v>
      </c>
      <c r="G5244">
        <v>-279.68</v>
      </c>
      <c r="H5244">
        <v>8.2098249999999998E-2</v>
      </c>
      <c r="I5244">
        <v>23.932729999999999</v>
      </c>
      <c r="J5244">
        <v>-352.94310000000002</v>
      </c>
      <c r="K5244">
        <v>1.11102099999999</v>
      </c>
      <c r="L5244">
        <v>16.99173</v>
      </c>
      <c r="M5244">
        <v>0.99913669999999999</v>
      </c>
      <c r="N5244">
        <v>0</v>
      </c>
      <c r="O5244">
        <v>4.0818340000000002E-2</v>
      </c>
      <c r="P5244">
        <v>0.99100220000000006</v>
      </c>
      <c r="Q5244">
        <v>1.0636970000000001E-2</v>
      </c>
      <c r="R5244">
        <v>0.13342200000000001</v>
      </c>
      <c r="S5244">
        <v>2.989655</v>
      </c>
      <c r="T5244">
        <v>-4.1882990000000002E-2</v>
      </c>
      <c r="U5244">
        <v>0.28289789999999998</v>
      </c>
      <c r="V5244">
        <v>-9.2905150000000006E-2</v>
      </c>
      <c r="W5244">
        <v>1.810339E-2</v>
      </c>
      <c r="X5244">
        <v>0.99551040000000002</v>
      </c>
      <c r="Y5244">
        <v>-5.3487050000000001E-2</v>
      </c>
      <c r="Z5244">
        <v>-1.96353E-4</v>
      </c>
      <c r="AA5244">
        <v>0.99856849999999997</v>
      </c>
      <c r="AB5244">
        <v>23</v>
      </c>
      <c r="AC5244">
        <v>73.263099999999994</v>
      </c>
      <c r="AD5244">
        <v>-1.02892274999999</v>
      </c>
      <c r="AE5244">
        <v>6.9409999999999901</v>
      </c>
      <c r="AF5244">
        <v>-3.9438765240424498</v>
      </c>
      <c r="AG5244">
        <v>-1.02892274999999</v>
      </c>
      <c r="AH5244">
        <v>73.471003785376794</v>
      </c>
      <c r="AI5244">
        <v>90.801191469217201</v>
      </c>
      <c r="AJ5244">
        <v>93.072651832612607</v>
      </c>
      <c r="AK5244">
        <v>73.583974079232803</v>
      </c>
      <c r="AL5244">
        <v>88.962695522202793</v>
      </c>
      <c r="AM5244">
        <v>95.331636580122506</v>
      </c>
      <c r="AN5244">
        <v>1.00000002806708</v>
      </c>
    </row>
    <row r="5245" spans="1:40" x14ac:dyDescent="0.3">
      <c r="A5245" t="str">
        <f>"20200111160607774"</f>
        <v>20200111160607774</v>
      </c>
      <c r="B5245" t="str">
        <f>"1578729967767622"</f>
        <v>1578729967767622</v>
      </c>
      <c r="C5245" t="s">
        <v>40</v>
      </c>
      <c r="D5245">
        <v>6.1578929999999996</v>
      </c>
      <c r="E5245">
        <v>0.51565139999999998</v>
      </c>
      <c r="F5245" t="s">
        <v>44</v>
      </c>
      <c r="G5245">
        <v>-312.75959999999998</v>
      </c>
      <c r="H5245">
        <v>-0.05</v>
      </c>
      <c r="I5245">
        <v>20.7881</v>
      </c>
      <c r="J5245">
        <v>-352.79669999999999</v>
      </c>
      <c r="K5245">
        <v>1.1110519999999999</v>
      </c>
      <c r="L5245">
        <v>16.998899999999999</v>
      </c>
      <c r="M5245">
        <v>0.99909159999999997</v>
      </c>
      <c r="N5245">
        <v>0</v>
      </c>
      <c r="O5245">
        <v>4.1903700000000002E-2</v>
      </c>
      <c r="P5245">
        <v>0.99094450000000001</v>
      </c>
      <c r="Q5245">
        <v>9.2811209999999998E-3</v>
      </c>
      <c r="R5245">
        <v>0.13395219999999999</v>
      </c>
      <c r="S5245">
        <v>2.9902039999999999</v>
      </c>
      <c r="T5245">
        <v>-8.6395860000000005E-2</v>
      </c>
      <c r="U5245">
        <v>0.28250120000000001</v>
      </c>
      <c r="V5245">
        <v>-9.2353290000000005E-2</v>
      </c>
      <c r="W5245">
        <v>1.6772260000000001E-2</v>
      </c>
      <c r="X5245">
        <v>0.99558500000000005</v>
      </c>
      <c r="Y5245">
        <v>-5.2250659999999997E-2</v>
      </c>
      <c r="Z5245">
        <v>-4.5395240000000001E-4</v>
      </c>
      <c r="AA5245">
        <v>0.99863389999999996</v>
      </c>
      <c r="AB5245">
        <v>23</v>
      </c>
      <c r="AC5245">
        <v>40.037100000000002</v>
      </c>
      <c r="AD5245">
        <v>-1.161052</v>
      </c>
      <c r="AE5245">
        <v>3.7892000000000001</v>
      </c>
      <c r="AF5245">
        <v>-2.1063629130133501</v>
      </c>
      <c r="AG5245">
        <v>-1.161052</v>
      </c>
      <c r="AH5245">
        <v>40.127271672390997</v>
      </c>
      <c r="AI5245">
        <v>91.655069913620295</v>
      </c>
      <c r="AJ5245">
        <v>93.004815340787204</v>
      </c>
      <c r="AK5245">
        <v>40.1992877839632</v>
      </c>
      <c r="AL5245">
        <v>89.038975194964706</v>
      </c>
      <c r="AM5245">
        <v>95.299752476547894</v>
      </c>
      <c r="AN5245">
        <v>0.99999996555216497</v>
      </c>
    </row>
    <row r="5246" spans="1:40" x14ac:dyDescent="0.3">
      <c r="A5246" t="str">
        <f>"20200111160607788"</f>
        <v>20200111160607788</v>
      </c>
      <c r="B5246" t="str">
        <f>"1578729967777382"</f>
        <v>1578729967777382</v>
      </c>
      <c r="C5246" t="s">
        <v>40</v>
      </c>
      <c r="D5246">
        <v>5.3079919999999996</v>
      </c>
      <c r="E5246">
        <v>0.51592249999999995</v>
      </c>
      <c r="F5246" t="s">
        <v>44</v>
      </c>
      <c r="G5246">
        <v>-311.88279999999997</v>
      </c>
      <c r="H5246">
        <v>-0.05</v>
      </c>
      <c r="I5246">
        <v>20.86702</v>
      </c>
      <c r="J5246">
        <v>-352.65609999999998</v>
      </c>
      <c r="K5246">
        <v>1.1110719999999901</v>
      </c>
      <c r="L5246">
        <v>17.00592</v>
      </c>
      <c r="M5246">
        <v>0.9990464</v>
      </c>
      <c r="N5246">
        <v>0</v>
      </c>
      <c r="O5246">
        <v>4.2959700000000003E-2</v>
      </c>
      <c r="P5246">
        <v>0.99090049999999996</v>
      </c>
      <c r="Q5246">
        <v>7.2486869999999898E-3</v>
      </c>
      <c r="R5246">
        <v>0.1344011</v>
      </c>
      <c r="S5246">
        <v>2.990021</v>
      </c>
      <c r="T5246">
        <v>-8.4850430000000004E-2</v>
      </c>
      <c r="U5246">
        <v>0.2826843</v>
      </c>
      <c r="V5246">
        <v>-9.1746610000000006E-2</v>
      </c>
      <c r="W5246">
        <v>1.476741E-2</v>
      </c>
      <c r="X5246">
        <v>0.99567289999999997</v>
      </c>
      <c r="Y5246">
        <v>-5.1262389999999998E-2</v>
      </c>
      <c r="Z5246">
        <v>-4.8969490000000003E-4</v>
      </c>
      <c r="AA5246">
        <v>0.99868509999999999</v>
      </c>
      <c r="AB5246">
        <v>23</v>
      </c>
      <c r="AC5246">
        <v>40.773299999999999</v>
      </c>
      <c r="AD5246">
        <v>-1.1610720000000001</v>
      </c>
      <c r="AE5246">
        <v>3.8611</v>
      </c>
      <c r="AF5246">
        <v>-2.1041821775143399</v>
      </c>
      <c r="AG5246">
        <v>-1.1610720000000001</v>
      </c>
      <c r="AH5246">
        <v>40.868686961379701</v>
      </c>
      <c r="AI5246">
        <v>91.625173542143401</v>
      </c>
      <c r="AJ5246">
        <v>92.947351790275505</v>
      </c>
      <c r="AK5246">
        <v>40.939287301717897</v>
      </c>
      <c r="AL5246">
        <v>89.153858994056904</v>
      </c>
      <c r="AM5246">
        <v>95.264671858474003</v>
      </c>
      <c r="AN5246">
        <v>1.0000000203195001</v>
      </c>
    </row>
    <row r="5247" spans="1:40" x14ac:dyDescent="0.3">
      <c r="A5247" t="str">
        <f>"20200111160607805"</f>
        <v>20200111160607805</v>
      </c>
      <c r="B5247" t="str">
        <f>"1578729967797878"</f>
        <v>1578729967797878</v>
      </c>
      <c r="C5247" t="s">
        <v>40</v>
      </c>
      <c r="D5247">
        <v>5.2856129999999997</v>
      </c>
      <c r="E5247">
        <v>0.5162118</v>
      </c>
      <c r="F5247" t="s">
        <v>41</v>
      </c>
      <c r="G5247">
        <v>-321.72609999999997</v>
      </c>
      <c r="H5247" s="1">
        <v>-3.9746650000000003E-6</v>
      </c>
      <c r="I5247">
        <v>19.928540000000002</v>
      </c>
      <c r="J5247">
        <v>-352.46710000000002</v>
      </c>
      <c r="K5247">
        <v>1.111084</v>
      </c>
      <c r="L5247">
        <v>17.01559</v>
      </c>
      <c r="M5247">
        <v>0.99898310000000001</v>
      </c>
      <c r="N5247">
        <v>0</v>
      </c>
      <c r="O5247">
        <v>4.4399800000000003E-2</v>
      </c>
      <c r="P5247">
        <v>0.9908228</v>
      </c>
      <c r="Q5247">
        <v>3.8716530000000001E-3</v>
      </c>
      <c r="R5247">
        <v>0.13511239999999999</v>
      </c>
      <c r="S5247">
        <v>2.990021</v>
      </c>
      <c r="T5247">
        <v>-0.1074084</v>
      </c>
      <c r="U5247">
        <v>0.2825317</v>
      </c>
      <c r="V5247">
        <v>-9.1017539999999994E-2</v>
      </c>
      <c r="W5247">
        <v>1.143223E-2</v>
      </c>
      <c r="X5247">
        <v>0.99578370000000005</v>
      </c>
      <c r="Y5247">
        <v>-4.9772049999999998E-2</v>
      </c>
      <c r="Z5247">
        <v>-6.9802280000000002E-4</v>
      </c>
      <c r="AA5247">
        <v>0.99876030000000005</v>
      </c>
      <c r="AB5247">
        <v>23</v>
      </c>
      <c r="AC5247">
        <v>30.741</v>
      </c>
      <c r="AD5247">
        <v>-1.111087974665</v>
      </c>
      <c r="AE5247">
        <v>2.9129499999999902</v>
      </c>
      <c r="AF5247">
        <v>-1.5431430726078801</v>
      </c>
      <c r="AG5247">
        <v>-1.111087974665</v>
      </c>
      <c r="AH5247">
        <v>30.800143214153199</v>
      </c>
      <c r="AI5247">
        <v>92.063412866635204</v>
      </c>
      <c r="AJ5247">
        <v>92.868224210091896</v>
      </c>
      <c r="AK5247">
        <v>30.8587852813802</v>
      </c>
      <c r="AL5247">
        <v>89.344967223204804</v>
      </c>
      <c r="AM5247">
        <v>95.222490179716502</v>
      </c>
      <c r="AN5247">
        <v>1.0000000328280501</v>
      </c>
    </row>
    <row r="5248" spans="1:40" x14ac:dyDescent="0.3">
      <c r="A5248" t="str">
        <f>"20200111160607818"</f>
        <v>20200111160607818</v>
      </c>
      <c r="B5248" t="str">
        <f>"1578729967807638"</f>
        <v>1578729967807638</v>
      </c>
      <c r="C5248" t="s">
        <v>40</v>
      </c>
      <c r="D5248">
        <v>5.3044849999999997</v>
      </c>
      <c r="E5248">
        <v>0.51639329999999894</v>
      </c>
      <c r="F5248" t="s">
        <v>41</v>
      </c>
      <c r="G5248">
        <v>-329.34390000000002</v>
      </c>
      <c r="H5248" s="1">
        <v>-3.6309930000000002E-7</v>
      </c>
      <c r="I5248">
        <v>19.207609999999999</v>
      </c>
      <c r="J5248">
        <v>-352.33730000000003</v>
      </c>
      <c r="K5248">
        <v>1.1110880000000001</v>
      </c>
      <c r="L5248">
        <v>17.022459999999999</v>
      </c>
      <c r="M5248">
        <v>0.99893790000000005</v>
      </c>
      <c r="N5248">
        <v>0</v>
      </c>
      <c r="O5248">
        <v>4.5399309999999998E-2</v>
      </c>
      <c r="P5248">
        <v>0.99073370000000005</v>
      </c>
      <c r="Q5248">
        <v>2.65548E-3</v>
      </c>
      <c r="R5248">
        <v>0.1357922</v>
      </c>
      <c r="S5248">
        <v>2.989716</v>
      </c>
      <c r="T5248">
        <v>-0.14365790000000001</v>
      </c>
      <c r="U5248">
        <v>0.28341670000000002</v>
      </c>
      <c r="V5248">
        <v>-9.0700550000000005E-2</v>
      </c>
      <c r="W5248">
        <v>1.0247350000000001E-2</v>
      </c>
      <c r="X5248">
        <v>0.99582550000000003</v>
      </c>
      <c r="Y5248">
        <v>-4.90745E-2</v>
      </c>
      <c r="Z5248">
        <v>-9.9796220000000009E-4</v>
      </c>
      <c r="AA5248">
        <v>0.99879459999999998</v>
      </c>
      <c r="AB5248">
        <v>23</v>
      </c>
      <c r="AC5248">
        <v>22.993400000000001</v>
      </c>
      <c r="AD5248">
        <v>-1.11108836309929</v>
      </c>
      <c r="AE5248">
        <v>2.1851500000000001</v>
      </c>
      <c r="AF5248">
        <v>-1.1363502996630299</v>
      </c>
      <c r="AG5248">
        <v>-1.11108836309929</v>
      </c>
      <c r="AH5248">
        <v>23.015636890569301</v>
      </c>
      <c r="AI5248">
        <v>92.760471855734593</v>
      </c>
      <c r="AJ5248">
        <v>92.826567404513895</v>
      </c>
      <c r="AK5248">
        <v>23.070443230087498</v>
      </c>
      <c r="AL5248">
        <v>89.412859824911095</v>
      </c>
      <c r="AM5248">
        <v>95.204184427254305</v>
      </c>
      <c r="AN5248">
        <v>1.00000001220128</v>
      </c>
    </row>
    <row r="5249" spans="1:40" x14ac:dyDescent="0.3">
      <c r="A5249" t="str">
        <f>"20200111160607831"</f>
        <v>20200111160607831</v>
      </c>
      <c r="B5249" t="str">
        <f>"1578729967827158"</f>
        <v>1578729967827158</v>
      </c>
      <c r="C5249" t="s">
        <v>40</v>
      </c>
      <c r="D5249">
        <v>5.2486680000000003</v>
      </c>
      <c r="E5249">
        <v>0.51685270000000005</v>
      </c>
      <c r="F5249" t="s">
        <v>41</v>
      </c>
      <c r="G5249">
        <v>-331.41669999999999</v>
      </c>
      <c r="H5249" s="1">
        <v>-3.771506E-6</v>
      </c>
      <c r="I5249">
        <v>19.01324</v>
      </c>
      <c r="J5249">
        <v>-352.20670000000001</v>
      </c>
      <c r="K5249">
        <v>1.1110880000000001</v>
      </c>
      <c r="L5249">
        <v>17.02948</v>
      </c>
      <c r="M5249">
        <v>0.99889130000000004</v>
      </c>
      <c r="N5249">
        <v>0</v>
      </c>
      <c r="O5249">
        <v>4.640756E-2</v>
      </c>
      <c r="P5249">
        <v>0.99064479999999999</v>
      </c>
      <c r="Q5249">
        <v>1.588281E-3</v>
      </c>
      <c r="R5249">
        <v>0.13645779999999999</v>
      </c>
      <c r="S5249">
        <v>2.989471</v>
      </c>
      <c r="T5249">
        <v>-0.15876979999999999</v>
      </c>
      <c r="U5249">
        <v>0.28448489999999999</v>
      </c>
      <c r="V5249">
        <v>-9.0361460000000005E-2</v>
      </c>
      <c r="W5249">
        <v>9.213621E-3</v>
      </c>
      <c r="X5249">
        <v>0.99586640000000004</v>
      </c>
      <c r="Y5249">
        <v>-4.8429060000000003E-2</v>
      </c>
      <c r="Z5249">
        <v>-1.173248E-3</v>
      </c>
      <c r="AA5249">
        <v>0.99882590000000004</v>
      </c>
      <c r="AB5249">
        <v>23</v>
      </c>
      <c r="AC5249">
        <v>20.79</v>
      </c>
      <c r="AD5249">
        <v>-1.11109177150599</v>
      </c>
      <c r="AE5249">
        <v>1.98376</v>
      </c>
      <c r="AF5249">
        <v>-1.01390939825281</v>
      </c>
      <c r="AG5249">
        <v>-1.11109177150599</v>
      </c>
      <c r="AH5249">
        <v>20.800788085093799</v>
      </c>
      <c r="AI5249">
        <v>93.053977895083605</v>
      </c>
      <c r="AJ5249">
        <v>92.790605141723603</v>
      </c>
      <c r="AK5249">
        <v>20.855103024285299</v>
      </c>
      <c r="AL5249">
        <v>89.472090925704805</v>
      </c>
      <c r="AM5249">
        <v>95.184622700108605</v>
      </c>
      <c r="AN5249">
        <v>0.999999985457111</v>
      </c>
    </row>
    <row r="5250" spans="1:40" x14ac:dyDescent="0.3">
      <c r="A5250" t="str">
        <f>"20200111160607848"</f>
        <v>20200111160607848</v>
      </c>
      <c r="B5250" t="str">
        <f>"1578729967837894"</f>
        <v>1578729967837894</v>
      </c>
      <c r="C5250" t="s">
        <v>40</v>
      </c>
      <c r="D5250">
        <v>5.2338990000000001</v>
      </c>
      <c r="E5250">
        <v>0.51705559999999995</v>
      </c>
      <c r="F5250" t="s">
        <v>41</v>
      </c>
      <c r="G5250">
        <v>-333.79360000000003</v>
      </c>
      <c r="H5250" s="1">
        <v>-2.793875E-6</v>
      </c>
      <c r="I5250">
        <v>18.776129999999998</v>
      </c>
      <c r="J5250">
        <v>-352.02330000000001</v>
      </c>
      <c r="K5250">
        <v>1.111083</v>
      </c>
      <c r="L5250">
        <v>17.039549999999998</v>
      </c>
      <c r="M5250">
        <v>0.99882420000000005</v>
      </c>
      <c r="N5250">
        <v>0</v>
      </c>
      <c r="O5250">
        <v>4.7822829999999997E-2</v>
      </c>
      <c r="P5250">
        <v>0.99049120000000002</v>
      </c>
      <c r="Q5250">
        <v>1.947936E-4</v>
      </c>
      <c r="R5250">
        <v>0.13757629999999901</v>
      </c>
      <c r="S5250">
        <v>2.989563</v>
      </c>
      <c r="T5250">
        <v>-0.18039740000000001</v>
      </c>
      <c r="U5250">
        <v>0.28359990000000002</v>
      </c>
      <c r="V5250">
        <v>-9.0071399999999996E-2</v>
      </c>
      <c r="W5250">
        <v>7.8699410000000001E-3</v>
      </c>
      <c r="X5250">
        <v>0.99590420000000002</v>
      </c>
      <c r="Y5250">
        <v>-4.6722609999999998E-2</v>
      </c>
      <c r="Z5250">
        <v>-1.4690739999999999E-3</v>
      </c>
      <c r="AA5250">
        <v>0.99890690000000004</v>
      </c>
      <c r="AB5250">
        <v>23</v>
      </c>
      <c r="AC5250">
        <v>18.229699999999902</v>
      </c>
      <c r="AD5250">
        <v>-1.1110857938750001</v>
      </c>
      <c r="AE5250">
        <v>1.73658</v>
      </c>
      <c r="AF5250">
        <v>-0.85960499808061397</v>
      </c>
      <c r="AG5250">
        <v>-1.1110857938750001</v>
      </c>
      <c r="AH5250">
        <v>18.224798921306999</v>
      </c>
      <c r="AI5250">
        <v>93.484888783608696</v>
      </c>
      <c r="AJ5250">
        <v>92.700455780128493</v>
      </c>
      <c r="AK5250">
        <v>18.2788601426935</v>
      </c>
      <c r="AL5250">
        <v>89.549080933847307</v>
      </c>
      <c r="AM5250">
        <v>95.167875250167597</v>
      </c>
      <c r="AN5250">
        <v>0.99999998432347104</v>
      </c>
    </row>
    <row r="5251" spans="1:40" x14ac:dyDescent="0.3">
      <c r="A5251" t="str">
        <f>"20200111160607860"</f>
        <v>20200111160607860</v>
      </c>
      <c r="B5251" t="str">
        <f>"1578729967857415"</f>
        <v>1578729967857415</v>
      </c>
      <c r="C5251" t="s">
        <v>40</v>
      </c>
      <c r="D5251">
        <v>5.2673649999999999</v>
      </c>
      <c r="E5251">
        <v>0.51721220000000001</v>
      </c>
      <c r="F5251" t="s">
        <v>41</v>
      </c>
      <c r="G5251">
        <v>-334.726</v>
      </c>
      <c r="H5251" s="1">
        <v>-2.4086940000000002E-6</v>
      </c>
      <c r="I5251">
        <v>18.69256</v>
      </c>
      <c r="J5251">
        <v>-351.89109999999999</v>
      </c>
      <c r="K5251">
        <v>1.1110770000000001</v>
      </c>
      <c r="L5251">
        <v>17.046970000000002</v>
      </c>
      <c r="M5251">
        <v>0.99877470000000002</v>
      </c>
      <c r="N5251">
        <v>0</v>
      </c>
      <c r="O5251">
        <v>4.8838050000000001E-2</v>
      </c>
      <c r="P5251">
        <v>0.99038150000000003</v>
      </c>
      <c r="Q5251">
        <v>-2.2434819999999999E-4</v>
      </c>
      <c r="R5251">
        <v>0.13836279999999901</v>
      </c>
      <c r="S5251">
        <v>2.9891969999999999</v>
      </c>
      <c r="T5251">
        <v>-0.19200980000000001</v>
      </c>
      <c r="U5251">
        <v>0.28567500000000001</v>
      </c>
      <c r="V5251">
        <v>-8.984847E-2</v>
      </c>
      <c r="W5251">
        <v>7.4903909999999999E-3</v>
      </c>
      <c r="X5251">
        <v>0.99592729999999996</v>
      </c>
      <c r="Y5251">
        <v>-4.6408970000000001E-2</v>
      </c>
      <c r="Z5251">
        <v>-1.6384889999999999E-3</v>
      </c>
      <c r="AA5251">
        <v>0.99892119999999995</v>
      </c>
      <c r="AB5251">
        <v>23</v>
      </c>
      <c r="AC5251">
        <v>17.165099999999899</v>
      </c>
      <c r="AD5251">
        <v>-1.1110794086939999</v>
      </c>
      <c r="AE5251">
        <v>1.6455899999999899</v>
      </c>
      <c r="AF5251">
        <v>-0.801959909520648</v>
      </c>
      <c r="AG5251">
        <v>-1.1110794086939999</v>
      </c>
      <c r="AH5251">
        <v>17.153768708705801</v>
      </c>
      <c r="AI5251">
        <v>93.701938190464404</v>
      </c>
      <c r="AJ5251">
        <v>92.676699578438701</v>
      </c>
      <c r="AK5251">
        <v>17.208411259052301</v>
      </c>
      <c r="AL5251">
        <v>89.570828204221201</v>
      </c>
      <c r="AM5251">
        <v>95.155034647141605</v>
      </c>
      <c r="AN5251">
        <v>1.0000000202019801</v>
      </c>
    </row>
    <row r="5252" spans="1:40" x14ac:dyDescent="0.3">
      <c r="A5252" t="str">
        <f>"20200111160607873"</f>
        <v>20200111160607873</v>
      </c>
      <c r="B5252" t="str">
        <f>"1578729967867175"</f>
        <v>1578729967867175</v>
      </c>
      <c r="C5252" t="s">
        <v>40</v>
      </c>
      <c r="D5252">
        <v>5.2349909999999999</v>
      </c>
      <c r="E5252">
        <v>0.51645319999999995</v>
      </c>
      <c r="F5252" t="s">
        <v>41</v>
      </c>
      <c r="G5252">
        <v>-335.61149999999998</v>
      </c>
      <c r="H5252" s="1">
        <v>-2.043316E-6</v>
      </c>
      <c r="I5252">
        <v>18.610980000000001</v>
      </c>
      <c r="J5252">
        <v>-351.77100000000002</v>
      </c>
      <c r="K5252">
        <v>1.111073</v>
      </c>
      <c r="L5252">
        <v>17.053799999999999</v>
      </c>
      <c r="M5252">
        <v>0.99872930000000004</v>
      </c>
      <c r="N5252">
        <v>0</v>
      </c>
      <c r="O5252">
        <v>4.9752350000000001E-2</v>
      </c>
      <c r="P5252">
        <v>0.99022500000000002</v>
      </c>
      <c r="Q5252">
        <v>-9.7482280000000003E-4</v>
      </c>
      <c r="R5252">
        <v>0.13947609999999999</v>
      </c>
      <c r="S5252">
        <v>2.9889830000000002</v>
      </c>
      <c r="T5252">
        <v>-0.2039958</v>
      </c>
      <c r="U5252">
        <v>0.28717039999999999</v>
      </c>
      <c r="V5252">
        <v>-9.0054560000000006E-2</v>
      </c>
      <c r="W5252">
        <v>6.7765830000000001E-3</v>
      </c>
      <c r="X5252">
        <v>0.99591379999999996</v>
      </c>
      <c r="Y5252">
        <v>-4.600013E-2</v>
      </c>
      <c r="Z5252">
        <v>-1.8165729999999999E-3</v>
      </c>
      <c r="AA5252">
        <v>0.99893980000000004</v>
      </c>
      <c r="AB5252">
        <v>23</v>
      </c>
      <c r="AC5252">
        <v>16.159499999999898</v>
      </c>
      <c r="AD5252">
        <v>-1.1110750433159999</v>
      </c>
      <c r="AE5252">
        <v>1.55717999999999</v>
      </c>
      <c r="AF5252">
        <v>-0.74774995590613502</v>
      </c>
      <c r="AG5252">
        <v>-1.1110750433159999</v>
      </c>
      <c r="AH5252">
        <v>16.141356312648998</v>
      </c>
      <c r="AI5252">
        <v>93.933484576367306</v>
      </c>
      <c r="AJ5252">
        <v>92.652336519720095</v>
      </c>
      <c r="AK5252">
        <v>16.196820717669599</v>
      </c>
      <c r="AL5252">
        <v>89.6117274311529</v>
      </c>
      <c r="AM5252">
        <v>95.166864743801796</v>
      </c>
      <c r="AN5252">
        <v>1.00000002144219</v>
      </c>
    </row>
    <row r="5253" spans="1:40" x14ac:dyDescent="0.3">
      <c r="A5253" t="str">
        <f>"20200111160607885"</f>
        <v>20200111160607885</v>
      </c>
      <c r="B5253" t="str">
        <f>"1578729967877911"</f>
        <v>1578729967877911</v>
      </c>
      <c r="C5253" t="s">
        <v>40</v>
      </c>
      <c r="D5253">
        <v>5.2465960000000003</v>
      </c>
      <c r="E5253">
        <v>0.51645319999999995</v>
      </c>
      <c r="F5253" t="s">
        <v>41</v>
      </c>
      <c r="G5253">
        <v>-336.17450000000002</v>
      </c>
      <c r="H5253" s="1">
        <v>-1.80328E-6</v>
      </c>
      <c r="I5253">
        <v>18.602429999999998</v>
      </c>
      <c r="J5253">
        <v>-351.63490000000002</v>
      </c>
      <c r="K5253">
        <v>1.1110660000000001</v>
      </c>
      <c r="L5253">
        <v>17.061679999999999</v>
      </c>
      <c r="M5253">
        <v>0.99867720000000004</v>
      </c>
      <c r="N5253">
        <v>0</v>
      </c>
      <c r="O5253">
        <v>5.0782609999999999E-2</v>
      </c>
      <c r="P5253">
        <v>0.99011119999999997</v>
      </c>
      <c r="Q5253">
        <v>-1.5177890000000001E-3</v>
      </c>
      <c r="R5253">
        <v>0.14027679999999901</v>
      </c>
      <c r="S5253">
        <v>2.9875790000000002</v>
      </c>
      <c r="T5253">
        <v>-0.21283070000000001</v>
      </c>
      <c r="U5253">
        <v>0.29666140000000002</v>
      </c>
      <c r="V5253">
        <v>-8.9831170000000002E-2</v>
      </c>
      <c r="W5253">
        <v>6.2778219999999997E-3</v>
      </c>
      <c r="X5253">
        <v>0.99593719999999997</v>
      </c>
      <c r="Y5253">
        <v>-4.8155570000000002E-2</v>
      </c>
      <c r="Z5253">
        <v>-1.892052E-3</v>
      </c>
      <c r="AA5253">
        <v>0.99883809999999995</v>
      </c>
      <c r="AB5253">
        <v>24</v>
      </c>
      <c r="AC5253">
        <v>15.4603999999999</v>
      </c>
      <c r="AD5253">
        <v>-1.1110678032800001</v>
      </c>
      <c r="AE5253">
        <v>1.5407499999999901</v>
      </c>
      <c r="AF5253">
        <v>-0.74978264319118504</v>
      </c>
      <c r="AG5253">
        <v>-1.1110678032800001</v>
      </c>
      <c r="AH5253">
        <v>15.439740016153699</v>
      </c>
      <c r="AI5253">
        <v>94.111170602762897</v>
      </c>
      <c r="AJ5253">
        <v>92.780206074493194</v>
      </c>
      <c r="AK5253">
        <v>15.4978133116234</v>
      </c>
      <c r="AL5253">
        <v>89.640304924355107</v>
      </c>
      <c r="AM5253">
        <v>95.153996452913702</v>
      </c>
      <c r="AN5253">
        <v>0.99999997824823605</v>
      </c>
    </row>
    <row r="5254" spans="1:40" x14ac:dyDescent="0.3">
      <c r="A5254" t="str">
        <f>"20200111160607897"</f>
        <v>20200111160607897</v>
      </c>
      <c r="B5254" t="str">
        <f>"1578729967887671"</f>
        <v>1578729967887671</v>
      </c>
      <c r="C5254" t="s">
        <v>40</v>
      </c>
      <c r="D5254">
        <v>5.3678939999999997</v>
      </c>
      <c r="E5254">
        <v>0.4508006</v>
      </c>
      <c r="F5254" t="s">
        <v>41</v>
      </c>
      <c r="G5254">
        <v>-336.15859999999998</v>
      </c>
      <c r="H5254" s="1">
        <v>-1.808596E-6</v>
      </c>
      <c r="I5254">
        <v>18.610869999999998</v>
      </c>
      <c r="J5254">
        <v>-351.49889999999999</v>
      </c>
      <c r="K5254">
        <v>1.111056</v>
      </c>
      <c r="L5254">
        <v>17.069700000000001</v>
      </c>
      <c r="M5254">
        <v>0.99862499999999998</v>
      </c>
      <c r="N5254">
        <v>0</v>
      </c>
      <c r="O5254">
        <v>5.1794420000000001E-2</v>
      </c>
      <c r="P5254">
        <v>0.98998960000000003</v>
      </c>
      <c r="Q5254">
        <v>-1.8951759999999999E-3</v>
      </c>
      <c r="R5254">
        <v>0.14112930000000001</v>
      </c>
      <c r="S5254">
        <v>2.987244</v>
      </c>
      <c r="T5254">
        <v>-0.21445910000000001</v>
      </c>
      <c r="U5254">
        <v>0.29904170000000002</v>
      </c>
      <c r="V5254">
        <v>-8.9678430000000003E-2</v>
      </c>
      <c r="W5254">
        <v>5.9459500000000002E-3</v>
      </c>
      <c r="X5254">
        <v>0.99595299999999998</v>
      </c>
      <c r="Y5254">
        <v>-4.7945880000000003E-2</v>
      </c>
      <c r="Z5254">
        <v>-1.9863160000000001E-3</v>
      </c>
      <c r="AA5254">
        <v>0.99884799999999996</v>
      </c>
      <c r="AB5254">
        <v>24</v>
      </c>
      <c r="AC5254">
        <v>15.340299999999999</v>
      </c>
      <c r="AD5254">
        <v>-1.1110578085959999</v>
      </c>
      <c r="AE5254">
        <v>1.5411699999999999</v>
      </c>
      <c r="AF5254">
        <v>-0.74068669995768899</v>
      </c>
      <c r="AG5254">
        <v>-1.1110578085959999</v>
      </c>
      <c r="AH5254">
        <v>15.3199736839855</v>
      </c>
      <c r="AI5254">
        <v>94.143204430562804</v>
      </c>
      <c r="AJ5254">
        <v>92.767968304997595</v>
      </c>
      <c r="AK5254">
        <v>15.378057742106</v>
      </c>
      <c r="AL5254">
        <v>89.659320144418004</v>
      </c>
      <c r="AM5254">
        <v>95.145198999500806</v>
      </c>
      <c r="AN5254">
        <v>0.999999976668833</v>
      </c>
    </row>
    <row r="5255" spans="1:40" x14ac:dyDescent="0.3">
      <c r="A5255" t="str">
        <f>"20200111160607916"</f>
        <v>20200111160607916</v>
      </c>
      <c r="B5255" t="str">
        <f>"1578729967907193"</f>
        <v>1578729967907193</v>
      </c>
      <c r="C5255" t="s">
        <v>40</v>
      </c>
      <c r="D5255">
        <v>5.0232749999999999</v>
      </c>
      <c r="E5255">
        <v>0.43533509999999997</v>
      </c>
      <c r="F5255" t="s">
        <v>41</v>
      </c>
      <c r="G5255">
        <v>-323.69569999999999</v>
      </c>
      <c r="H5255" s="1">
        <v>-4.222299E-6</v>
      </c>
      <c r="I5255">
        <v>24.860340000000001</v>
      </c>
      <c r="J5255">
        <v>-351.30529999999999</v>
      </c>
      <c r="K5255">
        <v>1.111046</v>
      </c>
      <c r="L5255">
        <v>17.081299999999999</v>
      </c>
      <c r="M5255">
        <v>0.99854969999999998</v>
      </c>
      <c r="N5255">
        <v>0</v>
      </c>
      <c r="O5255">
        <v>5.3214060000000001E-2</v>
      </c>
      <c r="P5255">
        <v>0.98990290000000003</v>
      </c>
      <c r="Q5255">
        <v>-1.9180460000000001E-3</v>
      </c>
      <c r="R5255">
        <v>0.14173529999999901</v>
      </c>
      <c r="S5255">
        <v>2.9136959999999998</v>
      </c>
      <c r="T5255">
        <v>-0.116435999999999</v>
      </c>
      <c r="U5255">
        <v>0.81643679999999996</v>
      </c>
      <c r="V5255">
        <v>-8.8871989999999998E-2</v>
      </c>
      <c r="W5255">
        <v>5.9917249999999998E-3</v>
      </c>
      <c r="X5255">
        <v>0.99602500000000005</v>
      </c>
      <c r="Y5255">
        <v>-0.21806829999999999</v>
      </c>
      <c r="Z5255">
        <v>2.1921570000000001E-3</v>
      </c>
      <c r="AA5255">
        <v>0.97593099999999999</v>
      </c>
      <c r="AB5255">
        <v>24</v>
      </c>
      <c r="AC5255">
        <v>27.6096</v>
      </c>
      <c r="AD5255">
        <v>-1.111050222299</v>
      </c>
      <c r="AE5255">
        <v>7.7790400000000002</v>
      </c>
      <c r="AF5255">
        <v>-6.28931369588084</v>
      </c>
      <c r="AG5255">
        <v>-1.111050222299</v>
      </c>
      <c r="AH5255">
        <v>27.942524732034801</v>
      </c>
      <c r="AI5255">
        <v>92.2214760746689</v>
      </c>
      <c r="AJ5255">
        <v>102.684766176347</v>
      </c>
      <c r="AK5255">
        <v>28.663122435667098</v>
      </c>
      <c r="AL5255">
        <v>89.656697379665701</v>
      </c>
      <c r="AM5255">
        <v>95.098808774589997</v>
      </c>
      <c r="AN5255">
        <v>0.99999996600001695</v>
      </c>
    </row>
    <row r="5256" spans="1:40" x14ac:dyDescent="0.3">
      <c r="A5256" t="str">
        <f>"20200111160607930"</f>
        <v>20200111160607930</v>
      </c>
      <c r="B5256" t="str">
        <f>"1578729967927686"</f>
        <v>1578729967927686</v>
      </c>
      <c r="C5256" t="s">
        <v>40</v>
      </c>
      <c r="D5256">
        <v>4.9900190000000002</v>
      </c>
      <c r="E5256">
        <v>0.43099860000000001</v>
      </c>
      <c r="F5256" t="s">
        <v>44</v>
      </c>
      <c r="G5256">
        <v>-312.80430000000001</v>
      </c>
      <c r="H5256">
        <v>-0.05</v>
      </c>
      <c r="I5256">
        <v>29.568739999999998</v>
      </c>
      <c r="J5256">
        <v>-351.16520000000003</v>
      </c>
      <c r="K5256">
        <v>1.1110409999999999</v>
      </c>
      <c r="L5256">
        <v>17.089870000000001</v>
      </c>
      <c r="M5256">
        <v>0.99849520000000003</v>
      </c>
      <c r="N5256">
        <v>0</v>
      </c>
      <c r="O5256">
        <v>5.4222739999999998E-2</v>
      </c>
      <c r="P5256">
        <v>0.9898865</v>
      </c>
      <c r="Q5256">
        <v>-1.6014480000000001E-3</v>
      </c>
      <c r="R5256">
        <v>0.1418537</v>
      </c>
      <c r="S5256">
        <v>2.8959350000000001</v>
      </c>
      <c r="T5256">
        <v>-8.7330459999999999E-2</v>
      </c>
      <c r="U5256">
        <v>0.93927000000000005</v>
      </c>
      <c r="V5256">
        <v>-8.7985980000000005E-2</v>
      </c>
      <c r="W5256">
        <v>6.3584059999999996E-3</v>
      </c>
      <c r="X5256">
        <v>0.99610140000000003</v>
      </c>
      <c r="Y5256">
        <v>-0.25640279999999999</v>
      </c>
      <c r="Z5256">
        <v>2.1786179999999998E-3</v>
      </c>
      <c r="AA5256">
        <v>0.96656759999999997</v>
      </c>
      <c r="AB5256">
        <v>24</v>
      </c>
      <c r="AC5256">
        <v>38.360900000000001</v>
      </c>
      <c r="AD5256">
        <v>-1.161041</v>
      </c>
      <c r="AE5256">
        <v>12.478870000000001</v>
      </c>
      <c r="AF5256">
        <v>-10.371815769049601</v>
      </c>
      <c r="AG5256">
        <v>-1.161041</v>
      </c>
      <c r="AH5256">
        <v>38.948858736401903</v>
      </c>
      <c r="AI5256">
        <v>91.649979203006097</v>
      </c>
      <c r="AJ5256">
        <v>104.911437243669</v>
      </c>
      <c r="AK5256">
        <v>40.322898896520101</v>
      </c>
      <c r="AL5256">
        <v>89.635687709835807</v>
      </c>
      <c r="AM5256">
        <v>95.047854948275202</v>
      </c>
      <c r="AN5256">
        <v>0.99999998054269001</v>
      </c>
    </row>
    <row r="5257" spans="1:40" x14ac:dyDescent="0.3">
      <c r="A5257" t="str">
        <f>"20200111160607942"</f>
        <v>20200111160607942</v>
      </c>
      <c r="B5257" t="str">
        <f>"1578729967937447"</f>
        <v>1578729967937447</v>
      </c>
      <c r="C5257" t="s">
        <v>40</v>
      </c>
      <c r="D5257">
        <v>4.9832650000000003</v>
      </c>
      <c r="E5257">
        <v>0.42976189999999997</v>
      </c>
      <c r="F5257" t="s">
        <v>44</v>
      </c>
      <c r="G5257">
        <v>-307.24</v>
      </c>
      <c r="H5257">
        <v>-0.05</v>
      </c>
      <c r="I5257">
        <v>31.881519999999998</v>
      </c>
      <c r="J5257">
        <v>-351.02859999999998</v>
      </c>
      <c r="K5257">
        <v>1.1110310000000001</v>
      </c>
      <c r="L5257">
        <v>17.098299999999998</v>
      </c>
      <c r="M5257">
        <v>0.99844149999999998</v>
      </c>
      <c r="N5257">
        <v>0</v>
      </c>
      <c r="O5257">
        <v>5.5193150000000003E-2</v>
      </c>
      <c r="P5257">
        <v>0.98984240000000001</v>
      </c>
      <c r="Q5257">
        <v>-1.0712950000000001E-3</v>
      </c>
      <c r="R5257">
        <v>0.1421646</v>
      </c>
      <c r="S5257">
        <v>2.891022</v>
      </c>
      <c r="T5257">
        <v>-7.6416129999999999E-2</v>
      </c>
      <c r="U5257">
        <v>0.97354130000000005</v>
      </c>
      <c r="V5257">
        <v>-8.7332049999999994E-2</v>
      </c>
      <c r="W5257">
        <v>6.9363200000000002E-3</v>
      </c>
      <c r="X5257">
        <v>0.99615509999999996</v>
      </c>
      <c r="Y5257">
        <v>-0.26627620000000002</v>
      </c>
      <c r="Z5257">
        <v>2.0083100000000001E-3</v>
      </c>
      <c r="AA5257">
        <v>0.96389469999999999</v>
      </c>
      <c r="AB5257">
        <v>24</v>
      </c>
      <c r="AC5257">
        <v>43.788599999999903</v>
      </c>
      <c r="AD5257">
        <v>-1.1610309999999999</v>
      </c>
      <c r="AE5257">
        <v>14.78322</v>
      </c>
      <c r="AF5257">
        <v>-12.3359859683165</v>
      </c>
      <c r="AG5257">
        <v>-1.1610309999999999</v>
      </c>
      <c r="AH5257">
        <v>44.509719137619904</v>
      </c>
      <c r="AI5257">
        <v>91.439958189388705</v>
      </c>
      <c r="AJ5257">
        <v>105.49085338992499</v>
      </c>
      <c r="AK5257">
        <v>46.202160560987501</v>
      </c>
      <c r="AL5257">
        <v>89.602574948321703</v>
      </c>
      <c r="AM5257">
        <v>95.010261207834901</v>
      </c>
      <c r="AN5257">
        <v>0.99999999137417706</v>
      </c>
    </row>
    <row r="5258" spans="1:40" x14ac:dyDescent="0.3">
      <c r="A5258" t="str">
        <f>"20200111160607962"</f>
        <v>20200111160607962</v>
      </c>
      <c r="B5258" t="str">
        <f>"1578729967956967"</f>
        <v>1578729967956967</v>
      </c>
      <c r="C5258" t="s">
        <v>40</v>
      </c>
      <c r="D5258">
        <v>4.9500539999999997</v>
      </c>
      <c r="E5258">
        <v>0.4285004</v>
      </c>
      <c r="F5258" t="s">
        <v>44</v>
      </c>
      <c r="G5258">
        <v>-305.82170000000002</v>
      </c>
      <c r="H5258">
        <v>-0.05</v>
      </c>
      <c r="I5258">
        <v>32.496409999999997</v>
      </c>
      <c r="J5258">
        <v>-350.82310000000001</v>
      </c>
      <c r="K5258">
        <v>1.111019</v>
      </c>
      <c r="L5258">
        <v>17.111270000000001</v>
      </c>
      <c r="M5258">
        <v>0.99836130000000001</v>
      </c>
      <c r="N5258">
        <v>0</v>
      </c>
      <c r="O5258">
        <v>5.661559E-2</v>
      </c>
      <c r="P5258">
        <v>0.98998580000000003</v>
      </c>
      <c r="Q5258" s="1">
        <v>-6.8861990000000005E-5</v>
      </c>
      <c r="R5258">
        <v>0.14116689999999901</v>
      </c>
      <c r="S5258">
        <v>2.8893740000000001</v>
      </c>
      <c r="T5258">
        <v>-7.4206590000000003E-2</v>
      </c>
      <c r="U5258">
        <v>0.98416139999999996</v>
      </c>
      <c r="V5258">
        <v>-8.49105E-2</v>
      </c>
      <c r="W5258">
        <v>8.0129889999999999E-3</v>
      </c>
      <c r="X5258">
        <v>0.99635640000000003</v>
      </c>
      <c r="Y5258">
        <v>-0.2682504</v>
      </c>
      <c r="Z5258">
        <v>1.9395580000000001E-3</v>
      </c>
      <c r="AA5258">
        <v>0.96334730000000002</v>
      </c>
      <c r="AB5258">
        <v>24</v>
      </c>
      <c r="AC5258">
        <v>45.001399999999897</v>
      </c>
      <c r="AD5258">
        <v>-1.161019</v>
      </c>
      <c r="AE5258">
        <v>15.3851399999999</v>
      </c>
      <c r="AF5258">
        <v>-12.804960820288301</v>
      </c>
      <c r="AG5258">
        <v>-1.161019</v>
      </c>
      <c r="AH5258">
        <v>45.773005046974603</v>
      </c>
      <c r="AI5258">
        <v>91.399279627736306</v>
      </c>
      <c r="AJ5258">
        <v>105.628919656005</v>
      </c>
      <c r="AK5258">
        <v>47.544536781399401</v>
      </c>
      <c r="AL5258">
        <v>89.540884653415702</v>
      </c>
      <c r="AM5258">
        <v>94.871034863733499</v>
      </c>
      <c r="AN5258">
        <v>1.0000000384119601</v>
      </c>
    </row>
    <row r="5259" spans="1:40" x14ac:dyDescent="0.3">
      <c r="A5259" t="str">
        <f>"20200111160607976"</f>
        <v>20200111160607976</v>
      </c>
      <c r="B5259" t="str">
        <f>"1578729967967702"</f>
        <v>1578729967967702</v>
      </c>
      <c r="C5259" t="s">
        <v>40</v>
      </c>
      <c r="D5259">
        <v>4.9364730000000003</v>
      </c>
      <c r="E5259">
        <v>0.42804009999999998</v>
      </c>
      <c r="F5259" t="s">
        <v>44</v>
      </c>
      <c r="G5259">
        <v>-303.86810000000003</v>
      </c>
      <c r="H5259">
        <v>-0.05</v>
      </c>
      <c r="I5259">
        <v>33.220910000000003</v>
      </c>
      <c r="J5259">
        <v>-350.67840000000001</v>
      </c>
      <c r="K5259">
        <v>1.1109979999999999</v>
      </c>
      <c r="L5259">
        <v>17.120539999999998</v>
      </c>
      <c r="M5259">
        <v>0.99830549999999996</v>
      </c>
      <c r="N5259">
        <v>0</v>
      </c>
      <c r="O5259">
        <v>5.7586020000000002E-2</v>
      </c>
      <c r="P5259">
        <v>0.99007900000000004</v>
      </c>
      <c r="Q5259">
        <v>2.7047099999999999E-4</v>
      </c>
      <c r="R5259">
        <v>0.14051159999999999</v>
      </c>
      <c r="S5259">
        <v>2.889008</v>
      </c>
      <c r="T5259">
        <v>-7.1434259999999999E-2</v>
      </c>
      <c r="U5259">
        <v>0.99118039999999996</v>
      </c>
      <c r="V5259">
        <v>-8.3282430000000005E-2</v>
      </c>
      <c r="W5259">
        <v>8.4015970000000002E-3</v>
      </c>
      <c r="X5259">
        <v>0.99649049999999995</v>
      </c>
      <c r="Y5259">
        <v>-0.2694511</v>
      </c>
      <c r="Z5259">
        <v>1.857893E-3</v>
      </c>
      <c r="AA5259">
        <v>0.96301230000000004</v>
      </c>
      <c r="AB5259">
        <v>24</v>
      </c>
      <c r="AC5259">
        <v>46.810299999999899</v>
      </c>
      <c r="AD5259">
        <v>-1.160998</v>
      </c>
      <c r="AE5259">
        <v>16.100369999999899</v>
      </c>
      <c r="AF5259">
        <v>-13.370582332992999</v>
      </c>
      <c r="AG5259">
        <v>-1.160998</v>
      </c>
      <c r="AH5259">
        <v>47.633601777774203</v>
      </c>
      <c r="AI5259">
        <v>91.344288327686797</v>
      </c>
      <c r="AJ5259">
        <v>105.679241746676</v>
      </c>
      <c r="AK5259">
        <v>49.488184515123599</v>
      </c>
      <c r="AL5259">
        <v>89.518618255298904</v>
      </c>
      <c r="AM5259">
        <v>94.777434453612997</v>
      </c>
      <c r="AN5259">
        <v>0.99999993328454995</v>
      </c>
    </row>
    <row r="5260" spans="1:40" x14ac:dyDescent="0.3">
      <c r="A5260" t="str">
        <f>"20200111160607996"</f>
        <v>20200111160607996</v>
      </c>
      <c r="B5260" t="str">
        <f>"1578729967988199"</f>
        <v>1578729967988199</v>
      </c>
      <c r="C5260" t="s">
        <v>40</v>
      </c>
      <c r="D5260">
        <v>4.9291580000000002</v>
      </c>
      <c r="E5260">
        <v>0.4273072</v>
      </c>
      <c r="F5260" t="s">
        <v>44</v>
      </c>
      <c r="G5260">
        <v>-303.745</v>
      </c>
      <c r="H5260">
        <v>-0.05</v>
      </c>
      <c r="I5260">
        <v>33.250019999999999</v>
      </c>
      <c r="J5260">
        <v>-350.46449999999999</v>
      </c>
      <c r="K5260">
        <v>1.1109629999999999</v>
      </c>
      <c r="L5260">
        <v>17.13449</v>
      </c>
      <c r="M5260">
        <v>0.99822350000000004</v>
      </c>
      <c r="N5260">
        <v>0</v>
      </c>
      <c r="O5260">
        <v>5.8982229999999997E-2</v>
      </c>
      <c r="P5260">
        <v>0.99025229999999997</v>
      </c>
      <c r="Q5260">
        <v>8.5834970000000003E-4</v>
      </c>
      <c r="R5260">
        <v>0.13928299999999999</v>
      </c>
      <c r="S5260">
        <v>2.8891909999999998</v>
      </c>
      <c r="T5260">
        <v>-7.1470259999999994E-2</v>
      </c>
      <c r="U5260">
        <v>0.99291989999999997</v>
      </c>
      <c r="V5260">
        <v>-8.0653089999999997E-2</v>
      </c>
      <c r="W5260">
        <v>9.0600850000000007E-3</v>
      </c>
      <c r="X5260">
        <v>0.99670110000000001</v>
      </c>
      <c r="Y5260">
        <v>-0.26860460000000003</v>
      </c>
      <c r="Z5260">
        <v>1.8150040000000001E-3</v>
      </c>
      <c r="AA5260">
        <v>0.96324880000000002</v>
      </c>
      <c r="AB5260">
        <v>24</v>
      </c>
      <c r="AC5260">
        <v>46.719499999999897</v>
      </c>
      <c r="AD5260">
        <v>-1.160963</v>
      </c>
      <c r="AE5260">
        <v>16.11553</v>
      </c>
      <c r="AF5260">
        <v>-13.3244003702347</v>
      </c>
      <c r="AG5260">
        <v>-1.160963</v>
      </c>
      <c r="AH5260">
        <v>47.5624736717077</v>
      </c>
      <c r="AI5260">
        <v>91.346450217547897</v>
      </c>
      <c r="AJ5260">
        <v>105.64996256096001</v>
      </c>
      <c r="AK5260">
        <v>49.407250298772603</v>
      </c>
      <c r="AL5260">
        <v>89.480888288463007</v>
      </c>
      <c r="AM5260">
        <v>94.626296432567301</v>
      </c>
      <c r="AN5260">
        <v>1.00000004440398</v>
      </c>
    </row>
    <row r="5261" spans="1:40" x14ac:dyDescent="0.3">
      <c r="A5261" t="str">
        <f>"20200111160608017"</f>
        <v>20200111160608017</v>
      </c>
      <c r="B5261" t="str">
        <f>"1578729968007718"</f>
        <v>1578729968007718</v>
      </c>
      <c r="C5261" t="s">
        <v>40</v>
      </c>
      <c r="D5261">
        <v>4.9633010000000004</v>
      </c>
      <c r="E5261">
        <v>0.42677039999999999</v>
      </c>
      <c r="F5261" t="s">
        <v>44</v>
      </c>
      <c r="G5261">
        <v>-301.4298</v>
      </c>
      <c r="H5261">
        <v>-0.05</v>
      </c>
      <c r="I5261">
        <v>34.02176</v>
      </c>
      <c r="J5261">
        <v>-350.24209999999999</v>
      </c>
      <c r="K5261">
        <v>1.1109150000000001</v>
      </c>
      <c r="L5261">
        <v>17.1492</v>
      </c>
      <c r="M5261">
        <v>0.99813980000000002</v>
      </c>
      <c r="N5261">
        <v>0</v>
      </c>
      <c r="O5261">
        <v>6.0374440000000001E-2</v>
      </c>
      <c r="P5261">
        <v>0.990456</v>
      </c>
      <c r="Q5261">
        <v>3.7459279999999998E-4</v>
      </c>
      <c r="R5261">
        <v>0.137828799999999</v>
      </c>
      <c r="S5261">
        <v>2.8896480000000002</v>
      </c>
      <c r="T5261">
        <v>-6.8416359999999996E-2</v>
      </c>
      <c r="U5261">
        <v>0.99517820000000001</v>
      </c>
      <c r="V5261">
        <v>-7.7797179999999994E-2</v>
      </c>
      <c r="W5261">
        <v>8.6457289999999996E-3</v>
      </c>
      <c r="X5261">
        <v>0.99693169999999998</v>
      </c>
      <c r="Y5261">
        <v>-0.26789269999999998</v>
      </c>
      <c r="Z5261">
        <v>1.6969750000000001E-3</v>
      </c>
      <c r="AA5261">
        <v>0.96344730000000001</v>
      </c>
      <c r="AB5261">
        <v>24</v>
      </c>
      <c r="AC5261">
        <v>48.812299999999901</v>
      </c>
      <c r="AD5261">
        <v>-1.1609149999999999</v>
      </c>
      <c r="AE5261">
        <v>16.87256</v>
      </c>
      <c r="AF5261">
        <v>-13.8876406428842</v>
      </c>
      <c r="AG5261">
        <v>-1.1609149999999999</v>
      </c>
      <c r="AH5261">
        <v>49.7168376294008</v>
      </c>
      <c r="AI5261">
        <v>91.288342559864006</v>
      </c>
      <c r="AJ5261">
        <v>105.606895632978</v>
      </c>
      <c r="AK5261">
        <v>51.633111761071603</v>
      </c>
      <c r="AL5261">
        <v>89.504630037144594</v>
      </c>
      <c r="AM5261">
        <v>94.462125931714795</v>
      </c>
      <c r="AN5261">
        <v>0.99999998215539099</v>
      </c>
    </row>
    <row r="5262" spans="1:40" x14ac:dyDescent="0.3">
      <c r="A5262" t="str">
        <f>"20200111160608030"</f>
        <v>20200111160608030</v>
      </c>
      <c r="B5262" t="str">
        <f>"1578729968027238"</f>
        <v>1578729968027238</v>
      </c>
      <c r="C5262" t="s">
        <v>40</v>
      </c>
      <c r="D5262">
        <v>5.447889</v>
      </c>
      <c r="E5262">
        <v>0.4268458</v>
      </c>
      <c r="F5262" t="s">
        <v>44</v>
      </c>
      <c r="G5262">
        <v>-302.858</v>
      </c>
      <c r="H5262">
        <v>-0.05</v>
      </c>
      <c r="I5262">
        <v>33.461359999999999</v>
      </c>
      <c r="J5262">
        <v>-350.10239999999999</v>
      </c>
      <c r="K5262">
        <v>1.1108800000000001</v>
      </c>
      <c r="L5262">
        <v>17.158570000000001</v>
      </c>
      <c r="M5262">
        <v>0.99808839999999999</v>
      </c>
      <c r="N5262">
        <v>0</v>
      </c>
      <c r="O5262">
        <v>6.121501E-2</v>
      </c>
      <c r="P5262">
        <v>0.99051739999999999</v>
      </c>
      <c r="Q5262">
        <v>-2.3606610000000001E-4</v>
      </c>
      <c r="R5262">
        <v>0.1373878</v>
      </c>
      <c r="S5262">
        <v>2.8904719999999999</v>
      </c>
      <c r="T5262">
        <v>-7.0816870000000004E-2</v>
      </c>
      <c r="U5262">
        <v>0.99505619999999995</v>
      </c>
      <c r="V5262">
        <v>-7.6511579999999996E-2</v>
      </c>
      <c r="W5262">
        <v>8.0744979999999994E-3</v>
      </c>
      <c r="X5262">
        <v>0.99703600000000003</v>
      </c>
      <c r="Y5262">
        <v>-0.266957</v>
      </c>
      <c r="Z5262">
        <v>1.7250119999999999E-3</v>
      </c>
      <c r="AA5262">
        <v>0.96370690000000003</v>
      </c>
      <c r="AB5262">
        <v>24</v>
      </c>
      <c r="AC5262">
        <v>47.244399999999899</v>
      </c>
      <c r="AD5262">
        <v>-1.1608799999999999</v>
      </c>
      <c r="AE5262">
        <v>16.302789999999899</v>
      </c>
      <c r="AF5262">
        <v>-13.3728276299948</v>
      </c>
      <c r="AG5262">
        <v>-1.1608799999999999</v>
      </c>
      <c r="AH5262">
        <v>48.127836740089101</v>
      </c>
      <c r="AI5262">
        <v>91.331330766986994</v>
      </c>
      <c r="AJ5262">
        <v>105.528514170885</v>
      </c>
      <c r="AK5262">
        <v>49.9646758267941</v>
      </c>
      <c r="AL5262">
        <v>89.537360316744895</v>
      </c>
      <c r="AM5262">
        <v>94.388222381937197</v>
      </c>
      <c r="AN5262">
        <v>1.0000000023440201</v>
      </c>
    </row>
    <row r="5263" spans="1:40" x14ac:dyDescent="0.3">
      <c r="A5263" t="str">
        <f>"20200111160608044"</f>
        <v>20200111160608044</v>
      </c>
      <c r="B5263" t="str">
        <f>"1578729968036998"</f>
        <v>1578729968036998</v>
      </c>
      <c r="C5263" t="s">
        <v>40</v>
      </c>
      <c r="D5263">
        <v>4.7508019999999904</v>
      </c>
      <c r="E5263">
        <v>0.47616750000000002</v>
      </c>
      <c r="F5263" t="s">
        <v>44</v>
      </c>
      <c r="G5263">
        <v>-306.00510000000003</v>
      </c>
      <c r="H5263">
        <v>-0.05</v>
      </c>
      <c r="I5263">
        <v>32.309849999999997</v>
      </c>
      <c r="J5263">
        <v>-349.94920000000002</v>
      </c>
      <c r="K5263">
        <v>1.1108420000000001</v>
      </c>
      <c r="L5263">
        <v>17.168979999999902</v>
      </c>
      <c r="M5263">
        <v>0.99803269999999999</v>
      </c>
      <c r="N5263">
        <v>0</v>
      </c>
      <c r="O5263">
        <v>6.21115E-2</v>
      </c>
      <c r="P5263">
        <v>0.99051330000000004</v>
      </c>
      <c r="Q5263">
        <v>-1.053553E-3</v>
      </c>
      <c r="R5263">
        <v>0.1374127</v>
      </c>
      <c r="S5263">
        <v>2.89093</v>
      </c>
      <c r="T5263">
        <v>-7.610488E-2</v>
      </c>
      <c r="U5263">
        <v>0.99328609999999995</v>
      </c>
      <c r="V5263">
        <v>-7.5638639999999993E-2</v>
      </c>
      <c r="W5263">
        <v>7.297754E-3</v>
      </c>
      <c r="X5263">
        <v>0.99710860000000001</v>
      </c>
      <c r="Y5263">
        <v>-0.26550869999999999</v>
      </c>
      <c r="Z5263">
        <v>1.8123569999999999E-3</v>
      </c>
      <c r="AA5263">
        <v>0.96410669999999998</v>
      </c>
      <c r="AB5263">
        <v>24</v>
      </c>
      <c r="AC5263">
        <v>43.944099999999899</v>
      </c>
      <c r="AD5263">
        <v>-1.1608419999999999</v>
      </c>
      <c r="AE5263">
        <v>15.14087</v>
      </c>
      <c r="AF5263">
        <v>-12.3743818833254</v>
      </c>
      <c r="AG5263">
        <v>-1.1608419999999999</v>
      </c>
      <c r="AH5263">
        <v>44.771776304723502</v>
      </c>
      <c r="AI5263">
        <v>91.431581699319594</v>
      </c>
      <c r="AJ5263">
        <v>105.45016038012299</v>
      </c>
      <c r="AK5263">
        <v>46.464877430415498</v>
      </c>
      <c r="AL5263">
        <v>89.581865788822</v>
      </c>
      <c r="AM5263">
        <v>94.338033609419199</v>
      </c>
      <c r="AN5263">
        <v>1.0000000106342199</v>
      </c>
    </row>
    <row r="5264" spans="1:40" x14ac:dyDescent="0.3">
      <c r="A5264" t="str">
        <f>"20200111160608061"</f>
        <v>20200111160608061</v>
      </c>
      <c r="B5264" t="str">
        <f>"1578729968057495"</f>
        <v>1578729968057495</v>
      </c>
      <c r="C5264" t="s">
        <v>40</v>
      </c>
      <c r="D5264">
        <v>5.5878310000000004</v>
      </c>
      <c r="E5264">
        <v>0.47616750000000002</v>
      </c>
      <c r="F5264" t="s">
        <v>41</v>
      </c>
      <c r="G5264">
        <v>-323.16660000000002</v>
      </c>
      <c r="H5264" s="1">
        <v>-4.023841E-6</v>
      </c>
      <c r="I5264">
        <v>22.672550000000001</v>
      </c>
      <c r="J5264">
        <v>-349.7636</v>
      </c>
      <c r="K5264">
        <v>1.110789</v>
      </c>
      <c r="L5264">
        <v>17.18167</v>
      </c>
      <c r="M5264">
        <v>0.99796839999999998</v>
      </c>
      <c r="N5264">
        <v>0</v>
      </c>
      <c r="O5264">
        <v>6.3133750000000002E-2</v>
      </c>
      <c r="P5264">
        <v>0.99059330000000001</v>
      </c>
      <c r="Q5264">
        <v>-2.3485419999999999E-3</v>
      </c>
      <c r="R5264">
        <v>0.1368201</v>
      </c>
      <c r="S5264">
        <v>2.9446720000000002</v>
      </c>
      <c r="T5264">
        <v>-0.1221343</v>
      </c>
      <c r="U5264">
        <v>0.60510249999999999</v>
      </c>
      <c r="V5264">
        <v>-7.4017390000000002E-2</v>
      </c>
      <c r="W5264">
        <v>6.0508519999999998E-3</v>
      </c>
      <c r="X5264">
        <v>0.99723859999999998</v>
      </c>
      <c r="Y5264">
        <v>-0.13897699999999999</v>
      </c>
      <c r="Z5264">
        <v>2.6607980000000001E-4</v>
      </c>
      <c r="AA5264">
        <v>0.99029560000000005</v>
      </c>
      <c r="AB5264">
        <v>24</v>
      </c>
      <c r="AC5264">
        <v>26.596999999999898</v>
      </c>
      <c r="AD5264">
        <v>-1.110793023841</v>
      </c>
      <c r="AE5264">
        <v>5.4908799999999998</v>
      </c>
      <c r="AF5264">
        <v>-3.7943478578766201</v>
      </c>
      <c r="AG5264">
        <v>-1.110793023841</v>
      </c>
      <c r="AH5264">
        <v>26.845698964394099</v>
      </c>
      <c r="AI5264">
        <v>92.346081579418595</v>
      </c>
      <c r="AJ5264">
        <v>98.044848338604496</v>
      </c>
      <c r="AK5264">
        <v>27.135262845516301</v>
      </c>
      <c r="AL5264">
        <v>89.653309604476405</v>
      </c>
      <c r="AM5264">
        <v>94.244843793546494</v>
      </c>
      <c r="AN5264">
        <v>1.00000000608114</v>
      </c>
    </row>
    <row r="5265" spans="1:40" x14ac:dyDescent="0.3">
      <c r="A5265" t="str">
        <f>"20200111160608075"</f>
        <v>20200111160608075</v>
      </c>
      <c r="B5265" t="str">
        <f>"1578729968067255"</f>
        <v>1578729968067255</v>
      </c>
      <c r="C5265" t="s">
        <v>40</v>
      </c>
      <c r="D5265">
        <v>5.019882</v>
      </c>
      <c r="E5265">
        <v>0.60383430000000005</v>
      </c>
      <c r="F5265" t="s">
        <v>41</v>
      </c>
      <c r="G5265">
        <v>-323.81049999999999</v>
      </c>
      <c r="H5265" s="1">
        <v>-3.6731789999999999E-6</v>
      </c>
      <c r="I5265">
        <v>22.498640000000002</v>
      </c>
      <c r="J5265">
        <v>-349.62349999999998</v>
      </c>
      <c r="K5265">
        <v>1.110751</v>
      </c>
      <c r="L5265">
        <v>17.191379999999999</v>
      </c>
      <c r="M5265">
        <v>0.99792190000000003</v>
      </c>
      <c r="N5265">
        <v>0</v>
      </c>
      <c r="O5265">
        <v>6.3859979999999997E-2</v>
      </c>
      <c r="P5265">
        <v>0.99050289999999996</v>
      </c>
      <c r="Q5265">
        <v>-2.515897E-3</v>
      </c>
      <c r="R5265">
        <v>0.1374705</v>
      </c>
      <c r="S5265">
        <v>2.9448240000000001</v>
      </c>
      <c r="T5265">
        <v>-0.1260387</v>
      </c>
      <c r="U5265">
        <v>0.603302</v>
      </c>
      <c r="V5265">
        <v>-7.3945650000000002E-2</v>
      </c>
      <c r="W5265">
        <v>5.9149559999999999E-3</v>
      </c>
      <c r="X5265">
        <v>0.99724469999999998</v>
      </c>
      <c r="Y5265">
        <v>-0.1376628</v>
      </c>
      <c r="Z5265">
        <v>2.1613900000000001E-4</v>
      </c>
      <c r="AA5265">
        <v>0.99047909999999995</v>
      </c>
      <c r="AB5265">
        <v>24</v>
      </c>
      <c r="AC5265">
        <v>25.812999999999899</v>
      </c>
      <c r="AD5265">
        <v>-1.1107546731789999</v>
      </c>
      <c r="AE5265">
        <v>5.3072599999999897</v>
      </c>
      <c r="AF5265">
        <v>-3.6414786280739202</v>
      </c>
      <c r="AG5265">
        <v>-1.1107546731789999</v>
      </c>
      <c r="AH5265">
        <v>26.052957975618501</v>
      </c>
      <c r="AI5265">
        <v>92.417823011359701</v>
      </c>
      <c r="AJ5265">
        <v>97.956807569175893</v>
      </c>
      <c r="AK5265">
        <v>26.329655558363299</v>
      </c>
      <c r="AL5265">
        <v>89.661095998401095</v>
      </c>
      <c r="AM5265">
        <v>94.240718727604204</v>
      </c>
      <c r="AN5265">
        <v>0.99999996876824604</v>
      </c>
    </row>
    <row r="5266" spans="1:40" x14ac:dyDescent="0.3">
      <c r="A5266" t="str">
        <f>"20200111160608087"</f>
        <v>20200111160608087</v>
      </c>
      <c r="B5266" t="str">
        <f>"1578729968077014"</f>
        <v>1578729968077014</v>
      </c>
      <c r="C5266" t="s">
        <v>40</v>
      </c>
      <c r="D5266">
        <v>5.1298380000000003</v>
      </c>
      <c r="E5266">
        <v>0.61196609999999996</v>
      </c>
      <c r="F5266" t="s">
        <v>44</v>
      </c>
      <c r="G5266">
        <v>-284.88220000000001</v>
      </c>
      <c r="H5266">
        <v>-0.05</v>
      </c>
      <c r="I5266">
        <v>8.6577000000000002</v>
      </c>
      <c r="J5266">
        <v>-349.4846</v>
      </c>
      <c r="K5266">
        <v>1.1107119999999999</v>
      </c>
      <c r="L5266">
        <v>17.20102</v>
      </c>
      <c r="M5266">
        <v>0.99787740000000003</v>
      </c>
      <c r="N5266">
        <v>0</v>
      </c>
      <c r="O5266">
        <v>6.4548739999999993E-2</v>
      </c>
      <c r="P5266">
        <v>0.99042370000000002</v>
      </c>
      <c r="Q5266">
        <v>-2.3908470000000002E-3</v>
      </c>
      <c r="R5266">
        <v>0.13804129999999901</v>
      </c>
      <c r="S5266">
        <v>3.0850520000000001</v>
      </c>
      <c r="T5266">
        <v>-5.5312159999999999E-2</v>
      </c>
      <c r="U5266">
        <v>-0.40664670000000003</v>
      </c>
      <c r="V5266">
        <v>-7.3831919999999995E-2</v>
      </c>
      <c r="W5266">
        <v>6.0713549999999996E-3</v>
      </c>
      <c r="X5266">
        <v>0.99725220000000003</v>
      </c>
      <c r="Y5266">
        <v>0.1943656</v>
      </c>
      <c r="Z5266">
        <v>-2.8876459999999998E-3</v>
      </c>
      <c r="AA5266">
        <v>0.98092489999999999</v>
      </c>
      <c r="AB5266">
        <v>24</v>
      </c>
      <c r="AC5266">
        <v>64.602399999999903</v>
      </c>
      <c r="AD5266">
        <v>-1.160712</v>
      </c>
      <c r="AE5266">
        <v>-8.5433199999999996</v>
      </c>
      <c r="AF5266">
        <v>12.6916335900214</v>
      </c>
      <c r="AG5266">
        <v>-1.160712</v>
      </c>
      <c r="AH5266">
        <v>63.895912359639297</v>
      </c>
      <c r="AI5266">
        <v>91.020764323380803</v>
      </c>
      <c r="AJ5266">
        <v>78.765573448831603</v>
      </c>
      <c r="AK5266">
        <v>65.154527331575395</v>
      </c>
      <c r="AL5266">
        <v>89.6521348391895</v>
      </c>
      <c r="AM5266">
        <v>94.234188422088593</v>
      </c>
      <c r="AN5266">
        <v>0.99999998208363094</v>
      </c>
    </row>
    <row r="5267" spans="1:40" x14ac:dyDescent="0.3">
      <c r="A5267" t="str">
        <f>"20200111160608107"</f>
        <v>20200111160608107</v>
      </c>
      <c r="B5267" t="str">
        <f>"1578729968097510"</f>
        <v>1578729968097510</v>
      </c>
      <c r="C5267" t="s">
        <v>40</v>
      </c>
      <c r="D5267">
        <v>5.3401019999999999</v>
      </c>
      <c r="E5267">
        <v>0.6169249</v>
      </c>
      <c r="F5267" t="s">
        <v>41</v>
      </c>
      <c r="G5267">
        <v>-326.048</v>
      </c>
      <c r="H5267" s="1">
        <v>-3.0834750000000002E-6</v>
      </c>
      <c r="I5267">
        <v>13.672000000000001</v>
      </c>
      <c r="J5267">
        <v>-349.2765</v>
      </c>
      <c r="K5267">
        <v>1.110643</v>
      </c>
      <c r="L5267">
        <v>17.215610000000002</v>
      </c>
      <c r="M5267">
        <v>0.99781609999999998</v>
      </c>
      <c r="N5267">
        <v>0</v>
      </c>
      <c r="O5267">
        <v>6.5483620000000006E-2</v>
      </c>
      <c r="P5267">
        <v>0.99025819999999998</v>
      </c>
      <c r="Q5267">
        <v>-1.904495E-3</v>
      </c>
      <c r="R5267">
        <v>0.13923179999999999</v>
      </c>
      <c r="S5267">
        <v>3.0935670000000002</v>
      </c>
      <c r="T5267">
        <v>-0.1466112</v>
      </c>
      <c r="U5267">
        <v>-0.46582030000000002</v>
      </c>
      <c r="V5267">
        <v>-7.4096529999999994E-2</v>
      </c>
      <c r="W5267">
        <v>6.6063569999999898E-3</v>
      </c>
      <c r="X5267">
        <v>0.99722920000000004</v>
      </c>
      <c r="Y5267">
        <v>0.21302860000000001</v>
      </c>
      <c r="Z5267">
        <v>-8.103463E-3</v>
      </c>
      <c r="AA5267">
        <v>0.97701229999999994</v>
      </c>
      <c r="AB5267">
        <v>24</v>
      </c>
      <c r="AC5267">
        <v>23.2285</v>
      </c>
      <c r="AD5267">
        <v>-1.110646083475</v>
      </c>
      <c r="AE5267">
        <v>-3.5436100000000001</v>
      </c>
      <c r="AF5267">
        <v>5.04587346198928</v>
      </c>
      <c r="AG5267">
        <v>-1.110646083475</v>
      </c>
      <c r="AH5267">
        <v>22.8954300873982</v>
      </c>
      <c r="AI5267">
        <v>92.712227268975994</v>
      </c>
      <c r="AJ5267">
        <v>77.571389673948502</v>
      </c>
      <c r="AK5267">
        <v>23.471154479575301</v>
      </c>
      <c r="AL5267">
        <v>89.6214808757897</v>
      </c>
      <c r="AM5267">
        <v>94.249405707588707</v>
      </c>
      <c r="AN5267">
        <v>1.00000000852174</v>
      </c>
    </row>
    <row r="5268" spans="1:40" x14ac:dyDescent="0.3">
      <c r="A5268" t="str">
        <f>"20200111160608120"</f>
        <v>20200111160608120</v>
      </c>
      <c r="B5268" t="str">
        <f>"1578729968117031"</f>
        <v>1578729968117031</v>
      </c>
      <c r="C5268" t="s">
        <v>40</v>
      </c>
      <c r="D5268">
        <v>5.2438640000000003</v>
      </c>
      <c r="E5268">
        <v>0.61773619999999996</v>
      </c>
      <c r="F5268" t="s">
        <v>41</v>
      </c>
      <c r="G5268">
        <v>-334.22989999999999</v>
      </c>
      <c r="H5268" s="1">
        <v>-3.312599E-6</v>
      </c>
      <c r="I5268">
        <v>14.79654</v>
      </c>
      <c r="J5268">
        <v>-349.12920000000003</v>
      </c>
      <c r="K5268">
        <v>1.1105849999999999</v>
      </c>
      <c r="L5268">
        <v>17.225919999999999</v>
      </c>
      <c r="M5268">
        <v>0.99777689999999997</v>
      </c>
      <c r="N5268">
        <v>0</v>
      </c>
      <c r="O5268">
        <v>6.6075330000000002E-2</v>
      </c>
      <c r="P5268">
        <v>0.99007149999999999</v>
      </c>
      <c r="Q5268">
        <v>-1.8043149999999999E-3</v>
      </c>
      <c r="R5268">
        <v>0.14055390000000001</v>
      </c>
      <c r="S5268">
        <v>3.099091</v>
      </c>
      <c r="T5268">
        <v>-0.22875599999999999</v>
      </c>
      <c r="U5268">
        <v>-0.49823000000000001</v>
      </c>
      <c r="V5268">
        <v>-7.4834919999999999E-2</v>
      </c>
      <c r="W5268">
        <v>6.7412969999999899E-3</v>
      </c>
      <c r="X5268">
        <v>0.99717310000000003</v>
      </c>
      <c r="Y5268">
        <v>0.22285350000000001</v>
      </c>
      <c r="Z5268">
        <v>-1.300511E-2</v>
      </c>
      <c r="AA5268">
        <v>0.9747652</v>
      </c>
      <c r="AB5268">
        <v>24</v>
      </c>
      <c r="AC5268">
        <v>14.8993</v>
      </c>
      <c r="AD5268">
        <v>-1.1105883125989999</v>
      </c>
      <c r="AE5268">
        <v>-2.4293800000000001</v>
      </c>
      <c r="AF5268">
        <v>3.39023491352819</v>
      </c>
      <c r="AG5268">
        <v>-1.1105883125989999</v>
      </c>
      <c r="AH5268">
        <v>14.627043622041301</v>
      </c>
      <c r="AI5268">
        <v>94.2302512078153</v>
      </c>
      <c r="AJ5268">
        <v>76.950489785675302</v>
      </c>
      <c r="AK5268">
        <v>15.055812973402899</v>
      </c>
      <c r="AL5268">
        <v>89.6137491889003</v>
      </c>
      <c r="AM5268">
        <v>94.291835178588101</v>
      </c>
      <c r="AN5268">
        <v>0.99999995085012805</v>
      </c>
    </row>
    <row r="5269" spans="1:40" x14ac:dyDescent="0.3">
      <c r="A5269" t="str">
        <f>"20200111160608140"</f>
        <v>20200111160608140</v>
      </c>
      <c r="B5269" t="str">
        <f>"1578729968127767"</f>
        <v>1578729968127767</v>
      </c>
      <c r="C5269" t="s">
        <v>40</v>
      </c>
      <c r="D5269">
        <v>5.2779439999999997</v>
      </c>
      <c r="E5269">
        <v>0.6177608</v>
      </c>
      <c r="F5269" t="s">
        <v>41</v>
      </c>
      <c r="G5269">
        <v>-336.56199999999899</v>
      </c>
      <c r="H5269" s="1">
        <v>-2.3301489999999998E-6</v>
      </c>
      <c r="I5269">
        <v>15.20346</v>
      </c>
      <c r="J5269">
        <v>-348.92739999999998</v>
      </c>
      <c r="K5269">
        <v>1.110501</v>
      </c>
      <c r="L5269">
        <v>17.24014</v>
      </c>
      <c r="M5269">
        <v>0.99772910000000004</v>
      </c>
      <c r="N5269">
        <v>0</v>
      </c>
      <c r="O5269">
        <v>6.6789929999999997E-2</v>
      </c>
      <c r="P5269">
        <v>0.98978849999999996</v>
      </c>
      <c r="Q5269">
        <v>-1.547405E-3</v>
      </c>
      <c r="R5269">
        <v>0.14253540000000001</v>
      </c>
      <c r="S5269">
        <v>3.100403</v>
      </c>
      <c r="T5269">
        <v>-0.27398810000000001</v>
      </c>
      <c r="U5269">
        <v>-0.49893189999999998</v>
      </c>
      <c r="V5269">
        <v>-7.6116139999999999E-2</v>
      </c>
      <c r="W5269">
        <v>7.0474200000000004E-3</v>
      </c>
      <c r="X5269">
        <v>0.99707409999999996</v>
      </c>
      <c r="Y5269">
        <v>0.22336500000000001</v>
      </c>
      <c r="Z5269">
        <v>-1.564598E-2</v>
      </c>
      <c r="AA5269">
        <v>0.97460930000000001</v>
      </c>
      <c r="AB5269">
        <v>24</v>
      </c>
      <c r="AC5269">
        <v>12.365399999999999</v>
      </c>
      <c r="AD5269">
        <v>-1.1105033301489999</v>
      </c>
      <c r="AE5269">
        <v>-2.03668</v>
      </c>
      <c r="AF5269">
        <v>2.8357798737426498</v>
      </c>
      <c r="AG5269">
        <v>-1.1105033301489999</v>
      </c>
      <c r="AH5269">
        <v>12.1066861482824</v>
      </c>
      <c r="AI5269">
        <v>95.103499825890097</v>
      </c>
      <c r="AJ5269">
        <v>76.817126747273207</v>
      </c>
      <c r="AK5269">
        <v>12.4838581629082</v>
      </c>
      <c r="AL5269">
        <v>89.5962092539785</v>
      </c>
      <c r="AM5269">
        <v>94.365464165415204</v>
      </c>
      <c r="AN5269">
        <v>1.00000004689398</v>
      </c>
    </row>
    <row r="5270" spans="1:40" x14ac:dyDescent="0.3">
      <c r="A5270" t="str">
        <f>"20200111160608162"</f>
        <v>20200111160608162</v>
      </c>
      <c r="B5270" t="str">
        <f>"1578729968157047"</f>
        <v>1578729968157047</v>
      </c>
      <c r="C5270" t="s">
        <v>40</v>
      </c>
      <c r="D5270">
        <v>5.2855089999999896</v>
      </c>
      <c r="E5270">
        <v>0.61795440000000001</v>
      </c>
      <c r="F5270" t="s">
        <v>41</v>
      </c>
      <c r="G5270">
        <v>-337.01909999999998</v>
      </c>
      <c r="H5270" s="1">
        <v>-2.1359090000000002E-6</v>
      </c>
      <c r="I5270">
        <v>15.34895</v>
      </c>
      <c r="J5270">
        <v>-348.68360000000001</v>
      </c>
      <c r="K5270">
        <v>1.110382</v>
      </c>
      <c r="L5270">
        <v>17.257349999999999</v>
      </c>
      <c r="M5270">
        <v>0.99768159999999895</v>
      </c>
      <c r="N5270">
        <v>0</v>
      </c>
      <c r="O5270">
        <v>6.7488950000000006E-2</v>
      </c>
      <c r="P5270">
        <v>0.98944339999999997</v>
      </c>
      <c r="Q5270">
        <v>-8.8220460000000003E-4</v>
      </c>
      <c r="R5270">
        <v>0.14491660000000001</v>
      </c>
      <c r="S5270">
        <v>3.10141</v>
      </c>
      <c r="T5270">
        <v>-0.28922049999999999</v>
      </c>
      <c r="U5270">
        <v>-0.49252319999999999</v>
      </c>
      <c r="V5270">
        <v>-7.7814850000000005E-2</v>
      </c>
      <c r="W5270">
        <v>7.7731459999999999E-3</v>
      </c>
      <c r="X5270">
        <v>0.99693750000000003</v>
      </c>
      <c r="Y5270">
        <v>0.22191159999999999</v>
      </c>
      <c r="Z5270">
        <v>-1.6507009999999999E-2</v>
      </c>
      <c r="AA5270">
        <v>0.97492710000000005</v>
      </c>
      <c r="AB5270">
        <v>24</v>
      </c>
      <c r="AC5270">
        <v>11.6645</v>
      </c>
      <c r="AD5270">
        <v>-1.1103841359090001</v>
      </c>
      <c r="AE5270">
        <v>-1.9083999999999901</v>
      </c>
      <c r="AF5270">
        <v>2.6677591290638398</v>
      </c>
      <c r="AG5270">
        <v>-1.1103841359090001</v>
      </c>
      <c r="AH5270">
        <v>11.408416661606999</v>
      </c>
      <c r="AI5270">
        <v>95.413953743249607</v>
      </c>
      <c r="AJ5270">
        <v>76.838378510118304</v>
      </c>
      <c r="AK5270">
        <v>11.768681422522</v>
      </c>
      <c r="AL5270">
        <v>89.554627044763606</v>
      </c>
      <c r="AM5270">
        <v>94.463109455044105</v>
      </c>
      <c r="AN5270">
        <v>0.99999997579275401</v>
      </c>
    </row>
    <row r="5271" spans="1:40" x14ac:dyDescent="0.3">
      <c r="A5271" t="str">
        <f>"20200111160608174"</f>
        <v>20200111160608174</v>
      </c>
      <c r="B5271" t="str">
        <f>"1578729968167783"</f>
        <v>1578729968167783</v>
      </c>
      <c r="C5271" t="s">
        <v>40</v>
      </c>
      <c r="D5271">
        <v>5.3322690000000001</v>
      </c>
      <c r="E5271">
        <v>0.61796980000000001</v>
      </c>
      <c r="F5271" t="s">
        <v>41</v>
      </c>
      <c r="G5271">
        <v>-337.9486</v>
      </c>
      <c r="H5271" s="1">
        <v>-1.7587979999999999E-6</v>
      </c>
      <c r="I5271">
        <v>15.577450000000001</v>
      </c>
      <c r="J5271">
        <v>-348.54750000000001</v>
      </c>
      <c r="K5271">
        <v>1.110309</v>
      </c>
      <c r="L5271">
        <v>17.266909999999999</v>
      </c>
      <c r="M5271">
        <v>0.99766239999999995</v>
      </c>
      <c r="N5271">
        <v>0</v>
      </c>
      <c r="O5271">
        <v>6.7768369999999994E-2</v>
      </c>
      <c r="P5271">
        <v>0.98931150000000001</v>
      </c>
      <c r="Q5271">
        <v>-8.0144410000000004E-4</v>
      </c>
      <c r="R5271">
        <v>0.14581669999999999</v>
      </c>
      <c r="S5271">
        <v>3.1028440000000002</v>
      </c>
      <c r="T5271">
        <v>-0.32094329999999999</v>
      </c>
      <c r="U5271">
        <v>-0.48553469999999999</v>
      </c>
      <c r="V5271">
        <v>-7.844131E-2</v>
      </c>
      <c r="W5271">
        <v>7.8890160000000004E-3</v>
      </c>
      <c r="X5271">
        <v>0.99688750000000004</v>
      </c>
      <c r="Y5271">
        <v>0.21969920000000001</v>
      </c>
      <c r="Z5271">
        <v>-1.8218539999999998E-2</v>
      </c>
      <c r="AA5271">
        <v>0.97539750000000003</v>
      </c>
      <c r="AB5271">
        <v>24</v>
      </c>
      <c r="AC5271">
        <v>10.5989</v>
      </c>
      <c r="AD5271">
        <v>-1.1103107587979999</v>
      </c>
      <c r="AE5271">
        <v>-1.68945999999999</v>
      </c>
      <c r="AF5271">
        <v>2.3784194835162098</v>
      </c>
      <c r="AG5271">
        <v>-1.1103107587979999</v>
      </c>
      <c r="AH5271">
        <v>10.34927631507</v>
      </c>
      <c r="AI5271">
        <v>95.969060623761905</v>
      </c>
      <c r="AJ5271">
        <v>77.057300182218995</v>
      </c>
      <c r="AK5271">
        <v>10.6769466359227</v>
      </c>
      <c r="AL5271">
        <v>89.547987981708403</v>
      </c>
      <c r="AM5271">
        <v>94.499118180603304</v>
      </c>
      <c r="AN5271">
        <v>0.99999998167210702</v>
      </c>
    </row>
    <row r="5272" spans="1:40" x14ac:dyDescent="0.3">
      <c r="A5272" t="str">
        <f>"20200111160608186"</f>
        <v>20200111160608186</v>
      </c>
      <c r="B5272" t="str">
        <f>"1578729968177542"</f>
        <v>1578729968177542</v>
      </c>
      <c r="C5272" t="s">
        <v>40</v>
      </c>
      <c r="D5272">
        <v>5.3554659999999998</v>
      </c>
      <c r="E5272">
        <v>0.61808339999999995</v>
      </c>
      <c r="F5272" t="s">
        <v>41</v>
      </c>
      <c r="G5272">
        <v>-338.0804</v>
      </c>
      <c r="H5272" s="1">
        <v>-1.6975479999999999E-6</v>
      </c>
      <c r="I5272">
        <v>15.63904</v>
      </c>
      <c r="J5272">
        <v>-348.41559999999998</v>
      </c>
      <c r="K5272">
        <v>1.110233</v>
      </c>
      <c r="L5272">
        <v>17.276150000000001</v>
      </c>
      <c r="M5272">
        <v>0.99764660000000005</v>
      </c>
      <c r="N5272">
        <v>0</v>
      </c>
      <c r="O5272">
        <v>6.8000160000000004E-2</v>
      </c>
      <c r="P5272">
        <v>0.98920319999999995</v>
      </c>
      <c r="Q5272">
        <v>-1.070257E-3</v>
      </c>
      <c r="R5272">
        <v>0.14654729999999999</v>
      </c>
      <c r="S5272">
        <v>3.1032709999999999</v>
      </c>
      <c r="T5272">
        <v>-0.32918429999999999</v>
      </c>
      <c r="U5272">
        <v>-0.48260500000000001</v>
      </c>
      <c r="V5272">
        <v>-7.8944360000000005E-2</v>
      </c>
      <c r="W5272">
        <v>7.6544169999999898E-3</v>
      </c>
      <c r="X5272">
        <v>0.99684969999999995</v>
      </c>
      <c r="Y5272">
        <v>0.2189315</v>
      </c>
      <c r="Z5272">
        <v>-1.8666599999999998E-2</v>
      </c>
      <c r="AA5272">
        <v>0.97556169999999998</v>
      </c>
      <c r="AB5272">
        <v>24</v>
      </c>
      <c r="AC5272">
        <v>10.335199999999899</v>
      </c>
      <c r="AD5272">
        <v>-1.110234697548</v>
      </c>
      <c r="AE5272">
        <v>-1.6371100000000001</v>
      </c>
      <c r="AF5272">
        <v>2.3101370857559802</v>
      </c>
      <c r="AG5272">
        <v>-1.110234697548</v>
      </c>
      <c r="AH5272">
        <v>10.0864029280119</v>
      </c>
      <c r="AI5272">
        <v>96.124077309916999</v>
      </c>
      <c r="AJ5272">
        <v>77.099770981030403</v>
      </c>
      <c r="AK5272">
        <v>10.4069629798915</v>
      </c>
      <c r="AL5272">
        <v>89.561429956284201</v>
      </c>
      <c r="AM5272">
        <v>94.528022744820603</v>
      </c>
      <c r="AN5272">
        <v>1.0000000632327499</v>
      </c>
    </row>
    <row r="5273" spans="1:40" x14ac:dyDescent="0.3">
      <c r="A5273" t="str">
        <f>"20200111160608198"</f>
        <v>20200111160608198</v>
      </c>
      <c r="B5273" t="str">
        <f>"1578729968187303"</f>
        <v>1578729968187303</v>
      </c>
      <c r="C5273" t="s">
        <v>40</v>
      </c>
      <c r="D5273">
        <v>5.313847</v>
      </c>
      <c r="E5273">
        <v>0.61829160000000005</v>
      </c>
      <c r="F5273" t="s">
        <v>41</v>
      </c>
      <c r="G5273">
        <v>-338.17169999999999</v>
      </c>
      <c r="H5273" s="1">
        <v>-1.6533929999999999E-6</v>
      </c>
      <c r="I5273">
        <v>15.6883</v>
      </c>
      <c r="J5273">
        <v>-348.28629999999998</v>
      </c>
      <c r="K5273">
        <v>1.1101559999999999</v>
      </c>
      <c r="L5273">
        <v>17.28519</v>
      </c>
      <c r="M5273">
        <v>0.99763579999999996</v>
      </c>
      <c r="N5273">
        <v>0</v>
      </c>
      <c r="O5273">
        <v>6.8153920000000007E-2</v>
      </c>
      <c r="P5273">
        <v>0.98913660000000003</v>
      </c>
      <c r="Q5273">
        <v>-1.450151E-3</v>
      </c>
      <c r="R5273">
        <v>0.14699179999999901</v>
      </c>
      <c r="S5273">
        <v>3.1036380000000001</v>
      </c>
      <c r="T5273">
        <v>-0.33636830000000001</v>
      </c>
      <c r="U5273">
        <v>-0.48104859999999999</v>
      </c>
      <c r="V5273">
        <v>-7.9236890000000004E-2</v>
      </c>
      <c r="W5273">
        <v>7.3072889999999998E-3</v>
      </c>
      <c r="X5273">
        <v>0.99682899999999997</v>
      </c>
      <c r="Y5273">
        <v>0.21851899999999999</v>
      </c>
      <c r="Z5273">
        <v>-1.906453E-2</v>
      </c>
      <c r="AA5273">
        <v>0.97564640000000002</v>
      </c>
      <c r="AB5273">
        <v>24</v>
      </c>
      <c r="AC5273">
        <v>10.1145999999999</v>
      </c>
      <c r="AD5273">
        <v>-1.110157653393</v>
      </c>
      <c r="AE5273">
        <v>-1.5968899999999999</v>
      </c>
      <c r="AF5273">
        <v>2.2560360634712899</v>
      </c>
      <c r="AG5273">
        <v>-1.110157653393</v>
      </c>
      <c r="AH5273">
        <v>9.8662748241639608</v>
      </c>
      <c r="AI5273">
        <v>96.259712950975597</v>
      </c>
      <c r="AJ5273">
        <v>77.120100333672696</v>
      </c>
      <c r="AK5273">
        <v>10.1816269643413</v>
      </c>
      <c r="AL5273">
        <v>89.581319441246805</v>
      </c>
      <c r="AM5273">
        <v>94.544825248197697</v>
      </c>
      <c r="AN5273">
        <v>0.99999996822519999</v>
      </c>
    </row>
    <row r="5274" spans="1:40" x14ac:dyDescent="0.3">
      <c r="A5274" t="str">
        <f>"20200111160608217"</f>
        <v>20200111160608217</v>
      </c>
      <c r="B5274" t="str">
        <f>"1578729968207798"</f>
        <v>1578729968207798</v>
      </c>
      <c r="C5274" t="s">
        <v>40</v>
      </c>
      <c r="D5274">
        <v>5.2895390000000004</v>
      </c>
      <c r="E5274">
        <v>0.61870230000000004</v>
      </c>
      <c r="F5274" t="s">
        <v>42</v>
      </c>
      <c r="G5274">
        <v>-347.495</v>
      </c>
      <c r="H5274">
        <v>1.0226729999999999</v>
      </c>
      <c r="I5274">
        <v>17.162369999999999</v>
      </c>
      <c r="J5274">
        <v>-348.07839999999999</v>
      </c>
      <c r="K5274">
        <v>1.1100369999999999</v>
      </c>
      <c r="L5274">
        <v>17.299589999999998</v>
      </c>
      <c r="M5274">
        <v>0.9976254</v>
      </c>
      <c r="N5274">
        <v>0</v>
      </c>
      <c r="O5274">
        <v>6.8303939999999994E-2</v>
      </c>
      <c r="P5274">
        <v>0.98913510000000004</v>
      </c>
      <c r="Q5274">
        <v>-1.9519909999999999E-3</v>
      </c>
      <c r="R5274">
        <v>0.14699670000000001</v>
      </c>
      <c r="S5274">
        <v>3.1039119999999998</v>
      </c>
      <c r="T5274">
        <v>-0.3431632</v>
      </c>
      <c r="U5274">
        <v>-0.4810181</v>
      </c>
      <c r="V5274">
        <v>-7.9090270000000004E-2</v>
      </c>
      <c r="W5274">
        <v>6.8562129999999999E-3</v>
      </c>
      <c r="X5274">
        <v>0.9968439</v>
      </c>
      <c r="Y5274">
        <v>0.21857550000000001</v>
      </c>
      <c r="Z5274">
        <v>-1.946525E-2</v>
      </c>
      <c r="AA5274">
        <v>0.97562590000000005</v>
      </c>
      <c r="AB5274">
        <v>24</v>
      </c>
      <c r="AC5274">
        <v>0.58339999999998304</v>
      </c>
      <c r="AD5274">
        <v>-8.7364000000000205E-2</v>
      </c>
      <c r="AE5274">
        <v>-0.13721999999999501</v>
      </c>
      <c r="AF5274">
        <v>0.173071904512413</v>
      </c>
      <c r="AG5274">
        <v>-8.7364000000000205E-2</v>
      </c>
      <c r="AH5274">
        <v>0.56074878100497505</v>
      </c>
      <c r="AI5274">
        <v>98.467399355942604</v>
      </c>
      <c r="AJ5274">
        <v>72.847457626832707</v>
      </c>
      <c r="AK5274">
        <v>0.59331740917161602</v>
      </c>
      <c r="AL5274">
        <v>89.607164861651697</v>
      </c>
      <c r="AM5274">
        <v>94.536383110606096</v>
      </c>
      <c r="AN5274">
        <v>1.0000000197162899</v>
      </c>
    </row>
    <row r="5275" spans="1:40" x14ac:dyDescent="0.3">
      <c r="A5275" t="str">
        <f>"20200111160608230"</f>
        <v>20200111160608230</v>
      </c>
      <c r="B5275" t="str">
        <f>"1578729968227319"</f>
        <v>1578729968227319</v>
      </c>
      <c r="C5275" t="s">
        <v>40</v>
      </c>
      <c r="D5275">
        <v>5.2892039999999998</v>
      </c>
      <c r="E5275">
        <v>0.61904329999999996</v>
      </c>
      <c r="F5275" t="s">
        <v>42</v>
      </c>
      <c r="G5275">
        <v>-347.279</v>
      </c>
      <c r="H5275">
        <v>1.01889599999999</v>
      </c>
      <c r="I5275">
        <v>17.174700000000001</v>
      </c>
      <c r="J5275">
        <v>-347.94670000000002</v>
      </c>
      <c r="K5275">
        <v>1.109969</v>
      </c>
      <c r="L5275">
        <v>17.308689999999999</v>
      </c>
      <c r="M5275">
        <v>0.99762329999999999</v>
      </c>
      <c r="N5275">
        <v>0</v>
      </c>
      <c r="O5275">
        <v>6.8333740000000004E-2</v>
      </c>
      <c r="P5275">
        <v>0.98917580000000005</v>
      </c>
      <c r="Q5275">
        <v>-2.3385099999999998E-3</v>
      </c>
      <c r="R5275">
        <v>0.14671789999999901</v>
      </c>
      <c r="S5275">
        <v>3.1041259999999999</v>
      </c>
      <c r="T5275">
        <v>-0.35381089999999998</v>
      </c>
      <c r="U5275">
        <v>-0.48391719999999999</v>
      </c>
      <c r="V5275">
        <v>-7.8778169999999995E-2</v>
      </c>
      <c r="W5275">
        <v>6.4995469999999996E-3</v>
      </c>
      <c r="X5275">
        <v>0.99687099999999995</v>
      </c>
      <c r="Y5275">
        <v>0.21937190000000001</v>
      </c>
      <c r="Z5275">
        <v>-2.011108E-2</v>
      </c>
      <c r="AA5275">
        <v>0.97543400000000002</v>
      </c>
      <c r="AB5275">
        <v>24</v>
      </c>
      <c r="AC5275">
        <v>0.66770000000002405</v>
      </c>
      <c r="AD5275">
        <v>-9.1073000000000098E-2</v>
      </c>
      <c r="AE5275">
        <v>-0.133989999999997</v>
      </c>
      <c r="AF5275">
        <v>0.17615460875591099</v>
      </c>
      <c r="AG5275">
        <v>-9.1073000000000098E-2</v>
      </c>
      <c r="AH5275">
        <v>0.64543955034914302</v>
      </c>
      <c r="AI5275">
        <v>97.751666847024197</v>
      </c>
      <c r="AJ5275">
        <v>74.734500822696504</v>
      </c>
      <c r="AK5275">
        <v>0.67521622512336898</v>
      </c>
      <c r="AL5275">
        <v>89.627600772659605</v>
      </c>
      <c r="AM5275">
        <v>94.518433929917407</v>
      </c>
      <c r="AN5275">
        <v>1.00000001741037</v>
      </c>
    </row>
    <row r="5276" spans="1:40" x14ac:dyDescent="0.3">
      <c r="A5276" t="str">
        <f>"20200111160608242"</f>
        <v>20200111160608242</v>
      </c>
      <c r="B5276" t="str">
        <f>"1578729968237078"</f>
        <v>1578729968237078</v>
      </c>
      <c r="C5276" t="s">
        <v>40</v>
      </c>
      <c r="D5276">
        <v>5.3264239999999896</v>
      </c>
      <c r="E5276">
        <v>0.61928130000000003</v>
      </c>
      <c r="F5276" t="s">
        <v>41</v>
      </c>
      <c r="G5276">
        <v>-338.42189999999999</v>
      </c>
      <c r="H5276" s="1">
        <v>-1.5349130000000001E-6</v>
      </c>
      <c r="I5276">
        <v>15.813560000000001</v>
      </c>
      <c r="J5276">
        <v>-347.80079999999998</v>
      </c>
      <c r="K5276">
        <v>1.109901</v>
      </c>
      <c r="L5276">
        <v>17.3187</v>
      </c>
      <c r="M5276">
        <v>0.99762410000000001</v>
      </c>
      <c r="N5276">
        <v>0</v>
      </c>
      <c r="O5276">
        <v>6.8319240000000003E-2</v>
      </c>
      <c r="P5276">
        <v>0.98921159999999997</v>
      </c>
      <c r="Q5276">
        <v>-2.6030469999999998E-3</v>
      </c>
      <c r="R5276">
        <v>0.1464712</v>
      </c>
      <c r="S5276">
        <v>3.1042179999999999</v>
      </c>
      <c r="T5276">
        <v>-0.3617455</v>
      </c>
      <c r="U5276">
        <v>-0.4872437</v>
      </c>
      <c r="V5276">
        <v>-7.8542970000000004E-2</v>
      </c>
      <c r="W5276">
        <v>6.266855E-3</v>
      </c>
      <c r="X5276">
        <v>0.99689099999999997</v>
      </c>
      <c r="Y5276">
        <v>0.2202857</v>
      </c>
      <c r="Z5276">
        <v>-2.060801E-2</v>
      </c>
      <c r="AA5276">
        <v>0.97521769999999997</v>
      </c>
      <c r="AB5276">
        <v>24</v>
      </c>
      <c r="AC5276">
        <v>9.3788999999999803</v>
      </c>
      <c r="AD5276">
        <v>-1.1099025349130001</v>
      </c>
      <c r="AE5276">
        <v>-1.5051399999999899</v>
      </c>
      <c r="AF5276">
        <v>2.1135515459254601</v>
      </c>
      <c r="AG5276">
        <v>-1.1099025349130001</v>
      </c>
      <c r="AH5276">
        <v>9.1295069541060396</v>
      </c>
      <c r="AI5276">
        <v>96.754676956955095</v>
      </c>
      <c r="AJ5276">
        <v>76.965215555783502</v>
      </c>
      <c r="AK5276">
        <v>9.4364654929354099</v>
      </c>
      <c r="AL5276">
        <v>89.640933296131095</v>
      </c>
      <c r="AM5276">
        <v>94.504909304184295</v>
      </c>
      <c r="AN5276">
        <v>0.99999996874450503</v>
      </c>
    </row>
    <row r="5277" spans="1:40" x14ac:dyDescent="0.3">
      <c r="A5277" t="str">
        <f>"20200111160608255"</f>
        <v>20200111160608255</v>
      </c>
      <c r="B5277" t="str">
        <f>"1578729968247814"</f>
        <v>1578729968247814</v>
      </c>
      <c r="C5277" t="s">
        <v>40</v>
      </c>
      <c r="D5277">
        <v>5.2355269999999896</v>
      </c>
      <c r="E5277">
        <v>0.61947719999999995</v>
      </c>
      <c r="F5277" t="s">
        <v>42</v>
      </c>
      <c r="G5277">
        <v>-347.06099999999998</v>
      </c>
      <c r="H5277">
        <v>1.022985</v>
      </c>
      <c r="I5277">
        <v>17.20166</v>
      </c>
      <c r="J5277">
        <v>-347.66410000000002</v>
      </c>
      <c r="K5277">
        <v>1.1098380000000001</v>
      </c>
      <c r="L5277">
        <v>17.327970000000001</v>
      </c>
      <c r="M5277">
        <v>0.99763060000000003</v>
      </c>
      <c r="N5277">
        <v>0</v>
      </c>
      <c r="O5277">
        <v>6.8220989999999995E-2</v>
      </c>
      <c r="P5277">
        <v>0.98923320000000003</v>
      </c>
      <c r="Q5277">
        <v>-2.8679959999999998E-3</v>
      </c>
      <c r="R5277">
        <v>0.14632039999999999</v>
      </c>
      <c r="S5277">
        <v>3.1043400000000001</v>
      </c>
      <c r="T5277">
        <v>-0.36468479999999998</v>
      </c>
      <c r="U5277">
        <v>-0.49005130000000002</v>
      </c>
      <c r="V5277">
        <v>-7.8488420000000003E-2</v>
      </c>
      <c r="W5277">
        <v>6.0293940000000004E-3</v>
      </c>
      <c r="X5277">
        <v>0.99689680000000003</v>
      </c>
      <c r="Y5277">
        <v>0.2210096</v>
      </c>
      <c r="Z5277">
        <v>-2.080284E-2</v>
      </c>
      <c r="AA5277">
        <v>0.97504970000000002</v>
      </c>
      <c r="AB5277">
        <v>24</v>
      </c>
      <c r="AC5277">
        <v>0.60310000000004005</v>
      </c>
      <c r="AD5277">
        <v>-8.6852999999999805E-2</v>
      </c>
      <c r="AE5277">
        <v>-0.12631000000000001</v>
      </c>
      <c r="AF5277">
        <v>0.163904995103483</v>
      </c>
      <c r="AG5277">
        <v>-8.6852999999999805E-2</v>
      </c>
      <c r="AH5277">
        <v>0.58152393122102897</v>
      </c>
      <c r="AI5277">
        <v>98.180411209761402</v>
      </c>
      <c r="AJ5277">
        <v>74.259283748883107</v>
      </c>
      <c r="AK5277">
        <v>0.610391983574189</v>
      </c>
      <c r="AL5277">
        <v>89.654539080312802</v>
      </c>
      <c r="AM5277">
        <v>94.501767316610895</v>
      </c>
      <c r="AN5277">
        <v>1.0000000077581701</v>
      </c>
    </row>
    <row r="5278" spans="1:40" x14ac:dyDescent="0.3">
      <c r="A5278" t="str">
        <f>"20200111160608275"</f>
        <v>20200111160608275</v>
      </c>
      <c r="B5278" t="str">
        <f>"1578729968267335"</f>
        <v>1578729968267335</v>
      </c>
      <c r="C5278" t="s">
        <v>40</v>
      </c>
      <c r="D5278">
        <v>5.2962449999999999</v>
      </c>
      <c r="E5278">
        <v>0.61974110000000004</v>
      </c>
      <c r="F5278" t="s">
        <v>42</v>
      </c>
      <c r="G5278">
        <v>-346.84379999999999</v>
      </c>
      <c r="H5278">
        <v>1.0129280000000001</v>
      </c>
      <c r="I5278">
        <v>17.19754</v>
      </c>
      <c r="J5278">
        <v>-347.4545</v>
      </c>
      <c r="K5278">
        <v>1.1097429999999999</v>
      </c>
      <c r="L5278">
        <v>17.342099999999999</v>
      </c>
      <c r="M5278">
        <v>0.99764660000000005</v>
      </c>
      <c r="N5278">
        <v>0</v>
      </c>
      <c r="O5278">
        <v>6.7983210000000002E-2</v>
      </c>
      <c r="P5278">
        <v>0.9892012</v>
      </c>
      <c r="Q5278">
        <v>-3.9385959999999999E-3</v>
      </c>
      <c r="R5278">
        <v>0.1465119</v>
      </c>
      <c r="S5278">
        <v>3.1043699999999999</v>
      </c>
      <c r="T5278">
        <v>-0.36672339999999998</v>
      </c>
      <c r="U5278">
        <v>-0.49224849999999998</v>
      </c>
      <c r="V5278">
        <v>-7.8918600000000005E-2</v>
      </c>
      <c r="W5278">
        <v>4.9994419999999998E-3</v>
      </c>
      <c r="X5278">
        <v>0.99686859999999999</v>
      </c>
      <c r="Y5278">
        <v>0.2214264</v>
      </c>
      <c r="Z5278">
        <v>-2.0913589999999999E-2</v>
      </c>
      <c r="AA5278">
        <v>0.97495279999999995</v>
      </c>
      <c r="AB5278">
        <v>24</v>
      </c>
      <c r="AC5278">
        <v>0.61070000000000801</v>
      </c>
      <c r="AD5278">
        <v>-9.6814999999999804E-2</v>
      </c>
      <c r="AE5278">
        <v>-0.144559999999998</v>
      </c>
      <c r="AF5278">
        <v>0.181426814902621</v>
      </c>
      <c r="AG5278">
        <v>-9.6814999999999804E-2</v>
      </c>
      <c r="AH5278">
        <v>0.58552428603620599</v>
      </c>
      <c r="AI5278">
        <v>98.975126226044694</v>
      </c>
      <c r="AJ5278">
        <v>72.784216181503893</v>
      </c>
      <c r="AK5278">
        <v>0.62058643469618202</v>
      </c>
      <c r="AL5278">
        <v>89.713551901044596</v>
      </c>
      <c r="AM5278">
        <v>94.526465902262899</v>
      </c>
      <c r="AN5278">
        <v>1.00000007275611</v>
      </c>
    </row>
    <row r="5279" spans="1:40" x14ac:dyDescent="0.3">
      <c r="A5279" t="str">
        <f>"20200111160608286"</f>
        <v>20200111160608286</v>
      </c>
      <c r="B5279" t="str">
        <f>"1578729968277094"</f>
        <v>1578729968277094</v>
      </c>
      <c r="C5279" t="s">
        <v>40</v>
      </c>
      <c r="D5279">
        <v>5.2620449999999996</v>
      </c>
      <c r="E5279">
        <v>0.61990140000000005</v>
      </c>
      <c r="F5279" t="s">
        <v>42</v>
      </c>
      <c r="G5279">
        <v>-346.62569999999999</v>
      </c>
      <c r="H5279">
        <v>1.0104519999999999</v>
      </c>
      <c r="I5279">
        <v>17.210079999999898</v>
      </c>
      <c r="J5279">
        <v>-347.32420000000002</v>
      </c>
      <c r="K5279">
        <v>1.1096900000000001</v>
      </c>
      <c r="L5279">
        <v>17.350829999999998</v>
      </c>
      <c r="M5279">
        <v>0.99766030000000006</v>
      </c>
      <c r="N5279">
        <v>0</v>
      </c>
      <c r="O5279">
        <v>6.7781040000000001E-2</v>
      </c>
      <c r="P5279">
        <v>0.98913050000000002</v>
      </c>
      <c r="Q5279">
        <v>-4.278212E-3</v>
      </c>
      <c r="R5279">
        <v>0.1469782</v>
      </c>
      <c r="S5279">
        <v>3.104492</v>
      </c>
      <c r="T5279">
        <v>-0.37200080000000002</v>
      </c>
      <c r="U5279">
        <v>-0.49453740000000002</v>
      </c>
      <c r="V5279">
        <v>-7.9589880000000002E-2</v>
      </c>
      <c r="W5279">
        <v>4.684733E-3</v>
      </c>
      <c r="X5279">
        <v>0.9968167</v>
      </c>
      <c r="Y5279">
        <v>0.2218659</v>
      </c>
      <c r="Z5279">
        <v>-2.121255E-2</v>
      </c>
      <c r="AA5279">
        <v>0.9748464</v>
      </c>
      <c r="AB5279">
        <v>25</v>
      </c>
      <c r="AC5279">
        <v>0.69850000000002399</v>
      </c>
      <c r="AD5279">
        <v>-9.9237999999999896E-2</v>
      </c>
      <c r="AE5279">
        <v>-0.14074999999999999</v>
      </c>
      <c r="AF5279">
        <v>0.18420026269963399</v>
      </c>
      <c r="AG5279">
        <v>-9.9237999999999896E-2</v>
      </c>
      <c r="AH5279">
        <v>0.67427392355959404</v>
      </c>
      <c r="AI5279">
        <v>98.080572830587997</v>
      </c>
      <c r="AJ5279">
        <v>74.720573489892004</v>
      </c>
      <c r="AK5279">
        <v>0.70599096411715101</v>
      </c>
      <c r="AL5279">
        <v>89.731583593046295</v>
      </c>
      <c r="AM5279">
        <v>94.565042556091996</v>
      </c>
      <c r="AN5279">
        <v>1.0000000145602901</v>
      </c>
    </row>
    <row r="5280" spans="1:40" x14ac:dyDescent="0.3">
      <c r="A5280" t="str">
        <f>"20200111160608298"</f>
        <v>20200111160608298</v>
      </c>
      <c r="B5280" t="str">
        <f>"1578729968287831"</f>
        <v>1578729968287831</v>
      </c>
      <c r="C5280" t="s">
        <v>40</v>
      </c>
      <c r="D5280">
        <v>5.2786819999999999</v>
      </c>
      <c r="E5280">
        <v>0.62009789999999998</v>
      </c>
      <c r="F5280" t="s">
        <v>41</v>
      </c>
      <c r="G5280">
        <v>-338.1069</v>
      </c>
      <c r="H5280" s="1">
        <v>-1.6238879999999999E-6</v>
      </c>
      <c r="I5280">
        <v>15.882</v>
      </c>
      <c r="J5280">
        <v>-347.19450000000001</v>
      </c>
      <c r="K5280">
        <v>1.1096360000000001</v>
      </c>
      <c r="L5280">
        <v>17.359439999999999</v>
      </c>
      <c r="M5280">
        <v>0.9976777</v>
      </c>
      <c r="N5280">
        <v>0</v>
      </c>
      <c r="O5280">
        <v>6.7522789999999999E-2</v>
      </c>
      <c r="P5280">
        <v>0.98906819999999895</v>
      </c>
      <c r="Q5280">
        <v>-4.3620040000000001E-3</v>
      </c>
      <c r="R5280">
        <v>0.14739579999999999</v>
      </c>
      <c r="S5280">
        <v>3.1048580000000001</v>
      </c>
      <c r="T5280">
        <v>-0.37380089999999999</v>
      </c>
      <c r="U5280">
        <v>-0.494751</v>
      </c>
      <c r="V5280">
        <v>-8.026817E-2</v>
      </c>
      <c r="W5280">
        <v>4.6246530000000003E-3</v>
      </c>
      <c r="X5280">
        <v>0.99676260000000005</v>
      </c>
      <c r="Y5280">
        <v>0.2216455</v>
      </c>
      <c r="Z5280">
        <v>-2.1267939999999999E-2</v>
      </c>
      <c r="AA5280">
        <v>0.97489539999999997</v>
      </c>
      <c r="AB5280">
        <v>25</v>
      </c>
      <c r="AC5280">
        <v>9.0876000000000001</v>
      </c>
      <c r="AD5280">
        <v>-1.1096376238879999</v>
      </c>
      <c r="AE5280">
        <v>-1.4774399999999901</v>
      </c>
      <c r="AF5280">
        <v>2.0578213490455299</v>
      </c>
      <c r="AG5280">
        <v>-1.1096376238879999</v>
      </c>
      <c r="AH5280">
        <v>8.8387056730578308</v>
      </c>
      <c r="AI5280">
        <v>96.971114237488294</v>
      </c>
      <c r="AJ5280">
        <v>76.893911608425995</v>
      </c>
      <c r="AK5280">
        <v>9.1426824475030308</v>
      </c>
      <c r="AL5280">
        <v>89.735025963128706</v>
      </c>
      <c r="AM5280">
        <v>94.604029548435804</v>
      </c>
      <c r="AN5280">
        <v>1.00000002364463</v>
      </c>
    </row>
    <row r="5281" spans="1:40" x14ac:dyDescent="0.3">
      <c r="A5281" t="str">
        <f>"20200111160608318"</f>
        <v>20200111160608318</v>
      </c>
      <c r="B5281" t="str">
        <f>"1578729968307350"</f>
        <v>1578729968307350</v>
      </c>
      <c r="C5281" t="s">
        <v>40</v>
      </c>
      <c r="D5281">
        <v>5.239662</v>
      </c>
      <c r="E5281">
        <v>0.62040740000000005</v>
      </c>
      <c r="F5281" t="s">
        <v>42</v>
      </c>
      <c r="G5281">
        <v>-346.40609999999998</v>
      </c>
      <c r="H5281">
        <v>1.0146090000000001</v>
      </c>
      <c r="I5281">
        <v>17.23348</v>
      </c>
      <c r="J5281">
        <v>-346.98239999999998</v>
      </c>
      <c r="K5281">
        <v>1.1095569999999999</v>
      </c>
      <c r="L5281">
        <v>17.373290000000001</v>
      </c>
      <c r="M5281">
        <v>0.99771089999999996</v>
      </c>
      <c r="N5281">
        <v>0</v>
      </c>
      <c r="O5281">
        <v>6.7026719999999998E-2</v>
      </c>
      <c r="P5281">
        <v>0.98888120000000002</v>
      </c>
      <c r="Q5281">
        <v>-4.3134319999999999E-3</v>
      </c>
      <c r="R5281">
        <v>0.148645899999999</v>
      </c>
      <c r="S5281">
        <v>3.105286</v>
      </c>
      <c r="T5281">
        <v>-0.37420059999999999</v>
      </c>
      <c r="U5281">
        <v>-0.49533080000000002</v>
      </c>
      <c r="V5281">
        <v>-8.2022789999999998E-2</v>
      </c>
      <c r="W5281">
        <v>4.7104820000000002E-3</v>
      </c>
      <c r="X5281">
        <v>0.99661929999999999</v>
      </c>
      <c r="Y5281">
        <v>0.22131970000000001</v>
      </c>
      <c r="Z5281">
        <v>-2.1208660000000001E-2</v>
      </c>
      <c r="AA5281">
        <v>0.97497060000000002</v>
      </c>
      <c r="AB5281">
        <v>25</v>
      </c>
      <c r="AC5281">
        <v>0.57630000000000303</v>
      </c>
      <c r="AD5281">
        <v>-9.4947999999999796E-2</v>
      </c>
      <c r="AE5281">
        <v>-0.13980999999999999</v>
      </c>
      <c r="AF5281">
        <v>0.17367247522663301</v>
      </c>
      <c r="AG5281">
        <v>-9.4947999999999796E-2</v>
      </c>
      <c r="AH5281">
        <v>0.55149479294471204</v>
      </c>
      <c r="AI5281">
        <v>99.325577551750598</v>
      </c>
      <c r="AJ5281">
        <v>72.520145793137999</v>
      </c>
      <c r="AK5281">
        <v>0.58593835682644702</v>
      </c>
      <c r="AL5281">
        <v>89.730108257875301</v>
      </c>
      <c r="AM5281">
        <v>94.704897696034095</v>
      </c>
      <c r="AN5281">
        <v>0.99999997792627204</v>
      </c>
    </row>
    <row r="5282" spans="1:40" x14ac:dyDescent="0.3">
      <c r="A5282" t="str">
        <f>"20200111160608330"</f>
        <v>20200111160608330</v>
      </c>
      <c r="B5282" t="str">
        <f>"1578729968327847"</f>
        <v>1578729968327847</v>
      </c>
      <c r="C5282" t="s">
        <v>40</v>
      </c>
      <c r="D5282">
        <v>5.1968249999999996</v>
      </c>
      <c r="E5282">
        <v>0.62060019999999905</v>
      </c>
      <c r="F5282" t="s">
        <v>42</v>
      </c>
      <c r="G5282">
        <v>-346.18669999999997</v>
      </c>
      <c r="H5282">
        <v>1.0131490000000001</v>
      </c>
      <c r="I5282">
        <v>17.246670000000002</v>
      </c>
      <c r="J5282">
        <v>-346.8426</v>
      </c>
      <c r="K5282">
        <v>1.1095079999999999</v>
      </c>
      <c r="L5282">
        <v>17.38232</v>
      </c>
      <c r="M5282">
        <v>0.99773599999999996</v>
      </c>
      <c r="N5282">
        <v>0</v>
      </c>
      <c r="O5282">
        <v>6.665082E-2</v>
      </c>
      <c r="P5282">
        <v>0.98880109999999999</v>
      </c>
      <c r="Q5282">
        <v>-4.0364069999999997E-3</v>
      </c>
      <c r="R5282">
        <v>0.14918529999999999</v>
      </c>
      <c r="S5282">
        <v>3.1063230000000002</v>
      </c>
      <c r="T5282">
        <v>-0.37643779999999999</v>
      </c>
      <c r="U5282">
        <v>-0.49414059999999999</v>
      </c>
      <c r="V5282">
        <v>-8.2940769999999997E-2</v>
      </c>
      <c r="W5282">
        <v>5.0113629999999996E-3</v>
      </c>
      <c r="X5282">
        <v>0.99654189999999998</v>
      </c>
      <c r="Y5282">
        <v>0.22052260000000001</v>
      </c>
      <c r="Z5282">
        <v>-2.1235210000000001E-2</v>
      </c>
      <c r="AA5282">
        <v>0.97515070000000004</v>
      </c>
      <c r="AB5282">
        <v>25</v>
      </c>
      <c r="AC5282">
        <v>0.65590000000003101</v>
      </c>
      <c r="AD5282">
        <v>-9.6358999999999806E-2</v>
      </c>
      <c r="AE5282">
        <v>-0.13564999999999799</v>
      </c>
      <c r="AF5282">
        <v>0.17543528525492799</v>
      </c>
      <c r="AG5282">
        <v>-9.6358999999999806E-2</v>
      </c>
      <c r="AH5282">
        <v>0.63231250614892398</v>
      </c>
      <c r="AI5282">
        <v>98.353852187454507</v>
      </c>
      <c r="AJ5282">
        <v>74.4933102871356</v>
      </c>
      <c r="AK5282">
        <v>0.663235781322005</v>
      </c>
      <c r="AL5282">
        <v>89.712868854910994</v>
      </c>
      <c r="AM5282">
        <v>94.757681264927598</v>
      </c>
      <c r="AN5282">
        <v>1.00000002177146</v>
      </c>
    </row>
    <row r="5283" spans="1:40" x14ac:dyDescent="0.3">
      <c r="A5283" t="str">
        <f>"20200111160608343"</f>
        <v>20200111160608343</v>
      </c>
      <c r="B5283" t="str">
        <f>"1578729968337606"</f>
        <v>1578729968337606</v>
      </c>
      <c r="C5283" t="s">
        <v>40</v>
      </c>
      <c r="D5283">
        <v>5.413805</v>
      </c>
      <c r="E5283">
        <v>0.62060019999999905</v>
      </c>
      <c r="F5283" t="s">
        <v>42</v>
      </c>
      <c r="G5283">
        <v>-345.96699999999998</v>
      </c>
      <c r="H5283">
        <v>1.003342</v>
      </c>
      <c r="I5283">
        <v>17.24287</v>
      </c>
      <c r="J5283">
        <v>-346.69400000000002</v>
      </c>
      <c r="K5283">
        <v>1.1094580000000001</v>
      </c>
      <c r="L5283">
        <v>17.391850000000002</v>
      </c>
      <c r="M5283">
        <v>0.99776450000000005</v>
      </c>
      <c r="N5283">
        <v>0</v>
      </c>
      <c r="O5283">
        <v>6.6220899999999999E-2</v>
      </c>
      <c r="P5283">
        <v>0.98870979999999997</v>
      </c>
      <c r="Q5283">
        <v>-3.905702E-3</v>
      </c>
      <c r="R5283">
        <v>0.14979319999999999</v>
      </c>
      <c r="S5283">
        <v>3.1070250000000001</v>
      </c>
      <c r="T5283">
        <v>-0.37667079999999997</v>
      </c>
      <c r="U5283">
        <v>-0.49407960000000001</v>
      </c>
      <c r="V5283">
        <v>-8.3982269999999998E-2</v>
      </c>
      <c r="W5283">
        <v>5.1663330000000004E-3</v>
      </c>
      <c r="X5283">
        <v>0.9964539</v>
      </c>
      <c r="Y5283">
        <v>0.22005449999999999</v>
      </c>
      <c r="Z5283">
        <v>-2.116382E-2</v>
      </c>
      <c r="AA5283">
        <v>0.97525799999999996</v>
      </c>
      <c r="AB5283">
        <v>25</v>
      </c>
      <c r="AC5283">
        <v>0.72700000000003195</v>
      </c>
      <c r="AD5283">
        <v>-0.106116</v>
      </c>
      <c r="AE5283">
        <v>-0.148980000000001</v>
      </c>
      <c r="AF5283">
        <v>0.19285422657939699</v>
      </c>
      <c r="AG5283">
        <v>-0.106116</v>
      </c>
      <c r="AH5283">
        <v>0.70120071960449104</v>
      </c>
      <c r="AI5283">
        <v>98.301808238454498</v>
      </c>
      <c r="AJ5283">
        <v>74.621923403284896</v>
      </c>
      <c r="AK5283">
        <v>0.73493932221605496</v>
      </c>
      <c r="AL5283">
        <v>89.703989619678794</v>
      </c>
      <c r="AM5283">
        <v>94.817568210101001</v>
      </c>
      <c r="AN5283">
        <v>1.00000004374811</v>
      </c>
    </row>
    <row r="5284" spans="1:40" x14ac:dyDescent="0.3">
      <c r="A5284" t="str">
        <f>"20200111160608363"</f>
        <v>20200111160608363</v>
      </c>
      <c r="B5284" t="str">
        <f>"1578729968357128"</f>
        <v>1578729968357128</v>
      </c>
      <c r="C5284" t="s">
        <v>40</v>
      </c>
      <c r="D5284">
        <v>5.0150860000000002</v>
      </c>
      <c r="E5284">
        <v>0.58606219999999998</v>
      </c>
      <c r="F5284" t="s">
        <v>42</v>
      </c>
      <c r="G5284">
        <v>-345.96420000000001</v>
      </c>
      <c r="H5284">
        <v>1.021101</v>
      </c>
      <c r="I5284">
        <v>17.276019999999999</v>
      </c>
      <c r="J5284">
        <v>-346.47800000000001</v>
      </c>
      <c r="K5284">
        <v>1.1093930000000001</v>
      </c>
      <c r="L5284">
        <v>17.405460000000001</v>
      </c>
      <c r="M5284">
        <v>0.99781070000000005</v>
      </c>
      <c r="N5284">
        <v>0</v>
      </c>
      <c r="O5284">
        <v>6.5520040000000002E-2</v>
      </c>
      <c r="P5284">
        <v>0.98865289999999995</v>
      </c>
      <c r="Q5284">
        <v>-4.1274809999999997E-3</v>
      </c>
      <c r="R5284">
        <v>0.1501614</v>
      </c>
      <c r="S5284">
        <v>3.1073909999999998</v>
      </c>
      <c r="T5284">
        <v>-0.37611630000000001</v>
      </c>
      <c r="U5284">
        <v>-0.49221799999999999</v>
      </c>
      <c r="V5284">
        <v>-8.5052340000000004E-2</v>
      </c>
      <c r="W5284">
        <v>4.9765540000000002E-3</v>
      </c>
      <c r="X5284">
        <v>0.99636409999999997</v>
      </c>
      <c r="Y5284">
        <v>0.218802</v>
      </c>
      <c r="Z5284">
        <v>-2.0972230000000001E-2</v>
      </c>
      <c r="AA5284">
        <v>0.97554390000000002</v>
      </c>
      <c r="AB5284">
        <v>25</v>
      </c>
      <c r="AC5284">
        <v>0.51380000000000303</v>
      </c>
      <c r="AD5284">
        <v>-8.8291999999999995E-2</v>
      </c>
      <c r="AE5284">
        <v>-0.129439999999998</v>
      </c>
      <c r="AF5284">
        <v>0.15842830876087799</v>
      </c>
      <c r="AG5284">
        <v>-8.8291999999999995E-2</v>
      </c>
      <c r="AH5284">
        <v>0.49059230450025898</v>
      </c>
      <c r="AI5284">
        <v>99.718283175581305</v>
      </c>
      <c r="AJ5284">
        <v>72.103033990803496</v>
      </c>
      <c r="AK5284">
        <v>0.52304475479227197</v>
      </c>
      <c r="AL5284">
        <v>89.714863294636899</v>
      </c>
      <c r="AM5284">
        <v>94.879094983508594</v>
      </c>
      <c r="AN5284">
        <v>1.0000000431989899</v>
      </c>
    </row>
    <row r="5285" spans="1:40" x14ac:dyDescent="0.3">
      <c r="A5285" t="str">
        <f>"20200111160608374"</f>
        <v>20200111160608374</v>
      </c>
      <c r="B5285" t="str">
        <f>"1578729968367863"</f>
        <v>1578729968367863</v>
      </c>
      <c r="C5285" t="s">
        <v>40</v>
      </c>
      <c r="D5285">
        <v>5.0697210000000004</v>
      </c>
      <c r="E5285">
        <v>0.58250669999999904</v>
      </c>
      <c r="F5285" t="s">
        <v>42</v>
      </c>
      <c r="G5285">
        <v>-345.7398</v>
      </c>
      <c r="H5285">
        <v>1.0396219999999901</v>
      </c>
      <c r="I5285">
        <v>17.352250000000002</v>
      </c>
      <c r="J5285">
        <v>-346.34809999999999</v>
      </c>
      <c r="K5285">
        <v>1.109359</v>
      </c>
      <c r="L5285">
        <v>17.41348</v>
      </c>
      <c r="M5285">
        <v>0.99784030000000001</v>
      </c>
      <c r="N5285">
        <v>0</v>
      </c>
      <c r="O5285">
        <v>6.5063109999999993E-2</v>
      </c>
      <c r="P5285">
        <v>0.98868929999999999</v>
      </c>
      <c r="Q5285">
        <v>-4.6805299999999996E-3</v>
      </c>
      <c r="R5285">
        <v>0.14990580000000001</v>
      </c>
      <c r="S5285">
        <v>3.0668030000000002</v>
      </c>
      <c r="T5285">
        <v>-0.28990050000000001</v>
      </c>
      <c r="U5285">
        <v>-0.2208862</v>
      </c>
      <c r="V5285">
        <v>-8.5252090000000003E-2</v>
      </c>
      <c r="W5285">
        <v>4.4396409999999898E-3</v>
      </c>
      <c r="X5285">
        <v>0.9963495</v>
      </c>
      <c r="Y5285">
        <v>0.13569320000000001</v>
      </c>
      <c r="Z5285">
        <v>-1.252029E-2</v>
      </c>
      <c r="AA5285">
        <v>0.99067179999999999</v>
      </c>
      <c r="AB5285">
        <v>25</v>
      </c>
      <c r="AC5285">
        <v>0.60829999999998496</v>
      </c>
      <c r="AD5285">
        <v>-6.9737000000000104E-2</v>
      </c>
      <c r="AE5285">
        <v>-6.12299999999983E-2</v>
      </c>
      <c r="AF5285">
        <v>9.9386629836777998E-2</v>
      </c>
      <c r="AG5285">
        <v>-6.9737000000000104E-2</v>
      </c>
      <c r="AH5285">
        <v>0.59528177368194102</v>
      </c>
      <c r="AI5285">
        <v>96.591305289053196</v>
      </c>
      <c r="AJ5285">
        <v>80.521477282142797</v>
      </c>
      <c r="AK5285">
        <v>0.60753711116048703</v>
      </c>
      <c r="AL5285">
        <v>89.745626466836498</v>
      </c>
      <c r="AM5285">
        <v>94.890569606059898</v>
      </c>
      <c r="AN5285">
        <v>0.99999997770591298</v>
      </c>
    </row>
    <row r="5286" spans="1:40" x14ac:dyDescent="0.3">
      <c r="A5286" t="str">
        <f>"20200111160608386"</f>
        <v>20200111160608386</v>
      </c>
      <c r="B5286" t="str">
        <f>"1578729968377622"</f>
        <v>1578729968377622</v>
      </c>
      <c r="C5286" t="s">
        <v>40</v>
      </c>
      <c r="D5286">
        <v>4.9940259999999999</v>
      </c>
      <c r="E5286">
        <v>0.58125569999999904</v>
      </c>
      <c r="F5286" t="s">
        <v>42</v>
      </c>
      <c r="G5286">
        <v>-345.5213</v>
      </c>
      <c r="H5286">
        <v>1.032619</v>
      </c>
      <c r="I5286">
        <v>17.360779999999998</v>
      </c>
      <c r="J5286">
        <v>-346.21719999999999</v>
      </c>
      <c r="K5286">
        <v>1.109329</v>
      </c>
      <c r="L5286">
        <v>17.421569999999999</v>
      </c>
      <c r="M5286">
        <v>0.99787090000000001</v>
      </c>
      <c r="N5286">
        <v>0</v>
      </c>
      <c r="O5286">
        <v>6.4593049999999999E-2</v>
      </c>
      <c r="P5286">
        <v>0.98873440000000001</v>
      </c>
      <c r="Q5286">
        <v>-5.1609209999999997E-3</v>
      </c>
      <c r="R5286">
        <v>0.14959259999999999</v>
      </c>
      <c r="S5286">
        <v>3.062408</v>
      </c>
      <c r="T5286">
        <v>-0.28416190000000002</v>
      </c>
      <c r="U5286">
        <v>-0.19381709999999999</v>
      </c>
      <c r="V5286">
        <v>-8.5406179999999998E-2</v>
      </c>
      <c r="W5286">
        <v>3.9747300000000001E-3</v>
      </c>
      <c r="X5286">
        <v>0.99633830000000001</v>
      </c>
      <c r="Y5286">
        <v>0.1266786</v>
      </c>
      <c r="Z5286">
        <v>-1.183384E-2</v>
      </c>
      <c r="AA5286">
        <v>0.99187320000000001</v>
      </c>
      <c r="AB5286">
        <v>25</v>
      </c>
      <c r="AC5286">
        <v>0.69589999999999397</v>
      </c>
      <c r="AD5286">
        <v>-7.671E-2</v>
      </c>
      <c r="AE5286">
        <v>-6.0790000000004299E-2</v>
      </c>
      <c r="AF5286">
        <v>0.10435674348865</v>
      </c>
      <c r="AG5286">
        <v>-7.671E-2</v>
      </c>
      <c r="AH5286">
        <v>0.68229213952638501</v>
      </c>
      <c r="AI5286">
        <v>96.341679570836703</v>
      </c>
      <c r="AJ5286">
        <v>81.303989936971604</v>
      </c>
      <c r="AK5286">
        <v>0.69447629021518698</v>
      </c>
      <c r="AL5286">
        <v>89.772264149163902</v>
      </c>
      <c r="AM5286">
        <v>94.899420948168299</v>
      </c>
      <c r="AN5286">
        <v>1.0000000110538201</v>
      </c>
    </row>
    <row r="5287" spans="1:40" x14ac:dyDescent="0.3">
      <c r="A5287" t="str">
        <f>"20200111160608398"</f>
        <v>20200111160608398</v>
      </c>
      <c r="B5287" t="str">
        <f>"1578729968387383"</f>
        <v>1578729968387383</v>
      </c>
      <c r="C5287" t="s">
        <v>40</v>
      </c>
      <c r="D5287">
        <v>4.9065409999999998</v>
      </c>
      <c r="E5287">
        <v>0.58055780000000001</v>
      </c>
      <c r="F5287" t="s">
        <v>42</v>
      </c>
      <c r="G5287">
        <v>-345.30250000000001</v>
      </c>
      <c r="H5287">
        <v>1.024786</v>
      </c>
      <c r="I5287">
        <v>17.366</v>
      </c>
      <c r="J5287">
        <v>-346.09140000000002</v>
      </c>
      <c r="K5287">
        <v>1.109307</v>
      </c>
      <c r="L5287">
        <v>17.429200000000002</v>
      </c>
      <c r="M5287">
        <v>0.99790109999999999</v>
      </c>
      <c r="N5287">
        <v>0</v>
      </c>
      <c r="O5287">
        <v>6.4122299999999993E-2</v>
      </c>
      <c r="P5287">
        <v>0.98882349999999997</v>
      </c>
      <c r="Q5287">
        <v>-5.7936979999999999E-3</v>
      </c>
      <c r="R5287">
        <v>0.1489789</v>
      </c>
      <c r="S5287">
        <v>3.0606990000000001</v>
      </c>
      <c r="T5287">
        <v>-0.28279969999999999</v>
      </c>
      <c r="U5287">
        <v>-0.18499760000000001</v>
      </c>
      <c r="V5287">
        <v>-8.5258619999999993E-2</v>
      </c>
      <c r="W5287">
        <v>3.355322E-3</v>
      </c>
      <c r="X5287">
        <v>0.99635320000000005</v>
      </c>
      <c r="Y5287">
        <v>0.1234203</v>
      </c>
      <c r="Z5287">
        <v>-1.159138E-2</v>
      </c>
      <c r="AA5287">
        <v>0.99228680000000002</v>
      </c>
      <c r="AB5287">
        <v>25</v>
      </c>
      <c r="AC5287">
        <v>0.78890000000001204</v>
      </c>
      <c r="AD5287">
        <v>-8.4520999999999999E-2</v>
      </c>
      <c r="AE5287">
        <v>-6.3200000000001894E-2</v>
      </c>
      <c r="AF5287">
        <v>0.112376389157505</v>
      </c>
      <c r="AG5287">
        <v>-8.4520999999999999E-2</v>
      </c>
      <c r="AH5287">
        <v>0.77439148055486096</v>
      </c>
      <c r="AI5287">
        <v>96.164826771634793</v>
      </c>
      <c r="AJ5287">
        <v>81.743118279116601</v>
      </c>
      <c r="AK5287">
        <v>0.78705426587817195</v>
      </c>
      <c r="AL5287">
        <v>89.807753848769906</v>
      </c>
      <c r="AM5287">
        <v>94.890924314234695</v>
      </c>
      <c r="AN5287">
        <v>0.99999999481013402</v>
      </c>
    </row>
    <row r="5288" spans="1:40" x14ac:dyDescent="0.3">
      <c r="A5288" t="str">
        <f>"20200111160608409"</f>
        <v>20200111160608409</v>
      </c>
      <c r="B5288" t="str">
        <f>"1578729968407880"</f>
        <v>1578729968407880</v>
      </c>
      <c r="C5288" t="s">
        <v>40</v>
      </c>
      <c r="D5288">
        <v>4.9097379999999999</v>
      </c>
      <c r="E5288">
        <v>0.57980919999999903</v>
      </c>
      <c r="F5288" t="s">
        <v>42</v>
      </c>
      <c r="G5288">
        <v>-345.29809999999998</v>
      </c>
      <c r="H5288">
        <v>1.0362</v>
      </c>
      <c r="I5288">
        <v>17.381869999999999</v>
      </c>
      <c r="J5288">
        <v>-345.96510000000001</v>
      </c>
      <c r="K5288">
        <v>1.1092930000000001</v>
      </c>
      <c r="L5288">
        <v>17.43683</v>
      </c>
      <c r="M5288">
        <v>0.99793180000000004</v>
      </c>
      <c r="N5288">
        <v>0</v>
      </c>
      <c r="O5288">
        <v>6.3641249999999996E-2</v>
      </c>
      <c r="P5288">
        <v>0.98891850000000003</v>
      </c>
      <c r="Q5288">
        <v>-6.3665309999999999E-3</v>
      </c>
      <c r="R5288">
        <v>0.14832300000000001</v>
      </c>
      <c r="S5288">
        <v>3.0596009999999998</v>
      </c>
      <c r="T5288">
        <v>-0.28185949999999999</v>
      </c>
      <c r="U5288">
        <v>-0.18145749999999999</v>
      </c>
      <c r="V5288">
        <v>-8.5079669999999996E-2</v>
      </c>
      <c r="W5288">
        <v>2.7936110000000001E-3</v>
      </c>
      <c r="X5288">
        <v>0.99637030000000004</v>
      </c>
      <c r="Y5288">
        <v>0.1218327</v>
      </c>
      <c r="Z5288">
        <v>-1.14404E-2</v>
      </c>
      <c r="AA5288">
        <v>0.9924847</v>
      </c>
      <c r="AB5288">
        <v>25</v>
      </c>
      <c r="AC5288">
        <v>0.66700000000003001</v>
      </c>
      <c r="AD5288">
        <v>-7.3093000000000005E-2</v>
      </c>
      <c r="AE5288">
        <v>-5.4959999999997601E-2</v>
      </c>
      <c r="AF5288">
        <v>9.6152144820907601E-2</v>
      </c>
      <c r="AG5288">
        <v>-7.3093000000000005E-2</v>
      </c>
      <c r="AH5288">
        <v>0.65434499609049201</v>
      </c>
      <c r="AI5288">
        <v>96.306579758241696</v>
      </c>
      <c r="AJ5288">
        <v>81.6405473022308</v>
      </c>
      <c r="AK5288">
        <v>0.66539852382713305</v>
      </c>
      <c r="AL5288">
        <v>89.839937682246003</v>
      </c>
      <c r="AM5288">
        <v>94.880624995012994</v>
      </c>
      <c r="AN5288">
        <v>1.0000000646159</v>
      </c>
    </row>
    <row r="5289" spans="1:40" x14ac:dyDescent="0.3">
      <c r="A5289" t="str">
        <f>"20200111160608421"</f>
        <v>20200111160608421</v>
      </c>
      <c r="B5289" t="str">
        <f>"1578729968417638"</f>
        <v>1578729968417638</v>
      </c>
      <c r="C5289" t="s">
        <v>40</v>
      </c>
      <c r="D5289">
        <v>4.8811450000000001</v>
      </c>
      <c r="E5289">
        <v>0.57969809999999999</v>
      </c>
      <c r="F5289" t="s">
        <v>42</v>
      </c>
      <c r="G5289">
        <v>-345.07850000000002</v>
      </c>
      <c r="H5289">
        <v>1.0286709999999999</v>
      </c>
      <c r="I5289">
        <v>17.385179999999998</v>
      </c>
      <c r="J5289">
        <v>-345.8272</v>
      </c>
      <c r="K5289">
        <v>1.109275</v>
      </c>
      <c r="L5289">
        <v>17.4451</v>
      </c>
      <c r="M5289">
        <v>0.99796580000000001</v>
      </c>
      <c r="N5289">
        <v>0</v>
      </c>
      <c r="O5289">
        <v>6.3107060000000006E-2</v>
      </c>
      <c r="P5289">
        <v>0.98903410000000003</v>
      </c>
      <c r="Q5289">
        <v>-7.2789009999999999E-3</v>
      </c>
      <c r="R5289">
        <v>0.1475098</v>
      </c>
      <c r="S5289">
        <v>3.0584720000000001</v>
      </c>
      <c r="T5289">
        <v>-0.27811529999999901</v>
      </c>
      <c r="U5289">
        <v>-0.1777039</v>
      </c>
      <c r="V5289">
        <v>-8.4795250000000003E-2</v>
      </c>
      <c r="W5289">
        <v>1.892868E-3</v>
      </c>
      <c r="X5289">
        <v>0.99639659999999997</v>
      </c>
      <c r="Y5289">
        <v>0.1201382</v>
      </c>
      <c r="Z5289">
        <v>-1.1168320000000001E-2</v>
      </c>
      <c r="AA5289">
        <v>0.99269439999999998</v>
      </c>
      <c r="AB5289">
        <v>25</v>
      </c>
      <c r="AC5289">
        <v>0.74869999999998504</v>
      </c>
      <c r="AD5289">
        <v>-8.0604000000000106E-2</v>
      </c>
      <c r="AE5289">
        <v>-5.9920000000001701E-2</v>
      </c>
      <c r="AF5289">
        <v>0.10583191795356001</v>
      </c>
      <c r="AG5289">
        <v>-8.0604000000000106E-2</v>
      </c>
      <c r="AH5289">
        <v>0.73496174351112997</v>
      </c>
      <c r="AI5289">
        <v>96.195278256042101</v>
      </c>
      <c r="AJ5289">
        <v>81.805933183841702</v>
      </c>
      <c r="AK5289">
        <v>0.74690438752135402</v>
      </c>
      <c r="AL5289">
        <v>89.891546587761695</v>
      </c>
      <c r="AM5289">
        <v>94.864259782138106</v>
      </c>
      <c r="AN5289">
        <v>1.0000000009316901</v>
      </c>
    </row>
    <row r="5290" spans="1:40" x14ac:dyDescent="0.3">
      <c r="A5290" t="str">
        <f>"20200111160608440"</f>
        <v>20200111160608440</v>
      </c>
      <c r="B5290" t="str">
        <f>"1578729968437159"</f>
        <v>1578729968437159</v>
      </c>
      <c r="C5290" t="s">
        <v>40</v>
      </c>
      <c r="D5290">
        <v>4.8686069999999999</v>
      </c>
      <c r="E5290">
        <v>0.57957550000000002</v>
      </c>
      <c r="F5290" t="s">
        <v>42</v>
      </c>
      <c r="G5290">
        <v>-345.07369999999997</v>
      </c>
      <c r="H5290">
        <v>1.040764</v>
      </c>
      <c r="I5290">
        <v>17.400759999999998</v>
      </c>
      <c r="J5290">
        <v>-345.62580000000003</v>
      </c>
      <c r="K5290">
        <v>1.109264</v>
      </c>
      <c r="L5290">
        <v>17.456969999999998</v>
      </c>
      <c r="M5290">
        <v>0.99801519999999999</v>
      </c>
      <c r="N5290">
        <v>0</v>
      </c>
      <c r="O5290">
        <v>6.2316249999999997E-2</v>
      </c>
      <c r="P5290">
        <v>0.98922220000000005</v>
      </c>
      <c r="Q5290">
        <v>-9.0029859999999993E-3</v>
      </c>
      <c r="R5290">
        <v>0.14614649999999901</v>
      </c>
      <c r="S5290">
        <v>3.0579830000000001</v>
      </c>
      <c r="T5290">
        <v>-0.27804220000000002</v>
      </c>
      <c r="U5290">
        <v>-0.17941279999999901</v>
      </c>
      <c r="V5290">
        <v>-8.4215250000000005E-2</v>
      </c>
      <c r="W5290">
        <v>1.829306E-4</v>
      </c>
      <c r="X5290">
        <v>0.99644759999999999</v>
      </c>
      <c r="Y5290">
        <v>0.119918</v>
      </c>
      <c r="Z5290">
        <v>-1.1085380000000001E-2</v>
      </c>
      <c r="AA5290">
        <v>0.99272190000000005</v>
      </c>
      <c r="AB5290">
        <v>25</v>
      </c>
      <c r="AC5290">
        <v>0.55210000000005199</v>
      </c>
      <c r="AD5290">
        <v>-6.8500000000000005E-2</v>
      </c>
      <c r="AE5290">
        <v>-5.6210000000000003E-2</v>
      </c>
      <c r="AF5290">
        <v>8.9148704853668506E-2</v>
      </c>
      <c r="AG5290">
        <v>-6.8500000000000005E-2</v>
      </c>
      <c r="AH5290">
        <v>0.53930712826560601</v>
      </c>
      <c r="AI5290">
        <v>97.142744760029601</v>
      </c>
      <c r="AJ5290">
        <v>80.613754660499296</v>
      </c>
      <c r="AK5290">
        <v>0.55090100760044103</v>
      </c>
      <c r="AL5290">
        <v>89.989518848939198</v>
      </c>
      <c r="AM5290">
        <v>94.8309001365364</v>
      </c>
      <c r="AN5290">
        <v>1.00000003067096</v>
      </c>
    </row>
    <row r="5291" spans="1:40" x14ac:dyDescent="0.3">
      <c r="A5291" t="str">
        <f>"20200111160608451"</f>
        <v>20200111160608451</v>
      </c>
      <c r="B5291" t="str">
        <f>"1578729968447894"</f>
        <v>1578729968447894</v>
      </c>
      <c r="C5291" t="s">
        <v>40</v>
      </c>
      <c r="D5291">
        <v>4.8721389999999998</v>
      </c>
      <c r="E5291">
        <v>0.57951079999999999</v>
      </c>
      <c r="F5291" t="s">
        <v>42</v>
      </c>
      <c r="G5291">
        <v>-344.85160000000002</v>
      </c>
      <c r="H5291">
        <v>1.0386249999999999</v>
      </c>
      <c r="I5291">
        <v>17.41048</v>
      </c>
      <c r="J5291">
        <v>-345.49599999999998</v>
      </c>
      <c r="K5291">
        <v>1.1092599999999999</v>
      </c>
      <c r="L5291">
        <v>17.464510000000001</v>
      </c>
      <c r="M5291">
        <v>0.99804700000000002</v>
      </c>
      <c r="N5291">
        <v>0</v>
      </c>
      <c r="O5291">
        <v>6.1805039999999999E-2</v>
      </c>
      <c r="P5291">
        <v>0.98934650000000002</v>
      </c>
      <c r="Q5291">
        <v>-9.7521120000000003E-3</v>
      </c>
      <c r="R5291">
        <v>0.14525379999999999</v>
      </c>
      <c r="S5291">
        <v>3.0571290000000002</v>
      </c>
      <c r="T5291">
        <v>-0.27892359999999999</v>
      </c>
      <c r="U5291">
        <v>-0.1827087</v>
      </c>
      <c r="V5291">
        <v>-8.3828E-2</v>
      </c>
      <c r="W5291">
        <v>-5.5872059999999995E-4</v>
      </c>
      <c r="X5291">
        <v>0.99648009999999998</v>
      </c>
      <c r="Y5291">
        <v>0.12048689999999999</v>
      </c>
      <c r="Z5291">
        <v>-1.1102549999999999E-2</v>
      </c>
      <c r="AA5291">
        <v>0.9926528</v>
      </c>
      <c r="AB5291">
        <v>25</v>
      </c>
      <c r="AC5291">
        <v>0.644399999999961</v>
      </c>
      <c r="AD5291">
        <v>-7.0635000000000198E-2</v>
      </c>
      <c r="AE5291">
        <v>-5.4030000000000897E-2</v>
      </c>
      <c r="AF5291">
        <v>9.2650074017077005E-2</v>
      </c>
      <c r="AG5291">
        <v>-7.0635000000000198E-2</v>
      </c>
      <c r="AH5291">
        <v>0.63228454437675696</v>
      </c>
      <c r="AI5291">
        <v>96.307502801687704</v>
      </c>
      <c r="AJ5291">
        <v>81.663648148008406</v>
      </c>
      <c r="AK5291">
        <v>0.64292852207542694</v>
      </c>
      <c r="AL5291">
        <v>90.032012333405106</v>
      </c>
      <c r="AM5291">
        <v>94.808634344198694</v>
      </c>
      <c r="AN5291">
        <v>1.00000001772435</v>
      </c>
    </row>
    <row r="5292" spans="1:40" x14ac:dyDescent="0.3">
      <c r="A5292" t="str">
        <f>"20200111160608464"</f>
        <v>20200111160608464</v>
      </c>
      <c r="B5292" t="str">
        <f>"1578729968457656"</f>
        <v>1578729968457656</v>
      </c>
      <c r="C5292" t="s">
        <v>40</v>
      </c>
      <c r="D5292">
        <v>4.9507989999999999</v>
      </c>
      <c r="E5292">
        <v>0.57934240000000004</v>
      </c>
      <c r="F5292" t="s">
        <v>42</v>
      </c>
      <c r="G5292">
        <v>-344.63150000000002</v>
      </c>
      <c r="H5292">
        <v>1.0303770000000001</v>
      </c>
      <c r="I5292">
        <v>17.41188</v>
      </c>
      <c r="J5292">
        <v>-345.35550000000001</v>
      </c>
      <c r="K5292">
        <v>1.109259</v>
      </c>
      <c r="L5292">
        <v>17.472660000000001</v>
      </c>
      <c r="M5292">
        <v>0.99808110000000005</v>
      </c>
      <c r="N5292">
        <v>0</v>
      </c>
      <c r="O5292">
        <v>6.1250690000000003E-2</v>
      </c>
      <c r="P5292">
        <v>0.98946270000000003</v>
      </c>
      <c r="Q5292">
        <v>-1.0275380000000001E-2</v>
      </c>
      <c r="R5292">
        <v>0.14442279999999999</v>
      </c>
      <c r="S5292">
        <v>3.0567630000000001</v>
      </c>
      <c r="T5292">
        <v>-0.27884979999999998</v>
      </c>
      <c r="U5292">
        <v>-0.1850281</v>
      </c>
      <c r="V5292">
        <v>-8.3546190000000006E-2</v>
      </c>
      <c r="W5292">
        <v>-1.073882E-3</v>
      </c>
      <c r="X5292">
        <v>0.99650340000000004</v>
      </c>
      <c r="Y5292">
        <v>0.1206948</v>
      </c>
      <c r="Z5292">
        <v>-1.105979E-2</v>
      </c>
      <c r="AA5292">
        <v>0.99262799999999995</v>
      </c>
      <c r="AB5292">
        <v>25</v>
      </c>
      <c r="AC5292">
        <v>0.72399999999998899</v>
      </c>
      <c r="AD5292">
        <v>-7.8881999999999897E-2</v>
      </c>
      <c r="AE5292">
        <v>-6.0780000000001097E-2</v>
      </c>
      <c r="AF5292">
        <v>0.103789757767715</v>
      </c>
      <c r="AG5292">
        <v>-7.8881999999999897E-2</v>
      </c>
      <c r="AH5292">
        <v>0.710541897909586</v>
      </c>
      <c r="AI5292">
        <v>96.268859239798203</v>
      </c>
      <c r="AJ5292">
        <v>81.6895065846374</v>
      </c>
      <c r="AK5292">
        <v>0.72240187736912598</v>
      </c>
      <c r="AL5292">
        <v>90.061528913651102</v>
      </c>
      <c r="AM5292">
        <v>94.792432734418895</v>
      </c>
      <c r="AN5292">
        <v>1.0000000726488101</v>
      </c>
    </row>
    <row r="5293" spans="1:40" x14ac:dyDescent="0.3">
      <c r="A5293" t="str">
        <f>"20200111160608475"</f>
        <v>20200111160608475</v>
      </c>
      <c r="B5293" t="str">
        <f>"1578729968467414"</f>
        <v>1578729968467414</v>
      </c>
      <c r="C5293" t="s">
        <v>40</v>
      </c>
      <c r="D5293">
        <v>4.8113900000000003</v>
      </c>
      <c r="E5293">
        <v>0.57941359999999997</v>
      </c>
      <c r="F5293" t="s">
        <v>42</v>
      </c>
      <c r="G5293">
        <v>-344.41019999999997</v>
      </c>
      <c r="H5293">
        <v>1.0238370000000001</v>
      </c>
      <c r="I5293">
        <v>17.414899999999999</v>
      </c>
      <c r="J5293">
        <v>-345.22809999999998</v>
      </c>
      <c r="K5293">
        <v>1.1092610000000001</v>
      </c>
      <c r="L5293">
        <v>17.47992</v>
      </c>
      <c r="M5293">
        <v>0.99811150000000004</v>
      </c>
      <c r="N5293">
        <v>0</v>
      </c>
      <c r="O5293">
        <v>6.0751149999999997E-2</v>
      </c>
      <c r="P5293">
        <v>0.98956829999999996</v>
      </c>
      <c r="Q5293">
        <v>-1.057195E-2</v>
      </c>
      <c r="R5293">
        <v>0.14367750000000001</v>
      </c>
      <c r="S5293">
        <v>3.056305</v>
      </c>
      <c r="T5293">
        <v>-0.27616099999999999</v>
      </c>
      <c r="U5293">
        <v>-0.18643190000000001</v>
      </c>
      <c r="V5293">
        <v>-8.3294809999999997E-2</v>
      </c>
      <c r="W5293">
        <v>-1.3638379999999901E-3</v>
      </c>
      <c r="X5293">
        <v>0.99652399999999997</v>
      </c>
      <c r="Y5293">
        <v>0.1206776</v>
      </c>
      <c r="Z5293">
        <v>-1.090932E-2</v>
      </c>
      <c r="AA5293">
        <v>0.99263179999999995</v>
      </c>
      <c r="AB5293">
        <v>25</v>
      </c>
      <c r="AC5293">
        <v>0.81790000000000795</v>
      </c>
      <c r="AD5293">
        <v>-8.5423999999999903E-2</v>
      </c>
      <c r="AE5293">
        <v>-6.5020000000000494E-2</v>
      </c>
      <c r="AF5293">
        <v>0.113361493474976</v>
      </c>
      <c r="AG5293">
        <v>-8.5423999999999903E-2</v>
      </c>
      <c r="AH5293">
        <v>0.80372668391099999</v>
      </c>
      <c r="AI5293">
        <v>96.0078753811935</v>
      </c>
      <c r="AJ5293">
        <v>81.971684486506305</v>
      </c>
      <c r="AK5293">
        <v>0.81616460987318595</v>
      </c>
      <c r="AL5293">
        <v>90.078142186814503</v>
      </c>
      <c r="AM5293">
        <v>94.777981452844898</v>
      </c>
      <c r="AN5293">
        <v>0.99999998400151302</v>
      </c>
    </row>
    <row r="5294" spans="1:40" x14ac:dyDescent="0.3">
      <c r="A5294" t="str">
        <f>"20200111160608485"</f>
        <v>20200111160608485</v>
      </c>
      <c r="B5294" t="str">
        <f>"1578729968477174"</f>
        <v>1578729968477174</v>
      </c>
      <c r="C5294" t="s">
        <v>40</v>
      </c>
      <c r="D5294">
        <v>4.815493</v>
      </c>
      <c r="E5294">
        <v>0.57953669999999902</v>
      </c>
      <c r="F5294" t="s">
        <v>42</v>
      </c>
      <c r="G5294">
        <v>-344.40559999999999</v>
      </c>
      <c r="H5294">
        <v>1.0352380000000001</v>
      </c>
      <c r="I5294">
        <v>17.428850000000001</v>
      </c>
      <c r="J5294">
        <v>-345.10599999999999</v>
      </c>
      <c r="K5294">
        <v>1.1092630000000001</v>
      </c>
      <c r="L5294">
        <v>17.486879999999999</v>
      </c>
      <c r="M5294">
        <v>0.99814040000000004</v>
      </c>
      <c r="N5294">
        <v>0</v>
      </c>
      <c r="O5294">
        <v>6.0273060000000003E-2</v>
      </c>
      <c r="P5294">
        <v>0.98968370000000006</v>
      </c>
      <c r="Q5294">
        <v>-1.077756E-2</v>
      </c>
      <c r="R5294">
        <v>0.1428634</v>
      </c>
      <c r="S5294">
        <v>3.0561829999999999</v>
      </c>
      <c r="T5294">
        <v>-0.27500930000000001</v>
      </c>
      <c r="U5294">
        <v>-0.18939210000000001</v>
      </c>
      <c r="V5294">
        <v>-8.2952659999999998E-2</v>
      </c>
      <c r="W5294">
        <v>-1.563289E-3</v>
      </c>
      <c r="X5294">
        <v>0.99655229999999995</v>
      </c>
      <c r="Y5294">
        <v>0.1211684</v>
      </c>
      <c r="Z5294">
        <v>-1.08432999999999E-2</v>
      </c>
      <c r="AA5294">
        <v>0.99257269999999997</v>
      </c>
      <c r="AB5294">
        <v>25</v>
      </c>
      <c r="AC5294">
        <v>0.70040000000000102</v>
      </c>
      <c r="AD5294">
        <v>-7.4024999999999994E-2</v>
      </c>
      <c r="AE5294">
        <v>-5.8029999999998597E-2</v>
      </c>
      <c r="AF5294">
        <v>9.9042696408676301E-2</v>
      </c>
      <c r="AG5294">
        <v>-7.4024999999999994E-2</v>
      </c>
      <c r="AH5294">
        <v>0.68799600342848</v>
      </c>
      <c r="AI5294">
        <v>96.078929616130296</v>
      </c>
      <c r="AJ5294">
        <v>81.808080529973495</v>
      </c>
      <c r="AK5294">
        <v>0.69901906774455103</v>
      </c>
      <c r="AL5294">
        <v>90.089569895014193</v>
      </c>
      <c r="AM5294">
        <v>94.758310742139699</v>
      </c>
      <c r="AN5294">
        <v>1.00000003715443</v>
      </c>
    </row>
    <row r="5295" spans="1:40" x14ac:dyDescent="0.3">
      <c r="A5295" t="str">
        <f>"20200111160608497"</f>
        <v>20200111160608497</v>
      </c>
      <c r="B5295" t="str">
        <f>"1578729968487911"</f>
        <v>1578729968487911</v>
      </c>
      <c r="C5295" t="s">
        <v>40</v>
      </c>
      <c r="D5295">
        <v>4.8236809999999997</v>
      </c>
      <c r="E5295">
        <v>0.57959830000000001</v>
      </c>
      <c r="F5295" t="s">
        <v>42</v>
      </c>
      <c r="G5295">
        <v>-344.18470000000002</v>
      </c>
      <c r="H5295">
        <v>1.026802</v>
      </c>
      <c r="I5295">
        <v>17.428460000000001</v>
      </c>
      <c r="J5295">
        <v>-344.98079999999999</v>
      </c>
      <c r="K5295">
        <v>1.109267</v>
      </c>
      <c r="L5295">
        <v>17.493929999999999</v>
      </c>
      <c r="M5295">
        <v>0.9981698</v>
      </c>
      <c r="N5295">
        <v>0</v>
      </c>
      <c r="O5295">
        <v>5.9785989999999997E-2</v>
      </c>
      <c r="P5295">
        <v>0.98981419999999998</v>
      </c>
      <c r="Q5295">
        <v>-1.1075379999999999E-2</v>
      </c>
      <c r="R5295">
        <v>0.14193529999999999</v>
      </c>
      <c r="S5295">
        <v>3.056152</v>
      </c>
      <c r="T5295">
        <v>-0.2735419</v>
      </c>
      <c r="U5295">
        <v>-0.19296260000000001</v>
      </c>
      <c r="V5295">
        <v>-8.2504949999999994E-2</v>
      </c>
      <c r="W5295">
        <v>-1.855151E-3</v>
      </c>
      <c r="X5295">
        <v>0.9965889</v>
      </c>
      <c r="Y5295">
        <v>0.12184680000000001</v>
      </c>
      <c r="Z5295">
        <v>-1.0772260000000001E-2</v>
      </c>
      <c r="AA5295">
        <v>0.99249050000000005</v>
      </c>
      <c r="AB5295">
        <v>25</v>
      </c>
      <c r="AC5295">
        <v>0.79609999999996695</v>
      </c>
      <c r="AD5295">
        <v>-8.2464999999999997E-2</v>
      </c>
      <c r="AE5295">
        <v>-6.5469999999997697E-2</v>
      </c>
      <c r="AF5295">
        <v>0.11175933932375599</v>
      </c>
      <c r="AG5295">
        <v>-8.2464999999999997E-2</v>
      </c>
      <c r="AH5295">
        <v>0.78242240392392903</v>
      </c>
      <c r="AI5295">
        <v>95.956575600588096</v>
      </c>
      <c r="AJ5295">
        <v>81.870994908647404</v>
      </c>
      <c r="AK5295">
        <v>0.79465429232665796</v>
      </c>
      <c r="AL5295">
        <v>90.106292386606697</v>
      </c>
      <c r="AM5295">
        <v>94.732573258512204</v>
      </c>
      <c r="AN5295">
        <v>0.99999997198147195</v>
      </c>
    </row>
    <row r="5296" spans="1:40" x14ac:dyDescent="0.3">
      <c r="A5296" t="str">
        <f>"20200111160608509"</f>
        <v>20200111160608509</v>
      </c>
      <c r="B5296" t="str">
        <f>"1578729968497671"</f>
        <v>1578729968497671</v>
      </c>
      <c r="C5296" t="s">
        <v>40</v>
      </c>
      <c r="D5296">
        <v>4.8128469999999997</v>
      </c>
      <c r="E5296">
        <v>0.57965809999999995</v>
      </c>
      <c r="F5296" t="s">
        <v>42</v>
      </c>
      <c r="G5296">
        <v>-344.18029999999999</v>
      </c>
      <c r="H5296">
        <v>1.0377190000000001</v>
      </c>
      <c r="I5296">
        <v>17.442260000000001</v>
      </c>
      <c r="J5296">
        <v>-344.85270000000003</v>
      </c>
      <c r="K5296">
        <v>1.1092709999999999</v>
      </c>
      <c r="L5296">
        <v>17.501069999999999</v>
      </c>
      <c r="M5296">
        <v>0.99819919999999995</v>
      </c>
      <c r="N5296">
        <v>0</v>
      </c>
      <c r="O5296">
        <v>5.929015E-2</v>
      </c>
      <c r="P5296">
        <v>0.98995809999999995</v>
      </c>
      <c r="Q5296">
        <v>-1.060411E-2</v>
      </c>
      <c r="R5296">
        <v>0.14096359999999999</v>
      </c>
      <c r="S5296">
        <v>3.056</v>
      </c>
      <c r="T5296">
        <v>-0.27311029999999997</v>
      </c>
      <c r="U5296">
        <v>-0.1963501</v>
      </c>
      <c r="V5296">
        <v>-8.2020770000000007E-2</v>
      </c>
      <c r="W5296">
        <v>-1.377844E-3</v>
      </c>
      <c r="X5296">
        <v>0.99662969999999895</v>
      </c>
      <c r="Y5296">
        <v>0.1224544</v>
      </c>
      <c r="Z5296">
        <v>-1.073844E-2</v>
      </c>
      <c r="AA5296">
        <v>0.99241599999999996</v>
      </c>
      <c r="AB5296">
        <v>25</v>
      </c>
      <c r="AC5296">
        <v>0.67240000000003797</v>
      </c>
      <c r="AD5296">
        <v>-7.1551999999999796E-2</v>
      </c>
      <c r="AE5296">
        <v>-5.8810000000001098E-2</v>
      </c>
      <c r="AF5296">
        <v>9.7479437016387199E-2</v>
      </c>
      <c r="AG5296">
        <v>-7.1551999999999796E-2</v>
      </c>
      <c r="AH5296">
        <v>0.66030963094909201</v>
      </c>
      <c r="AI5296">
        <v>96.118709006234496</v>
      </c>
      <c r="AJ5296">
        <v>81.6022593798846</v>
      </c>
      <c r="AK5296">
        <v>0.67129035302852202</v>
      </c>
      <c r="AL5296">
        <v>90.078944668476495</v>
      </c>
      <c r="AM5296">
        <v>94.704733472436203</v>
      </c>
      <c r="AN5296">
        <v>1.0000000320437801</v>
      </c>
    </row>
    <row r="5297" spans="1:40" x14ac:dyDescent="0.3">
      <c r="A5297" t="str">
        <f>"20200111160608520"</f>
        <v>20200111160608520</v>
      </c>
      <c r="B5297" t="str">
        <f>"1578729968517191"</f>
        <v>1578729968517191</v>
      </c>
      <c r="C5297" t="s">
        <v>40</v>
      </c>
      <c r="D5297">
        <v>4.7272639999999999</v>
      </c>
      <c r="E5297">
        <v>0.57983790000000002</v>
      </c>
      <c r="F5297" t="s">
        <v>42</v>
      </c>
      <c r="G5297">
        <v>-343.95859999999999</v>
      </c>
      <c r="H5297">
        <v>1.030041</v>
      </c>
      <c r="I5297">
        <v>17.442489999999999</v>
      </c>
      <c r="J5297">
        <v>-344.72649999999999</v>
      </c>
      <c r="K5297">
        <v>1.1092759999999999</v>
      </c>
      <c r="L5297">
        <v>17.50806</v>
      </c>
      <c r="M5297">
        <v>0.9982278</v>
      </c>
      <c r="N5297">
        <v>0</v>
      </c>
      <c r="O5297">
        <v>5.8804799999999997E-2</v>
      </c>
      <c r="P5297">
        <v>0.99011899999999997</v>
      </c>
      <c r="Q5297">
        <v>-1.0110539999999999E-2</v>
      </c>
      <c r="R5297">
        <v>0.1398655</v>
      </c>
      <c r="S5297">
        <v>3.0559690000000002</v>
      </c>
      <c r="T5297">
        <v>-0.270787099999999</v>
      </c>
      <c r="U5297">
        <v>-0.1997681</v>
      </c>
      <c r="V5297">
        <v>-8.1398730000000002E-2</v>
      </c>
      <c r="W5297">
        <v>-8.7854380000000002E-4</v>
      </c>
      <c r="X5297">
        <v>0.99668120000000004</v>
      </c>
      <c r="Y5297">
        <v>0.1230895</v>
      </c>
      <c r="Z5297">
        <v>-1.063241E-2</v>
      </c>
      <c r="AA5297">
        <v>0.99233859999999996</v>
      </c>
      <c r="AB5297">
        <v>25</v>
      </c>
      <c r="AC5297">
        <v>0.76789999999999703</v>
      </c>
      <c r="AD5297">
        <v>-7.9234999999999903E-2</v>
      </c>
      <c r="AE5297">
        <v>-6.5570000000001002E-2</v>
      </c>
      <c r="AF5297">
        <v>0.109457654049751</v>
      </c>
      <c r="AG5297">
        <v>-7.9234999999999903E-2</v>
      </c>
      <c r="AH5297">
        <v>0.75473756778091805</v>
      </c>
      <c r="AI5297">
        <v>95.931553397933001</v>
      </c>
      <c r="AJ5297">
        <v>81.748073199325006</v>
      </c>
      <c r="AK5297">
        <v>0.76673852092804795</v>
      </c>
      <c r="AL5297">
        <v>90.050336859854895</v>
      </c>
      <c r="AM5297">
        <v>94.668971252769694</v>
      </c>
      <c r="AN5297">
        <v>0.99999996975912997</v>
      </c>
    </row>
    <row r="5298" spans="1:40" x14ac:dyDescent="0.3">
      <c r="A5298" t="str">
        <f>"20200111160608535"</f>
        <v>20200111160608535</v>
      </c>
      <c r="B5298" t="str">
        <f>"1578729968526951"</f>
        <v>1578729968526951</v>
      </c>
      <c r="C5298" t="s">
        <v>40</v>
      </c>
      <c r="D5298">
        <v>4.7376269999999998</v>
      </c>
      <c r="E5298">
        <v>0.58021909999999999</v>
      </c>
      <c r="F5298" t="s">
        <v>42</v>
      </c>
      <c r="G5298">
        <v>-343.95370000000003</v>
      </c>
      <c r="H5298">
        <v>1.041981</v>
      </c>
      <c r="I5298">
        <v>17.45618</v>
      </c>
      <c r="J5298">
        <v>-344.56290000000001</v>
      </c>
      <c r="K5298">
        <v>1.1092820000000001</v>
      </c>
      <c r="L5298">
        <v>17.517029999999998</v>
      </c>
      <c r="M5298">
        <v>0.99826440000000005</v>
      </c>
      <c r="N5298">
        <v>0</v>
      </c>
      <c r="O5298">
        <v>5.8180080000000002E-2</v>
      </c>
      <c r="P5298">
        <v>0.9902704</v>
      </c>
      <c r="Q5298">
        <v>-9.6016810000000008E-3</v>
      </c>
      <c r="R5298">
        <v>0.13882559999999999</v>
      </c>
      <c r="S5298">
        <v>3.056152</v>
      </c>
      <c r="T5298">
        <v>-0.26613350000000002</v>
      </c>
      <c r="U5298">
        <v>-0.20462040000000001</v>
      </c>
      <c r="V5298">
        <v>-8.0974820000000003E-2</v>
      </c>
      <c r="W5298">
        <v>-3.619362E-4</v>
      </c>
      <c r="X5298">
        <v>0.99671609999999999</v>
      </c>
      <c r="Y5298">
        <v>0.12405629999999999</v>
      </c>
      <c r="Z5298">
        <v>-1.043702E-2</v>
      </c>
      <c r="AA5298">
        <v>0.99222030000000006</v>
      </c>
      <c r="AB5298">
        <v>25</v>
      </c>
      <c r="AC5298">
        <v>0.60919999999998697</v>
      </c>
      <c r="AD5298">
        <v>-6.7300999999999805E-2</v>
      </c>
      <c r="AE5298">
        <v>-6.0849999999998503E-2</v>
      </c>
      <c r="AF5298">
        <v>9.5043193629274894E-2</v>
      </c>
      <c r="AG5298">
        <v>-6.7300999999999805E-2</v>
      </c>
      <c r="AH5298">
        <v>0.59740848630530197</v>
      </c>
      <c r="AI5298">
        <v>96.348377453419801</v>
      </c>
      <c r="AJ5298">
        <v>80.960429788999804</v>
      </c>
      <c r="AK5298">
        <v>0.608653869424852</v>
      </c>
      <c r="AL5298">
        <v>90.020737416787597</v>
      </c>
      <c r="AM5298">
        <v>94.644600827955998</v>
      </c>
      <c r="AN5298">
        <v>1.00000001823552</v>
      </c>
    </row>
    <row r="5299" spans="1:40" x14ac:dyDescent="0.3">
      <c r="A5299" t="str">
        <f>"20200111160608554"</f>
        <v>20200111160608554</v>
      </c>
      <c r="B5299" t="str">
        <f>"1578729968547446"</f>
        <v>1578729968547446</v>
      </c>
      <c r="C5299" t="s">
        <v>40</v>
      </c>
      <c r="D5299">
        <v>4.8378959999999998</v>
      </c>
      <c r="E5299">
        <v>0.58094299999999999</v>
      </c>
      <c r="F5299" t="s">
        <v>42</v>
      </c>
      <c r="G5299">
        <v>-343.7303</v>
      </c>
      <c r="H5299">
        <v>1.037552</v>
      </c>
      <c r="I5299">
        <v>17.459540000000001</v>
      </c>
      <c r="J5299">
        <v>-344.34699999999998</v>
      </c>
      <c r="K5299">
        <v>1.1092900000000001</v>
      </c>
      <c r="L5299">
        <v>17.52872</v>
      </c>
      <c r="M5299">
        <v>0.99831150000000002</v>
      </c>
      <c r="N5299">
        <v>0</v>
      </c>
      <c r="O5299">
        <v>5.7361339999999997E-2</v>
      </c>
      <c r="P5299">
        <v>0.99057459999999997</v>
      </c>
      <c r="Q5299">
        <v>-8.8380709999999994E-3</v>
      </c>
      <c r="R5299">
        <v>0.1366897</v>
      </c>
      <c r="S5299">
        <v>3.0565190000000002</v>
      </c>
      <c r="T5299">
        <v>-0.2633569</v>
      </c>
      <c r="U5299">
        <v>-0.2107849</v>
      </c>
      <c r="V5299">
        <v>-7.9641130000000004E-2</v>
      </c>
      <c r="W5299">
        <v>4.1133560000000002E-4</v>
      </c>
      <c r="X5299">
        <v>0.99682349999999997</v>
      </c>
      <c r="Y5299">
        <v>0.12523969999999901</v>
      </c>
      <c r="Z5299">
        <v>-1.0307180000000001E-2</v>
      </c>
      <c r="AA5299">
        <v>0.99207299999999998</v>
      </c>
      <c r="AB5299">
        <v>25</v>
      </c>
      <c r="AC5299">
        <v>0.61669999999998004</v>
      </c>
      <c r="AD5299">
        <v>-7.1737999999999802E-2</v>
      </c>
      <c r="AE5299">
        <v>-6.9179999999999298E-2</v>
      </c>
      <c r="AF5299">
        <v>0.103064998240175</v>
      </c>
      <c r="AG5299">
        <v>-7.1737999999999802E-2</v>
      </c>
      <c r="AH5299">
        <v>0.60364922810746702</v>
      </c>
      <c r="AI5299">
        <v>96.681482034179297</v>
      </c>
      <c r="AJ5299">
        <v>80.310942761448899</v>
      </c>
      <c r="AK5299">
        <v>0.61657207616059595</v>
      </c>
      <c r="AL5299">
        <v>89.976432205125803</v>
      </c>
      <c r="AM5299">
        <v>94.567938640234502</v>
      </c>
      <c r="AN5299">
        <v>0.99999998446845095</v>
      </c>
    </row>
    <row r="5300" spans="1:40" x14ac:dyDescent="0.3">
      <c r="A5300" t="str">
        <f>"20200111160608566"</f>
        <v>20200111160608566</v>
      </c>
      <c r="B5300" t="str">
        <f>"1578729968557206"</f>
        <v>1578729968557206</v>
      </c>
      <c r="C5300" t="s">
        <v>40</v>
      </c>
      <c r="D5300">
        <v>4.7134470000000004</v>
      </c>
      <c r="E5300">
        <v>0.58122390000000002</v>
      </c>
      <c r="F5300" t="s">
        <v>42</v>
      </c>
      <c r="G5300">
        <v>-343.50439999999998</v>
      </c>
      <c r="H5300">
        <v>1.038027</v>
      </c>
      <c r="I5300">
        <v>17.467129999999901</v>
      </c>
      <c r="J5300">
        <v>-344.19799999999998</v>
      </c>
      <c r="K5300">
        <v>1.109294</v>
      </c>
      <c r="L5300">
        <v>17.53668</v>
      </c>
      <c r="M5300">
        <v>0.9983436</v>
      </c>
      <c r="N5300">
        <v>0</v>
      </c>
      <c r="O5300">
        <v>5.6798840000000003E-2</v>
      </c>
      <c r="P5300">
        <v>0.99074329999999999</v>
      </c>
      <c r="Q5300">
        <v>-8.4778070000000004E-3</v>
      </c>
      <c r="R5300">
        <v>0.13548299999999999</v>
      </c>
      <c r="S5300">
        <v>3.057007</v>
      </c>
      <c r="T5300">
        <v>-0.25856790000000002</v>
      </c>
      <c r="U5300">
        <v>-0.22299189999999999</v>
      </c>
      <c r="V5300">
        <v>-7.8987520000000006E-2</v>
      </c>
      <c r="W5300">
        <v>7.7754649999999903E-4</v>
      </c>
      <c r="X5300">
        <v>0.99687530000000002</v>
      </c>
      <c r="Y5300">
        <v>0.1286254</v>
      </c>
      <c r="Z5300">
        <v>-1.0212850000000001E-2</v>
      </c>
      <c r="AA5300">
        <v>0.99164070000000004</v>
      </c>
      <c r="AB5300">
        <v>25</v>
      </c>
      <c r="AC5300">
        <v>0.69360000000005995</v>
      </c>
      <c r="AD5300">
        <v>-7.12669999999999E-2</v>
      </c>
      <c r="AE5300">
        <v>-6.9550000000003095E-2</v>
      </c>
      <c r="AF5300">
        <v>0.107709226924099</v>
      </c>
      <c r="AG5300">
        <v>-7.12669999999999E-2</v>
      </c>
      <c r="AH5300">
        <v>0.68140735643261197</v>
      </c>
      <c r="AI5300">
        <v>95.898037776159697</v>
      </c>
      <c r="AJ5300">
        <v>81.017644480806794</v>
      </c>
      <c r="AK5300">
        <v>0.69353893059731597</v>
      </c>
      <c r="AL5300">
        <v>89.955449862611005</v>
      </c>
      <c r="AM5300">
        <v>94.530372116351003</v>
      </c>
      <c r="AN5300">
        <v>0.99999999832219999</v>
      </c>
    </row>
    <row r="5301" spans="1:40" x14ac:dyDescent="0.3">
      <c r="A5301" t="str">
        <f>"20200111160608587"</f>
        <v>20200111160608587</v>
      </c>
      <c r="B5301" t="str">
        <f>"1578729968577701"</f>
        <v>1578729968577701</v>
      </c>
      <c r="C5301" t="s">
        <v>40</v>
      </c>
      <c r="D5301">
        <v>4.7311050000000003</v>
      </c>
      <c r="E5301">
        <v>0.5810244</v>
      </c>
      <c r="F5301" t="s">
        <v>42</v>
      </c>
      <c r="G5301">
        <v>-343.28059999999999</v>
      </c>
      <c r="H5301">
        <v>1.03223</v>
      </c>
      <c r="I5301">
        <v>17.467690000000001</v>
      </c>
      <c r="J5301">
        <v>-343.97269999999997</v>
      </c>
      <c r="K5301">
        <v>1.109297</v>
      </c>
      <c r="L5301">
        <v>17.548549999999999</v>
      </c>
      <c r="M5301">
        <v>0.99839140000000004</v>
      </c>
      <c r="N5301">
        <v>0</v>
      </c>
      <c r="O5301">
        <v>5.5951540000000001E-2</v>
      </c>
      <c r="P5301">
        <v>0.99106150000000004</v>
      </c>
      <c r="Q5301">
        <v>-8.3286829999999999E-3</v>
      </c>
      <c r="R5301">
        <v>0.13314529999999999</v>
      </c>
      <c r="S5301">
        <v>3.0571290000000002</v>
      </c>
      <c r="T5301">
        <v>-0.25671919999999998</v>
      </c>
      <c r="U5301">
        <v>-0.2287903</v>
      </c>
      <c r="V5301">
        <v>-7.7481530000000007E-2</v>
      </c>
      <c r="W5301">
        <v>9.3633330000000002E-4</v>
      </c>
      <c r="X5301">
        <v>0.99699340000000003</v>
      </c>
      <c r="Y5301">
        <v>0.12966030000000001</v>
      </c>
      <c r="Z5301">
        <v>-1.0111439999999999E-2</v>
      </c>
      <c r="AA5301">
        <v>0.99150689999999997</v>
      </c>
      <c r="AB5301">
        <v>25</v>
      </c>
      <c r="AC5301">
        <v>0.69209999999998195</v>
      </c>
      <c r="AD5301">
        <v>-7.7066999999999997E-2</v>
      </c>
      <c r="AE5301">
        <v>-8.0859999999997698E-2</v>
      </c>
      <c r="AF5301">
        <v>0.11801539900083199</v>
      </c>
      <c r="AG5301">
        <v>-7.7066999999999997E-2</v>
      </c>
      <c r="AH5301">
        <v>0.678195344449947</v>
      </c>
      <c r="AI5301">
        <v>96.387837280703806</v>
      </c>
      <c r="AJ5301">
        <v>80.128585611516002</v>
      </c>
      <c r="AK5301">
        <v>0.69268743465137805</v>
      </c>
      <c r="AL5301">
        <v>89.946352048639199</v>
      </c>
      <c r="AM5301">
        <v>94.443820293829006</v>
      </c>
      <c r="AN5301">
        <v>1.00000005192737</v>
      </c>
    </row>
    <row r="5302" spans="1:40" x14ac:dyDescent="0.3">
      <c r="A5302" t="str">
        <f>"20200111160608598"</f>
        <v>20200111160608598</v>
      </c>
      <c r="B5302" t="str">
        <f>"1578729968587463"</f>
        <v>1578729968587463</v>
      </c>
      <c r="C5302" t="s">
        <v>40</v>
      </c>
      <c r="D5302">
        <v>4.7424839999999904</v>
      </c>
      <c r="E5302">
        <v>0.58090350000000002</v>
      </c>
      <c r="F5302" t="s">
        <v>42</v>
      </c>
      <c r="G5302">
        <v>-343.05410000000001</v>
      </c>
      <c r="H5302">
        <v>1.032675</v>
      </c>
      <c r="I5302">
        <v>17.477820000000001</v>
      </c>
      <c r="J5302">
        <v>-343.8451</v>
      </c>
      <c r="K5302">
        <v>1.109299</v>
      </c>
      <c r="L5302">
        <v>17.555209999999999</v>
      </c>
      <c r="M5302">
        <v>0.99841820000000003</v>
      </c>
      <c r="N5302">
        <v>0</v>
      </c>
      <c r="O5302">
        <v>5.5472830000000001E-2</v>
      </c>
      <c r="P5302">
        <v>0.99124679999999998</v>
      </c>
      <c r="Q5302">
        <v>-8.4534509999999903E-3</v>
      </c>
      <c r="R5302">
        <v>0.13175229999999999</v>
      </c>
      <c r="S5302">
        <v>3.0563660000000001</v>
      </c>
      <c r="T5302">
        <v>-0.25484509999999999</v>
      </c>
      <c r="U5302">
        <v>-0.2342224</v>
      </c>
      <c r="V5302">
        <v>-7.655874E-2</v>
      </c>
      <c r="W5302">
        <v>8.1664699999999999E-4</v>
      </c>
      <c r="X5302">
        <v>0.99706470000000003</v>
      </c>
      <c r="Y5302">
        <v>0.13096179999999999</v>
      </c>
      <c r="Z5302">
        <v>-1.005406E-2</v>
      </c>
      <c r="AA5302">
        <v>0.99133640000000001</v>
      </c>
      <c r="AB5302">
        <v>25</v>
      </c>
      <c r="AC5302">
        <v>0.79099999999999604</v>
      </c>
      <c r="AD5302">
        <v>-7.6623999999999998E-2</v>
      </c>
      <c r="AE5302">
        <v>-7.73899999999976E-2</v>
      </c>
      <c r="AF5302">
        <v>0.12003596499441301</v>
      </c>
      <c r="AG5302">
        <v>-7.6623999999999998E-2</v>
      </c>
      <c r="AH5302">
        <v>0.77825498036389096</v>
      </c>
      <c r="AI5302">
        <v>95.557701098520894</v>
      </c>
      <c r="AJ5302">
        <v>81.231944873174001</v>
      </c>
      <c r="AK5302">
        <v>0.79117677211185899</v>
      </c>
      <c r="AL5302">
        <v>89.953209566558996</v>
      </c>
      <c r="AM5302">
        <v>94.390790711850997</v>
      </c>
      <c r="AN5302">
        <v>0.99999996178439898</v>
      </c>
    </row>
    <row r="5303" spans="1:40" x14ac:dyDescent="0.3">
      <c r="A5303" t="str">
        <f>"20200111160608609"</f>
        <v>20200111160608609</v>
      </c>
      <c r="B5303" t="str">
        <f>"1578729968606983"</f>
        <v>1578729968606983</v>
      </c>
      <c r="C5303" t="s">
        <v>40</v>
      </c>
      <c r="D5303">
        <v>4.7302900000000001</v>
      </c>
      <c r="E5303">
        <v>0.58065009999999995</v>
      </c>
      <c r="F5303" t="s">
        <v>42</v>
      </c>
      <c r="G5303">
        <v>-343.05</v>
      </c>
      <c r="H5303">
        <v>1.0430060000000001</v>
      </c>
      <c r="I5303">
        <v>17.493069999999999</v>
      </c>
      <c r="J5303">
        <v>-343.71510000000001</v>
      </c>
      <c r="K5303">
        <v>1.1092959999999901</v>
      </c>
      <c r="L5303">
        <v>17.561889999999998</v>
      </c>
      <c r="M5303">
        <v>0.99844489999999997</v>
      </c>
      <c r="N5303">
        <v>0</v>
      </c>
      <c r="O5303">
        <v>5.4985659999999999E-2</v>
      </c>
      <c r="P5303">
        <v>0.99141880000000004</v>
      </c>
      <c r="Q5303">
        <v>-8.4471919999999992E-3</v>
      </c>
      <c r="R5303">
        <v>0.13045039999999999</v>
      </c>
      <c r="S5303">
        <v>3.0558779999999999</v>
      </c>
      <c r="T5303">
        <v>-0.2546968</v>
      </c>
      <c r="U5303">
        <v>-0.23751829999999999</v>
      </c>
      <c r="V5303">
        <v>-7.5735730000000001E-2</v>
      </c>
      <c r="W5303">
        <v>8.2809089999999995E-4</v>
      </c>
      <c r="X5303">
        <v>0.9971276</v>
      </c>
      <c r="Y5303">
        <v>0.13155329999999901</v>
      </c>
      <c r="Z5303">
        <v>-1.003355E-2</v>
      </c>
      <c r="AA5303">
        <v>0.99125830000000004</v>
      </c>
      <c r="AB5303">
        <v>25</v>
      </c>
      <c r="AC5303">
        <v>0.66509999999999503</v>
      </c>
      <c r="AD5303">
        <v>-6.6289999999999905E-2</v>
      </c>
      <c r="AE5303">
        <v>-6.8819999999998702E-2</v>
      </c>
      <c r="AF5303">
        <v>0.104263603727749</v>
      </c>
      <c r="AG5303">
        <v>-6.6289999999999905E-2</v>
      </c>
      <c r="AH5303">
        <v>0.653882612279997</v>
      </c>
      <c r="AI5303">
        <v>95.717078480411502</v>
      </c>
      <c r="AJ5303">
        <v>80.940279089385896</v>
      </c>
      <c r="AK5303">
        <v>0.66545302899934999</v>
      </c>
      <c r="AL5303">
        <v>89.952553881837005</v>
      </c>
      <c r="AM5303">
        <v>94.343498177751499</v>
      </c>
      <c r="AN5303">
        <v>1.00000001860746</v>
      </c>
    </row>
    <row r="5304" spans="1:40" x14ac:dyDescent="0.3">
      <c r="A5304" t="str">
        <f>"20200111160608622"</f>
        <v>20200111160608622</v>
      </c>
      <c r="B5304" t="str">
        <f>"1578729968617718"</f>
        <v>1578729968617718</v>
      </c>
      <c r="C5304" t="s">
        <v>40</v>
      </c>
      <c r="D5304">
        <v>4.9310609999999997</v>
      </c>
      <c r="E5304">
        <v>0.58100540000000001</v>
      </c>
      <c r="F5304" t="s">
        <v>42</v>
      </c>
      <c r="G5304">
        <v>-342.8263</v>
      </c>
      <c r="H5304">
        <v>1.0354840000000001</v>
      </c>
      <c r="I5304">
        <v>17.491989999999898</v>
      </c>
      <c r="J5304">
        <v>-343.57470000000001</v>
      </c>
      <c r="K5304">
        <v>1.1092949999999999</v>
      </c>
      <c r="L5304">
        <v>17.569089999999999</v>
      </c>
      <c r="M5304">
        <v>0.99847390000000003</v>
      </c>
      <c r="N5304">
        <v>0</v>
      </c>
      <c r="O5304">
        <v>5.4459149999999998E-2</v>
      </c>
      <c r="P5304">
        <v>0.99157200000000001</v>
      </c>
      <c r="Q5304">
        <v>-8.3127329999999992E-3</v>
      </c>
      <c r="R5304">
        <v>0.1292915</v>
      </c>
      <c r="S5304">
        <v>3.0552980000000001</v>
      </c>
      <c r="T5304">
        <v>-0.25361939999999999</v>
      </c>
      <c r="U5304">
        <v>-0.23950199999999999</v>
      </c>
      <c r="V5304">
        <v>-7.5095739999999994E-2</v>
      </c>
      <c r="W5304">
        <v>9.6828129999999998E-4</v>
      </c>
      <c r="X5304">
        <v>0.9971759</v>
      </c>
      <c r="Y5304">
        <v>0.13169129999999901</v>
      </c>
      <c r="Z5304">
        <v>-9.9550469999999999E-3</v>
      </c>
      <c r="AA5304">
        <v>0.99124080000000003</v>
      </c>
      <c r="AB5304">
        <v>25</v>
      </c>
      <c r="AC5304">
        <v>0.74840000000000295</v>
      </c>
      <c r="AD5304">
        <v>-7.3811000000000002E-2</v>
      </c>
      <c r="AE5304">
        <v>-7.7100000000001501E-2</v>
      </c>
      <c r="AF5304">
        <v>0.116622056377094</v>
      </c>
      <c r="AG5304">
        <v>-7.3811000000000002E-2</v>
      </c>
      <c r="AH5304">
        <v>0.73600642159805896</v>
      </c>
      <c r="AI5304">
        <v>95.656700738728802</v>
      </c>
      <c r="AJ5304">
        <v>80.996196022854406</v>
      </c>
      <c r="AK5304">
        <v>0.74883524248542299</v>
      </c>
      <c r="AL5304">
        <v>89.944521561769406</v>
      </c>
      <c r="AM5304">
        <v>94.306725158902907</v>
      </c>
      <c r="AN5304">
        <v>1.0000000416378101</v>
      </c>
    </row>
    <row r="5305" spans="1:40" x14ac:dyDescent="0.3">
      <c r="A5305" t="str">
        <f>"20200111160608634"</f>
        <v>20200111160608634</v>
      </c>
      <c r="B5305" t="str">
        <f>"1578729968627479"</f>
        <v>1578729968627479</v>
      </c>
      <c r="C5305" t="s">
        <v>40</v>
      </c>
      <c r="D5305">
        <v>5.3039329999999998</v>
      </c>
      <c r="E5305">
        <v>0.58100540000000001</v>
      </c>
      <c r="F5305" t="s">
        <v>42</v>
      </c>
      <c r="G5305">
        <v>-342.82029999999997</v>
      </c>
      <c r="H5305">
        <v>1.0470520000000001</v>
      </c>
      <c r="I5305">
        <v>17.508140000000001</v>
      </c>
      <c r="J5305">
        <v>-343.44310000000002</v>
      </c>
      <c r="K5305">
        <v>1.1092949999999999</v>
      </c>
      <c r="L5305">
        <v>17.57574</v>
      </c>
      <c r="M5305">
        <v>0.99850059999999996</v>
      </c>
      <c r="N5305">
        <v>0</v>
      </c>
      <c r="O5305">
        <v>5.3965779999999998E-2</v>
      </c>
      <c r="P5305">
        <v>0.99170789999999998</v>
      </c>
      <c r="Q5305">
        <v>-8.2099029999999993E-3</v>
      </c>
      <c r="R5305">
        <v>0.1282509</v>
      </c>
      <c r="S5305">
        <v>3.05545</v>
      </c>
      <c r="T5305">
        <v>-0.25197629999999999</v>
      </c>
      <c r="U5305">
        <v>-0.2459412</v>
      </c>
      <c r="V5305">
        <v>-7.4541759999999999E-2</v>
      </c>
      <c r="W5305">
        <v>1.077E-3</v>
      </c>
      <c r="X5305">
        <v>0.99721729999999997</v>
      </c>
      <c r="Y5305">
        <v>0.13327809999999901</v>
      </c>
      <c r="Z5305">
        <v>-9.9141880000000009E-3</v>
      </c>
      <c r="AA5305">
        <v>0.9910291</v>
      </c>
      <c r="AB5305">
        <v>25</v>
      </c>
      <c r="AC5305">
        <v>0.62280000000003999</v>
      </c>
      <c r="AD5305">
        <v>-6.2243E-2</v>
      </c>
      <c r="AE5305">
        <v>-6.7599999999998703E-2</v>
      </c>
      <c r="AF5305">
        <v>0.100124377984457</v>
      </c>
      <c r="AG5305">
        <v>-6.2243E-2</v>
      </c>
      <c r="AH5305">
        <v>0.61220059700816498</v>
      </c>
      <c r="AI5305">
        <v>95.729758652178305</v>
      </c>
      <c r="AJ5305">
        <v>80.711604549935402</v>
      </c>
      <c r="AK5305">
        <v>0.62344899798855102</v>
      </c>
      <c r="AL5305">
        <v>89.938292432835595</v>
      </c>
      <c r="AM5305">
        <v>94.274895917375702</v>
      </c>
      <c r="AN5305">
        <v>0.99999998866609296</v>
      </c>
    </row>
    <row r="5306" spans="1:40" x14ac:dyDescent="0.3">
      <c r="A5306" t="str">
        <f>"20200111160608653"</f>
        <v>20200111160608653</v>
      </c>
      <c r="B5306" t="str">
        <f>"1578729968647975"</f>
        <v>1578729968647975</v>
      </c>
      <c r="C5306" t="s">
        <v>40</v>
      </c>
      <c r="D5306">
        <v>4.8362809999999996</v>
      </c>
      <c r="E5306">
        <v>0.51869929999999997</v>
      </c>
      <c r="F5306" t="s">
        <v>42</v>
      </c>
      <c r="G5306">
        <v>-342.59750000000003</v>
      </c>
      <c r="H5306">
        <v>1.0396289999999999</v>
      </c>
      <c r="I5306">
        <v>17.50665</v>
      </c>
      <c r="J5306">
        <v>-343.21949999999998</v>
      </c>
      <c r="K5306">
        <v>1.1092900000000001</v>
      </c>
      <c r="L5306">
        <v>17.58691</v>
      </c>
      <c r="M5306">
        <v>0.99854529999999997</v>
      </c>
      <c r="N5306">
        <v>0</v>
      </c>
      <c r="O5306">
        <v>5.3127809999999998E-2</v>
      </c>
      <c r="P5306">
        <v>0.99196090000000003</v>
      </c>
      <c r="Q5306">
        <v>-8.2624139999999992E-3</v>
      </c>
      <c r="R5306">
        <v>0.1262749</v>
      </c>
      <c r="S5306">
        <v>3.0552060000000001</v>
      </c>
      <c r="T5306">
        <v>-0.25164890000000001</v>
      </c>
      <c r="U5306">
        <v>-0.24917600000000001</v>
      </c>
      <c r="V5306">
        <v>-7.339242E-2</v>
      </c>
      <c r="W5306">
        <v>1.0331310000000001E-3</v>
      </c>
      <c r="X5306">
        <v>0.99730260000000004</v>
      </c>
      <c r="Y5306">
        <v>0.13349900000000001</v>
      </c>
      <c r="Z5306">
        <v>-9.8420139999999996E-3</v>
      </c>
      <c r="AA5306">
        <v>0.99100010000000005</v>
      </c>
      <c r="AB5306">
        <v>25</v>
      </c>
      <c r="AC5306">
        <v>0.62199999999995703</v>
      </c>
      <c r="AD5306">
        <v>-6.9660999999999695E-2</v>
      </c>
      <c r="AE5306">
        <v>-8.0259999999999096E-2</v>
      </c>
      <c r="AF5306">
        <v>0.111814033068199</v>
      </c>
      <c r="AG5306">
        <v>-6.9660999999999695E-2</v>
      </c>
      <c r="AH5306">
        <v>0.60933954325392803</v>
      </c>
      <c r="AI5306">
        <v>96.415656306945905</v>
      </c>
      <c r="AJ5306">
        <v>79.601883047971299</v>
      </c>
      <c r="AK5306">
        <v>0.62341776673823002</v>
      </c>
      <c r="AL5306">
        <v>89.940805943208602</v>
      </c>
      <c r="AM5306">
        <v>94.208862434039304</v>
      </c>
      <c r="AN5306">
        <v>0.99999999531993899</v>
      </c>
    </row>
    <row r="5307" spans="1:40" x14ac:dyDescent="0.3">
      <c r="A5307" t="str">
        <f>"20200111160608665"</f>
        <v>20200111160608665</v>
      </c>
      <c r="B5307" t="str">
        <f>"1578729968657734"</f>
        <v>1578729968657734</v>
      </c>
      <c r="C5307" t="s">
        <v>40</v>
      </c>
      <c r="D5307">
        <v>4.5724739999999997</v>
      </c>
      <c r="E5307">
        <v>0.51869929999999997</v>
      </c>
      <c r="F5307" t="s">
        <v>42</v>
      </c>
      <c r="G5307">
        <v>-342.37639999999999</v>
      </c>
      <c r="H5307">
        <v>1.0322260000000001</v>
      </c>
      <c r="I5307">
        <v>17.653790000000001</v>
      </c>
      <c r="J5307">
        <v>-343.0847</v>
      </c>
      <c r="K5307">
        <v>1.109289</v>
      </c>
      <c r="L5307">
        <v>17.59357</v>
      </c>
      <c r="M5307">
        <v>0.99857220000000002</v>
      </c>
      <c r="N5307">
        <v>0</v>
      </c>
      <c r="O5307">
        <v>5.2622269999999999E-2</v>
      </c>
      <c r="P5307">
        <v>0.99207909999999999</v>
      </c>
      <c r="Q5307">
        <v>-8.4034890000000001E-3</v>
      </c>
      <c r="R5307">
        <v>0.12533449999999999</v>
      </c>
      <c r="S5307">
        <v>2.991638</v>
      </c>
      <c r="T5307">
        <v>-0.27339079999999999</v>
      </c>
      <c r="U5307">
        <v>0.23855589999999999</v>
      </c>
      <c r="V5307">
        <v>-7.2952050000000004E-2</v>
      </c>
      <c r="W5307">
        <v>8.9818639999999996E-4</v>
      </c>
      <c r="X5307">
        <v>0.99733499999999997</v>
      </c>
      <c r="Y5307">
        <v>-2.7026189999999999E-2</v>
      </c>
      <c r="Z5307">
        <v>-3.55698E-3</v>
      </c>
      <c r="AA5307">
        <v>0.99962839999999997</v>
      </c>
      <c r="AB5307">
        <v>25</v>
      </c>
      <c r="AC5307">
        <v>0.70830000000000803</v>
      </c>
      <c r="AD5307">
        <v>-7.7062999999999798E-2</v>
      </c>
      <c r="AE5307">
        <v>6.0220000000001002E-2</v>
      </c>
      <c r="AF5307">
        <v>-2.2597058165299298E-2</v>
      </c>
      <c r="AG5307">
        <v>-7.7062999999999798E-2</v>
      </c>
      <c r="AH5307">
        <v>0.70223461136941401</v>
      </c>
      <c r="AI5307">
        <v>96.259346906611597</v>
      </c>
      <c r="AJ5307">
        <v>91.843072723854306</v>
      </c>
      <c r="AK5307">
        <v>0.70681170223184497</v>
      </c>
      <c r="AL5307">
        <v>89.948537700843104</v>
      </c>
      <c r="AM5307">
        <v>94.183562880399805</v>
      </c>
      <c r="AN5307">
        <v>0.99999995528150398</v>
      </c>
    </row>
    <row r="5308" spans="1:40" x14ac:dyDescent="0.3">
      <c r="A5308" t="str">
        <f>"20200111160608699"</f>
        <v>20200111160608699</v>
      </c>
      <c r="B5308" t="str">
        <f>"1578729968697750"</f>
        <v>1578729968697750</v>
      </c>
      <c r="C5308" t="s">
        <v>40</v>
      </c>
      <c r="D5308">
        <v>4.8279550000000002</v>
      </c>
      <c r="E5308">
        <v>0.45621970000000001</v>
      </c>
      <c r="F5308" t="s">
        <v>42</v>
      </c>
      <c r="G5308">
        <v>-342.15429999999998</v>
      </c>
      <c r="H5308">
        <v>1.024146</v>
      </c>
      <c r="I5308">
        <v>17.666699999999999</v>
      </c>
      <c r="J5308">
        <v>-342.68529999999998</v>
      </c>
      <c r="K5308">
        <v>1.1092850000000001</v>
      </c>
      <c r="L5308">
        <v>17.612819999999999</v>
      </c>
      <c r="M5308">
        <v>0.99864969999999997</v>
      </c>
      <c r="N5308">
        <v>0</v>
      </c>
      <c r="O5308">
        <v>5.1124610000000001E-2</v>
      </c>
      <c r="P5308">
        <v>0.99226360000000002</v>
      </c>
      <c r="Q5308">
        <v>-9.6877119999999994E-3</v>
      </c>
      <c r="R5308">
        <v>0.1237714</v>
      </c>
      <c r="S5308">
        <v>2.9918209999999998</v>
      </c>
      <c r="T5308">
        <v>-0.27377899999999999</v>
      </c>
      <c r="U5308">
        <v>0.23568729999999999</v>
      </c>
      <c r="V5308">
        <v>-7.287884E-2</v>
      </c>
      <c r="W5308">
        <v>-3.684828E-4</v>
      </c>
      <c r="X5308">
        <v>0.99734069999999997</v>
      </c>
      <c r="Y5308">
        <v>-2.755991E-2</v>
      </c>
      <c r="Z5308">
        <v>-3.4013450000000001E-3</v>
      </c>
      <c r="AA5308">
        <v>0.99961440000000001</v>
      </c>
      <c r="AB5308">
        <v>25</v>
      </c>
      <c r="AC5308">
        <v>0.53100000000000502</v>
      </c>
      <c r="AD5308">
        <v>-8.5139000000000006E-2</v>
      </c>
      <c r="AE5308">
        <v>5.3879999999995903E-2</v>
      </c>
      <c r="AF5308">
        <v>-2.59996253914247E-2</v>
      </c>
      <c r="AG5308">
        <v>-8.5139000000000006E-2</v>
      </c>
      <c r="AH5308">
        <v>0.51983259613406396</v>
      </c>
      <c r="AI5308">
        <v>99.290001732418105</v>
      </c>
      <c r="AJ5308">
        <v>92.863284298499593</v>
      </c>
      <c r="AK5308">
        <v>0.527399808347496</v>
      </c>
      <c r="AL5308">
        <v>90.021112510448404</v>
      </c>
      <c r="AM5308">
        <v>94.179355607624899</v>
      </c>
      <c r="AN5308">
        <v>0.99999996648790401</v>
      </c>
    </row>
    <row r="5309" spans="1:40" x14ac:dyDescent="0.3">
      <c r="A5309" t="str">
        <f>"20200111160608712"</f>
        <v>20200111160608712</v>
      </c>
      <c r="B5309" t="str">
        <f>"1578729968707512"</f>
        <v>1578729968707512</v>
      </c>
      <c r="C5309" t="s">
        <v>40</v>
      </c>
      <c r="D5309">
        <v>5.6019699999999997</v>
      </c>
      <c r="E5309">
        <v>0.45621970000000001</v>
      </c>
      <c r="F5309" t="s">
        <v>44</v>
      </c>
      <c r="G5309">
        <v>-318.81569999999999</v>
      </c>
      <c r="H5309">
        <v>-0.05</v>
      </c>
      <c r="I5309">
        <v>23.485990000000001</v>
      </c>
      <c r="J5309">
        <v>-342.55360000000002</v>
      </c>
      <c r="K5309">
        <v>1.109281</v>
      </c>
      <c r="L5309">
        <v>17.61908</v>
      </c>
      <c r="M5309">
        <v>0.99867490000000003</v>
      </c>
      <c r="N5309">
        <v>0</v>
      </c>
      <c r="O5309">
        <v>5.0630700000000001E-2</v>
      </c>
      <c r="P5309">
        <v>0.99228720000000004</v>
      </c>
      <c r="Q5309">
        <v>-1.0154109999999999E-2</v>
      </c>
      <c r="R5309">
        <v>0.12354469999999999</v>
      </c>
      <c r="S5309">
        <v>2.9320369999999998</v>
      </c>
      <c r="T5309">
        <v>-0.142401799999999</v>
      </c>
      <c r="U5309">
        <v>0.72143550000000001</v>
      </c>
      <c r="V5309">
        <v>-7.314561E-2</v>
      </c>
      <c r="W5309">
        <v>-8.2889610000000001E-4</v>
      </c>
      <c r="X5309">
        <v>0.99732100000000001</v>
      </c>
      <c r="Y5309">
        <v>-0.18929989999999999</v>
      </c>
      <c r="Z5309">
        <v>2.109681E-3</v>
      </c>
      <c r="AA5309">
        <v>0.98191709999999999</v>
      </c>
      <c r="AB5309">
        <v>25</v>
      </c>
      <c r="AC5309">
        <v>23.7379</v>
      </c>
      <c r="AD5309">
        <v>-1.159281</v>
      </c>
      <c r="AE5309">
        <v>5.8669099999999998</v>
      </c>
      <c r="AF5309">
        <v>-4.64702193982352</v>
      </c>
      <c r="AG5309">
        <v>-1.159281</v>
      </c>
      <c r="AH5309">
        <v>23.950676125172901</v>
      </c>
      <c r="AI5309">
        <v>92.720461084829097</v>
      </c>
      <c r="AJ5309">
        <v>100.98036373339301</v>
      </c>
      <c r="AK5309">
        <v>24.424856851148402</v>
      </c>
      <c r="AL5309">
        <v>90.047492250194907</v>
      </c>
      <c r="AM5309">
        <v>94.194682022069699</v>
      </c>
      <c r="AN5309">
        <v>1.0000000721860001</v>
      </c>
    </row>
    <row r="5310" spans="1:40" x14ac:dyDescent="0.3">
      <c r="A5310" t="str">
        <f>"20200111160608724"</f>
        <v>20200111160608724</v>
      </c>
      <c r="B5310" t="str">
        <f>"1578729968717270"</f>
        <v>1578729968717270</v>
      </c>
      <c r="C5310" t="s">
        <v>40</v>
      </c>
      <c r="D5310">
        <v>5.7000380000000002</v>
      </c>
      <c r="E5310">
        <v>0.45586680000000002</v>
      </c>
      <c r="F5310" t="s">
        <v>41</v>
      </c>
      <c r="G5310">
        <v>-319.95979999999997</v>
      </c>
      <c r="H5310" s="1">
        <v>-5.3575339999999996E-6</v>
      </c>
      <c r="I5310">
        <v>23.172619999999998</v>
      </c>
      <c r="J5310">
        <v>-342.416</v>
      </c>
      <c r="K5310">
        <v>1.1092770000000001</v>
      </c>
      <c r="L5310">
        <v>17.625520000000002</v>
      </c>
      <c r="M5310">
        <v>0.9987007</v>
      </c>
      <c r="N5310">
        <v>0</v>
      </c>
      <c r="O5310">
        <v>5.0115020000000003E-2</v>
      </c>
      <c r="P5310">
        <v>0.99229970000000001</v>
      </c>
      <c r="Q5310">
        <v>-1.068419E-2</v>
      </c>
      <c r="R5310">
        <v>0.1233993</v>
      </c>
      <c r="S5310">
        <v>2.9320680000000001</v>
      </c>
      <c r="T5310">
        <v>-0.1439559</v>
      </c>
      <c r="U5310">
        <v>0.72070310000000004</v>
      </c>
      <c r="V5310">
        <v>-7.3515090000000005E-2</v>
      </c>
      <c r="W5310">
        <v>-1.35267E-3</v>
      </c>
      <c r="X5310">
        <v>0.99729319999999999</v>
      </c>
      <c r="Y5310">
        <v>-0.18956890000000001</v>
      </c>
      <c r="Z5310">
        <v>2.1640539999999999E-3</v>
      </c>
      <c r="AA5310">
        <v>0.98186499999999999</v>
      </c>
      <c r="AB5310">
        <v>26</v>
      </c>
      <c r="AC5310">
        <v>22.456199999999999</v>
      </c>
      <c r="AD5310">
        <v>-1.1092823575340001</v>
      </c>
      <c r="AE5310">
        <v>5.5471000000000004</v>
      </c>
      <c r="AF5310">
        <v>-4.4045586691988303</v>
      </c>
      <c r="AG5310">
        <v>-1.1092823575340001</v>
      </c>
      <c r="AH5310">
        <v>22.653885955002</v>
      </c>
      <c r="AI5310">
        <v>92.751886799986707</v>
      </c>
      <c r="AJ5310">
        <v>101.002654741792</v>
      </c>
      <c r="AK5310">
        <v>23.104743956196199</v>
      </c>
      <c r="AL5310">
        <v>90.077502304741998</v>
      </c>
      <c r="AM5310">
        <v>94.215911486595701</v>
      </c>
      <c r="AN5310">
        <v>1.0000000124700299</v>
      </c>
    </row>
    <row r="5311" spans="1:40" x14ac:dyDescent="0.3">
      <c r="A5311" t="str">
        <f>"20200111160608742"</f>
        <v>20200111160608742</v>
      </c>
      <c r="B5311" t="str">
        <f>"1578729968737767"</f>
        <v>1578729968737767</v>
      </c>
      <c r="C5311" t="s">
        <v>40</v>
      </c>
      <c r="D5311">
        <v>4.7731510000000004</v>
      </c>
      <c r="E5311">
        <v>0.4566598</v>
      </c>
      <c r="F5311" t="s">
        <v>55</v>
      </c>
      <c r="G5311">
        <v>-254.22559999999999</v>
      </c>
      <c r="H5311">
        <v>12.158950000000001</v>
      </c>
      <c r="I5311">
        <v>38.86092</v>
      </c>
      <c r="J5311">
        <v>-342.19690000000003</v>
      </c>
      <c r="K5311">
        <v>1.1092759999999999</v>
      </c>
      <c r="L5311">
        <v>17.635619999999999</v>
      </c>
      <c r="M5311">
        <v>0.99874169999999995</v>
      </c>
      <c r="N5311">
        <v>0</v>
      </c>
      <c r="O5311">
        <v>4.9292719999999998E-2</v>
      </c>
      <c r="P5311">
        <v>0.99228229999999995</v>
      </c>
      <c r="Q5311">
        <v>-1.098638E-2</v>
      </c>
      <c r="R5311">
        <v>0.1235122</v>
      </c>
      <c r="S5311">
        <v>2.939209</v>
      </c>
      <c r="T5311">
        <v>0.36826370000000003</v>
      </c>
      <c r="U5311">
        <v>0.70773319999999995</v>
      </c>
      <c r="V5311">
        <v>-7.4450399999999903E-2</v>
      </c>
      <c r="W5311">
        <v>-1.6443930000000001E-3</v>
      </c>
      <c r="X5311">
        <v>0.99722339999999998</v>
      </c>
      <c r="Y5311">
        <v>-0.1848902</v>
      </c>
      <c r="Z5311">
        <v>-5.32104E-3</v>
      </c>
      <c r="AA5311">
        <v>0.98274479999999997</v>
      </c>
      <c r="AB5311">
        <v>26</v>
      </c>
      <c r="AC5311">
        <v>87.971299999999999</v>
      </c>
      <c r="AD5311">
        <v>11.049674</v>
      </c>
      <c r="AE5311">
        <v>21.225300000000001</v>
      </c>
      <c r="AF5311">
        <v>-16.615252357887002</v>
      </c>
      <c r="AG5311">
        <v>11.049674</v>
      </c>
      <c r="AH5311">
        <v>87.604566710702997</v>
      </c>
      <c r="AI5311">
        <v>82.935800374326703</v>
      </c>
      <c r="AJ5311">
        <v>100.739271570114</v>
      </c>
      <c r="AK5311">
        <v>89.848327836374096</v>
      </c>
      <c r="AL5311">
        <v>90.094216817660495</v>
      </c>
      <c r="AM5311">
        <v>94.269649878454501</v>
      </c>
      <c r="AN5311">
        <v>1.00000003779802</v>
      </c>
    </row>
    <row r="5312" spans="1:40" x14ac:dyDescent="0.3">
      <c r="A5312" t="str">
        <f>"20200111160608755"</f>
        <v>20200111160608755</v>
      </c>
      <c r="B5312" t="str">
        <f>"1578729968747529"</f>
        <v>1578729968747529</v>
      </c>
      <c r="C5312" t="s">
        <v>40</v>
      </c>
      <c r="D5312">
        <v>4.7788940000000002</v>
      </c>
      <c r="E5312">
        <v>0.4552889</v>
      </c>
      <c r="F5312" t="s">
        <v>41</v>
      </c>
      <c r="G5312">
        <v>-330.60270000000003</v>
      </c>
      <c r="H5312" s="1">
        <v>-4.225537E-6</v>
      </c>
      <c r="I5312">
        <v>20.487939999999998</v>
      </c>
      <c r="J5312">
        <v>-342.05549999999999</v>
      </c>
      <c r="K5312">
        <v>1.109273</v>
      </c>
      <c r="L5312">
        <v>17.642029999999998</v>
      </c>
      <c r="M5312">
        <v>0.99876759999999998</v>
      </c>
      <c r="N5312">
        <v>0</v>
      </c>
      <c r="O5312">
        <v>4.8762199999999999E-2</v>
      </c>
      <c r="P5312">
        <v>0.99230220000000002</v>
      </c>
      <c r="Q5312">
        <v>-1.075925E-2</v>
      </c>
      <c r="R5312">
        <v>0.12337140000000001</v>
      </c>
      <c r="S5312">
        <v>2.93045</v>
      </c>
      <c r="T5312">
        <v>-0.28037210000000001</v>
      </c>
      <c r="U5312">
        <v>0.72094729999999996</v>
      </c>
      <c r="V5312">
        <v>-7.4838440000000006E-2</v>
      </c>
      <c r="W5312">
        <v>-1.410646E-3</v>
      </c>
      <c r="X5312">
        <v>0.99719460000000004</v>
      </c>
      <c r="Y5312">
        <v>-0.19064999999999999</v>
      </c>
      <c r="Z5312">
        <v>4.3878169999999996E-3</v>
      </c>
      <c r="AA5312">
        <v>0.98164830000000003</v>
      </c>
      <c r="AB5312">
        <v>26</v>
      </c>
      <c r="AC5312">
        <v>11.4527999999999</v>
      </c>
      <c r="AD5312">
        <v>-1.109277225537</v>
      </c>
      <c r="AE5312">
        <v>2.8459099999999999</v>
      </c>
      <c r="AF5312">
        <v>-2.2640325876518599</v>
      </c>
      <c r="AG5312">
        <v>-1.109277225537</v>
      </c>
      <c r="AH5312">
        <v>11.4765514207674</v>
      </c>
      <c r="AI5312">
        <v>95.417065608057598</v>
      </c>
      <c r="AJ5312">
        <v>101.159708471586</v>
      </c>
      <c r="AK5312">
        <v>11.750215829275801</v>
      </c>
      <c r="AL5312">
        <v>90.080824094961699</v>
      </c>
      <c r="AM5312">
        <v>94.291944106107294</v>
      </c>
      <c r="AN5312">
        <v>0.99999992614646205</v>
      </c>
    </row>
    <row r="5313" spans="1:40" x14ac:dyDescent="0.3">
      <c r="A5313" t="str">
        <f>"20200111160608767"</f>
        <v>20200111160608767</v>
      </c>
      <c r="B5313" t="str">
        <f>"1578729968757286"</f>
        <v>1578729968757286</v>
      </c>
      <c r="C5313" t="s">
        <v>40</v>
      </c>
      <c r="D5313">
        <v>4.9593449999999999</v>
      </c>
      <c r="E5313">
        <v>0.454235</v>
      </c>
      <c r="F5313" t="s">
        <v>41</v>
      </c>
      <c r="G5313">
        <v>-329.81599999999997</v>
      </c>
      <c r="H5313" s="1">
        <v>-3.547239E-7</v>
      </c>
      <c r="I5313">
        <v>20.696079999999998</v>
      </c>
      <c r="J5313">
        <v>-341.91750000000002</v>
      </c>
      <c r="K5313">
        <v>1.109273</v>
      </c>
      <c r="L5313">
        <v>17.648219999999998</v>
      </c>
      <c r="M5313">
        <v>0.99879269999999998</v>
      </c>
      <c r="N5313">
        <v>0</v>
      </c>
      <c r="O5313">
        <v>4.824461E-2</v>
      </c>
      <c r="P5313">
        <v>0.99230549999999995</v>
      </c>
      <c r="Q5313">
        <v>-1.0842630000000001E-2</v>
      </c>
      <c r="R5313">
        <v>0.123339</v>
      </c>
      <c r="S5313">
        <v>2.9295040000000001</v>
      </c>
      <c r="T5313">
        <v>-0.26550499999999999</v>
      </c>
      <c r="U5313">
        <v>0.73098750000000001</v>
      </c>
      <c r="V5313">
        <v>-7.5322490000000006E-2</v>
      </c>
      <c r="W5313">
        <v>-1.4875190000000001E-3</v>
      </c>
      <c r="X5313">
        <v>0.99715810000000005</v>
      </c>
      <c r="Y5313">
        <v>-0.19444690000000001</v>
      </c>
      <c r="Z5313">
        <v>4.3708559999999898E-3</v>
      </c>
      <c r="AA5313">
        <v>0.98090330000000003</v>
      </c>
      <c r="AB5313">
        <v>26</v>
      </c>
      <c r="AC5313">
        <v>12.1015</v>
      </c>
      <c r="AD5313">
        <v>-1.1092733547239</v>
      </c>
      <c r="AE5313">
        <v>3.0478599999999898</v>
      </c>
      <c r="AF5313">
        <v>-2.4411655307099598</v>
      </c>
      <c r="AG5313">
        <v>-1.1092733547239</v>
      </c>
      <c r="AH5313">
        <v>12.1385481573131</v>
      </c>
      <c r="AI5313">
        <v>95.119494140713599</v>
      </c>
      <c r="AJ5313">
        <v>101.370990468808</v>
      </c>
      <c r="AK5313">
        <v>12.4311756439701</v>
      </c>
      <c r="AL5313">
        <v>90.085228593499494</v>
      </c>
      <c r="AM5313">
        <v>94.3197568945359</v>
      </c>
      <c r="AN5313">
        <v>0.99999998330409201</v>
      </c>
    </row>
    <row r="5314" spans="1:40" x14ac:dyDescent="0.3">
      <c r="A5314" t="str">
        <f>"20200111160608778"</f>
        <v>20200111160608778</v>
      </c>
      <c r="B5314" t="str">
        <f>"1578729968768023"</f>
        <v>1578729968768023</v>
      </c>
      <c r="C5314" t="s">
        <v>40</v>
      </c>
      <c r="D5314">
        <v>4.8197089999999996</v>
      </c>
      <c r="E5314">
        <v>0.4542716</v>
      </c>
      <c r="F5314" t="s">
        <v>41</v>
      </c>
      <c r="G5314">
        <v>-329.0018</v>
      </c>
      <c r="H5314" s="1">
        <v>-7.9553730000000004E-7</v>
      </c>
      <c r="I5314">
        <v>20.906279999999999</v>
      </c>
      <c r="J5314">
        <v>-341.78539999999998</v>
      </c>
      <c r="K5314">
        <v>1.1092759999999999</v>
      </c>
      <c r="L5314">
        <v>17.654109999999999</v>
      </c>
      <c r="M5314">
        <v>0.9988165</v>
      </c>
      <c r="N5314">
        <v>0</v>
      </c>
      <c r="O5314">
        <v>4.7749020000000003E-2</v>
      </c>
      <c r="P5314">
        <v>0.99230209999999996</v>
      </c>
      <c r="Q5314">
        <v>-1.0867440000000001E-2</v>
      </c>
      <c r="R5314">
        <v>0.12336419999999999</v>
      </c>
      <c r="S5314">
        <v>2.9286500000000002</v>
      </c>
      <c r="T5314">
        <v>-0.25152970000000002</v>
      </c>
      <c r="U5314">
        <v>0.73876949999999997</v>
      </c>
      <c r="V5314">
        <v>-7.5842660000000006E-2</v>
      </c>
      <c r="W5314">
        <v>-1.5061300000000001E-3</v>
      </c>
      <c r="X5314">
        <v>0.99711870000000002</v>
      </c>
      <c r="Y5314">
        <v>-0.19749729999999999</v>
      </c>
      <c r="Z5314">
        <v>4.3119619999999999E-3</v>
      </c>
      <c r="AA5314">
        <v>0.98029390000000005</v>
      </c>
      <c r="AB5314">
        <v>26</v>
      </c>
      <c r="AC5314">
        <v>12.7835999999999</v>
      </c>
      <c r="AD5314">
        <v>-1.1092767955373</v>
      </c>
      <c r="AE5314">
        <v>3.25217</v>
      </c>
      <c r="AF5314">
        <v>-2.6195046792345198</v>
      </c>
      <c r="AG5314">
        <v>-1.1092767955373</v>
      </c>
      <c r="AH5314">
        <v>12.8335539041712</v>
      </c>
      <c r="AI5314">
        <v>94.840798869695107</v>
      </c>
      <c r="AJ5314">
        <v>101.53638667864701</v>
      </c>
      <c r="AK5314">
        <v>13.1450525135853</v>
      </c>
      <c r="AL5314">
        <v>90.086294921597997</v>
      </c>
      <c r="AM5314">
        <v>94.349645846140106</v>
      </c>
      <c r="AN5314">
        <v>1.00000003969657</v>
      </c>
    </row>
    <row r="5315" spans="1:40" x14ac:dyDescent="0.3">
      <c r="A5315" t="str">
        <f>"20200111160608797"</f>
        <v>20200111160608797</v>
      </c>
      <c r="B5315" t="str">
        <f>"1578729968787547"</f>
        <v>1578729968787547</v>
      </c>
      <c r="C5315" t="s">
        <v>40</v>
      </c>
      <c r="D5315">
        <v>4.9197680000000004</v>
      </c>
      <c r="E5315">
        <v>0.45319799999999899</v>
      </c>
      <c r="F5315" t="s">
        <v>41</v>
      </c>
      <c r="G5315">
        <v>-329.57740000000001</v>
      </c>
      <c r="H5315" s="1">
        <v>-4.7776309999999998E-7</v>
      </c>
      <c r="I5315">
        <v>20.734570000000001</v>
      </c>
      <c r="J5315">
        <v>-341.57060000000001</v>
      </c>
      <c r="K5315">
        <v>1.109273</v>
      </c>
      <c r="L5315">
        <v>17.66348</v>
      </c>
      <c r="M5315">
        <v>0.99885449999999998</v>
      </c>
      <c r="N5315">
        <v>0</v>
      </c>
      <c r="O5315">
        <v>4.6943819999999997E-2</v>
      </c>
      <c r="P5315">
        <v>0.9923189</v>
      </c>
      <c r="Q5315">
        <v>-1.096362E-2</v>
      </c>
      <c r="R5315">
        <v>0.1232201</v>
      </c>
      <c r="S5315">
        <v>2.9284970000000001</v>
      </c>
      <c r="T5315">
        <v>-0.26609829999999901</v>
      </c>
      <c r="U5315">
        <v>0.73895259999999996</v>
      </c>
      <c r="V5315">
        <v>-7.6502100000000003E-2</v>
      </c>
      <c r="W5315">
        <v>-1.5924699999999999E-3</v>
      </c>
      <c r="X5315">
        <v>0.99706819999999896</v>
      </c>
      <c r="Y5315">
        <v>-0.1982894</v>
      </c>
      <c r="Z5315">
        <v>4.6679440000000003E-3</v>
      </c>
      <c r="AA5315">
        <v>0.98013240000000001</v>
      </c>
      <c r="AB5315">
        <v>26</v>
      </c>
      <c r="AC5315">
        <v>11.9932</v>
      </c>
      <c r="AD5315">
        <v>-1.1092734777630999</v>
      </c>
      <c r="AE5315">
        <v>3.0710899999999999</v>
      </c>
      <c r="AF5315">
        <v>-2.4847249446179598</v>
      </c>
      <c r="AG5315">
        <v>-1.1092734777630999</v>
      </c>
      <c r="AH5315">
        <v>12.0275903168728</v>
      </c>
      <c r="AI5315">
        <v>95.160963947377198</v>
      </c>
      <c r="AJ5315">
        <v>101.67227402144501</v>
      </c>
      <c r="AK5315">
        <v>12.3315560465582</v>
      </c>
      <c r="AL5315">
        <v>90.091241843879502</v>
      </c>
      <c r="AM5315">
        <v>94.3875396467418</v>
      </c>
      <c r="AN5315">
        <v>1.0000000513581699</v>
      </c>
    </row>
    <row r="5316" spans="1:40" x14ac:dyDescent="0.3">
      <c r="A5316" t="str">
        <f>"20200111160608809"</f>
        <v>20200111160608809</v>
      </c>
      <c r="B5316" t="str">
        <f>"1578729968797302"</f>
        <v>1578729968797302</v>
      </c>
      <c r="C5316" t="s">
        <v>40</v>
      </c>
      <c r="D5316">
        <v>5.0688800000000001</v>
      </c>
      <c r="E5316">
        <v>0.45209670000000002</v>
      </c>
      <c r="F5316" t="s">
        <v>41</v>
      </c>
      <c r="G5316">
        <v>-328.80579999999998</v>
      </c>
      <c r="H5316" s="1">
        <v>-8.9164100000000004E-7</v>
      </c>
      <c r="I5316">
        <v>20.919250000000002</v>
      </c>
      <c r="J5316">
        <v>-341.43970000000002</v>
      </c>
      <c r="K5316">
        <v>1.1092709999999999</v>
      </c>
      <c r="L5316">
        <v>17.669129999999999</v>
      </c>
      <c r="M5316">
        <v>0.99887749999999997</v>
      </c>
      <c r="N5316">
        <v>0</v>
      </c>
      <c r="O5316">
        <v>4.6452760000000003E-2</v>
      </c>
      <c r="P5316">
        <v>0.99234370000000005</v>
      </c>
      <c r="Q5316">
        <v>-1.123796E-2</v>
      </c>
      <c r="R5316">
        <v>0.1229948</v>
      </c>
      <c r="S5316">
        <v>2.9277039999999999</v>
      </c>
      <c r="T5316">
        <v>-0.25441999999999998</v>
      </c>
      <c r="U5316">
        <v>0.74673459999999903</v>
      </c>
      <c r="V5316">
        <v>-7.6765920000000001E-2</v>
      </c>
      <c r="W5316">
        <v>-1.860967E-3</v>
      </c>
      <c r="X5316">
        <v>0.99704740000000003</v>
      </c>
      <c r="Y5316">
        <v>-0.20131879999999999</v>
      </c>
      <c r="Z5316">
        <v>4.6347250000000001E-3</v>
      </c>
      <c r="AA5316">
        <v>0.97951480000000002</v>
      </c>
      <c r="AB5316">
        <v>26</v>
      </c>
      <c r="AC5316">
        <v>12.633900000000001</v>
      </c>
      <c r="AD5316">
        <v>-1.10927189164099</v>
      </c>
      <c r="AE5316">
        <v>3.2501199999999999</v>
      </c>
      <c r="AF5316">
        <v>-2.6406133642998699</v>
      </c>
      <c r="AG5316">
        <v>-1.10927189164099</v>
      </c>
      <c r="AH5316">
        <v>12.6795638019046</v>
      </c>
      <c r="AI5316">
        <v>94.895289211690894</v>
      </c>
      <c r="AJ5316">
        <v>101.764120803951</v>
      </c>
      <c r="AK5316">
        <v>12.9990253971547</v>
      </c>
      <c r="AL5316">
        <v>90.106625617122901</v>
      </c>
      <c r="AM5316">
        <v>94.402702319392603</v>
      </c>
      <c r="AN5316">
        <v>0.99999999375919002</v>
      </c>
    </row>
    <row r="5317" spans="1:40" x14ac:dyDescent="0.3">
      <c r="A5317" t="str">
        <f>"20200111160608820"</f>
        <v>20200111160608820</v>
      </c>
      <c r="B5317" t="str">
        <f>"1578729968817799"</f>
        <v>1578729968817799</v>
      </c>
      <c r="C5317" t="s">
        <v>40</v>
      </c>
      <c r="D5317">
        <v>4.9074759999999999</v>
      </c>
      <c r="E5317">
        <v>0.45122620000000002</v>
      </c>
      <c r="F5317" t="s">
        <v>41</v>
      </c>
      <c r="G5317">
        <v>-328.59949999999998</v>
      </c>
      <c r="H5317" s="1">
        <v>-1.005324E-6</v>
      </c>
      <c r="I5317">
        <v>20.980029999999999</v>
      </c>
      <c r="J5317">
        <v>-341.30450000000002</v>
      </c>
      <c r="K5317">
        <v>1.1092690000000001</v>
      </c>
      <c r="L5317">
        <v>17.674900000000001</v>
      </c>
      <c r="M5317">
        <v>0.99890100000000004</v>
      </c>
      <c r="N5317">
        <v>0</v>
      </c>
      <c r="O5317">
        <v>4.594579E-2</v>
      </c>
      <c r="P5317">
        <v>0.99235680000000004</v>
      </c>
      <c r="Q5317">
        <v>-1.1608169999999999E-2</v>
      </c>
      <c r="R5317">
        <v>0.1228553</v>
      </c>
      <c r="S5317">
        <v>2.9267270000000001</v>
      </c>
      <c r="T5317">
        <v>-0.25284210000000001</v>
      </c>
      <c r="U5317">
        <v>0.75466919999999904</v>
      </c>
      <c r="V5317">
        <v>-7.7132899999999893E-2</v>
      </c>
      <c r="W5317">
        <v>-2.2250849999999999E-3</v>
      </c>
      <c r="X5317">
        <v>0.99701830000000002</v>
      </c>
      <c r="Y5317">
        <v>-0.20437920000000001</v>
      </c>
      <c r="Z5317">
        <v>4.778806E-3</v>
      </c>
      <c r="AA5317">
        <v>0.97888010000000003</v>
      </c>
      <c r="AB5317">
        <v>26</v>
      </c>
      <c r="AC5317">
        <v>12.705</v>
      </c>
      <c r="AD5317">
        <v>-1.1092700053239899</v>
      </c>
      <c r="AE5317">
        <v>3.3051299999999899</v>
      </c>
      <c r="AF5317">
        <v>-2.69860545932907</v>
      </c>
      <c r="AG5317">
        <v>-1.1092700053239899</v>
      </c>
      <c r="AH5317">
        <v>12.752395283553399</v>
      </c>
      <c r="AI5317">
        <v>94.864187900980298</v>
      </c>
      <c r="AJ5317">
        <v>101.94840615005199</v>
      </c>
      <c r="AK5317">
        <v>13.081916405398299</v>
      </c>
      <c r="AL5317">
        <v>90.127488089486704</v>
      </c>
      <c r="AM5317">
        <v>94.423794724492694</v>
      </c>
      <c r="AN5317">
        <v>0.99999996290027704</v>
      </c>
    </row>
    <row r="5318" spans="1:40" x14ac:dyDescent="0.3">
      <c r="A5318" t="str">
        <f>"20200111160608832"</f>
        <v>20200111160608832</v>
      </c>
      <c r="B5318" t="str">
        <f>"1578729968827558"</f>
        <v>1578729968827558</v>
      </c>
      <c r="C5318" t="s">
        <v>40</v>
      </c>
      <c r="D5318">
        <v>4.895391</v>
      </c>
      <c r="E5318">
        <v>0.45105200000000001</v>
      </c>
      <c r="F5318" t="s">
        <v>41</v>
      </c>
      <c r="G5318">
        <v>-328.20819999999998</v>
      </c>
      <c r="H5318" s="1">
        <v>-1.2171839999999999E-6</v>
      </c>
      <c r="I5318">
        <v>21.080970000000001</v>
      </c>
      <c r="J5318">
        <v>-341.17419999999998</v>
      </c>
      <c r="K5318">
        <v>1.1092660000000001</v>
      </c>
      <c r="L5318">
        <v>17.68036</v>
      </c>
      <c r="M5318">
        <v>0.99892309999999995</v>
      </c>
      <c r="N5318">
        <v>0</v>
      </c>
      <c r="O5318">
        <v>4.5457289999999997E-2</v>
      </c>
      <c r="P5318">
        <v>0.99237649999999999</v>
      </c>
      <c r="Q5318">
        <v>-1.176175E-2</v>
      </c>
      <c r="R5318">
        <v>0.1226805</v>
      </c>
      <c r="S5318">
        <v>2.9259949999999999</v>
      </c>
      <c r="T5318">
        <v>-0.24783379999999999</v>
      </c>
      <c r="U5318">
        <v>0.7609863</v>
      </c>
      <c r="V5318">
        <v>-7.744521E-2</v>
      </c>
      <c r="W5318">
        <v>-2.3727190000000001E-3</v>
      </c>
      <c r="X5318">
        <v>0.99699380000000004</v>
      </c>
      <c r="Y5318">
        <v>-0.2069085</v>
      </c>
      <c r="Z5318">
        <v>4.8300740000000002E-3</v>
      </c>
      <c r="AA5318">
        <v>0.97834840000000001</v>
      </c>
      <c r="AB5318">
        <v>26</v>
      </c>
      <c r="AC5318">
        <v>12.965999999999999</v>
      </c>
      <c r="AD5318">
        <v>-1.1092672171839999</v>
      </c>
      <c r="AE5318">
        <v>3.4006099999999999</v>
      </c>
      <c r="AF5318">
        <v>-2.78857337781711</v>
      </c>
      <c r="AG5318">
        <v>-1.1092672171839999</v>
      </c>
      <c r="AH5318">
        <v>13.018036168974101</v>
      </c>
      <c r="AI5318">
        <v>94.762876701854495</v>
      </c>
      <c r="AJ5318">
        <v>102.09052456291499</v>
      </c>
      <c r="AK5318">
        <v>13.3594865522335</v>
      </c>
      <c r="AL5318">
        <v>90.135946910354406</v>
      </c>
      <c r="AM5318">
        <v>94.441743785434397</v>
      </c>
      <c r="AN5318">
        <v>1.0000000137929099</v>
      </c>
    </row>
    <row r="5319" spans="1:40" x14ac:dyDescent="0.3">
      <c r="A5319" t="str">
        <f>"20200111160608844"</f>
        <v>20200111160608844</v>
      </c>
      <c r="B5319" t="str">
        <f>"1578729968837318"</f>
        <v>1578729968837318</v>
      </c>
      <c r="C5319" t="s">
        <v>40</v>
      </c>
      <c r="D5319">
        <v>4.9490930000000004</v>
      </c>
      <c r="E5319">
        <v>0.45063760000000003</v>
      </c>
      <c r="F5319" t="s">
        <v>41</v>
      </c>
      <c r="G5319">
        <v>-327.995</v>
      </c>
      <c r="H5319" s="1">
        <v>-1.3260150000000001E-6</v>
      </c>
      <c r="I5319">
        <v>21.111190000000001</v>
      </c>
      <c r="J5319">
        <v>-341.03320000000002</v>
      </c>
      <c r="K5319">
        <v>1.1092660000000001</v>
      </c>
      <c r="L5319">
        <v>17.68628</v>
      </c>
      <c r="M5319">
        <v>0.99894709999999998</v>
      </c>
      <c r="N5319">
        <v>0</v>
      </c>
      <c r="O5319">
        <v>4.4928500000000003E-2</v>
      </c>
      <c r="P5319">
        <v>0.9923902</v>
      </c>
      <c r="Q5319">
        <v>-1.1979739999999999E-2</v>
      </c>
      <c r="R5319">
        <v>0.1225497</v>
      </c>
      <c r="S5319">
        <v>2.925964</v>
      </c>
      <c r="T5319">
        <v>-0.24627209999999999</v>
      </c>
      <c r="U5319">
        <v>0.76168819999999904</v>
      </c>
      <c r="V5319">
        <v>-7.7841649999999998E-2</v>
      </c>
      <c r="W5319">
        <v>-2.5841800000000002E-3</v>
      </c>
      <c r="X5319">
        <v>0.99696240000000003</v>
      </c>
      <c r="Y5319">
        <v>-0.20765110000000001</v>
      </c>
      <c r="Z5319">
        <v>4.8738890000000002E-3</v>
      </c>
      <c r="AA5319">
        <v>0.97819080000000003</v>
      </c>
      <c r="AB5319">
        <v>26</v>
      </c>
      <c r="AC5319">
        <v>13.0382</v>
      </c>
      <c r="AD5319">
        <v>-1.1092673260150001</v>
      </c>
      <c r="AE5319">
        <v>3.4249100000000001</v>
      </c>
      <c r="AF5319">
        <v>-2.8165680163539699</v>
      </c>
      <c r="AG5319">
        <v>-1.1092673260150001</v>
      </c>
      <c r="AH5319">
        <v>13.0902801934241</v>
      </c>
      <c r="AI5319">
        <v>94.735785843264694</v>
      </c>
      <c r="AJ5319">
        <v>102.142907098912</v>
      </c>
      <c r="AK5319">
        <v>13.4357346257532</v>
      </c>
      <c r="AL5319">
        <v>90.148062770261902</v>
      </c>
      <c r="AM5319">
        <v>94.464529311319495</v>
      </c>
      <c r="AN5319">
        <v>1.0000000137373699</v>
      </c>
    </row>
    <row r="5320" spans="1:40" x14ac:dyDescent="0.3">
      <c r="A5320" t="str">
        <f>"20200111160608855"</f>
        <v>20200111160608855</v>
      </c>
      <c r="B5320" t="str">
        <f>"1578729968847077"</f>
        <v>1578729968847077</v>
      </c>
      <c r="C5320" t="s">
        <v>40</v>
      </c>
      <c r="D5320">
        <v>5.0541099999999997</v>
      </c>
      <c r="E5320">
        <v>0.45010699999999998</v>
      </c>
      <c r="F5320" t="s">
        <v>41</v>
      </c>
      <c r="G5320">
        <v>-327.73489999999998</v>
      </c>
      <c r="H5320" s="1">
        <v>-1.4621029999999901E-6</v>
      </c>
      <c r="I5320">
        <v>21.16065</v>
      </c>
      <c r="J5320">
        <v>-340.89170000000001</v>
      </c>
      <c r="K5320">
        <v>1.109267</v>
      </c>
      <c r="L5320">
        <v>17.692049999999998</v>
      </c>
      <c r="M5320">
        <v>0.99897069999999999</v>
      </c>
      <c r="N5320">
        <v>0</v>
      </c>
      <c r="O5320">
        <v>4.439833E-2</v>
      </c>
      <c r="P5320">
        <v>0.99240309999999998</v>
      </c>
      <c r="Q5320">
        <v>-1.234349E-2</v>
      </c>
      <c r="R5320">
        <v>0.1224089</v>
      </c>
      <c r="S5320">
        <v>2.925659</v>
      </c>
      <c r="T5320">
        <v>-0.24404229999999999</v>
      </c>
      <c r="U5320">
        <v>0.76437379999999999</v>
      </c>
      <c r="V5320">
        <v>-7.8230439999999998E-2</v>
      </c>
      <c r="W5320">
        <v>-2.9415869999999998E-3</v>
      </c>
      <c r="X5320">
        <v>0.99693100000000001</v>
      </c>
      <c r="Y5320">
        <v>-0.20903910000000001</v>
      </c>
      <c r="Z5320">
        <v>4.9299699999999997E-3</v>
      </c>
      <c r="AA5320">
        <v>0.97789479999999995</v>
      </c>
      <c r="AB5320">
        <v>26</v>
      </c>
      <c r="AC5320">
        <v>13.1568</v>
      </c>
      <c r="AD5320">
        <v>-1.109268462103</v>
      </c>
      <c r="AE5320">
        <v>3.4685999999999999</v>
      </c>
      <c r="AF5320">
        <v>-2.8619920616914101</v>
      </c>
      <c r="AG5320">
        <v>-1.109268462103</v>
      </c>
      <c r="AH5320">
        <v>13.210031790502599</v>
      </c>
      <c r="AI5320">
        <v>94.691618381674203</v>
      </c>
      <c r="AJ5320">
        <v>102.224370782721</v>
      </c>
      <c r="AK5320">
        <v>13.561947315496001</v>
      </c>
      <c r="AL5320">
        <v>90.168540757044497</v>
      </c>
      <c r="AM5320">
        <v>94.486877886468406</v>
      </c>
      <c r="AN5320">
        <v>1.00000003671883</v>
      </c>
    </row>
    <row r="5321" spans="1:40" x14ac:dyDescent="0.3">
      <c r="A5321" t="str">
        <f>"20200111160608867"</f>
        <v>20200111160608867</v>
      </c>
      <c r="B5321" t="str">
        <f>"1578729968857814"</f>
        <v>1578729968857814</v>
      </c>
      <c r="C5321" t="s">
        <v>40</v>
      </c>
      <c r="D5321">
        <v>4.9695489999999998</v>
      </c>
      <c r="E5321">
        <v>0.44958490000000001</v>
      </c>
      <c r="F5321" t="s">
        <v>41</v>
      </c>
      <c r="G5321">
        <v>-327.50389999999999</v>
      </c>
      <c r="H5321" s="1">
        <v>-1.5836829999999999E-6</v>
      </c>
      <c r="I5321">
        <v>21.207260000000002</v>
      </c>
      <c r="J5321">
        <v>-340.76150000000001</v>
      </c>
      <c r="K5321">
        <v>1.109267</v>
      </c>
      <c r="L5321">
        <v>17.69736</v>
      </c>
      <c r="M5321">
        <v>0.99899230000000006</v>
      </c>
      <c r="N5321">
        <v>0</v>
      </c>
      <c r="O5321">
        <v>4.3910079999999997E-2</v>
      </c>
      <c r="P5321">
        <v>0.99243890000000001</v>
      </c>
      <c r="Q5321">
        <v>-1.2441219999999999E-2</v>
      </c>
      <c r="R5321">
        <v>0.1221078</v>
      </c>
      <c r="S5321">
        <v>2.9252009999999999</v>
      </c>
      <c r="T5321">
        <v>-0.24237300000000001</v>
      </c>
      <c r="U5321">
        <v>0.76806640000000004</v>
      </c>
      <c r="V5321">
        <v>-7.8415330000000005E-2</v>
      </c>
      <c r="W5321">
        <v>-3.0336510000000001E-3</v>
      </c>
      <c r="X5321">
        <v>0.99691620000000003</v>
      </c>
      <c r="Y5321">
        <v>-0.2107098</v>
      </c>
      <c r="Z5321">
        <v>5.0038790000000001E-3</v>
      </c>
      <c r="AA5321">
        <v>0.97753579999999995</v>
      </c>
      <c r="AB5321">
        <v>26</v>
      </c>
      <c r="AC5321">
        <v>13.2576</v>
      </c>
      <c r="AD5321">
        <v>-1.1092685836830001</v>
      </c>
      <c r="AE5321">
        <v>3.5099</v>
      </c>
      <c r="AF5321">
        <v>-2.9053396897077599</v>
      </c>
      <c r="AG5321">
        <v>-1.1092685836830001</v>
      </c>
      <c r="AH5321">
        <v>13.3118497798101</v>
      </c>
      <c r="AI5321">
        <v>94.654353654654301</v>
      </c>
      <c r="AJ5321">
        <v>102.311861769706</v>
      </c>
      <c r="AK5321">
        <v>13.670289684698201</v>
      </c>
      <c r="AL5321">
        <v>90.173815658743706</v>
      </c>
      <c r="AM5321">
        <v>94.497505223745705</v>
      </c>
      <c r="AN5321">
        <v>1.0000000384199099</v>
      </c>
    </row>
    <row r="5322" spans="1:40" x14ac:dyDescent="0.3">
      <c r="A5322" t="str">
        <f>"20200111160608879"</f>
        <v>20200111160608879</v>
      </c>
      <c r="B5322" t="str">
        <f>"1578729968867574"</f>
        <v>1578729968867574</v>
      </c>
      <c r="C5322" t="s">
        <v>40</v>
      </c>
      <c r="D5322">
        <v>4.9730109999999996</v>
      </c>
      <c r="E5322">
        <v>0.44913029999999998</v>
      </c>
      <c r="F5322" t="s">
        <v>41</v>
      </c>
      <c r="G5322">
        <v>-327.30130000000003</v>
      </c>
      <c r="H5322" s="1">
        <v>-1.689674E-6</v>
      </c>
      <c r="I5322">
        <v>21.24559</v>
      </c>
      <c r="J5322">
        <v>-340.62790000000001</v>
      </c>
      <c r="K5322">
        <v>1.109267</v>
      </c>
      <c r="L5322">
        <v>17.7027</v>
      </c>
      <c r="M5322">
        <v>0.99901410000000002</v>
      </c>
      <c r="N5322">
        <v>0</v>
      </c>
      <c r="O5322">
        <v>4.3409540000000003E-2</v>
      </c>
      <c r="P5322">
        <v>0.99243999999999999</v>
      </c>
      <c r="Q5322">
        <v>-1.246543E-2</v>
      </c>
      <c r="R5322">
        <v>0.12209639999999999</v>
      </c>
      <c r="S5322">
        <v>2.9249879999999999</v>
      </c>
      <c r="T5322">
        <v>-0.2410516</v>
      </c>
      <c r="U5322">
        <v>0.77105709999999905</v>
      </c>
      <c r="V5322">
        <v>-7.8903059999999997E-2</v>
      </c>
      <c r="W5322">
        <v>-3.05186E-3</v>
      </c>
      <c r="X5322">
        <v>0.99687760000000003</v>
      </c>
      <c r="Y5322">
        <v>-0.21215129999999999</v>
      </c>
      <c r="Z5322">
        <v>5.07508E-3</v>
      </c>
      <c r="AA5322">
        <v>0.97722359999999997</v>
      </c>
      <c r="AB5322">
        <v>26</v>
      </c>
      <c r="AC5322">
        <v>13.3265999999999</v>
      </c>
      <c r="AD5322">
        <v>-1.1092686896740001</v>
      </c>
      <c r="AE5322">
        <v>3.5428899999999999</v>
      </c>
      <c r="AF5322">
        <v>-2.9419856581366801</v>
      </c>
      <c r="AG5322">
        <v>-1.1092686896740001</v>
      </c>
      <c r="AH5322">
        <v>13.3812475697911</v>
      </c>
      <c r="AI5322">
        <v>94.628772891414897</v>
      </c>
      <c r="AJ5322">
        <v>102.399704174373</v>
      </c>
      <c r="AK5322">
        <v>13.745673616182399</v>
      </c>
      <c r="AL5322">
        <v>90.174858972937898</v>
      </c>
      <c r="AM5322">
        <v>94.525537602772502</v>
      </c>
      <c r="AN5322">
        <v>0.99999997805429097</v>
      </c>
    </row>
    <row r="5323" spans="1:40" x14ac:dyDescent="0.3">
      <c r="A5323" t="str">
        <f>"20200111160608890"</f>
        <v>20200111160608890</v>
      </c>
      <c r="B5323" t="str">
        <f>"1578729968887094"</f>
        <v>1578729968887094</v>
      </c>
      <c r="C5323" t="s">
        <v>40</v>
      </c>
      <c r="D5323">
        <v>5.0760120000000004</v>
      </c>
      <c r="E5323">
        <v>0.44887060000000001</v>
      </c>
      <c r="F5323" t="s">
        <v>41</v>
      </c>
      <c r="G5323">
        <v>-327.05779999999999</v>
      </c>
      <c r="H5323" s="1">
        <v>-1.8182819999999999E-6</v>
      </c>
      <c r="I5323">
        <v>21.296299999999999</v>
      </c>
      <c r="J5323">
        <v>-340.49930000000001</v>
      </c>
      <c r="K5323">
        <v>1.1092660000000001</v>
      </c>
      <c r="L5323">
        <v>17.707789999999999</v>
      </c>
      <c r="M5323">
        <v>0.99903489999999995</v>
      </c>
      <c r="N5323">
        <v>0</v>
      </c>
      <c r="O5323">
        <v>4.2927479999999997E-2</v>
      </c>
      <c r="P5323">
        <v>0.99246049999999997</v>
      </c>
      <c r="Q5323">
        <v>-1.2175500000000001E-2</v>
      </c>
      <c r="R5323">
        <v>0.12195979999999999</v>
      </c>
      <c r="S5323">
        <v>2.9245610000000002</v>
      </c>
      <c r="T5323">
        <v>-0.2390641</v>
      </c>
      <c r="U5323">
        <v>0.77447509999999997</v>
      </c>
      <c r="V5323">
        <v>-7.9246319999999995E-2</v>
      </c>
      <c r="W5323">
        <v>-2.7563079999999998E-3</v>
      </c>
      <c r="X5323">
        <v>0.9968513</v>
      </c>
      <c r="Y5323">
        <v>-0.21372769999999999</v>
      </c>
      <c r="Z5323">
        <v>5.1351419999999997E-3</v>
      </c>
      <c r="AA5323">
        <v>0.97687979999999996</v>
      </c>
      <c r="AB5323">
        <v>26</v>
      </c>
      <c r="AC5323">
        <v>13.4415</v>
      </c>
      <c r="AD5323">
        <v>-1.1092678182819999</v>
      </c>
      <c r="AE5323">
        <v>3.5885099999999901</v>
      </c>
      <c r="AF5323">
        <v>-2.9891639271669699</v>
      </c>
      <c r="AG5323">
        <v>-1.1092678182819999</v>
      </c>
      <c r="AH5323">
        <v>13.497353276067001</v>
      </c>
      <c r="AI5323">
        <v>94.587580795970197</v>
      </c>
      <c r="AJ5323">
        <v>102.48734618594101</v>
      </c>
      <c r="AK5323">
        <v>13.8688183179069</v>
      </c>
      <c r="AL5323">
        <v>90.157925008235907</v>
      </c>
      <c r="AM5323">
        <v>94.545262606793798</v>
      </c>
      <c r="AN5323">
        <v>1.0000000453895099</v>
      </c>
    </row>
    <row r="5324" spans="1:40" x14ac:dyDescent="0.3">
      <c r="A5324" t="str">
        <f>"20200111160608909"</f>
        <v>20200111160608909</v>
      </c>
      <c r="B5324" t="str">
        <f>"1578729968907590"</f>
        <v>1578729968907590</v>
      </c>
      <c r="C5324" t="s">
        <v>40</v>
      </c>
      <c r="D5324">
        <v>4.9975300000000002</v>
      </c>
      <c r="E5324">
        <v>0.45129069999999999</v>
      </c>
      <c r="F5324" t="s">
        <v>41</v>
      </c>
      <c r="G5324">
        <v>-326.77159999999998</v>
      </c>
      <c r="H5324" s="1">
        <v>-1.96792E-6</v>
      </c>
      <c r="I5324">
        <v>21.35032</v>
      </c>
      <c r="J5324">
        <v>-340.27519999999998</v>
      </c>
      <c r="K5324">
        <v>1.109262</v>
      </c>
      <c r="L5324">
        <v>17.716519999999999</v>
      </c>
      <c r="M5324">
        <v>0.99907049999999997</v>
      </c>
      <c r="N5324">
        <v>0</v>
      </c>
      <c r="O5324">
        <v>4.2088130000000001E-2</v>
      </c>
      <c r="P5324">
        <v>0.99241480000000004</v>
      </c>
      <c r="Q5324">
        <v>-1.1701120000000001E-2</v>
      </c>
      <c r="R5324">
        <v>0.1223767</v>
      </c>
      <c r="S5324">
        <v>2.9245299999999999</v>
      </c>
      <c r="T5324">
        <v>-0.23631740000000001</v>
      </c>
      <c r="U5324">
        <v>0.77600100000000005</v>
      </c>
      <c r="V5324">
        <v>-8.0501710000000004E-2</v>
      </c>
      <c r="W5324">
        <v>-2.271641E-3</v>
      </c>
      <c r="X5324">
        <v>0.99675190000000002</v>
      </c>
      <c r="Y5324">
        <v>-0.21503240000000001</v>
      </c>
      <c r="Z5324">
        <v>5.1941340000000004E-3</v>
      </c>
      <c r="AA5324">
        <v>0.97659309999999999</v>
      </c>
      <c r="AB5324">
        <v>26</v>
      </c>
      <c r="AC5324">
        <v>13.5036</v>
      </c>
      <c r="AD5324">
        <v>-1.10926396792</v>
      </c>
      <c r="AE5324">
        <v>3.6337999999999901</v>
      </c>
      <c r="AF5324">
        <v>-3.0430660692526601</v>
      </c>
      <c r="AG5324">
        <v>-1.10926396792</v>
      </c>
      <c r="AH5324">
        <v>13.5592612326638</v>
      </c>
      <c r="AI5324">
        <v>94.563846213839497</v>
      </c>
      <c r="AJ5324">
        <v>102.649138169279</v>
      </c>
      <c r="AK5324">
        <v>13.940741832054</v>
      </c>
      <c r="AL5324">
        <v>90.130155551479405</v>
      </c>
      <c r="AM5324">
        <v>94.617416472454295</v>
      </c>
      <c r="AN5324">
        <v>1.00000001790968</v>
      </c>
    </row>
    <row r="5325" spans="1:40" x14ac:dyDescent="0.3">
      <c r="A5325" t="str">
        <f>"20200111160608921"</f>
        <v>20200111160608921</v>
      </c>
      <c r="B5325" t="str">
        <f>"1578729968917350"</f>
        <v>1578729968917350</v>
      </c>
      <c r="C5325" t="s">
        <v>40</v>
      </c>
      <c r="D5325">
        <v>5.3341459999999996</v>
      </c>
      <c r="E5325">
        <v>0.54482249999999999</v>
      </c>
      <c r="F5325" t="s">
        <v>41</v>
      </c>
      <c r="G5325">
        <v>-324.99540000000002</v>
      </c>
      <c r="H5325" s="1">
        <v>-2.8924750000000002E-6</v>
      </c>
      <c r="I5325">
        <v>21.6694</v>
      </c>
      <c r="J5325">
        <v>-340.1352</v>
      </c>
      <c r="K5325">
        <v>1.1092610000000001</v>
      </c>
      <c r="L5325">
        <v>17.721889999999998</v>
      </c>
      <c r="M5325">
        <v>0.99909250000000005</v>
      </c>
      <c r="N5325">
        <v>0</v>
      </c>
      <c r="O5325">
        <v>4.1563460000000003E-2</v>
      </c>
      <c r="P5325">
        <v>0.99239339999999998</v>
      </c>
      <c r="Q5325">
        <v>-1.153859E-2</v>
      </c>
      <c r="R5325">
        <v>0.1225671</v>
      </c>
      <c r="S5325">
        <v>2.9270939999999999</v>
      </c>
      <c r="T5325">
        <v>-0.2124964</v>
      </c>
      <c r="U5325">
        <v>0.75723269999999998</v>
      </c>
      <c r="V5325">
        <v>-8.1216070000000001E-2</v>
      </c>
      <c r="W5325">
        <v>-2.1028539999999999E-3</v>
      </c>
      <c r="X5325">
        <v>0.99669430000000003</v>
      </c>
      <c r="Y5325">
        <v>-0.2095824</v>
      </c>
      <c r="Z5325">
        <v>4.5145410000000004E-3</v>
      </c>
      <c r="AA5325">
        <v>0.9777806</v>
      </c>
      <c r="AB5325">
        <v>26</v>
      </c>
      <c r="AC5325">
        <v>15.1397999999999</v>
      </c>
      <c r="AD5325">
        <v>-1.109263892475</v>
      </c>
      <c r="AE5325">
        <v>3.9475099999999999</v>
      </c>
      <c r="AF5325">
        <v>-3.2982302696591699</v>
      </c>
      <c r="AG5325">
        <v>-1.109263892475</v>
      </c>
      <c r="AH5325">
        <v>15.2143207131718</v>
      </c>
      <c r="AI5325">
        <v>94.075671215423796</v>
      </c>
      <c r="AJ5325">
        <v>102.23157603939801</v>
      </c>
      <c r="AK5325">
        <v>15.607188858282401</v>
      </c>
      <c r="AL5325">
        <v>90.120484747949106</v>
      </c>
      <c r="AM5325">
        <v>94.658479215620503</v>
      </c>
      <c r="AN5325">
        <v>0.99999999983683996</v>
      </c>
    </row>
    <row r="5326" spans="1:40" x14ac:dyDescent="0.3">
      <c r="A5326" t="str">
        <f>"20200111160608932"</f>
        <v>20200111160608932</v>
      </c>
      <c r="B5326" t="str">
        <f>"1578729968927110"</f>
        <v>1578729968927110</v>
      </c>
      <c r="C5326" t="s">
        <v>40</v>
      </c>
      <c r="D5326">
        <v>5.3563700000000001</v>
      </c>
      <c r="E5326">
        <v>0.55758240000000003</v>
      </c>
      <c r="F5326" t="s">
        <v>42</v>
      </c>
      <c r="G5326">
        <v>-339.38679999999999</v>
      </c>
      <c r="H5326">
        <v>1.0256050000000001</v>
      </c>
      <c r="I5326">
        <v>17.726739999999999</v>
      </c>
      <c r="J5326">
        <v>-340.00409999999999</v>
      </c>
      <c r="K5326">
        <v>1.1092610000000001</v>
      </c>
      <c r="L5326">
        <v>17.72681</v>
      </c>
      <c r="M5326">
        <v>0.99911269999999996</v>
      </c>
      <c r="N5326">
        <v>0</v>
      </c>
      <c r="O5326">
        <v>4.1072690000000002E-2</v>
      </c>
      <c r="P5326">
        <v>0.99241380000000001</v>
      </c>
      <c r="Q5326">
        <v>-1.143599E-2</v>
      </c>
      <c r="R5326">
        <v>0.12241100000000001</v>
      </c>
      <c r="S5326">
        <v>3.0166019999999998</v>
      </c>
      <c r="T5326">
        <v>-0.33718979999999998</v>
      </c>
      <c r="U5326">
        <v>2.011108E-2</v>
      </c>
      <c r="V5326">
        <v>-8.1548309999999999E-2</v>
      </c>
      <c r="W5326">
        <v>-1.9946539999999998E-3</v>
      </c>
      <c r="X5326">
        <v>0.99666739999999998</v>
      </c>
      <c r="Y5326">
        <v>3.3945490000000002E-2</v>
      </c>
      <c r="Z5326">
        <v>-6.467067E-3</v>
      </c>
      <c r="AA5326">
        <v>0.99940280000000004</v>
      </c>
      <c r="AB5326">
        <v>26</v>
      </c>
      <c r="AC5326">
        <v>0.61729999999999996</v>
      </c>
      <c r="AD5326">
        <v>-8.3656000000000105E-2</v>
      </c>
      <c r="AE5326" s="1">
        <v>-7.0000000000902606E-5</v>
      </c>
      <c r="AF5326">
        <v>2.4966688962306399E-2</v>
      </c>
      <c r="AG5326">
        <v>-8.3656000000000105E-2</v>
      </c>
      <c r="AH5326">
        <v>0.60565308484171398</v>
      </c>
      <c r="AI5326">
        <v>97.857644491265702</v>
      </c>
      <c r="AJ5326">
        <v>87.639446599758699</v>
      </c>
      <c r="AK5326">
        <v>0.61191283780618999</v>
      </c>
      <c r="AL5326">
        <v>90.114285330902007</v>
      </c>
      <c r="AM5326">
        <v>94.6775774935236</v>
      </c>
      <c r="AN5326">
        <v>1.00000000586559</v>
      </c>
    </row>
    <row r="5327" spans="1:40" x14ac:dyDescent="0.3">
      <c r="A5327" t="str">
        <f>"20200111160608945"</f>
        <v>20200111160608945</v>
      </c>
      <c r="B5327" t="str">
        <f>"1578729968937846"</f>
        <v>1578729968937846</v>
      </c>
      <c r="C5327" t="s">
        <v>40</v>
      </c>
      <c r="D5327">
        <v>5.0198359999999997</v>
      </c>
      <c r="E5327">
        <v>0.57013049999999998</v>
      </c>
      <c r="F5327" t="s">
        <v>42</v>
      </c>
      <c r="G5327">
        <v>-339.15690000000001</v>
      </c>
      <c r="H5327">
        <v>1.0170440000000001</v>
      </c>
      <c r="I5327">
        <v>17.70364</v>
      </c>
      <c r="J5327">
        <v>-339.851</v>
      </c>
      <c r="K5327">
        <v>1.109262</v>
      </c>
      <c r="L5327">
        <v>17.732510000000001</v>
      </c>
      <c r="M5327">
        <v>0.99913600000000002</v>
      </c>
      <c r="N5327">
        <v>0</v>
      </c>
      <c r="O5327">
        <v>4.049937E-2</v>
      </c>
      <c r="P5327">
        <v>0.99243210000000004</v>
      </c>
      <c r="Q5327">
        <v>-1.1189950000000001E-2</v>
      </c>
      <c r="R5327">
        <v>0.1222843</v>
      </c>
      <c r="S5327">
        <v>3.0292050000000001</v>
      </c>
      <c r="T5327">
        <v>-0.32967160000000001</v>
      </c>
      <c r="U5327">
        <v>-8.169556E-2</v>
      </c>
      <c r="V5327">
        <v>-8.1992209999999996E-2</v>
      </c>
      <c r="W5327">
        <v>-1.7419899999999999E-3</v>
      </c>
      <c r="X5327">
        <v>0.99663139999999995</v>
      </c>
      <c r="Y5327">
        <v>6.6790660000000002E-2</v>
      </c>
      <c r="Z5327">
        <v>-8.0168059999999996E-3</v>
      </c>
      <c r="AA5327">
        <v>0.99773480000000003</v>
      </c>
      <c r="AB5327">
        <v>26</v>
      </c>
      <c r="AC5327">
        <v>0.69409999999999095</v>
      </c>
      <c r="AD5327">
        <v>-9.2217999999999897E-2</v>
      </c>
      <c r="AE5327">
        <v>-2.88700000000012E-2</v>
      </c>
      <c r="AF5327">
        <v>5.5971854485761099E-2</v>
      </c>
      <c r="AG5327">
        <v>-9.2217999999999897E-2</v>
      </c>
      <c r="AH5327">
        <v>0.68037221166985795</v>
      </c>
      <c r="AI5327">
        <v>97.693184312793207</v>
      </c>
      <c r="AJ5327">
        <v>85.297065976348193</v>
      </c>
      <c r="AK5327">
        <v>0.68887107243018197</v>
      </c>
      <c r="AL5327">
        <v>90.099808730198802</v>
      </c>
      <c r="AM5327">
        <v>94.703094626899698</v>
      </c>
      <c r="AN5327">
        <v>0.99999995224789995</v>
      </c>
    </row>
    <row r="5328" spans="1:40" x14ac:dyDescent="0.3">
      <c r="A5328" t="str">
        <f>"20200111160608959"</f>
        <v>20200111160608959</v>
      </c>
      <c r="B5328" t="str">
        <f>"1578729968947607"</f>
        <v>1578729968947607</v>
      </c>
      <c r="C5328" t="s">
        <v>40</v>
      </c>
      <c r="D5328">
        <v>5.0547300000000002</v>
      </c>
      <c r="E5328">
        <v>0.57746109999999995</v>
      </c>
      <c r="F5328" t="s">
        <v>42</v>
      </c>
      <c r="G5328">
        <v>-338.92599999999999</v>
      </c>
      <c r="H5328">
        <v>1.0090059999999901</v>
      </c>
      <c r="I5328">
        <v>17.677320000000002</v>
      </c>
      <c r="J5328">
        <v>-339.69819999999999</v>
      </c>
      <c r="K5328">
        <v>1.109262</v>
      </c>
      <c r="L5328">
        <v>17.738099999999999</v>
      </c>
      <c r="M5328">
        <v>0.99915889999999996</v>
      </c>
      <c r="N5328">
        <v>0</v>
      </c>
      <c r="O5328">
        <v>3.9927369999999997E-2</v>
      </c>
      <c r="P5328">
        <v>0.99246009999999996</v>
      </c>
      <c r="Q5328">
        <v>-1.129032E-2</v>
      </c>
      <c r="R5328">
        <v>0.12204710000000001</v>
      </c>
      <c r="S5328">
        <v>3.041534</v>
      </c>
      <c r="T5328">
        <v>-0.32964860000000001</v>
      </c>
      <c r="U5328">
        <v>-0.18145749999999999</v>
      </c>
      <c r="V5328">
        <v>-8.2324850000000005E-2</v>
      </c>
      <c r="W5328">
        <v>-1.835826E-3</v>
      </c>
      <c r="X5328">
        <v>0.99660380000000004</v>
      </c>
      <c r="Y5328">
        <v>9.8556199999999997E-2</v>
      </c>
      <c r="Z5328">
        <v>-9.6321849999999997E-3</v>
      </c>
      <c r="AA5328">
        <v>0.99508490000000005</v>
      </c>
      <c r="AB5328">
        <v>26</v>
      </c>
      <c r="AC5328">
        <v>0.772199999999997</v>
      </c>
      <c r="AD5328">
        <v>-0.100256</v>
      </c>
      <c r="AE5328">
        <v>-6.07799999999976E-2</v>
      </c>
      <c r="AF5328">
        <v>9.0056127194603694E-2</v>
      </c>
      <c r="AG5328">
        <v>-0.100256</v>
      </c>
      <c r="AH5328">
        <v>0.75648430925019094</v>
      </c>
      <c r="AI5328">
        <v>97.4970225589379</v>
      </c>
      <c r="AJ5328">
        <v>83.211139588297996</v>
      </c>
      <c r="AK5328">
        <v>0.76839435300048198</v>
      </c>
      <c r="AL5328">
        <v>90.105185146833193</v>
      </c>
      <c r="AM5328">
        <v>94.722219016391605</v>
      </c>
      <c r="AN5328">
        <v>0.99999994267952996</v>
      </c>
    </row>
    <row r="5329" spans="1:40" x14ac:dyDescent="0.3">
      <c r="A5329" t="str">
        <f>"20200111160608977"</f>
        <v>20200111160608977</v>
      </c>
      <c r="B5329" t="str">
        <f>"1578729968967126"</f>
        <v>1578729968967126</v>
      </c>
      <c r="C5329" t="s">
        <v>40</v>
      </c>
      <c r="D5329">
        <v>4.9985280000000003</v>
      </c>
      <c r="E5329">
        <v>0.58370909999999998</v>
      </c>
      <c r="F5329" t="s">
        <v>42</v>
      </c>
      <c r="G5329">
        <v>-338.9178</v>
      </c>
      <c r="H5329">
        <v>1.0255019999999999</v>
      </c>
      <c r="I5329">
        <v>17.67661</v>
      </c>
      <c r="J5329">
        <v>-339.4753</v>
      </c>
      <c r="K5329">
        <v>1.1092599999999999</v>
      </c>
      <c r="L5329">
        <v>17.746120000000001</v>
      </c>
      <c r="M5329">
        <v>0.99919190000000002</v>
      </c>
      <c r="N5329">
        <v>0</v>
      </c>
      <c r="O5329">
        <v>3.9092670000000003E-2</v>
      </c>
      <c r="P5329">
        <v>0.99252620000000003</v>
      </c>
      <c r="Q5329">
        <v>-1.142203E-2</v>
      </c>
      <c r="R5329">
        <v>0.1214976</v>
      </c>
      <c r="S5329">
        <v>3.048584</v>
      </c>
      <c r="T5329">
        <v>-0.32724449999999999</v>
      </c>
      <c r="U5329">
        <v>-0.24023439999999999</v>
      </c>
      <c r="V5329">
        <v>-8.2606170000000007E-2</v>
      </c>
      <c r="W5329">
        <v>-1.9584139999999999E-3</v>
      </c>
      <c r="X5329">
        <v>0.99658040000000003</v>
      </c>
      <c r="Y5329">
        <v>0.11658250000000001</v>
      </c>
      <c r="Z5329">
        <v>-1.0408540000000001E-2</v>
      </c>
      <c r="AA5329">
        <v>0.99312650000000002</v>
      </c>
      <c r="AB5329">
        <v>26</v>
      </c>
      <c r="AC5329">
        <v>0.55750000000000399</v>
      </c>
      <c r="AD5329">
        <v>-8.3757999999999999E-2</v>
      </c>
      <c r="AE5329">
        <v>-6.9510000000001002E-2</v>
      </c>
      <c r="AF5329">
        <v>8.9267898042545799E-2</v>
      </c>
      <c r="AG5329">
        <v>-8.3757999999999999E-2</v>
      </c>
      <c r="AH5329">
        <v>0.54230306598127498</v>
      </c>
      <c r="AI5329">
        <v>98.665078919023202</v>
      </c>
      <c r="AJ5329">
        <v>80.652432102208493</v>
      </c>
      <c r="AK5329">
        <v>0.555946738058265</v>
      </c>
      <c r="AL5329">
        <v>90.1122089223866</v>
      </c>
      <c r="AM5329">
        <v>94.7383931568218</v>
      </c>
      <c r="AN5329">
        <v>1.0000000541858101</v>
      </c>
    </row>
    <row r="5330" spans="1:40" x14ac:dyDescent="0.3">
      <c r="A5330" t="str">
        <f>"20200111160608992"</f>
        <v>20200111160608992</v>
      </c>
      <c r="B5330" t="str">
        <f>"1578729968987624"</f>
        <v>1578729968987624</v>
      </c>
      <c r="C5330" t="s">
        <v>40</v>
      </c>
      <c r="D5330">
        <v>4.9378010000000003</v>
      </c>
      <c r="E5330">
        <v>0.58716169999999901</v>
      </c>
      <c r="F5330" t="s">
        <v>42</v>
      </c>
      <c r="G5330">
        <v>-338.68310000000002</v>
      </c>
      <c r="H5330">
        <v>1.025901</v>
      </c>
      <c r="I5330">
        <v>17.670300000000001</v>
      </c>
      <c r="J5330">
        <v>-339.30849999999998</v>
      </c>
      <c r="K5330">
        <v>1.109259</v>
      </c>
      <c r="L5330">
        <v>17.75198</v>
      </c>
      <c r="M5330">
        <v>0.99921599999999999</v>
      </c>
      <c r="N5330">
        <v>0</v>
      </c>
      <c r="O5330">
        <v>3.8469169999999997E-2</v>
      </c>
      <c r="P5330">
        <v>0.9925619</v>
      </c>
      <c r="Q5330">
        <v>-1.1714830000000001E-2</v>
      </c>
      <c r="R5330">
        <v>0.12117790000000001</v>
      </c>
      <c r="S5330">
        <v>3.0545650000000002</v>
      </c>
      <c r="T5330">
        <v>-0.32136550000000003</v>
      </c>
      <c r="U5330">
        <v>-0.29150389999999998</v>
      </c>
      <c r="V5330">
        <v>-8.2907869999999995E-2</v>
      </c>
      <c r="W5330">
        <v>-2.2443950000000002E-3</v>
      </c>
      <c r="X5330">
        <v>0.99655470000000002</v>
      </c>
      <c r="Y5330">
        <v>0.132292299999999</v>
      </c>
      <c r="Z5330">
        <v>-1.0952699999999999E-2</v>
      </c>
      <c r="AA5330">
        <v>0.99115019999999998</v>
      </c>
      <c r="AB5330">
        <v>26</v>
      </c>
      <c r="AC5330">
        <v>0.62539999999995599</v>
      </c>
      <c r="AD5330">
        <v>-8.3358000000000002E-2</v>
      </c>
      <c r="AE5330">
        <v>-8.1679999999998601E-2</v>
      </c>
      <c r="AF5330">
        <v>0.10386493439118299</v>
      </c>
      <c r="AG5330">
        <v>-8.3358000000000002E-2</v>
      </c>
      <c r="AH5330">
        <v>0.61111993111086405</v>
      </c>
      <c r="AI5330">
        <v>97.658828724757896</v>
      </c>
      <c r="AJ5330">
        <v>80.354274108717206</v>
      </c>
      <c r="AK5330">
        <v>0.62546306922234196</v>
      </c>
      <c r="AL5330">
        <v>90.128594467587604</v>
      </c>
      <c r="AM5330">
        <v>94.755741895636504</v>
      </c>
      <c r="AN5330">
        <v>1.00000001115447</v>
      </c>
    </row>
    <row r="5331" spans="1:40" x14ac:dyDescent="0.3">
      <c r="A5331" t="str">
        <f>"20200111160609011"</f>
        <v>20200111160609011</v>
      </c>
      <c r="B5331" t="str">
        <f>"1578729969007144"</f>
        <v>1578729969007144</v>
      </c>
      <c r="C5331" t="s">
        <v>40</v>
      </c>
      <c r="D5331">
        <v>8.5880679999999998</v>
      </c>
      <c r="E5331">
        <v>0.58840550000000003</v>
      </c>
      <c r="F5331" t="s">
        <v>42</v>
      </c>
      <c r="G5331">
        <v>-338.45100000000002</v>
      </c>
      <c r="H5331">
        <v>1.019854</v>
      </c>
      <c r="I5331">
        <v>17.662240000000001</v>
      </c>
      <c r="J5331">
        <v>-339.0883</v>
      </c>
      <c r="K5331">
        <v>1.1092580000000001</v>
      </c>
      <c r="L5331">
        <v>17.75958</v>
      </c>
      <c r="M5331">
        <v>0.9992472</v>
      </c>
      <c r="N5331">
        <v>0</v>
      </c>
      <c r="O5331">
        <v>3.7648500000000001E-2</v>
      </c>
      <c r="P5331">
        <v>0.9925813</v>
      </c>
      <c r="Q5331">
        <v>-1.214846E-2</v>
      </c>
      <c r="R5331">
        <v>0.12097479999999999</v>
      </c>
      <c r="S5331">
        <v>3.0577700000000001</v>
      </c>
      <c r="T5331">
        <v>-0.31886890000000001</v>
      </c>
      <c r="U5331">
        <v>-0.31994630000000002</v>
      </c>
      <c r="V5331">
        <v>-8.3523139999999996E-2</v>
      </c>
      <c r="W5331">
        <v>-2.6689729999999998E-3</v>
      </c>
      <c r="X5331">
        <v>0.99650229999999995</v>
      </c>
      <c r="Y5331">
        <v>0.140481299999999</v>
      </c>
      <c r="Z5331">
        <v>-1.119152E-2</v>
      </c>
      <c r="AA5331">
        <v>0.99002009999999996</v>
      </c>
      <c r="AB5331">
        <v>26</v>
      </c>
      <c r="AC5331">
        <v>0.63730000000003795</v>
      </c>
      <c r="AD5331">
        <v>-8.9403999999999997E-2</v>
      </c>
      <c r="AE5331">
        <v>-9.7339999999999094E-2</v>
      </c>
      <c r="AF5331">
        <v>0.11897732444060399</v>
      </c>
      <c r="AG5331">
        <v>-8.9403999999999997E-2</v>
      </c>
      <c r="AH5331">
        <v>0.62123604082389094</v>
      </c>
      <c r="AI5331">
        <v>98.045136649667498</v>
      </c>
      <c r="AJ5331">
        <v>79.158161526775899</v>
      </c>
      <c r="AK5331">
        <v>0.63881366404107798</v>
      </c>
      <c r="AL5331">
        <v>90.152921064564794</v>
      </c>
      <c r="AM5331">
        <v>94.791121944794398</v>
      </c>
      <c r="AN5331">
        <v>1.0000000361188099</v>
      </c>
    </row>
    <row r="5332" spans="1:40" x14ac:dyDescent="0.3">
      <c r="A5332" t="str">
        <f>"20200111160609033"</f>
        <v>20200111160609033</v>
      </c>
      <c r="B5332" t="str">
        <f>"1578729969027639"</f>
        <v>1578729969027639</v>
      </c>
      <c r="C5332" t="s">
        <v>40</v>
      </c>
      <c r="D5332">
        <v>4.8923740000000002</v>
      </c>
      <c r="E5332">
        <v>0.57316480000000003</v>
      </c>
      <c r="F5332" t="s">
        <v>42</v>
      </c>
      <c r="G5332">
        <v>-338.21690000000001</v>
      </c>
      <c r="H5332">
        <v>1.01844</v>
      </c>
      <c r="I5332">
        <v>17.665009999999999</v>
      </c>
      <c r="J5332">
        <v>-338.8254</v>
      </c>
      <c r="K5332">
        <v>1.1092610000000001</v>
      </c>
      <c r="L5332">
        <v>17.7684</v>
      </c>
      <c r="M5332">
        <v>0.99928309999999998</v>
      </c>
      <c r="N5332">
        <v>0</v>
      </c>
      <c r="O5332">
        <v>3.6678490000000001E-2</v>
      </c>
      <c r="P5332">
        <v>0.99266010000000005</v>
      </c>
      <c r="Q5332">
        <v>-1.260239E-2</v>
      </c>
      <c r="R5332">
        <v>0.120279399999999</v>
      </c>
      <c r="S5332">
        <v>3.0588380000000002</v>
      </c>
      <c r="T5332">
        <v>-0.31870100000000001</v>
      </c>
      <c r="U5332">
        <v>-0.33065800000000001</v>
      </c>
      <c r="V5332">
        <v>-8.3792920000000007E-2</v>
      </c>
      <c r="W5332">
        <v>-3.1132389999999999E-3</v>
      </c>
      <c r="X5332">
        <v>0.99647830000000004</v>
      </c>
      <c r="Y5332">
        <v>0.14290659999999999</v>
      </c>
      <c r="Z5332">
        <v>-1.120489E-2</v>
      </c>
      <c r="AA5332">
        <v>0.98967280000000002</v>
      </c>
      <c r="AB5332">
        <v>26</v>
      </c>
      <c r="AC5332">
        <v>0.60849999999999205</v>
      </c>
      <c r="AD5332">
        <v>-9.0820999999999999E-2</v>
      </c>
      <c r="AE5332">
        <v>-0.103389999999997</v>
      </c>
      <c r="AF5332">
        <v>0.12297759843504</v>
      </c>
      <c r="AG5332">
        <v>-9.0820999999999999E-2</v>
      </c>
      <c r="AH5332">
        <v>0.59149138891138198</v>
      </c>
      <c r="AI5332">
        <v>98.549310273210196</v>
      </c>
      <c r="AJ5332">
        <v>78.254901374277296</v>
      </c>
      <c r="AK5332">
        <v>0.61092880674769801</v>
      </c>
      <c r="AL5332">
        <v>90.178375748091696</v>
      </c>
      <c r="AM5332">
        <v>94.806640118417604</v>
      </c>
      <c r="AN5332">
        <v>0.99999997403504304</v>
      </c>
    </row>
    <row r="5333" spans="1:40" x14ac:dyDescent="0.3">
      <c r="A5333" t="str">
        <f>"20200111160609045"</f>
        <v>20200111160609045</v>
      </c>
      <c r="B5333" t="str">
        <f>"1578729969037391"</f>
        <v>1578729969037391</v>
      </c>
      <c r="C5333" t="s">
        <v>40</v>
      </c>
      <c r="D5333">
        <v>5.1137389999999998</v>
      </c>
      <c r="E5333">
        <v>0.59716740000000001</v>
      </c>
      <c r="F5333" t="s">
        <v>72</v>
      </c>
      <c r="G5333">
        <v>-274.99380000000002</v>
      </c>
      <c r="H5333">
        <v>11.420680000000001</v>
      </c>
      <c r="I5333">
        <v>12.95575</v>
      </c>
      <c r="J5333">
        <v>-338.6825</v>
      </c>
      <c r="K5333">
        <v>1.1092649999999999</v>
      </c>
      <c r="L5333">
        <v>17.773129999999998</v>
      </c>
      <c r="M5333">
        <v>0.99930209999999997</v>
      </c>
      <c r="N5333">
        <v>0</v>
      </c>
      <c r="O5333">
        <v>3.6155720000000002E-2</v>
      </c>
      <c r="P5333">
        <v>0.99268699999999999</v>
      </c>
      <c r="Q5333">
        <v>-1.298037E-2</v>
      </c>
      <c r="R5333">
        <v>0.1200177</v>
      </c>
      <c r="S5333">
        <v>3.0563660000000001</v>
      </c>
      <c r="T5333">
        <v>0.49372909999999998</v>
      </c>
      <c r="U5333">
        <v>-0.23043820000000001</v>
      </c>
      <c r="V5333">
        <v>-8.4052249999999995E-2</v>
      </c>
      <c r="W5333">
        <v>-3.4862600000000001E-3</v>
      </c>
      <c r="X5333">
        <v>0.99645530000000004</v>
      </c>
      <c r="Y5333">
        <v>0.1093122</v>
      </c>
      <c r="Z5333">
        <v>1.4556380000000001E-2</v>
      </c>
      <c r="AA5333">
        <v>0.99390089999999998</v>
      </c>
      <c r="AB5333">
        <v>26</v>
      </c>
      <c r="AC5333">
        <v>63.688699999999898</v>
      </c>
      <c r="AD5333">
        <v>10.311415</v>
      </c>
      <c r="AE5333">
        <v>-4.8173799999999902</v>
      </c>
      <c r="AF5333">
        <v>6.9362584441384696</v>
      </c>
      <c r="AG5333">
        <v>10.311415</v>
      </c>
      <c r="AH5333">
        <v>61.860563255724003</v>
      </c>
      <c r="AI5333">
        <v>80.594365941020897</v>
      </c>
      <c r="AJ5333">
        <v>83.602300927141002</v>
      </c>
      <c r="AK5333">
        <v>63.096483632778899</v>
      </c>
      <c r="AL5333">
        <v>90.199748378959399</v>
      </c>
      <c r="AM5333">
        <v>94.821556890994202</v>
      </c>
      <c r="AN5333">
        <v>1.00000004981846</v>
      </c>
    </row>
    <row r="5334" spans="1:40" x14ac:dyDescent="0.3">
      <c r="A5334" t="str">
        <f>"20200111160609056"</f>
        <v>20200111160609056</v>
      </c>
      <c r="B5334" t="str">
        <f>"1578729969047150"</f>
        <v>1578729969047150</v>
      </c>
      <c r="C5334" t="s">
        <v>40</v>
      </c>
      <c r="D5334">
        <v>4.8440310000000002</v>
      </c>
      <c r="E5334">
        <v>0.5982459</v>
      </c>
      <c r="F5334" t="s">
        <v>42</v>
      </c>
      <c r="G5334">
        <v>-337.74549999999999</v>
      </c>
      <c r="H5334">
        <v>1.0171190000000001</v>
      </c>
      <c r="I5334">
        <v>17.64967</v>
      </c>
      <c r="J5334">
        <v>-338.54500000000002</v>
      </c>
      <c r="K5334">
        <v>1.109272</v>
      </c>
      <c r="L5334">
        <v>17.777560000000001</v>
      </c>
      <c r="M5334">
        <v>0.99931990000000004</v>
      </c>
      <c r="N5334">
        <v>0</v>
      </c>
      <c r="O5334">
        <v>3.5659860000000002E-2</v>
      </c>
      <c r="P5334">
        <v>0.99275329999999995</v>
      </c>
      <c r="Q5334">
        <v>-1.29642E-2</v>
      </c>
      <c r="R5334">
        <v>0.11946909999999999</v>
      </c>
      <c r="S5334">
        <v>3.0669249999999999</v>
      </c>
      <c r="T5334">
        <v>-0.3015872</v>
      </c>
      <c r="U5334">
        <v>-0.40365600000000001</v>
      </c>
      <c r="V5334">
        <v>-8.3996189999999998E-2</v>
      </c>
      <c r="W5334">
        <v>-3.4659309999999998E-3</v>
      </c>
      <c r="X5334">
        <v>0.99646000000000001</v>
      </c>
      <c r="Y5334">
        <v>0.1648124</v>
      </c>
      <c r="Z5334">
        <v>-1.153439E-2</v>
      </c>
      <c r="AA5334">
        <v>0.98625750000000001</v>
      </c>
      <c r="AB5334">
        <v>26</v>
      </c>
      <c r="AC5334">
        <v>0.79950000000002297</v>
      </c>
      <c r="AD5334">
        <v>-9.2152999999999902E-2</v>
      </c>
      <c r="AE5334">
        <v>-0.12789</v>
      </c>
      <c r="AF5334">
        <v>0.15432087056428101</v>
      </c>
      <c r="AG5334">
        <v>-9.2152999999999902E-2</v>
      </c>
      <c r="AH5334">
        <v>0.78427115059726404</v>
      </c>
      <c r="AI5334">
        <v>96.576635243773794</v>
      </c>
      <c r="AJ5334">
        <v>78.868136539508598</v>
      </c>
      <c r="AK5334">
        <v>0.80460446441706601</v>
      </c>
      <c r="AL5334">
        <v>90.198583625482698</v>
      </c>
      <c r="AM5334">
        <v>94.818333601788297</v>
      </c>
      <c r="AN5334">
        <v>0.99999995210610504</v>
      </c>
    </row>
    <row r="5335" spans="1:40" x14ac:dyDescent="0.3">
      <c r="A5335" t="str">
        <f>"20200111160609067"</f>
        <v>20200111160609067</v>
      </c>
      <c r="B5335" t="str">
        <f>"1578729969057886"</f>
        <v>1578729969057886</v>
      </c>
      <c r="C5335" t="s">
        <v>40</v>
      </c>
      <c r="D5335">
        <v>4.8659489999999996</v>
      </c>
      <c r="E5335">
        <v>0.59866540000000001</v>
      </c>
      <c r="F5335" t="s">
        <v>42</v>
      </c>
      <c r="G5335">
        <v>-337.74090000000001</v>
      </c>
      <c r="H5335">
        <v>1.0290950000000001</v>
      </c>
      <c r="I5335">
        <v>17.668939999999999</v>
      </c>
      <c r="J5335">
        <v>-338.42399999999998</v>
      </c>
      <c r="K5335">
        <v>1.109278</v>
      </c>
      <c r="L5335">
        <v>17.78143</v>
      </c>
      <c r="M5335">
        <v>0.99933510000000003</v>
      </c>
      <c r="N5335">
        <v>0</v>
      </c>
      <c r="O5335">
        <v>3.5227599999999998E-2</v>
      </c>
      <c r="P5335">
        <v>0.99279649999999997</v>
      </c>
      <c r="Q5335">
        <v>-1.2787120000000001E-2</v>
      </c>
      <c r="R5335">
        <v>0.1191286</v>
      </c>
      <c r="S5335">
        <v>3.0677490000000001</v>
      </c>
      <c r="T5335">
        <v>-0.30579060000000002</v>
      </c>
      <c r="U5335">
        <v>-0.41381839999999998</v>
      </c>
      <c r="V5335">
        <v>-8.4084619999999999E-2</v>
      </c>
      <c r="W5335">
        <v>-3.285343E-3</v>
      </c>
      <c r="X5335">
        <v>0.99645320000000004</v>
      </c>
      <c r="Y5335">
        <v>0.16752439999999999</v>
      </c>
      <c r="Z5335">
        <v>-1.1780209999999999E-2</v>
      </c>
      <c r="AA5335">
        <v>0.98579749999999999</v>
      </c>
      <c r="AB5335">
        <v>26</v>
      </c>
      <c r="AC5335">
        <v>0.68310000000002402</v>
      </c>
      <c r="AD5335">
        <v>-8.0182999999999893E-2</v>
      </c>
      <c r="AE5335">
        <v>-0.11249000000000101</v>
      </c>
      <c r="AF5335">
        <v>0.13467855961175901</v>
      </c>
      <c r="AG5335">
        <v>-8.0182999999999893E-2</v>
      </c>
      <c r="AH5335">
        <v>0.66972894220497203</v>
      </c>
      <c r="AI5335">
        <v>96.694451350953599</v>
      </c>
      <c r="AJ5335">
        <v>78.629802261046606</v>
      </c>
      <c r="AK5335">
        <v>0.68782591106695701</v>
      </c>
      <c r="AL5335">
        <v>90.188236627096202</v>
      </c>
      <c r="AM5335">
        <v>94.823415115642206</v>
      </c>
      <c r="AN5335">
        <v>0.99999999829470598</v>
      </c>
    </row>
    <row r="5336" spans="1:40" x14ac:dyDescent="0.3">
      <c r="A5336" t="str">
        <f>"20200111160609079"</f>
        <v>20200111160609079</v>
      </c>
      <c r="B5336" t="str">
        <f>"1578729969077406"</f>
        <v>1578729969077406</v>
      </c>
      <c r="C5336" t="s">
        <v>40</v>
      </c>
      <c r="D5336">
        <v>4.8294620000000004</v>
      </c>
      <c r="E5336">
        <v>0.59940729999999998</v>
      </c>
      <c r="F5336" t="s">
        <v>42</v>
      </c>
      <c r="G5336">
        <v>-337.51</v>
      </c>
      <c r="H5336">
        <v>1.0169060000000001</v>
      </c>
      <c r="I5336">
        <v>17.65701</v>
      </c>
      <c r="J5336">
        <v>-338.28149999999999</v>
      </c>
      <c r="K5336">
        <v>1.109283</v>
      </c>
      <c r="L5336">
        <v>17.785920000000001</v>
      </c>
      <c r="M5336">
        <v>0.99935260000000004</v>
      </c>
      <c r="N5336">
        <v>0</v>
      </c>
      <c r="O5336">
        <v>3.4726899999999998E-2</v>
      </c>
      <c r="P5336">
        <v>0.99285020000000002</v>
      </c>
      <c r="Q5336">
        <v>-1.218004E-2</v>
      </c>
      <c r="R5336">
        <v>0.1187444</v>
      </c>
      <c r="S5336">
        <v>3.0679319999999999</v>
      </c>
      <c r="T5336">
        <v>-0.31009009999999998</v>
      </c>
      <c r="U5336">
        <v>-0.41796879999999997</v>
      </c>
      <c r="V5336">
        <v>-8.419691E-2</v>
      </c>
      <c r="W5336">
        <v>-2.6746930000000001E-3</v>
      </c>
      <c r="X5336">
        <v>0.99644549999999998</v>
      </c>
      <c r="Y5336">
        <v>0.16830329999999999</v>
      </c>
      <c r="Z5336">
        <v>-1.193206E-2</v>
      </c>
      <c r="AA5336">
        <v>0.98566310000000001</v>
      </c>
      <c r="AB5336">
        <v>26</v>
      </c>
      <c r="AC5336">
        <v>0.77150000000000296</v>
      </c>
      <c r="AD5336">
        <v>-9.2377000000000098E-2</v>
      </c>
      <c r="AE5336">
        <v>-0.128910000000001</v>
      </c>
      <c r="AF5336">
        <v>0.153484499876029</v>
      </c>
      <c r="AG5336">
        <v>-9.2377000000000098E-2</v>
      </c>
      <c r="AH5336">
        <v>0.756013269486562</v>
      </c>
      <c r="AI5336">
        <v>96.828471886185199</v>
      </c>
      <c r="AJ5336">
        <v>78.523882083711598</v>
      </c>
      <c r="AK5336">
        <v>0.77694727328883495</v>
      </c>
      <c r="AL5336">
        <v>90.153248810158004</v>
      </c>
      <c r="AM5336">
        <v>94.829863193950601</v>
      </c>
      <c r="AN5336">
        <v>0.99999995405321995</v>
      </c>
    </row>
    <row r="5337" spans="1:40" x14ac:dyDescent="0.3">
      <c r="A5337" t="str">
        <f>"20200111160609092"</f>
        <v>20200111160609092</v>
      </c>
      <c r="B5337" t="str">
        <f>"1578729969087166"</f>
        <v>1578729969087166</v>
      </c>
      <c r="C5337" t="s">
        <v>40</v>
      </c>
      <c r="D5337">
        <v>4.833107</v>
      </c>
      <c r="E5337">
        <v>0.59973540000000003</v>
      </c>
      <c r="F5337" t="s">
        <v>42</v>
      </c>
      <c r="G5337">
        <v>-337.50400000000002</v>
      </c>
      <c r="H5337">
        <v>1.0318229999999999</v>
      </c>
      <c r="I5337">
        <v>17.678329999999999</v>
      </c>
      <c r="J5337">
        <v>-338.14120000000003</v>
      </c>
      <c r="K5337">
        <v>1.1092979999999999</v>
      </c>
      <c r="L5337">
        <v>17.790279999999999</v>
      </c>
      <c r="M5337">
        <v>0.99936919999999996</v>
      </c>
      <c r="N5337">
        <v>0</v>
      </c>
      <c r="O5337">
        <v>3.424746E-2</v>
      </c>
      <c r="P5337">
        <v>0.99292119999999995</v>
      </c>
      <c r="Q5337">
        <v>-1.162461E-2</v>
      </c>
      <c r="R5337">
        <v>0.1182057</v>
      </c>
      <c r="S5337">
        <v>3.068756</v>
      </c>
      <c r="T5337">
        <v>-0.30582759999999998</v>
      </c>
      <c r="U5337">
        <v>-0.42507929999999999</v>
      </c>
      <c r="V5337">
        <v>-8.4133360000000004E-2</v>
      </c>
      <c r="W5337">
        <v>-2.1166420000000002E-3</v>
      </c>
      <c r="X5337">
        <v>0.99645229999999996</v>
      </c>
      <c r="Y5337">
        <v>0.17005880000000001</v>
      </c>
      <c r="Z5337">
        <v>-1.1803299999999999E-2</v>
      </c>
      <c r="AA5337">
        <v>0.98536319999999999</v>
      </c>
      <c r="AB5337">
        <v>26</v>
      </c>
      <c r="AC5337">
        <v>0.63720000000000698</v>
      </c>
      <c r="AD5337">
        <v>-7.7474999999999905E-2</v>
      </c>
      <c r="AE5337">
        <v>-0.11194999999999999</v>
      </c>
      <c r="AF5337">
        <v>0.13181741979418801</v>
      </c>
      <c r="AG5337">
        <v>-7.7474999999999905E-2</v>
      </c>
      <c r="AH5337">
        <v>0.62404282097018504</v>
      </c>
      <c r="AI5337">
        <v>96.925776499443899</v>
      </c>
      <c r="AJ5337">
        <v>78.072665297908898</v>
      </c>
      <c r="AK5337">
        <v>0.64250108964158503</v>
      </c>
      <c r="AL5337">
        <v>90.121274738522203</v>
      </c>
      <c r="AM5337">
        <v>94.826202164246197</v>
      </c>
      <c r="AN5337">
        <v>1.00000004430676</v>
      </c>
    </row>
    <row r="5338" spans="1:40" x14ac:dyDescent="0.3">
      <c r="A5338" t="str">
        <f>"20200111160609102"</f>
        <v>20200111160609102</v>
      </c>
      <c r="B5338" t="str">
        <f>"1578729969097902"</f>
        <v>1578729969097902</v>
      </c>
      <c r="C5338" t="s">
        <v>40</v>
      </c>
      <c r="D5338">
        <v>4.8198530000000002</v>
      </c>
      <c r="E5338">
        <v>0.60007659999999996</v>
      </c>
      <c r="F5338" t="s">
        <v>42</v>
      </c>
      <c r="G5338">
        <v>-337.2713</v>
      </c>
      <c r="H5338">
        <v>1.023118</v>
      </c>
      <c r="I5338">
        <v>17.668279999999999</v>
      </c>
      <c r="J5338">
        <v>-338.0016</v>
      </c>
      <c r="K5338">
        <v>1.1093120000000001</v>
      </c>
      <c r="L5338">
        <v>17.794589999999999</v>
      </c>
      <c r="M5338">
        <v>0.99938510000000003</v>
      </c>
      <c r="N5338">
        <v>0</v>
      </c>
      <c r="O5338">
        <v>3.3777399999999999E-2</v>
      </c>
      <c r="P5338">
        <v>0.99303229999999998</v>
      </c>
      <c r="Q5338">
        <v>-1.09097E-2</v>
      </c>
      <c r="R5338">
        <v>0.11733590000000001</v>
      </c>
      <c r="S5338">
        <v>3.0689700000000002</v>
      </c>
      <c r="T5338">
        <v>-0.30398009999999998</v>
      </c>
      <c r="U5338">
        <v>-0.42926029999999998</v>
      </c>
      <c r="V5338">
        <v>-8.3728159999999996E-2</v>
      </c>
      <c r="W5338">
        <v>-1.399747E-3</v>
      </c>
      <c r="X5338">
        <v>0.99648769999999998</v>
      </c>
      <c r="Y5338">
        <v>0.17091329999999999</v>
      </c>
      <c r="Z5338">
        <v>-1.1726220000000001E-2</v>
      </c>
      <c r="AA5338">
        <v>0.98521630000000004</v>
      </c>
      <c r="AB5338">
        <v>26</v>
      </c>
      <c r="AC5338">
        <v>0.73029999999999895</v>
      </c>
      <c r="AD5338">
        <v>-8.6194000000000104E-2</v>
      </c>
      <c r="AE5338">
        <v>-0.12631000000000001</v>
      </c>
      <c r="AF5338">
        <v>0.148892808834133</v>
      </c>
      <c r="AG5338">
        <v>-8.6194000000000104E-2</v>
      </c>
      <c r="AH5338">
        <v>0.71593333324750796</v>
      </c>
      <c r="AI5338">
        <v>96.722537478593296</v>
      </c>
      <c r="AJ5338">
        <v>78.251652253383895</v>
      </c>
      <c r="AK5338">
        <v>0.73631447888344803</v>
      </c>
      <c r="AL5338">
        <v>90.080199617652298</v>
      </c>
      <c r="AM5338">
        <v>94.802897559981304</v>
      </c>
      <c r="AN5338">
        <v>1.00000005015996</v>
      </c>
    </row>
    <row r="5339" spans="1:40" x14ac:dyDescent="0.3">
      <c r="A5339" t="str">
        <f>"20200111160609123"</f>
        <v>20200111160609123</v>
      </c>
      <c r="B5339" t="str">
        <f>"1578729969117422"</f>
        <v>1578729969117422</v>
      </c>
      <c r="C5339" t="s">
        <v>40</v>
      </c>
      <c r="D5339">
        <v>4.814692</v>
      </c>
      <c r="E5339">
        <v>0.60050170000000003</v>
      </c>
      <c r="F5339" t="s">
        <v>42</v>
      </c>
      <c r="G5339">
        <v>-337.26580000000001</v>
      </c>
      <c r="H5339">
        <v>1.0365799999999901</v>
      </c>
      <c r="I5339">
        <v>17.690069999999999</v>
      </c>
      <c r="J5339">
        <v>-337.77480000000003</v>
      </c>
      <c r="K5339">
        <v>1.109345</v>
      </c>
      <c r="L5339">
        <v>17.801449999999999</v>
      </c>
      <c r="M5339">
        <v>0.99940929999999994</v>
      </c>
      <c r="N5339">
        <v>0</v>
      </c>
      <c r="O5339">
        <v>3.3055309999999997E-2</v>
      </c>
      <c r="P5339">
        <v>0.99325180000000002</v>
      </c>
      <c r="Q5339">
        <v>-9.3802599999999996E-3</v>
      </c>
      <c r="R5339">
        <v>0.1155988</v>
      </c>
      <c r="S5339">
        <v>3.069061</v>
      </c>
      <c r="T5339">
        <v>-0.3033071</v>
      </c>
      <c r="U5339">
        <v>-0.43453979999999998</v>
      </c>
      <c r="V5339">
        <v>-8.2702319999999996E-2</v>
      </c>
      <c r="W5339">
        <v>1.3095540000000001E-4</v>
      </c>
      <c r="X5339">
        <v>0.99657430000000002</v>
      </c>
      <c r="Y5339">
        <v>0.17186290000000001</v>
      </c>
      <c r="Z5339">
        <v>-1.167437E-2</v>
      </c>
      <c r="AA5339">
        <v>0.98505169999999997</v>
      </c>
      <c r="AB5339">
        <v>26</v>
      </c>
      <c r="AC5339">
        <v>0.509000000000014</v>
      </c>
      <c r="AD5339">
        <v>-7.2765000000000093E-2</v>
      </c>
      <c r="AE5339">
        <v>-0.111379999999996</v>
      </c>
      <c r="AF5339">
        <v>0.12569364735774299</v>
      </c>
      <c r="AG5339">
        <v>-7.2765000000000093E-2</v>
      </c>
      <c r="AH5339">
        <v>0.49537868767913801</v>
      </c>
      <c r="AI5339">
        <v>98.1030852312756</v>
      </c>
      <c r="AJ5339">
        <v>75.762660040415895</v>
      </c>
      <c r="AK5339">
        <v>0.51623026104423397</v>
      </c>
      <c r="AL5339">
        <v>89.992496808352797</v>
      </c>
      <c r="AM5339">
        <v>94.743912188958504</v>
      </c>
      <c r="AN5339">
        <v>1.00000001315159</v>
      </c>
    </row>
    <row r="5340" spans="1:40" x14ac:dyDescent="0.3">
      <c r="A5340" t="str">
        <f>"20200111160609135"</f>
        <v>20200111160609135</v>
      </c>
      <c r="B5340" t="str">
        <f>"1578729969127181"</f>
        <v>1578729969127181</v>
      </c>
      <c r="C5340" t="s">
        <v>40</v>
      </c>
      <c r="D5340">
        <v>4.847664</v>
      </c>
      <c r="E5340">
        <v>0.60056480000000001</v>
      </c>
      <c r="F5340" t="s">
        <v>42</v>
      </c>
      <c r="G5340">
        <v>-337.02850000000001</v>
      </c>
      <c r="H5340">
        <v>1.036942</v>
      </c>
      <c r="I5340">
        <v>17.693639999999998</v>
      </c>
      <c r="J5340">
        <v>-337.61290000000002</v>
      </c>
      <c r="K5340">
        <v>1.1093759999999999</v>
      </c>
      <c r="L5340">
        <v>17.806270000000001</v>
      </c>
      <c r="M5340">
        <v>0.99942489999999995</v>
      </c>
      <c r="N5340">
        <v>0</v>
      </c>
      <c r="O5340">
        <v>3.257434E-2</v>
      </c>
      <c r="P5340">
        <v>0.99337359999999997</v>
      </c>
      <c r="Q5340">
        <v>-8.8603989999999997E-3</v>
      </c>
      <c r="R5340">
        <v>0.1145871</v>
      </c>
      <c r="S5340">
        <v>3.0690919999999999</v>
      </c>
      <c r="T5340">
        <v>-0.29776909999999901</v>
      </c>
      <c r="U5340">
        <v>-0.4430847</v>
      </c>
      <c r="V5340">
        <v>-8.2165290000000002E-2</v>
      </c>
      <c r="W5340">
        <v>6.5023100000000003E-4</v>
      </c>
      <c r="X5340">
        <v>0.99661849999999996</v>
      </c>
      <c r="Y5340">
        <v>0.17410249999999999</v>
      </c>
      <c r="Z5340">
        <v>-1.152137E-2</v>
      </c>
      <c r="AA5340">
        <v>0.98466010000000004</v>
      </c>
      <c r="AB5340">
        <v>26</v>
      </c>
      <c r="AC5340">
        <v>0.58440000000001602</v>
      </c>
      <c r="AD5340">
        <v>-7.2433999999999804E-2</v>
      </c>
      <c r="AE5340">
        <v>-0.11263000000000201</v>
      </c>
      <c r="AF5340">
        <v>0.12968654382744799</v>
      </c>
      <c r="AG5340">
        <v>-7.2433999999999804E-2</v>
      </c>
      <c r="AH5340">
        <v>0.57194889252469205</v>
      </c>
      <c r="AI5340">
        <v>97.040885781134193</v>
      </c>
      <c r="AJ5340">
        <v>77.224489405537597</v>
      </c>
      <c r="AK5340">
        <v>0.59092370037605602</v>
      </c>
      <c r="AL5340">
        <v>89.962744505221295</v>
      </c>
      <c r="AM5340">
        <v>94.713038594313005</v>
      </c>
      <c r="AN5340">
        <v>0.99999999611169299</v>
      </c>
    </row>
    <row r="5341" spans="1:40" x14ac:dyDescent="0.3">
      <c r="A5341" t="str">
        <f>"20200111160609148"</f>
        <v>20200111160609148</v>
      </c>
      <c r="B5341" t="str">
        <f>"1578729969137918"</f>
        <v>1578729969137918</v>
      </c>
      <c r="C5341" t="s">
        <v>40</v>
      </c>
      <c r="D5341">
        <v>4.9625089999999998</v>
      </c>
      <c r="E5341">
        <v>0.60056480000000001</v>
      </c>
      <c r="F5341" t="s">
        <v>42</v>
      </c>
      <c r="G5341">
        <v>-336.79509999999999</v>
      </c>
      <c r="H5341">
        <v>1.030311</v>
      </c>
      <c r="I5341">
        <v>17.687079999999899</v>
      </c>
      <c r="J5341">
        <v>-337.46710000000002</v>
      </c>
      <c r="K5341">
        <v>1.1094059999999999</v>
      </c>
      <c r="L5341">
        <v>17.810579999999899</v>
      </c>
      <c r="M5341">
        <v>0.99943839999999995</v>
      </c>
      <c r="N5341">
        <v>0</v>
      </c>
      <c r="O5341">
        <v>3.2157730000000002E-2</v>
      </c>
      <c r="P5341">
        <v>0.99352309999999999</v>
      </c>
      <c r="Q5341">
        <v>-8.4761060000000006E-3</v>
      </c>
      <c r="R5341">
        <v>0.1133142</v>
      </c>
      <c r="S5341">
        <v>3.0688780000000002</v>
      </c>
      <c r="T5341">
        <v>-0.29666290000000001</v>
      </c>
      <c r="U5341">
        <v>-0.44656370000000001</v>
      </c>
      <c r="V5341">
        <v>-8.1303180000000003E-2</v>
      </c>
      <c r="W5341">
        <v>1.0340849999999999E-3</v>
      </c>
      <c r="X5341">
        <v>0.99668889999999999</v>
      </c>
      <c r="Y5341">
        <v>0.17480079999999901</v>
      </c>
      <c r="Z5341">
        <v>-1.147214E-2</v>
      </c>
      <c r="AA5341">
        <v>0.984537</v>
      </c>
      <c r="AB5341">
        <v>26</v>
      </c>
      <c r="AC5341">
        <v>0.67200000000002502</v>
      </c>
      <c r="AD5341">
        <v>-7.9094999999999901E-2</v>
      </c>
      <c r="AE5341">
        <v>-0.123499999999999</v>
      </c>
      <c r="AF5341">
        <v>0.14312901909182801</v>
      </c>
      <c r="AG5341">
        <v>-7.9094999999999901E-2</v>
      </c>
      <c r="AH5341">
        <v>0.65885156491636698</v>
      </c>
      <c r="AI5341">
        <v>96.690985960126397</v>
      </c>
      <c r="AJ5341">
        <v>77.743495697338901</v>
      </c>
      <c r="AK5341">
        <v>0.67884263251797605</v>
      </c>
      <c r="AL5341">
        <v>89.940751284461598</v>
      </c>
      <c r="AM5341">
        <v>94.663478893768797</v>
      </c>
      <c r="AN5341">
        <v>1.00000001989655</v>
      </c>
    </row>
    <row r="5342" spans="1:40" x14ac:dyDescent="0.3">
      <c r="A5342" t="str">
        <f>"20200111160609167"</f>
        <v>20200111160609167</v>
      </c>
      <c r="B5342" t="str">
        <f>"1578729969157437"</f>
        <v>1578729969157437</v>
      </c>
      <c r="C5342" t="s">
        <v>40</v>
      </c>
      <c r="D5342">
        <v>4.9220579999999998</v>
      </c>
      <c r="E5342">
        <v>0.57363560000000002</v>
      </c>
      <c r="F5342" t="s">
        <v>42</v>
      </c>
      <c r="G5342">
        <v>-336.5607</v>
      </c>
      <c r="H5342">
        <v>1.021995</v>
      </c>
      <c r="I5342">
        <v>17.67736</v>
      </c>
      <c r="J5342">
        <v>-337.24549999999999</v>
      </c>
      <c r="K5342">
        <v>1.10945</v>
      </c>
      <c r="L5342">
        <v>17.817049999999998</v>
      </c>
      <c r="M5342">
        <v>0.99945720000000005</v>
      </c>
      <c r="N5342">
        <v>0</v>
      </c>
      <c r="O5342">
        <v>3.156573E-2</v>
      </c>
      <c r="P5342">
        <v>0.99374739999999995</v>
      </c>
      <c r="Q5342">
        <v>-8.5533399999999996E-3</v>
      </c>
      <c r="R5342">
        <v>0.11132350000000001</v>
      </c>
      <c r="S5342">
        <v>3.06839</v>
      </c>
      <c r="T5342">
        <v>-0.29583690000000001</v>
      </c>
      <c r="U5342">
        <v>-0.45034790000000002</v>
      </c>
      <c r="V5342">
        <v>-7.9896819999999993E-2</v>
      </c>
      <c r="W5342">
        <v>9.5540679999999995E-4</v>
      </c>
      <c r="X5342">
        <v>0.99680270000000004</v>
      </c>
      <c r="Y5342">
        <v>0.1754338</v>
      </c>
      <c r="Z5342">
        <v>-1.141474E-2</v>
      </c>
      <c r="AA5342">
        <v>0.98442510000000005</v>
      </c>
      <c r="AB5342">
        <v>26</v>
      </c>
      <c r="AC5342">
        <v>0.68479999999999497</v>
      </c>
      <c r="AD5342">
        <v>-8.7455000000000005E-2</v>
      </c>
      <c r="AE5342">
        <v>-0.13968999999999801</v>
      </c>
      <c r="AF5342">
        <v>0.15875181936751601</v>
      </c>
      <c r="AG5342">
        <v>-8.7455000000000005E-2</v>
      </c>
      <c r="AH5342">
        <v>0.66956505305142999</v>
      </c>
      <c r="AI5342">
        <v>97.242963208029096</v>
      </c>
      <c r="AJ5342">
        <v>76.661644572983505</v>
      </c>
      <c r="AK5342">
        <v>0.69366265392138704</v>
      </c>
      <c r="AL5342">
        <v>89.945259215336904</v>
      </c>
      <c r="AM5342">
        <v>94.582636983066706</v>
      </c>
      <c r="AN5342">
        <v>1.00000001868777</v>
      </c>
    </row>
    <row r="5343" spans="1:40" x14ac:dyDescent="0.3">
      <c r="A5343" t="str">
        <f>"20200111160609178"</f>
        <v>20200111160609178</v>
      </c>
      <c r="B5343" t="str">
        <f>"1578729969167198"</f>
        <v>1578729969167198</v>
      </c>
      <c r="C5343" t="s">
        <v>40</v>
      </c>
      <c r="D5343">
        <v>4.9242710000000001</v>
      </c>
      <c r="E5343">
        <v>0.52812829999999999</v>
      </c>
      <c r="F5343" t="s">
        <v>42</v>
      </c>
      <c r="G5343">
        <v>-336.33620000000002</v>
      </c>
      <c r="H5343">
        <v>1.002712</v>
      </c>
      <c r="I5343">
        <v>17.744800000000001</v>
      </c>
      <c r="J5343">
        <v>-337.10539999999997</v>
      </c>
      <c r="K5343">
        <v>1.1094820000000001</v>
      </c>
      <c r="L5343">
        <v>17.821110000000001</v>
      </c>
      <c r="M5343">
        <v>0.99946800000000002</v>
      </c>
      <c r="N5343">
        <v>0</v>
      </c>
      <c r="O5343">
        <v>3.1217490000000001E-2</v>
      </c>
      <c r="P5343">
        <v>0.99383549999999998</v>
      </c>
      <c r="Q5343">
        <v>-8.6661540000000006E-3</v>
      </c>
      <c r="R5343">
        <v>0.110526399999999</v>
      </c>
      <c r="S5343">
        <v>3.042786</v>
      </c>
      <c r="T5343">
        <v>-0.35719719999999999</v>
      </c>
      <c r="U5343">
        <v>-0.2412415</v>
      </c>
      <c r="V5343">
        <v>-7.9445290000000002E-2</v>
      </c>
      <c r="W5343">
        <v>8.4191959999999999E-4</v>
      </c>
      <c r="X5343">
        <v>0.99683889999999997</v>
      </c>
      <c r="Y5343">
        <v>0.1091593</v>
      </c>
      <c r="Z5343">
        <v>-1.0022669999999999E-2</v>
      </c>
      <c r="AA5343">
        <v>0.99397369999999996</v>
      </c>
      <c r="AB5343">
        <v>27</v>
      </c>
      <c r="AC5343">
        <v>0.76919999999995503</v>
      </c>
      <c r="AD5343">
        <v>-0.10677</v>
      </c>
      <c r="AE5343">
        <v>-7.6309999999999406E-2</v>
      </c>
      <c r="AF5343">
        <v>9.8408780333912704E-2</v>
      </c>
      <c r="AG5343">
        <v>-0.10677</v>
      </c>
      <c r="AH5343">
        <v>0.75209321131035001</v>
      </c>
      <c r="AI5343">
        <v>98.012532997093402</v>
      </c>
      <c r="AJ5343">
        <v>82.5453970132492</v>
      </c>
      <c r="AK5343">
        <v>0.76598193154011396</v>
      </c>
      <c r="AL5343">
        <v>89.951761555870107</v>
      </c>
      <c r="AM5343">
        <v>94.556683201037401</v>
      </c>
      <c r="AN5343">
        <v>1.0000000277425001</v>
      </c>
    </row>
    <row r="5344" spans="1:40" x14ac:dyDescent="0.3">
      <c r="A5344" t="str">
        <f>"20200111160609213"</f>
        <v>20200111160609213</v>
      </c>
      <c r="B5344" t="str">
        <f>"1578729969207215"</f>
        <v>1578729969207215</v>
      </c>
      <c r="C5344" t="s">
        <v>40</v>
      </c>
      <c r="D5344">
        <v>4.8982099999999997</v>
      </c>
      <c r="E5344">
        <v>0.52632069999999997</v>
      </c>
      <c r="F5344" t="s">
        <v>42</v>
      </c>
      <c r="G5344">
        <v>-336.32960000000003</v>
      </c>
      <c r="H5344">
        <v>1.0211840000000001</v>
      </c>
      <c r="I5344">
        <v>17.851140000000001</v>
      </c>
      <c r="J5344">
        <v>-336.69619999999998</v>
      </c>
      <c r="K5344">
        <v>1.1095459999999999</v>
      </c>
      <c r="L5344">
        <v>17.83276</v>
      </c>
      <c r="M5344">
        <v>0.9994961</v>
      </c>
      <c r="N5344">
        <v>0</v>
      </c>
      <c r="O5344">
        <v>3.0297480000000002E-2</v>
      </c>
      <c r="P5344">
        <v>0.99399850000000001</v>
      </c>
      <c r="Q5344">
        <v>-8.8957180000000004E-3</v>
      </c>
      <c r="R5344">
        <v>0.109031</v>
      </c>
      <c r="S5344">
        <v>3.0026549999999999</v>
      </c>
      <c r="T5344">
        <v>-0.34176640000000003</v>
      </c>
      <c r="U5344">
        <v>0.1168213</v>
      </c>
      <c r="V5344">
        <v>-7.8862989999999994E-2</v>
      </c>
      <c r="W5344">
        <v>6.1351470000000003E-4</v>
      </c>
      <c r="X5344">
        <v>0.99688529999999997</v>
      </c>
      <c r="Y5344">
        <v>-8.7218279999999992E-3</v>
      </c>
      <c r="Z5344">
        <v>-2.9407880000000002E-3</v>
      </c>
      <c r="AA5344">
        <v>0.9999576</v>
      </c>
      <c r="AB5344">
        <v>27</v>
      </c>
      <c r="AC5344">
        <v>0.36659999999994802</v>
      </c>
      <c r="AD5344">
        <v>-8.8361999999999802E-2</v>
      </c>
      <c r="AE5344">
        <v>1.83800000000005E-2</v>
      </c>
      <c r="AF5344">
        <v>-6.8661140924870202E-3</v>
      </c>
      <c r="AG5344">
        <v>-8.8361999999999802E-2</v>
      </c>
      <c r="AH5344">
        <v>0.34688640221892603</v>
      </c>
      <c r="AI5344">
        <v>104.288283604662</v>
      </c>
      <c r="AJ5344">
        <v>91.133938928598596</v>
      </c>
      <c r="AK5344">
        <v>0.358029555499432</v>
      </c>
      <c r="AL5344">
        <v>89.964848195675799</v>
      </c>
      <c r="AM5344">
        <v>94.5232141079168</v>
      </c>
      <c r="AN5344">
        <v>1.0000000244740499</v>
      </c>
    </row>
    <row r="5345" spans="1:40" x14ac:dyDescent="0.3">
      <c r="A5345" t="str">
        <f>"20200111160609224"</f>
        <v>20200111160609224</v>
      </c>
      <c r="B5345" t="str">
        <f>"1578729969217950"</f>
        <v>1578729969217950</v>
      </c>
      <c r="C5345" t="s">
        <v>40</v>
      </c>
      <c r="D5345">
        <v>4.8916890000000004</v>
      </c>
      <c r="E5345">
        <v>0.52571000000000001</v>
      </c>
      <c r="F5345" t="s">
        <v>42</v>
      </c>
      <c r="G5345">
        <v>-335.85759999999999</v>
      </c>
      <c r="H5345">
        <v>1.012677</v>
      </c>
      <c r="I5345">
        <v>17.86806</v>
      </c>
      <c r="J5345">
        <v>-336.56290000000001</v>
      </c>
      <c r="K5345">
        <v>1.1095630000000001</v>
      </c>
      <c r="L5345">
        <v>17.836549999999999</v>
      </c>
      <c r="M5345">
        <v>0.99950450000000002</v>
      </c>
      <c r="N5345">
        <v>0</v>
      </c>
      <c r="O5345">
        <v>3.0023649999999999E-2</v>
      </c>
      <c r="P5345">
        <v>0.99404159999999997</v>
      </c>
      <c r="Q5345">
        <v>-8.8915850000000005E-3</v>
      </c>
      <c r="R5345">
        <v>0.1086394</v>
      </c>
      <c r="S5345">
        <v>3.001099</v>
      </c>
      <c r="T5345">
        <v>-0.34668330000000003</v>
      </c>
      <c r="U5345">
        <v>0.1268311</v>
      </c>
      <c r="V5345">
        <v>-7.8744159999999994E-2</v>
      </c>
      <c r="W5345">
        <v>6.182831E-4</v>
      </c>
      <c r="X5345">
        <v>0.99689470000000002</v>
      </c>
      <c r="Y5345">
        <v>-1.232402E-2</v>
      </c>
      <c r="Z5345">
        <v>-2.745337E-3</v>
      </c>
      <c r="AA5345">
        <v>0.99992029999999998</v>
      </c>
      <c r="AB5345">
        <v>27</v>
      </c>
      <c r="AC5345">
        <v>0.70530000000002202</v>
      </c>
      <c r="AD5345">
        <v>-9.6885999999999806E-2</v>
      </c>
      <c r="AE5345">
        <v>3.1510000000000801E-2</v>
      </c>
      <c r="AF5345">
        <v>-1.01284237010342E-2</v>
      </c>
      <c r="AG5345">
        <v>-9.6885999999999806E-2</v>
      </c>
      <c r="AH5345">
        <v>0.69287943941474806</v>
      </c>
      <c r="AI5345">
        <v>97.959271873668001</v>
      </c>
      <c r="AJ5345">
        <v>90.837482784278905</v>
      </c>
      <c r="AK5345">
        <v>0.69969378982978203</v>
      </c>
      <c r="AL5345">
        <v>89.964574986771296</v>
      </c>
      <c r="AM5345">
        <v>94.516384380476794</v>
      </c>
      <c r="AN5345">
        <v>1.0000000339480899</v>
      </c>
    </row>
    <row r="5346" spans="1:40" x14ac:dyDescent="0.3">
      <c r="A5346" t="str">
        <f>"20200111160609235"</f>
        <v>20200111160609235</v>
      </c>
      <c r="B5346" t="str">
        <f>"1578729969227710"</f>
        <v>1578729969227710</v>
      </c>
      <c r="C5346" t="s">
        <v>40</v>
      </c>
      <c r="D5346">
        <v>4.9038000000000004</v>
      </c>
      <c r="E5346">
        <v>0.52553490000000003</v>
      </c>
      <c r="F5346" t="s">
        <v>42</v>
      </c>
      <c r="G5346">
        <v>-335.62509999999997</v>
      </c>
      <c r="H5346">
        <v>1.0000800000000001</v>
      </c>
      <c r="I5346">
        <v>17.877189999999999</v>
      </c>
      <c r="J5346">
        <v>-336.42090000000002</v>
      </c>
      <c r="K5346">
        <v>1.1095809999999999</v>
      </c>
      <c r="L5346">
        <v>17.840479999999999</v>
      </c>
      <c r="M5346">
        <v>0.99951239999999997</v>
      </c>
      <c r="N5346">
        <v>0</v>
      </c>
      <c r="O5346">
        <v>2.975647E-2</v>
      </c>
      <c r="P5346">
        <v>0.99404110000000001</v>
      </c>
      <c r="Q5346">
        <v>-8.7430700000000004E-3</v>
      </c>
      <c r="R5346">
        <v>0.1086565</v>
      </c>
      <c r="S5346">
        <v>3.0005799999999998</v>
      </c>
      <c r="T5346">
        <v>-0.35022490000000001</v>
      </c>
      <c r="U5346">
        <v>0.13055419999999901</v>
      </c>
      <c r="V5346">
        <v>-7.9027449999999999E-2</v>
      </c>
      <c r="W5346">
        <v>7.6848659999999996E-4</v>
      </c>
      <c r="X5346">
        <v>0.99687210000000004</v>
      </c>
      <c r="Y5346">
        <v>-1.382747E-2</v>
      </c>
      <c r="Z5346">
        <v>-2.6551320000000002E-3</v>
      </c>
      <c r="AA5346">
        <v>0.99990089999999998</v>
      </c>
      <c r="AB5346">
        <v>27</v>
      </c>
      <c r="AC5346">
        <v>0.79580000000004203</v>
      </c>
      <c r="AD5346">
        <v>-0.109501</v>
      </c>
      <c r="AE5346">
        <v>3.6709999999999299E-2</v>
      </c>
      <c r="AF5346">
        <v>-1.27711952685313E-2</v>
      </c>
      <c r="AG5346">
        <v>-0.109501</v>
      </c>
      <c r="AH5346">
        <v>0.781769858897994</v>
      </c>
      <c r="AI5346">
        <v>97.972385787693696</v>
      </c>
      <c r="AJ5346">
        <v>90.935915470180703</v>
      </c>
      <c r="AK5346">
        <v>0.78950470847929499</v>
      </c>
      <c r="AL5346">
        <v>89.955968954940403</v>
      </c>
      <c r="AM5346">
        <v>94.532667271636001</v>
      </c>
      <c r="AN5346">
        <v>0.99999995609178205</v>
      </c>
    </row>
    <row r="5347" spans="1:40" x14ac:dyDescent="0.3">
      <c r="A5347" t="str">
        <f>"20200111160609248"</f>
        <v>20200111160609248</v>
      </c>
      <c r="B5347" t="str">
        <f>"1578729969237469"</f>
        <v>1578729969237469</v>
      </c>
      <c r="C5347" t="s">
        <v>40</v>
      </c>
      <c r="D5347">
        <v>4.8435169999999896</v>
      </c>
      <c r="E5347">
        <v>0.52516090000000004</v>
      </c>
      <c r="F5347" t="s">
        <v>42</v>
      </c>
      <c r="G5347">
        <v>-335.61770000000001</v>
      </c>
      <c r="H5347">
        <v>1.0155970000000001</v>
      </c>
      <c r="I5347">
        <v>17.87566</v>
      </c>
      <c r="J5347">
        <v>-336.28890000000001</v>
      </c>
      <c r="K5347">
        <v>1.10959599999999</v>
      </c>
      <c r="L5347">
        <v>17.844179999999898</v>
      </c>
      <c r="M5347">
        <v>0.99951950000000001</v>
      </c>
      <c r="N5347">
        <v>0</v>
      </c>
      <c r="O5347">
        <v>2.9514889999999998E-2</v>
      </c>
      <c r="P5347">
        <v>0.99407610000000002</v>
      </c>
      <c r="Q5347">
        <v>-8.8216179999999998E-3</v>
      </c>
      <c r="R5347">
        <v>0.1083283</v>
      </c>
      <c r="S5347">
        <v>3.0004270000000002</v>
      </c>
      <c r="T5347">
        <v>-0.35105429999999999</v>
      </c>
      <c r="U5347">
        <v>0.132019</v>
      </c>
      <c r="V5347">
        <v>-7.8939040000000002E-2</v>
      </c>
      <c r="W5347">
        <v>6.9171589999999995E-4</v>
      </c>
      <c r="X5347">
        <v>0.99687919999999997</v>
      </c>
      <c r="Y5347">
        <v>-1.4552519999999999E-2</v>
      </c>
      <c r="Z5347">
        <v>-2.591089E-3</v>
      </c>
      <c r="AA5347">
        <v>0.99989070000000002</v>
      </c>
      <c r="AB5347">
        <v>27</v>
      </c>
      <c r="AC5347">
        <v>0.67119999999999802</v>
      </c>
      <c r="AD5347">
        <v>-9.3998999999999902E-2</v>
      </c>
      <c r="AE5347">
        <v>3.1480000000001902E-2</v>
      </c>
      <c r="AF5347">
        <v>-1.14312929814406E-2</v>
      </c>
      <c r="AG5347">
        <v>-9.3998999999999902E-2</v>
      </c>
      <c r="AH5347">
        <v>0.65894132302071695</v>
      </c>
      <c r="AI5347">
        <v>98.117352824987606</v>
      </c>
      <c r="AJ5347">
        <v>90.9938656552129</v>
      </c>
      <c r="AK5347">
        <v>0.66571026253507604</v>
      </c>
      <c r="AL5347">
        <v>89.960367594947201</v>
      </c>
      <c r="AM5347">
        <v>94.527585444867697</v>
      </c>
      <c r="AN5347">
        <v>0.99999999494982394</v>
      </c>
    </row>
    <row r="5348" spans="1:40" x14ac:dyDescent="0.3">
      <c r="A5348" t="str">
        <f>"20200111160609258"</f>
        <v>20200111160609258</v>
      </c>
      <c r="B5348" t="str">
        <f>"1578729969247229"</f>
        <v>1578729969247229</v>
      </c>
      <c r="C5348" t="s">
        <v>40</v>
      </c>
      <c r="D5348">
        <v>5.1858399999999998</v>
      </c>
      <c r="E5348">
        <v>0.52516090000000004</v>
      </c>
      <c r="F5348" t="s">
        <v>42</v>
      </c>
      <c r="G5348">
        <v>-335.38440000000003</v>
      </c>
      <c r="H5348">
        <v>1.0039910000000001</v>
      </c>
      <c r="I5348">
        <v>17.884209999999999</v>
      </c>
      <c r="J5348">
        <v>-336.14690000000002</v>
      </c>
      <c r="K5348">
        <v>1.1096109999999999</v>
      </c>
      <c r="L5348">
        <v>17.848109999999998</v>
      </c>
      <c r="M5348">
        <v>0.9995269</v>
      </c>
      <c r="N5348">
        <v>0</v>
      </c>
      <c r="O5348">
        <v>2.9267749999999999E-2</v>
      </c>
      <c r="P5348">
        <v>0.9940696</v>
      </c>
      <c r="Q5348">
        <v>-9.2992690000000006E-3</v>
      </c>
      <c r="R5348">
        <v>0.10834969999999999</v>
      </c>
      <c r="S5348">
        <v>3.0001829999999998</v>
      </c>
      <c r="T5348">
        <v>-0.35019869999999997</v>
      </c>
      <c r="U5348">
        <v>0.13391110000000001</v>
      </c>
      <c r="V5348">
        <v>-7.9207650000000004E-2</v>
      </c>
      <c r="W5348">
        <v>2.163093E-4</v>
      </c>
      <c r="X5348">
        <v>0.99685809999999997</v>
      </c>
      <c r="Y5348">
        <v>-1.542461E-2</v>
      </c>
      <c r="Z5348">
        <v>-2.5055619999999998E-3</v>
      </c>
      <c r="AA5348">
        <v>0.99987789999999999</v>
      </c>
      <c r="AB5348">
        <v>27</v>
      </c>
      <c r="AC5348">
        <v>0.76249999999998797</v>
      </c>
      <c r="AD5348">
        <v>-0.10562000000000001</v>
      </c>
      <c r="AE5348">
        <v>3.6099999999997502E-2</v>
      </c>
      <c r="AF5348">
        <v>-1.3508270104273801E-2</v>
      </c>
      <c r="AG5348">
        <v>-0.10562000000000001</v>
      </c>
      <c r="AH5348">
        <v>0.74889287937017301</v>
      </c>
      <c r="AI5348">
        <v>98.026466629786299</v>
      </c>
      <c r="AJ5348">
        <v>91.033369343870206</v>
      </c>
      <c r="AK5348">
        <v>0.75642488228016302</v>
      </c>
      <c r="AL5348">
        <v>89.987606389758895</v>
      </c>
      <c r="AM5348">
        <v>94.543023071593595</v>
      </c>
      <c r="AN5348">
        <v>0.999999985071922</v>
      </c>
    </row>
    <row r="5349" spans="1:40" x14ac:dyDescent="0.3">
      <c r="A5349" t="str">
        <f>"20200111160609277"</f>
        <v>20200111160609277</v>
      </c>
      <c r="B5349" t="str">
        <f>"1578729969267725"</f>
        <v>1578729969267725</v>
      </c>
      <c r="C5349" t="s">
        <v>40</v>
      </c>
      <c r="D5349">
        <v>4.9253479999999996</v>
      </c>
      <c r="E5349">
        <v>0.52474160000000003</v>
      </c>
      <c r="F5349" t="s">
        <v>42</v>
      </c>
      <c r="G5349">
        <v>-335.37699999999899</v>
      </c>
      <c r="H5349">
        <v>1.0193430000000001</v>
      </c>
      <c r="I5349">
        <v>17.882159999999999</v>
      </c>
      <c r="J5349">
        <v>-335.92959999999999</v>
      </c>
      <c r="K5349">
        <v>1.1096269999999999</v>
      </c>
      <c r="L5349">
        <v>17.85406</v>
      </c>
      <c r="M5349">
        <v>0.99953729999999996</v>
      </c>
      <c r="N5349">
        <v>0</v>
      </c>
      <c r="O5349">
        <v>2.8904949999999999E-2</v>
      </c>
      <c r="P5349">
        <v>0.99403799999999998</v>
      </c>
      <c r="Q5349">
        <v>-1.013935E-2</v>
      </c>
      <c r="R5349">
        <v>0.1085633</v>
      </c>
      <c r="S5349">
        <v>3</v>
      </c>
      <c r="T5349">
        <v>-0.35163680000000003</v>
      </c>
      <c r="U5349">
        <v>0.13397220000000001</v>
      </c>
      <c r="V5349">
        <v>-7.9785140000000004E-2</v>
      </c>
      <c r="W5349">
        <v>-6.1944270000000002E-4</v>
      </c>
      <c r="X5349">
        <v>0.99681189999999997</v>
      </c>
      <c r="Y5349">
        <v>-1.5806250000000001E-2</v>
      </c>
      <c r="Z5349">
        <v>-2.451319E-3</v>
      </c>
      <c r="AA5349">
        <v>0.99987210000000004</v>
      </c>
      <c r="AB5349">
        <v>27</v>
      </c>
      <c r="AC5349">
        <v>0.55260000000003995</v>
      </c>
      <c r="AD5349">
        <v>-9.0284000000000003E-2</v>
      </c>
      <c r="AE5349">
        <v>2.8099999999998401E-2</v>
      </c>
      <c r="AF5349">
        <v>-1.1800486303307701E-2</v>
      </c>
      <c r="AG5349">
        <v>-9.0284000000000003E-2</v>
      </c>
      <c r="AH5349">
        <v>0.53883523519309295</v>
      </c>
      <c r="AI5349">
        <v>99.509543069674706</v>
      </c>
      <c r="AJ5349">
        <v>91.254576459419695</v>
      </c>
      <c r="AK5349">
        <v>0.54647402757916097</v>
      </c>
      <c r="AL5349">
        <v>90.035491454341397</v>
      </c>
      <c r="AM5349">
        <v>94.576216529961698</v>
      </c>
      <c r="AN5349">
        <v>1.00000000812784</v>
      </c>
    </row>
    <row r="5350" spans="1:40" x14ac:dyDescent="0.3">
      <c r="A5350" t="str">
        <f>"20200111160609290"</f>
        <v>20200111160609290</v>
      </c>
      <c r="B5350" t="str">
        <f>"1578729969287246"</f>
        <v>1578729969287246</v>
      </c>
      <c r="C5350" t="s">
        <v>40</v>
      </c>
      <c r="D5350">
        <v>4.8751369999999996</v>
      </c>
      <c r="E5350">
        <v>0.52444609999999903</v>
      </c>
      <c r="F5350" t="s">
        <v>42</v>
      </c>
      <c r="G5350">
        <v>-335.13869999999997</v>
      </c>
      <c r="H5350">
        <v>1.0173490000000001</v>
      </c>
      <c r="I5350">
        <v>17.890339999999998</v>
      </c>
      <c r="J5350">
        <v>-335.78530000000001</v>
      </c>
      <c r="K5350">
        <v>1.1096360000000001</v>
      </c>
      <c r="L5350">
        <v>17.858000000000001</v>
      </c>
      <c r="M5350">
        <v>0.99954399999999999</v>
      </c>
      <c r="N5350">
        <v>0</v>
      </c>
      <c r="O5350">
        <v>2.867097E-2</v>
      </c>
      <c r="P5350">
        <v>0.99400279999999996</v>
      </c>
      <c r="Q5350">
        <v>-1.079951E-2</v>
      </c>
      <c r="R5350">
        <v>0.1088204</v>
      </c>
      <c r="S5350">
        <v>2.9993590000000001</v>
      </c>
      <c r="T5350">
        <v>-0.34990729999999998</v>
      </c>
      <c r="U5350">
        <v>0.13787839999999901</v>
      </c>
      <c r="V5350">
        <v>-8.0276559999999997E-2</v>
      </c>
      <c r="W5350">
        <v>-1.2761960000000001E-3</v>
      </c>
      <c r="X5350">
        <v>0.99677179999999999</v>
      </c>
      <c r="Y5350">
        <v>-1.7336569999999999E-2</v>
      </c>
      <c r="Z5350">
        <v>-2.3236849999999998E-3</v>
      </c>
      <c r="AA5350">
        <v>0.99984700000000004</v>
      </c>
      <c r="AB5350">
        <v>27</v>
      </c>
      <c r="AC5350">
        <v>0.64660000000003404</v>
      </c>
      <c r="AD5350">
        <v>-9.2286999999999994E-2</v>
      </c>
      <c r="AE5350">
        <v>3.2339999999997801E-2</v>
      </c>
      <c r="AF5350">
        <v>-1.35126450765679E-2</v>
      </c>
      <c r="AG5350">
        <v>-9.2286999999999994E-2</v>
      </c>
      <c r="AH5350">
        <v>0.63437097675272702</v>
      </c>
      <c r="AI5350">
        <v>98.275355817658493</v>
      </c>
      <c r="AJ5350">
        <v>91.220264638275594</v>
      </c>
      <c r="AK5350">
        <v>0.64119109327264801</v>
      </c>
      <c r="AL5350">
        <v>90.073120665355901</v>
      </c>
      <c r="AM5350">
        <v>94.604466397740595</v>
      </c>
      <c r="AN5350">
        <v>0.99999998801845102</v>
      </c>
    </row>
    <row r="5351" spans="1:40" x14ac:dyDescent="0.3">
      <c r="A5351" t="str">
        <f>"20200111160609301"</f>
        <v>20200111160609301</v>
      </c>
      <c r="B5351" t="str">
        <f>"1578729969297982"</f>
        <v>1578729969297982</v>
      </c>
      <c r="C5351" t="s">
        <v>40</v>
      </c>
      <c r="D5351">
        <v>4.9734400000000001</v>
      </c>
      <c r="E5351">
        <v>0.52442069999999996</v>
      </c>
      <c r="F5351" t="s">
        <v>42</v>
      </c>
      <c r="G5351">
        <v>-334.904</v>
      </c>
      <c r="H5351">
        <v>1.006985</v>
      </c>
      <c r="I5351">
        <v>17.89913</v>
      </c>
      <c r="J5351">
        <v>-335.63650000000001</v>
      </c>
      <c r="K5351">
        <v>1.1096410000000001</v>
      </c>
      <c r="L5351">
        <v>17.861999999999998</v>
      </c>
      <c r="M5351">
        <v>0.99955079999999996</v>
      </c>
      <c r="N5351">
        <v>0</v>
      </c>
      <c r="O5351">
        <v>2.8433739999999999E-2</v>
      </c>
      <c r="P5351">
        <v>0.99399700000000002</v>
      </c>
      <c r="Q5351">
        <v>-1.1107840000000001E-2</v>
      </c>
      <c r="R5351">
        <v>0.1088433</v>
      </c>
      <c r="S5351">
        <v>2.99884</v>
      </c>
      <c r="T5351">
        <v>-0.34923169999999998</v>
      </c>
      <c r="U5351">
        <v>0.1408691</v>
      </c>
      <c r="V5351">
        <v>-8.0536049999999998E-2</v>
      </c>
      <c r="W5351">
        <v>-1.58054299999999E-3</v>
      </c>
      <c r="X5351">
        <v>0.99675040000000004</v>
      </c>
      <c r="Y5351">
        <v>-1.8566610000000001E-2</v>
      </c>
      <c r="Z5351">
        <v>-2.2207170000000001E-3</v>
      </c>
      <c r="AA5351">
        <v>0.99982519999999997</v>
      </c>
      <c r="AB5351">
        <v>27</v>
      </c>
      <c r="AC5351">
        <v>0.73250000000001503</v>
      </c>
      <c r="AD5351">
        <v>-0.102655999999999</v>
      </c>
      <c r="AE5351">
        <v>3.7129999999997602E-2</v>
      </c>
      <c r="AF5351">
        <v>-1.5973414821003201E-2</v>
      </c>
      <c r="AG5351">
        <v>-0.102655999999999</v>
      </c>
      <c r="AH5351">
        <v>0.71917089598665596</v>
      </c>
      <c r="AI5351">
        <v>98.121669101747003</v>
      </c>
      <c r="AJ5351">
        <v>91.272380188600806</v>
      </c>
      <c r="AK5351">
        <v>0.72663621018449998</v>
      </c>
      <c r="AL5351">
        <v>90.090558484865895</v>
      </c>
      <c r="AM5351">
        <v>94.619384544964504</v>
      </c>
      <c r="AN5351">
        <v>0.99999995668296704</v>
      </c>
    </row>
    <row r="5352" spans="1:40" x14ac:dyDescent="0.3">
      <c r="A5352" t="str">
        <f>"20200111160609324"</f>
        <v>20200111160609324</v>
      </c>
      <c r="B5352" t="str">
        <f>"1578729969317502"</f>
        <v>1578729969317502</v>
      </c>
      <c r="C5352" t="s">
        <v>40</v>
      </c>
      <c r="D5352">
        <v>4.9466549999999998</v>
      </c>
      <c r="E5352">
        <v>0.52426099999999998</v>
      </c>
      <c r="F5352" t="s">
        <v>42</v>
      </c>
      <c r="G5352">
        <v>-334.89609999999999</v>
      </c>
      <c r="H5352">
        <v>1.023401</v>
      </c>
      <c r="I5352">
        <v>17.896560000000001</v>
      </c>
      <c r="J5352">
        <v>-335.36959999999999</v>
      </c>
      <c r="K5352">
        <v>1.109648</v>
      </c>
      <c r="L5352">
        <v>17.869139999999899</v>
      </c>
      <c r="M5352">
        <v>0.99956239999999996</v>
      </c>
      <c r="N5352">
        <v>0</v>
      </c>
      <c r="O5352">
        <v>2.8015290000000002E-2</v>
      </c>
      <c r="P5352">
        <v>0.99394039999999995</v>
      </c>
      <c r="Q5352">
        <v>-1.1248889999999999E-2</v>
      </c>
      <c r="R5352">
        <v>0.1093445</v>
      </c>
      <c r="S5352">
        <v>2.9987789999999999</v>
      </c>
      <c r="T5352">
        <v>-0.3492422</v>
      </c>
      <c r="U5352">
        <v>0.14108280000000001</v>
      </c>
      <c r="V5352">
        <v>-8.1456139999999996E-2</v>
      </c>
      <c r="W5352">
        <v>-1.71323E-3</v>
      </c>
      <c r="X5352">
        <v>0.99667539999999999</v>
      </c>
      <c r="Y5352">
        <v>-1.9051100000000001E-2</v>
      </c>
      <c r="Z5352">
        <v>-2.1442089999999998E-3</v>
      </c>
      <c r="AA5352">
        <v>0.99981620000000004</v>
      </c>
      <c r="AB5352">
        <v>27</v>
      </c>
      <c r="AC5352">
        <v>0.47350000000000098</v>
      </c>
      <c r="AD5352">
        <v>-8.6246999999999893E-2</v>
      </c>
      <c r="AE5352">
        <v>2.74200000000028E-2</v>
      </c>
      <c r="AF5352">
        <v>-1.36906894632867E-2</v>
      </c>
      <c r="AG5352">
        <v>-8.6246999999999893E-2</v>
      </c>
      <c r="AH5352">
        <v>0.45890767126313498</v>
      </c>
      <c r="AI5352">
        <v>100.63936885198601</v>
      </c>
      <c r="AJ5352">
        <v>91.708810250787195</v>
      </c>
      <c r="AK5352">
        <v>0.46714262354353098</v>
      </c>
      <c r="AL5352">
        <v>90.098160901711196</v>
      </c>
      <c r="AM5352">
        <v>94.672276743244694</v>
      </c>
      <c r="AN5352">
        <v>0.99999994543294402</v>
      </c>
    </row>
    <row r="5353" spans="1:40" x14ac:dyDescent="0.3">
      <c r="A5353" t="str">
        <f>"20200111160609335"</f>
        <v>20200111160609335</v>
      </c>
      <c r="B5353" t="str">
        <f>"1578729969327262"</f>
        <v>1578729969327262</v>
      </c>
      <c r="C5353" t="s">
        <v>40</v>
      </c>
      <c r="D5353">
        <v>4.8528979999999997</v>
      </c>
      <c r="E5353">
        <v>0.52419850000000001</v>
      </c>
      <c r="F5353" t="s">
        <v>42</v>
      </c>
      <c r="G5353">
        <v>-334.4271</v>
      </c>
      <c r="H5353">
        <v>0.99971149999999998</v>
      </c>
      <c r="I5353">
        <v>17.913920000000001</v>
      </c>
      <c r="J5353">
        <v>-335.2253</v>
      </c>
      <c r="K5353">
        <v>1.1096459999999999</v>
      </c>
      <c r="L5353">
        <v>17.872959999999999</v>
      </c>
      <c r="M5353">
        <v>0.99956849999999997</v>
      </c>
      <c r="N5353">
        <v>0</v>
      </c>
      <c r="O5353">
        <v>2.779123E-2</v>
      </c>
      <c r="P5353">
        <v>0.99392159999999996</v>
      </c>
      <c r="Q5353">
        <v>-1.113609E-2</v>
      </c>
      <c r="R5353">
        <v>0.109526</v>
      </c>
      <c r="S5353">
        <v>2.9985050000000002</v>
      </c>
      <c r="T5353">
        <v>-0.34974339999999998</v>
      </c>
      <c r="U5353">
        <v>0.14385990000000001</v>
      </c>
      <c r="V5353">
        <v>-8.186156E-2</v>
      </c>
      <c r="W5353">
        <v>-1.5953650000000001E-3</v>
      </c>
      <c r="X5353">
        <v>0.99664240000000004</v>
      </c>
      <c r="Y5353">
        <v>-2.0194360000000001E-2</v>
      </c>
      <c r="Z5353">
        <v>-2.054976E-3</v>
      </c>
      <c r="AA5353">
        <v>0.99979390000000001</v>
      </c>
      <c r="AB5353">
        <v>27</v>
      </c>
      <c r="AC5353">
        <v>0.79820000000000801</v>
      </c>
      <c r="AD5353">
        <v>-0.10993449999999901</v>
      </c>
      <c r="AE5353">
        <v>4.0960000000001801E-2</v>
      </c>
      <c r="AF5353">
        <v>-1.8411876806060899E-2</v>
      </c>
      <c r="AG5353">
        <v>-0.10993449999999901</v>
      </c>
      <c r="AH5353">
        <v>0.78419373964418004</v>
      </c>
      <c r="AI5353">
        <v>97.978000621781803</v>
      </c>
      <c r="AJ5353">
        <v>91.344985304335196</v>
      </c>
      <c r="AK5353">
        <v>0.79207601453073695</v>
      </c>
      <c r="AL5353">
        <v>90.091407723089304</v>
      </c>
      <c r="AM5353">
        <v>94.695582452143</v>
      </c>
      <c r="AN5353">
        <v>0.99999996683643699</v>
      </c>
    </row>
    <row r="5354" spans="1:40" x14ac:dyDescent="0.3">
      <c r="A5354" t="str">
        <f>"20200111160609347"</f>
        <v>20200111160609347</v>
      </c>
      <c r="B5354" t="str">
        <f>"1578729969337746"</f>
        <v>1578729969337746</v>
      </c>
      <c r="C5354" t="s">
        <v>40</v>
      </c>
      <c r="D5354">
        <v>4.8887320000000001</v>
      </c>
      <c r="E5354">
        <v>0.52410239999999997</v>
      </c>
      <c r="F5354" t="s">
        <v>42</v>
      </c>
      <c r="G5354">
        <v>-334.41950000000003</v>
      </c>
      <c r="H5354">
        <v>1.015574</v>
      </c>
      <c r="I5354">
        <v>17.911490000000001</v>
      </c>
      <c r="J5354">
        <v>-335.0908</v>
      </c>
      <c r="K5354">
        <v>1.109645</v>
      </c>
      <c r="L5354">
        <v>17.8765</v>
      </c>
      <c r="M5354">
        <v>0.99957439999999997</v>
      </c>
      <c r="N5354">
        <v>0</v>
      </c>
      <c r="O5354">
        <v>2.758176E-2</v>
      </c>
      <c r="P5354">
        <v>0.99390440000000002</v>
      </c>
      <c r="Q5354">
        <v>-1.1204860000000001E-2</v>
      </c>
      <c r="R5354">
        <v>0.10967590000000001</v>
      </c>
      <c r="S5354">
        <v>2.9984440000000001</v>
      </c>
      <c r="T5354">
        <v>-0.35004220000000003</v>
      </c>
      <c r="U5354">
        <v>0.1450195</v>
      </c>
      <c r="V5354">
        <v>-8.2220340000000003E-2</v>
      </c>
      <c r="W5354">
        <v>-1.6593669999999999E-3</v>
      </c>
      <c r="X5354">
        <v>0.99661279999999997</v>
      </c>
      <c r="Y5354">
        <v>-2.07853E-2</v>
      </c>
      <c r="Z5354">
        <v>-1.9980380000000002E-3</v>
      </c>
      <c r="AA5354">
        <v>0.99978199999999995</v>
      </c>
      <c r="AB5354">
        <v>27</v>
      </c>
      <c r="AC5354">
        <v>0.67129999999997303</v>
      </c>
      <c r="AD5354">
        <v>-9.4071000000000002E-2</v>
      </c>
      <c r="AE5354">
        <v>3.49900000000005E-2</v>
      </c>
      <c r="AF5354">
        <v>-1.61440516317072E-2</v>
      </c>
      <c r="AG5354">
        <v>-9.4071000000000002E-2</v>
      </c>
      <c r="AH5354">
        <v>0.65910190242323097</v>
      </c>
      <c r="AI5354">
        <v>98.120337366756601</v>
      </c>
      <c r="AJ5354">
        <v>91.4031231013427</v>
      </c>
      <c r="AK5354">
        <v>0.66597695247058597</v>
      </c>
      <c r="AL5354">
        <v>90.095074768874994</v>
      </c>
      <c r="AM5354">
        <v>94.7162089003359</v>
      </c>
      <c r="AN5354">
        <v>1.0000000054661899</v>
      </c>
    </row>
    <row r="5355" spans="1:40" x14ac:dyDescent="0.3">
      <c r="A5355" t="str">
        <f>"20200111160609360"</f>
        <v>20200111160609360</v>
      </c>
      <c r="B5355" t="str">
        <f>"1578729969357266"</f>
        <v>1578729969357266</v>
      </c>
      <c r="C5355" t="s">
        <v>40</v>
      </c>
      <c r="D5355">
        <v>6.1287159999999998</v>
      </c>
      <c r="E5355">
        <v>0.52406019999999998</v>
      </c>
      <c r="F5355" t="s">
        <v>42</v>
      </c>
      <c r="G5355">
        <v>-334.18439999999998</v>
      </c>
      <c r="H5355">
        <v>1.0037</v>
      </c>
      <c r="I5355">
        <v>17.920590000000001</v>
      </c>
      <c r="J5355">
        <v>-334.93720000000002</v>
      </c>
      <c r="K5355">
        <v>1.109642</v>
      </c>
      <c r="L5355">
        <v>17.880459999999999</v>
      </c>
      <c r="M5355">
        <v>0.99958089999999999</v>
      </c>
      <c r="N5355">
        <v>0</v>
      </c>
      <c r="O5355">
        <v>2.7343010000000001E-2</v>
      </c>
      <c r="P5355">
        <v>0.99392749999999996</v>
      </c>
      <c r="Q5355">
        <v>-1.115784E-2</v>
      </c>
      <c r="R5355">
        <v>0.1094715</v>
      </c>
      <c r="S5355">
        <v>2.998291</v>
      </c>
      <c r="T5355">
        <v>-0.35043190000000002</v>
      </c>
      <c r="U5355">
        <v>0.1462097</v>
      </c>
      <c r="V5355">
        <v>-8.2253610000000005E-2</v>
      </c>
      <c r="W5355">
        <v>-1.606768E-3</v>
      </c>
      <c r="X5355">
        <v>0.9966102</v>
      </c>
      <c r="Y5355">
        <v>-2.141668E-2</v>
      </c>
      <c r="Z5355">
        <v>-1.9357980000000001E-3</v>
      </c>
      <c r="AA5355">
        <v>0.99976869999999995</v>
      </c>
      <c r="AB5355">
        <v>27</v>
      </c>
      <c r="AC5355">
        <v>0.752800000000036</v>
      </c>
      <c r="AD5355">
        <v>-0.105941999999999</v>
      </c>
      <c r="AE5355">
        <v>4.0130000000001297E-2</v>
      </c>
      <c r="AF5355">
        <v>-1.9152013441274901E-2</v>
      </c>
      <c r="AG5355">
        <v>-0.105941999999999</v>
      </c>
      <c r="AH5355">
        <v>0.73902092339424297</v>
      </c>
      <c r="AI5355">
        <v>98.155327567910604</v>
      </c>
      <c r="AJ5355">
        <v>91.484510039434895</v>
      </c>
      <c r="AK5355">
        <v>0.74682155311515697</v>
      </c>
      <c r="AL5355">
        <v>90.0920610587401</v>
      </c>
      <c r="AM5355">
        <v>94.718120927387304</v>
      </c>
      <c r="AN5355">
        <v>1.00000006440273</v>
      </c>
    </row>
    <row r="5356" spans="1:40" x14ac:dyDescent="0.3">
      <c r="A5356" t="str">
        <f>"20200111160609371"</f>
        <v>20200111160609371</v>
      </c>
      <c r="B5356" t="str">
        <f>"1578729969368002"</f>
        <v>1578729969368002</v>
      </c>
      <c r="C5356" t="s">
        <v>40</v>
      </c>
      <c r="D5356">
        <v>4.922504</v>
      </c>
      <c r="E5356">
        <v>0.52516809999999903</v>
      </c>
      <c r="F5356" t="s">
        <v>42</v>
      </c>
      <c r="G5356">
        <v>-334.17630000000003</v>
      </c>
      <c r="H5356">
        <v>1.020669</v>
      </c>
      <c r="I5356">
        <v>17.917449999999999</v>
      </c>
      <c r="J5356">
        <v>-334.79790000000003</v>
      </c>
      <c r="K5356">
        <v>1.1096410000000001</v>
      </c>
      <c r="L5356">
        <v>17.884060000000002</v>
      </c>
      <c r="M5356">
        <v>0.9995868</v>
      </c>
      <c r="N5356">
        <v>0</v>
      </c>
      <c r="O5356">
        <v>2.7125300000000001E-2</v>
      </c>
      <c r="P5356">
        <v>0.99393149999999997</v>
      </c>
      <c r="Q5356">
        <v>-1.150583E-2</v>
      </c>
      <c r="R5356">
        <v>0.1093992</v>
      </c>
      <c r="S5356">
        <v>2.998291</v>
      </c>
      <c r="T5356">
        <v>-0.35055180000000002</v>
      </c>
      <c r="U5356">
        <v>0.14614869999999999</v>
      </c>
      <c r="V5356">
        <v>-8.2398970000000002E-2</v>
      </c>
      <c r="W5356">
        <v>-1.9495249999999999E-3</v>
      </c>
      <c r="X5356">
        <v>0.99659750000000003</v>
      </c>
      <c r="Y5356">
        <v>-2.1611350000000001E-2</v>
      </c>
      <c r="Z5356">
        <v>-1.8997829999999999E-3</v>
      </c>
      <c r="AA5356">
        <v>0.9997646</v>
      </c>
      <c r="AB5356">
        <v>27</v>
      </c>
      <c r="AC5356">
        <v>0.62160000000000004</v>
      </c>
      <c r="AD5356">
        <v>-8.8971999999999801E-2</v>
      </c>
      <c r="AE5356">
        <v>3.3389999999997103E-2</v>
      </c>
      <c r="AF5356">
        <v>-1.6185226169603498E-2</v>
      </c>
      <c r="AG5356">
        <v>-8.8971999999999801E-2</v>
      </c>
      <c r="AH5356">
        <v>0.60981940435978599</v>
      </c>
      <c r="AI5356">
        <v>98.297943793801196</v>
      </c>
      <c r="AJ5356">
        <v>91.520331243674093</v>
      </c>
      <c r="AK5356">
        <v>0.61648818663773697</v>
      </c>
      <c r="AL5356">
        <v>90.111699627102595</v>
      </c>
      <c r="AM5356">
        <v>94.726481088568704</v>
      </c>
      <c r="AN5356">
        <v>0.99999998395551803</v>
      </c>
    </row>
    <row r="5357" spans="1:40" x14ac:dyDescent="0.3">
      <c r="A5357" t="str">
        <f>"20200111160609389"</f>
        <v>20200111160609389</v>
      </c>
      <c r="B5357" t="str">
        <f>"1578729969377761"</f>
        <v>1578729969377761</v>
      </c>
      <c r="C5357" t="s">
        <v>40</v>
      </c>
      <c r="D5357">
        <v>5.1145649999999998</v>
      </c>
      <c r="E5357">
        <v>0.5274664</v>
      </c>
      <c r="F5357" t="s">
        <v>91</v>
      </c>
      <c r="G5357">
        <v>-276.00060000000002</v>
      </c>
      <c r="H5357">
        <v>3.3124790000000002</v>
      </c>
      <c r="I5357">
        <v>20.32198</v>
      </c>
      <c r="J5357">
        <v>-334.5872</v>
      </c>
      <c r="K5357">
        <v>1.1096379999999999</v>
      </c>
      <c r="L5357">
        <v>17.889399999999998</v>
      </c>
      <c r="M5357">
        <v>0.99959560000000003</v>
      </c>
      <c r="N5357">
        <v>0</v>
      </c>
      <c r="O5357">
        <v>2.6794490000000001E-2</v>
      </c>
      <c r="P5357">
        <v>0.99398450000000005</v>
      </c>
      <c r="Q5357">
        <v>-1.168868E-2</v>
      </c>
      <c r="R5357">
        <v>0.108895699999999</v>
      </c>
      <c r="S5357">
        <v>3.00589</v>
      </c>
      <c r="T5357">
        <v>0.1126156</v>
      </c>
      <c r="U5357">
        <v>0.1246338</v>
      </c>
      <c r="V5357">
        <v>-8.2223589999999999E-2</v>
      </c>
      <c r="W5357">
        <v>-2.1226159999999999E-3</v>
      </c>
      <c r="X5357">
        <v>0.99661169999999999</v>
      </c>
      <c r="Y5357">
        <v>-1.464852E-2</v>
      </c>
      <c r="Z5357">
        <v>7.2869929999999996E-4</v>
      </c>
      <c r="AA5357">
        <v>0.99989240000000001</v>
      </c>
      <c r="AB5357">
        <v>27</v>
      </c>
      <c r="AC5357">
        <v>58.586599999999898</v>
      </c>
      <c r="AD5357">
        <v>2.2028409999999998</v>
      </c>
      <c r="AE5357">
        <v>2.4325800000000002</v>
      </c>
      <c r="AF5357">
        <v>-0.86062267528383796</v>
      </c>
      <c r="AG5357">
        <v>2.2028409999999998</v>
      </c>
      <c r="AH5357">
        <v>58.548116649778002</v>
      </c>
      <c r="AI5357">
        <v>87.845526382310894</v>
      </c>
      <c r="AJ5357">
        <v>90.842153408375694</v>
      </c>
      <c r="AK5357">
        <v>58.5958628496629</v>
      </c>
      <c r="AL5357">
        <v>90.121617023276798</v>
      </c>
      <c r="AM5357">
        <v>94.716399663532101</v>
      </c>
      <c r="AN5357">
        <v>1.00000005241402</v>
      </c>
    </row>
    <row r="5358" spans="1:40" x14ac:dyDescent="0.3">
      <c r="A5358" t="str">
        <f>"20200111160609401"</f>
        <v>20200111160609401</v>
      </c>
      <c r="B5358" t="str">
        <f>"1578729969397282"</f>
        <v>1578729969397282</v>
      </c>
      <c r="C5358" t="s">
        <v>40</v>
      </c>
      <c r="D5358">
        <v>4.935899</v>
      </c>
      <c r="E5358">
        <v>0.52493579999999995</v>
      </c>
      <c r="F5358" t="s">
        <v>91</v>
      </c>
      <c r="G5358">
        <v>-276.54770000000002</v>
      </c>
      <c r="H5358">
        <v>1.54443</v>
      </c>
      <c r="I5358">
        <v>19.959489999999999</v>
      </c>
      <c r="J5358">
        <v>-334.4418</v>
      </c>
      <c r="K5358">
        <v>1.1096360000000001</v>
      </c>
      <c r="L5358">
        <v>17.8931</v>
      </c>
      <c r="M5358">
        <v>0.99960170000000004</v>
      </c>
      <c r="N5358">
        <v>0</v>
      </c>
      <c r="O5358">
        <v>2.656526E-2</v>
      </c>
      <c r="P5358">
        <v>0.99404349999999997</v>
      </c>
      <c r="Q5358">
        <v>-1.214236E-2</v>
      </c>
      <c r="R5358">
        <v>0.1083065</v>
      </c>
      <c r="S5358">
        <v>3.0066830000000002</v>
      </c>
      <c r="T5358">
        <v>2.2523999999999999E-2</v>
      </c>
      <c r="U5358">
        <v>0.1072388</v>
      </c>
      <c r="V5358">
        <v>-8.186185E-2</v>
      </c>
      <c r="W5358">
        <v>-2.5670649999999999E-3</v>
      </c>
      <c r="X5358">
        <v>0.99664039999999998</v>
      </c>
      <c r="Y5358">
        <v>-9.0824640000000002E-3</v>
      </c>
      <c r="Z5358">
        <v>1.64902E-4</v>
      </c>
      <c r="AA5358">
        <v>0.99995880000000004</v>
      </c>
      <c r="AB5358">
        <v>27</v>
      </c>
      <c r="AC5358">
        <v>57.894099999999902</v>
      </c>
      <c r="AD5358">
        <v>0.43479399999999901</v>
      </c>
      <c r="AE5358">
        <v>2.06638999999999</v>
      </c>
      <c r="AF5358">
        <v>-0.52758935393047202</v>
      </c>
      <c r="AG5358">
        <v>0.43479399999999901</v>
      </c>
      <c r="AH5358">
        <v>57.925299932030697</v>
      </c>
      <c r="AI5358">
        <v>89.569957166328393</v>
      </c>
      <c r="AJ5358">
        <v>90.521841189879495</v>
      </c>
      <c r="AK5358">
        <v>57.929334266540103</v>
      </c>
      <c r="AL5358">
        <v>90.147082148892594</v>
      </c>
      <c r="AM5358">
        <v>94.695608392892595</v>
      </c>
      <c r="AN5358">
        <v>1.00000001961014</v>
      </c>
    </row>
    <row r="5359" spans="1:40" x14ac:dyDescent="0.3">
      <c r="A5359" t="str">
        <f>"20200111160609412"</f>
        <v>20200111160609412</v>
      </c>
      <c r="B5359" t="str">
        <f>"1578729969407042"</f>
        <v>1578729969407042</v>
      </c>
      <c r="C5359" t="s">
        <v>40</v>
      </c>
      <c r="D5359">
        <v>4.9307019999999904</v>
      </c>
      <c r="E5359">
        <v>0.52504600000000001</v>
      </c>
      <c r="F5359" t="s">
        <v>44</v>
      </c>
      <c r="G5359">
        <v>-308.16000000000003</v>
      </c>
      <c r="H5359">
        <v>-0.05</v>
      </c>
      <c r="I5359">
        <v>19.02983</v>
      </c>
      <c r="J5359">
        <v>-334.30599999999998</v>
      </c>
      <c r="K5359">
        <v>1.1096379999999999</v>
      </c>
      <c r="L5359">
        <v>17.896450000000002</v>
      </c>
      <c r="M5359">
        <v>0.99960709999999997</v>
      </c>
      <c r="N5359">
        <v>0</v>
      </c>
      <c r="O5359">
        <v>2.6349580000000001E-2</v>
      </c>
      <c r="P5359">
        <v>0.99409930000000002</v>
      </c>
      <c r="Q5359">
        <v>-1.270667E-2</v>
      </c>
      <c r="R5359">
        <v>0.1077273</v>
      </c>
      <c r="S5359">
        <v>3.0022579999999999</v>
      </c>
      <c r="T5359">
        <v>-0.13246930000000001</v>
      </c>
      <c r="U5359">
        <v>0.1298523</v>
      </c>
      <c r="V5359">
        <v>-8.149721E-2</v>
      </c>
      <c r="W5359">
        <v>-3.11546E-3</v>
      </c>
      <c r="X5359">
        <v>0.99666869999999996</v>
      </c>
      <c r="Y5359">
        <v>-1.6879169999999999E-2</v>
      </c>
      <c r="Z5359">
        <v>-7.8928089999999896E-4</v>
      </c>
      <c r="AA5359">
        <v>0.9998572</v>
      </c>
      <c r="AB5359">
        <v>27</v>
      </c>
      <c r="AC5359">
        <v>26.145999999999901</v>
      </c>
      <c r="AD5359">
        <v>-1.1596379999999999</v>
      </c>
      <c r="AE5359">
        <v>1.1333799999999901</v>
      </c>
      <c r="AF5359">
        <v>-0.44314875743169801</v>
      </c>
      <c r="AG5359">
        <v>-1.1596379999999999</v>
      </c>
      <c r="AH5359">
        <v>26.115510051107702</v>
      </c>
      <c r="AI5359">
        <v>92.542136874044402</v>
      </c>
      <c r="AJ5359">
        <v>90.972147083590002</v>
      </c>
      <c r="AK5359">
        <v>26.144999643177801</v>
      </c>
      <c r="AL5359">
        <v>90.1785029981028</v>
      </c>
      <c r="AM5359">
        <v>94.674653342344499</v>
      </c>
      <c r="AN5359">
        <v>0.999999999444242</v>
      </c>
    </row>
    <row r="5360" spans="1:40" x14ac:dyDescent="0.3">
      <c r="A5360" t="str">
        <f>"20200111160609426"</f>
        <v>20200111160609426</v>
      </c>
      <c r="B5360" t="str">
        <f>"1578729969417778"</f>
        <v>1578729969417778</v>
      </c>
      <c r="C5360" t="s">
        <v>40</v>
      </c>
      <c r="D5360">
        <v>5.0964400000000003</v>
      </c>
      <c r="E5360">
        <v>0.52587869999999903</v>
      </c>
      <c r="F5360" t="s">
        <v>44</v>
      </c>
      <c r="G5360">
        <v>-314.12270000000001</v>
      </c>
      <c r="H5360">
        <v>-0.05</v>
      </c>
      <c r="I5360">
        <v>18.759509999999999</v>
      </c>
      <c r="J5360">
        <v>-334.13909999999998</v>
      </c>
      <c r="K5360">
        <v>1.10964</v>
      </c>
      <c r="L5360">
        <v>17.900569999999998</v>
      </c>
      <c r="M5360">
        <v>0.99961390000000006</v>
      </c>
      <c r="N5360">
        <v>0</v>
      </c>
      <c r="O5360">
        <v>2.608388E-2</v>
      </c>
      <c r="P5360">
        <v>0.99414550000000002</v>
      </c>
      <c r="Q5360">
        <v>-1.332646E-2</v>
      </c>
      <c r="R5360">
        <v>0.10722569999999999</v>
      </c>
      <c r="S5360">
        <v>3.001709</v>
      </c>
      <c r="T5360">
        <v>-0.17246439999999999</v>
      </c>
      <c r="U5360">
        <v>0.1283569</v>
      </c>
      <c r="V5360">
        <v>-8.1259890000000001E-2</v>
      </c>
      <c r="W5360">
        <v>-3.7067229999999999E-3</v>
      </c>
      <c r="X5360">
        <v>0.99668599999999996</v>
      </c>
      <c r="Y5360">
        <v>-1.6661949999999998E-2</v>
      </c>
      <c r="Z5360">
        <v>-1.018428E-3</v>
      </c>
      <c r="AA5360">
        <v>0.99986059999999999</v>
      </c>
      <c r="AB5360">
        <v>27</v>
      </c>
      <c r="AC5360">
        <v>20.016399999999901</v>
      </c>
      <c r="AD5360">
        <v>-1.15964</v>
      </c>
      <c r="AE5360">
        <v>0.85894000000000004</v>
      </c>
      <c r="AF5360">
        <v>-0.335394762622369</v>
      </c>
      <c r="AG5360">
        <v>-1.15964</v>
      </c>
      <c r="AH5360">
        <v>19.965106638720702</v>
      </c>
      <c r="AI5360">
        <v>93.323727221481505</v>
      </c>
      <c r="AJ5360">
        <v>90.962423958978306</v>
      </c>
      <c r="AK5360">
        <v>20.001568380301698</v>
      </c>
      <c r="AL5360">
        <v>90.212380081525495</v>
      </c>
      <c r="AM5360">
        <v>94.661020262973295</v>
      </c>
      <c r="AN5360">
        <v>0.99999994605710296</v>
      </c>
    </row>
    <row r="5361" spans="1:40" x14ac:dyDescent="0.3">
      <c r="A5361" t="str">
        <f>"20200111160609437"</f>
        <v>20200111160609437</v>
      </c>
      <c r="B5361" t="str">
        <f>"1578729969427537"</f>
        <v>1578729969427537</v>
      </c>
      <c r="C5361" t="s">
        <v>40</v>
      </c>
      <c r="D5361">
        <v>4.9513020000000001</v>
      </c>
      <c r="E5361">
        <v>0.52577879999999999</v>
      </c>
      <c r="F5361" t="s">
        <v>44</v>
      </c>
      <c r="G5361">
        <v>-316.72550000000001</v>
      </c>
      <c r="H5361">
        <v>-0.05</v>
      </c>
      <c r="I5361">
        <v>18.601939999999999</v>
      </c>
      <c r="J5361">
        <v>-334.00110000000001</v>
      </c>
      <c r="K5361">
        <v>1.1096520000000001</v>
      </c>
      <c r="L5361">
        <v>17.903960000000001</v>
      </c>
      <c r="M5361">
        <v>0.99961909999999998</v>
      </c>
      <c r="N5361">
        <v>0</v>
      </c>
      <c r="O5361">
        <v>2.5863319999999999E-2</v>
      </c>
      <c r="P5361">
        <v>0.99420399999999998</v>
      </c>
      <c r="Q5361">
        <v>-1.341034E-2</v>
      </c>
      <c r="R5361">
        <v>0.10667119999999999</v>
      </c>
      <c r="S5361">
        <v>3.0019529999999999</v>
      </c>
      <c r="T5361">
        <v>-0.19991220000000001</v>
      </c>
      <c r="U5361">
        <v>0.12091059999999999</v>
      </c>
      <c r="V5361">
        <v>-8.0923880000000004E-2</v>
      </c>
      <c r="W5361">
        <v>-3.744149E-3</v>
      </c>
      <c r="X5361">
        <v>0.99671330000000002</v>
      </c>
      <c r="Y5361">
        <v>-1.4412970000000001E-2</v>
      </c>
      <c r="Z5361">
        <v>-1.240271E-3</v>
      </c>
      <c r="AA5361">
        <v>0.99989530000000004</v>
      </c>
      <c r="AB5361">
        <v>27</v>
      </c>
      <c r="AC5361">
        <v>17.275599999999901</v>
      </c>
      <c r="AD5361">
        <v>-1.1596519999999999</v>
      </c>
      <c r="AE5361">
        <v>0.69797999999999705</v>
      </c>
      <c r="AF5361">
        <v>-0.24979765596609799</v>
      </c>
      <c r="AG5361">
        <v>-1.1596519999999999</v>
      </c>
      <c r="AH5361">
        <v>17.2104499647801</v>
      </c>
      <c r="AI5361">
        <v>93.854397673249494</v>
      </c>
      <c r="AJ5361">
        <v>90.831549816450405</v>
      </c>
      <c r="AK5361">
        <v>17.2512834195091</v>
      </c>
      <c r="AL5361">
        <v>90.2145244265608</v>
      </c>
      <c r="AM5361">
        <v>94.641704735836001</v>
      </c>
      <c r="AN5361">
        <v>1.0000000477014299</v>
      </c>
    </row>
    <row r="5362" spans="1:40" x14ac:dyDescent="0.3">
      <c r="A5362" t="str">
        <f>"20200111160609449"</f>
        <v>20200111160609449</v>
      </c>
      <c r="B5362" t="str">
        <f>"1578729969437298"</f>
        <v>1578729969437298</v>
      </c>
      <c r="C5362" t="s">
        <v>40</v>
      </c>
      <c r="D5362">
        <v>4.979622</v>
      </c>
      <c r="E5362">
        <v>0.52580930000000003</v>
      </c>
      <c r="F5362" t="s">
        <v>44</v>
      </c>
      <c r="G5362">
        <v>-318.15980000000002</v>
      </c>
      <c r="H5362">
        <v>-0.05</v>
      </c>
      <c r="I5362">
        <v>18.540310000000002</v>
      </c>
      <c r="J5362">
        <v>-333.86380000000003</v>
      </c>
      <c r="K5362">
        <v>1.1096649999999999</v>
      </c>
      <c r="L5362">
        <v>17.907260000000001</v>
      </c>
      <c r="M5362">
        <v>0.99962419999999996</v>
      </c>
      <c r="N5362">
        <v>0</v>
      </c>
      <c r="O5362">
        <v>2.5642180000000001E-2</v>
      </c>
      <c r="P5362">
        <v>0.99425540000000001</v>
      </c>
      <c r="Q5362">
        <v>-1.3745820000000001E-2</v>
      </c>
      <c r="R5362">
        <v>0.1061481</v>
      </c>
      <c r="S5362">
        <v>3.0015869999999998</v>
      </c>
      <c r="T5362">
        <v>-0.21972920000000001</v>
      </c>
      <c r="U5362">
        <v>0.120575</v>
      </c>
      <c r="V5362">
        <v>-8.0620570000000003E-2</v>
      </c>
      <c r="W5362">
        <v>-4.0144630000000002E-3</v>
      </c>
      <c r="X5362">
        <v>0.99673679999999998</v>
      </c>
      <c r="Y5362">
        <v>-1.4531779999999999E-2</v>
      </c>
      <c r="Z5362">
        <v>-1.3425799999999999E-3</v>
      </c>
      <c r="AA5362">
        <v>0.99989349999999999</v>
      </c>
      <c r="AB5362">
        <v>27</v>
      </c>
      <c r="AC5362">
        <v>15.704000000000001</v>
      </c>
      <c r="AD5362">
        <v>-1.1596649999999999</v>
      </c>
      <c r="AE5362">
        <v>0.63305</v>
      </c>
      <c r="AF5362">
        <v>-0.22889196579276699</v>
      </c>
      <c r="AG5362">
        <v>-1.1596649999999999</v>
      </c>
      <c r="AH5362">
        <v>15.629975601523199</v>
      </c>
      <c r="AI5362">
        <v>94.242828412292198</v>
      </c>
      <c r="AJ5362">
        <v>90.839003626634096</v>
      </c>
      <c r="AK5362">
        <v>15.6746085038332</v>
      </c>
      <c r="AL5362">
        <v>90.230012400044004</v>
      </c>
      <c r="AM5362">
        <v>94.624274248745706</v>
      </c>
      <c r="AN5362">
        <v>1.0000000203472701</v>
      </c>
    </row>
    <row r="5363" spans="1:40" x14ac:dyDescent="0.3">
      <c r="A5363" t="str">
        <f>"20200111160609460"</f>
        <v>20200111160609460</v>
      </c>
      <c r="B5363" t="str">
        <f>"1578729969457794"</f>
        <v>1578729969457794</v>
      </c>
      <c r="C5363" t="s">
        <v>40</v>
      </c>
      <c r="D5363">
        <v>4.9621969999999997</v>
      </c>
      <c r="E5363">
        <v>0.52550399999999997</v>
      </c>
      <c r="F5363" t="s">
        <v>42</v>
      </c>
      <c r="G5363">
        <v>-332.94670000000002</v>
      </c>
      <c r="H5363">
        <v>1.037622</v>
      </c>
      <c r="I5363">
        <v>17.943439999999999</v>
      </c>
      <c r="J5363">
        <v>-333.7235</v>
      </c>
      <c r="K5363">
        <v>1.1096839999999999</v>
      </c>
      <c r="L5363">
        <v>17.910609999999998</v>
      </c>
      <c r="M5363">
        <v>0.99962910000000005</v>
      </c>
      <c r="N5363">
        <v>0</v>
      </c>
      <c r="O5363">
        <v>2.5414519999999999E-2</v>
      </c>
      <c r="P5363">
        <v>0.99432549999999997</v>
      </c>
      <c r="Q5363">
        <v>-1.3924550000000001E-2</v>
      </c>
      <c r="R5363">
        <v>0.1054648</v>
      </c>
      <c r="S5363">
        <v>3.0013730000000001</v>
      </c>
      <c r="T5363">
        <v>-0.23573640000000001</v>
      </c>
      <c r="U5363">
        <v>0.1191101</v>
      </c>
      <c r="V5363">
        <v>-8.0162839999999999E-2</v>
      </c>
      <c r="W5363">
        <v>-4.1052349999999996E-3</v>
      </c>
      <c r="X5363">
        <v>0.99677329999999997</v>
      </c>
      <c r="Y5363">
        <v>-1.427965E-2</v>
      </c>
      <c r="Z5363">
        <v>-1.4322619999999999E-3</v>
      </c>
      <c r="AA5363">
        <v>0.99989700000000004</v>
      </c>
      <c r="AB5363">
        <v>27</v>
      </c>
      <c r="AC5363">
        <v>0.77679999999997995</v>
      </c>
      <c r="AD5363">
        <v>-7.2062000000000001E-2</v>
      </c>
      <c r="AE5363">
        <v>3.2829999999997E-2</v>
      </c>
      <c r="AF5363">
        <v>-1.2965073713735099E-2</v>
      </c>
      <c r="AG5363">
        <v>-7.2062000000000001E-2</v>
      </c>
      <c r="AH5363">
        <v>0.77076222360802404</v>
      </c>
      <c r="AI5363">
        <v>95.340559921542905</v>
      </c>
      <c r="AJ5363">
        <v>90.963687544010597</v>
      </c>
      <c r="AK5363">
        <v>0.77423215531362999</v>
      </c>
      <c r="AL5363">
        <v>90.235213306499503</v>
      </c>
      <c r="AM5363">
        <v>94.597964795988304</v>
      </c>
      <c r="AN5363">
        <v>0.99999997273207997</v>
      </c>
    </row>
    <row r="5364" spans="1:40" x14ac:dyDescent="0.3">
      <c r="A5364" t="str">
        <f>"20200111160609479"</f>
        <v>20200111160609479</v>
      </c>
      <c r="B5364" t="str">
        <f>"1578729969467556"</f>
        <v>1578729969467556</v>
      </c>
      <c r="C5364" t="s">
        <v>40</v>
      </c>
      <c r="D5364">
        <v>4.996346</v>
      </c>
      <c r="E5364">
        <v>0.52539840000000004</v>
      </c>
      <c r="F5364" t="s">
        <v>41</v>
      </c>
      <c r="G5364">
        <v>-320.86079999999998</v>
      </c>
      <c r="H5364" s="1">
        <v>-4.5119330000000002E-6</v>
      </c>
      <c r="I5364">
        <v>18.42511</v>
      </c>
      <c r="J5364">
        <v>-333.50560000000002</v>
      </c>
      <c r="K5364">
        <v>1.1097319999999999</v>
      </c>
      <c r="L5364">
        <v>17.915800000000001</v>
      </c>
      <c r="M5364">
        <v>0.99963570000000002</v>
      </c>
      <c r="N5364">
        <v>0</v>
      </c>
      <c r="O5364">
        <v>2.5070350000000002E-2</v>
      </c>
      <c r="P5364">
        <v>0.99446579999999996</v>
      </c>
      <c r="Q5364">
        <v>-1.402492E-2</v>
      </c>
      <c r="R5364">
        <v>0.10412250000000001</v>
      </c>
      <c r="S5364">
        <v>3.0007320000000002</v>
      </c>
      <c r="T5364">
        <v>-0.2588781</v>
      </c>
      <c r="U5364">
        <v>0.1200256</v>
      </c>
      <c r="V5364">
        <v>-7.9160439999999999E-2</v>
      </c>
      <c r="W5364">
        <v>-3.9821090000000002E-3</v>
      </c>
      <c r="X5364">
        <v>0.99685389999999996</v>
      </c>
      <c r="Y5364">
        <v>-1.494024E-2</v>
      </c>
      <c r="Z5364">
        <v>-1.514652E-3</v>
      </c>
      <c r="AA5364">
        <v>0.99988719999999998</v>
      </c>
      <c r="AB5364">
        <v>27</v>
      </c>
      <c r="AC5364">
        <v>12.6448</v>
      </c>
      <c r="AD5364">
        <v>-1.109736511933</v>
      </c>
      <c r="AE5364">
        <v>0.50930999999999904</v>
      </c>
      <c r="AF5364">
        <v>-0.19065838389449</v>
      </c>
      <c r="AG5364">
        <v>-1.109736511933</v>
      </c>
      <c r="AH5364">
        <v>12.5570340620254</v>
      </c>
      <c r="AI5364">
        <v>95.049853707428497</v>
      </c>
      <c r="AJ5364">
        <v>90.869877499562705</v>
      </c>
      <c r="AK5364">
        <v>12.607417268423101</v>
      </c>
      <c r="AL5364">
        <v>90.228158650196406</v>
      </c>
      <c r="AM5364">
        <v>94.540345675758303</v>
      </c>
      <c r="AN5364">
        <v>0.99999996519914502</v>
      </c>
    </row>
    <row r="5365" spans="1:40" x14ac:dyDescent="0.3">
      <c r="A5365" t="str">
        <f>"20200111160609501"</f>
        <v>20200111160609501</v>
      </c>
      <c r="B5365" t="str">
        <f>"1578729969497810"</f>
        <v>1578729969497810</v>
      </c>
      <c r="C5365" t="s">
        <v>40</v>
      </c>
      <c r="D5365">
        <v>5.0288550000000001</v>
      </c>
      <c r="E5365">
        <v>0.52520749999999905</v>
      </c>
      <c r="F5365" t="s">
        <v>41</v>
      </c>
      <c r="G5365">
        <v>-320.98660000000001</v>
      </c>
      <c r="H5365" s="1">
        <v>-4.4562849999999998E-6</v>
      </c>
      <c r="I5365">
        <v>18.403559999999999</v>
      </c>
      <c r="J5365">
        <v>-333.23110000000003</v>
      </c>
      <c r="K5365">
        <v>1.1098220000000001</v>
      </c>
      <c r="L5365">
        <v>17.922149999999998</v>
      </c>
      <c r="M5365">
        <v>0.99964240000000004</v>
      </c>
      <c r="N5365">
        <v>0</v>
      </c>
      <c r="O5365">
        <v>2.4640680000000002E-2</v>
      </c>
      <c r="P5365">
        <v>0.9946528</v>
      </c>
      <c r="Q5365">
        <v>-1.448024E-2</v>
      </c>
      <c r="R5365">
        <v>0.10225629999999999</v>
      </c>
      <c r="S5365">
        <v>3.000702</v>
      </c>
      <c r="T5365">
        <v>-0.26599539999999999</v>
      </c>
      <c r="U5365">
        <v>0.1169128</v>
      </c>
      <c r="V5365">
        <v>-7.771815E-2</v>
      </c>
      <c r="W5365">
        <v>-4.0494870000000001E-3</v>
      </c>
      <c r="X5365">
        <v>0.99696709999999999</v>
      </c>
      <c r="Y5365">
        <v>-1.433746E-2</v>
      </c>
      <c r="Z5365">
        <v>-1.5448689999999999E-3</v>
      </c>
      <c r="AA5365">
        <v>0.99989600000000001</v>
      </c>
      <c r="AB5365">
        <v>27</v>
      </c>
      <c r="AC5365">
        <v>12.2445</v>
      </c>
      <c r="AD5365">
        <v>-1.10982645628499</v>
      </c>
      <c r="AE5365">
        <v>0.48141</v>
      </c>
      <c r="AF5365">
        <v>-0.178074039221256</v>
      </c>
      <c r="AG5365">
        <v>-1.10982645628499</v>
      </c>
      <c r="AH5365">
        <v>12.1529575824835</v>
      </c>
      <c r="AI5365">
        <v>95.217307345755799</v>
      </c>
      <c r="AJ5365">
        <v>90.839479667182204</v>
      </c>
      <c r="AK5365">
        <v>12.204827042123901</v>
      </c>
      <c r="AL5365">
        <v>90.232019159129294</v>
      </c>
      <c r="AM5365">
        <v>94.457453732817299</v>
      </c>
      <c r="AN5365">
        <v>0.99999995383339602</v>
      </c>
    </row>
    <row r="5366" spans="1:40" x14ac:dyDescent="0.3">
      <c r="A5366" t="str">
        <f>"20200111160609513"</f>
        <v>20200111160609513</v>
      </c>
      <c r="B5366" t="str">
        <f>"1578729969507570"</f>
        <v>1578729969507570</v>
      </c>
      <c r="C5366" t="s">
        <v>40</v>
      </c>
      <c r="D5366">
        <v>5.0334450000000004</v>
      </c>
      <c r="E5366">
        <v>0.52497490000000002</v>
      </c>
      <c r="F5366" t="s">
        <v>41</v>
      </c>
      <c r="G5366">
        <v>-321.0421</v>
      </c>
      <c r="H5366" s="1">
        <v>-4.4339190000000003E-6</v>
      </c>
      <c r="I5366">
        <v>18.381830000000001</v>
      </c>
      <c r="J5366">
        <v>-333.0924</v>
      </c>
      <c r="K5366">
        <v>1.1098669999999999</v>
      </c>
      <c r="L5366">
        <v>17.925350000000002</v>
      </c>
      <c r="M5366">
        <v>0.99964540000000002</v>
      </c>
      <c r="N5366">
        <v>0</v>
      </c>
      <c r="O5366">
        <v>2.4421120000000001E-2</v>
      </c>
      <c r="P5366">
        <v>0.99471120000000002</v>
      </c>
      <c r="Q5366">
        <v>-1.4778060000000001E-2</v>
      </c>
      <c r="R5366">
        <v>0.1016446</v>
      </c>
      <c r="S5366">
        <v>3.0005489999999999</v>
      </c>
      <c r="T5366">
        <v>-0.27320309999999998</v>
      </c>
      <c r="U5366">
        <v>0.1131592</v>
      </c>
      <c r="V5366">
        <v>-7.7324970000000007E-2</v>
      </c>
      <c r="W5366">
        <v>-4.1184749999999999E-3</v>
      </c>
      <c r="X5366">
        <v>0.99699740000000003</v>
      </c>
      <c r="Y5366">
        <v>-1.3315499999999999E-2</v>
      </c>
      <c r="Z5366">
        <v>-1.6131699999999999E-3</v>
      </c>
      <c r="AA5366">
        <v>0.99991010000000002</v>
      </c>
      <c r="AB5366">
        <v>27</v>
      </c>
      <c r="AC5366">
        <v>12.050299999999901</v>
      </c>
      <c r="AD5366">
        <v>-1.1098714339189999</v>
      </c>
      <c r="AE5366">
        <v>0.456479999999995</v>
      </c>
      <c r="AF5366">
        <v>-0.16068430772454001</v>
      </c>
      <c r="AG5366">
        <v>-1.1098714339189999</v>
      </c>
      <c r="AH5366">
        <v>11.956571796486999</v>
      </c>
      <c r="AI5366">
        <v>95.302820207277705</v>
      </c>
      <c r="AJ5366">
        <v>90.769951339721104</v>
      </c>
      <c r="AK5366">
        <v>12.0090483874089</v>
      </c>
      <c r="AL5366">
        <v>90.235971911063899</v>
      </c>
      <c r="AM5366">
        <v>94.434859199196296</v>
      </c>
      <c r="AN5366">
        <v>0.99999996421429205</v>
      </c>
    </row>
    <row r="5367" spans="1:40" x14ac:dyDescent="0.3">
      <c r="A5367" t="str">
        <f>"20200111160609525"</f>
        <v>20200111160609525</v>
      </c>
      <c r="B5367" t="str">
        <f>"1578729969517329"</f>
        <v>1578729969517329</v>
      </c>
      <c r="C5367" t="s">
        <v>40</v>
      </c>
      <c r="D5367">
        <v>5.0187379999999999</v>
      </c>
      <c r="E5367">
        <v>0.52481449999999996</v>
      </c>
      <c r="F5367" t="s">
        <v>42</v>
      </c>
      <c r="G5367">
        <v>-332.23880000000003</v>
      </c>
      <c r="H5367">
        <v>1.030786</v>
      </c>
      <c r="I5367">
        <v>17.9573</v>
      </c>
      <c r="J5367">
        <v>-332.94589999999999</v>
      </c>
      <c r="K5367">
        <v>1.1099159999999999</v>
      </c>
      <c r="L5367">
        <v>17.92868</v>
      </c>
      <c r="M5367">
        <v>0.99964839999999999</v>
      </c>
      <c r="N5367">
        <v>0</v>
      </c>
      <c r="O5367">
        <v>2.4187719999999999E-2</v>
      </c>
      <c r="P5367">
        <v>0.99477959999999999</v>
      </c>
      <c r="Q5367">
        <v>-1.572716E-2</v>
      </c>
      <c r="R5367">
        <v>0.1008286</v>
      </c>
      <c r="S5367">
        <v>3.0001829999999998</v>
      </c>
      <c r="T5367">
        <v>-0.27796999999999999</v>
      </c>
      <c r="U5367">
        <v>0.11322019999999999</v>
      </c>
      <c r="V5367">
        <v>-7.6740439999999993E-2</v>
      </c>
      <c r="W5367">
        <v>-4.820413E-3</v>
      </c>
      <c r="X5367">
        <v>0.99703940000000002</v>
      </c>
      <c r="Y5367">
        <v>-1.357332E-2</v>
      </c>
      <c r="Z5367">
        <v>-1.6079250000000001E-3</v>
      </c>
      <c r="AA5367">
        <v>0.99990659999999998</v>
      </c>
      <c r="AB5367">
        <v>27</v>
      </c>
      <c r="AC5367">
        <v>0.70709999999996798</v>
      </c>
      <c r="AD5367">
        <v>-7.9129999999999895E-2</v>
      </c>
      <c r="AE5367">
        <v>2.862E-2</v>
      </c>
      <c r="AF5367">
        <v>-1.13653796542809E-2</v>
      </c>
      <c r="AG5367">
        <v>-7.9129999999999895E-2</v>
      </c>
      <c r="AH5367">
        <v>0.69884779178261702</v>
      </c>
      <c r="AI5367">
        <v>96.459196297364599</v>
      </c>
      <c r="AJ5367">
        <v>90.931720602763306</v>
      </c>
      <c r="AK5367">
        <v>0.70340526358147604</v>
      </c>
      <c r="AL5367">
        <v>90.276190404298006</v>
      </c>
      <c r="AM5367">
        <v>94.401281901281905</v>
      </c>
      <c r="AN5367">
        <v>0.99999994833261996</v>
      </c>
    </row>
    <row r="5368" spans="1:40" x14ac:dyDescent="0.3">
      <c r="A5368" t="str">
        <f>"20200111160609535"</f>
        <v>20200111160609535</v>
      </c>
      <c r="B5368" t="str">
        <f>"1578729969527090"</f>
        <v>1578729969527090</v>
      </c>
      <c r="C5368" t="s">
        <v>40</v>
      </c>
      <c r="D5368">
        <v>5.0338050000000001</v>
      </c>
      <c r="E5368">
        <v>0.52466299999999999</v>
      </c>
      <c r="F5368" t="s">
        <v>42</v>
      </c>
      <c r="G5368">
        <v>-332.005</v>
      </c>
      <c r="H5368">
        <v>1.0207809999999999</v>
      </c>
      <c r="I5368">
        <v>17.96369</v>
      </c>
      <c r="J5368">
        <v>-332.80739999999997</v>
      </c>
      <c r="K5368">
        <v>1.1099559999999999</v>
      </c>
      <c r="L5368">
        <v>17.931789999999999</v>
      </c>
      <c r="M5368">
        <v>0.99965110000000001</v>
      </c>
      <c r="N5368">
        <v>0</v>
      </c>
      <c r="O5368">
        <v>2.3965150000000001E-2</v>
      </c>
      <c r="P5368">
        <v>0.99483140000000003</v>
      </c>
      <c r="Q5368">
        <v>-1.6504709999999999E-2</v>
      </c>
      <c r="R5368">
        <v>0.1001915</v>
      </c>
      <c r="S5368">
        <v>2.9998779999999998</v>
      </c>
      <c r="T5368">
        <v>-0.28415679999999999</v>
      </c>
      <c r="U5368">
        <v>0.1121521</v>
      </c>
      <c r="V5368">
        <v>-7.6324240000000002E-2</v>
      </c>
      <c r="W5368">
        <v>-5.3622660000000001E-3</v>
      </c>
      <c r="X5368">
        <v>0.99706859999999997</v>
      </c>
      <c r="Y5368">
        <v>-1.3445830000000001E-2</v>
      </c>
      <c r="Z5368">
        <v>-1.6287439999999999E-3</v>
      </c>
      <c r="AA5368">
        <v>0.99990829999999997</v>
      </c>
      <c r="AB5368">
        <v>27</v>
      </c>
      <c r="AC5368">
        <v>0.80239999999997702</v>
      </c>
      <c r="AD5368">
        <v>-8.9175000000000004E-2</v>
      </c>
      <c r="AE5368">
        <v>3.1900000000000199E-2</v>
      </c>
      <c r="AF5368">
        <v>-1.2505798376445E-2</v>
      </c>
      <c r="AG5368">
        <v>-8.9175000000000004E-2</v>
      </c>
      <c r="AH5368">
        <v>0.79315322534248001</v>
      </c>
      <c r="AI5368">
        <v>96.414091377712793</v>
      </c>
      <c r="AJ5368">
        <v>90.903318646305195</v>
      </c>
      <c r="AK5368">
        <v>0.798248466637557</v>
      </c>
      <c r="AL5368">
        <v>90.307236692551101</v>
      </c>
      <c r="AM5368">
        <v>94.377376984131502</v>
      </c>
      <c r="AN5368">
        <v>0.99999996830709503</v>
      </c>
    </row>
    <row r="5369" spans="1:40" x14ac:dyDescent="0.3">
      <c r="A5369" t="str">
        <f>"20200111160609548"</f>
        <v>20200111160609548</v>
      </c>
      <c r="B5369" t="str">
        <f>"1578729969537826"</f>
        <v>1578729969537826</v>
      </c>
      <c r="C5369" t="s">
        <v>40</v>
      </c>
      <c r="D5369">
        <v>5.1027719999999999</v>
      </c>
      <c r="E5369">
        <v>0.52456380000000002</v>
      </c>
      <c r="F5369" t="s">
        <v>42</v>
      </c>
      <c r="G5369">
        <v>-331.99790000000002</v>
      </c>
      <c r="H5369">
        <v>1.031714</v>
      </c>
      <c r="I5369">
        <v>17.96172</v>
      </c>
      <c r="J5369">
        <v>-332.67520000000002</v>
      </c>
      <c r="K5369">
        <v>1.1099939999999999</v>
      </c>
      <c r="L5369">
        <v>17.934719999999999</v>
      </c>
      <c r="M5369">
        <v>0.99965360000000003</v>
      </c>
      <c r="N5369">
        <v>0</v>
      </c>
      <c r="O5369">
        <v>2.3752820000000001E-2</v>
      </c>
      <c r="P5369">
        <v>0.99488600000000005</v>
      </c>
      <c r="Q5369">
        <v>-1.7397019999999999E-2</v>
      </c>
      <c r="R5369">
        <v>9.9496200000000007E-2</v>
      </c>
      <c r="S5369">
        <v>2.9995419999999999</v>
      </c>
      <c r="T5369">
        <v>-0.28988920000000001</v>
      </c>
      <c r="U5369">
        <v>0.1114807</v>
      </c>
      <c r="V5369">
        <v>-7.5840420000000006E-2</v>
      </c>
      <c r="W5369">
        <v>-6.0329829999999996E-3</v>
      </c>
      <c r="X5369">
        <v>0.99710169999999998</v>
      </c>
      <c r="Y5369">
        <v>-1.34398E-2</v>
      </c>
      <c r="Z5369">
        <v>-1.6414820000000001E-3</v>
      </c>
      <c r="AA5369">
        <v>0.99990829999999997</v>
      </c>
      <c r="AB5369">
        <v>27</v>
      </c>
      <c r="AC5369">
        <v>0.67730000000000201</v>
      </c>
      <c r="AD5369">
        <v>-7.82800000000001E-2</v>
      </c>
      <c r="AE5369">
        <v>2.6999999999997401E-2</v>
      </c>
      <c r="AF5369">
        <v>-1.07600585361598E-2</v>
      </c>
      <c r="AG5369">
        <v>-7.82800000000001E-2</v>
      </c>
      <c r="AH5369">
        <v>0.66883023196840796</v>
      </c>
      <c r="AI5369">
        <v>96.674680672004598</v>
      </c>
      <c r="AJ5369">
        <v>90.921687944488596</v>
      </c>
      <c r="AK5369">
        <v>0.67348156355955002</v>
      </c>
      <c r="AL5369">
        <v>90.345666566478997</v>
      </c>
      <c r="AM5369">
        <v>94.349591745236197</v>
      </c>
      <c r="AN5369">
        <v>0.99999998316627203</v>
      </c>
    </row>
    <row r="5370" spans="1:40" x14ac:dyDescent="0.3">
      <c r="A5370" t="str">
        <f>"20200111160609560"</f>
        <v>20200111160609560</v>
      </c>
      <c r="B5370" t="str">
        <f>"1578729969557346"</f>
        <v>1578729969557346</v>
      </c>
      <c r="C5370" t="s">
        <v>40</v>
      </c>
      <c r="D5370">
        <v>5.3542680000000002</v>
      </c>
      <c r="E5370">
        <v>0.52507380000000003</v>
      </c>
      <c r="F5370" t="s">
        <v>42</v>
      </c>
      <c r="G5370">
        <v>-331.76569999999998</v>
      </c>
      <c r="H5370">
        <v>1.0198199999999999</v>
      </c>
      <c r="I5370">
        <v>17.968209999999999</v>
      </c>
      <c r="J5370">
        <v>-332.52519999999998</v>
      </c>
      <c r="K5370">
        <v>1.1100289999999999</v>
      </c>
      <c r="L5370">
        <v>17.93805</v>
      </c>
      <c r="M5370">
        <v>0.9996564</v>
      </c>
      <c r="N5370">
        <v>0</v>
      </c>
      <c r="O5370">
        <v>2.3511939999999999E-2</v>
      </c>
      <c r="P5370">
        <v>0.99493929999999997</v>
      </c>
      <c r="Q5370">
        <v>-1.7882929999999998E-2</v>
      </c>
      <c r="R5370">
        <v>9.8873699999999995E-2</v>
      </c>
      <c r="S5370">
        <v>2.9992369999999999</v>
      </c>
      <c r="T5370">
        <v>-0.29733769999999998</v>
      </c>
      <c r="U5370">
        <v>0.11022949999999999</v>
      </c>
      <c r="V5370">
        <v>-7.5456609999999993E-2</v>
      </c>
      <c r="W5370">
        <v>-6.2737849999999996E-3</v>
      </c>
      <c r="X5370">
        <v>0.9971293</v>
      </c>
      <c r="Y5370">
        <v>-1.327003E-2</v>
      </c>
      <c r="Z5370">
        <v>-1.668234E-3</v>
      </c>
      <c r="AA5370">
        <v>0.99991050000000004</v>
      </c>
      <c r="AB5370">
        <v>27</v>
      </c>
      <c r="AC5370">
        <v>0.75950000000000195</v>
      </c>
      <c r="AD5370">
        <v>-9.02089999999999E-2</v>
      </c>
      <c r="AE5370">
        <v>3.0159999999998601E-2</v>
      </c>
      <c r="AF5370">
        <v>-1.21223987499857E-2</v>
      </c>
      <c r="AG5370">
        <v>-9.02089999999999E-2</v>
      </c>
      <c r="AH5370">
        <v>0.74944319941072302</v>
      </c>
      <c r="AI5370">
        <v>96.862670478889598</v>
      </c>
      <c r="AJ5370">
        <v>90.926690270232001</v>
      </c>
      <c r="AK5370">
        <v>0.75495014760938695</v>
      </c>
      <c r="AL5370">
        <v>90.359463777945393</v>
      </c>
      <c r="AM5370">
        <v>94.327544019312896</v>
      </c>
      <c r="AN5370">
        <v>0.99999995064470304</v>
      </c>
    </row>
    <row r="5371" spans="1:40" x14ac:dyDescent="0.3">
      <c r="A5371" t="str">
        <f>"20200111160609572"</f>
        <v>20200111160609572</v>
      </c>
      <c r="B5371" t="str">
        <f>"1578729969567106"</f>
        <v>1578729969567106</v>
      </c>
      <c r="C5371" t="s">
        <v>40</v>
      </c>
      <c r="D5371">
        <v>5.1699419999999998</v>
      </c>
      <c r="E5371">
        <v>0.5714011</v>
      </c>
      <c r="F5371" t="s">
        <v>42</v>
      </c>
      <c r="G5371">
        <v>-331.75760000000002</v>
      </c>
      <c r="H5371">
        <v>1.0326900000000001</v>
      </c>
      <c r="I5371">
        <v>17.96482</v>
      </c>
      <c r="J5371">
        <v>-332.37880000000001</v>
      </c>
      <c r="K5371">
        <v>1.110055</v>
      </c>
      <c r="L5371">
        <v>17.94125</v>
      </c>
      <c r="M5371">
        <v>0.99965919999999997</v>
      </c>
      <c r="N5371">
        <v>0</v>
      </c>
      <c r="O5371">
        <v>2.3278210000000001E-2</v>
      </c>
      <c r="P5371">
        <v>0.99499400000000005</v>
      </c>
      <c r="Q5371">
        <v>-1.842396E-2</v>
      </c>
      <c r="R5371">
        <v>9.822264E-2</v>
      </c>
      <c r="S5371">
        <v>2.9994510000000001</v>
      </c>
      <c r="T5371">
        <v>-0.30216569999999998</v>
      </c>
      <c r="U5371">
        <v>0.10437009999999999</v>
      </c>
      <c r="V5371">
        <v>-7.5038030000000006E-2</v>
      </c>
      <c r="W5371">
        <v>-6.5863349999999996E-3</v>
      </c>
      <c r="X5371">
        <v>0.99715889999999996</v>
      </c>
      <c r="Y5371">
        <v>-1.1559420000000001E-2</v>
      </c>
      <c r="Z5371">
        <v>-1.7575959999999999E-3</v>
      </c>
      <c r="AA5371">
        <v>0.99993160000000003</v>
      </c>
      <c r="AB5371">
        <v>27</v>
      </c>
      <c r="AC5371">
        <v>0.62119999999998698</v>
      </c>
      <c r="AD5371">
        <v>-7.73650000000001E-2</v>
      </c>
      <c r="AE5371">
        <v>2.35699999999994E-2</v>
      </c>
      <c r="AF5371">
        <v>-8.9633523529657894E-3</v>
      </c>
      <c r="AG5371">
        <v>-7.73650000000001E-2</v>
      </c>
      <c r="AH5371">
        <v>0.61210001601877595</v>
      </c>
      <c r="AI5371">
        <v>97.202809347172405</v>
      </c>
      <c r="AJ5371">
        <v>90.838956939685403</v>
      </c>
      <c r="AK5371">
        <v>0.61703493784435703</v>
      </c>
      <c r="AL5371">
        <v>90.377371934379397</v>
      </c>
      <c r="AM5371">
        <v>94.303501031458595</v>
      </c>
      <c r="AN5371">
        <v>0.999999978802111</v>
      </c>
    </row>
    <row r="5372" spans="1:40" x14ac:dyDescent="0.3">
      <c r="A5372" t="str">
        <f>"20200111160609591"</f>
        <v>20200111160609591</v>
      </c>
      <c r="B5372" t="str">
        <f>"1578729969587602"</f>
        <v>1578729969587602</v>
      </c>
      <c r="C5372" t="s">
        <v>40</v>
      </c>
      <c r="D5372">
        <v>6.4548259999999997</v>
      </c>
      <c r="E5372">
        <v>0.57887519999999903</v>
      </c>
      <c r="F5372" t="s">
        <v>42</v>
      </c>
      <c r="G5372">
        <v>-331.52730000000003</v>
      </c>
      <c r="H5372">
        <v>1.0152479999999999</v>
      </c>
      <c r="I5372">
        <v>17.866700000000002</v>
      </c>
      <c r="J5372">
        <v>-332.15960000000001</v>
      </c>
      <c r="K5372">
        <v>1.1100939999999999</v>
      </c>
      <c r="L5372">
        <v>17.945979999999999</v>
      </c>
      <c r="M5372">
        <v>0.99966339999999998</v>
      </c>
      <c r="N5372">
        <v>0</v>
      </c>
      <c r="O5372">
        <v>2.2930849999999999E-2</v>
      </c>
      <c r="P5372">
        <v>0.99508269999999999</v>
      </c>
      <c r="Q5372">
        <v>-1.8707100000000001E-2</v>
      </c>
      <c r="R5372">
        <v>9.7264740000000002E-2</v>
      </c>
      <c r="S5372">
        <v>3.0349119999999998</v>
      </c>
      <c r="T5372">
        <v>-0.33789160000000001</v>
      </c>
      <c r="U5372">
        <v>-0.26443480000000003</v>
      </c>
      <c r="V5372">
        <v>-7.4424660000000004E-2</v>
      </c>
      <c r="W5372">
        <v>-6.5433289999999996E-3</v>
      </c>
      <c r="X5372">
        <v>0.99720520000000001</v>
      </c>
      <c r="Y5372">
        <v>0.108817</v>
      </c>
      <c r="Z5372">
        <v>-8.5686149999999999E-3</v>
      </c>
      <c r="AA5372">
        <v>0.99402489999999999</v>
      </c>
      <c r="AB5372">
        <v>27</v>
      </c>
      <c r="AC5372">
        <v>0.63229999999998598</v>
      </c>
      <c r="AD5372">
        <v>-9.4846000000000194E-2</v>
      </c>
      <c r="AE5372">
        <v>-7.9279999999997103E-2</v>
      </c>
      <c r="AF5372">
        <v>9.1727428626279306E-2</v>
      </c>
      <c r="AG5372">
        <v>-9.4846000000000194E-2</v>
      </c>
      <c r="AH5372">
        <v>0.61665533876392598</v>
      </c>
      <c r="AI5372">
        <v>98.650265648159106</v>
      </c>
      <c r="AJ5372">
        <v>81.539295761116605</v>
      </c>
      <c r="AK5372">
        <v>0.63061358350771501</v>
      </c>
      <c r="AL5372">
        <v>90.374907800475199</v>
      </c>
      <c r="AM5372">
        <v>94.268256784011498</v>
      </c>
      <c r="AN5372">
        <v>1.00000002803877</v>
      </c>
    </row>
    <row r="5373" spans="1:40" x14ac:dyDescent="0.3">
      <c r="A5373" t="str">
        <f>"20200111160609605"</f>
        <v>20200111160609605</v>
      </c>
      <c r="B5373" t="str">
        <f>"1578729969597362"</f>
        <v>1578729969597362</v>
      </c>
      <c r="C5373" t="s">
        <v>40</v>
      </c>
      <c r="D5373">
        <v>5.122528</v>
      </c>
      <c r="E5373">
        <v>0.58324969999999998</v>
      </c>
      <c r="F5373" t="s">
        <v>42</v>
      </c>
      <c r="G5373">
        <v>-331.28559999999999</v>
      </c>
      <c r="H5373">
        <v>1.02016</v>
      </c>
      <c r="I5373">
        <v>17.85163</v>
      </c>
      <c r="J5373">
        <v>-331.99520000000001</v>
      </c>
      <c r="K5373">
        <v>1.11012</v>
      </c>
      <c r="L5373">
        <v>17.949490000000001</v>
      </c>
      <c r="M5373">
        <v>0.99966650000000001</v>
      </c>
      <c r="N5373">
        <v>0</v>
      </c>
      <c r="O5373">
        <v>2.267216E-2</v>
      </c>
      <c r="P5373">
        <v>0.99509320000000001</v>
      </c>
      <c r="Q5373">
        <v>-1.862637E-2</v>
      </c>
      <c r="R5373">
        <v>9.7173109999999993E-2</v>
      </c>
      <c r="S5373">
        <v>3.040924</v>
      </c>
      <c r="T5373">
        <v>-0.31287690000000001</v>
      </c>
      <c r="U5373">
        <v>-0.32751459999999999</v>
      </c>
      <c r="V5373">
        <v>-7.4590290000000004E-2</v>
      </c>
      <c r="W5373">
        <v>-6.2310730000000002E-3</v>
      </c>
      <c r="X5373">
        <v>0.99719480000000005</v>
      </c>
      <c r="Y5373">
        <v>0.12880800000000001</v>
      </c>
      <c r="Z5373">
        <v>-8.9107449999999994E-3</v>
      </c>
      <c r="AA5373">
        <v>0.99162950000000005</v>
      </c>
      <c r="AB5373">
        <v>27</v>
      </c>
      <c r="AC5373">
        <v>0.70960000000002299</v>
      </c>
      <c r="AD5373">
        <v>-8.9959999999999998E-2</v>
      </c>
      <c r="AE5373">
        <v>-9.7860000000000696E-2</v>
      </c>
      <c r="AF5373">
        <v>0.11215531147480499</v>
      </c>
      <c r="AG5373">
        <v>-8.9959999999999998E-2</v>
      </c>
      <c r="AH5373">
        <v>0.69621788764514503</v>
      </c>
      <c r="AI5373">
        <v>97.269830171784804</v>
      </c>
      <c r="AJ5373">
        <v>80.848713836669106</v>
      </c>
      <c r="AK5373">
        <v>0.71090854726123498</v>
      </c>
      <c r="AL5373">
        <v>90.357016493822798</v>
      </c>
      <c r="AM5373">
        <v>94.2777648973493</v>
      </c>
      <c r="AN5373">
        <v>1.00000000339002</v>
      </c>
    </row>
    <row r="5374" spans="1:40" x14ac:dyDescent="0.3">
      <c r="A5374" t="str">
        <f>"20200111160609616"</f>
        <v>20200111160609616</v>
      </c>
      <c r="B5374" t="str">
        <f>"1578729969607122"</f>
        <v>1578729969607122</v>
      </c>
      <c r="C5374" t="s">
        <v>40</v>
      </c>
      <c r="D5374">
        <v>5.1231780000000002</v>
      </c>
      <c r="E5374">
        <v>0.58654530000000005</v>
      </c>
      <c r="F5374" t="s">
        <v>42</v>
      </c>
      <c r="G5374">
        <v>-331.04700000000003</v>
      </c>
      <c r="H5374">
        <v>1.0192889999999999</v>
      </c>
      <c r="I5374">
        <v>17.83606</v>
      </c>
      <c r="J5374">
        <v>-331.84609999999998</v>
      </c>
      <c r="K5374">
        <v>1.110139</v>
      </c>
      <c r="L5374">
        <v>17.952579999999902</v>
      </c>
      <c r="M5374">
        <v>0.99966929999999998</v>
      </c>
      <c r="N5374">
        <v>0</v>
      </c>
      <c r="O5374">
        <v>2.2438340000000001E-2</v>
      </c>
      <c r="P5374">
        <v>0.99511989999999995</v>
      </c>
      <c r="Q5374">
        <v>-1.8236599999999999E-2</v>
      </c>
      <c r="R5374">
        <v>9.6972920000000004E-2</v>
      </c>
      <c r="S5374">
        <v>3.044861</v>
      </c>
      <c r="T5374">
        <v>-0.29165829999999998</v>
      </c>
      <c r="U5374">
        <v>-0.36325069999999998</v>
      </c>
      <c r="V5374">
        <v>-7.4622419999999995E-2</v>
      </c>
      <c r="W5374">
        <v>-5.6488340000000001E-3</v>
      </c>
      <c r="X5374">
        <v>0.99719579999999997</v>
      </c>
      <c r="Y5374">
        <v>0.139978399999999</v>
      </c>
      <c r="Z5374">
        <v>-8.8028959999999993E-3</v>
      </c>
      <c r="AA5374">
        <v>0.99011539999999998</v>
      </c>
      <c r="AB5374">
        <v>27</v>
      </c>
      <c r="AC5374">
        <v>0.79910000000000903</v>
      </c>
      <c r="AD5374">
        <v>-9.0850000000000097E-2</v>
      </c>
      <c r="AE5374">
        <v>-0.116519999999997</v>
      </c>
      <c r="AF5374">
        <v>0.13274250783226599</v>
      </c>
      <c r="AG5374">
        <v>-9.0850000000000097E-2</v>
      </c>
      <c r="AH5374">
        <v>0.78633191683973702</v>
      </c>
      <c r="AI5374">
        <v>96.499375496591199</v>
      </c>
      <c r="AJ5374">
        <v>80.418105828188502</v>
      </c>
      <c r="AK5374">
        <v>0.80261583545707205</v>
      </c>
      <c r="AL5374">
        <v>90.323656088333706</v>
      </c>
      <c r="AM5374">
        <v>94.279596437788996</v>
      </c>
      <c r="AN5374">
        <v>0.99999993921492603</v>
      </c>
    </row>
    <row r="5375" spans="1:40" x14ac:dyDescent="0.3">
      <c r="A5375" t="str">
        <f>"20200111160609628"</f>
        <v>20200111160609628</v>
      </c>
      <c r="B5375" t="str">
        <f>"1578729969617858"</f>
        <v>1578729969617858</v>
      </c>
      <c r="C5375" t="s">
        <v>40</v>
      </c>
      <c r="D5375">
        <v>5.1548669999999897</v>
      </c>
      <c r="E5375">
        <v>0.58838659999999998</v>
      </c>
      <c r="F5375" t="s">
        <v>42</v>
      </c>
      <c r="G5375">
        <v>-331.03899999999999</v>
      </c>
      <c r="H5375">
        <v>1.0364599999999999</v>
      </c>
      <c r="I5375">
        <v>17.8489</v>
      </c>
      <c r="J5375">
        <v>-331.71319999999997</v>
      </c>
      <c r="K5375">
        <v>1.1101540000000001</v>
      </c>
      <c r="L5375">
        <v>17.95532</v>
      </c>
      <c r="M5375">
        <v>0.99967189999999995</v>
      </c>
      <c r="N5375">
        <v>0</v>
      </c>
      <c r="O5375">
        <v>2.2229490000000001E-2</v>
      </c>
      <c r="P5375">
        <v>0.99514279999999999</v>
      </c>
      <c r="Q5375">
        <v>-1.789864E-2</v>
      </c>
      <c r="R5375">
        <v>9.6801490000000004E-2</v>
      </c>
      <c r="S5375">
        <v>3.0476679999999998</v>
      </c>
      <c r="T5375">
        <v>-0.27820899999999998</v>
      </c>
      <c r="U5375">
        <v>-0.39035029999999998</v>
      </c>
      <c r="V5375">
        <v>-7.4658279999999994E-2</v>
      </c>
      <c r="W5375">
        <v>-5.1464780000000003E-3</v>
      </c>
      <c r="X5375">
        <v>0.99719590000000002</v>
      </c>
      <c r="Y5375">
        <v>0.1483652</v>
      </c>
      <c r="Z5375">
        <v>-8.7480449999999994E-3</v>
      </c>
      <c r="AA5375">
        <v>0.98889389999999999</v>
      </c>
      <c r="AB5375">
        <v>27</v>
      </c>
      <c r="AC5375">
        <v>0.67419999999998403</v>
      </c>
      <c r="AD5375">
        <v>-7.3694000000000107E-2</v>
      </c>
      <c r="AE5375">
        <v>-0.106419999999999</v>
      </c>
      <c r="AF5375">
        <v>0.119983350281382</v>
      </c>
      <c r="AG5375">
        <v>-7.3694000000000107E-2</v>
      </c>
      <c r="AH5375">
        <v>0.66392790051803197</v>
      </c>
      <c r="AI5375">
        <v>96.233574286124295</v>
      </c>
      <c r="AJ5375">
        <v>79.756215047036306</v>
      </c>
      <c r="AK5375">
        <v>0.67869512085105399</v>
      </c>
      <c r="AL5375">
        <v>90.294872769267599</v>
      </c>
      <c r="AM5375">
        <v>94.281644935231697</v>
      </c>
      <c r="AN5375">
        <v>1.00000000399258</v>
      </c>
    </row>
    <row r="5376" spans="1:40" x14ac:dyDescent="0.3">
      <c r="A5376" t="str">
        <f>"20200111160609640"</f>
        <v>20200111160609640</v>
      </c>
      <c r="B5376" t="str">
        <f>"1578729969637378"</f>
        <v>1578729969637378</v>
      </c>
      <c r="C5376" t="s">
        <v>40</v>
      </c>
      <c r="D5376">
        <v>5.1597989999999996</v>
      </c>
      <c r="E5376">
        <v>0.59057179999999998</v>
      </c>
      <c r="F5376" t="s">
        <v>42</v>
      </c>
      <c r="G5376">
        <v>-330.80410000000001</v>
      </c>
      <c r="H5376">
        <v>1.029121</v>
      </c>
      <c r="I5376">
        <v>17.83419</v>
      </c>
      <c r="J5376">
        <v>-331.56569999999999</v>
      </c>
      <c r="K5376">
        <v>1.1101719999999999</v>
      </c>
      <c r="L5376">
        <v>17.958369999999999</v>
      </c>
      <c r="M5376">
        <v>0.99967490000000003</v>
      </c>
      <c r="N5376">
        <v>0</v>
      </c>
      <c r="O5376">
        <v>2.1997099999999999E-2</v>
      </c>
      <c r="P5376">
        <v>0.99514530000000001</v>
      </c>
      <c r="Q5376">
        <v>-1.766057E-2</v>
      </c>
      <c r="R5376">
        <v>9.6819139999999998E-2</v>
      </c>
      <c r="S5376">
        <v>3.0492249999999999</v>
      </c>
      <c r="T5376">
        <v>-0.27178540000000001</v>
      </c>
      <c r="U5376">
        <v>-0.40579219999999999</v>
      </c>
      <c r="V5376">
        <v>-7.4907580000000001E-2</v>
      </c>
      <c r="W5376">
        <v>-4.7370800000000003E-3</v>
      </c>
      <c r="X5376">
        <v>0.99717920000000004</v>
      </c>
      <c r="Y5376">
        <v>0.1530099</v>
      </c>
      <c r="Z5376">
        <v>-8.724898E-3</v>
      </c>
      <c r="AA5376">
        <v>0.98818609999999896</v>
      </c>
      <c r="AB5376">
        <v>27</v>
      </c>
      <c r="AC5376">
        <v>0.76159999999998695</v>
      </c>
      <c r="AD5376">
        <v>-8.1050999999999901E-2</v>
      </c>
      <c r="AE5376">
        <v>-0.124180000000002</v>
      </c>
      <c r="AF5376">
        <v>0.139366789806564</v>
      </c>
      <c r="AG5376">
        <v>-8.1050999999999901E-2</v>
      </c>
      <c r="AH5376">
        <v>0.75040513688350796</v>
      </c>
      <c r="AI5376">
        <v>96.061734269384203</v>
      </c>
      <c r="AJ5376">
        <v>79.478784959764994</v>
      </c>
      <c r="AK5376">
        <v>0.76752865494595202</v>
      </c>
      <c r="AL5376">
        <v>90.271415714133099</v>
      </c>
      <c r="AM5376">
        <v>94.295960506454506</v>
      </c>
      <c r="AN5376">
        <v>0.99999997119051098</v>
      </c>
    </row>
    <row r="5377" spans="1:40" x14ac:dyDescent="0.3">
      <c r="A5377" t="str">
        <f>"20200111160609657"</f>
        <v>20200111160609657</v>
      </c>
      <c r="B5377" t="str">
        <f>"1578729969647137"</f>
        <v>1578729969647137</v>
      </c>
      <c r="C5377" t="s">
        <v>40</v>
      </c>
      <c r="D5377">
        <v>5.3748620000000003</v>
      </c>
      <c r="E5377">
        <v>0.59082270000000003</v>
      </c>
      <c r="F5377" t="s">
        <v>42</v>
      </c>
      <c r="G5377">
        <v>-330.79489999999998</v>
      </c>
      <c r="H5377">
        <v>1.043458</v>
      </c>
      <c r="I5377">
        <v>17.851279999999999</v>
      </c>
      <c r="J5377">
        <v>-331.36860000000001</v>
      </c>
      <c r="K5377">
        <v>1.110187</v>
      </c>
      <c r="L5377">
        <v>17.96237</v>
      </c>
      <c r="M5377">
        <v>0.99967899999999998</v>
      </c>
      <c r="N5377">
        <v>0</v>
      </c>
      <c r="O5377">
        <v>2.1684519999999999E-2</v>
      </c>
      <c r="P5377">
        <v>0.99518910000000005</v>
      </c>
      <c r="Q5377">
        <v>-1.7454299999999999E-2</v>
      </c>
      <c r="R5377">
        <v>9.6405690000000002E-2</v>
      </c>
      <c r="S5377">
        <v>3.0511170000000001</v>
      </c>
      <c r="T5377">
        <v>-0.26405790000000001</v>
      </c>
      <c r="U5377">
        <v>-0.42327880000000001</v>
      </c>
      <c r="V5377">
        <v>-7.4804549999999997E-2</v>
      </c>
      <c r="W5377">
        <v>-4.3219209999999899E-3</v>
      </c>
      <c r="X5377">
        <v>0.99718890000000004</v>
      </c>
      <c r="Y5377">
        <v>0.15820119999999999</v>
      </c>
      <c r="Z5377">
        <v>-8.6656300000000006E-3</v>
      </c>
      <c r="AA5377">
        <v>0.98736889999999999</v>
      </c>
      <c r="AB5377">
        <v>27</v>
      </c>
      <c r="AC5377">
        <v>0.57370000000002996</v>
      </c>
      <c r="AD5377">
        <v>-6.6728999999999997E-2</v>
      </c>
      <c r="AE5377">
        <v>-0.11108999999999999</v>
      </c>
      <c r="AF5377">
        <v>0.121915587843225</v>
      </c>
      <c r="AG5377">
        <v>-6.6728999999999997E-2</v>
      </c>
      <c r="AH5377">
        <v>0.563804007544223</v>
      </c>
      <c r="AI5377">
        <v>96.598719734065</v>
      </c>
      <c r="AJ5377">
        <v>77.798364448742007</v>
      </c>
      <c r="AK5377">
        <v>0.58068160718511297</v>
      </c>
      <c r="AL5377">
        <v>90.247628590974898</v>
      </c>
      <c r="AM5377">
        <v>94.290032220916302</v>
      </c>
      <c r="AN5377">
        <v>1.00000005099252</v>
      </c>
    </row>
    <row r="5378" spans="1:40" x14ac:dyDescent="0.3">
      <c r="A5378" t="str">
        <f>"20200111160609669"</f>
        <v>20200111160609669</v>
      </c>
      <c r="B5378" t="str">
        <f>"1578729969657874"</f>
        <v>1578729969657874</v>
      </c>
      <c r="C5378" t="s">
        <v>40</v>
      </c>
      <c r="D5378">
        <v>5.1795540000000004</v>
      </c>
      <c r="E5378">
        <v>0.59134909999999996</v>
      </c>
      <c r="F5378" t="s">
        <v>42</v>
      </c>
      <c r="G5378">
        <v>-330.55840000000001</v>
      </c>
      <c r="H5378">
        <v>1.0411159999999999</v>
      </c>
      <c r="I5378">
        <v>17.848890000000001</v>
      </c>
      <c r="J5378">
        <v>-331.23289999999997</v>
      </c>
      <c r="K5378">
        <v>1.110196</v>
      </c>
      <c r="L5378">
        <v>17.965060000000001</v>
      </c>
      <c r="M5378">
        <v>0.99968190000000001</v>
      </c>
      <c r="N5378">
        <v>0</v>
      </c>
      <c r="O5378">
        <v>2.1468660000000001E-2</v>
      </c>
      <c r="P5378">
        <v>0.99521820000000005</v>
      </c>
      <c r="Q5378">
        <v>-1.764609E-2</v>
      </c>
      <c r="R5378">
        <v>9.6070030000000001E-2</v>
      </c>
      <c r="S5378">
        <v>3.0512700000000001</v>
      </c>
      <c r="T5378">
        <v>-0.26007710000000001</v>
      </c>
      <c r="U5378">
        <v>-0.42648320000000001</v>
      </c>
      <c r="V5378">
        <v>-7.4683749999999993E-2</v>
      </c>
      <c r="W5378">
        <v>-4.3799549999999996E-3</v>
      </c>
      <c r="X5378">
        <v>0.99719760000000002</v>
      </c>
      <c r="Y5378">
        <v>0.159016299999999</v>
      </c>
      <c r="Z5378">
        <v>-8.5506499999999999E-3</v>
      </c>
      <c r="AA5378">
        <v>0.98723890000000003</v>
      </c>
      <c r="AB5378">
        <v>27</v>
      </c>
      <c r="AC5378">
        <v>0.67449999999996602</v>
      </c>
      <c r="AD5378">
        <v>-6.9080000000000003E-2</v>
      </c>
      <c r="AE5378">
        <v>-0.11617</v>
      </c>
      <c r="AF5378">
        <v>0.129307844245097</v>
      </c>
      <c r="AG5378">
        <v>-6.9080000000000003E-2</v>
      </c>
      <c r="AH5378">
        <v>0.66507517602784805</v>
      </c>
      <c r="AI5378">
        <v>95.821687796746104</v>
      </c>
      <c r="AJ5378">
        <v>78.997482581314102</v>
      </c>
      <c r="AK5378">
        <v>0.68104152204677404</v>
      </c>
      <c r="AL5378">
        <v>90.250953750896599</v>
      </c>
      <c r="AM5378">
        <v>94.2830929278513</v>
      </c>
      <c r="AN5378">
        <v>0.99999994998281105</v>
      </c>
    </row>
    <row r="5379" spans="1:40" x14ac:dyDescent="0.3">
      <c r="A5379" t="str">
        <f>"20200111160609680"</f>
        <v>20200111160609680</v>
      </c>
      <c r="B5379" t="str">
        <f>"1578729969677396"</f>
        <v>1578729969677396</v>
      </c>
      <c r="C5379" t="s">
        <v>40</v>
      </c>
      <c r="D5379">
        <v>5.2167279999999998</v>
      </c>
      <c r="E5379">
        <v>0.59249019999999997</v>
      </c>
      <c r="F5379" t="s">
        <v>42</v>
      </c>
      <c r="G5379">
        <v>-330.32600000000002</v>
      </c>
      <c r="H5379">
        <v>1.032713</v>
      </c>
      <c r="I5379">
        <v>17.836500000000001</v>
      </c>
      <c r="J5379">
        <v>-331.09460000000001</v>
      </c>
      <c r="K5379">
        <v>1.110201</v>
      </c>
      <c r="L5379">
        <v>17.9678</v>
      </c>
      <c r="M5379">
        <v>0.99968480000000004</v>
      </c>
      <c r="N5379">
        <v>0</v>
      </c>
      <c r="O5379">
        <v>2.124848E-2</v>
      </c>
      <c r="P5379">
        <v>0.99525490000000005</v>
      </c>
      <c r="Q5379">
        <v>-1.806046E-2</v>
      </c>
      <c r="R5379">
        <v>9.5611299999999996E-2</v>
      </c>
      <c r="S5379">
        <v>3.0514830000000002</v>
      </c>
      <c r="T5379">
        <v>-0.26074560000000002</v>
      </c>
      <c r="U5379">
        <v>-0.43167109999999898</v>
      </c>
      <c r="V5379">
        <v>-7.4443999999999996E-2</v>
      </c>
      <c r="W5379">
        <v>-4.6666640000000001E-3</v>
      </c>
      <c r="X5379">
        <v>0.9972143</v>
      </c>
      <c r="Y5379">
        <v>0.16042790000000001</v>
      </c>
      <c r="Z5379">
        <v>-8.6121740000000002E-3</v>
      </c>
      <c r="AA5379">
        <v>0.98701000000000005</v>
      </c>
      <c r="AB5379">
        <v>27</v>
      </c>
      <c r="AC5379">
        <v>0.76860000000004902</v>
      </c>
      <c r="AD5379">
        <v>-7.7488000000000001E-2</v>
      </c>
      <c r="AE5379">
        <v>-0.131299999999999</v>
      </c>
      <c r="AF5379">
        <v>0.14615993528600699</v>
      </c>
      <c r="AG5379">
        <v>-7.7488000000000001E-2</v>
      </c>
      <c r="AH5379">
        <v>0.75814888044589801</v>
      </c>
      <c r="AI5379">
        <v>95.730950854865497</v>
      </c>
      <c r="AJ5379">
        <v>79.088088057411994</v>
      </c>
      <c r="AK5379">
        <v>0.77598765566739403</v>
      </c>
      <c r="AL5379">
        <v>90.267381115819603</v>
      </c>
      <c r="AM5379">
        <v>94.269323017456998</v>
      </c>
      <c r="AN5379">
        <v>1.0000000235066799</v>
      </c>
    </row>
    <row r="5380" spans="1:40" x14ac:dyDescent="0.3">
      <c r="A5380" t="str">
        <f>"20200111160609693"</f>
        <v>20200111160609693</v>
      </c>
      <c r="B5380" t="str">
        <f>"1578729969687154"</f>
        <v>1578729969687154</v>
      </c>
      <c r="C5380" t="s">
        <v>40</v>
      </c>
      <c r="D5380">
        <v>5.2055639999999999</v>
      </c>
      <c r="E5380">
        <v>0.5930183</v>
      </c>
      <c r="F5380" t="s">
        <v>42</v>
      </c>
      <c r="G5380">
        <v>-330.31959999999998</v>
      </c>
      <c r="H5380">
        <v>1.0437730000000001</v>
      </c>
      <c r="I5380">
        <v>17.85529</v>
      </c>
      <c r="J5380">
        <v>-330.95960000000002</v>
      </c>
      <c r="K5380">
        <v>1.1102030000000001</v>
      </c>
      <c r="L5380">
        <v>17.97043</v>
      </c>
      <c r="M5380">
        <v>0.99968789999999996</v>
      </c>
      <c r="N5380">
        <v>0</v>
      </c>
      <c r="O5380">
        <v>2.1031850000000001E-2</v>
      </c>
      <c r="P5380">
        <v>0.99528930000000004</v>
      </c>
      <c r="Q5380">
        <v>-1.8225370000000001E-2</v>
      </c>
      <c r="R5380">
        <v>9.5221970000000003E-2</v>
      </c>
      <c r="S5380">
        <v>3.052063</v>
      </c>
      <c r="T5380">
        <v>-0.26159759999999999</v>
      </c>
      <c r="U5380">
        <v>-0.44207760000000001</v>
      </c>
      <c r="V5380">
        <v>-7.4270409999999995E-2</v>
      </c>
      <c r="W5380">
        <v>-4.717209E-3</v>
      </c>
      <c r="X5380">
        <v>0.99722699999999997</v>
      </c>
      <c r="Y5380">
        <v>0.16347130000000001</v>
      </c>
      <c r="Z5380">
        <v>-8.7476120000000001E-3</v>
      </c>
      <c r="AA5380">
        <v>0.98650930000000003</v>
      </c>
      <c r="AB5380">
        <v>27</v>
      </c>
      <c r="AC5380">
        <v>0.64000000000004298</v>
      </c>
      <c r="AD5380">
        <v>-6.6429999999999906E-2</v>
      </c>
      <c r="AE5380">
        <v>-0.11514000000000001</v>
      </c>
      <c r="AF5380">
        <v>0.12724817058401</v>
      </c>
      <c r="AG5380">
        <v>-6.6429999999999906E-2</v>
      </c>
      <c r="AH5380">
        <v>0.63085299070782397</v>
      </c>
      <c r="AI5380">
        <v>95.893366337573596</v>
      </c>
      <c r="AJ5380">
        <v>78.595994616232005</v>
      </c>
      <c r="AK5380">
        <v>0.64697800403258199</v>
      </c>
      <c r="AL5380">
        <v>90.270277164375301</v>
      </c>
      <c r="AM5380">
        <v>94.259350360752507</v>
      </c>
      <c r="AN5380">
        <v>1.0000000176956501</v>
      </c>
    </row>
    <row r="5381" spans="1:40" x14ac:dyDescent="0.3">
      <c r="A5381" t="str">
        <f>"20200111160609704"</f>
        <v>20200111160609704</v>
      </c>
      <c r="B5381" t="str">
        <f>"1578729969697890"</f>
        <v>1578729969697890</v>
      </c>
      <c r="C5381" t="s">
        <v>40</v>
      </c>
      <c r="D5381">
        <v>5.2128170000000003</v>
      </c>
      <c r="E5381">
        <v>0.59337280000000003</v>
      </c>
      <c r="F5381" t="s">
        <v>42</v>
      </c>
      <c r="G5381">
        <v>-330.08769999999998</v>
      </c>
      <c r="H5381">
        <v>1.0353429999999999</v>
      </c>
      <c r="I5381">
        <v>17.842449999999999</v>
      </c>
      <c r="J5381">
        <v>-330.81459999999998</v>
      </c>
      <c r="K5381">
        <v>1.110209</v>
      </c>
      <c r="L5381">
        <v>17.973240000000001</v>
      </c>
      <c r="M5381">
        <v>0.99969110000000005</v>
      </c>
      <c r="N5381">
        <v>0</v>
      </c>
      <c r="O5381">
        <v>2.0798959999999998E-2</v>
      </c>
      <c r="P5381">
        <v>0.9953322</v>
      </c>
      <c r="Q5381">
        <v>-1.868707E-2</v>
      </c>
      <c r="R5381">
        <v>9.4682539999999996E-2</v>
      </c>
      <c r="S5381">
        <v>3.052216</v>
      </c>
      <c r="T5381">
        <v>-0.26203140000000003</v>
      </c>
      <c r="U5381">
        <v>-0.4473877</v>
      </c>
      <c r="V5381">
        <v>-7.3962159999999999E-2</v>
      </c>
      <c r="W5381">
        <v>-5.0610469999999999E-3</v>
      </c>
      <c r="X5381">
        <v>0.99724820000000003</v>
      </c>
      <c r="Y5381">
        <v>0.16490869999999999</v>
      </c>
      <c r="Z5381">
        <v>-8.8019529999999995E-3</v>
      </c>
      <c r="AA5381">
        <v>0.98626959999999997</v>
      </c>
      <c r="AB5381">
        <v>26</v>
      </c>
      <c r="AC5381">
        <v>0.72689999999999999</v>
      </c>
      <c r="AD5381">
        <v>-7.4865999999999794E-2</v>
      </c>
      <c r="AE5381">
        <v>-0.13079000000000099</v>
      </c>
      <c r="AF5381">
        <v>0.14439817118033901</v>
      </c>
      <c r="AG5381">
        <v>-7.4865999999999794E-2</v>
      </c>
      <c r="AH5381">
        <v>0.71665849702784601</v>
      </c>
      <c r="AI5381">
        <v>95.847123891931304</v>
      </c>
      <c r="AJ5381">
        <v>78.608107546438106</v>
      </c>
      <c r="AK5381">
        <v>0.73488444748711101</v>
      </c>
      <c r="AL5381">
        <v>90.289977872733004</v>
      </c>
      <c r="AM5381">
        <v>94.241647274001096</v>
      </c>
      <c r="AN5381">
        <v>0.99999999385591998</v>
      </c>
    </row>
    <row r="5382" spans="1:40" x14ac:dyDescent="0.3">
      <c r="A5382" t="str">
        <f>"20200111160609714"</f>
        <v>20200111160609714</v>
      </c>
      <c r="B5382" t="str">
        <f>"1578729969707650"</f>
        <v>1578729969707650</v>
      </c>
      <c r="C5382" t="s">
        <v>40</v>
      </c>
      <c r="D5382">
        <v>5.2396269999999996</v>
      </c>
      <c r="E5382">
        <v>0.59362729999999997</v>
      </c>
      <c r="F5382" t="s">
        <v>42</v>
      </c>
      <c r="G5382">
        <v>-329.85480000000001</v>
      </c>
      <c r="H5382">
        <v>1.0271749999999999</v>
      </c>
      <c r="I5382">
        <v>17.830819999999999</v>
      </c>
      <c r="J5382">
        <v>-330.68200000000002</v>
      </c>
      <c r="K5382">
        <v>1.110209</v>
      </c>
      <c r="L5382">
        <v>17.975770000000001</v>
      </c>
      <c r="M5382">
        <v>0.99969430000000004</v>
      </c>
      <c r="N5382">
        <v>0</v>
      </c>
      <c r="O5382">
        <v>2.058254E-2</v>
      </c>
      <c r="P5382">
        <v>0.99538519999999997</v>
      </c>
      <c r="Q5382">
        <v>-1.8787689999999999E-2</v>
      </c>
      <c r="R5382">
        <v>9.4102679999999994E-2</v>
      </c>
      <c r="S5382">
        <v>3.0520939999999999</v>
      </c>
      <c r="T5382">
        <v>-0.26400380000000001</v>
      </c>
      <c r="U5382">
        <v>-0.45187379999999999</v>
      </c>
      <c r="V5382">
        <v>-7.3596949999999994E-2</v>
      </c>
      <c r="W5382">
        <v>-5.0655910000000004E-3</v>
      </c>
      <c r="X5382">
        <v>0.99727520000000003</v>
      </c>
      <c r="Y5382">
        <v>0.166106</v>
      </c>
      <c r="Z5382">
        <v>-8.9001940000000002E-3</v>
      </c>
      <c r="AA5382">
        <v>0.98606769999999999</v>
      </c>
      <c r="AB5382">
        <v>26</v>
      </c>
      <c r="AC5382">
        <v>0.82719999999994798</v>
      </c>
      <c r="AD5382">
        <v>-8.3033999999999997E-2</v>
      </c>
      <c r="AE5382">
        <v>-0.144949999999997</v>
      </c>
      <c r="AF5382">
        <v>0.160378915893788</v>
      </c>
      <c r="AG5382">
        <v>-8.3033999999999997E-2</v>
      </c>
      <c r="AH5382">
        <v>0.81606326691118203</v>
      </c>
      <c r="AI5382">
        <v>95.701497830723895</v>
      </c>
      <c r="AJ5382">
        <v>78.881499100992201</v>
      </c>
      <c r="AK5382">
        <v>0.83580817022868203</v>
      </c>
      <c r="AL5382">
        <v>90.290238226920906</v>
      </c>
      <c r="AM5382">
        <v>94.220664906756298</v>
      </c>
      <c r="AN5382">
        <v>0.99999999789826</v>
      </c>
    </row>
    <row r="5383" spans="1:40" x14ac:dyDescent="0.3">
      <c r="A5383" t="str">
        <f>"20200111160609727"</f>
        <v>20200111160609727</v>
      </c>
      <c r="B5383" t="str">
        <f>"1578729969717411"</f>
        <v>1578729969717411</v>
      </c>
      <c r="C5383" t="s">
        <v>40</v>
      </c>
      <c r="D5383">
        <v>5.2273560000000003</v>
      </c>
      <c r="E5383">
        <v>0.59389969999999903</v>
      </c>
      <c r="F5383" t="s">
        <v>42</v>
      </c>
      <c r="G5383">
        <v>-329.85039999999998</v>
      </c>
      <c r="H5383">
        <v>1.0377259999999999</v>
      </c>
      <c r="I5383">
        <v>17.85134</v>
      </c>
      <c r="J5383">
        <v>-330.54939999999999</v>
      </c>
      <c r="K5383">
        <v>1.1102110000000001</v>
      </c>
      <c r="L5383">
        <v>17.97824</v>
      </c>
      <c r="M5383">
        <v>0.99969739999999996</v>
      </c>
      <c r="N5383">
        <v>0</v>
      </c>
      <c r="O5383">
        <v>2.0364750000000001E-2</v>
      </c>
      <c r="P5383">
        <v>0.99545629999999996</v>
      </c>
      <c r="Q5383">
        <v>-1.90625E-2</v>
      </c>
      <c r="R5383">
        <v>9.3291189999999996E-2</v>
      </c>
      <c r="S5383">
        <v>3.0519409999999998</v>
      </c>
      <c r="T5383">
        <v>-0.26598359999999999</v>
      </c>
      <c r="U5383">
        <v>-0.4555054</v>
      </c>
      <c r="V5383">
        <v>-7.3001969999999999E-2</v>
      </c>
      <c r="W5383">
        <v>-5.2472650000000001E-3</v>
      </c>
      <c r="X5383">
        <v>0.99731800000000004</v>
      </c>
      <c r="Y5383">
        <v>0.1670335</v>
      </c>
      <c r="Z5383">
        <v>-8.9876299999999999E-3</v>
      </c>
      <c r="AA5383">
        <v>0.98591019999999896</v>
      </c>
      <c r="AB5383">
        <v>26</v>
      </c>
      <c r="AC5383">
        <v>0.69900000000001195</v>
      </c>
      <c r="AD5383">
        <v>-7.2485000000000105E-2</v>
      </c>
      <c r="AE5383">
        <v>-0.12689999999999901</v>
      </c>
      <c r="AF5383">
        <v>0.13965614538075299</v>
      </c>
      <c r="AG5383">
        <v>-7.2485000000000105E-2</v>
      </c>
      <c r="AH5383">
        <v>0.68909684384374004</v>
      </c>
      <c r="AI5383">
        <v>95.885973874993795</v>
      </c>
      <c r="AJ5383">
        <v>78.543295981662894</v>
      </c>
      <c r="AK5383">
        <v>0.70683263532678997</v>
      </c>
      <c r="AL5383">
        <v>90.300647515972997</v>
      </c>
      <c r="AM5383">
        <v>94.186486562164006</v>
      </c>
      <c r="AN5383">
        <v>1.0000000072689299</v>
      </c>
    </row>
    <row r="5384" spans="1:40" x14ac:dyDescent="0.3">
      <c r="A5384" t="str">
        <f>"20200111160609736"</f>
        <v>20200111160609736</v>
      </c>
      <c r="B5384" t="str">
        <f>"1578729969727171"</f>
        <v>1578729969727171</v>
      </c>
      <c r="C5384" t="s">
        <v>40</v>
      </c>
      <c r="D5384">
        <v>5.2132990000000001</v>
      </c>
      <c r="E5384">
        <v>0.59410509999999905</v>
      </c>
      <c r="F5384" t="s">
        <v>42</v>
      </c>
      <c r="G5384">
        <v>-329.61869999999999</v>
      </c>
      <c r="H5384">
        <v>1.028548</v>
      </c>
      <c r="I5384">
        <v>17.837510000000002</v>
      </c>
      <c r="J5384">
        <v>-330.42</v>
      </c>
      <c r="K5384">
        <v>1.1102080000000001</v>
      </c>
      <c r="L5384">
        <v>17.980650000000001</v>
      </c>
      <c r="M5384">
        <v>0.9997007</v>
      </c>
      <c r="N5384">
        <v>0</v>
      </c>
      <c r="O5384">
        <v>2.0148019999999999E-2</v>
      </c>
      <c r="P5384">
        <v>0.99551970000000001</v>
      </c>
      <c r="Q5384">
        <v>-1.928879E-2</v>
      </c>
      <c r="R5384">
        <v>9.2566049999999997E-2</v>
      </c>
      <c r="S5384">
        <v>3.0516359999999998</v>
      </c>
      <c r="T5384">
        <v>-0.26770250000000001</v>
      </c>
      <c r="U5384">
        <v>-0.46002199999999999</v>
      </c>
      <c r="V5384">
        <v>-7.2492119999999993E-2</v>
      </c>
      <c r="W5384">
        <v>-5.3906539999999999E-3</v>
      </c>
      <c r="X5384">
        <v>0.99735439999999997</v>
      </c>
      <c r="Y5384">
        <v>0.16824839999999999</v>
      </c>
      <c r="Z5384">
        <v>-9.0794199999999995E-3</v>
      </c>
      <c r="AA5384">
        <v>0.98570279999999999</v>
      </c>
      <c r="AB5384">
        <v>26</v>
      </c>
      <c r="AC5384">
        <v>0.80130000000002599</v>
      </c>
      <c r="AD5384">
        <v>-8.1659999999999996E-2</v>
      </c>
      <c r="AE5384">
        <v>-0.14313999999999799</v>
      </c>
      <c r="AF5384">
        <v>0.15767024989181599</v>
      </c>
      <c r="AG5384">
        <v>-8.1659999999999996E-2</v>
      </c>
      <c r="AH5384">
        <v>0.79029918438453906</v>
      </c>
      <c r="AI5384">
        <v>95.786088347915296</v>
      </c>
      <c r="AJ5384">
        <v>78.717228374913105</v>
      </c>
      <c r="AK5384">
        <v>0.81000065687616296</v>
      </c>
      <c r="AL5384">
        <v>90.308863224191199</v>
      </c>
      <c r="AM5384">
        <v>94.157199575506993</v>
      </c>
      <c r="AN5384">
        <v>0.99999998290600001</v>
      </c>
    </row>
    <row r="5385" spans="1:40" x14ac:dyDescent="0.3">
      <c r="A5385" t="str">
        <f>"20200111160609748"</f>
        <v>20200111160609748</v>
      </c>
      <c r="B5385" t="str">
        <f>"1578729969737907"</f>
        <v>1578729969737907</v>
      </c>
      <c r="C5385" t="s">
        <v>40</v>
      </c>
      <c r="D5385">
        <v>5.2338370000000003</v>
      </c>
      <c r="E5385">
        <v>0.59428110000000001</v>
      </c>
      <c r="F5385" t="s">
        <v>42</v>
      </c>
      <c r="G5385">
        <v>-329.61399999999998</v>
      </c>
      <c r="H5385">
        <v>1.039102</v>
      </c>
      <c r="I5385">
        <v>17.85773</v>
      </c>
      <c r="J5385">
        <v>-330.29469999999998</v>
      </c>
      <c r="K5385">
        <v>1.110204</v>
      </c>
      <c r="L5385">
        <v>17.982939999999999</v>
      </c>
      <c r="M5385">
        <v>0.99970409999999998</v>
      </c>
      <c r="N5385">
        <v>0</v>
      </c>
      <c r="O5385">
        <v>1.9933759999999998E-2</v>
      </c>
      <c r="P5385">
        <v>0.99558199999999997</v>
      </c>
      <c r="Q5385">
        <v>-1.9266769999999999E-2</v>
      </c>
      <c r="R5385">
        <v>9.189957E-2</v>
      </c>
      <c r="S5385">
        <v>3.0513919999999999</v>
      </c>
      <c r="T5385">
        <v>-0.2691308</v>
      </c>
      <c r="U5385">
        <v>-0.46374510000000002</v>
      </c>
      <c r="V5385">
        <v>-7.2037950000000003E-2</v>
      </c>
      <c r="W5385">
        <v>-5.292298E-3</v>
      </c>
      <c r="X5385">
        <v>0.99738780000000005</v>
      </c>
      <c r="Y5385">
        <v>0.16921420000000001</v>
      </c>
      <c r="Z5385">
        <v>-9.1510819999999996E-3</v>
      </c>
      <c r="AA5385">
        <v>0.98553679999999999</v>
      </c>
      <c r="AB5385">
        <v>26</v>
      </c>
      <c r="AC5385">
        <v>0.68069999999994402</v>
      </c>
      <c r="AD5385">
        <v>-7.1102000000000207E-2</v>
      </c>
      <c r="AE5385">
        <v>-0.12520999999999899</v>
      </c>
      <c r="AF5385">
        <v>0.13730626921700001</v>
      </c>
      <c r="AG5385">
        <v>-7.1102000000000207E-2</v>
      </c>
      <c r="AH5385">
        <v>0.67098723673694904</v>
      </c>
      <c r="AI5385">
        <v>95.926925443358996</v>
      </c>
      <c r="AJ5385">
        <v>78.435043428287003</v>
      </c>
      <c r="AK5385">
        <v>0.68857271063713998</v>
      </c>
      <c r="AL5385">
        <v>90.303227770252306</v>
      </c>
      <c r="AM5385">
        <v>94.131106921344795</v>
      </c>
      <c r="AN5385">
        <v>0.99999994912358003</v>
      </c>
    </row>
    <row r="5386" spans="1:40" x14ac:dyDescent="0.3">
      <c r="A5386" t="str">
        <f>"20200111160609761"</f>
        <v>20200111160609761</v>
      </c>
      <c r="B5386" t="str">
        <f>"1578729969757426"</f>
        <v>1578729969757426</v>
      </c>
      <c r="C5386" t="s">
        <v>40</v>
      </c>
      <c r="D5386">
        <v>5.2860060000000004</v>
      </c>
      <c r="E5386">
        <v>0.59453159999999905</v>
      </c>
      <c r="F5386" t="s">
        <v>42</v>
      </c>
      <c r="G5386">
        <v>-329.38330000000002</v>
      </c>
      <c r="H5386">
        <v>1.0297529999999999</v>
      </c>
      <c r="I5386">
        <v>17.843499999999999</v>
      </c>
      <c r="J5386">
        <v>-330.14830000000001</v>
      </c>
      <c r="K5386">
        <v>1.110196</v>
      </c>
      <c r="L5386">
        <v>17.985600000000002</v>
      </c>
      <c r="M5386">
        <v>0.99970789999999998</v>
      </c>
      <c r="N5386">
        <v>0</v>
      </c>
      <c r="O5386">
        <v>1.9676949999999999E-2</v>
      </c>
      <c r="P5386">
        <v>0.99565479999999995</v>
      </c>
      <c r="Q5386">
        <v>-1.9492039999999999E-2</v>
      </c>
      <c r="R5386">
        <v>9.1060760000000004E-2</v>
      </c>
      <c r="S5386">
        <v>3.0512079999999999</v>
      </c>
      <c r="T5386">
        <v>-0.26932640000000002</v>
      </c>
      <c r="U5386">
        <v>-0.4671631</v>
      </c>
      <c r="V5386">
        <v>-7.1454340000000005E-2</v>
      </c>
      <c r="W5386">
        <v>-5.4343689999999997E-3</v>
      </c>
      <c r="X5386">
        <v>0.99742909999999996</v>
      </c>
      <c r="Y5386">
        <v>0.17004549999999999</v>
      </c>
      <c r="Z5386">
        <v>-9.1713899999999998E-3</v>
      </c>
      <c r="AA5386">
        <v>0.98539350000000003</v>
      </c>
      <c r="AB5386">
        <v>26</v>
      </c>
      <c r="AC5386">
        <v>0.76499999999998602</v>
      </c>
      <c r="AD5386">
        <v>-8.0442999999999806E-2</v>
      </c>
      <c r="AE5386">
        <v>-0.142100000000002</v>
      </c>
      <c r="AF5386">
        <v>0.15546512424060299</v>
      </c>
      <c r="AG5386">
        <v>-8.0442999999999806E-2</v>
      </c>
      <c r="AH5386">
        <v>0.75399630972299003</v>
      </c>
      <c r="AI5386">
        <v>95.9652362918699</v>
      </c>
      <c r="AJ5386">
        <v>78.349557143028093</v>
      </c>
      <c r="AK5386">
        <v>0.77404839395223501</v>
      </c>
      <c r="AL5386">
        <v>90.311367930544506</v>
      </c>
      <c r="AM5386">
        <v>94.097584447703596</v>
      </c>
      <c r="AN5386">
        <v>1.0000000322990299</v>
      </c>
    </row>
    <row r="5387" spans="1:40" x14ac:dyDescent="0.3">
      <c r="A5387" t="str">
        <f>"20200111160609773"</f>
        <v>20200111160609773</v>
      </c>
      <c r="B5387" t="str">
        <f>"1578729969767186"</f>
        <v>1578729969767186</v>
      </c>
      <c r="C5387" t="s">
        <v>40</v>
      </c>
      <c r="D5387">
        <v>5.3014839999999896</v>
      </c>
      <c r="E5387">
        <v>0.59463180000000004</v>
      </c>
      <c r="F5387" t="s">
        <v>42</v>
      </c>
      <c r="G5387">
        <v>-329.37509999999997</v>
      </c>
      <c r="H5387">
        <v>1.0415490000000001</v>
      </c>
      <c r="I5387">
        <v>17.866150000000001</v>
      </c>
      <c r="J5387">
        <v>-330.01350000000002</v>
      </c>
      <c r="K5387">
        <v>1.1101840000000001</v>
      </c>
      <c r="L5387">
        <v>17.98798</v>
      </c>
      <c r="M5387">
        <v>0.99971189999999999</v>
      </c>
      <c r="N5387">
        <v>0</v>
      </c>
      <c r="O5387">
        <v>1.9426559999999999E-2</v>
      </c>
      <c r="P5387">
        <v>0.99572419999999995</v>
      </c>
      <c r="Q5387">
        <v>-1.9902019999999999E-2</v>
      </c>
      <c r="R5387">
        <v>9.0206759999999997E-2</v>
      </c>
      <c r="S5387">
        <v>3.0509029999999999</v>
      </c>
      <c r="T5387">
        <v>-0.27086369999999999</v>
      </c>
      <c r="U5387">
        <v>-0.47174070000000001</v>
      </c>
      <c r="V5387">
        <v>-7.0849209999999996E-2</v>
      </c>
      <c r="W5387">
        <v>-5.7740959999999899E-3</v>
      </c>
      <c r="X5387">
        <v>0.99747030000000003</v>
      </c>
      <c r="Y5387">
        <v>0.17124589999999901</v>
      </c>
      <c r="Z5387">
        <v>-9.2542100000000006E-3</v>
      </c>
      <c r="AA5387">
        <v>0.98518479999999997</v>
      </c>
      <c r="AB5387">
        <v>26</v>
      </c>
      <c r="AC5387">
        <v>0.63840000000004604</v>
      </c>
      <c r="AD5387">
        <v>-6.8635000000000002E-2</v>
      </c>
      <c r="AE5387">
        <v>-0.12182999999999899</v>
      </c>
      <c r="AF5387">
        <v>0.13272988921355899</v>
      </c>
      <c r="AG5387">
        <v>-6.8635000000000002E-2</v>
      </c>
      <c r="AH5387">
        <v>0.62889876548420198</v>
      </c>
      <c r="AI5387">
        <v>96.095114189409202</v>
      </c>
      <c r="AJ5387">
        <v>78.082543326923997</v>
      </c>
      <c r="AK5387">
        <v>0.646406717124131</v>
      </c>
      <c r="AL5387">
        <v>90.330833177910904</v>
      </c>
      <c r="AM5387">
        <v>94.062832420864197</v>
      </c>
      <c r="AN5387">
        <v>0.99999997506216498</v>
      </c>
    </row>
    <row r="5388" spans="1:40" x14ac:dyDescent="0.3">
      <c r="A5388" t="str">
        <f>"20200111160609784"</f>
        <v>20200111160609784</v>
      </c>
      <c r="B5388" t="str">
        <f>"1578729969777922"</f>
        <v>1578729969777922</v>
      </c>
      <c r="C5388" t="s">
        <v>40</v>
      </c>
      <c r="D5388">
        <v>5.2695499999999997</v>
      </c>
      <c r="E5388">
        <v>0.59474780000000005</v>
      </c>
      <c r="F5388" t="s">
        <v>42</v>
      </c>
      <c r="G5388">
        <v>-329.14760000000001</v>
      </c>
      <c r="H5388">
        <v>1.0328349999999999</v>
      </c>
      <c r="I5388">
        <v>17.85294</v>
      </c>
      <c r="J5388">
        <v>-329.86880000000002</v>
      </c>
      <c r="K5388">
        <v>1.110171</v>
      </c>
      <c r="L5388">
        <v>17.99051</v>
      </c>
      <c r="M5388">
        <v>0.9997161</v>
      </c>
      <c r="N5388">
        <v>0</v>
      </c>
      <c r="O5388">
        <v>1.9150830000000001E-2</v>
      </c>
      <c r="P5388">
        <v>0.99579240000000002</v>
      </c>
      <c r="Q5388">
        <v>-2.029268E-2</v>
      </c>
      <c r="R5388">
        <v>8.9362839999999999E-2</v>
      </c>
      <c r="S5388">
        <v>3.0504760000000002</v>
      </c>
      <c r="T5388">
        <v>-0.27245970000000003</v>
      </c>
      <c r="U5388">
        <v>-0.47518919999999998</v>
      </c>
      <c r="V5388">
        <v>-7.0279739999999993E-2</v>
      </c>
      <c r="W5388">
        <v>-6.0922469999999899E-3</v>
      </c>
      <c r="X5388">
        <v>0.99750870000000003</v>
      </c>
      <c r="Y5388">
        <v>0.17207159999999999</v>
      </c>
      <c r="Z5388">
        <v>-9.3211509999999997E-3</v>
      </c>
      <c r="AA5388">
        <v>0.98504040000000004</v>
      </c>
      <c r="AB5388">
        <v>26</v>
      </c>
      <c r="AC5388">
        <v>0.72120000000001006</v>
      </c>
      <c r="AD5388">
        <v>-7.7336000000000002E-2</v>
      </c>
      <c r="AE5388">
        <v>-0.13757</v>
      </c>
      <c r="AF5388">
        <v>0.14969683393449801</v>
      </c>
      <c r="AG5388">
        <v>-7.7336000000000002E-2</v>
      </c>
      <c r="AH5388">
        <v>0.71054926540087104</v>
      </c>
      <c r="AI5388">
        <v>96.079191387277604</v>
      </c>
      <c r="AJ5388">
        <v>78.103040591629195</v>
      </c>
      <c r="AK5388">
        <v>0.73025355702504502</v>
      </c>
      <c r="AL5388">
        <v>90.349062206442099</v>
      </c>
      <c r="AM5388">
        <v>94.030129698253404</v>
      </c>
      <c r="AN5388">
        <v>0.99999998195183304</v>
      </c>
    </row>
    <row r="5389" spans="1:40" x14ac:dyDescent="0.3">
      <c r="A5389" t="str">
        <f>"20200111160609796"</f>
        <v>20200111160609796</v>
      </c>
      <c r="B5389" t="str">
        <f>"1578729969787681"</f>
        <v>1578729969787681</v>
      </c>
      <c r="C5389" t="s">
        <v>40</v>
      </c>
      <c r="D5389">
        <v>5.3251780000000002</v>
      </c>
      <c r="E5389">
        <v>0.59490500000000002</v>
      </c>
      <c r="F5389" t="s">
        <v>42</v>
      </c>
      <c r="G5389">
        <v>-328.91629999999998</v>
      </c>
      <c r="H5389">
        <v>1.024651</v>
      </c>
      <c r="I5389">
        <v>17.84103</v>
      </c>
      <c r="J5389">
        <v>-329.72629999999998</v>
      </c>
      <c r="K5389">
        <v>1.1101540000000001</v>
      </c>
      <c r="L5389">
        <v>17.992920000000002</v>
      </c>
      <c r="M5389">
        <v>0.99972099999999997</v>
      </c>
      <c r="N5389">
        <v>0</v>
      </c>
      <c r="O5389">
        <v>1.885059E-2</v>
      </c>
      <c r="P5389">
        <v>0.99587060000000005</v>
      </c>
      <c r="Q5389">
        <v>-2.0678490000000001E-2</v>
      </c>
      <c r="R5389">
        <v>8.8398820000000003E-2</v>
      </c>
      <c r="S5389">
        <v>3.050049</v>
      </c>
      <c r="T5389">
        <v>-0.27380379999999999</v>
      </c>
      <c r="U5389">
        <v>-0.47866819999999999</v>
      </c>
      <c r="V5389">
        <v>-6.9614629999999997E-2</v>
      </c>
      <c r="W5389">
        <v>-6.4134939999999996E-3</v>
      </c>
      <c r="X5389">
        <v>0.99755329999999998</v>
      </c>
      <c r="Y5389">
        <v>0.17288410000000001</v>
      </c>
      <c r="Z5389">
        <v>-9.3768600000000007E-3</v>
      </c>
      <c r="AA5389">
        <v>0.98489760000000004</v>
      </c>
      <c r="AB5389">
        <v>26</v>
      </c>
      <c r="AC5389">
        <v>0.81000000000000205</v>
      </c>
      <c r="AD5389">
        <v>-8.5503000000000107E-2</v>
      </c>
      <c r="AE5389">
        <v>-0.151890000000001</v>
      </c>
      <c r="AF5389">
        <v>0.16535362217240401</v>
      </c>
      <c r="AG5389">
        <v>-8.5503000000000107E-2</v>
      </c>
      <c r="AH5389">
        <v>0.79839837615067799</v>
      </c>
      <c r="AI5389">
        <v>95.9865960066074</v>
      </c>
      <c r="AJ5389">
        <v>78.299087071409005</v>
      </c>
      <c r="AK5389">
        <v>0.81981250930598404</v>
      </c>
      <c r="AL5389">
        <v>90.367468672779296</v>
      </c>
      <c r="AM5389">
        <v>93.991935549084602</v>
      </c>
      <c r="AN5389">
        <v>0.99999995797810604</v>
      </c>
    </row>
    <row r="5390" spans="1:40" x14ac:dyDescent="0.3">
      <c r="A5390" t="str">
        <f>"20200111160609808"</f>
        <v>20200111160609808</v>
      </c>
      <c r="B5390" t="str">
        <f>"1578729969797442"</f>
        <v>1578729969797442</v>
      </c>
      <c r="C5390" t="s">
        <v>40</v>
      </c>
      <c r="D5390">
        <v>5.2664109999999997</v>
      </c>
      <c r="E5390">
        <v>0.59498309999999999</v>
      </c>
      <c r="F5390" t="s">
        <v>42</v>
      </c>
      <c r="G5390">
        <v>-328.91129999999998</v>
      </c>
      <c r="H5390">
        <v>1.0367740000000001</v>
      </c>
      <c r="I5390">
        <v>17.86383</v>
      </c>
      <c r="J5390">
        <v>-329.59730000000002</v>
      </c>
      <c r="K5390">
        <v>1.1101259999999999</v>
      </c>
      <c r="L5390">
        <v>17.995059999999999</v>
      </c>
      <c r="M5390">
        <v>0.99972559999999999</v>
      </c>
      <c r="N5390">
        <v>0</v>
      </c>
      <c r="O5390">
        <v>1.8565890000000002E-2</v>
      </c>
      <c r="P5390">
        <v>0.99597259999999999</v>
      </c>
      <c r="Q5390">
        <v>-2.1294279999999999E-2</v>
      </c>
      <c r="R5390">
        <v>8.7094519999999995E-2</v>
      </c>
      <c r="S5390">
        <v>3.0495909999999999</v>
      </c>
      <c r="T5390">
        <v>-0.27449040000000002</v>
      </c>
      <c r="U5390">
        <v>-0.48297119999999999</v>
      </c>
      <c r="V5390">
        <v>-6.8593539999999995E-2</v>
      </c>
      <c r="W5390">
        <v>-6.973061E-3</v>
      </c>
      <c r="X5390">
        <v>0.99762030000000002</v>
      </c>
      <c r="Y5390">
        <v>0.1739752</v>
      </c>
      <c r="Z5390">
        <v>-9.4239219999999995E-3</v>
      </c>
      <c r="AA5390">
        <v>0.98470489999999999</v>
      </c>
      <c r="AB5390">
        <v>26</v>
      </c>
      <c r="AC5390">
        <v>0.68600000000003503</v>
      </c>
      <c r="AD5390">
        <v>-7.3351999999999806E-2</v>
      </c>
      <c r="AE5390">
        <v>-0.13123000000000201</v>
      </c>
      <c r="AF5390">
        <v>0.14237451739147999</v>
      </c>
      <c r="AG5390">
        <v>-7.3351999999999806E-2</v>
      </c>
      <c r="AH5390">
        <v>0.67598907749453896</v>
      </c>
      <c r="AI5390">
        <v>96.061019930831407</v>
      </c>
      <c r="AJ5390">
        <v>78.106388990163694</v>
      </c>
      <c r="AK5390">
        <v>0.69470299553001402</v>
      </c>
      <c r="AL5390">
        <v>90.399530211331097</v>
      </c>
      <c r="AM5390">
        <v>93.933304660726506</v>
      </c>
      <c r="AN5390">
        <v>0.99999998014076497</v>
      </c>
    </row>
    <row r="5391" spans="1:40" x14ac:dyDescent="0.3">
      <c r="A5391" t="str">
        <f>"20200111160609825"</f>
        <v>20200111160609825</v>
      </c>
      <c r="B5391" t="str">
        <f>"1578729969817937"</f>
        <v>1578729969817937</v>
      </c>
      <c r="C5391" t="s">
        <v>40</v>
      </c>
      <c r="D5391">
        <v>5.2449430000000001</v>
      </c>
      <c r="E5391">
        <v>0.59511669999999905</v>
      </c>
      <c r="F5391" t="s">
        <v>42</v>
      </c>
      <c r="G5391">
        <v>-328.6814</v>
      </c>
      <c r="H5391">
        <v>1.0273760000000001</v>
      </c>
      <c r="I5391">
        <v>17.848379999999999</v>
      </c>
      <c r="J5391">
        <v>-329.38290000000001</v>
      </c>
      <c r="K5391">
        <v>1.110082</v>
      </c>
      <c r="L5391">
        <v>17.9985</v>
      </c>
      <c r="M5391">
        <v>0.99973400000000001</v>
      </c>
      <c r="N5391">
        <v>0</v>
      </c>
      <c r="O5391">
        <v>1.804648E-2</v>
      </c>
      <c r="P5391">
        <v>0.99620120000000001</v>
      </c>
      <c r="Q5391">
        <v>-2.2778369999999999E-2</v>
      </c>
      <c r="R5391">
        <v>8.4050260000000002E-2</v>
      </c>
      <c r="S5391">
        <v>3.0489199999999999</v>
      </c>
      <c r="T5391">
        <v>-0.27540480000000001</v>
      </c>
      <c r="U5391">
        <v>-0.48779299999999998</v>
      </c>
      <c r="V5391">
        <v>-6.6066169999999994E-2</v>
      </c>
      <c r="W5391">
        <v>-8.3714110000000005E-3</v>
      </c>
      <c r="X5391">
        <v>0.99778009999999995</v>
      </c>
      <c r="Y5391">
        <v>0.17500869999999999</v>
      </c>
      <c r="Z5391">
        <v>-9.455817E-3</v>
      </c>
      <c r="AA5391">
        <v>0.98452139999999999</v>
      </c>
      <c r="AB5391">
        <v>26</v>
      </c>
      <c r="AC5391">
        <v>0.70150000000001</v>
      </c>
      <c r="AD5391">
        <v>-8.2705999999999905E-2</v>
      </c>
      <c r="AE5391">
        <v>-0.150120000000001</v>
      </c>
      <c r="AF5391">
        <v>0.16062156767286201</v>
      </c>
      <c r="AG5391">
        <v>-8.2705999999999905E-2</v>
      </c>
      <c r="AH5391">
        <v>0.68951171741780604</v>
      </c>
      <c r="AI5391">
        <v>96.663140185204895</v>
      </c>
      <c r="AJ5391">
        <v>76.886823531235805</v>
      </c>
      <c r="AK5391">
        <v>0.71278747105581197</v>
      </c>
      <c r="AL5391">
        <v>90.479652133999096</v>
      </c>
      <c r="AM5391">
        <v>93.788204818180006</v>
      </c>
      <c r="AN5391">
        <v>0.99999997364830395</v>
      </c>
    </row>
    <row r="5392" spans="1:40" x14ac:dyDescent="0.3">
      <c r="A5392" t="str">
        <f>"20200111160609836"</f>
        <v>20200111160609836</v>
      </c>
      <c r="B5392" t="str">
        <f>"1578729969827698"</f>
        <v>1578729969827698</v>
      </c>
      <c r="C5392" t="s">
        <v>40</v>
      </c>
      <c r="D5392">
        <v>5.3010299999999999</v>
      </c>
      <c r="E5392">
        <v>0.59508079999999997</v>
      </c>
      <c r="F5392" t="s">
        <v>42</v>
      </c>
      <c r="G5392">
        <v>-328.4443</v>
      </c>
      <c r="H5392">
        <v>1.02457</v>
      </c>
      <c r="I5392">
        <v>17.844889999999999</v>
      </c>
      <c r="J5392">
        <v>-329.25479999999999</v>
      </c>
      <c r="K5392">
        <v>1.110047</v>
      </c>
      <c r="L5392">
        <v>18.000429999999898</v>
      </c>
      <c r="M5392">
        <v>0.99973979999999996</v>
      </c>
      <c r="N5392">
        <v>0</v>
      </c>
      <c r="O5392">
        <v>1.7692799999999901E-2</v>
      </c>
      <c r="P5392">
        <v>0.99634400000000001</v>
      </c>
      <c r="Q5392">
        <v>-2.3926329999999999E-2</v>
      </c>
      <c r="R5392">
        <v>8.2015069999999995E-2</v>
      </c>
      <c r="S5392">
        <v>3.0471499999999998</v>
      </c>
      <c r="T5392">
        <v>-0.27763929999999998</v>
      </c>
      <c r="U5392">
        <v>-0.49865720000000002</v>
      </c>
      <c r="V5392">
        <v>-6.4383549999999998E-2</v>
      </c>
      <c r="W5392">
        <v>-9.4723180000000004E-3</v>
      </c>
      <c r="X5392">
        <v>0.99788030000000005</v>
      </c>
      <c r="Y5392">
        <v>0.17814530000000001</v>
      </c>
      <c r="Z5392">
        <v>-9.6446959999999995E-3</v>
      </c>
      <c r="AA5392">
        <v>0.98395690000000002</v>
      </c>
      <c r="AB5392">
        <v>26</v>
      </c>
      <c r="AC5392">
        <v>0.81049999999999001</v>
      </c>
      <c r="AD5392">
        <v>-8.5476999999999997E-2</v>
      </c>
      <c r="AE5392">
        <v>-0.15553999999999801</v>
      </c>
      <c r="AF5392">
        <v>0.16805439856358101</v>
      </c>
      <c r="AG5392">
        <v>-8.5476999999999997E-2</v>
      </c>
      <c r="AH5392">
        <v>0.79904933253827903</v>
      </c>
      <c r="AI5392">
        <v>95.976136948688605</v>
      </c>
      <c r="AJ5392">
        <v>78.122775552865505</v>
      </c>
      <c r="AK5392">
        <v>0.82099234724535497</v>
      </c>
      <c r="AL5392">
        <v>90.542731943766597</v>
      </c>
      <c r="AM5392">
        <v>93.691624756859497</v>
      </c>
      <c r="AN5392">
        <v>1.0000000297234899</v>
      </c>
    </row>
    <row r="5393" spans="1:40" x14ac:dyDescent="0.3">
      <c r="A5393" t="str">
        <f>"20200111160609848"</f>
        <v>20200111160609848</v>
      </c>
      <c r="B5393" t="str">
        <f>"1578729969837458"</f>
        <v>1578729969837458</v>
      </c>
      <c r="C5393" t="s">
        <v>40</v>
      </c>
      <c r="D5393">
        <v>5.3058519999999998</v>
      </c>
      <c r="E5393">
        <v>0.59506099999999995</v>
      </c>
      <c r="F5393" t="s">
        <v>42</v>
      </c>
      <c r="G5393">
        <v>-328.44380000000001</v>
      </c>
      <c r="H5393">
        <v>1.0356019999999999</v>
      </c>
      <c r="I5393">
        <v>17.86598</v>
      </c>
      <c r="J5393">
        <v>-329.13440000000003</v>
      </c>
      <c r="K5393">
        <v>1.110009</v>
      </c>
      <c r="L5393">
        <v>18.002199999999998</v>
      </c>
      <c r="M5393">
        <v>0.99974529999999995</v>
      </c>
      <c r="N5393">
        <v>0</v>
      </c>
      <c r="O5393">
        <v>1.7341039999999999E-2</v>
      </c>
      <c r="P5393">
        <v>0.99650669999999997</v>
      </c>
      <c r="Q5393">
        <v>-2.4889120000000001E-2</v>
      </c>
      <c r="R5393">
        <v>7.9716659999999995E-2</v>
      </c>
      <c r="S5393">
        <v>3.0458069999999999</v>
      </c>
      <c r="T5393">
        <v>-0.27960239999999997</v>
      </c>
      <c r="U5393">
        <v>-0.50491330000000001</v>
      </c>
      <c r="V5393">
        <v>-6.2435780000000003E-2</v>
      </c>
      <c r="W5393">
        <v>-1.0392729999999999E-2</v>
      </c>
      <c r="X5393">
        <v>0.99799490000000002</v>
      </c>
      <c r="Y5393">
        <v>0.1798187</v>
      </c>
      <c r="Z5393">
        <v>-9.7593269999999999E-3</v>
      </c>
      <c r="AA5393">
        <v>0.98365130000000001</v>
      </c>
      <c r="AB5393">
        <v>26</v>
      </c>
      <c r="AC5393">
        <v>0.69060000000001698</v>
      </c>
      <c r="AD5393">
        <v>-7.4406999999999807E-2</v>
      </c>
      <c r="AE5393">
        <v>-0.13621999999999801</v>
      </c>
      <c r="AF5393">
        <v>0.146539097674691</v>
      </c>
      <c r="AG5393">
        <v>-7.4406999999999807E-2</v>
      </c>
      <c r="AH5393">
        <v>0.68052964499992796</v>
      </c>
      <c r="AI5393">
        <v>96.101006583083205</v>
      </c>
      <c r="AJ5393">
        <v>77.847996599171495</v>
      </c>
      <c r="AK5393">
        <v>0.70009335557484098</v>
      </c>
      <c r="AL5393">
        <v>90.595470269648999</v>
      </c>
      <c r="AM5393">
        <v>93.579828446771302</v>
      </c>
      <c r="AN5393">
        <v>1.0000000279435299</v>
      </c>
    </row>
    <row r="5394" spans="1:40" x14ac:dyDescent="0.3">
      <c r="A5394" t="str">
        <f>"20200111160609858"</f>
        <v>20200111160609858</v>
      </c>
      <c r="B5394" t="str">
        <f>"1578729969847218"</f>
        <v>1578729969847218</v>
      </c>
      <c r="C5394" t="s">
        <v>40</v>
      </c>
      <c r="D5394">
        <v>5.289282</v>
      </c>
      <c r="E5394">
        <v>0.59505549999999996</v>
      </c>
      <c r="F5394" t="s">
        <v>44</v>
      </c>
      <c r="G5394">
        <v>-316.54719999999998</v>
      </c>
      <c r="H5394">
        <v>-0.05</v>
      </c>
      <c r="I5394">
        <v>15.884980000000001</v>
      </c>
      <c r="J5394">
        <v>-328.99650000000003</v>
      </c>
      <c r="K5394">
        <v>1.10996299999999</v>
      </c>
      <c r="L5394">
        <v>18.004149999999999</v>
      </c>
      <c r="M5394">
        <v>0.99975230000000004</v>
      </c>
      <c r="N5394">
        <v>0</v>
      </c>
      <c r="O5394">
        <v>1.6898449999999999E-2</v>
      </c>
      <c r="P5394">
        <v>0.99669099999999999</v>
      </c>
      <c r="Q5394">
        <v>-2.5559169999999999E-2</v>
      </c>
      <c r="R5394">
        <v>7.7159699999999998E-2</v>
      </c>
      <c r="S5394">
        <v>3.0444339999999999</v>
      </c>
      <c r="T5394">
        <v>-0.28056769999999998</v>
      </c>
      <c r="U5394">
        <v>-0.51208500000000001</v>
      </c>
      <c r="V5394">
        <v>-6.0319949999999997E-2</v>
      </c>
      <c r="W5394">
        <v>-1.1017249999999999E-2</v>
      </c>
      <c r="X5394">
        <v>0.99811830000000001</v>
      </c>
      <c r="Y5394">
        <v>0.181697</v>
      </c>
      <c r="Z5394">
        <v>-9.8406740000000006E-3</v>
      </c>
      <c r="AA5394">
        <v>0.98330530000000005</v>
      </c>
      <c r="AB5394">
        <v>26</v>
      </c>
      <c r="AC5394">
        <v>12.449299999999999</v>
      </c>
      <c r="AD5394">
        <v>-1.1599630000000001</v>
      </c>
      <c r="AE5394">
        <v>-2.11917</v>
      </c>
      <c r="AF5394">
        <v>2.30977548457113</v>
      </c>
      <c r="AG5394">
        <v>-1.1599630000000001</v>
      </c>
      <c r="AH5394">
        <v>12.307864902169801</v>
      </c>
      <c r="AI5394">
        <v>95.292129744699906</v>
      </c>
      <c r="AJ5394">
        <v>79.371122249302303</v>
      </c>
      <c r="AK5394">
        <v>12.5763315557661</v>
      </c>
      <c r="AL5394">
        <v>90.631254692187497</v>
      </c>
      <c r="AM5394">
        <v>93.458387937448506</v>
      </c>
      <c r="AN5394">
        <v>1.0000000084802201</v>
      </c>
    </row>
    <row r="5395" spans="1:40" x14ac:dyDescent="0.3">
      <c r="A5395" t="str">
        <f>"20200111160609870"</f>
        <v>20200111160609870</v>
      </c>
      <c r="B5395" t="str">
        <f>"1578729969867714"</f>
        <v>1578729969867714</v>
      </c>
      <c r="C5395" t="s">
        <v>40</v>
      </c>
      <c r="D5395">
        <v>5.2649429999999997</v>
      </c>
      <c r="E5395">
        <v>0.59498469999999903</v>
      </c>
      <c r="F5395" t="s">
        <v>44</v>
      </c>
      <c r="G5395">
        <v>-316.43900000000002</v>
      </c>
      <c r="H5395">
        <v>-0.05</v>
      </c>
      <c r="I5395">
        <v>15.857710000000001</v>
      </c>
      <c r="J5395">
        <v>-328.87490000000003</v>
      </c>
      <c r="K5395">
        <v>1.109915</v>
      </c>
      <c r="L5395">
        <v>18.005739999999999</v>
      </c>
      <c r="M5395">
        <v>0.99975910000000001</v>
      </c>
      <c r="N5395">
        <v>0</v>
      </c>
      <c r="O5395">
        <v>1.6461569999999998E-2</v>
      </c>
      <c r="P5395">
        <v>0.99691620000000003</v>
      </c>
      <c r="Q5395">
        <v>-2.5663189999999999E-2</v>
      </c>
      <c r="R5395">
        <v>7.4159320000000001E-2</v>
      </c>
      <c r="S5395">
        <v>3.0430299999999999</v>
      </c>
      <c r="T5395">
        <v>-0.28109040000000002</v>
      </c>
      <c r="U5395">
        <v>-0.52014159999999998</v>
      </c>
      <c r="V5395">
        <v>-5.7753930000000002E-2</v>
      </c>
      <c r="W5395">
        <v>-1.108317E-2</v>
      </c>
      <c r="X5395">
        <v>0.99826930000000003</v>
      </c>
      <c r="Y5395">
        <v>0.1838612</v>
      </c>
      <c r="Z5395">
        <v>-9.9202709999999996E-3</v>
      </c>
      <c r="AA5395">
        <v>0.98290219999999995</v>
      </c>
      <c r="AB5395">
        <v>26</v>
      </c>
      <c r="AC5395">
        <v>12.4359</v>
      </c>
      <c r="AD5395">
        <v>-1.159915</v>
      </c>
      <c r="AE5395">
        <v>-2.1480299999999901</v>
      </c>
      <c r="AF5395">
        <v>2.3327687370825099</v>
      </c>
      <c r="AG5395">
        <v>-1.159915</v>
      </c>
      <c r="AH5395">
        <v>12.294988495470999</v>
      </c>
      <c r="AI5395">
        <v>95.295439499226404</v>
      </c>
      <c r="AJ5395">
        <v>79.256782017231899</v>
      </c>
      <c r="AK5395">
        <v>12.567973380449899</v>
      </c>
      <c r="AL5395">
        <v>90.635031882324995</v>
      </c>
      <c r="AM5395">
        <v>93.311102455444797</v>
      </c>
      <c r="AN5395">
        <v>0.99999997420509101</v>
      </c>
    </row>
    <row r="5396" spans="1:40" x14ac:dyDescent="0.3">
      <c r="A5396" t="str">
        <f>"20200111160609881"</f>
        <v>20200111160609881</v>
      </c>
      <c r="B5396" t="str">
        <f>"1578729969877474"</f>
        <v>1578729969877474</v>
      </c>
      <c r="C5396" t="s">
        <v>40</v>
      </c>
      <c r="D5396">
        <v>5.2746529999999998</v>
      </c>
      <c r="E5396">
        <v>0.59492519999999904</v>
      </c>
      <c r="F5396" t="s">
        <v>44</v>
      </c>
      <c r="G5396">
        <v>-316.26249999999999</v>
      </c>
      <c r="H5396">
        <v>-0.05</v>
      </c>
      <c r="I5396">
        <v>15.8123</v>
      </c>
      <c r="J5396">
        <v>-328.74</v>
      </c>
      <c r="K5396">
        <v>1.109855</v>
      </c>
      <c r="L5396">
        <v>18.007449999999999</v>
      </c>
      <c r="M5396">
        <v>0.99976719999999997</v>
      </c>
      <c r="N5396">
        <v>0</v>
      </c>
      <c r="O5396">
        <v>1.5938890000000001E-2</v>
      </c>
      <c r="P5396">
        <v>0.99720260000000005</v>
      </c>
      <c r="Q5396">
        <v>-2.5179099999999999E-2</v>
      </c>
      <c r="R5396">
        <v>7.0381330000000006E-2</v>
      </c>
      <c r="S5396">
        <v>3.0414119999999998</v>
      </c>
      <c r="T5396">
        <v>-0.27970519999999999</v>
      </c>
      <c r="U5396">
        <v>-0.52893069999999998</v>
      </c>
      <c r="V5396">
        <v>-5.4494679999999997E-2</v>
      </c>
      <c r="W5396">
        <v>-1.0558919999999999E-2</v>
      </c>
      <c r="X5396">
        <v>0.99845819999999996</v>
      </c>
      <c r="Y5396">
        <v>0.18619240000000001</v>
      </c>
      <c r="Z5396">
        <v>-9.9328899999999998E-3</v>
      </c>
      <c r="AA5396">
        <v>0.98246310000000003</v>
      </c>
      <c r="AB5396">
        <v>26</v>
      </c>
      <c r="AC5396">
        <v>12.477499999999999</v>
      </c>
      <c r="AD5396">
        <v>-1.1598549999999901</v>
      </c>
      <c r="AE5396">
        <v>-2.1951499999999902</v>
      </c>
      <c r="AF5396">
        <v>2.3738733443723699</v>
      </c>
      <c r="AG5396">
        <v>-1.1598549999999901</v>
      </c>
      <c r="AH5396">
        <v>12.3375175456948</v>
      </c>
      <c r="AI5396">
        <v>95.274427812946797</v>
      </c>
      <c r="AJ5396">
        <v>79.108768386940895</v>
      </c>
      <c r="AK5396">
        <v>12.6172452407994</v>
      </c>
      <c r="AL5396">
        <v>90.604992813154794</v>
      </c>
      <c r="AM5396">
        <v>93.124037038218106</v>
      </c>
      <c r="AN5396">
        <v>0.99999996904355304</v>
      </c>
    </row>
    <row r="5397" spans="1:40" x14ac:dyDescent="0.3">
      <c r="A5397" t="str">
        <f>"20200111160609893"</f>
        <v>20200111160609893</v>
      </c>
      <c r="B5397" t="str">
        <f>"1578729969887234"</f>
        <v>1578729969887234</v>
      </c>
      <c r="C5397" t="s">
        <v>40</v>
      </c>
      <c r="D5397">
        <v>5.2997569999999996</v>
      </c>
      <c r="E5397">
        <v>0.59484099999999995</v>
      </c>
      <c r="F5397" t="s">
        <v>44</v>
      </c>
      <c r="G5397">
        <v>-316.0258</v>
      </c>
      <c r="H5397">
        <v>-0.05</v>
      </c>
      <c r="I5397">
        <v>15.748250000000001</v>
      </c>
      <c r="J5397">
        <v>-328.61320000000001</v>
      </c>
      <c r="K5397">
        <v>1.1097840000000001</v>
      </c>
      <c r="L5397">
        <v>18.008879999999898</v>
      </c>
      <c r="M5397">
        <v>0.99977570000000004</v>
      </c>
      <c r="N5397">
        <v>0</v>
      </c>
      <c r="O5397">
        <v>1.536333E-2</v>
      </c>
      <c r="P5397">
        <v>0.99749869999999996</v>
      </c>
      <c r="Q5397">
        <v>-2.433051E-2</v>
      </c>
      <c r="R5397">
        <v>6.6366079999999994E-2</v>
      </c>
      <c r="S5397">
        <v>3.0395509999999999</v>
      </c>
      <c r="T5397">
        <v>-0.2772829</v>
      </c>
      <c r="U5397">
        <v>-0.54010009999999997</v>
      </c>
      <c r="V5397">
        <v>-5.1049740000000003E-2</v>
      </c>
      <c r="W5397">
        <v>-9.6750819999999998E-3</v>
      </c>
      <c r="X5397">
        <v>0.99864920000000001</v>
      </c>
      <c r="Y5397">
        <v>0.1892335</v>
      </c>
      <c r="Z5397">
        <v>-9.9353819999999995E-3</v>
      </c>
      <c r="AA5397">
        <v>0.98188189999999997</v>
      </c>
      <c r="AB5397">
        <v>26</v>
      </c>
      <c r="AC5397">
        <v>12.587400000000001</v>
      </c>
      <c r="AD5397">
        <v>-1.1597839999999999</v>
      </c>
      <c r="AE5397">
        <v>-2.2606299999999901</v>
      </c>
      <c r="AF5397">
        <v>2.4337523196468598</v>
      </c>
      <c r="AG5397">
        <v>-1.1597839999999999</v>
      </c>
      <c r="AH5397">
        <v>12.4487977556931</v>
      </c>
      <c r="AI5397">
        <v>95.224221998519297</v>
      </c>
      <c r="AJ5397">
        <v>78.938140346716906</v>
      </c>
      <c r="AK5397">
        <v>12.737378648771999</v>
      </c>
      <c r="AL5397">
        <v>90.554350039347895</v>
      </c>
      <c r="AM5397">
        <v>92.926343793927103</v>
      </c>
      <c r="AN5397">
        <v>0.99999995391320595</v>
      </c>
    </row>
    <row r="5398" spans="1:40" x14ac:dyDescent="0.3">
      <c r="A5398" t="str">
        <f>"20200111160609903"</f>
        <v>20200111160609903</v>
      </c>
      <c r="B5398" t="str">
        <f>"1578729969897970"</f>
        <v>1578729969897970</v>
      </c>
      <c r="C5398" t="s">
        <v>40</v>
      </c>
      <c r="D5398">
        <v>5.2795699999999997</v>
      </c>
      <c r="E5398">
        <v>0.59471719999999995</v>
      </c>
      <c r="F5398" t="s">
        <v>44</v>
      </c>
      <c r="G5398">
        <v>-315.73919999999998</v>
      </c>
      <c r="H5398">
        <v>-0.05</v>
      </c>
      <c r="I5398">
        <v>15.670260000000001</v>
      </c>
      <c r="J5398">
        <v>-328.4821</v>
      </c>
      <c r="K5398">
        <v>1.109704</v>
      </c>
      <c r="L5398">
        <v>18.010279999999899</v>
      </c>
      <c r="M5398">
        <v>0.99978460000000002</v>
      </c>
      <c r="N5398">
        <v>0</v>
      </c>
      <c r="O5398">
        <v>1.474482E-2</v>
      </c>
      <c r="P5398">
        <v>0.99779110000000004</v>
      </c>
      <c r="Q5398">
        <v>-2.3872170000000002E-2</v>
      </c>
      <c r="R5398">
        <v>6.1991240000000003E-2</v>
      </c>
      <c r="S5398">
        <v>3.0375670000000001</v>
      </c>
      <c r="T5398">
        <v>-0.27364709999999998</v>
      </c>
      <c r="U5398">
        <v>-0.55178830000000001</v>
      </c>
      <c r="V5398">
        <v>-4.7290060000000002E-2</v>
      </c>
      <c r="W5398">
        <v>-9.1826379999999999E-3</v>
      </c>
      <c r="X5398">
        <v>0.99883900000000003</v>
      </c>
      <c r="Y5398">
        <v>0.19240650000000001</v>
      </c>
      <c r="Z5398">
        <v>-9.8949120000000005E-3</v>
      </c>
      <c r="AA5398">
        <v>0.98126539999999995</v>
      </c>
      <c r="AB5398">
        <v>26</v>
      </c>
      <c r="AC5398">
        <v>12.742900000000001</v>
      </c>
      <c r="AD5398">
        <v>-1.1597040000000001</v>
      </c>
      <c r="AE5398">
        <v>-2.3400199999999902</v>
      </c>
      <c r="AF5398">
        <v>2.5075859738897899</v>
      </c>
      <c r="AG5398">
        <v>-1.1597040000000001</v>
      </c>
      <c r="AH5398">
        <v>12.606005127228</v>
      </c>
      <c r="AI5398">
        <v>95.155742293100403</v>
      </c>
      <c r="AJ5398">
        <v>78.749581802765505</v>
      </c>
      <c r="AK5398">
        <v>12.905203061237099</v>
      </c>
      <c r="AL5398">
        <v>90.526133791503895</v>
      </c>
      <c r="AM5398">
        <v>92.710646119240494</v>
      </c>
      <c r="AN5398">
        <v>1.00000000926822</v>
      </c>
    </row>
    <row r="5399" spans="1:40" x14ac:dyDescent="0.3">
      <c r="A5399" t="str">
        <f>"20200111160609915"</f>
        <v>20200111160609915</v>
      </c>
      <c r="B5399" t="str">
        <f>"1578729969907730"</f>
        <v>1578729969907730</v>
      </c>
      <c r="C5399" t="s">
        <v>40</v>
      </c>
      <c r="D5399">
        <v>5.2613250000000003</v>
      </c>
      <c r="E5399">
        <v>0.59458569999999999</v>
      </c>
      <c r="F5399" t="s">
        <v>44</v>
      </c>
      <c r="G5399">
        <v>-315.48340000000002</v>
      </c>
      <c r="H5399">
        <v>-0.05</v>
      </c>
      <c r="I5399">
        <v>15.593870000000001</v>
      </c>
      <c r="J5399">
        <v>-328.34120000000001</v>
      </c>
      <c r="K5399">
        <v>1.109602</v>
      </c>
      <c r="L5399">
        <v>18.01154</v>
      </c>
      <c r="M5399">
        <v>0.99979569999999995</v>
      </c>
      <c r="N5399">
        <v>0</v>
      </c>
      <c r="O5399">
        <v>1.3944939999999999E-2</v>
      </c>
      <c r="P5399">
        <v>0.99800560000000005</v>
      </c>
      <c r="Q5399">
        <v>-2.4376700000000001E-2</v>
      </c>
      <c r="R5399">
        <v>5.8230480000000001E-2</v>
      </c>
      <c r="S5399">
        <v>3.0352169999999998</v>
      </c>
      <c r="T5399">
        <v>-0.27079370000000003</v>
      </c>
      <c r="U5399">
        <v>-0.5642395</v>
      </c>
      <c r="V5399">
        <v>-4.4328619999999999E-2</v>
      </c>
      <c r="W5399">
        <v>-9.6517809999999999E-3</v>
      </c>
      <c r="X5399">
        <v>0.99897040000000004</v>
      </c>
      <c r="Y5399">
        <v>0.19565479999999999</v>
      </c>
      <c r="Z5399">
        <v>-9.8687129999999994E-3</v>
      </c>
      <c r="AA5399">
        <v>0.98062320000000003</v>
      </c>
      <c r="AB5399">
        <v>26</v>
      </c>
      <c r="AC5399">
        <v>12.8577999999999</v>
      </c>
      <c r="AD5399">
        <v>-1.159602</v>
      </c>
      <c r="AE5399">
        <v>-2.4176700000000002</v>
      </c>
      <c r="AF5399">
        <v>2.5765145187861598</v>
      </c>
      <c r="AG5399">
        <v>-1.159602</v>
      </c>
      <c r="AH5399">
        <v>12.7228821639074</v>
      </c>
      <c r="AI5399">
        <v>95.104665948744696</v>
      </c>
      <c r="AJ5399">
        <v>78.551837551545802</v>
      </c>
      <c r="AK5399">
        <v>13.032836775644601</v>
      </c>
      <c r="AL5399">
        <v>90.5530148904718</v>
      </c>
      <c r="AM5399">
        <v>92.540793755095805</v>
      </c>
      <c r="AN5399">
        <v>1.0000000217518601</v>
      </c>
    </row>
    <row r="5400" spans="1:40" x14ac:dyDescent="0.3">
      <c r="A5400" t="str">
        <f>"20200111160609927"</f>
        <v>20200111160609927</v>
      </c>
      <c r="B5400" t="str">
        <f>"1578729969917489"</f>
        <v>1578729969917489</v>
      </c>
      <c r="C5400" t="s">
        <v>40</v>
      </c>
      <c r="D5400">
        <v>5.2767670000000004</v>
      </c>
      <c r="E5400">
        <v>0.59450959999999997</v>
      </c>
      <c r="F5400" t="s">
        <v>44</v>
      </c>
      <c r="G5400">
        <v>-315.3922</v>
      </c>
      <c r="H5400">
        <v>-0.05</v>
      </c>
      <c r="I5400">
        <v>15.557919999999999</v>
      </c>
      <c r="J5400">
        <v>-328.20699999999999</v>
      </c>
      <c r="K5400">
        <v>1.1094980000000001</v>
      </c>
      <c r="L5400">
        <v>18.012599999999999</v>
      </c>
      <c r="M5400">
        <v>0.99980630000000004</v>
      </c>
      <c r="N5400">
        <v>0</v>
      </c>
      <c r="O5400">
        <v>1.313718E-2</v>
      </c>
      <c r="P5400">
        <v>0.99816760000000004</v>
      </c>
      <c r="Q5400">
        <v>-2.578188E-2</v>
      </c>
      <c r="R5400">
        <v>5.4746499999999997E-2</v>
      </c>
      <c r="S5400">
        <v>3.032867</v>
      </c>
      <c r="T5400">
        <v>-0.27159739999999999</v>
      </c>
      <c r="U5400">
        <v>-0.57467650000000003</v>
      </c>
      <c r="V5400">
        <v>-4.1656039999999998E-2</v>
      </c>
      <c r="W5400">
        <v>-1.1025149999999999E-2</v>
      </c>
      <c r="X5400">
        <v>0.99907120000000005</v>
      </c>
      <c r="Y5400">
        <v>0.1982459</v>
      </c>
      <c r="Z5400">
        <v>-9.945476E-3</v>
      </c>
      <c r="AA5400">
        <v>0.98010180000000002</v>
      </c>
      <c r="AB5400">
        <v>26</v>
      </c>
      <c r="AC5400">
        <v>12.8147999999999</v>
      </c>
      <c r="AD5400">
        <v>-1.1594979999999999</v>
      </c>
      <c r="AE5400">
        <v>-2.45467999999999</v>
      </c>
      <c r="AF5400">
        <v>2.6022860674893402</v>
      </c>
      <c r="AG5400">
        <v>-1.1594979999999999</v>
      </c>
      <c r="AH5400">
        <v>12.681297575893501</v>
      </c>
      <c r="AI5400">
        <v>95.118172068965805</v>
      </c>
      <c r="AJ5400">
        <v>78.403513859313193</v>
      </c>
      <c r="AK5400">
        <v>12.9973703724029</v>
      </c>
      <c r="AL5400">
        <v>90.631707348339901</v>
      </c>
      <c r="AM5400">
        <v>92.387551217117107</v>
      </c>
      <c r="AN5400">
        <v>1.00000002113522</v>
      </c>
    </row>
    <row r="5401" spans="1:40" x14ac:dyDescent="0.3">
      <c r="A5401" t="str">
        <f>"20200111160609937"</f>
        <v>20200111160609937</v>
      </c>
      <c r="B5401" t="str">
        <f>"1578729969927250"</f>
        <v>1578729969927250</v>
      </c>
      <c r="C5401" t="s">
        <v>40</v>
      </c>
      <c r="D5401">
        <v>5.2812960000000002</v>
      </c>
      <c r="E5401">
        <v>0.59441009999999905</v>
      </c>
      <c r="F5401" t="s">
        <v>44</v>
      </c>
      <c r="G5401">
        <v>-315.44450000000001</v>
      </c>
      <c r="H5401">
        <v>-0.05</v>
      </c>
      <c r="I5401">
        <v>15.55002</v>
      </c>
      <c r="J5401">
        <v>-328.0797</v>
      </c>
      <c r="K5401">
        <v>1.1093850000000001</v>
      </c>
      <c r="L5401">
        <v>18.013400000000001</v>
      </c>
      <c r="M5401">
        <v>0.9998167</v>
      </c>
      <c r="N5401">
        <v>0</v>
      </c>
      <c r="O5401">
        <v>1.2278539999999999E-2</v>
      </c>
      <c r="P5401">
        <v>0.99823269999999997</v>
      </c>
      <c r="Q5401">
        <v>-2.77895999999999E-2</v>
      </c>
      <c r="R5401">
        <v>5.2529720000000002E-2</v>
      </c>
      <c r="S5401">
        <v>3.0304869999999999</v>
      </c>
      <c r="T5401">
        <v>-0.27532649999999997</v>
      </c>
      <c r="U5401">
        <v>-0.58474729999999997</v>
      </c>
      <c r="V5401">
        <v>-4.0304939999999997E-2</v>
      </c>
      <c r="W5401">
        <v>-1.3002349999999999E-2</v>
      </c>
      <c r="X5401">
        <v>0.99910279999999996</v>
      </c>
      <c r="Y5401">
        <v>0.20065730000000001</v>
      </c>
      <c r="Z5401">
        <v>-1.0117269999999999E-2</v>
      </c>
      <c r="AA5401">
        <v>0.97960930000000002</v>
      </c>
      <c r="AB5401">
        <v>26</v>
      </c>
      <c r="AC5401">
        <v>12.6351999999999</v>
      </c>
      <c r="AD5401">
        <v>-1.1593850000000001</v>
      </c>
      <c r="AE5401">
        <v>-2.4633799999999901</v>
      </c>
      <c r="AF5401">
        <v>2.5972854941567398</v>
      </c>
      <c r="AG5401">
        <v>-1.1593850000000001</v>
      </c>
      <c r="AH5401">
        <v>12.502585320247899</v>
      </c>
      <c r="AI5401">
        <v>95.187842340876301</v>
      </c>
      <c r="AJ5401">
        <v>78.264303240865502</v>
      </c>
      <c r="AK5401">
        <v>12.8220398223707</v>
      </c>
      <c r="AL5401">
        <v>90.745000788571602</v>
      </c>
      <c r="AM5401">
        <v>92.310124095322493</v>
      </c>
      <c r="AN5401">
        <v>0.99999997713088196</v>
      </c>
    </row>
    <row r="5402" spans="1:40" x14ac:dyDescent="0.3">
      <c r="A5402" t="str">
        <f>"20200111160609949"</f>
        <v>20200111160609949</v>
      </c>
      <c r="B5402" t="str">
        <f>"1578729969948019"</f>
        <v>1578729969948019</v>
      </c>
      <c r="C5402" t="s">
        <v>40</v>
      </c>
      <c r="D5402">
        <v>5.3219059999999896</v>
      </c>
      <c r="E5402">
        <v>0.59406619999999999</v>
      </c>
      <c r="F5402" t="s">
        <v>44</v>
      </c>
      <c r="G5402">
        <v>-315.59249999999997</v>
      </c>
      <c r="H5402">
        <v>-0.05</v>
      </c>
      <c r="I5402">
        <v>15.5771</v>
      </c>
      <c r="J5402">
        <v>-327.95069999999998</v>
      </c>
      <c r="K5402">
        <v>1.1092709999999999</v>
      </c>
      <c r="L5402">
        <v>18.014039999999898</v>
      </c>
      <c r="M5402">
        <v>0.99982760000000004</v>
      </c>
      <c r="N5402">
        <v>0</v>
      </c>
      <c r="O5402">
        <v>1.134073E-2</v>
      </c>
      <c r="P5402">
        <v>0.99830390000000002</v>
      </c>
      <c r="Q5402">
        <v>-2.9435759999999998E-2</v>
      </c>
      <c r="R5402">
        <v>5.0230860000000002E-2</v>
      </c>
      <c r="S5402">
        <v>3.0285639999999998</v>
      </c>
      <c r="T5402">
        <v>-0.28118959999999998</v>
      </c>
      <c r="U5402">
        <v>-0.59088130000000005</v>
      </c>
      <c r="V5402">
        <v>-3.895055E-2</v>
      </c>
      <c r="W5402">
        <v>-1.4619210000000001E-2</v>
      </c>
      <c r="X5402">
        <v>0.99913419999999997</v>
      </c>
      <c r="Y5402">
        <v>0.20172860000000001</v>
      </c>
      <c r="Z5402">
        <v>-1.0299320000000001E-2</v>
      </c>
      <c r="AA5402">
        <v>0.97938729999999996</v>
      </c>
      <c r="AB5402">
        <v>26</v>
      </c>
      <c r="AC5402">
        <v>12.3582</v>
      </c>
      <c r="AD5402">
        <v>-1.1592709999999999</v>
      </c>
      <c r="AE5402">
        <v>-2.4369399999999901</v>
      </c>
      <c r="AF5402">
        <v>2.5553055375692399</v>
      </c>
      <c r="AG5402">
        <v>-1.1592709999999999</v>
      </c>
      <c r="AH5402">
        <v>12.2262073720484</v>
      </c>
      <c r="AI5402">
        <v>95.302605833231993</v>
      </c>
      <c r="AJ5402">
        <v>78.194981051705199</v>
      </c>
      <c r="AK5402">
        <v>12.5440680142489</v>
      </c>
      <c r="AL5402">
        <v>90.837648865047996</v>
      </c>
      <c r="AM5402">
        <v>92.232505495443107</v>
      </c>
      <c r="AN5402">
        <v>1.0000000081279801</v>
      </c>
    </row>
    <row r="5403" spans="1:40" x14ac:dyDescent="0.3">
      <c r="A5403" t="str">
        <f>"20200111160609963"</f>
        <v>20200111160609963</v>
      </c>
      <c r="B5403" t="str">
        <f>"1578729969957779"</f>
        <v>1578729969957779</v>
      </c>
      <c r="C5403" t="s">
        <v>40</v>
      </c>
      <c r="D5403">
        <v>5.3575999999999997</v>
      </c>
      <c r="E5403">
        <v>0.59404429999999997</v>
      </c>
      <c r="F5403" t="s">
        <v>44</v>
      </c>
      <c r="G5403">
        <v>-315.66820000000001</v>
      </c>
      <c r="H5403">
        <v>-0.05</v>
      </c>
      <c r="I5403">
        <v>15.5986799999999</v>
      </c>
      <c r="J5403">
        <v>-327.7912</v>
      </c>
      <c r="K5403">
        <v>1.1091279999999999</v>
      </c>
      <c r="L5403">
        <v>18.014559999999999</v>
      </c>
      <c r="M5403">
        <v>0.99984039999999996</v>
      </c>
      <c r="N5403">
        <v>0</v>
      </c>
      <c r="O5403">
        <v>1.010172E-2</v>
      </c>
      <c r="P5403">
        <v>0.99833910000000003</v>
      </c>
      <c r="Q5403">
        <v>-3.1165350000000001E-2</v>
      </c>
      <c r="R5403">
        <v>4.8456630000000001E-2</v>
      </c>
      <c r="S5403">
        <v>3.0266109999999999</v>
      </c>
      <c r="T5403">
        <v>-0.285663</v>
      </c>
      <c r="U5403">
        <v>-0.5951843</v>
      </c>
      <c r="V5403">
        <v>-3.8425000000000001E-2</v>
      </c>
      <c r="W5403">
        <v>-1.6311490000000001E-2</v>
      </c>
      <c r="X5403">
        <v>0.99912829999999997</v>
      </c>
      <c r="Y5403">
        <v>0.20195009999999999</v>
      </c>
      <c r="Z5403">
        <v>-1.0362349999999999E-2</v>
      </c>
      <c r="AA5403">
        <v>0.97934100000000002</v>
      </c>
      <c r="AB5403">
        <v>26</v>
      </c>
      <c r="AC5403">
        <v>12.1229999999999</v>
      </c>
      <c r="AD5403">
        <v>-1.1591279999999999</v>
      </c>
      <c r="AE5403">
        <v>-2.41588</v>
      </c>
      <c r="AF5403">
        <v>2.51610940651168</v>
      </c>
      <c r="AG5403">
        <v>-1.1591279999999999</v>
      </c>
      <c r="AH5403">
        <v>11.992525746945899</v>
      </c>
      <c r="AI5403">
        <v>95.403794667811994</v>
      </c>
      <c r="AJ5403">
        <v>78.150841795277501</v>
      </c>
      <c r="AK5403">
        <v>12.308332870745801</v>
      </c>
      <c r="AL5403">
        <v>90.934621026946104</v>
      </c>
      <c r="AM5403">
        <v>92.202425717854894</v>
      </c>
      <c r="AN5403">
        <v>0.99999995259595298</v>
      </c>
    </row>
    <row r="5404" spans="1:40" x14ac:dyDescent="0.3">
      <c r="A5404" t="str">
        <f>"20200111160609976"</f>
        <v>20200111160609976</v>
      </c>
      <c r="B5404" t="str">
        <f>"1578729969967538"</f>
        <v>1578729969967538</v>
      </c>
      <c r="C5404" t="s">
        <v>40</v>
      </c>
      <c r="D5404">
        <v>5.3355579999999998</v>
      </c>
      <c r="E5404">
        <v>0.59404429999999997</v>
      </c>
      <c r="F5404" t="s">
        <v>44</v>
      </c>
      <c r="G5404">
        <v>-315.69650000000001</v>
      </c>
      <c r="H5404">
        <v>-0.05</v>
      </c>
      <c r="I5404">
        <v>15.61331</v>
      </c>
      <c r="J5404">
        <v>-327.64389999999997</v>
      </c>
      <c r="K5404">
        <v>1.1090070000000001</v>
      </c>
      <c r="L5404">
        <v>18.01465</v>
      </c>
      <c r="M5404">
        <v>0.99985250000000003</v>
      </c>
      <c r="N5404">
        <v>0</v>
      </c>
      <c r="O5404">
        <v>8.8059319999999903E-3</v>
      </c>
      <c r="P5404">
        <v>0.99838740000000004</v>
      </c>
      <c r="Q5404">
        <v>-3.2778450000000001E-2</v>
      </c>
      <c r="R5404">
        <v>4.6351839999999998E-2</v>
      </c>
      <c r="S5404">
        <v>3.0250849999999998</v>
      </c>
      <c r="T5404">
        <v>-0.2899157</v>
      </c>
      <c r="U5404">
        <v>-0.60058590000000001</v>
      </c>
      <c r="V5404">
        <v>-3.7624530000000003E-2</v>
      </c>
      <c r="W5404">
        <v>-1.789398E-2</v>
      </c>
      <c r="X5404">
        <v>0.99913169999999996</v>
      </c>
      <c r="Y5404">
        <v>0.20243349999999999</v>
      </c>
      <c r="Z5404">
        <v>-1.041944E-2</v>
      </c>
      <c r="AA5404">
        <v>0.97924060000000002</v>
      </c>
      <c r="AB5404">
        <v>26</v>
      </c>
      <c r="AC5404">
        <v>11.947399999999901</v>
      </c>
      <c r="AD5404">
        <v>-1.1590069999999999</v>
      </c>
      <c r="AE5404">
        <v>-2.4013399999999998</v>
      </c>
      <c r="AF5404">
        <v>2.4839976554995098</v>
      </c>
      <c r="AG5404">
        <v>-1.1590069999999999</v>
      </c>
      <c r="AH5404">
        <v>11.818882301482001</v>
      </c>
      <c r="AI5404">
        <v>95.481737749328502</v>
      </c>
      <c r="AJ5404">
        <v>78.130784783112304</v>
      </c>
      <c r="AK5404">
        <v>12.132580946973301</v>
      </c>
      <c r="AL5404">
        <v>91.025304277516796</v>
      </c>
      <c r="AM5404">
        <v>92.156581212556603</v>
      </c>
      <c r="AN5404">
        <v>0.99999997686142506</v>
      </c>
    </row>
    <row r="5405" spans="1:40" x14ac:dyDescent="0.3">
      <c r="A5405" t="str">
        <f>"20200111160609993"</f>
        <v>20200111160609993</v>
      </c>
      <c r="B5405" t="str">
        <f>"1578729969988036"</f>
        <v>1578729969988036</v>
      </c>
      <c r="C5405" t="s">
        <v>40</v>
      </c>
      <c r="D5405">
        <v>5.3708470000000004</v>
      </c>
      <c r="E5405">
        <v>0.63170079999999995</v>
      </c>
      <c r="F5405" t="s">
        <v>44</v>
      </c>
      <c r="G5405">
        <v>-315.73110000000003</v>
      </c>
      <c r="H5405">
        <v>-0.05</v>
      </c>
      <c r="I5405">
        <v>15.62222</v>
      </c>
      <c r="J5405">
        <v>-327.44470000000001</v>
      </c>
      <c r="K5405">
        <v>1.108843</v>
      </c>
      <c r="L5405">
        <v>18.014340000000001</v>
      </c>
      <c r="M5405">
        <v>0.9998667</v>
      </c>
      <c r="N5405">
        <v>0</v>
      </c>
      <c r="O5405">
        <v>6.9184859999999997E-3</v>
      </c>
      <c r="P5405">
        <v>0.9984324</v>
      </c>
      <c r="Q5405">
        <v>-3.4532859999999999E-2</v>
      </c>
      <c r="R5405">
        <v>4.4046080000000001E-2</v>
      </c>
      <c r="S5405">
        <v>3.0233759999999998</v>
      </c>
      <c r="T5405">
        <v>-0.29414759999999901</v>
      </c>
      <c r="U5405">
        <v>-0.60717769999999904</v>
      </c>
      <c r="V5405">
        <v>-3.7218380000000002E-2</v>
      </c>
      <c r="W5405">
        <v>-1.9607320000000001E-2</v>
      </c>
      <c r="X5405">
        <v>0.99911479999999997</v>
      </c>
      <c r="Y5405">
        <v>0.2027236</v>
      </c>
      <c r="Z5405">
        <v>-1.04069E-2</v>
      </c>
      <c r="AA5405">
        <v>0.97918070000000001</v>
      </c>
      <c r="AB5405">
        <v>26</v>
      </c>
      <c r="AC5405">
        <v>11.7135999999999</v>
      </c>
      <c r="AD5405">
        <v>-1.1588430000000001</v>
      </c>
      <c r="AE5405">
        <v>-2.3921199999999998</v>
      </c>
      <c r="AF5405">
        <v>2.4500919329685602</v>
      </c>
      <c r="AG5405">
        <v>-1.1588430000000001</v>
      </c>
      <c r="AH5405">
        <v>11.587892912947099</v>
      </c>
      <c r="AI5405">
        <v>95.588121198686807</v>
      </c>
      <c r="AJ5405">
        <v>78.061469509917103</v>
      </c>
      <c r="AK5405">
        <v>11.9006356864067</v>
      </c>
      <c r="AL5405">
        <v>91.123488656814004</v>
      </c>
      <c r="AM5405">
        <v>92.133358987010794</v>
      </c>
      <c r="AN5405">
        <v>1.0000000191932199</v>
      </c>
    </row>
    <row r="5406" spans="1:40" x14ac:dyDescent="0.3">
      <c r="A5406" t="str">
        <f>"20200111160610007"</f>
        <v>20200111160610007</v>
      </c>
      <c r="B5406" t="str">
        <f>"1578729969997796"</f>
        <v>1578729969997796</v>
      </c>
      <c r="C5406" t="s">
        <v>40</v>
      </c>
      <c r="D5406">
        <v>5.3825629999999904</v>
      </c>
      <c r="E5406">
        <v>0.63557669999999999</v>
      </c>
      <c r="F5406" t="s">
        <v>44</v>
      </c>
      <c r="G5406">
        <v>-318.05849999999998</v>
      </c>
      <c r="H5406">
        <v>-0.05</v>
      </c>
      <c r="I5406">
        <v>15.18877</v>
      </c>
      <c r="J5406">
        <v>-327.28750000000002</v>
      </c>
      <c r="K5406">
        <v>1.1087180000000001</v>
      </c>
      <c r="L5406">
        <v>18.013760000000001</v>
      </c>
      <c r="M5406">
        <v>0.9998764</v>
      </c>
      <c r="N5406">
        <v>0</v>
      </c>
      <c r="O5406">
        <v>5.3070289999999996E-3</v>
      </c>
      <c r="P5406">
        <v>0.99849399999999999</v>
      </c>
      <c r="Q5406">
        <v>-3.4715610000000001E-2</v>
      </c>
      <c r="R5406">
        <v>4.2488079999999998E-2</v>
      </c>
      <c r="S5406">
        <v>3.0320429999999998</v>
      </c>
      <c r="T5406">
        <v>-0.3743416</v>
      </c>
      <c r="U5406">
        <v>-0.91275019999999996</v>
      </c>
      <c r="V5406">
        <v>-3.7276860000000002E-2</v>
      </c>
      <c r="W5406">
        <v>-1.9757730000000001E-2</v>
      </c>
      <c r="X5406">
        <v>0.99910960000000004</v>
      </c>
      <c r="Y5406">
        <v>0.2912689</v>
      </c>
      <c r="Z5406">
        <v>-1.8166990000000001E-2</v>
      </c>
      <c r="AA5406">
        <v>0.95646869999999995</v>
      </c>
      <c r="AB5406">
        <v>26</v>
      </c>
      <c r="AC5406">
        <v>9.2290000000000401</v>
      </c>
      <c r="AD5406">
        <v>-1.1587179999999999</v>
      </c>
      <c r="AE5406">
        <v>-2.8249900000000001</v>
      </c>
      <c r="AF5406">
        <v>2.8331011361555798</v>
      </c>
      <c r="AG5406">
        <v>-1.1587179999999999</v>
      </c>
      <c r="AH5406">
        <v>9.0829648228694602</v>
      </c>
      <c r="AI5406">
        <v>96.9435031826265</v>
      </c>
      <c r="AJ5406">
        <v>72.676584492660297</v>
      </c>
      <c r="AK5406">
        <v>9.5848494732413005</v>
      </c>
      <c r="AL5406">
        <v>91.132108248817403</v>
      </c>
      <c r="AM5406">
        <v>92.136719068750807</v>
      </c>
      <c r="AN5406">
        <v>0.99999996249918499</v>
      </c>
    </row>
    <row r="5407" spans="1:40" x14ac:dyDescent="0.3">
      <c r="A5407" t="str">
        <f>"20200111160610019"</f>
        <v>20200111160610019</v>
      </c>
      <c r="B5407" t="str">
        <f>"1578729970007556"</f>
        <v>1578729970007556</v>
      </c>
      <c r="C5407" t="s">
        <v>40</v>
      </c>
      <c r="D5407">
        <v>5.3917070000000002</v>
      </c>
      <c r="E5407">
        <v>0.63798350000000004</v>
      </c>
      <c r="F5407" t="s">
        <v>44</v>
      </c>
      <c r="G5407">
        <v>-318.05430000000001</v>
      </c>
      <c r="H5407">
        <v>-0.05</v>
      </c>
      <c r="I5407">
        <v>15.126300000000001</v>
      </c>
      <c r="J5407">
        <v>-327.14359999999999</v>
      </c>
      <c r="K5407">
        <v>1.1086100000000001</v>
      </c>
      <c r="L5407">
        <v>18.012820000000001</v>
      </c>
      <c r="M5407">
        <v>0.99988339999999998</v>
      </c>
      <c r="N5407">
        <v>0</v>
      </c>
      <c r="O5407">
        <v>3.7130779999999999E-3</v>
      </c>
      <c r="P5407">
        <v>0.99856630000000002</v>
      </c>
      <c r="Q5407">
        <v>-3.4337930000000003E-2</v>
      </c>
      <c r="R5407">
        <v>4.1068029999999998E-2</v>
      </c>
      <c r="S5407">
        <v>3.0316160000000001</v>
      </c>
      <c r="T5407">
        <v>-0.38044990000000001</v>
      </c>
      <c r="U5407">
        <v>-0.94805910000000004</v>
      </c>
      <c r="V5407">
        <v>-3.7451529999999997E-2</v>
      </c>
      <c r="W5407">
        <v>-1.935127E-2</v>
      </c>
      <c r="X5407">
        <v>0.99911110000000003</v>
      </c>
      <c r="Y5407">
        <v>0.29984169999999999</v>
      </c>
      <c r="Z5407">
        <v>-1.8762000000000001E-2</v>
      </c>
      <c r="AA5407">
        <v>0.95380450000000006</v>
      </c>
      <c r="AB5407">
        <v>26</v>
      </c>
      <c r="AC5407">
        <v>9.0892999999999802</v>
      </c>
      <c r="AD5407">
        <v>-1.1586099999999999</v>
      </c>
      <c r="AE5407">
        <v>-2.88652</v>
      </c>
      <c r="AF5407">
        <v>2.8777772799579</v>
      </c>
      <c r="AG5407">
        <v>-1.1586099999999999</v>
      </c>
      <c r="AH5407">
        <v>8.9464689952038192</v>
      </c>
      <c r="AI5407">
        <v>97.0281696458499</v>
      </c>
      <c r="AJ5407">
        <v>72.168768314601394</v>
      </c>
      <c r="AK5407">
        <v>9.4690700011820095</v>
      </c>
      <c r="AL5407">
        <v>91.108815266134101</v>
      </c>
      <c r="AM5407">
        <v>92.146718631917494</v>
      </c>
      <c r="AN5407">
        <v>1.00000003944658</v>
      </c>
    </row>
    <row r="5408" spans="1:40" x14ac:dyDescent="0.3">
      <c r="A5408" t="str">
        <f>"20200111160610030"</f>
        <v>20200111160610030</v>
      </c>
      <c r="B5408" t="str">
        <f>"1578729970027075"</f>
        <v>1578729970027075</v>
      </c>
      <c r="C5408" t="s">
        <v>40</v>
      </c>
      <c r="D5408">
        <v>5.68276</v>
      </c>
      <c r="E5408">
        <v>0.63632489999999997</v>
      </c>
      <c r="F5408" t="s">
        <v>44</v>
      </c>
      <c r="G5408">
        <v>-318.00740000000002</v>
      </c>
      <c r="H5408">
        <v>-0.05</v>
      </c>
      <c r="I5408">
        <v>15.086</v>
      </c>
      <c r="J5408">
        <v>-327.0181</v>
      </c>
      <c r="K5408">
        <v>1.1085210000000001</v>
      </c>
      <c r="L5408">
        <v>18.011749999999999</v>
      </c>
      <c r="M5408">
        <v>0.99988730000000003</v>
      </c>
      <c r="N5408">
        <v>0</v>
      </c>
      <c r="O5408">
        <v>2.248183E-3</v>
      </c>
      <c r="P5408">
        <v>0.99862600000000001</v>
      </c>
      <c r="Q5408">
        <v>-3.4091870000000003E-2</v>
      </c>
      <c r="R5408">
        <v>3.9793700000000001E-2</v>
      </c>
      <c r="S5408">
        <v>3.0310359999999998</v>
      </c>
      <c r="T5408">
        <v>-0.38438230000000001</v>
      </c>
      <c r="U5408">
        <v>-0.97100830000000005</v>
      </c>
      <c r="V5408">
        <v>-3.7643719999999999E-2</v>
      </c>
      <c r="W5408">
        <v>-1.9081029999999999E-2</v>
      </c>
      <c r="X5408">
        <v>0.99910900000000002</v>
      </c>
      <c r="Y5408">
        <v>0.30499019999999999</v>
      </c>
      <c r="Z5408">
        <v>-1.9073710000000001E-2</v>
      </c>
      <c r="AA5408">
        <v>0.95216449999999997</v>
      </c>
      <c r="AB5408">
        <v>26</v>
      </c>
      <c r="AC5408">
        <v>9.0106999999999804</v>
      </c>
      <c r="AD5408">
        <v>-1.1585209999999999</v>
      </c>
      <c r="AE5408">
        <v>-2.9257499999999999</v>
      </c>
      <c r="AF5408">
        <v>2.9025968274441998</v>
      </c>
      <c r="AG5408">
        <v>-1.1585209999999999</v>
      </c>
      <c r="AH5408">
        <v>8.8714345923917008</v>
      </c>
      <c r="AI5408">
        <v>97.075119927391597</v>
      </c>
      <c r="AJ5408">
        <v>71.882700408338707</v>
      </c>
      <c r="AK5408">
        <v>9.4058275009280408</v>
      </c>
      <c r="AL5408">
        <v>91.093328877526702</v>
      </c>
      <c r="AM5408">
        <v>92.157729091665203</v>
      </c>
      <c r="AN5408">
        <v>0.99999996462114904</v>
      </c>
    </row>
    <row r="5409" spans="1:40" x14ac:dyDescent="0.3">
      <c r="A5409" t="str">
        <f>"20200111160610041"</f>
        <v>20200111160610041</v>
      </c>
      <c r="B5409" t="str">
        <f>"1578729970037810"</f>
        <v>1578729970037810</v>
      </c>
      <c r="C5409" t="s">
        <v>40</v>
      </c>
      <c r="D5409">
        <v>5.6513330000000002</v>
      </c>
      <c r="E5409">
        <v>0.63515120000000003</v>
      </c>
      <c r="F5409" t="s">
        <v>44</v>
      </c>
      <c r="G5409">
        <v>-318.5412</v>
      </c>
      <c r="H5409">
        <v>-0.05</v>
      </c>
      <c r="I5409">
        <v>15.32314</v>
      </c>
      <c r="J5409">
        <v>-326.88709999999998</v>
      </c>
      <c r="K5409">
        <v>1.108433</v>
      </c>
      <c r="L5409">
        <v>18.010470000000002</v>
      </c>
      <c r="M5409">
        <v>0.99988940000000004</v>
      </c>
      <c r="N5409">
        <v>0</v>
      </c>
      <c r="O5409">
        <v>6.7093890000000003E-4</v>
      </c>
      <c r="P5409">
        <v>0.99870320000000001</v>
      </c>
      <c r="Q5409">
        <v>-3.364839E-2</v>
      </c>
      <c r="R5409">
        <v>3.8204109999999999E-2</v>
      </c>
      <c r="S5409">
        <v>3.0281980000000002</v>
      </c>
      <c r="T5409">
        <v>-0.41385670000000002</v>
      </c>
      <c r="U5409">
        <v>-0.9604492</v>
      </c>
      <c r="V5409">
        <v>-3.7631190000000002E-2</v>
      </c>
      <c r="W5409">
        <v>-1.861405E-2</v>
      </c>
      <c r="X5409">
        <v>0.99911830000000001</v>
      </c>
      <c r="Y5409">
        <v>0.30042180000000002</v>
      </c>
      <c r="Z5409">
        <v>-2.0039950000000001E-2</v>
      </c>
      <c r="AA5409">
        <v>0.95359590000000005</v>
      </c>
      <c r="AB5409">
        <v>26</v>
      </c>
      <c r="AC5409">
        <v>8.3458999999999701</v>
      </c>
      <c r="AD5409">
        <v>-1.158433</v>
      </c>
      <c r="AE5409">
        <v>-2.6873300000000002</v>
      </c>
      <c r="AF5409">
        <v>2.64672752638013</v>
      </c>
      <c r="AG5409">
        <v>-1.158433</v>
      </c>
      <c r="AH5409">
        <v>8.2009368552346196</v>
      </c>
      <c r="AI5409">
        <v>97.6562962968612</v>
      </c>
      <c r="AJ5409">
        <v>72.113305003310302</v>
      </c>
      <c r="AK5409">
        <v>8.6949697479596093</v>
      </c>
      <c r="AL5409">
        <v>91.066568119707</v>
      </c>
      <c r="AM5409">
        <v>92.156991494631697</v>
      </c>
      <c r="AN5409">
        <v>0.99999998335655405</v>
      </c>
    </row>
    <row r="5410" spans="1:40" x14ac:dyDescent="0.3">
      <c r="A5410" t="str">
        <f>"20200111160610059"</f>
        <v>20200111160610059</v>
      </c>
      <c r="B5410" t="str">
        <f>"1578729970047570"</f>
        <v>1578729970047570</v>
      </c>
      <c r="C5410" t="s">
        <v>40</v>
      </c>
      <c r="D5410">
        <v>5.5824259999999999</v>
      </c>
      <c r="E5410">
        <v>0.63454290000000002</v>
      </c>
      <c r="F5410" t="s">
        <v>44</v>
      </c>
      <c r="G5410">
        <v>-318.67430000000002</v>
      </c>
      <c r="H5410">
        <v>-0.05</v>
      </c>
      <c r="I5410">
        <v>15.418760000000001</v>
      </c>
      <c r="J5410">
        <v>-326.6909</v>
      </c>
      <c r="K5410">
        <v>1.108298</v>
      </c>
      <c r="L5410">
        <v>18.007809999999999</v>
      </c>
      <c r="M5410">
        <v>0.99988779999999999</v>
      </c>
      <c r="N5410">
        <v>0</v>
      </c>
      <c r="O5410">
        <v>-1.8539920000000001E-3</v>
      </c>
      <c r="P5410">
        <v>0.99884059999999997</v>
      </c>
      <c r="Q5410">
        <v>-3.3495360000000002E-2</v>
      </c>
      <c r="R5410">
        <v>3.4578030000000003E-2</v>
      </c>
      <c r="S5410">
        <v>3.0260310000000001</v>
      </c>
      <c r="T5410">
        <v>-0.42682930000000002</v>
      </c>
      <c r="U5410">
        <v>-0.95492549999999998</v>
      </c>
      <c r="V5410">
        <v>-3.6532670000000003E-2</v>
      </c>
      <c r="W5410">
        <v>-1.843361E-2</v>
      </c>
      <c r="X5410">
        <v>0.99916240000000001</v>
      </c>
      <c r="Y5410">
        <v>0.29651899999999998</v>
      </c>
      <c r="Z5410">
        <v>-2.0068320000000001E-2</v>
      </c>
      <c r="AA5410">
        <v>0.95481609999999995</v>
      </c>
      <c r="AB5410">
        <v>26</v>
      </c>
      <c r="AC5410">
        <v>8.0165999999999809</v>
      </c>
      <c r="AD5410">
        <v>-1.158298</v>
      </c>
      <c r="AE5410">
        <v>-2.5890499999999901</v>
      </c>
      <c r="AF5410">
        <v>2.5264197889606099</v>
      </c>
      <c r="AG5410">
        <v>-1.158298</v>
      </c>
      <c r="AH5410">
        <v>7.87255786682553</v>
      </c>
      <c r="AI5410">
        <v>97.974890009020996</v>
      </c>
      <c r="AJ5410">
        <v>72.207799081775093</v>
      </c>
      <c r="AK5410">
        <v>8.3487495215374796</v>
      </c>
      <c r="AL5410">
        <v>91.056227911351598</v>
      </c>
      <c r="AM5410">
        <v>92.0939897110039</v>
      </c>
      <c r="AN5410">
        <v>0.99999996776435995</v>
      </c>
    </row>
    <row r="5411" spans="1:40" x14ac:dyDescent="0.3">
      <c r="A5411" t="str">
        <f>"20200111160610071"</f>
        <v>20200111160610071</v>
      </c>
      <c r="B5411" t="str">
        <f>"1578729970067091"</f>
        <v>1578729970067091</v>
      </c>
      <c r="C5411" t="s">
        <v>40</v>
      </c>
      <c r="D5411">
        <v>5.6835180000000003</v>
      </c>
      <c r="E5411">
        <v>0.63356829999999997</v>
      </c>
      <c r="F5411" t="s">
        <v>44</v>
      </c>
      <c r="G5411">
        <v>-318.68119999999999</v>
      </c>
      <c r="H5411">
        <v>-0.05</v>
      </c>
      <c r="I5411">
        <v>15.464429999999901</v>
      </c>
      <c r="J5411">
        <v>-326.54930000000002</v>
      </c>
      <c r="K5411">
        <v>1.1082080000000001</v>
      </c>
      <c r="L5411">
        <v>18.005520000000001</v>
      </c>
      <c r="M5411">
        <v>0.99988220000000005</v>
      </c>
      <c r="N5411">
        <v>0</v>
      </c>
      <c r="O5411">
        <v>-3.7679200000000001E-3</v>
      </c>
      <c r="P5411">
        <v>0.99892069999999999</v>
      </c>
      <c r="Q5411">
        <v>-3.4196259999999999E-2</v>
      </c>
      <c r="R5411">
        <v>3.1435419999999999E-2</v>
      </c>
      <c r="S5411">
        <v>3.0220030000000002</v>
      </c>
      <c r="T5411">
        <v>-0.43701640000000003</v>
      </c>
      <c r="U5411">
        <v>-0.95959470000000002</v>
      </c>
      <c r="V5411">
        <v>-3.5310599999999998E-2</v>
      </c>
      <c r="W5411">
        <v>-1.9119029999999999E-2</v>
      </c>
      <c r="X5411">
        <v>0.99919349999999996</v>
      </c>
      <c r="Y5411">
        <v>0.2962863</v>
      </c>
      <c r="Z5411">
        <v>-2.0278859999999999E-2</v>
      </c>
      <c r="AA5411">
        <v>0.95488390000000001</v>
      </c>
      <c r="AB5411">
        <v>26</v>
      </c>
      <c r="AC5411">
        <v>7.8681000000000196</v>
      </c>
      <c r="AD5411">
        <v>-1.1582079999999999</v>
      </c>
      <c r="AE5411">
        <v>-2.5410900000000001</v>
      </c>
      <c r="AF5411">
        <v>2.4630913564064101</v>
      </c>
      <c r="AG5411">
        <v>-1.1582079999999999</v>
      </c>
      <c r="AH5411">
        <v>7.7260193367351402</v>
      </c>
      <c r="AI5411">
        <v>98.128433987697406</v>
      </c>
      <c r="AJ5411">
        <v>72.317473511383298</v>
      </c>
      <c r="AK5411">
        <v>8.19143696752122</v>
      </c>
      <c r="AL5411">
        <v>91.095506461347</v>
      </c>
      <c r="AM5411">
        <v>92.023939085129498</v>
      </c>
      <c r="AN5411">
        <v>1.00000001311137</v>
      </c>
    </row>
    <row r="5412" spans="1:40" x14ac:dyDescent="0.3">
      <c r="A5412" t="str">
        <f>"20200111160610083"</f>
        <v>20200111160610083</v>
      </c>
      <c r="B5412" t="str">
        <f>"1578729970077827"</f>
        <v>1578729970077827</v>
      </c>
      <c r="C5412" t="s">
        <v>40</v>
      </c>
      <c r="D5412">
        <v>5.5700880000000002</v>
      </c>
      <c r="E5412">
        <v>0.63321470000000002</v>
      </c>
      <c r="F5412" t="s">
        <v>44</v>
      </c>
      <c r="G5412">
        <v>-318.8218</v>
      </c>
      <c r="H5412">
        <v>-0.05</v>
      </c>
      <c r="I5412">
        <v>15.54623</v>
      </c>
      <c r="J5412">
        <v>-326.41120000000001</v>
      </c>
      <c r="K5412">
        <v>1.108117</v>
      </c>
      <c r="L5412">
        <v>18.003050000000002</v>
      </c>
      <c r="M5412">
        <v>0.99987289999999995</v>
      </c>
      <c r="N5412">
        <v>0</v>
      </c>
      <c r="O5412">
        <v>-5.68105E-3</v>
      </c>
      <c r="P5412">
        <v>0.99902329999999995</v>
      </c>
      <c r="Q5412">
        <v>-3.4394910000000001E-2</v>
      </c>
      <c r="R5412">
        <v>2.7740500000000001E-2</v>
      </c>
      <c r="S5412">
        <v>3.0179749999999999</v>
      </c>
      <c r="T5412">
        <v>-0.45233859999999898</v>
      </c>
      <c r="U5412">
        <v>-0.96047969999999905</v>
      </c>
      <c r="V5412">
        <v>-3.3532300000000001E-2</v>
      </c>
      <c r="W5412">
        <v>-1.930699E-2</v>
      </c>
      <c r="X5412">
        <v>0.99925109999999995</v>
      </c>
      <c r="Y5412">
        <v>0.29491260000000002</v>
      </c>
      <c r="Z5412">
        <v>-2.0629959999999999E-2</v>
      </c>
      <c r="AA5412">
        <v>0.95530150000000003</v>
      </c>
      <c r="AB5412">
        <v>26</v>
      </c>
      <c r="AC5412">
        <v>7.5894000000000101</v>
      </c>
      <c r="AD5412">
        <v>-1.1581170000000001</v>
      </c>
      <c r="AE5412">
        <v>-2.45682</v>
      </c>
      <c r="AF5412">
        <v>2.36383716612076</v>
      </c>
      <c r="AG5412">
        <v>-1.1581170000000001</v>
      </c>
      <c r="AH5412">
        <v>7.4462907788553698</v>
      </c>
      <c r="AI5412">
        <v>98.432073751508497</v>
      </c>
      <c r="AJ5412">
        <v>72.387874195283402</v>
      </c>
      <c r="AK5412">
        <v>7.8978609443880003</v>
      </c>
      <c r="AL5412">
        <v>91.106277814171193</v>
      </c>
      <c r="AM5412">
        <v>91.921977946083402</v>
      </c>
      <c r="AN5412">
        <v>0.99999996792867896</v>
      </c>
    </row>
    <row r="5413" spans="1:40" x14ac:dyDescent="0.3">
      <c r="A5413" t="str">
        <f>"20200111160610093"</f>
        <v>20200111160610093</v>
      </c>
      <c r="B5413" t="str">
        <f>"1578729970087587"</f>
        <v>1578729970087587</v>
      </c>
      <c r="C5413" t="s">
        <v>40</v>
      </c>
      <c r="D5413">
        <v>5.6317409999999999</v>
      </c>
      <c r="E5413">
        <v>0.63305880000000003</v>
      </c>
      <c r="F5413" t="s">
        <v>44</v>
      </c>
      <c r="G5413">
        <v>-318.79149999999998</v>
      </c>
      <c r="H5413">
        <v>-0.05</v>
      </c>
      <c r="I5413">
        <v>15.55565</v>
      </c>
      <c r="J5413">
        <v>-326.29109999999997</v>
      </c>
      <c r="K5413">
        <v>1.1080460000000001</v>
      </c>
      <c r="L5413">
        <v>18.000429999999898</v>
      </c>
      <c r="M5413">
        <v>0.99986109999999995</v>
      </c>
      <c r="N5413">
        <v>0</v>
      </c>
      <c r="O5413">
        <v>-7.4372359999999998E-3</v>
      </c>
      <c r="P5413">
        <v>0.99910770000000004</v>
      </c>
      <c r="Q5413">
        <v>-3.4666519999999999E-2</v>
      </c>
      <c r="R5413">
        <v>2.412889E-2</v>
      </c>
      <c r="S5413">
        <v>3.014008</v>
      </c>
      <c r="T5413">
        <v>-0.45809820000000001</v>
      </c>
      <c r="U5413">
        <v>-0.96807860000000001</v>
      </c>
      <c r="V5413">
        <v>-3.1680960000000001E-2</v>
      </c>
      <c r="W5413">
        <v>-1.9572820000000001E-2</v>
      </c>
      <c r="X5413">
        <v>0.99930640000000004</v>
      </c>
      <c r="Y5413">
        <v>0.2957149</v>
      </c>
      <c r="Z5413">
        <v>-2.0708379999999998E-2</v>
      </c>
      <c r="AA5413">
        <v>0.95505169999999995</v>
      </c>
      <c r="AB5413">
        <v>26</v>
      </c>
      <c r="AC5413">
        <v>7.4995999999999796</v>
      </c>
      <c r="AD5413">
        <v>-1.1580459999999999</v>
      </c>
      <c r="AE5413">
        <v>-2.44477999999999</v>
      </c>
      <c r="AF5413">
        <v>2.3385267604911699</v>
      </c>
      <c r="AG5413">
        <v>-1.1580459999999999</v>
      </c>
      <c r="AH5413">
        <v>7.3589665125500803</v>
      </c>
      <c r="AI5413">
        <v>98.529358539786898</v>
      </c>
      <c r="AJ5413">
        <v>72.3708239067509</v>
      </c>
      <c r="AK5413">
        <v>7.8079553072800598</v>
      </c>
      <c r="AL5413">
        <v>91.121511561157007</v>
      </c>
      <c r="AM5413">
        <v>91.815836996276701</v>
      </c>
      <c r="AN5413">
        <v>1.0000000297951099</v>
      </c>
    </row>
    <row r="5414" spans="1:40" x14ac:dyDescent="0.3">
      <c r="A5414" t="str">
        <f>"20200111160610105"</f>
        <v>20200111160610105</v>
      </c>
      <c r="B5414" t="str">
        <f>"1578729970097346"</f>
        <v>1578729970097346</v>
      </c>
      <c r="C5414" t="s">
        <v>40</v>
      </c>
      <c r="D5414">
        <v>5.6013500000000001</v>
      </c>
      <c r="E5414">
        <v>0.63289019999999996</v>
      </c>
      <c r="F5414" t="s">
        <v>44</v>
      </c>
      <c r="G5414">
        <v>-318.75959999999998</v>
      </c>
      <c r="H5414">
        <v>-0.05</v>
      </c>
      <c r="I5414">
        <v>15.55537</v>
      </c>
      <c r="J5414">
        <v>-326.1601</v>
      </c>
      <c r="K5414">
        <v>1.10797099999999</v>
      </c>
      <c r="L5414">
        <v>17.997499999999999</v>
      </c>
      <c r="M5414">
        <v>0.99984490000000004</v>
      </c>
      <c r="N5414">
        <v>0</v>
      </c>
      <c r="O5414">
        <v>-9.3702560000000004E-3</v>
      </c>
      <c r="P5414">
        <v>0.9992065</v>
      </c>
      <c r="Q5414">
        <v>-3.433046E-2</v>
      </c>
      <c r="R5414">
        <v>2.0195439999999999E-2</v>
      </c>
      <c r="S5414">
        <v>3.0101930000000001</v>
      </c>
      <c r="T5414">
        <v>-0.4628466</v>
      </c>
      <c r="U5414">
        <v>-0.97723389999999999</v>
      </c>
      <c r="V5414">
        <v>-2.968119E-2</v>
      </c>
      <c r="W5414">
        <v>-1.9231359999999999E-2</v>
      </c>
      <c r="X5414">
        <v>0.9993744</v>
      </c>
      <c r="Y5414">
        <v>0.2967957</v>
      </c>
      <c r="Z5414">
        <v>-2.0728839999999998E-2</v>
      </c>
      <c r="AA5414">
        <v>0.95471600000000001</v>
      </c>
      <c r="AB5414">
        <v>25</v>
      </c>
      <c r="AC5414">
        <v>7.4005000000000196</v>
      </c>
      <c r="AD5414">
        <v>-1.1579710000000001</v>
      </c>
      <c r="AE5414">
        <v>-2.4421299999999899</v>
      </c>
      <c r="AF5414">
        <v>2.32141561944387</v>
      </c>
      <c r="AG5414">
        <v>-1.1579710000000001</v>
      </c>
      <c r="AH5414">
        <v>7.26270667035475</v>
      </c>
      <c r="AI5414">
        <v>98.635592103833901</v>
      </c>
      <c r="AJ5414">
        <v>72.2742981069499</v>
      </c>
      <c r="AK5414">
        <v>7.7121187422558704</v>
      </c>
      <c r="AL5414">
        <v>91.101943688879103</v>
      </c>
      <c r="AM5414">
        <v>91.701171413516505</v>
      </c>
      <c r="AN5414">
        <v>1.00000000481131</v>
      </c>
    </row>
    <row r="5415" spans="1:40" x14ac:dyDescent="0.3">
      <c r="A5415" t="str">
        <f>"20200111160610116"</f>
        <v>20200111160610116</v>
      </c>
      <c r="B5415" t="str">
        <f>"1578729970107107"</f>
        <v>1578729970107107</v>
      </c>
      <c r="C5415" t="s">
        <v>40</v>
      </c>
      <c r="D5415">
        <v>5.6054399999999998</v>
      </c>
      <c r="E5415">
        <v>0.63276639999999995</v>
      </c>
      <c r="F5415" t="s">
        <v>44</v>
      </c>
      <c r="G5415">
        <v>-318.66759999999999</v>
      </c>
      <c r="H5415">
        <v>-0.05</v>
      </c>
      <c r="I5415">
        <v>15.53664</v>
      </c>
      <c r="J5415">
        <v>-326.02030000000002</v>
      </c>
      <c r="K5415">
        <v>1.107901</v>
      </c>
      <c r="L5415">
        <v>17.9938</v>
      </c>
      <c r="M5415">
        <v>0.99982199999999999</v>
      </c>
      <c r="N5415">
        <v>0</v>
      </c>
      <c r="O5415">
        <v>-1.152624E-2</v>
      </c>
      <c r="P5415">
        <v>0.99931610000000004</v>
      </c>
      <c r="Q5415">
        <v>-3.3505600000000003E-2</v>
      </c>
      <c r="R5415">
        <v>1.565068E-2</v>
      </c>
      <c r="S5415">
        <v>3.0063780000000002</v>
      </c>
      <c r="T5415">
        <v>-0.4646381</v>
      </c>
      <c r="U5415">
        <v>-0.98742680000000005</v>
      </c>
      <c r="V5415">
        <v>-2.7290740000000001E-2</v>
      </c>
      <c r="W5415">
        <v>-1.8404E-2</v>
      </c>
      <c r="X5415">
        <v>0.99945810000000002</v>
      </c>
      <c r="Y5415">
        <v>0.2980025</v>
      </c>
      <c r="Z5415">
        <v>-2.0590250000000001E-2</v>
      </c>
      <c r="AA5415">
        <v>0.95434300000000005</v>
      </c>
      <c r="AB5415">
        <v>25</v>
      </c>
      <c r="AC5415">
        <v>7.35270000000002</v>
      </c>
      <c r="AD5415">
        <v>-1.1579010000000001</v>
      </c>
      <c r="AE5415">
        <v>-2.45716</v>
      </c>
      <c r="AF5415">
        <v>2.3204721349580701</v>
      </c>
      <c r="AG5415">
        <v>-1.1579010000000001</v>
      </c>
      <c r="AH5415">
        <v>7.2194809287589603</v>
      </c>
      <c r="AI5415">
        <v>98.681561149951193</v>
      </c>
      <c r="AJ5415">
        <v>72.181652774439598</v>
      </c>
      <c r="AK5415">
        <v>7.6711296779309004</v>
      </c>
      <c r="AL5415">
        <v>91.054531069138605</v>
      </c>
      <c r="AM5415">
        <v>91.564103369440602</v>
      </c>
      <c r="AN5415">
        <v>0.99999999268067796</v>
      </c>
    </row>
    <row r="5416" spans="1:40" x14ac:dyDescent="0.3">
      <c r="A5416" t="str">
        <f>"20200111160610129"</f>
        <v>20200111160610129</v>
      </c>
      <c r="B5416" t="str">
        <f>"1578729970127604"</f>
        <v>1578729970127604</v>
      </c>
      <c r="C5416" t="s">
        <v>40</v>
      </c>
      <c r="D5416">
        <v>5.6298399999999997</v>
      </c>
      <c r="E5416">
        <v>0.63257799999999997</v>
      </c>
      <c r="F5416" t="s">
        <v>44</v>
      </c>
      <c r="G5416">
        <v>-318.53440000000001</v>
      </c>
      <c r="H5416">
        <v>-0.05</v>
      </c>
      <c r="I5416">
        <v>15.50127</v>
      </c>
      <c r="J5416">
        <v>-325.88409999999999</v>
      </c>
      <c r="K5416">
        <v>1.1078460000000001</v>
      </c>
      <c r="L5416">
        <v>17.98996</v>
      </c>
      <c r="M5416">
        <v>0.99979499999999999</v>
      </c>
      <c r="N5416">
        <v>0</v>
      </c>
      <c r="O5416">
        <v>-1.367206E-2</v>
      </c>
      <c r="P5416">
        <v>0.99945519999999999</v>
      </c>
      <c r="Q5416">
        <v>-3.1314630000000003E-2</v>
      </c>
      <c r="R5416">
        <v>1.042907E-2</v>
      </c>
      <c r="S5416">
        <v>3.0021360000000001</v>
      </c>
      <c r="T5416">
        <v>-0.46435999999999999</v>
      </c>
      <c r="U5416">
        <v>-0.99960329999999997</v>
      </c>
      <c r="V5416">
        <v>-2.4203780000000001E-2</v>
      </c>
      <c r="W5416">
        <v>-1.6216640000000001E-2</v>
      </c>
      <c r="X5416">
        <v>0.99957549999999995</v>
      </c>
      <c r="Y5416">
        <v>0.29984769999999999</v>
      </c>
      <c r="Z5416">
        <v>-2.0409900000000002E-2</v>
      </c>
      <c r="AA5416">
        <v>0.95376870000000002</v>
      </c>
      <c r="AB5416">
        <v>25</v>
      </c>
      <c r="AC5416">
        <v>7.3496999999999799</v>
      </c>
      <c r="AD5416">
        <v>-1.1578459999999999</v>
      </c>
      <c r="AE5416">
        <v>-2.4886899999999899</v>
      </c>
      <c r="AF5416">
        <v>2.3359508555285302</v>
      </c>
      <c r="AG5416">
        <v>-1.1578459999999999</v>
      </c>
      <c r="AH5416">
        <v>7.2222396909278803</v>
      </c>
      <c r="AI5416">
        <v>98.672848095528806</v>
      </c>
      <c r="AJ5416">
        <v>72.076792196402394</v>
      </c>
      <c r="AK5416">
        <v>7.6784125906579499</v>
      </c>
      <c r="AL5416">
        <v>90.929185767133006</v>
      </c>
      <c r="AM5416">
        <v>91.387092326766705</v>
      </c>
      <c r="AN5416">
        <v>0.99999999128971395</v>
      </c>
    </row>
    <row r="5417" spans="1:40" x14ac:dyDescent="0.3">
      <c r="A5417" t="str">
        <f>"20200111160610141"</f>
        <v>20200111160610141</v>
      </c>
      <c r="B5417" t="str">
        <f>"1578729970137363"</f>
        <v>1578729970137363</v>
      </c>
      <c r="C5417" t="s">
        <v>40</v>
      </c>
      <c r="D5417">
        <v>5.6279260000000004</v>
      </c>
      <c r="E5417">
        <v>0.63243680000000002</v>
      </c>
      <c r="F5417" t="s">
        <v>44</v>
      </c>
      <c r="G5417">
        <v>-318.33089999999999</v>
      </c>
      <c r="H5417">
        <v>-0.05</v>
      </c>
      <c r="I5417">
        <v>15.43655</v>
      </c>
      <c r="J5417">
        <v>-325.75580000000002</v>
      </c>
      <c r="K5417">
        <v>1.107804</v>
      </c>
      <c r="L5417">
        <v>17.98602</v>
      </c>
      <c r="M5417">
        <v>0.9997644</v>
      </c>
      <c r="N5417">
        <v>0</v>
      </c>
      <c r="O5417">
        <v>-1.5737210000000001E-2</v>
      </c>
      <c r="P5417">
        <v>0.99958440000000004</v>
      </c>
      <c r="Q5417">
        <v>-2.839001E-2</v>
      </c>
      <c r="R5417">
        <v>5.0316960000000004E-3</v>
      </c>
      <c r="S5417">
        <v>2.9978030000000002</v>
      </c>
      <c r="T5417">
        <v>-0.4595417</v>
      </c>
      <c r="U5417">
        <v>-1.013428</v>
      </c>
      <c r="V5417">
        <v>-2.085571E-2</v>
      </c>
      <c r="W5417">
        <v>-1.32999E-2</v>
      </c>
      <c r="X5417">
        <v>0.99969399999999997</v>
      </c>
      <c r="Y5417">
        <v>0.30230069999999998</v>
      </c>
      <c r="Z5417">
        <v>-2.0089550000000001E-2</v>
      </c>
      <c r="AA5417">
        <v>0.95300090000000004</v>
      </c>
      <c r="AB5417">
        <v>25</v>
      </c>
      <c r="AC5417">
        <v>7.4249000000000303</v>
      </c>
      <c r="AD5417">
        <v>-1.1578040000000001</v>
      </c>
      <c r="AE5417">
        <v>-2.5494699999999901</v>
      </c>
      <c r="AF5417">
        <v>2.38051462881156</v>
      </c>
      <c r="AG5417">
        <v>-1.1578040000000001</v>
      </c>
      <c r="AH5417">
        <v>7.3052084893945004</v>
      </c>
      <c r="AI5417">
        <v>98.569493412160696</v>
      </c>
      <c r="AJ5417">
        <v>71.951003395586696</v>
      </c>
      <c r="AK5417">
        <v>7.77003417456599</v>
      </c>
      <c r="AL5417">
        <v>90.762050627503399</v>
      </c>
      <c r="AM5417">
        <v>91.195136561488297</v>
      </c>
      <c r="AN5417">
        <v>0.999999970807806</v>
      </c>
    </row>
    <row r="5418" spans="1:40" x14ac:dyDescent="0.3">
      <c r="A5418" t="str">
        <f>"20200111160610152"</f>
        <v>20200111160610152</v>
      </c>
      <c r="B5418" t="str">
        <f>"1578729970147123"</f>
        <v>1578729970147123</v>
      </c>
      <c r="C5418" t="s">
        <v>40</v>
      </c>
      <c r="D5418">
        <v>5.6411100000000003</v>
      </c>
      <c r="E5418">
        <v>0.63224599999999997</v>
      </c>
      <c r="F5418" t="s">
        <v>44</v>
      </c>
      <c r="G5418">
        <v>-318.10000000000002</v>
      </c>
      <c r="H5418">
        <v>-0.05</v>
      </c>
      <c r="I5418">
        <v>15.35652</v>
      </c>
      <c r="J5418">
        <v>-325.62150000000003</v>
      </c>
      <c r="K5418">
        <v>1.1077600000000001</v>
      </c>
      <c r="L5418">
        <v>17.98151</v>
      </c>
      <c r="M5418">
        <v>0.99972669999999997</v>
      </c>
      <c r="N5418">
        <v>0</v>
      </c>
      <c r="O5418">
        <v>-1.7962760000000001E-2</v>
      </c>
      <c r="P5418">
        <v>0.99966219999999995</v>
      </c>
      <c r="Q5418">
        <v>-2.597435E-2</v>
      </c>
      <c r="R5418">
        <v>-9.1584749999999997E-4</v>
      </c>
      <c r="S5418">
        <v>2.9935909999999999</v>
      </c>
      <c r="T5418">
        <v>-0.45272899999999999</v>
      </c>
      <c r="U5418">
        <v>-1.0281979999999999</v>
      </c>
      <c r="V5418">
        <v>-1.7120239999999998E-2</v>
      </c>
      <c r="W5418">
        <v>-1.089657E-2</v>
      </c>
      <c r="X5418">
        <v>0.99979410000000002</v>
      </c>
      <c r="Y5418">
        <v>0.30488150000000003</v>
      </c>
      <c r="Z5418">
        <v>-1.9669539999999999E-2</v>
      </c>
      <c r="AA5418">
        <v>0.95218720000000001</v>
      </c>
      <c r="AB5418">
        <v>25</v>
      </c>
      <c r="AC5418">
        <v>7.5214999999999996</v>
      </c>
      <c r="AD5418">
        <v>-1.1577599999999999</v>
      </c>
      <c r="AE5418">
        <v>-2.6249899999999902</v>
      </c>
      <c r="AF5418">
        <v>2.43795255565575</v>
      </c>
      <c r="AG5418">
        <v>-1.1577599999999999</v>
      </c>
      <c r="AH5418">
        <v>7.4109181219220703</v>
      </c>
      <c r="AI5418">
        <v>98.441082608823805</v>
      </c>
      <c r="AJ5418">
        <v>71.790465298863097</v>
      </c>
      <c r="AK5418">
        <v>7.8870608144644896</v>
      </c>
      <c r="AL5418">
        <v>90.624339802721494</v>
      </c>
      <c r="AM5418">
        <v>90.981023629907796</v>
      </c>
      <c r="AN5418">
        <v>1.0000000401251099</v>
      </c>
    </row>
    <row r="5419" spans="1:40" x14ac:dyDescent="0.3">
      <c r="A5419" t="str">
        <f>"20200111160610164"</f>
        <v>20200111160610164</v>
      </c>
      <c r="B5419" t="str">
        <f>"1578729970157860"</f>
        <v>1578729970157860</v>
      </c>
      <c r="C5419" t="s">
        <v>40</v>
      </c>
      <c r="D5419">
        <v>5.6577390000000003</v>
      </c>
      <c r="E5419">
        <v>0.6319418</v>
      </c>
      <c r="F5419" t="s">
        <v>44</v>
      </c>
      <c r="G5419">
        <v>-317.87270000000001</v>
      </c>
      <c r="H5419">
        <v>-0.05</v>
      </c>
      <c r="I5419">
        <v>15.273569999999999</v>
      </c>
      <c r="J5419">
        <v>-325.48219999999998</v>
      </c>
      <c r="K5419">
        <v>1.1077159999999999</v>
      </c>
      <c r="L5419">
        <v>17.97653</v>
      </c>
      <c r="M5419">
        <v>0.99968179999999995</v>
      </c>
      <c r="N5419">
        <v>0</v>
      </c>
      <c r="O5419">
        <v>-2.0300140000000001E-2</v>
      </c>
      <c r="P5419">
        <v>0.99967070000000002</v>
      </c>
      <c r="Q5419">
        <v>-2.4697589999999998E-2</v>
      </c>
      <c r="R5419">
        <v>-7.0025019999999999E-3</v>
      </c>
      <c r="S5419">
        <v>2.988464</v>
      </c>
      <c r="T5419">
        <v>-0.44651279999999999</v>
      </c>
      <c r="U5419">
        <v>-1.044373</v>
      </c>
      <c r="V5419">
        <v>-1.3364549999999999E-2</v>
      </c>
      <c r="W5419">
        <v>-9.6341499999999993E-3</v>
      </c>
      <c r="X5419">
        <v>0.99986430000000004</v>
      </c>
      <c r="Y5419">
        <v>0.3078283</v>
      </c>
      <c r="Z5419">
        <v>-1.9292739999999999E-2</v>
      </c>
      <c r="AA5419">
        <v>0.95124629999999999</v>
      </c>
      <c r="AB5419">
        <v>25</v>
      </c>
      <c r="AC5419">
        <v>7.6094999999999597</v>
      </c>
      <c r="AD5419">
        <v>-1.157716</v>
      </c>
      <c r="AE5419">
        <v>-2.7029599999999898</v>
      </c>
      <c r="AF5419">
        <v>2.49659771999336</v>
      </c>
      <c r="AG5419">
        <v>-1.157716</v>
      </c>
      <c r="AH5419">
        <v>7.5084822856503903</v>
      </c>
      <c r="AI5419">
        <v>98.323981977431004</v>
      </c>
      <c r="AJ5419">
        <v>71.607845754526707</v>
      </c>
      <c r="AK5419">
        <v>7.9969127009151304</v>
      </c>
      <c r="AL5419">
        <v>90.552004660819904</v>
      </c>
      <c r="AM5419">
        <v>90.765790630937602</v>
      </c>
      <c r="AN5419">
        <v>1.0000000232287001</v>
      </c>
    </row>
    <row r="5420" spans="1:40" x14ac:dyDescent="0.3">
      <c r="A5420" t="str">
        <f>"20200111160610176"</f>
        <v>20200111160610176</v>
      </c>
      <c r="B5420" t="str">
        <f>"1578729970167619"</f>
        <v>1578729970167619</v>
      </c>
      <c r="C5420" t="s">
        <v>40</v>
      </c>
      <c r="D5420">
        <v>6.3046730000000002</v>
      </c>
      <c r="E5420">
        <v>0.6319418</v>
      </c>
      <c r="F5420" t="s">
        <v>44</v>
      </c>
      <c r="G5420">
        <v>-317.71249999999998</v>
      </c>
      <c r="H5420">
        <v>-0.05</v>
      </c>
      <c r="I5420">
        <v>15.215439999999999</v>
      </c>
      <c r="J5420">
        <v>-325.34339999999997</v>
      </c>
      <c r="K5420">
        <v>1.107674</v>
      </c>
      <c r="L5420">
        <v>17.971070000000001</v>
      </c>
      <c r="M5420">
        <v>0.99962989999999996</v>
      </c>
      <c r="N5420">
        <v>0</v>
      </c>
      <c r="O5420">
        <v>-2.270902E-2</v>
      </c>
      <c r="P5420">
        <v>0.99960300000000002</v>
      </c>
      <c r="Q5420">
        <v>-2.4649850000000001E-2</v>
      </c>
      <c r="R5420">
        <v>-1.365091E-2</v>
      </c>
      <c r="S5420">
        <v>2.9825740000000001</v>
      </c>
      <c r="T5420">
        <v>-0.44441419999999998</v>
      </c>
      <c r="U5420">
        <v>-1.059906</v>
      </c>
      <c r="V5420">
        <v>-9.1259419999999997E-3</v>
      </c>
      <c r="W5420">
        <v>-9.6067380000000001E-3</v>
      </c>
      <c r="X5420">
        <v>0.99991220000000003</v>
      </c>
      <c r="Y5420">
        <v>0.31054690000000001</v>
      </c>
      <c r="Z5420">
        <v>-1.9072209999999999E-2</v>
      </c>
      <c r="AA5420">
        <v>0.95036670000000001</v>
      </c>
      <c r="AB5420">
        <v>25</v>
      </c>
      <c r="AC5420">
        <v>7.6308999999999898</v>
      </c>
      <c r="AD5420">
        <v>-1.1576739999999901</v>
      </c>
      <c r="AE5420">
        <v>-2.75563</v>
      </c>
      <c r="AF5420">
        <v>2.5300956151482401</v>
      </c>
      <c r="AG5420">
        <v>-1.1576739999999901</v>
      </c>
      <c r="AH5420">
        <v>7.5380384835748897</v>
      </c>
      <c r="AI5420">
        <v>98.283789710323205</v>
      </c>
      <c r="AJ5420">
        <v>71.445993700782097</v>
      </c>
      <c r="AK5420">
        <v>8.0351488531280104</v>
      </c>
      <c r="AL5420">
        <v>90.550434014568793</v>
      </c>
      <c r="AM5420">
        <v>90.522909354715495</v>
      </c>
      <c r="AN5420">
        <v>0.99999998997061401</v>
      </c>
    </row>
    <row r="5421" spans="1:40" x14ac:dyDescent="0.3">
      <c r="A5421" t="str">
        <f>"20200111160610193"</f>
        <v>20200111160610193</v>
      </c>
      <c r="B5421" t="str">
        <f>"1578729970187138"</f>
        <v>1578729970187138</v>
      </c>
      <c r="C5421" t="s">
        <v>40</v>
      </c>
      <c r="D5421">
        <v>5.6627349999999996</v>
      </c>
      <c r="E5421">
        <v>0.63134840000000003</v>
      </c>
      <c r="F5421" t="s">
        <v>44</v>
      </c>
      <c r="G5421">
        <v>-317.58569999999997</v>
      </c>
      <c r="H5421">
        <v>-0.05</v>
      </c>
      <c r="I5421">
        <v>15.15526</v>
      </c>
      <c r="J5421">
        <v>-325.15339999999998</v>
      </c>
      <c r="K5421">
        <v>1.1076239999999999</v>
      </c>
      <c r="L5421">
        <v>17.962979999999899</v>
      </c>
      <c r="M5421">
        <v>0.99954779999999999</v>
      </c>
      <c r="N5421">
        <v>0</v>
      </c>
      <c r="O5421">
        <v>-2.6069169999999999E-2</v>
      </c>
      <c r="P5421">
        <v>0.99937019999999999</v>
      </c>
      <c r="Q5421">
        <v>-2.4461900000000002E-2</v>
      </c>
      <c r="R5421">
        <v>-2.5708760000000001E-2</v>
      </c>
      <c r="S5421">
        <v>2.9755250000000002</v>
      </c>
      <c r="T5421">
        <v>-0.4440306</v>
      </c>
      <c r="U5421">
        <v>-1.080017</v>
      </c>
      <c r="V5421">
        <v>-4.2657529999999999E-4</v>
      </c>
      <c r="W5421">
        <v>-9.4714980000000001E-3</v>
      </c>
      <c r="X5421">
        <v>0.99995509999999999</v>
      </c>
      <c r="Y5421">
        <v>0.31375370000000002</v>
      </c>
      <c r="Z5421">
        <v>-1.882555E-2</v>
      </c>
      <c r="AA5421">
        <v>0.94931779999999999</v>
      </c>
      <c r="AB5421">
        <v>25</v>
      </c>
      <c r="AC5421">
        <v>7.5677000000000003</v>
      </c>
      <c r="AD5421">
        <v>-1.157624</v>
      </c>
      <c r="AE5421">
        <v>-2.80771999999999</v>
      </c>
      <c r="AF5421">
        <v>2.5568693195764398</v>
      </c>
      <c r="AG5421">
        <v>-1.157624</v>
      </c>
      <c r="AH5421">
        <v>7.4843895517575296</v>
      </c>
      <c r="AI5421">
        <v>98.327044245525101</v>
      </c>
      <c r="AJ5421">
        <v>71.138449200920405</v>
      </c>
      <c r="AK5421">
        <v>7.9933573049892299</v>
      </c>
      <c r="AL5421">
        <v>90.542684949946704</v>
      </c>
      <c r="AM5421">
        <v>90.024442060300402</v>
      </c>
      <c r="AN5421">
        <v>1.00000004662842</v>
      </c>
    </row>
    <row r="5422" spans="1:40" x14ac:dyDescent="0.3">
      <c r="A5422" t="str">
        <f>"20200111160610205"</f>
        <v>20200111160610205</v>
      </c>
      <c r="B5422" t="str">
        <f>"1578729970197875"</f>
        <v>1578729970197875</v>
      </c>
      <c r="C5422" t="s">
        <v>40</v>
      </c>
      <c r="D5422">
        <v>5.6804449999999997</v>
      </c>
      <c r="E5422">
        <v>0.63099439999999996</v>
      </c>
      <c r="F5422" t="s">
        <v>44</v>
      </c>
      <c r="G5422">
        <v>-317.47300000000001</v>
      </c>
      <c r="H5422">
        <v>-0.05</v>
      </c>
      <c r="I5422">
        <v>15.0827299999999</v>
      </c>
      <c r="J5422">
        <v>-325.02269999999999</v>
      </c>
      <c r="K5422">
        <v>1.1075900000000001</v>
      </c>
      <c r="L5422">
        <v>17.957149999999999</v>
      </c>
      <c r="M5422">
        <v>0.99948360000000003</v>
      </c>
      <c r="N5422">
        <v>0</v>
      </c>
      <c r="O5422">
        <v>-2.8417729999999999E-2</v>
      </c>
      <c r="P5422">
        <v>0.99918890000000005</v>
      </c>
      <c r="Q5422">
        <v>-2.346227E-2</v>
      </c>
      <c r="R5422">
        <v>-3.2726060000000001E-2</v>
      </c>
      <c r="S5422">
        <v>2.9623719999999998</v>
      </c>
      <c r="T5422">
        <v>-0.4465036</v>
      </c>
      <c r="U5422">
        <v>-1.1109309999999999</v>
      </c>
      <c r="V5422">
        <v>4.250172E-3</v>
      </c>
      <c r="W5422">
        <v>-8.5007490000000002E-3</v>
      </c>
      <c r="X5422">
        <v>0.99995480000000003</v>
      </c>
      <c r="Y5422">
        <v>0.32148549999999998</v>
      </c>
      <c r="Z5422">
        <v>-1.9195839999999999E-2</v>
      </c>
      <c r="AA5422">
        <v>0.94671989999999995</v>
      </c>
      <c r="AB5422">
        <v>25</v>
      </c>
      <c r="AC5422">
        <v>7.5496999999999703</v>
      </c>
      <c r="AD5422">
        <v>-1.1575899999999999</v>
      </c>
      <c r="AE5422">
        <v>-2.8744200000000002</v>
      </c>
      <c r="AF5422">
        <v>2.6051958753604199</v>
      </c>
      <c r="AG5422">
        <v>-1.1575899999999999</v>
      </c>
      <c r="AH5422">
        <v>7.47485969784986</v>
      </c>
      <c r="AI5422">
        <v>98.319796394853398</v>
      </c>
      <c r="AJ5422">
        <v>70.785137393997601</v>
      </c>
      <c r="AK5422">
        <v>8.0000367286428702</v>
      </c>
      <c r="AL5422">
        <v>90.487062923957794</v>
      </c>
      <c r="AM5422">
        <v>89.756473541209502</v>
      </c>
      <c r="AN5422">
        <v>0.99999996436931404</v>
      </c>
    </row>
    <row r="5423" spans="1:40" x14ac:dyDescent="0.3">
      <c r="A5423" t="str">
        <f>"20200111160610215"</f>
        <v>20200111160610215</v>
      </c>
      <c r="B5423" t="str">
        <f>"1578729970207635"</f>
        <v>1578729970207635</v>
      </c>
      <c r="C5423" t="s">
        <v>40</v>
      </c>
      <c r="D5423">
        <v>5.6574479999999996</v>
      </c>
      <c r="E5423">
        <v>0.63053079999999995</v>
      </c>
      <c r="F5423" t="s">
        <v>44</v>
      </c>
      <c r="G5423">
        <v>-317.32369999999997</v>
      </c>
      <c r="H5423">
        <v>-0.05</v>
      </c>
      <c r="I5423">
        <v>15.015409999999999</v>
      </c>
      <c r="J5423">
        <v>-324.90219999999999</v>
      </c>
      <c r="K5423">
        <v>1.1075600000000001</v>
      </c>
      <c r="L5423">
        <v>17.951229999999999</v>
      </c>
      <c r="M5423">
        <v>0.99941800000000003</v>
      </c>
      <c r="N5423">
        <v>0</v>
      </c>
      <c r="O5423">
        <v>-3.064132E-2</v>
      </c>
      <c r="P5423">
        <v>0.99894830000000001</v>
      </c>
      <c r="Q5423">
        <v>-2.2310440000000001E-2</v>
      </c>
      <c r="R5423">
        <v>-4.0061819999999998E-2</v>
      </c>
      <c r="S5423">
        <v>2.9550169999999998</v>
      </c>
      <c r="T5423">
        <v>-0.44430229999999998</v>
      </c>
      <c r="U5423">
        <v>-1.129089</v>
      </c>
      <c r="V5423">
        <v>9.373569E-3</v>
      </c>
      <c r="W5423">
        <v>-7.3833859999999996E-3</v>
      </c>
      <c r="X5423">
        <v>0.99992879999999995</v>
      </c>
      <c r="Y5423">
        <v>0.32524789999999998</v>
      </c>
      <c r="Z5423">
        <v>-1.907793E-2</v>
      </c>
      <c r="AA5423">
        <v>0.94543630000000001</v>
      </c>
      <c r="AB5423">
        <v>25</v>
      </c>
      <c r="AC5423">
        <v>7.5785000000000098</v>
      </c>
      <c r="AD5423">
        <v>-1.1575599999999999</v>
      </c>
      <c r="AE5423">
        <v>-2.9358199999999899</v>
      </c>
      <c r="AF5423">
        <v>2.6484728907433599</v>
      </c>
      <c r="AG5423">
        <v>-1.1575599999999999</v>
      </c>
      <c r="AH5423">
        <v>7.51250941304711</v>
      </c>
      <c r="AI5423">
        <v>98.2682450946632</v>
      </c>
      <c r="AJ5423">
        <v>70.580320371697894</v>
      </c>
      <c r="AK5423">
        <v>8.0493572095990302</v>
      </c>
      <c r="AL5423">
        <v>90.423040703551706</v>
      </c>
      <c r="AM5423">
        <v>89.462911547589002</v>
      </c>
      <c r="AN5423">
        <v>0.99999999162703102</v>
      </c>
    </row>
    <row r="5424" spans="1:40" x14ac:dyDescent="0.3">
      <c r="A5424" t="str">
        <f>"20200111160610227"</f>
        <v>20200111160610227</v>
      </c>
      <c r="B5424" t="str">
        <f>"1578729970217395"</f>
        <v>1578729970217395</v>
      </c>
      <c r="C5424" t="s">
        <v>40</v>
      </c>
      <c r="D5424">
        <v>5.7092299999999998</v>
      </c>
      <c r="E5424">
        <v>0.63006640000000003</v>
      </c>
      <c r="F5424" t="s">
        <v>44</v>
      </c>
      <c r="G5424">
        <v>-317.21010000000001</v>
      </c>
      <c r="H5424">
        <v>-0.05</v>
      </c>
      <c r="I5424">
        <v>14.957689999999999</v>
      </c>
      <c r="J5424">
        <v>-324.78100000000001</v>
      </c>
      <c r="K5424">
        <v>1.1075280000000001</v>
      </c>
      <c r="L5424">
        <v>17.945160000000001</v>
      </c>
      <c r="M5424">
        <v>0.99934610000000001</v>
      </c>
      <c r="N5424">
        <v>0</v>
      </c>
      <c r="O5424">
        <v>-3.2893390000000002E-2</v>
      </c>
      <c r="P5424">
        <v>0.99864529999999996</v>
      </c>
      <c r="Q5424">
        <v>-2.1435099999999999E-2</v>
      </c>
      <c r="R5424">
        <v>-4.7413480000000001E-2</v>
      </c>
      <c r="S5424">
        <v>2.9472659999999999</v>
      </c>
      <c r="T5424">
        <v>-0.44353029999999999</v>
      </c>
      <c r="U5424">
        <v>-1.147003</v>
      </c>
      <c r="V5424">
        <v>1.448433E-2</v>
      </c>
      <c r="W5424">
        <v>-6.5441869999999999E-3</v>
      </c>
      <c r="X5424">
        <v>0.99987369999999998</v>
      </c>
      <c r="Y5424">
        <v>0.32893670000000003</v>
      </c>
      <c r="Z5424">
        <v>-1.9013840000000001E-2</v>
      </c>
      <c r="AA5424">
        <v>0.94416060000000002</v>
      </c>
      <c r="AB5424">
        <v>25</v>
      </c>
      <c r="AC5424">
        <v>7.5708999999999902</v>
      </c>
      <c r="AD5424">
        <v>-1.1575279999999999</v>
      </c>
      <c r="AE5424">
        <v>-2.9874700000000001</v>
      </c>
      <c r="AF5424">
        <v>2.6825342266079302</v>
      </c>
      <c r="AG5424">
        <v>-1.1575279999999999</v>
      </c>
      <c r="AH5424">
        <v>7.5131175828442602</v>
      </c>
      <c r="AI5424">
        <v>98.255792979501194</v>
      </c>
      <c r="AJ5424">
        <v>70.351059636887598</v>
      </c>
      <c r="AK5424">
        <v>8.0611907781264307</v>
      </c>
      <c r="AL5424">
        <v>90.374956964666097</v>
      </c>
      <c r="AM5424">
        <v>89.170062244026198</v>
      </c>
      <c r="AN5424">
        <v>1.00000001907536</v>
      </c>
    </row>
    <row r="5425" spans="1:40" x14ac:dyDescent="0.3">
      <c r="A5425" t="str">
        <f>"20200111160610237"</f>
        <v>20200111160610237</v>
      </c>
      <c r="B5425" t="str">
        <f>"1578729970227155"</f>
        <v>1578729970227155</v>
      </c>
      <c r="C5425" t="s">
        <v>40</v>
      </c>
      <c r="D5425">
        <v>5.6938800000000001</v>
      </c>
      <c r="E5425">
        <v>0.62957379999999996</v>
      </c>
      <c r="F5425" t="s">
        <v>44</v>
      </c>
      <c r="G5425">
        <v>-317.09500000000003</v>
      </c>
      <c r="H5425">
        <v>-0.05</v>
      </c>
      <c r="I5425">
        <v>14.89931</v>
      </c>
      <c r="J5425">
        <v>-324.65190000000001</v>
      </c>
      <c r="K5425">
        <v>1.107486</v>
      </c>
      <c r="L5425">
        <v>17.938229999999901</v>
      </c>
      <c r="M5425">
        <v>0.99926269999999995</v>
      </c>
      <c r="N5425">
        <v>0</v>
      </c>
      <c r="O5425">
        <v>-3.5340179999999999E-2</v>
      </c>
      <c r="P5425">
        <v>0.99827259999999995</v>
      </c>
      <c r="Q5425">
        <v>-2.1040079999999999E-2</v>
      </c>
      <c r="R5425">
        <v>-5.4854779999999999E-2</v>
      </c>
      <c r="S5425">
        <v>2.93927</v>
      </c>
      <c r="T5425">
        <v>-0.44266319999999998</v>
      </c>
      <c r="U5425">
        <v>-1.164795</v>
      </c>
      <c r="V5425">
        <v>1.9489079999999999E-2</v>
      </c>
      <c r="W5425">
        <v>-6.1860350000000003E-3</v>
      </c>
      <c r="X5425">
        <v>0.99979090000000004</v>
      </c>
      <c r="Y5425">
        <v>0.33243709999999999</v>
      </c>
      <c r="Z5425">
        <v>-1.8905470000000001E-2</v>
      </c>
      <c r="AA5425">
        <v>0.94293590000000005</v>
      </c>
      <c r="AB5425">
        <v>25</v>
      </c>
      <c r="AC5425">
        <v>7.5568999999999802</v>
      </c>
      <c r="AD5425">
        <v>-1.157486</v>
      </c>
      <c r="AE5425">
        <v>-3.0389199999999899</v>
      </c>
      <c r="AF5425">
        <v>2.71509754358084</v>
      </c>
      <c r="AG5425">
        <v>-1.157486</v>
      </c>
      <c r="AH5425">
        <v>7.5079630092306298</v>
      </c>
      <c r="AI5425">
        <v>98.249214672364005</v>
      </c>
      <c r="AJ5425">
        <v>70.118537516108901</v>
      </c>
      <c r="AK5425">
        <v>8.0672818879304202</v>
      </c>
      <c r="AL5425">
        <v>90.354435969500798</v>
      </c>
      <c r="AM5425">
        <v>88.883265863107297</v>
      </c>
      <c r="AN5425">
        <v>0.99999996749553799</v>
      </c>
    </row>
    <row r="5426" spans="1:40" x14ac:dyDescent="0.3">
      <c r="A5426" t="str">
        <f>"20200111160610250"</f>
        <v>20200111160610250</v>
      </c>
      <c r="B5426" t="str">
        <f>"1578729970247651"</f>
        <v>1578729970247651</v>
      </c>
      <c r="C5426" t="s">
        <v>40</v>
      </c>
      <c r="D5426">
        <v>6.4025160000000003</v>
      </c>
      <c r="E5426">
        <v>0.62957379999999996</v>
      </c>
      <c r="F5426" t="s">
        <v>44</v>
      </c>
      <c r="G5426">
        <v>-317.00670000000002</v>
      </c>
      <c r="H5426">
        <v>-0.05</v>
      </c>
      <c r="I5426">
        <v>14.853389999999999</v>
      </c>
      <c r="J5426">
        <v>-324.5172</v>
      </c>
      <c r="K5426">
        <v>1.107442</v>
      </c>
      <c r="L5426">
        <v>17.93066</v>
      </c>
      <c r="M5426">
        <v>0.99916760000000004</v>
      </c>
      <c r="N5426">
        <v>0</v>
      </c>
      <c r="O5426">
        <v>-3.7930419999999999E-2</v>
      </c>
      <c r="P5426">
        <v>0.99781759999999997</v>
      </c>
      <c r="Q5426">
        <v>-2.12415E-2</v>
      </c>
      <c r="R5426">
        <v>-6.2520880000000001E-2</v>
      </c>
      <c r="S5426">
        <v>2.930847</v>
      </c>
      <c r="T5426">
        <v>-0.44372810000000001</v>
      </c>
      <c r="U5426">
        <v>-1.1825870000000001</v>
      </c>
      <c r="V5426">
        <v>2.4573020000000001E-2</v>
      </c>
      <c r="W5426">
        <v>-6.4266019999999896E-3</v>
      </c>
      <c r="X5426">
        <v>0.99967740000000005</v>
      </c>
      <c r="Y5426">
        <v>0.33582529999999999</v>
      </c>
      <c r="Z5426">
        <v>-1.8852000000000001E-2</v>
      </c>
      <c r="AA5426">
        <v>0.94173560000000001</v>
      </c>
      <c r="AB5426">
        <v>25</v>
      </c>
      <c r="AC5426">
        <v>7.5104999999999702</v>
      </c>
      <c r="AD5426">
        <v>-1.1574420000000001</v>
      </c>
      <c r="AE5426">
        <v>-3.0772699999999999</v>
      </c>
      <c r="AF5426">
        <v>2.7345372465582001</v>
      </c>
      <c r="AG5426">
        <v>-1.1574420000000001</v>
      </c>
      <c r="AH5426">
        <v>7.4699218328947898</v>
      </c>
      <c r="AI5426">
        <v>98.278665798681999</v>
      </c>
      <c r="AJ5426">
        <v>69.893682075517205</v>
      </c>
      <c r="AK5426">
        <v>8.0384761071820297</v>
      </c>
      <c r="AL5426">
        <v>90.368219698787399</v>
      </c>
      <c r="AM5426">
        <v>88.591898875935897</v>
      </c>
      <c r="AN5426">
        <v>1.0000000192979701</v>
      </c>
    </row>
    <row r="5427" spans="1:40" x14ac:dyDescent="0.3">
      <c r="A5427" t="str">
        <f>"20200111160610263"</f>
        <v>20200111160610263</v>
      </c>
      <c r="B5427" t="str">
        <f>"1578729970257411"</f>
        <v>1578729970257411</v>
      </c>
      <c r="C5427" t="s">
        <v>40</v>
      </c>
      <c r="D5427">
        <v>5.7039039999999996</v>
      </c>
      <c r="E5427">
        <v>0.62887839999999995</v>
      </c>
      <c r="F5427" t="s">
        <v>44</v>
      </c>
      <c r="G5427">
        <v>-316.92180000000002</v>
      </c>
      <c r="H5427">
        <v>-0.05</v>
      </c>
      <c r="I5427">
        <v>14.79857</v>
      </c>
      <c r="J5427">
        <v>-324.3689</v>
      </c>
      <c r="K5427">
        <v>1.1073900000000001</v>
      </c>
      <c r="L5427">
        <v>17.921970000000002</v>
      </c>
      <c r="M5427">
        <v>0.99905379999999999</v>
      </c>
      <c r="N5427">
        <v>0</v>
      </c>
      <c r="O5427">
        <v>-4.0815940000000002E-2</v>
      </c>
      <c r="P5427">
        <v>0.99726630000000005</v>
      </c>
      <c r="Q5427">
        <v>-2.215601E-2</v>
      </c>
      <c r="R5427">
        <v>-7.0492189999999996E-2</v>
      </c>
      <c r="S5427">
        <v>2.9216000000000002</v>
      </c>
      <c r="T5427">
        <v>-0.4452141</v>
      </c>
      <c r="U5427">
        <v>-1.2047730000000001</v>
      </c>
      <c r="V5427">
        <v>2.966514E-2</v>
      </c>
      <c r="W5427">
        <v>-7.3820029999999998E-3</v>
      </c>
      <c r="X5427">
        <v>0.99953259999999999</v>
      </c>
      <c r="Y5427">
        <v>0.34022629999999998</v>
      </c>
      <c r="Z5427">
        <v>-1.8845899999999999E-2</v>
      </c>
      <c r="AA5427">
        <v>0.94015470000000001</v>
      </c>
      <c r="AB5427">
        <v>25</v>
      </c>
      <c r="AC5427">
        <v>7.4470999999999696</v>
      </c>
      <c r="AD5427">
        <v>-1.1573899999999999</v>
      </c>
      <c r="AE5427">
        <v>-3.1234000000000002</v>
      </c>
      <c r="AF5427">
        <v>2.7601077732588402</v>
      </c>
      <c r="AG5427">
        <v>-1.1573899999999999</v>
      </c>
      <c r="AH5427">
        <v>7.4160615705971198</v>
      </c>
      <c r="AI5427">
        <v>98.321287061717896</v>
      </c>
      <c r="AJ5427">
        <v>69.585753669257798</v>
      </c>
      <c r="AK5427">
        <v>7.9972317554883601</v>
      </c>
      <c r="AL5427">
        <v>90.4229614719643</v>
      </c>
      <c r="AM5427">
        <v>88.300016896631206</v>
      </c>
      <c r="AN5427">
        <v>0.99999996648113498</v>
      </c>
    </row>
    <row r="5428" spans="1:40" x14ac:dyDescent="0.3">
      <c r="A5428" t="str">
        <f>"20200111160610274"</f>
        <v>20200111160610274</v>
      </c>
      <c r="B5428" t="str">
        <f>"1578729970267171"</f>
        <v>1578729970267171</v>
      </c>
      <c r="C5428" t="s">
        <v>40</v>
      </c>
      <c r="D5428">
        <v>5.6974600000000004</v>
      </c>
      <c r="E5428">
        <v>0.62820189999999998</v>
      </c>
      <c r="F5428" t="s">
        <v>44</v>
      </c>
      <c r="G5428">
        <v>-316.88780000000003</v>
      </c>
      <c r="H5428">
        <v>-0.05</v>
      </c>
      <c r="I5428">
        <v>14.78218</v>
      </c>
      <c r="J5428">
        <v>-324.24619999999999</v>
      </c>
      <c r="K5428">
        <v>1.1073440000000001</v>
      </c>
      <c r="L5428">
        <v>17.914249999999999</v>
      </c>
      <c r="M5428">
        <v>0.99895080000000003</v>
      </c>
      <c r="N5428">
        <v>0</v>
      </c>
      <c r="O5428">
        <v>-4.3261210000000001E-2</v>
      </c>
      <c r="P5428">
        <v>0.99672159999999999</v>
      </c>
      <c r="Q5428">
        <v>-2.2801350000000001E-2</v>
      </c>
      <c r="R5428">
        <v>-7.7628660000000002E-2</v>
      </c>
      <c r="S5428">
        <v>2.9118040000000001</v>
      </c>
      <c r="T5428">
        <v>-0.45048090000000002</v>
      </c>
      <c r="U5428">
        <v>-1.2220759999999999</v>
      </c>
      <c r="V5428">
        <v>3.4366000000000001E-2</v>
      </c>
      <c r="W5428">
        <v>-8.0668340000000002E-3</v>
      </c>
      <c r="X5428">
        <v>0.99937679999999995</v>
      </c>
      <c r="Y5428">
        <v>0.34370990000000001</v>
      </c>
      <c r="Z5428">
        <v>-1.9002600000000001E-2</v>
      </c>
      <c r="AA5428">
        <v>0.93888360000000004</v>
      </c>
      <c r="AB5428">
        <v>25</v>
      </c>
      <c r="AC5428">
        <v>7.3583999999999596</v>
      </c>
      <c r="AD5428">
        <v>-1.1573439999999999</v>
      </c>
      <c r="AE5428">
        <v>-3.1320700000000001</v>
      </c>
      <c r="AF5428">
        <v>2.7531087862361199</v>
      </c>
      <c r="AG5428">
        <v>-1.1573439999999999</v>
      </c>
      <c r="AH5428">
        <v>7.3334358796977304</v>
      </c>
      <c r="AI5428">
        <v>98.404573505897105</v>
      </c>
      <c r="AJ5428">
        <v>69.422926793431103</v>
      </c>
      <c r="AK5428">
        <v>7.9182280167234698</v>
      </c>
      <c r="AL5428">
        <v>90.462200535737296</v>
      </c>
      <c r="AM5428">
        <v>88.030521433687298</v>
      </c>
      <c r="AN5428">
        <v>1.0000000420725099</v>
      </c>
    </row>
    <row r="5429" spans="1:40" x14ac:dyDescent="0.3">
      <c r="A5429" t="str">
        <f>"20200111160610295"</f>
        <v>20200111160610295</v>
      </c>
      <c r="B5429" t="str">
        <f>"1578729970287666"</f>
        <v>1578729970287666</v>
      </c>
      <c r="C5429" t="s">
        <v>40</v>
      </c>
      <c r="D5429">
        <v>5.6490109999999998</v>
      </c>
      <c r="E5429">
        <v>0.6268418</v>
      </c>
      <c r="F5429" t="s">
        <v>44</v>
      </c>
      <c r="G5429">
        <v>-316.87009999999998</v>
      </c>
      <c r="H5429">
        <v>-0.05</v>
      </c>
      <c r="I5429">
        <v>14.771940000000001</v>
      </c>
      <c r="J5429">
        <v>-324.01060000000001</v>
      </c>
      <c r="K5429">
        <v>1.107254</v>
      </c>
      <c r="L5429">
        <v>17.898589999999999</v>
      </c>
      <c r="M5429">
        <v>0.99873270000000003</v>
      </c>
      <c r="N5429">
        <v>0</v>
      </c>
      <c r="O5429">
        <v>-4.803143E-2</v>
      </c>
      <c r="P5429">
        <v>0.99548840000000005</v>
      </c>
      <c r="Q5429">
        <v>-2.343344E-2</v>
      </c>
      <c r="R5429">
        <v>-9.1946269999999997E-2</v>
      </c>
      <c r="S5429">
        <v>2.9031370000000001</v>
      </c>
      <c r="T5429">
        <v>-0.45551000000000003</v>
      </c>
      <c r="U5429">
        <v>-1.2367549999999901</v>
      </c>
      <c r="V5429">
        <v>4.3946930000000002E-2</v>
      </c>
      <c r="W5429">
        <v>-8.7836649999999995E-3</v>
      </c>
      <c r="X5429">
        <v>0.99899519999999997</v>
      </c>
      <c r="Y5429">
        <v>0.34422399999999997</v>
      </c>
      <c r="Z5429">
        <v>-1.8575879999999999E-2</v>
      </c>
      <c r="AA5429">
        <v>0.93870379999999998</v>
      </c>
      <c r="AB5429">
        <v>25</v>
      </c>
      <c r="AC5429">
        <v>7.1405000000000296</v>
      </c>
      <c r="AD5429">
        <v>-1.157254</v>
      </c>
      <c r="AE5429">
        <v>-3.1266500000000002</v>
      </c>
      <c r="AF5429">
        <v>2.72008147844089</v>
      </c>
      <c r="AG5429">
        <v>-1.157254</v>
      </c>
      <c r="AH5429">
        <v>7.12540407762289</v>
      </c>
      <c r="AI5429">
        <v>98.627815595962403</v>
      </c>
      <c r="AJ5429">
        <v>69.105935514084607</v>
      </c>
      <c r="AK5429">
        <v>7.7142377030577798</v>
      </c>
      <c r="AL5429">
        <v>90.503273431197698</v>
      </c>
      <c r="AM5429">
        <v>87.481117809617103</v>
      </c>
      <c r="AN5429">
        <v>0.99999994752514698</v>
      </c>
    </row>
    <row r="5430" spans="1:40" x14ac:dyDescent="0.3">
      <c r="A5430" t="str">
        <f>"20200111160610306"</f>
        <v>20200111160610306</v>
      </c>
      <c r="B5430" t="str">
        <f>"1578729970297427"</f>
        <v>1578729970297427</v>
      </c>
      <c r="C5430" t="s">
        <v>40</v>
      </c>
      <c r="D5430">
        <v>5.7144690000000002</v>
      </c>
      <c r="E5430">
        <v>0.62602230000000003</v>
      </c>
      <c r="F5430" t="s">
        <v>44</v>
      </c>
      <c r="G5430">
        <v>-316.78960000000001</v>
      </c>
      <c r="H5430">
        <v>-0.05</v>
      </c>
      <c r="I5430">
        <v>14.728999999999999</v>
      </c>
      <c r="J5430">
        <v>-323.89179999999999</v>
      </c>
      <c r="K5430">
        <v>1.1072040000000001</v>
      </c>
      <c r="L5430">
        <v>17.890319999999999</v>
      </c>
      <c r="M5430">
        <v>0.99861219999999995</v>
      </c>
      <c r="N5430">
        <v>0</v>
      </c>
      <c r="O5430">
        <v>-5.0475020000000002E-2</v>
      </c>
      <c r="P5430">
        <v>0.9947897</v>
      </c>
      <c r="Q5430">
        <v>-2.335721E-2</v>
      </c>
      <c r="R5430">
        <v>-9.9239140000000003E-2</v>
      </c>
      <c r="S5430">
        <v>2.8856809999999999</v>
      </c>
      <c r="T5430">
        <v>-0.46246500000000001</v>
      </c>
      <c r="U5430">
        <v>-1.266632</v>
      </c>
      <c r="V5430">
        <v>4.8821440000000001E-2</v>
      </c>
      <c r="W5430">
        <v>-8.7525789999999999E-3</v>
      </c>
      <c r="X5430">
        <v>0.99876920000000002</v>
      </c>
      <c r="Y5430">
        <v>0.35197509999999999</v>
      </c>
      <c r="Z5430">
        <v>-1.9144270000000001E-2</v>
      </c>
      <c r="AA5430">
        <v>0.93581360000000002</v>
      </c>
      <c r="AB5430">
        <v>25</v>
      </c>
      <c r="AC5430">
        <v>7.1021999999999803</v>
      </c>
      <c r="AD5430">
        <v>-1.1572039999999999</v>
      </c>
      <c r="AE5430">
        <v>-3.1613199999999999</v>
      </c>
      <c r="AF5430">
        <v>2.7380946182410502</v>
      </c>
      <c r="AG5430">
        <v>-1.1572039999999999</v>
      </c>
      <c r="AH5430">
        <v>7.0955086014994802</v>
      </c>
      <c r="AI5430">
        <v>98.651419399594801</v>
      </c>
      <c r="AJ5430">
        <v>68.898835291814194</v>
      </c>
      <c r="AK5430">
        <v>7.6930179741119602</v>
      </c>
      <c r="AL5430">
        <v>90.501492225796895</v>
      </c>
      <c r="AM5430">
        <v>87.201517914578403</v>
      </c>
      <c r="AN5430">
        <v>1.0000000277557299</v>
      </c>
    </row>
    <row r="5431" spans="1:40" x14ac:dyDescent="0.3">
      <c r="A5431" t="str">
        <f>"20200111160610315"</f>
        <v>20200111160610315</v>
      </c>
      <c r="B5431" t="str">
        <f>"1578729970307187"</f>
        <v>1578729970307187</v>
      </c>
      <c r="C5431" t="s">
        <v>40</v>
      </c>
      <c r="D5431">
        <v>5.7027390000000002</v>
      </c>
      <c r="E5431">
        <v>0.62524619999999997</v>
      </c>
      <c r="F5431" t="s">
        <v>44</v>
      </c>
      <c r="G5431">
        <v>-316.72680000000003</v>
      </c>
      <c r="H5431">
        <v>-0.05</v>
      </c>
      <c r="I5431">
        <v>14.701129999999999</v>
      </c>
      <c r="J5431">
        <v>-323.77229999999997</v>
      </c>
      <c r="K5431">
        <v>1.107159</v>
      </c>
      <c r="L5431">
        <v>17.881499999999999</v>
      </c>
      <c r="M5431">
        <v>0.99848219999999999</v>
      </c>
      <c r="N5431">
        <v>0</v>
      </c>
      <c r="O5431">
        <v>-5.298021E-2</v>
      </c>
      <c r="P5431">
        <v>0.99401890000000004</v>
      </c>
      <c r="Q5431">
        <v>-2.3543689999999999E-2</v>
      </c>
      <c r="R5431">
        <v>-0.106641899999999</v>
      </c>
      <c r="S5431">
        <v>2.8770449999999999</v>
      </c>
      <c r="T5431">
        <v>-0.46466039999999997</v>
      </c>
      <c r="U5431">
        <v>-1.2805789999999999</v>
      </c>
      <c r="V5431">
        <v>5.3746990000000001E-2</v>
      </c>
      <c r="W5431">
        <v>-8.9858999999999998E-3</v>
      </c>
      <c r="X5431">
        <v>0.99851420000000002</v>
      </c>
      <c r="Y5431">
        <v>0.35441640000000002</v>
      </c>
      <c r="Z5431">
        <v>-1.907437E-2</v>
      </c>
      <c r="AA5431">
        <v>0.93489310000000003</v>
      </c>
      <c r="AB5431">
        <v>25</v>
      </c>
      <c r="AC5431">
        <v>7.0454999999999401</v>
      </c>
      <c r="AD5431">
        <v>-1.157159</v>
      </c>
      <c r="AE5431">
        <v>-3.1803699999999999</v>
      </c>
      <c r="AF5431">
        <v>2.7411616331526498</v>
      </c>
      <c r="AG5431">
        <v>-1.157159</v>
      </c>
      <c r="AH5431">
        <v>7.0462205480568398</v>
      </c>
      <c r="AI5431">
        <v>98.701624417264497</v>
      </c>
      <c r="AJ5431">
        <v>68.7426805453116</v>
      </c>
      <c r="AK5431">
        <v>7.6486736145692404</v>
      </c>
      <c r="AL5431">
        <v>90.514861050223203</v>
      </c>
      <c r="AM5431">
        <v>86.918915374790302</v>
      </c>
      <c r="AN5431">
        <v>1.00000004646725</v>
      </c>
    </row>
    <row r="5432" spans="1:40" x14ac:dyDescent="0.3">
      <c r="A5432" t="str">
        <f>"20200111160610326"</f>
        <v>20200111160610326</v>
      </c>
      <c r="B5432" t="str">
        <f>"1578729970317923"</f>
        <v>1578729970317923</v>
      </c>
      <c r="C5432" t="s">
        <v>40</v>
      </c>
      <c r="D5432">
        <v>5.7122029999999997</v>
      </c>
      <c r="E5432">
        <v>0.62454469999999995</v>
      </c>
      <c r="F5432" t="s">
        <v>44</v>
      </c>
      <c r="G5432">
        <v>-316.67610000000002</v>
      </c>
      <c r="H5432">
        <v>-0.05</v>
      </c>
      <c r="I5432">
        <v>14.67642</v>
      </c>
      <c r="J5432">
        <v>-323.65519999999998</v>
      </c>
      <c r="K5432">
        <v>1.107113</v>
      </c>
      <c r="L5432">
        <v>17.87265</v>
      </c>
      <c r="M5432">
        <v>0.99834780000000001</v>
      </c>
      <c r="N5432">
        <v>0</v>
      </c>
      <c r="O5432">
        <v>-5.545282E-2</v>
      </c>
      <c r="P5432">
        <v>0.99320160000000002</v>
      </c>
      <c r="Q5432">
        <v>-2.3465349999999999E-2</v>
      </c>
      <c r="R5432">
        <v>-0.1140182</v>
      </c>
      <c r="S5432">
        <v>2.8680110000000001</v>
      </c>
      <c r="T5432">
        <v>-0.46767360000000002</v>
      </c>
      <c r="U5432">
        <v>-1.2953490000000001</v>
      </c>
      <c r="V5432">
        <v>5.8684420000000001E-2</v>
      </c>
      <c r="W5432">
        <v>-8.9557869999999998E-3</v>
      </c>
      <c r="X5432">
        <v>0.99823640000000002</v>
      </c>
      <c r="Y5432">
        <v>0.35714829999999997</v>
      </c>
      <c r="Z5432">
        <v>-1.9064009999999999E-2</v>
      </c>
      <c r="AA5432">
        <v>0.93385309999999999</v>
      </c>
      <c r="AB5432">
        <v>25</v>
      </c>
      <c r="AC5432">
        <v>6.9790999999999599</v>
      </c>
      <c r="AD5432">
        <v>-1.1571129999999901</v>
      </c>
      <c r="AE5432">
        <v>-3.1962299999999901</v>
      </c>
      <c r="AF5432">
        <v>2.7419514837118002</v>
      </c>
      <c r="AG5432">
        <v>-1.1571129999999901</v>
      </c>
      <c r="AH5432">
        <v>6.9868581341611202</v>
      </c>
      <c r="AI5432">
        <v>98.764063639489905</v>
      </c>
      <c r="AJ5432">
        <v>68.572766390695406</v>
      </c>
      <c r="AK5432">
        <v>7.59430016661784</v>
      </c>
      <c r="AL5432">
        <v>90.5131356626692</v>
      </c>
      <c r="AM5432">
        <v>86.635562371438496</v>
      </c>
      <c r="AN5432">
        <v>0.99999998877824203</v>
      </c>
    </row>
    <row r="5433" spans="1:40" x14ac:dyDescent="0.3">
      <c r="A5433" t="str">
        <f>"20200111160610337"</f>
        <v>20200111160610337</v>
      </c>
      <c r="B5433" t="str">
        <f>"1578729970327683"</f>
        <v>1578729970327683</v>
      </c>
      <c r="C5433" t="s">
        <v>40</v>
      </c>
      <c r="D5433">
        <v>5.7101519999999999</v>
      </c>
      <c r="E5433">
        <v>0.62375780000000003</v>
      </c>
      <c r="F5433" t="s">
        <v>44</v>
      </c>
      <c r="G5433">
        <v>-316.6114</v>
      </c>
      <c r="H5433">
        <v>-0.05</v>
      </c>
      <c r="I5433">
        <v>14.64391</v>
      </c>
      <c r="J5433">
        <v>-323.53429999999997</v>
      </c>
      <c r="K5433">
        <v>1.1070679999999999</v>
      </c>
      <c r="L5433">
        <v>17.863099999999999</v>
      </c>
      <c r="M5433">
        <v>0.99820070000000005</v>
      </c>
      <c r="N5433">
        <v>0</v>
      </c>
      <c r="O5433">
        <v>-5.8042240000000002E-2</v>
      </c>
      <c r="P5433">
        <v>0.99231190000000002</v>
      </c>
      <c r="Q5433">
        <v>-2.363939E-2</v>
      </c>
      <c r="R5433">
        <v>-0.1214853</v>
      </c>
      <c r="S5433">
        <v>2.8590089999999999</v>
      </c>
      <c r="T5433">
        <v>-0.46966409999999997</v>
      </c>
      <c r="U5433">
        <v>-1.310516</v>
      </c>
      <c r="V5433">
        <v>6.3599119999999995E-2</v>
      </c>
      <c r="W5433">
        <v>-9.1790670000000008E-3</v>
      </c>
      <c r="X5433">
        <v>0.99793330000000002</v>
      </c>
      <c r="Y5433">
        <v>0.35989339999999997</v>
      </c>
      <c r="Z5433">
        <v>-1.8992720000000001E-2</v>
      </c>
      <c r="AA5433">
        <v>0.93280010000000002</v>
      </c>
      <c r="AB5433">
        <v>25</v>
      </c>
      <c r="AC5433">
        <v>6.9228999999999701</v>
      </c>
      <c r="AD5433">
        <v>-1.157068</v>
      </c>
      <c r="AE5433">
        <v>-3.2191900000000002</v>
      </c>
      <c r="AF5433">
        <v>2.74876157151671</v>
      </c>
      <c r="AG5433">
        <v>-1.157068</v>
      </c>
      <c r="AH5433">
        <v>6.9387267774610697</v>
      </c>
      <c r="AI5433">
        <v>98.812595771948807</v>
      </c>
      <c r="AJ5433">
        <v>68.389112676989996</v>
      </c>
      <c r="AK5433">
        <v>7.5525112264680798</v>
      </c>
      <c r="AL5433">
        <v>90.525929191211901</v>
      </c>
      <c r="AM5433">
        <v>86.353423937210806</v>
      </c>
      <c r="AN5433">
        <v>0.99999998729232698</v>
      </c>
    </row>
    <row r="5434" spans="1:40" x14ac:dyDescent="0.3">
      <c r="A5434" t="str">
        <f>"20200111160610350"</f>
        <v>20200111160610350</v>
      </c>
      <c r="B5434" t="str">
        <f>"1578729970337443"</f>
        <v>1578729970337443</v>
      </c>
      <c r="C5434" t="s">
        <v>40</v>
      </c>
      <c r="D5434">
        <v>5.7101059999999997</v>
      </c>
      <c r="E5434">
        <v>0.62296149999999995</v>
      </c>
      <c r="F5434" t="s">
        <v>44</v>
      </c>
      <c r="G5434">
        <v>-316.5598</v>
      </c>
      <c r="H5434">
        <v>-0.05</v>
      </c>
      <c r="I5434">
        <v>14.619579999999999</v>
      </c>
      <c r="J5434">
        <v>-323.40679999999998</v>
      </c>
      <c r="K5434">
        <v>1.10702099999999</v>
      </c>
      <c r="L5434">
        <v>17.852689999999999</v>
      </c>
      <c r="M5434">
        <v>0.99803629999999999</v>
      </c>
      <c r="N5434">
        <v>0</v>
      </c>
      <c r="O5434">
        <v>-6.080311E-2</v>
      </c>
      <c r="P5434">
        <v>0.99134460000000002</v>
      </c>
      <c r="Q5434">
        <v>-2.4268600000000001E-2</v>
      </c>
      <c r="R5434">
        <v>-0.1290248</v>
      </c>
      <c r="S5434">
        <v>2.8497620000000001</v>
      </c>
      <c r="T5434">
        <v>-0.47277439999999998</v>
      </c>
      <c r="U5434">
        <v>-1.3252870000000001</v>
      </c>
      <c r="V5434">
        <v>6.84168E-2</v>
      </c>
      <c r="W5434">
        <v>-9.8580769999999998E-3</v>
      </c>
      <c r="X5434">
        <v>0.9976081</v>
      </c>
      <c r="Y5434">
        <v>0.36239320000000003</v>
      </c>
      <c r="Z5434">
        <v>-1.8919970000000001E-2</v>
      </c>
      <c r="AA5434">
        <v>0.93183329999999998</v>
      </c>
      <c r="AB5434">
        <v>25</v>
      </c>
      <c r="AC5434">
        <v>6.84699999999998</v>
      </c>
      <c r="AD5434">
        <v>-1.1570210000000001</v>
      </c>
      <c r="AE5434">
        <v>-3.2331099999999999</v>
      </c>
      <c r="AF5434">
        <v>2.74662973189157</v>
      </c>
      <c r="AG5434">
        <v>-1.1570210000000001</v>
      </c>
      <c r="AH5434">
        <v>6.8705148493056596</v>
      </c>
      <c r="AI5434">
        <v>98.887448747670803</v>
      </c>
      <c r="AJ5434">
        <v>68.209922947524802</v>
      </c>
      <c r="AK5434">
        <v>7.4891018669184497</v>
      </c>
      <c r="AL5434">
        <v>90.564835365979704</v>
      </c>
      <c r="AM5434">
        <v>86.076750483443703</v>
      </c>
      <c r="AN5434">
        <v>0.99999998069499296</v>
      </c>
    </row>
    <row r="5435" spans="1:40" x14ac:dyDescent="0.3">
      <c r="A5435" t="str">
        <f>"20200111160610360"</f>
        <v>20200111160610360</v>
      </c>
      <c r="B5435" t="str">
        <f>"1578729970357939"</f>
        <v>1578729970357939</v>
      </c>
      <c r="C5435" t="s">
        <v>40</v>
      </c>
      <c r="D5435">
        <v>5.6539449999999896</v>
      </c>
      <c r="E5435">
        <v>0.62134100000000003</v>
      </c>
      <c r="F5435" t="s">
        <v>44</v>
      </c>
      <c r="G5435">
        <v>-316.50729999999999</v>
      </c>
      <c r="H5435">
        <v>-0.05</v>
      </c>
      <c r="I5435">
        <v>14.5979299999999</v>
      </c>
      <c r="J5435">
        <v>-323.27859999999998</v>
      </c>
      <c r="K5435">
        <v>1.1069719999999901</v>
      </c>
      <c r="L5435">
        <v>17.84186</v>
      </c>
      <c r="M5435">
        <v>0.99786129999999995</v>
      </c>
      <c r="N5435">
        <v>0</v>
      </c>
      <c r="O5435">
        <v>-6.3608529999999996E-2</v>
      </c>
      <c r="P5435">
        <v>0.99029590000000001</v>
      </c>
      <c r="Q5435">
        <v>-2.5163230000000002E-2</v>
      </c>
      <c r="R5435">
        <v>-0.13667869999999999</v>
      </c>
      <c r="S5435">
        <v>2.8401489999999998</v>
      </c>
      <c r="T5435">
        <v>-0.47628429999999999</v>
      </c>
      <c r="U5435">
        <v>-1.3398129999999999</v>
      </c>
      <c r="V5435">
        <v>7.3308890000000002E-2</v>
      </c>
      <c r="W5435">
        <v>-1.0804599999999999E-2</v>
      </c>
      <c r="X5435">
        <v>0.99725070000000005</v>
      </c>
      <c r="Y5435">
        <v>0.36483080000000001</v>
      </c>
      <c r="Z5435">
        <v>-1.8850039999999998E-2</v>
      </c>
      <c r="AA5435">
        <v>0.93088300000000002</v>
      </c>
      <c r="AB5435">
        <v>25</v>
      </c>
      <c r="AC5435">
        <v>6.7712999999999903</v>
      </c>
      <c r="AD5435">
        <v>-1.1569719999999999</v>
      </c>
      <c r="AE5435">
        <v>-3.2439300000000002</v>
      </c>
      <c r="AF5435">
        <v>2.7415013964611399</v>
      </c>
      <c r="AG5435">
        <v>-1.1569719999999999</v>
      </c>
      <c r="AH5435">
        <v>6.8024267013984003</v>
      </c>
      <c r="AI5435">
        <v>98.964685524953097</v>
      </c>
      <c r="AJ5435">
        <v>68.049670819622094</v>
      </c>
      <c r="AK5435">
        <v>7.4247843836356804</v>
      </c>
      <c r="AL5435">
        <v>90.619070058322293</v>
      </c>
      <c r="AM5435">
        <v>85.795692598040105</v>
      </c>
      <c r="AN5435">
        <v>0.99999994569233897</v>
      </c>
    </row>
    <row r="5436" spans="1:40" x14ac:dyDescent="0.3">
      <c r="A5436" t="str">
        <f>"20200111160610372"</f>
        <v>20200111160610372</v>
      </c>
      <c r="B5436" t="str">
        <f>"1578729970367698"</f>
        <v>1578729970367698</v>
      </c>
      <c r="C5436" t="s">
        <v>40</v>
      </c>
      <c r="D5436">
        <v>5.6761730000000004</v>
      </c>
      <c r="E5436">
        <v>0.62056269999999902</v>
      </c>
      <c r="F5436" t="s">
        <v>44</v>
      </c>
      <c r="G5436">
        <v>-316.47579999999999</v>
      </c>
      <c r="H5436">
        <v>-0.05</v>
      </c>
      <c r="I5436">
        <v>14.601699999999999</v>
      </c>
      <c r="J5436">
        <v>-323.15699999999998</v>
      </c>
      <c r="K5436">
        <v>1.1069260000000001</v>
      </c>
      <c r="L5436">
        <v>17.831119999999999</v>
      </c>
      <c r="M5436">
        <v>0.99768509999999999</v>
      </c>
      <c r="N5436">
        <v>0</v>
      </c>
      <c r="O5436">
        <v>-6.6312689999999994E-2</v>
      </c>
      <c r="P5436">
        <v>0.98922810000000005</v>
      </c>
      <c r="Q5436">
        <v>-2.6593459999999999E-2</v>
      </c>
      <c r="R5436">
        <v>-0.14394699999999999</v>
      </c>
      <c r="S5436">
        <v>2.8310550000000001</v>
      </c>
      <c r="T5436">
        <v>-0.4814811</v>
      </c>
      <c r="U5436">
        <v>-1.348419</v>
      </c>
      <c r="V5436">
        <v>7.7915470000000001E-2</v>
      </c>
      <c r="W5436">
        <v>-1.228506E-2</v>
      </c>
      <c r="X5436">
        <v>0.99688429999999995</v>
      </c>
      <c r="Y5436">
        <v>0.3657067</v>
      </c>
      <c r="Z5436">
        <v>-1.8736889999999999E-2</v>
      </c>
      <c r="AA5436">
        <v>0.93054150000000002</v>
      </c>
      <c r="AB5436">
        <v>25</v>
      </c>
      <c r="AC5436">
        <v>6.6811999999999898</v>
      </c>
      <c r="AD5436">
        <v>-1.1569259999999999</v>
      </c>
      <c r="AE5436">
        <v>-3.2294200000000002</v>
      </c>
      <c r="AF5436">
        <v>2.7132626171003</v>
      </c>
      <c r="AG5436">
        <v>-1.1569259999999999</v>
      </c>
      <c r="AH5436">
        <v>6.7173928911268197</v>
      </c>
      <c r="AI5436">
        <v>99.073154805541094</v>
      </c>
      <c r="AJ5436">
        <v>68.005428331129593</v>
      </c>
      <c r="AK5436">
        <v>7.3364595720682004</v>
      </c>
      <c r="AL5436">
        <v>90.703899777702304</v>
      </c>
      <c r="AM5436">
        <v>85.5309052765529</v>
      </c>
      <c r="AN5436">
        <v>1.0000000253754999</v>
      </c>
    </row>
    <row r="5437" spans="1:40" x14ac:dyDescent="0.3">
      <c r="A5437" t="str">
        <f>"20200111160610383"</f>
        <v>20200111160610383</v>
      </c>
      <c r="B5437" t="str">
        <f>"1578729970377459"</f>
        <v>1578729970377459</v>
      </c>
      <c r="C5437" t="s">
        <v>40</v>
      </c>
      <c r="D5437">
        <v>5.6289280000000002</v>
      </c>
      <c r="E5437">
        <v>0.61985480000000004</v>
      </c>
      <c r="F5437" t="s">
        <v>44</v>
      </c>
      <c r="G5437">
        <v>-316.45769999999999</v>
      </c>
      <c r="H5437">
        <v>-0.05</v>
      </c>
      <c r="I5437">
        <v>14.595700000000001</v>
      </c>
      <c r="J5437">
        <v>-323.02719999999999</v>
      </c>
      <c r="K5437">
        <v>1.1068800000000001</v>
      </c>
      <c r="L5437">
        <v>17.819430000000001</v>
      </c>
      <c r="M5437">
        <v>0.99748789999999998</v>
      </c>
      <c r="N5437">
        <v>0</v>
      </c>
      <c r="O5437">
        <v>-6.9216219999999995E-2</v>
      </c>
      <c r="P5437">
        <v>0.98805989999999999</v>
      </c>
      <c r="Q5437">
        <v>-2.8205850000000001E-2</v>
      </c>
      <c r="R5437">
        <v>-0.15146699999999999</v>
      </c>
      <c r="S5437">
        <v>2.8213200000000001</v>
      </c>
      <c r="T5437">
        <v>-0.48722339999999997</v>
      </c>
      <c r="U5437">
        <v>-1.362549</v>
      </c>
      <c r="V5437">
        <v>8.2581150000000006E-2</v>
      </c>
      <c r="W5437">
        <v>-1.394986E-2</v>
      </c>
      <c r="X5437">
        <v>0.99648669999999995</v>
      </c>
      <c r="Y5437">
        <v>0.36794670000000002</v>
      </c>
      <c r="Z5437">
        <v>-1.8711539999999999E-2</v>
      </c>
      <c r="AA5437">
        <v>0.9296586</v>
      </c>
      <c r="AB5437">
        <v>25</v>
      </c>
      <c r="AC5437">
        <v>6.5694999999999997</v>
      </c>
      <c r="AD5437">
        <v>-1.1568799999999999</v>
      </c>
      <c r="AE5437">
        <v>-3.2237300000000002</v>
      </c>
      <c r="AF5437">
        <v>2.69390160513858</v>
      </c>
      <c r="AG5437">
        <v>-1.1568799999999999</v>
      </c>
      <c r="AH5437">
        <v>6.6116580630348798</v>
      </c>
      <c r="AI5437">
        <v>99.204288770311507</v>
      </c>
      <c r="AJ5437">
        <v>67.831698517478202</v>
      </c>
      <c r="AK5437">
        <v>7.2325306452902396</v>
      </c>
      <c r="AL5437">
        <v>90.799294032523804</v>
      </c>
      <c r="AM5437">
        <v>85.262592098472396</v>
      </c>
      <c r="AN5437">
        <v>0.99999999410311602</v>
      </c>
    </row>
    <row r="5438" spans="1:40" x14ac:dyDescent="0.3">
      <c r="A5438" t="str">
        <f>"20200111160610395"</f>
        <v>20200111160610395</v>
      </c>
      <c r="B5438" t="str">
        <f>"1578729970387218"</f>
        <v>1578729970387218</v>
      </c>
      <c r="C5438" t="s">
        <v>40</v>
      </c>
      <c r="D5438">
        <v>5.6280619999999999</v>
      </c>
      <c r="E5438">
        <v>0.61915469999999995</v>
      </c>
      <c r="F5438" t="s">
        <v>44</v>
      </c>
      <c r="G5438">
        <v>-316.42919999999998</v>
      </c>
      <c r="H5438">
        <v>-0.05</v>
      </c>
      <c r="I5438">
        <v>14.585459999999999</v>
      </c>
      <c r="J5438">
        <v>-322.89909999999998</v>
      </c>
      <c r="K5438">
        <v>1.106835</v>
      </c>
      <c r="L5438">
        <v>17.80725</v>
      </c>
      <c r="M5438">
        <v>0.99728039999999996</v>
      </c>
      <c r="N5438">
        <v>0</v>
      </c>
      <c r="O5438">
        <v>-7.2143879999999994E-2</v>
      </c>
      <c r="P5438">
        <v>0.98674709999999999</v>
      </c>
      <c r="Q5438">
        <v>-2.9870609999999999E-2</v>
      </c>
      <c r="R5438">
        <v>-0.1594942</v>
      </c>
      <c r="S5438">
        <v>2.8109739999999999</v>
      </c>
      <c r="T5438">
        <v>-0.49286839999999998</v>
      </c>
      <c r="U5438">
        <v>-1.377777</v>
      </c>
      <c r="V5438">
        <v>8.7740739999999998E-2</v>
      </c>
      <c r="W5438">
        <v>-1.567356E-2</v>
      </c>
      <c r="X5438">
        <v>0.99602000000000002</v>
      </c>
      <c r="Y5438">
        <v>0.37053819999999998</v>
      </c>
      <c r="Z5438">
        <v>-1.8702900000000001E-2</v>
      </c>
      <c r="AA5438">
        <v>0.92862889999999998</v>
      </c>
      <c r="AB5438">
        <v>25</v>
      </c>
      <c r="AC5438">
        <v>6.4698999999999902</v>
      </c>
      <c r="AD5438">
        <v>-1.1568350000000001</v>
      </c>
      <c r="AE5438">
        <v>-3.2217899999999902</v>
      </c>
      <c r="AF5438">
        <v>2.67797215107344</v>
      </c>
      <c r="AG5438">
        <v>-1.1568350000000001</v>
      </c>
      <c r="AH5438">
        <v>6.5185055318560403</v>
      </c>
      <c r="AI5438">
        <v>99.322315207806497</v>
      </c>
      <c r="AJ5438">
        <v>67.665862461524696</v>
      </c>
      <c r="AK5438">
        <v>7.1414785883588401</v>
      </c>
      <c r="AL5438">
        <v>90.898065638066797</v>
      </c>
      <c r="AM5438">
        <v>84.965733077457898</v>
      </c>
      <c r="AN5438">
        <v>0.99999996916941003</v>
      </c>
    </row>
    <row r="5439" spans="1:40" x14ac:dyDescent="0.3">
      <c r="A5439" t="str">
        <f>"20200111160610405"</f>
        <v>20200111160610405</v>
      </c>
      <c r="B5439" t="str">
        <f>"1578729970397955"</f>
        <v>1578729970397955</v>
      </c>
      <c r="C5439" t="s">
        <v>40</v>
      </c>
      <c r="D5439">
        <v>5.7745860000000002</v>
      </c>
      <c r="E5439">
        <v>0.6182898</v>
      </c>
      <c r="F5439" t="s">
        <v>44</v>
      </c>
      <c r="G5439">
        <v>-316.40269999999998</v>
      </c>
      <c r="H5439">
        <v>-0.05</v>
      </c>
      <c r="I5439">
        <v>14.57133</v>
      </c>
      <c r="J5439">
        <v>-322.77789999999999</v>
      </c>
      <c r="K5439">
        <v>1.106795</v>
      </c>
      <c r="L5439">
        <v>17.795559999999998</v>
      </c>
      <c r="M5439">
        <v>0.99707489999999999</v>
      </c>
      <c r="N5439">
        <v>0</v>
      </c>
      <c r="O5439">
        <v>-7.4927839999999996E-2</v>
      </c>
      <c r="P5439">
        <v>0.98541330000000005</v>
      </c>
      <c r="Q5439">
        <v>-3.114136E-2</v>
      </c>
      <c r="R5439">
        <v>-0.1673058</v>
      </c>
      <c r="S5439">
        <v>2.7997740000000002</v>
      </c>
      <c r="T5439">
        <v>-0.49856410000000001</v>
      </c>
      <c r="U5439">
        <v>-1.3945920000000001</v>
      </c>
      <c r="V5439">
        <v>9.2836390000000005E-2</v>
      </c>
      <c r="W5439">
        <v>-1.7003790000000001E-2</v>
      </c>
      <c r="X5439">
        <v>0.99553610000000003</v>
      </c>
      <c r="Y5439">
        <v>0.37379010000000001</v>
      </c>
      <c r="Z5439">
        <v>-1.8771889999999999E-2</v>
      </c>
      <c r="AA5439">
        <v>0.92732329999999996</v>
      </c>
      <c r="AB5439">
        <v>25</v>
      </c>
      <c r="AC5439">
        <v>6.3752000000000004</v>
      </c>
      <c r="AD5439">
        <v>-1.156795</v>
      </c>
      <c r="AE5439">
        <v>-3.2242299999999999</v>
      </c>
      <c r="AF5439">
        <v>2.66749187335847</v>
      </c>
      <c r="AG5439">
        <v>-1.156795</v>
      </c>
      <c r="AH5439">
        <v>6.4302927660240297</v>
      </c>
      <c r="AI5439">
        <v>99.434490477760605</v>
      </c>
      <c r="AJ5439">
        <v>67.469756865321799</v>
      </c>
      <c r="AK5439">
        <v>7.0570781930795903</v>
      </c>
      <c r="AL5439">
        <v>90.974292428709006</v>
      </c>
      <c r="AM5439">
        <v>84.672423445595399</v>
      </c>
      <c r="AN5439">
        <v>0.99999992529290005</v>
      </c>
    </row>
    <row r="5440" spans="1:40" x14ac:dyDescent="0.3">
      <c r="A5440" t="str">
        <f>"20200111160610416"</f>
        <v>20200111160610416</v>
      </c>
      <c r="B5440" t="str">
        <f>"1578729970407715"</f>
        <v>1578729970407715</v>
      </c>
      <c r="C5440" t="s">
        <v>40</v>
      </c>
      <c r="D5440">
        <v>5.7284769999999998</v>
      </c>
      <c r="E5440">
        <v>0.61786799999999997</v>
      </c>
      <c r="F5440" t="s">
        <v>44</v>
      </c>
      <c r="G5440">
        <v>-316.38139999999999</v>
      </c>
      <c r="H5440">
        <v>-0.05</v>
      </c>
      <c r="I5440">
        <v>14.563029999999999</v>
      </c>
      <c r="J5440">
        <v>-322.65679999999998</v>
      </c>
      <c r="K5440">
        <v>1.106752</v>
      </c>
      <c r="L5440">
        <v>17.783259999999999</v>
      </c>
      <c r="M5440">
        <v>0.99685760000000001</v>
      </c>
      <c r="N5440">
        <v>0</v>
      </c>
      <c r="O5440">
        <v>-7.7765689999999998E-2</v>
      </c>
      <c r="P5440">
        <v>0.98398850000000004</v>
      </c>
      <c r="Q5440">
        <v>-3.2187640000000003E-2</v>
      </c>
      <c r="R5440">
        <v>-0.1753015</v>
      </c>
      <c r="S5440">
        <v>2.7891240000000002</v>
      </c>
      <c r="T5440">
        <v>-0.50440989999999997</v>
      </c>
      <c r="U5440">
        <v>-1.4095150000000001</v>
      </c>
      <c r="V5440">
        <v>9.8073919999999995E-2</v>
      </c>
      <c r="W5440">
        <v>-1.8112820000000002E-2</v>
      </c>
      <c r="X5440">
        <v>0.99501430000000002</v>
      </c>
      <c r="Y5440">
        <v>0.37642779999999998</v>
      </c>
      <c r="Z5440">
        <v>-1.878057E-2</v>
      </c>
      <c r="AA5440">
        <v>0.92625559999999996</v>
      </c>
      <c r="AB5440">
        <v>25</v>
      </c>
      <c r="AC5440">
        <v>6.2753999999999897</v>
      </c>
      <c r="AD5440">
        <v>-1.156752</v>
      </c>
      <c r="AE5440">
        <v>-3.2202299999999999</v>
      </c>
      <c r="AF5440">
        <v>2.6511061708878598</v>
      </c>
      <c r="AG5440">
        <v>-1.156752</v>
      </c>
      <c r="AH5440">
        <v>6.3364210608909097</v>
      </c>
      <c r="AI5440">
        <v>99.559478041044599</v>
      </c>
      <c r="AJ5440">
        <v>67.295968933635805</v>
      </c>
      <c r="AK5440">
        <v>6.9653909423467102</v>
      </c>
      <c r="AL5440">
        <v>91.037844881622505</v>
      </c>
      <c r="AM5440">
        <v>84.370804630720201</v>
      </c>
      <c r="AN5440">
        <v>1.0000000126185</v>
      </c>
    </row>
    <row r="5441" spans="1:40" x14ac:dyDescent="0.3">
      <c r="A5441" t="str">
        <f>"20200111160610427"</f>
        <v>20200111160610427</v>
      </c>
      <c r="B5441" t="str">
        <f>"1578729970417475"</f>
        <v>1578729970417475</v>
      </c>
      <c r="C5441" t="s">
        <v>40</v>
      </c>
      <c r="D5441">
        <v>5.6551</v>
      </c>
      <c r="E5441">
        <v>0.61764030000000003</v>
      </c>
      <c r="F5441" t="s">
        <v>44</v>
      </c>
      <c r="G5441">
        <v>-316.33519999999999</v>
      </c>
      <c r="H5441">
        <v>-0.05</v>
      </c>
      <c r="I5441">
        <v>14.532389999999999</v>
      </c>
      <c r="J5441">
        <v>-322.54149999999998</v>
      </c>
      <c r="K5441">
        <v>1.1067119999999999</v>
      </c>
      <c r="L5441">
        <v>17.77139</v>
      </c>
      <c r="M5441">
        <v>0.99664180000000002</v>
      </c>
      <c r="N5441">
        <v>0</v>
      </c>
      <c r="O5441">
        <v>-8.0483929999999995E-2</v>
      </c>
      <c r="P5441">
        <v>0.98249330000000001</v>
      </c>
      <c r="Q5441">
        <v>-3.3558419999999999E-2</v>
      </c>
      <c r="R5441">
        <v>-0.18325069999999999</v>
      </c>
      <c r="S5441">
        <v>2.7777099999999999</v>
      </c>
      <c r="T5441">
        <v>-0.50828030000000002</v>
      </c>
      <c r="U5441">
        <v>-1.428436</v>
      </c>
      <c r="V5441">
        <v>0.1033896</v>
      </c>
      <c r="W5441">
        <v>-1.9548650000000001E-2</v>
      </c>
      <c r="X5441">
        <v>0.99444880000000002</v>
      </c>
      <c r="Y5441">
        <v>0.38035029999999997</v>
      </c>
      <c r="Z5441">
        <v>-1.8840849999999999E-2</v>
      </c>
      <c r="AA5441">
        <v>0.92465059999999999</v>
      </c>
      <c r="AB5441">
        <v>25</v>
      </c>
      <c r="AC5441">
        <v>6.2062999999999899</v>
      </c>
      <c r="AD5441">
        <v>-1.156712</v>
      </c>
      <c r="AE5441">
        <v>-3.2389999999999999</v>
      </c>
      <c r="AF5441">
        <v>2.6564043275240699</v>
      </c>
      <c r="AG5441">
        <v>-1.156712</v>
      </c>
      <c r="AH5441">
        <v>6.27555236633353</v>
      </c>
      <c r="AI5441">
        <v>99.633553590438495</v>
      </c>
      <c r="AJ5441">
        <v>67.057345916972395</v>
      </c>
      <c r="AK5441">
        <v>6.9120925995552902</v>
      </c>
      <c r="AL5441">
        <v>91.120126504619407</v>
      </c>
      <c r="AM5441">
        <v>84.064469164028495</v>
      </c>
      <c r="AN5441">
        <v>0.99999998746321095</v>
      </c>
    </row>
    <row r="5442" spans="1:40" x14ac:dyDescent="0.3">
      <c r="A5442" t="str">
        <f>"20200111160610437"</f>
        <v>20200111160610437</v>
      </c>
      <c r="B5442" t="str">
        <f>"1578729970427235"</f>
        <v>1578729970427235</v>
      </c>
      <c r="C5442" t="s">
        <v>40</v>
      </c>
      <c r="D5442">
        <v>5.647748</v>
      </c>
      <c r="E5442">
        <v>0.61772199999999999</v>
      </c>
      <c r="F5442" t="s">
        <v>44</v>
      </c>
      <c r="G5442">
        <v>-316.30099999999999</v>
      </c>
      <c r="H5442">
        <v>-0.05</v>
      </c>
      <c r="I5442">
        <v>14.503019999999999</v>
      </c>
      <c r="J5442">
        <v>-322.41969999999998</v>
      </c>
      <c r="K5442">
        <v>1.10667</v>
      </c>
      <c r="L5442">
        <v>17.75836</v>
      </c>
      <c r="M5442">
        <v>0.99640209999999996</v>
      </c>
      <c r="N5442">
        <v>0</v>
      </c>
      <c r="O5442">
        <v>-8.3397299999999994E-2</v>
      </c>
      <c r="P5442">
        <v>0.98088850000000005</v>
      </c>
      <c r="Q5442">
        <v>-3.4587279999999998E-2</v>
      </c>
      <c r="R5442">
        <v>-0.19147220000000001</v>
      </c>
      <c r="S5442">
        <v>2.7658079999999998</v>
      </c>
      <c r="T5442">
        <v>-0.51265699999999903</v>
      </c>
      <c r="U5442">
        <v>-1.448547</v>
      </c>
      <c r="V5442">
        <v>0.10879759999999999</v>
      </c>
      <c r="W5442">
        <v>-2.064531E-2</v>
      </c>
      <c r="X5442">
        <v>0.99384950000000005</v>
      </c>
      <c r="Y5442">
        <v>0.384461</v>
      </c>
      <c r="Z5442">
        <v>-1.890199E-2</v>
      </c>
      <c r="AA5442">
        <v>0.92294770000000004</v>
      </c>
      <c r="AB5442">
        <v>25</v>
      </c>
      <c r="AC5442">
        <v>6.1186999999999898</v>
      </c>
      <c r="AD5442">
        <v>-1.1566700000000001</v>
      </c>
      <c r="AE5442">
        <v>-3.2553399999999901</v>
      </c>
      <c r="AF5442">
        <v>2.65958150597036</v>
      </c>
      <c r="AG5442">
        <v>-1.1566700000000001</v>
      </c>
      <c r="AH5442">
        <v>6.1963182490877804</v>
      </c>
      <c r="AI5442">
        <v>99.733613750980496</v>
      </c>
      <c r="AJ5442">
        <v>66.7700400031013</v>
      </c>
      <c r="AK5442">
        <v>6.8414632294398698</v>
      </c>
      <c r="AL5442">
        <v>91.182973190747902</v>
      </c>
      <c r="AM5442">
        <v>83.752655954763398</v>
      </c>
      <c r="AN5442">
        <v>0.99999998762050302</v>
      </c>
    </row>
    <row r="5443" spans="1:40" x14ac:dyDescent="0.3">
      <c r="A5443" t="str">
        <f>"20200111160610449"</f>
        <v>20200111160610449</v>
      </c>
      <c r="B5443" t="str">
        <f>"1578729970437971"</f>
        <v>1578729970437971</v>
      </c>
      <c r="C5443" t="s">
        <v>40</v>
      </c>
      <c r="D5443">
        <v>5.6849379999999998</v>
      </c>
      <c r="E5443">
        <v>0.61785939999999995</v>
      </c>
      <c r="F5443" t="s">
        <v>44</v>
      </c>
      <c r="G5443">
        <v>-316.24369999999999</v>
      </c>
      <c r="H5443">
        <v>-0.05</v>
      </c>
      <c r="I5443">
        <v>14.45604</v>
      </c>
      <c r="J5443">
        <v>-322.29919999999998</v>
      </c>
      <c r="K5443">
        <v>1.1066290000000001</v>
      </c>
      <c r="L5443">
        <v>17.74512</v>
      </c>
      <c r="M5443">
        <v>0.99615370000000003</v>
      </c>
      <c r="N5443">
        <v>0</v>
      </c>
      <c r="O5443">
        <v>-8.6314399999999902E-2</v>
      </c>
      <c r="P5443">
        <v>0.9792573</v>
      </c>
      <c r="Q5443">
        <v>-3.5596889999999999E-2</v>
      </c>
      <c r="R5443">
        <v>-0.1994696</v>
      </c>
      <c r="S5443">
        <v>2.7529300000000001</v>
      </c>
      <c r="T5443">
        <v>-0.51557749999999902</v>
      </c>
      <c r="U5443">
        <v>-1.4719850000000001</v>
      </c>
      <c r="V5443">
        <v>0.1139845</v>
      </c>
      <c r="W5443">
        <v>-2.1721890000000001E-2</v>
      </c>
      <c r="X5443">
        <v>0.99324500000000004</v>
      </c>
      <c r="Y5443">
        <v>0.38957550000000002</v>
      </c>
      <c r="Z5443">
        <v>-1.8996079999999999E-2</v>
      </c>
      <c r="AA5443">
        <v>0.92079860000000002</v>
      </c>
      <c r="AB5443">
        <v>25</v>
      </c>
      <c r="AC5443">
        <v>6.0554999999999897</v>
      </c>
      <c r="AD5443">
        <v>-1.1566289999999999</v>
      </c>
      <c r="AE5443">
        <v>-3.2890799999999998</v>
      </c>
      <c r="AF5443">
        <v>2.67860511410136</v>
      </c>
      <c r="AG5443">
        <v>-1.1566289999999999</v>
      </c>
      <c r="AH5443">
        <v>6.1437433137711501</v>
      </c>
      <c r="AI5443">
        <v>99.791241075178803</v>
      </c>
      <c r="AJ5443">
        <v>66.443323113262807</v>
      </c>
      <c r="AK5443">
        <v>6.80134530122083</v>
      </c>
      <c r="AL5443">
        <v>91.244670553486301</v>
      </c>
      <c r="AM5443">
        <v>83.453392337141295</v>
      </c>
      <c r="AN5443">
        <v>0.99999996838520999</v>
      </c>
    </row>
    <row r="5444" spans="1:40" x14ac:dyDescent="0.3">
      <c r="A5444" t="str">
        <f>"20200111160610460"</f>
        <v>20200111160610460</v>
      </c>
      <c r="B5444" t="str">
        <f>"1578729970457491"</f>
        <v>1578729970457491</v>
      </c>
      <c r="C5444" t="s">
        <v>40</v>
      </c>
      <c r="D5444">
        <v>5.5191210000000002</v>
      </c>
      <c r="E5444">
        <v>0.61812060000000002</v>
      </c>
      <c r="F5444" t="s">
        <v>44</v>
      </c>
      <c r="G5444">
        <v>-316.19330000000002</v>
      </c>
      <c r="H5444">
        <v>-0.05</v>
      </c>
      <c r="I5444">
        <v>14.413539999999999</v>
      </c>
      <c r="J5444">
        <v>-322.17219999999998</v>
      </c>
      <c r="K5444">
        <v>1.1065849999999999</v>
      </c>
      <c r="L5444">
        <v>17.73077</v>
      </c>
      <c r="M5444">
        <v>0.99587930000000002</v>
      </c>
      <c r="N5444">
        <v>0</v>
      </c>
      <c r="O5444">
        <v>-8.9422829999999995E-2</v>
      </c>
      <c r="P5444">
        <v>0.97750599999999999</v>
      </c>
      <c r="Q5444">
        <v>-3.6384039999999999E-2</v>
      </c>
      <c r="R5444">
        <v>-0.2077454</v>
      </c>
      <c r="S5444">
        <v>2.7401119999999999</v>
      </c>
      <c r="T5444">
        <v>-0.51905409999999996</v>
      </c>
      <c r="U5444">
        <v>-1.4950870000000001</v>
      </c>
      <c r="V5444">
        <v>0.1192742</v>
      </c>
      <c r="W5444">
        <v>-2.257926E-2</v>
      </c>
      <c r="X5444">
        <v>0.99260459999999995</v>
      </c>
      <c r="Y5444">
        <v>0.39440419999999998</v>
      </c>
      <c r="Z5444">
        <v>-1.9051720000000001E-2</v>
      </c>
      <c r="AA5444">
        <v>0.91873959999999999</v>
      </c>
      <c r="AB5444">
        <v>25</v>
      </c>
      <c r="AC5444">
        <v>5.9788999999999497</v>
      </c>
      <c r="AD5444">
        <v>-1.156585</v>
      </c>
      <c r="AE5444">
        <v>-3.3172299999999999</v>
      </c>
      <c r="AF5444">
        <v>2.6921947272966502</v>
      </c>
      <c r="AG5444">
        <v>-1.156585</v>
      </c>
      <c r="AH5444">
        <v>6.0777106035584803</v>
      </c>
      <c r="AI5444">
        <v>99.870277689653904</v>
      </c>
      <c r="AJ5444">
        <v>66.108478406149601</v>
      </c>
      <c r="AK5444">
        <v>6.74715995753147</v>
      </c>
      <c r="AL5444">
        <v>91.293806221610893</v>
      </c>
      <c r="AM5444">
        <v>83.148028467314106</v>
      </c>
      <c r="AN5444">
        <v>1.00000002485447</v>
      </c>
    </row>
    <row r="5445" spans="1:40" x14ac:dyDescent="0.3">
      <c r="A5445" t="str">
        <f>"20200111160610473"</f>
        <v>20200111160610473</v>
      </c>
      <c r="B5445" t="str">
        <f>"1578729970467251"</f>
        <v>1578729970467251</v>
      </c>
      <c r="C5445" t="s">
        <v>40</v>
      </c>
      <c r="D5445">
        <v>5.5274419999999997</v>
      </c>
      <c r="E5445">
        <v>0.61817310000000003</v>
      </c>
      <c r="F5445" t="s">
        <v>44</v>
      </c>
      <c r="G5445">
        <v>-316.10180000000003</v>
      </c>
      <c r="H5445">
        <v>-0.05</v>
      </c>
      <c r="I5445">
        <v>14.347440000000001</v>
      </c>
      <c r="J5445">
        <v>-322.03949999999998</v>
      </c>
      <c r="K5445">
        <v>1.1065370000000001</v>
      </c>
      <c r="L5445">
        <v>17.715150000000001</v>
      </c>
      <c r="M5445">
        <v>0.99557669999999998</v>
      </c>
      <c r="N5445">
        <v>0</v>
      </c>
      <c r="O5445">
        <v>-9.2731579999999994E-2</v>
      </c>
      <c r="P5445">
        <v>0.97572360000000002</v>
      </c>
      <c r="Q5445">
        <v>-3.659109E-2</v>
      </c>
      <c r="R5445">
        <v>-0.21592800000000001</v>
      </c>
      <c r="S5445">
        <v>2.726715</v>
      </c>
      <c r="T5445">
        <v>-0.51952240000000005</v>
      </c>
      <c r="U5445">
        <v>-1.5197449999999999</v>
      </c>
      <c r="V5445">
        <v>0.12428400000000001</v>
      </c>
      <c r="W5445">
        <v>-2.2855690000000001E-2</v>
      </c>
      <c r="X5445">
        <v>0.99198339999999996</v>
      </c>
      <c r="Y5445">
        <v>0.39956570000000002</v>
      </c>
      <c r="Z5445">
        <v>-1.899321E-2</v>
      </c>
      <c r="AA5445">
        <v>0.91650779999999998</v>
      </c>
      <c r="AB5445">
        <v>25</v>
      </c>
      <c r="AC5445">
        <v>5.9376999999999498</v>
      </c>
      <c r="AD5445">
        <v>-1.1565369999999999</v>
      </c>
      <c r="AE5445">
        <v>-3.3677100000000002</v>
      </c>
      <c r="AF5445">
        <v>2.7243196805355798</v>
      </c>
      <c r="AG5445">
        <v>-1.1565369999999999</v>
      </c>
      <c r="AH5445">
        <v>6.0507526466652797</v>
      </c>
      <c r="AI5445">
        <v>99.886665412889499</v>
      </c>
      <c r="AJ5445">
        <v>65.760593559622706</v>
      </c>
      <c r="AK5445">
        <v>6.7358075347540503</v>
      </c>
      <c r="AL5445">
        <v>91.309648640153199</v>
      </c>
      <c r="AM5445">
        <v>82.858715083150003</v>
      </c>
      <c r="AN5445">
        <v>0.99999998054846695</v>
      </c>
    </row>
    <row r="5446" spans="1:40" x14ac:dyDescent="0.3">
      <c r="A5446" t="str">
        <f>"20200111160610483"</f>
        <v>20200111160610483</v>
      </c>
      <c r="B5446" t="str">
        <f>"1578729970477987"</f>
        <v>1578729970477987</v>
      </c>
      <c r="C5446" t="s">
        <v>40</v>
      </c>
      <c r="D5446">
        <v>5.5600019999999999</v>
      </c>
      <c r="E5446">
        <v>0.61811939999999999</v>
      </c>
      <c r="F5446" t="s">
        <v>44</v>
      </c>
      <c r="G5446">
        <v>-316.00490000000002</v>
      </c>
      <c r="H5446">
        <v>-0.05</v>
      </c>
      <c r="I5446">
        <v>14.2851</v>
      </c>
      <c r="J5446">
        <v>-321.9178</v>
      </c>
      <c r="K5446">
        <v>1.1064929999999999</v>
      </c>
      <c r="L5446">
        <v>17.70065</v>
      </c>
      <c r="M5446">
        <v>0.99528740000000004</v>
      </c>
      <c r="N5446">
        <v>0</v>
      </c>
      <c r="O5446">
        <v>-9.5786330000000003E-2</v>
      </c>
      <c r="P5446">
        <v>0.97396719999999903</v>
      </c>
      <c r="Q5446">
        <v>-3.6309139999999997E-2</v>
      </c>
      <c r="R5446">
        <v>-0.22376299999999999</v>
      </c>
      <c r="S5446">
        <v>2.7137760000000002</v>
      </c>
      <c r="T5446">
        <v>-0.52010100000000004</v>
      </c>
      <c r="U5446">
        <v>-1.542511</v>
      </c>
      <c r="V5446">
        <v>0.12920770000000001</v>
      </c>
      <c r="W5446">
        <v>-2.264302E-2</v>
      </c>
      <c r="X5446">
        <v>0.99135899999999999</v>
      </c>
      <c r="Y5446">
        <v>0.40439589999999997</v>
      </c>
      <c r="Z5446">
        <v>-1.8953060000000001E-2</v>
      </c>
      <c r="AA5446">
        <v>0.91438759999999997</v>
      </c>
      <c r="AB5446">
        <v>25</v>
      </c>
      <c r="AC5446">
        <v>5.9128999999999703</v>
      </c>
      <c r="AD5446">
        <v>-1.156493</v>
      </c>
      <c r="AE5446">
        <v>-3.4155500000000001</v>
      </c>
      <c r="AF5446">
        <v>2.7543955041306201</v>
      </c>
      <c r="AG5446">
        <v>-1.156493</v>
      </c>
      <c r="AH5446">
        <v>6.03966587210732</v>
      </c>
      <c r="AI5446">
        <v>99.8829164448006</v>
      </c>
      <c r="AJ5446">
        <v>65.484596396517802</v>
      </c>
      <c r="AK5446">
        <v>6.7380809210725499</v>
      </c>
      <c r="AL5446">
        <v>91.297460364972395</v>
      </c>
      <c r="AM5446">
        <v>82.574274690616306</v>
      </c>
      <c r="AN5446">
        <v>1.0000000014874999</v>
      </c>
    </row>
    <row r="5447" spans="1:40" x14ac:dyDescent="0.3">
      <c r="A5447" t="str">
        <f>"20200111160610494"</f>
        <v>20200111160610494</v>
      </c>
      <c r="B5447" t="str">
        <f>"1578729970487747"</f>
        <v>1578729970487747</v>
      </c>
      <c r="C5447" t="s">
        <v>40</v>
      </c>
      <c r="D5447">
        <v>6.5279540000000003</v>
      </c>
      <c r="E5447">
        <v>0.61811939999999999</v>
      </c>
      <c r="F5447" t="s">
        <v>44</v>
      </c>
      <c r="G5447">
        <v>-315.90629999999999</v>
      </c>
      <c r="H5447">
        <v>-0.05</v>
      </c>
      <c r="I5447">
        <v>14.22166</v>
      </c>
      <c r="J5447">
        <v>-321.79410000000001</v>
      </c>
      <c r="K5447">
        <v>1.1064430000000001</v>
      </c>
      <c r="L5447">
        <v>17.685120000000001</v>
      </c>
      <c r="M5447">
        <v>0.9949751</v>
      </c>
      <c r="N5447">
        <v>0</v>
      </c>
      <c r="O5447">
        <v>-9.8975519999999997E-2</v>
      </c>
      <c r="P5447">
        <v>0.97214909999999999</v>
      </c>
      <c r="Q5447">
        <v>-3.5947340000000001E-2</v>
      </c>
      <c r="R5447">
        <v>-0.23159009999999999</v>
      </c>
      <c r="S5447">
        <v>2.7016300000000002</v>
      </c>
      <c r="T5447">
        <v>-0.51973610000000003</v>
      </c>
      <c r="U5447">
        <v>-1.563477</v>
      </c>
      <c r="V5447">
        <v>0.13400049999999999</v>
      </c>
      <c r="W5447">
        <v>-2.23514E-2</v>
      </c>
      <c r="X5447">
        <v>0.99072919999999998</v>
      </c>
      <c r="Y5447">
        <v>0.40854629999999997</v>
      </c>
      <c r="Z5447">
        <v>-1.8792900000000001E-2</v>
      </c>
      <c r="AA5447">
        <v>0.91254409999999997</v>
      </c>
      <c r="AB5447">
        <v>24</v>
      </c>
      <c r="AC5447">
        <v>5.8878000000000199</v>
      </c>
      <c r="AD5447">
        <v>-1.1564430000000001</v>
      </c>
      <c r="AE5447">
        <v>-3.46346</v>
      </c>
      <c r="AF5447">
        <v>2.7838482652986598</v>
      </c>
      <c r="AG5447">
        <v>-1.1564430000000001</v>
      </c>
      <c r="AH5447">
        <v>6.0289268711466999</v>
      </c>
      <c r="AI5447">
        <v>99.878815798625496</v>
      </c>
      <c r="AJ5447">
        <v>65.214936697048003</v>
      </c>
      <c r="AK5447">
        <v>6.74055864109868</v>
      </c>
      <c r="AL5447">
        <v>91.280747498908099</v>
      </c>
      <c r="AM5447">
        <v>82.297236623965006</v>
      </c>
      <c r="AN5447">
        <v>1.0000000334074199</v>
      </c>
    </row>
    <row r="5448" spans="1:40" x14ac:dyDescent="0.3">
      <c r="A5448" t="str">
        <f>"20200111160610505"</f>
        <v>20200111160610505</v>
      </c>
      <c r="B5448" t="str">
        <f>"1578729970497507"</f>
        <v>1578729970497507</v>
      </c>
      <c r="C5448" t="s">
        <v>40</v>
      </c>
      <c r="D5448">
        <v>5.5715219999999999</v>
      </c>
      <c r="E5448">
        <v>0.625625599999999</v>
      </c>
      <c r="F5448" t="s">
        <v>44</v>
      </c>
      <c r="G5448">
        <v>-315.81290000000001</v>
      </c>
      <c r="H5448">
        <v>-0.05</v>
      </c>
      <c r="I5448">
        <v>14.161060000000001</v>
      </c>
      <c r="J5448">
        <v>-321.67790000000002</v>
      </c>
      <c r="K5448">
        <v>1.1063909999999999</v>
      </c>
      <c r="L5448">
        <v>17.670379999999899</v>
      </c>
      <c r="M5448">
        <v>0.99467090000000002</v>
      </c>
      <c r="N5448">
        <v>0</v>
      </c>
      <c r="O5448">
        <v>-0.10198790000000001</v>
      </c>
      <c r="P5448">
        <v>0.97028959999999997</v>
      </c>
      <c r="Q5448">
        <v>-3.5537699999999998E-2</v>
      </c>
      <c r="R5448">
        <v>-0.23932339999999999</v>
      </c>
      <c r="S5448">
        <v>2.6892399999999999</v>
      </c>
      <c r="T5448">
        <v>-0.51995259999999999</v>
      </c>
      <c r="U5448">
        <v>-1.584473</v>
      </c>
      <c r="V5448">
        <v>0.13888519999999999</v>
      </c>
      <c r="W5448">
        <v>-2.2014180000000001E-2</v>
      </c>
      <c r="X5448">
        <v>0.99006380000000005</v>
      </c>
      <c r="Y5448">
        <v>0.41287839999999998</v>
      </c>
      <c r="Z5448">
        <v>-1.870132E-2</v>
      </c>
      <c r="AA5448">
        <v>0.91059420000000002</v>
      </c>
      <c r="AB5448">
        <v>24</v>
      </c>
      <c r="AC5448">
        <v>5.8650000000000002</v>
      </c>
      <c r="AD5448">
        <v>-1.1563909999999999</v>
      </c>
      <c r="AE5448">
        <v>-3.50931999999999</v>
      </c>
      <c r="AF5448">
        <v>2.8122841061242001</v>
      </c>
      <c r="AG5448">
        <v>-1.1563909999999999</v>
      </c>
      <c r="AH5448">
        <v>6.0200281607859001</v>
      </c>
      <c r="AI5448">
        <v>99.872685543931198</v>
      </c>
      <c r="AJ5448">
        <v>64.960151796971303</v>
      </c>
      <c r="AK5448">
        <v>6.7443992390052898</v>
      </c>
      <c r="AL5448">
        <v>91.261421471163104</v>
      </c>
      <c r="AM5448">
        <v>82.014709695975796</v>
      </c>
      <c r="AN5448">
        <v>1.0000000254852699</v>
      </c>
    </row>
    <row r="5449" spans="1:40" x14ac:dyDescent="0.3">
      <c r="A5449" t="str">
        <f>"20200111160610516"</f>
        <v>20200111160610516</v>
      </c>
      <c r="B5449" t="str">
        <f>"1578729970507268"</f>
        <v>1578729970507268</v>
      </c>
      <c r="C5449" t="s">
        <v>40</v>
      </c>
      <c r="D5449">
        <v>6.4377700000000004</v>
      </c>
      <c r="E5449">
        <v>0.62521859999999996</v>
      </c>
      <c r="F5449" t="s">
        <v>82</v>
      </c>
      <c r="G5449">
        <v>-279.33690000000001</v>
      </c>
      <c r="H5449">
        <v>0.9297436</v>
      </c>
      <c r="I5449">
        <v>-9.2525220000000008</v>
      </c>
      <c r="J5449">
        <v>-321.55849999999998</v>
      </c>
      <c r="K5449">
        <v>1.1063400000000001</v>
      </c>
      <c r="L5449">
        <v>17.654629999999901</v>
      </c>
      <c r="M5449">
        <v>0.9943417</v>
      </c>
      <c r="N5449">
        <v>0</v>
      </c>
      <c r="O5449">
        <v>-0.1051478</v>
      </c>
      <c r="P5449">
        <v>0.9683522</v>
      </c>
      <c r="Q5449">
        <v>-3.5717619999999999E-2</v>
      </c>
      <c r="R5449">
        <v>-0.24701980000000001</v>
      </c>
      <c r="S5449">
        <v>2.6723629999999998</v>
      </c>
      <c r="T5449">
        <v>-1.114917E-2</v>
      </c>
      <c r="U5449">
        <v>-1.699249</v>
      </c>
      <c r="V5449">
        <v>0.1435922</v>
      </c>
      <c r="W5449">
        <v>-2.2266500000000002E-2</v>
      </c>
      <c r="X5449">
        <v>0.9893864</v>
      </c>
      <c r="Y5449">
        <v>0.44485639999999999</v>
      </c>
      <c r="Z5449">
        <v>-4.5139760000000002E-4</v>
      </c>
      <c r="AA5449">
        <v>0.8956018</v>
      </c>
      <c r="AB5449">
        <v>24</v>
      </c>
      <c r="AC5449">
        <v>42.221599999999903</v>
      </c>
      <c r="AD5449">
        <v>-0.17659639999999899</v>
      </c>
      <c r="AE5449">
        <v>-26.907152</v>
      </c>
      <c r="AF5449">
        <v>22.3176674832605</v>
      </c>
      <c r="AG5449">
        <v>-0.17659639999999899</v>
      </c>
      <c r="AH5449">
        <v>44.816488952222798</v>
      </c>
      <c r="AI5449">
        <v>90.202097299020593</v>
      </c>
      <c r="AJ5449">
        <v>63.5276624444246</v>
      </c>
      <c r="AK5449">
        <v>50.066227640861698</v>
      </c>
      <c r="AL5449">
        <v>91.275881941143297</v>
      </c>
      <c r="AM5449">
        <v>81.742173107791004</v>
      </c>
      <c r="AN5449">
        <v>0.99999998271402402</v>
      </c>
    </row>
    <row r="5450" spans="1:40" x14ac:dyDescent="0.3">
      <c r="A5450" t="str">
        <f>"20200111160610527"</f>
        <v>20200111160610527</v>
      </c>
      <c r="B5450" t="str">
        <f>"1578729970518003"</f>
        <v>1578729970518003</v>
      </c>
      <c r="C5450" t="s">
        <v>40</v>
      </c>
      <c r="D5450">
        <v>5.6381680000000003</v>
      </c>
      <c r="E5450">
        <v>0.62037039999999999</v>
      </c>
      <c r="F5450" t="s">
        <v>82</v>
      </c>
      <c r="G5450">
        <v>-279.33690000000001</v>
      </c>
      <c r="H5450">
        <v>1.26667</v>
      </c>
      <c r="I5450">
        <v>-9.6341929999999998</v>
      </c>
      <c r="J5450">
        <v>-321.43720000000002</v>
      </c>
      <c r="K5450">
        <v>1.106284</v>
      </c>
      <c r="L5450">
        <v>17.638279999999899</v>
      </c>
      <c r="M5450">
        <v>0.99399329999999997</v>
      </c>
      <c r="N5450">
        <v>0</v>
      </c>
      <c r="O5450">
        <v>-0.108390899999999</v>
      </c>
      <c r="P5450">
        <v>0.96629860000000001</v>
      </c>
      <c r="Q5450">
        <v>-3.575221E-2</v>
      </c>
      <c r="R5450">
        <v>-0.2549302</v>
      </c>
      <c r="S5450">
        <v>2.6598820000000001</v>
      </c>
      <c r="T5450">
        <v>1.010048E-2</v>
      </c>
      <c r="U5450">
        <v>-1.719147</v>
      </c>
      <c r="V5450">
        <v>0.148448</v>
      </c>
      <c r="W5450">
        <v>-2.2377500000000002E-2</v>
      </c>
      <c r="X5450">
        <v>0.98866699999999996</v>
      </c>
      <c r="Y5450">
        <v>0.44857340000000001</v>
      </c>
      <c r="Z5450">
        <v>4.0525720000000003E-4</v>
      </c>
      <c r="AA5450">
        <v>0.89374589999999998</v>
      </c>
      <c r="AB5450">
        <v>24</v>
      </c>
      <c r="AC5450">
        <v>42.100299999999997</v>
      </c>
      <c r="AD5450">
        <v>0.160385999999999</v>
      </c>
      <c r="AE5450">
        <v>-27.272473000000002</v>
      </c>
      <c r="AF5450">
        <v>22.547714390716099</v>
      </c>
      <c r="AG5450">
        <v>0.160385999999999</v>
      </c>
      <c r="AH5450">
        <v>44.808170826662199</v>
      </c>
      <c r="AI5450">
        <v>89.816803369759</v>
      </c>
      <c r="AJ5450">
        <v>63.288211685942002</v>
      </c>
      <c r="AK5450">
        <v>50.161711700715003</v>
      </c>
      <c r="AL5450">
        <v>91.282243336887205</v>
      </c>
      <c r="AM5450">
        <v>81.460849165258296</v>
      </c>
      <c r="AN5450">
        <v>0.999999999049624</v>
      </c>
    </row>
    <row r="5451" spans="1:40" x14ac:dyDescent="0.3">
      <c r="A5451" t="str">
        <f>"20200111160610539"</f>
        <v>20200111160610539</v>
      </c>
      <c r="B5451" t="str">
        <f>"1578729970527763"</f>
        <v>1578729970527763</v>
      </c>
      <c r="C5451" t="s">
        <v>40</v>
      </c>
      <c r="D5451">
        <v>5.6201939999999997</v>
      </c>
      <c r="E5451">
        <v>0.62011959999999999</v>
      </c>
      <c r="F5451" t="s">
        <v>82</v>
      </c>
      <c r="G5451">
        <v>-279.33690000000001</v>
      </c>
      <c r="H5451">
        <v>0.72962289999999996</v>
      </c>
      <c r="I5451">
        <v>-9.3337749999999993</v>
      </c>
      <c r="J5451">
        <v>-321.30770000000001</v>
      </c>
      <c r="K5451">
        <v>1.106217</v>
      </c>
      <c r="L5451">
        <v>17.620329999999999</v>
      </c>
      <c r="M5451">
        <v>0.99360280000000001</v>
      </c>
      <c r="N5451">
        <v>0</v>
      </c>
      <c r="O5451">
        <v>-0.1119129</v>
      </c>
      <c r="P5451">
        <v>0.96412129999999996</v>
      </c>
      <c r="Q5451">
        <v>-3.6107849999999997E-2</v>
      </c>
      <c r="R5451">
        <v>-0.26299539999999999</v>
      </c>
      <c r="S5451">
        <v>2.6549990000000001</v>
      </c>
      <c r="T5451">
        <v>-2.3753639999999999E-2</v>
      </c>
      <c r="U5451">
        <v>-1.700958</v>
      </c>
      <c r="V5451">
        <v>0.15319539999999901</v>
      </c>
      <c r="W5451">
        <v>-2.2811330000000001E-2</v>
      </c>
      <c r="X5451">
        <v>0.98793260000000005</v>
      </c>
      <c r="Y5451">
        <v>0.44180720000000001</v>
      </c>
      <c r="Z5451">
        <v>-9.0018740000000002E-4</v>
      </c>
      <c r="AA5451">
        <v>0.89710959999999995</v>
      </c>
      <c r="AB5451">
        <v>24</v>
      </c>
      <c r="AC5451">
        <v>41.970799999999997</v>
      </c>
      <c r="AD5451">
        <v>-0.37659409999999899</v>
      </c>
      <c r="AE5451">
        <v>-26.954104999999998</v>
      </c>
      <c r="AF5451">
        <v>22.085870219979999</v>
      </c>
      <c r="AG5451">
        <v>-0.37659409999999899</v>
      </c>
      <c r="AH5451">
        <v>44.721387988694403</v>
      </c>
      <c r="AI5451">
        <v>90.432594694977894</v>
      </c>
      <c r="AJ5451">
        <v>63.717317800526899</v>
      </c>
      <c r="AK5451">
        <v>49.879154264334602</v>
      </c>
      <c r="AL5451">
        <v>91.307106304858905</v>
      </c>
      <c r="AM5451">
        <v>81.185537808072397</v>
      </c>
      <c r="AN5451">
        <v>1.0000000047501401</v>
      </c>
    </row>
    <row r="5452" spans="1:40" x14ac:dyDescent="0.3">
      <c r="A5452" t="str">
        <f>"20200111160610552"</f>
        <v>20200111160610552</v>
      </c>
      <c r="B5452" t="str">
        <f>"1578729970547284"</f>
        <v>1578729970547284</v>
      </c>
      <c r="C5452" t="s">
        <v>40</v>
      </c>
      <c r="D5452">
        <v>5.6309389999999997</v>
      </c>
      <c r="E5452">
        <v>0.60189769999999998</v>
      </c>
      <c r="F5452" t="s">
        <v>82</v>
      </c>
      <c r="G5452">
        <v>-279.33690000000001</v>
      </c>
      <c r="H5452">
        <v>0.78968099999999997</v>
      </c>
      <c r="I5452">
        <v>-9.7431640000000002</v>
      </c>
      <c r="J5452">
        <v>-321.1764</v>
      </c>
      <c r="K5452">
        <v>1.106125</v>
      </c>
      <c r="L5452">
        <v>17.601589999999899</v>
      </c>
      <c r="M5452">
        <v>0.99314199999999997</v>
      </c>
      <c r="N5452">
        <v>0</v>
      </c>
      <c r="O5452">
        <v>-0.11595279999999999</v>
      </c>
      <c r="P5452">
        <v>0.9618198</v>
      </c>
      <c r="Q5452">
        <v>-3.6269580000000003E-2</v>
      </c>
      <c r="R5452">
        <v>-0.27127010000000001</v>
      </c>
      <c r="S5452">
        <v>2.6411739999999999</v>
      </c>
      <c r="T5452">
        <v>-1.9919280000000001E-2</v>
      </c>
      <c r="U5452">
        <v>-1.721954</v>
      </c>
      <c r="V5452">
        <v>0.15765789999999999</v>
      </c>
      <c r="W5452">
        <v>-2.3210870000000002E-2</v>
      </c>
      <c r="X5452">
        <v>0.98722089999999996</v>
      </c>
      <c r="Y5452">
        <v>0.4453107</v>
      </c>
      <c r="Z5452">
        <v>-7.4166149999999997E-4</v>
      </c>
      <c r="AA5452">
        <v>0.89537579999999894</v>
      </c>
      <c r="AB5452">
        <v>24</v>
      </c>
      <c r="AC5452">
        <v>41.839500000000001</v>
      </c>
      <c r="AD5452">
        <v>-0.316443999999999</v>
      </c>
      <c r="AE5452">
        <v>-27.344753999999998</v>
      </c>
      <c r="AF5452">
        <v>22.307420102718201</v>
      </c>
      <c r="AG5452">
        <v>-0.316443999999999</v>
      </c>
      <c r="AH5452">
        <v>44.726480728552602</v>
      </c>
      <c r="AI5452">
        <v>90.362752659189994</v>
      </c>
      <c r="AJ5452">
        <v>63.492183136014901</v>
      </c>
      <c r="AK5452">
        <v>49.981788751563101</v>
      </c>
      <c r="AL5452">
        <v>91.330004421056103</v>
      </c>
      <c r="AM5452">
        <v>80.926555860966104</v>
      </c>
      <c r="AN5452">
        <v>0.99999993165768597</v>
      </c>
    </row>
    <row r="5453" spans="1:40" x14ac:dyDescent="0.3">
      <c r="A5453" t="str">
        <f>"20200111160610573"</f>
        <v>20200111160610573</v>
      </c>
      <c r="B5453" t="str">
        <f>"1578729970567778"</f>
        <v>1578729970567778</v>
      </c>
      <c r="C5453" t="s">
        <v>40</v>
      </c>
      <c r="D5453">
        <v>5.4894369999999997</v>
      </c>
      <c r="E5453">
        <v>0.60127929999999996</v>
      </c>
      <c r="F5453" t="s">
        <v>44</v>
      </c>
      <c r="G5453">
        <v>-314.8691</v>
      </c>
      <c r="H5453">
        <v>-0.05</v>
      </c>
      <c r="I5453">
        <v>13.879519999999999</v>
      </c>
      <c r="J5453">
        <v>-320.935</v>
      </c>
      <c r="K5453">
        <v>1.105774</v>
      </c>
      <c r="L5453">
        <v>17.565950000000001</v>
      </c>
      <c r="M5453">
        <v>0.99220030000000004</v>
      </c>
      <c r="N5453">
        <v>0</v>
      </c>
      <c r="O5453">
        <v>-0.123821</v>
      </c>
      <c r="P5453">
        <v>0.95722430000000003</v>
      </c>
      <c r="Q5453">
        <v>-3.5949040000000002E-2</v>
      </c>
      <c r="R5453">
        <v>-0.28710550000000001</v>
      </c>
      <c r="S5453">
        <v>2.658264</v>
      </c>
      <c r="T5453">
        <v>-0.48726520000000001</v>
      </c>
      <c r="U5453">
        <v>-1.5687260000000001</v>
      </c>
      <c r="V5453">
        <v>0.16610220000000001</v>
      </c>
      <c r="W5453">
        <v>-2.3649420000000001E-2</v>
      </c>
      <c r="X5453">
        <v>0.9858249</v>
      </c>
      <c r="Y5453">
        <v>0.3943758</v>
      </c>
      <c r="Z5453">
        <v>-1.257403E-2</v>
      </c>
      <c r="AA5453">
        <v>0.91886319999999999</v>
      </c>
      <c r="AB5453">
        <v>24</v>
      </c>
      <c r="AC5453">
        <v>6.0658999999999903</v>
      </c>
      <c r="AD5453">
        <v>-1.1557740000000001</v>
      </c>
      <c r="AE5453">
        <v>-3.6864300000000001</v>
      </c>
      <c r="AF5453">
        <v>2.83181435865357</v>
      </c>
      <c r="AG5453">
        <v>-1.1557740000000001</v>
      </c>
      <c r="AH5453">
        <v>6.3084641680400804</v>
      </c>
      <c r="AI5453">
        <v>99.488844250436003</v>
      </c>
      <c r="AJ5453">
        <v>65.825105503890498</v>
      </c>
      <c r="AK5453">
        <v>7.0108277871017597</v>
      </c>
      <c r="AL5453">
        <v>91.355138315073006</v>
      </c>
      <c r="AM5453">
        <v>80.436030338492401</v>
      </c>
      <c r="AN5453">
        <v>0.99999998468559304</v>
      </c>
    </row>
    <row r="5454" spans="1:40" x14ac:dyDescent="0.3">
      <c r="A5454" t="str">
        <f>"20200111160610585"</f>
        <v>20200111160610585</v>
      </c>
      <c r="B5454" t="str">
        <f>"1578729970577539"</f>
        <v>1578729970577539</v>
      </c>
      <c r="C5454" t="s">
        <v>40</v>
      </c>
      <c r="D5454">
        <v>5.5137989999999997</v>
      </c>
      <c r="E5454">
        <v>0.60032799999999997</v>
      </c>
      <c r="F5454" t="s">
        <v>44</v>
      </c>
      <c r="G5454">
        <v>-314.7491</v>
      </c>
      <c r="H5454">
        <v>-0.05</v>
      </c>
      <c r="I5454">
        <v>13.792249999999999</v>
      </c>
      <c r="J5454">
        <v>-320.80290000000002</v>
      </c>
      <c r="K5454">
        <v>1.105456</v>
      </c>
      <c r="L5454">
        <v>17.545809999999999</v>
      </c>
      <c r="M5454">
        <v>0.99166330000000003</v>
      </c>
      <c r="N5454">
        <v>0</v>
      </c>
      <c r="O5454">
        <v>-0.12809329999999999</v>
      </c>
      <c r="P5454">
        <v>0.95479049999999999</v>
      </c>
      <c r="Q5454">
        <v>-3.5496060000000003E-2</v>
      </c>
      <c r="R5454">
        <v>-0.2951531</v>
      </c>
      <c r="S5454">
        <v>2.633667</v>
      </c>
      <c r="T5454">
        <v>-0.49207400000000001</v>
      </c>
      <c r="U5454">
        <v>-1.6066590000000001</v>
      </c>
      <c r="V5454">
        <v>0.17014119999999999</v>
      </c>
      <c r="W5454">
        <v>-2.369506E-2</v>
      </c>
      <c r="X5454">
        <v>0.98513479999999998</v>
      </c>
      <c r="Y5454">
        <v>0.40370990000000001</v>
      </c>
      <c r="Z5454">
        <v>-1.2843530000000001E-2</v>
      </c>
      <c r="AA5454">
        <v>0.91479690000000002</v>
      </c>
      <c r="AB5454">
        <v>24</v>
      </c>
      <c r="AC5454">
        <v>6.0538000000000203</v>
      </c>
      <c r="AD5454">
        <v>-1.155456</v>
      </c>
      <c r="AE5454">
        <v>-3.7535599999999998</v>
      </c>
      <c r="AF5454">
        <v>2.8715453648202498</v>
      </c>
      <c r="AG5454">
        <v>-1.155456</v>
      </c>
      <c r="AH5454">
        <v>6.3185115834765799</v>
      </c>
      <c r="AI5454">
        <v>99.452041841381501</v>
      </c>
      <c r="AJ5454">
        <v>65.559843175876495</v>
      </c>
      <c r="AK5454">
        <v>7.0359391683473502</v>
      </c>
      <c r="AL5454">
        <v>91.357753967319198</v>
      </c>
      <c r="AM5454">
        <v>80.201193151822906</v>
      </c>
      <c r="AN5454">
        <v>1.0000000289884401</v>
      </c>
    </row>
    <row r="5455" spans="1:40" x14ac:dyDescent="0.3">
      <c r="A5455" t="str">
        <f>"20200111160610596"</f>
        <v>20200111160610596</v>
      </c>
      <c r="B5455" t="str">
        <f>"1578729970587299"</f>
        <v>1578729970587299</v>
      </c>
      <c r="C5455" t="s">
        <v>40</v>
      </c>
      <c r="D5455">
        <v>5.4367239999999999</v>
      </c>
      <c r="E5455">
        <v>0.60005310000000001</v>
      </c>
      <c r="F5455" t="s">
        <v>44</v>
      </c>
      <c r="G5455">
        <v>-314.63810000000001</v>
      </c>
      <c r="H5455">
        <v>-0.05</v>
      </c>
      <c r="I5455">
        <v>13.73569</v>
      </c>
      <c r="J5455">
        <v>-320.68419999999998</v>
      </c>
      <c r="K5455">
        <v>1.1050799999999901</v>
      </c>
      <c r="L5455">
        <v>17.526949999999999</v>
      </c>
      <c r="M5455">
        <v>0.99118550000000005</v>
      </c>
      <c r="N5455">
        <v>0</v>
      </c>
      <c r="O5455">
        <v>-0.1317596</v>
      </c>
      <c r="P5455">
        <v>0.95252899999999996</v>
      </c>
      <c r="Q5455">
        <v>-3.5179740000000001E-2</v>
      </c>
      <c r="R5455">
        <v>-0.30240850000000002</v>
      </c>
      <c r="S5455">
        <v>2.6227420000000001</v>
      </c>
      <c r="T5455">
        <v>-0.4915736</v>
      </c>
      <c r="U5455">
        <v>-1.6209720000000001</v>
      </c>
      <c r="V5455">
        <v>0.17397760000000001</v>
      </c>
      <c r="W5455">
        <v>-2.3719239999999999E-2</v>
      </c>
      <c r="X5455">
        <v>0.98446389999999995</v>
      </c>
      <c r="Y5455">
        <v>0.4056631</v>
      </c>
      <c r="Z5455">
        <v>-1.2416119999999999E-2</v>
      </c>
      <c r="AA5455">
        <v>0.91393829999999998</v>
      </c>
      <c r="AB5455">
        <v>25</v>
      </c>
      <c r="AC5455">
        <v>6.0460999999999601</v>
      </c>
      <c r="AD5455">
        <v>-1.1550800000000001</v>
      </c>
      <c r="AE5455">
        <v>-3.7912599999999999</v>
      </c>
      <c r="AF5455">
        <v>2.8858896551759301</v>
      </c>
      <c r="AG5455">
        <v>-1.1550800000000001</v>
      </c>
      <c r="AH5455">
        <v>6.3272040568761101</v>
      </c>
      <c r="AI5455">
        <v>99.430534887876604</v>
      </c>
      <c r="AJ5455">
        <v>65.481882161445995</v>
      </c>
      <c r="AK5455">
        <v>7.0495446722182704</v>
      </c>
      <c r="AL5455">
        <v>91.359139823037907</v>
      </c>
      <c r="AM5455">
        <v>79.977984942907696</v>
      </c>
      <c r="AN5455">
        <v>0.99999998902557297</v>
      </c>
    </row>
    <row r="5456" spans="1:40" x14ac:dyDescent="0.3">
      <c r="A5456" t="str">
        <f>"20200111160610605"</f>
        <v>20200111160610605</v>
      </c>
      <c r="B5456" t="str">
        <f>"1578729970598035"</f>
        <v>1578729970598035</v>
      </c>
      <c r="C5456" t="s">
        <v>40</v>
      </c>
      <c r="D5456">
        <v>5.4359320000000002</v>
      </c>
      <c r="E5456">
        <v>0.59987000000000001</v>
      </c>
      <c r="F5456" t="s">
        <v>44</v>
      </c>
      <c r="G5456">
        <v>-314.46910000000003</v>
      </c>
      <c r="H5456">
        <v>-0.05</v>
      </c>
      <c r="I5456">
        <v>13.62552</v>
      </c>
      <c r="J5456">
        <v>-320.57850000000002</v>
      </c>
      <c r="K5456">
        <v>1.1047400000000001</v>
      </c>
      <c r="L5456">
        <v>17.50995</v>
      </c>
      <c r="M5456">
        <v>0.9907513</v>
      </c>
      <c r="N5456">
        <v>0</v>
      </c>
      <c r="O5456">
        <v>-0.1349987</v>
      </c>
      <c r="P5456">
        <v>0.95042439999999995</v>
      </c>
      <c r="Q5456">
        <v>-3.5202160000000003E-2</v>
      </c>
      <c r="R5456">
        <v>-0.30895699999999998</v>
      </c>
      <c r="S5456">
        <v>2.6111759999999999</v>
      </c>
      <c r="T5456">
        <v>-0.48528900000000003</v>
      </c>
      <c r="U5456">
        <v>-1.63913</v>
      </c>
      <c r="V5456">
        <v>0.1775196</v>
      </c>
      <c r="W5456">
        <v>-2.400039E-2</v>
      </c>
      <c r="X5456">
        <v>0.98382460000000005</v>
      </c>
      <c r="Y5456">
        <v>0.40913389999999999</v>
      </c>
      <c r="Z5456">
        <v>-1.2046640000000001E-2</v>
      </c>
      <c r="AA5456">
        <v>0.91239479999999995</v>
      </c>
      <c r="AB5456">
        <v>25</v>
      </c>
      <c r="AC5456">
        <v>6.1093999999999902</v>
      </c>
      <c r="AD5456">
        <v>-1.1547399999999901</v>
      </c>
      <c r="AE5456">
        <v>-3.8844299999999898</v>
      </c>
      <c r="AF5456">
        <v>2.9490021650383098</v>
      </c>
      <c r="AG5456">
        <v>-1.1547399999999901</v>
      </c>
      <c r="AH5456">
        <v>6.4147116292527198</v>
      </c>
      <c r="AI5456">
        <v>99.288957011650595</v>
      </c>
      <c r="AJ5456">
        <v>65.310584098277403</v>
      </c>
      <c r="AK5456">
        <v>7.1539194518439198</v>
      </c>
      <c r="AL5456">
        <v>91.375253055207395</v>
      </c>
      <c r="AM5456">
        <v>79.771705677460403</v>
      </c>
      <c r="AN5456">
        <v>1.00000003533473</v>
      </c>
    </row>
    <row r="5457" spans="1:40" x14ac:dyDescent="0.3">
      <c r="A5457" t="str">
        <f>"20200111160610617"</f>
        <v>20200111160610617</v>
      </c>
      <c r="B5457" t="str">
        <f>"1578729970607796"</f>
        <v>1578729970607796</v>
      </c>
      <c r="C5457" t="s">
        <v>40</v>
      </c>
      <c r="D5457">
        <v>5.3471469999999997</v>
      </c>
      <c r="E5457">
        <v>0.5999814</v>
      </c>
      <c r="F5457" t="s">
        <v>44</v>
      </c>
      <c r="G5457">
        <v>-314.3691</v>
      </c>
      <c r="H5457">
        <v>-0.05</v>
      </c>
      <c r="I5457">
        <v>13.556089999999999</v>
      </c>
      <c r="J5457">
        <v>-320.44749999999999</v>
      </c>
      <c r="K5457">
        <v>1.104285</v>
      </c>
      <c r="L5457">
        <v>17.488129999999899</v>
      </c>
      <c r="M5457">
        <v>0.99020989999999998</v>
      </c>
      <c r="N5457">
        <v>0</v>
      </c>
      <c r="O5457">
        <v>-0.13890629999999901</v>
      </c>
      <c r="P5457">
        <v>0.94810859999999997</v>
      </c>
      <c r="Q5457">
        <v>-3.547496E-2</v>
      </c>
      <c r="R5457">
        <v>-0.31596200000000002</v>
      </c>
      <c r="S5457">
        <v>2.6003419999999999</v>
      </c>
      <c r="T5457">
        <v>-0.48357280000000002</v>
      </c>
      <c r="U5457">
        <v>-1.655762</v>
      </c>
      <c r="V5457">
        <v>0.18087980000000001</v>
      </c>
      <c r="W5457">
        <v>-2.4356429999999998E-2</v>
      </c>
      <c r="X5457">
        <v>0.98320359999999996</v>
      </c>
      <c r="Y5457">
        <v>0.41144730000000002</v>
      </c>
      <c r="Z5457">
        <v>-1.1582769999999999E-2</v>
      </c>
      <c r="AA5457">
        <v>0.91135999999999995</v>
      </c>
      <c r="AB5457">
        <v>25</v>
      </c>
      <c r="AC5457">
        <v>6.0783999999999798</v>
      </c>
      <c r="AD5457">
        <v>-1.154285</v>
      </c>
      <c r="AE5457">
        <v>-3.93203999999999</v>
      </c>
      <c r="AF5457">
        <v>2.9738997549710402</v>
      </c>
      <c r="AG5457">
        <v>-1.154285</v>
      </c>
      <c r="AH5457">
        <v>6.4029164189689096</v>
      </c>
      <c r="AI5457">
        <v>99.285701193427002</v>
      </c>
      <c r="AJ5457">
        <v>65.087007942481605</v>
      </c>
      <c r="AK5457">
        <v>7.1535859736319303</v>
      </c>
      <c r="AL5457">
        <v>91.395658618993593</v>
      </c>
      <c r="AM5457">
        <v>79.575863441258704</v>
      </c>
      <c r="AN5457">
        <v>1.0000000283916699</v>
      </c>
    </row>
    <row r="5458" spans="1:40" x14ac:dyDescent="0.3">
      <c r="A5458" t="str">
        <f>"20200111160610629"</f>
        <v>20200111160610629</v>
      </c>
      <c r="B5458" t="str">
        <f>"1578729970617555"</f>
        <v>1578729970617555</v>
      </c>
      <c r="C5458" t="s">
        <v>40</v>
      </c>
      <c r="D5458">
        <v>5.4230229999999997</v>
      </c>
      <c r="E5458">
        <v>0.59946180000000004</v>
      </c>
      <c r="F5458" t="s">
        <v>44</v>
      </c>
      <c r="G5458">
        <v>-314.25560000000002</v>
      </c>
      <c r="H5458">
        <v>-0.05</v>
      </c>
      <c r="I5458">
        <v>13.47729</v>
      </c>
      <c r="J5458">
        <v>-320.3272</v>
      </c>
      <c r="K5458">
        <v>1.1038380000000001</v>
      </c>
      <c r="L5458">
        <v>17.467649999999999</v>
      </c>
      <c r="M5458">
        <v>0.98969779999999996</v>
      </c>
      <c r="N5458">
        <v>0</v>
      </c>
      <c r="O5458">
        <v>-0.14249319999999999</v>
      </c>
      <c r="P5458">
        <v>0.94595289999999999</v>
      </c>
      <c r="Q5458">
        <v>-3.5551010000000001E-2</v>
      </c>
      <c r="R5458">
        <v>-0.32235009999999997</v>
      </c>
      <c r="S5458">
        <v>2.5875849999999998</v>
      </c>
      <c r="T5458">
        <v>-0.48237150000000001</v>
      </c>
      <c r="U5458">
        <v>-1.6761170000000001</v>
      </c>
      <c r="V5458">
        <v>0.18393580000000001</v>
      </c>
      <c r="W5458">
        <v>-2.4403569999999999E-2</v>
      </c>
      <c r="X5458">
        <v>0.98263529999999999</v>
      </c>
      <c r="Y5458">
        <v>0.41525269999999997</v>
      </c>
      <c r="Z5458">
        <v>-1.1314950000000001E-2</v>
      </c>
      <c r="AA5458">
        <v>0.90963570000000005</v>
      </c>
      <c r="AB5458">
        <v>25</v>
      </c>
      <c r="AC5458">
        <v>6.0715999999999797</v>
      </c>
      <c r="AD5458">
        <v>-1.1538379999999999</v>
      </c>
      <c r="AE5458">
        <v>-3.9903599999999901</v>
      </c>
      <c r="AF5458">
        <v>3.00851064217651</v>
      </c>
      <c r="AG5458">
        <v>-1.1538379999999999</v>
      </c>
      <c r="AH5458">
        <v>6.4164575918871503</v>
      </c>
      <c r="AI5458">
        <v>99.2475350075227</v>
      </c>
      <c r="AJ5458">
        <v>64.879336882022898</v>
      </c>
      <c r="AK5458">
        <v>7.1800700862052604</v>
      </c>
      <c r="AL5458">
        <v>91.398360352865794</v>
      </c>
      <c r="AM5458">
        <v>79.397712690176903</v>
      </c>
      <c r="AN5458">
        <v>1.00000002277823</v>
      </c>
    </row>
    <row r="5459" spans="1:40" x14ac:dyDescent="0.3">
      <c r="A5459" t="str">
        <f>"20200111160610640"</f>
        <v>20200111160610640</v>
      </c>
      <c r="B5459" t="str">
        <f>"1578729970637075"</f>
        <v>1578729970637075</v>
      </c>
      <c r="C5459" t="s">
        <v>40</v>
      </c>
      <c r="D5459">
        <v>5.3811589999999896</v>
      </c>
      <c r="E5459">
        <v>0.59820839999999997</v>
      </c>
      <c r="F5459" t="s">
        <v>44</v>
      </c>
      <c r="G5459">
        <v>-314.137</v>
      </c>
      <c r="H5459">
        <v>-0.05</v>
      </c>
      <c r="I5459">
        <v>13.40924</v>
      </c>
      <c r="J5459">
        <v>-320.202</v>
      </c>
      <c r="K5459">
        <v>1.10334</v>
      </c>
      <c r="L5459">
        <v>17.445829999999901</v>
      </c>
      <c r="M5459">
        <v>0.98914800000000003</v>
      </c>
      <c r="N5459">
        <v>0</v>
      </c>
      <c r="O5459">
        <v>-0.1462292</v>
      </c>
      <c r="P5459">
        <v>0.94380679999999995</v>
      </c>
      <c r="Q5459">
        <v>-3.606028E-2</v>
      </c>
      <c r="R5459">
        <v>-0.3285247</v>
      </c>
      <c r="S5459">
        <v>2.577515</v>
      </c>
      <c r="T5459">
        <v>-0.48043669999999999</v>
      </c>
      <c r="U5459">
        <v>-1.6898500000000001</v>
      </c>
      <c r="V5459">
        <v>0.1866313</v>
      </c>
      <c r="W5459">
        <v>-2.47409E-2</v>
      </c>
      <c r="X5459">
        <v>0.98211839999999995</v>
      </c>
      <c r="Y5459">
        <v>0.41688269999999999</v>
      </c>
      <c r="Z5459">
        <v>-1.081963E-2</v>
      </c>
      <c r="AA5459">
        <v>0.90889589999999998</v>
      </c>
      <c r="AB5459">
        <v>25</v>
      </c>
      <c r="AC5459">
        <v>6.0649999999999897</v>
      </c>
      <c r="AD5459">
        <v>-1.15334</v>
      </c>
      <c r="AE5459">
        <v>-4.0365899999999897</v>
      </c>
      <c r="AF5459">
        <v>3.0302788019215501</v>
      </c>
      <c r="AG5459">
        <v>-1.15334</v>
      </c>
      <c r="AH5459">
        <v>6.4290026897616102</v>
      </c>
      <c r="AI5459">
        <v>99.217263268567606</v>
      </c>
      <c r="AJ5459">
        <v>64.763384622414094</v>
      </c>
      <c r="AK5459">
        <v>7.2003373780634199</v>
      </c>
      <c r="AL5459">
        <v>91.417693874432601</v>
      </c>
      <c r="AM5459">
        <v>79.240411073215398</v>
      </c>
      <c r="AN5459">
        <v>0.99999995294552801</v>
      </c>
    </row>
    <row r="5460" spans="1:40" x14ac:dyDescent="0.3">
      <c r="A5460" t="str">
        <f>"20200111160610651"</f>
        <v>20200111160610651</v>
      </c>
      <c r="B5460" t="str">
        <f>"1578729970647811"</f>
        <v>1578729970647811</v>
      </c>
      <c r="C5460" t="s">
        <v>40</v>
      </c>
      <c r="D5460">
        <v>5.3872730000000004</v>
      </c>
      <c r="E5460">
        <v>0.59751129999999997</v>
      </c>
      <c r="F5460" t="s">
        <v>44</v>
      </c>
      <c r="G5460">
        <v>-314.01609999999999</v>
      </c>
      <c r="H5460">
        <v>-0.05</v>
      </c>
      <c r="I5460">
        <v>13.35815</v>
      </c>
      <c r="J5460">
        <v>-320.08429999999998</v>
      </c>
      <c r="K5460">
        <v>1.1028309999999999</v>
      </c>
      <c r="L5460">
        <v>17.42474</v>
      </c>
      <c r="M5460">
        <v>0.98862209999999995</v>
      </c>
      <c r="N5460">
        <v>0</v>
      </c>
      <c r="O5460">
        <v>-0.14969930000000001</v>
      </c>
      <c r="P5460">
        <v>0.9418417</v>
      </c>
      <c r="Q5460">
        <v>-3.6493850000000001E-2</v>
      </c>
      <c r="R5460">
        <v>-0.33406960000000002</v>
      </c>
      <c r="S5460">
        <v>2.5693359999999998</v>
      </c>
      <c r="T5460">
        <v>-0.4790469</v>
      </c>
      <c r="U5460">
        <v>-1.697845</v>
      </c>
      <c r="V5460">
        <v>0.1889498</v>
      </c>
      <c r="W5460">
        <v>-2.4851430000000001E-2</v>
      </c>
      <c r="X5460">
        <v>0.98167219999999999</v>
      </c>
      <c r="Y5460">
        <v>0.41704289999999999</v>
      </c>
      <c r="Z5460">
        <v>-1.025651E-2</v>
      </c>
      <c r="AA5460">
        <v>0.90882890000000005</v>
      </c>
      <c r="AB5460">
        <v>25</v>
      </c>
      <c r="AC5460">
        <v>6.0681999999999903</v>
      </c>
      <c r="AD5460">
        <v>-1.1528309999999999</v>
      </c>
      <c r="AE5460">
        <v>-4.0665899999999997</v>
      </c>
      <c r="AF5460">
        <v>3.0366205349044102</v>
      </c>
      <c r="AG5460">
        <v>-1.1528309999999999</v>
      </c>
      <c r="AH5460">
        <v>6.4480391131442598</v>
      </c>
      <c r="AI5460">
        <v>99.187950188188907</v>
      </c>
      <c r="AJ5460">
        <v>64.782516275244305</v>
      </c>
      <c r="AK5460">
        <v>7.2199232677503202</v>
      </c>
      <c r="AL5460">
        <v>91.424028708757405</v>
      </c>
      <c r="AM5460">
        <v>79.105091566885505</v>
      </c>
      <c r="AN5460">
        <v>0.99999996437296101</v>
      </c>
    </row>
    <row r="5461" spans="1:40" x14ac:dyDescent="0.3">
      <c r="A5461" t="str">
        <f>"20200111160610662"</f>
        <v>20200111160610662</v>
      </c>
      <c r="B5461" t="str">
        <f>"1578729970657570"</f>
        <v>1578729970657570</v>
      </c>
      <c r="C5461" t="s">
        <v>40</v>
      </c>
      <c r="D5461">
        <v>5.3885079999999999</v>
      </c>
      <c r="E5461">
        <v>0.59667179999999997</v>
      </c>
      <c r="F5461" t="s">
        <v>44</v>
      </c>
      <c r="G5461">
        <v>-313.91480000000001</v>
      </c>
      <c r="H5461">
        <v>-0.05</v>
      </c>
      <c r="I5461">
        <v>13.30945</v>
      </c>
      <c r="J5461">
        <v>-319.95760000000001</v>
      </c>
      <c r="K5461">
        <v>1.10226</v>
      </c>
      <c r="L5461">
        <v>17.401669999999999</v>
      </c>
      <c r="M5461">
        <v>0.98804349999999996</v>
      </c>
      <c r="N5461">
        <v>0</v>
      </c>
      <c r="O5461">
        <v>-0.15341779999999999</v>
      </c>
      <c r="P5461">
        <v>0.93992540000000002</v>
      </c>
      <c r="Q5461">
        <v>-3.7260710000000002E-2</v>
      </c>
      <c r="R5461">
        <v>-0.33934150000000002</v>
      </c>
      <c r="S5461">
        <v>2.560791</v>
      </c>
      <c r="T5461">
        <v>-0.47850359999999997</v>
      </c>
      <c r="U5461">
        <v>-1.7081299999999999</v>
      </c>
      <c r="V5461">
        <v>0.19074450000000001</v>
      </c>
      <c r="W5461">
        <v>-2.5172799999999999E-2</v>
      </c>
      <c r="X5461">
        <v>0.98131690000000005</v>
      </c>
      <c r="Y5461">
        <v>0.41758879999999998</v>
      </c>
      <c r="Z5461">
        <v>-9.7032660000000003E-3</v>
      </c>
      <c r="AA5461">
        <v>0.90858430000000001</v>
      </c>
      <c r="AB5461">
        <v>25</v>
      </c>
      <c r="AC5461">
        <v>6.0427999999999997</v>
      </c>
      <c r="AD5461">
        <v>-1.1522600000000001</v>
      </c>
      <c r="AE5461">
        <v>-4.0922200000000002</v>
      </c>
      <c r="AF5461">
        <v>3.0407810885787701</v>
      </c>
      <c r="AG5461">
        <v>-1.1522600000000001</v>
      </c>
      <c r="AH5461">
        <v>6.43863579021966</v>
      </c>
      <c r="AI5461">
        <v>99.192008971233903</v>
      </c>
      <c r="AJ5461">
        <v>64.719991716033604</v>
      </c>
      <c r="AK5461">
        <v>7.2131881699672702</v>
      </c>
      <c r="AL5461">
        <v>91.442447570651694</v>
      </c>
      <c r="AM5461">
        <v>79.000235304788504</v>
      </c>
      <c r="AN5461">
        <v>0.99999999618284996</v>
      </c>
    </row>
    <row r="5462" spans="1:40" x14ac:dyDescent="0.3">
      <c r="A5462" t="str">
        <f>"20200111160610673"</f>
        <v>20200111160610673</v>
      </c>
      <c r="B5462" t="str">
        <f>"1578729970667330"</f>
        <v>1578729970667330</v>
      </c>
      <c r="C5462" t="s">
        <v>40</v>
      </c>
      <c r="D5462">
        <v>5.4430189999999996</v>
      </c>
      <c r="E5462">
        <v>0.59625950000000005</v>
      </c>
      <c r="F5462" t="s">
        <v>44</v>
      </c>
      <c r="G5462">
        <v>-313.83089999999999</v>
      </c>
      <c r="H5462">
        <v>-0.05</v>
      </c>
      <c r="I5462">
        <v>13.282360000000001</v>
      </c>
      <c r="J5462">
        <v>-319.84019999999998</v>
      </c>
      <c r="K5462">
        <v>1.101672</v>
      </c>
      <c r="L5462">
        <v>17.379490000000001</v>
      </c>
      <c r="M5462">
        <v>0.98749969999999998</v>
      </c>
      <c r="N5462">
        <v>0</v>
      </c>
      <c r="O5462">
        <v>-0.156809</v>
      </c>
      <c r="P5462">
        <v>0.93810749999999998</v>
      </c>
      <c r="Q5462">
        <v>-3.806636E-2</v>
      </c>
      <c r="R5462">
        <v>-0.34424589999999999</v>
      </c>
      <c r="S5462">
        <v>2.5530089999999999</v>
      </c>
      <c r="T5462">
        <v>-0.48014820000000002</v>
      </c>
      <c r="U5462">
        <v>-1.7165220000000001</v>
      </c>
      <c r="V5462">
        <v>0.192492</v>
      </c>
      <c r="W5462">
        <v>-2.5394150000000001E-2</v>
      </c>
      <c r="X5462">
        <v>0.98096989999999995</v>
      </c>
      <c r="Y5462">
        <v>0.41781879999999999</v>
      </c>
      <c r="Z5462">
        <v>-9.2173050000000003E-3</v>
      </c>
      <c r="AA5462">
        <v>0.90848359999999995</v>
      </c>
      <c r="AB5462">
        <v>25</v>
      </c>
      <c r="AC5462">
        <v>6.0092999999999899</v>
      </c>
      <c r="AD5462">
        <v>-1.151672</v>
      </c>
      <c r="AE5462">
        <v>-4.0971299999999999</v>
      </c>
      <c r="AF5462">
        <v>3.0280737699642502</v>
      </c>
      <c r="AG5462">
        <v>-1.151672</v>
      </c>
      <c r="AH5462">
        <v>6.4166009928654901</v>
      </c>
      <c r="AI5462">
        <v>99.219661645840702</v>
      </c>
      <c r="AJ5462">
        <v>64.736792868284297</v>
      </c>
      <c r="AK5462">
        <v>7.18806980027128</v>
      </c>
      <c r="AL5462">
        <v>91.455134057838293</v>
      </c>
      <c r="AM5462">
        <v>78.898123919246999</v>
      </c>
      <c r="AN5462">
        <v>0.99999998881211605</v>
      </c>
    </row>
    <row r="5463" spans="1:40" x14ac:dyDescent="0.3">
      <c r="A5463" t="str">
        <f>"20200111160610684"</f>
        <v>20200111160610684</v>
      </c>
      <c r="B5463" t="str">
        <f>"1578729970677090"</f>
        <v>1578729970677090</v>
      </c>
      <c r="C5463" t="s">
        <v>40</v>
      </c>
      <c r="D5463">
        <v>5.4672519999999896</v>
      </c>
      <c r="E5463">
        <v>0.59652240000000001</v>
      </c>
      <c r="F5463" t="s">
        <v>44</v>
      </c>
      <c r="G5463">
        <v>-313.73700000000002</v>
      </c>
      <c r="H5463">
        <v>-0.05</v>
      </c>
      <c r="I5463">
        <v>13.236050000000001</v>
      </c>
      <c r="J5463">
        <v>-319.71620000000001</v>
      </c>
      <c r="K5463">
        <v>1.10104</v>
      </c>
      <c r="L5463">
        <v>17.355869999999999</v>
      </c>
      <c r="M5463">
        <v>0.98691209999999996</v>
      </c>
      <c r="N5463">
        <v>0</v>
      </c>
      <c r="O5463">
        <v>-0.1603871</v>
      </c>
      <c r="P5463">
        <v>0.93643259999999995</v>
      </c>
      <c r="Q5463">
        <v>-3.885065E-2</v>
      </c>
      <c r="R5463">
        <v>-0.3486899</v>
      </c>
      <c r="S5463">
        <v>2.5445250000000001</v>
      </c>
      <c r="T5463">
        <v>-0.48015419999999998</v>
      </c>
      <c r="U5463">
        <v>-1.7274779999999901</v>
      </c>
      <c r="V5463">
        <v>0.19358059999999999</v>
      </c>
      <c r="W5463">
        <v>-2.5509500000000001E-2</v>
      </c>
      <c r="X5463">
        <v>0.98075270000000003</v>
      </c>
      <c r="Y5463">
        <v>0.41863919999999999</v>
      </c>
      <c r="Z5463">
        <v>-8.7170230000000008E-3</v>
      </c>
      <c r="AA5463">
        <v>0.90811090000000005</v>
      </c>
      <c r="AB5463">
        <v>24</v>
      </c>
      <c r="AC5463">
        <v>5.9791999999999899</v>
      </c>
      <c r="AD5463">
        <v>-1.1510400000000001</v>
      </c>
      <c r="AE5463">
        <v>-4.11981999999999</v>
      </c>
      <c r="AF5463">
        <v>3.0311790892991102</v>
      </c>
      <c r="AG5463">
        <v>-1.1510400000000001</v>
      </c>
      <c r="AH5463">
        <v>6.4017616126590404</v>
      </c>
      <c r="AI5463">
        <v>99.230145457746602</v>
      </c>
      <c r="AJ5463">
        <v>64.662847315740393</v>
      </c>
      <c r="AK5463">
        <v>7.1760359181318902</v>
      </c>
      <c r="AL5463">
        <v>91.461745220838793</v>
      </c>
      <c r="AM5463">
        <v>78.834501961647902</v>
      </c>
      <c r="AN5463">
        <v>1.00000002092195</v>
      </c>
    </row>
    <row r="5464" spans="1:40" x14ac:dyDescent="0.3">
      <c r="A5464" t="str">
        <f>"20200111160610695"</f>
        <v>20200111160610695</v>
      </c>
      <c r="B5464" t="str">
        <f>"1578729970687827"</f>
        <v>1578729970687827</v>
      </c>
      <c r="C5464" t="s">
        <v>40</v>
      </c>
      <c r="D5464">
        <v>5.3704090000000004</v>
      </c>
      <c r="E5464">
        <v>0.59652240000000001</v>
      </c>
      <c r="F5464" t="s">
        <v>44</v>
      </c>
      <c r="G5464">
        <v>-313.63690000000003</v>
      </c>
      <c r="H5464">
        <v>-0.05</v>
      </c>
      <c r="I5464">
        <v>13.17769</v>
      </c>
      <c r="J5464">
        <v>-319.59440000000001</v>
      </c>
      <c r="K5464">
        <v>1.1003769999999999</v>
      </c>
      <c r="L5464">
        <v>17.33173</v>
      </c>
      <c r="M5464">
        <v>0.98631139999999995</v>
      </c>
      <c r="N5464">
        <v>0</v>
      </c>
      <c r="O5464">
        <v>-0.16394539999999999</v>
      </c>
      <c r="P5464">
        <v>0.9348805</v>
      </c>
      <c r="Q5464">
        <v>-3.9951760000000003E-2</v>
      </c>
      <c r="R5464">
        <v>-0.35270759999999901</v>
      </c>
      <c r="S5464">
        <v>2.5349729999999999</v>
      </c>
      <c r="T5464">
        <v>-0.47996870000000003</v>
      </c>
      <c r="U5464">
        <v>-1.7422489999999999</v>
      </c>
      <c r="V5464">
        <v>0.1942499</v>
      </c>
      <c r="W5464">
        <v>-2.577788E-2</v>
      </c>
      <c r="X5464">
        <v>0.98061339999999997</v>
      </c>
      <c r="Y5464">
        <v>0.42057369999999999</v>
      </c>
      <c r="Z5464">
        <v>-8.3108509999999993E-3</v>
      </c>
      <c r="AA5464">
        <v>0.90722029999999998</v>
      </c>
      <c r="AB5464">
        <v>24</v>
      </c>
      <c r="AC5464">
        <v>5.95749999999998</v>
      </c>
      <c r="AD5464">
        <v>-1.150377</v>
      </c>
      <c r="AE5464">
        <v>-4.1540400000000002</v>
      </c>
      <c r="AF5464">
        <v>3.0445748003651198</v>
      </c>
      <c r="AG5464">
        <v>-1.150377</v>
      </c>
      <c r="AH5464">
        <v>6.3975040453051797</v>
      </c>
      <c r="AI5464">
        <v>99.222491152828795</v>
      </c>
      <c r="AJ5464">
        <v>64.550204006697896</v>
      </c>
      <c r="AK5464">
        <v>7.1778033524779401</v>
      </c>
      <c r="AL5464">
        <v>91.477127230819704</v>
      </c>
      <c r="AM5464">
        <v>78.795321202922693</v>
      </c>
      <c r="AN5464">
        <v>1.00000008150342</v>
      </c>
    </row>
    <row r="5465" spans="1:40" x14ac:dyDescent="0.3">
      <c r="A5465" t="str">
        <f>"20200111160610706"</f>
        <v>20200111160610706</v>
      </c>
      <c r="B5465" t="str">
        <f>"1578729970697587"</f>
        <v>1578729970697587</v>
      </c>
      <c r="C5465" t="s">
        <v>40</v>
      </c>
      <c r="D5465">
        <v>5.3613730000000004</v>
      </c>
      <c r="E5465">
        <v>0.6357024</v>
      </c>
      <c r="F5465" t="s">
        <v>44</v>
      </c>
      <c r="G5465">
        <v>-313.5564</v>
      </c>
      <c r="H5465">
        <v>-0.05</v>
      </c>
      <c r="I5465">
        <v>13.14035</v>
      </c>
      <c r="J5465">
        <v>-319.48219999999998</v>
      </c>
      <c r="K5465">
        <v>1.099761</v>
      </c>
      <c r="L5465">
        <v>17.309270000000001</v>
      </c>
      <c r="M5465">
        <v>0.98573699999999997</v>
      </c>
      <c r="N5465">
        <v>0</v>
      </c>
      <c r="O5465">
        <v>-0.1672708</v>
      </c>
      <c r="P5465">
        <v>0.93334220000000001</v>
      </c>
      <c r="Q5465">
        <v>-4.1333149999999999E-2</v>
      </c>
      <c r="R5465">
        <v>-0.35660120000000001</v>
      </c>
      <c r="S5465">
        <v>2.5267029999999999</v>
      </c>
      <c r="T5465">
        <v>-0.48139880000000002</v>
      </c>
      <c r="U5465">
        <v>-1.7539669999999901</v>
      </c>
      <c r="V5465">
        <v>0.19502330000000001</v>
      </c>
      <c r="W5465">
        <v>-2.636144E-2</v>
      </c>
      <c r="X5465">
        <v>0.98044430000000005</v>
      </c>
      <c r="Y5465">
        <v>0.42174850000000003</v>
      </c>
      <c r="Z5465">
        <v>-7.9026410000000002E-3</v>
      </c>
      <c r="AA5465">
        <v>0.9066784</v>
      </c>
      <c r="AB5465">
        <v>24</v>
      </c>
      <c r="AC5465">
        <v>5.9257999999999802</v>
      </c>
      <c r="AD5465">
        <v>-1.149761</v>
      </c>
      <c r="AE5465">
        <v>-4.16892</v>
      </c>
      <c r="AF5465">
        <v>3.04217118841171</v>
      </c>
      <c r="AG5465">
        <v>-1.149761</v>
      </c>
      <c r="AH5465">
        <v>6.3790996386269798</v>
      </c>
      <c r="AI5465">
        <v>99.240259741073004</v>
      </c>
      <c r="AJ5465">
        <v>64.503682521971896</v>
      </c>
      <c r="AK5465">
        <v>7.1602840792983997</v>
      </c>
      <c r="AL5465">
        <v>91.510574215387805</v>
      </c>
      <c r="AM5465">
        <v>78.749954848425602</v>
      </c>
      <c r="AN5465">
        <v>1.0000000192321199</v>
      </c>
    </row>
    <row r="5466" spans="1:40" x14ac:dyDescent="0.3">
      <c r="A5466" t="str">
        <f>"20200111160610717"</f>
        <v>20200111160610717</v>
      </c>
      <c r="B5466" t="str">
        <f>"1578729970707347"</f>
        <v>1578729970707347</v>
      </c>
      <c r="C5466" t="s">
        <v>40</v>
      </c>
      <c r="D5466">
        <v>5.4516609999999996</v>
      </c>
      <c r="E5466">
        <v>0.64113799999999999</v>
      </c>
      <c r="F5466" t="s">
        <v>44</v>
      </c>
      <c r="G5466">
        <v>-313.19330000000002</v>
      </c>
      <c r="H5466">
        <v>-0.05</v>
      </c>
      <c r="I5466">
        <v>11.927289999999999</v>
      </c>
      <c r="J5466">
        <v>-319.35939999999999</v>
      </c>
      <c r="K5466">
        <v>1.099078</v>
      </c>
      <c r="L5466">
        <v>17.283909999999999</v>
      </c>
      <c r="M5466">
        <v>0.98506539999999998</v>
      </c>
      <c r="N5466">
        <v>0</v>
      </c>
      <c r="O5466">
        <v>-0.17106589999999999</v>
      </c>
      <c r="P5466">
        <v>0.931697</v>
      </c>
      <c r="Q5466">
        <v>-4.3253399999999997E-2</v>
      </c>
      <c r="R5466">
        <v>-0.36065229999999998</v>
      </c>
      <c r="S5466">
        <v>2.407562</v>
      </c>
      <c r="T5466">
        <v>-0.44015939999999998</v>
      </c>
      <c r="U5466">
        <v>-2.0603639999999999</v>
      </c>
      <c r="V5466">
        <v>0.1955007</v>
      </c>
      <c r="W5466">
        <v>-2.728788E-2</v>
      </c>
      <c r="X5466">
        <v>0.98032390000000003</v>
      </c>
      <c r="Y5466">
        <v>0.50748289999999996</v>
      </c>
      <c r="Z5466">
        <v>-1.3485270000000001E-2</v>
      </c>
      <c r="AA5466">
        <v>0.86155630000000005</v>
      </c>
      <c r="AB5466">
        <v>24</v>
      </c>
      <c r="AC5466">
        <v>6.1660999999999699</v>
      </c>
      <c r="AD5466">
        <v>-1.149078</v>
      </c>
      <c r="AE5466">
        <v>-5.3566200000000004</v>
      </c>
      <c r="AF5466">
        <v>4.1406690008451799</v>
      </c>
      <c r="AG5466">
        <v>-1.149078</v>
      </c>
      <c r="AH5466">
        <v>6.8559933826658899</v>
      </c>
      <c r="AI5466">
        <v>98.164340784507104</v>
      </c>
      <c r="AJ5466">
        <v>58.870173116148301</v>
      </c>
      <c r="AK5466">
        <v>8.0913636235064104</v>
      </c>
      <c r="AL5466">
        <v>91.563674377227102</v>
      </c>
      <c r="AM5466">
        <v>78.721771114222804</v>
      </c>
      <c r="AN5466">
        <v>1.00000005050329</v>
      </c>
    </row>
    <row r="5467" spans="1:40" x14ac:dyDescent="0.3">
      <c r="A5467" t="str">
        <f>"20200111160610729"</f>
        <v>20200111160610729</v>
      </c>
      <c r="B5467" t="str">
        <f>"1578729970727843"</f>
        <v>1578729970727843</v>
      </c>
      <c r="C5467" t="s">
        <v>40</v>
      </c>
      <c r="D5467">
        <v>5.4126949999999896</v>
      </c>
      <c r="E5467">
        <v>0.64695219999999998</v>
      </c>
      <c r="F5467" t="s">
        <v>44</v>
      </c>
      <c r="G5467">
        <v>-313.1927</v>
      </c>
      <c r="H5467">
        <v>-0.05</v>
      </c>
      <c r="I5467">
        <v>11.817399999999999</v>
      </c>
      <c r="J5467">
        <v>-319.23439999999999</v>
      </c>
      <c r="K5467">
        <v>1.098357</v>
      </c>
      <c r="L5467">
        <v>17.257539999999999</v>
      </c>
      <c r="M5467">
        <v>0.98433599999999999</v>
      </c>
      <c r="N5467">
        <v>0</v>
      </c>
      <c r="O5467">
        <v>-0.17508940000000001</v>
      </c>
      <c r="P5467">
        <v>0.93002830000000003</v>
      </c>
      <c r="Q5467">
        <v>-4.5704929999999998E-2</v>
      </c>
      <c r="R5467">
        <v>-0.36463509999999999</v>
      </c>
      <c r="S5467">
        <v>2.3820190000000001</v>
      </c>
      <c r="T5467">
        <v>-0.44385390000000002</v>
      </c>
      <c r="U5467">
        <v>-2.111542</v>
      </c>
      <c r="V5467">
        <v>0.1956811</v>
      </c>
      <c r="W5467">
        <v>-2.869447E-2</v>
      </c>
      <c r="X5467">
        <v>0.98024770000000006</v>
      </c>
      <c r="Y5467">
        <v>0.51882309999999998</v>
      </c>
      <c r="Z5467">
        <v>-1.392324E-2</v>
      </c>
      <c r="AA5467">
        <v>0.85476830000000004</v>
      </c>
      <c r="AB5467">
        <v>24</v>
      </c>
      <c r="AC5467">
        <v>6.0416999999999899</v>
      </c>
      <c r="AD5467">
        <v>-1.1483570000000001</v>
      </c>
      <c r="AE5467">
        <v>-5.4401400000000004</v>
      </c>
      <c r="AF5467">
        <v>4.21393108129491</v>
      </c>
      <c r="AG5467">
        <v>-1.1483570000000001</v>
      </c>
      <c r="AH5467">
        <v>6.7660536073266098</v>
      </c>
      <c r="AI5467">
        <v>98.1980258791979</v>
      </c>
      <c r="AJ5467">
        <v>58.085148934572899</v>
      </c>
      <c r="AK5467">
        <v>8.0532863089902502</v>
      </c>
      <c r="AL5467">
        <v>91.644297708467604</v>
      </c>
      <c r="AM5467">
        <v>78.710776167415403</v>
      </c>
      <c r="AN5467">
        <v>1.0000000094305399</v>
      </c>
    </row>
    <row r="5468" spans="1:40" x14ac:dyDescent="0.3">
      <c r="A5468" t="str">
        <f>"20200111160610741"</f>
        <v>20200111160610741</v>
      </c>
      <c r="B5468" t="str">
        <f>"1578729970737603"</f>
        <v>1578729970737603</v>
      </c>
      <c r="C5468" t="s">
        <v>40</v>
      </c>
      <c r="D5468">
        <v>5.3461660000000002</v>
      </c>
      <c r="E5468">
        <v>0.64794529999999995</v>
      </c>
      <c r="F5468" t="s">
        <v>44</v>
      </c>
      <c r="G5468">
        <v>-313.03519999999997</v>
      </c>
      <c r="H5468">
        <v>-0.05</v>
      </c>
      <c r="I5468">
        <v>11.556430000000001</v>
      </c>
      <c r="J5468">
        <v>-319.108</v>
      </c>
      <c r="K5468">
        <v>1.0975969999999999</v>
      </c>
      <c r="L5468">
        <v>17.23038</v>
      </c>
      <c r="M5468">
        <v>0.98355049999999999</v>
      </c>
      <c r="N5468">
        <v>0</v>
      </c>
      <c r="O5468">
        <v>-0.1793168</v>
      </c>
      <c r="P5468">
        <v>0.9283034</v>
      </c>
      <c r="Q5468">
        <v>-4.8890509999999998E-2</v>
      </c>
      <c r="R5468">
        <v>-0.36859589999999998</v>
      </c>
      <c r="S5468">
        <v>2.3550719999999998</v>
      </c>
      <c r="T5468">
        <v>-0.43626280000000001</v>
      </c>
      <c r="U5468">
        <v>-2.1658629999999999</v>
      </c>
      <c r="V5468">
        <v>0.19563729999999999</v>
      </c>
      <c r="W5468">
        <v>-3.079256E-2</v>
      </c>
      <c r="X5468">
        <v>0.98019279999999998</v>
      </c>
      <c r="Y5468">
        <v>0.53078230000000004</v>
      </c>
      <c r="Z5468">
        <v>-1.4028250000000001E-2</v>
      </c>
      <c r="AA5468">
        <v>0.84739209999999998</v>
      </c>
      <c r="AB5468">
        <v>24</v>
      </c>
      <c r="AC5468">
        <v>6.0728000000000204</v>
      </c>
      <c r="AD5468">
        <v>-1.147597</v>
      </c>
      <c r="AE5468">
        <v>-5.6739499999999996</v>
      </c>
      <c r="AF5468">
        <v>4.4086677269291501</v>
      </c>
      <c r="AG5468">
        <v>-1.147597</v>
      </c>
      <c r="AH5468">
        <v>6.8611777409749903</v>
      </c>
      <c r="AI5468">
        <v>98.009760713198801</v>
      </c>
      <c r="AJ5468">
        <v>57.2771212668194</v>
      </c>
      <c r="AK5468">
        <v>8.2358417902559502</v>
      </c>
      <c r="AL5468">
        <v>91.764562604687001</v>
      </c>
      <c r="AM5468">
        <v>78.712622265841205</v>
      </c>
      <c r="AN5468">
        <v>1.00000003003724</v>
      </c>
    </row>
    <row r="5469" spans="1:40" x14ac:dyDescent="0.3">
      <c r="A5469" t="str">
        <f>"20200111160610752"</f>
        <v>20200111160610752</v>
      </c>
      <c r="B5469" t="str">
        <f>"1578729970747364"</f>
        <v>1578729970747364</v>
      </c>
      <c r="C5469" t="s">
        <v>40</v>
      </c>
      <c r="D5469">
        <v>5.3411960000000001</v>
      </c>
      <c r="E5469">
        <v>0.64872339999999995</v>
      </c>
      <c r="F5469" t="s">
        <v>44</v>
      </c>
      <c r="G5469">
        <v>-313.01909999999998</v>
      </c>
      <c r="H5469">
        <v>-0.05</v>
      </c>
      <c r="I5469">
        <v>11.55321</v>
      </c>
      <c r="J5469">
        <v>-318.99740000000003</v>
      </c>
      <c r="K5469">
        <v>1.0968789999999999</v>
      </c>
      <c r="L5469">
        <v>17.20581</v>
      </c>
      <c r="M5469">
        <v>0.98280749999999995</v>
      </c>
      <c r="N5469">
        <v>0</v>
      </c>
      <c r="O5469">
        <v>-0.1832299</v>
      </c>
      <c r="P5469">
        <v>0.92670110000000006</v>
      </c>
      <c r="Q5469">
        <v>-5.2013530000000002E-2</v>
      </c>
      <c r="R5469">
        <v>-0.37218250000000003</v>
      </c>
      <c r="S5469">
        <v>2.341583</v>
      </c>
      <c r="T5469">
        <v>-0.4413224</v>
      </c>
      <c r="U5469">
        <v>-2.1832280000000002</v>
      </c>
      <c r="V5469">
        <v>0.19551499999999999</v>
      </c>
      <c r="W5469">
        <v>-3.2997150000000003E-2</v>
      </c>
      <c r="X5469">
        <v>0.9801455</v>
      </c>
      <c r="Y5469">
        <v>0.53314680000000003</v>
      </c>
      <c r="Z5469">
        <v>-1.381892E-2</v>
      </c>
      <c r="AA5469">
        <v>0.84590989999999999</v>
      </c>
      <c r="AB5469">
        <v>24</v>
      </c>
      <c r="AC5469">
        <v>5.9783000000000399</v>
      </c>
      <c r="AD5469">
        <v>-1.146879</v>
      </c>
      <c r="AE5469">
        <v>-5.6525999999999996</v>
      </c>
      <c r="AF5469">
        <v>4.3761327688863103</v>
      </c>
      <c r="AG5469">
        <v>-1.146879</v>
      </c>
      <c r="AH5469">
        <v>6.7812603943332297</v>
      </c>
      <c r="AI5469">
        <v>98.087821042311404</v>
      </c>
      <c r="AJ5469">
        <v>57.164740715056098</v>
      </c>
      <c r="AK5469">
        <v>8.1517704817612504</v>
      </c>
      <c r="AL5469">
        <v>91.890940561983399</v>
      </c>
      <c r="AM5469">
        <v>78.718967011973305</v>
      </c>
      <c r="AN5469">
        <v>1.00000006415168</v>
      </c>
    </row>
    <row r="5470" spans="1:40" x14ac:dyDescent="0.3">
      <c r="A5470" t="str">
        <f>"20200111160610762"</f>
        <v>20200111160610762</v>
      </c>
      <c r="B5470" t="str">
        <f>"1578729970757123"</f>
        <v>1578729970757123</v>
      </c>
      <c r="C5470" t="s">
        <v>40</v>
      </c>
      <c r="D5470">
        <v>5.3064910000000003</v>
      </c>
      <c r="E5470">
        <v>0.64926249999999996</v>
      </c>
      <c r="F5470" t="s">
        <v>44</v>
      </c>
      <c r="G5470">
        <v>-312.99900000000002</v>
      </c>
      <c r="H5470">
        <v>-0.05</v>
      </c>
      <c r="I5470">
        <v>11.545260000000001</v>
      </c>
      <c r="J5470">
        <v>-318.88240000000002</v>
      </c>
      <c r="K5470">
        <v>1.096115</v>
      </c>
      <c r="L5470">
        <v>17.17999</v>
      </c>
      <c r="M5470">
        <v>0.98200600000000005</v>
      </c>
      <c r="N5470">
        <v>0</v>
      </c>
      <c r="O5470">
        <v>-0.1873571</v>
      </c>
      <c r="P5470">
        <v>0.92501520000000004</v>
      </c>
      <c r="Q5470">
        <v>-5.5640410000000001E-2</v>
      </c>
      <c r="R5470">
        <v>-0.37583440000000001</v>
      </c>
      <c r="S5470">
        <v>2.329437</v>
      </c>
      <c r="T5470">
        <v>-0.44538430000000001</v>
      </c>
      <c r="U5470">
        <v>-2.198242</v>
      </c>
      <c r="V5470">
        <v>0.19525090000000001</v>
      </c>
      <c r="W5470">
        <v>-3.5679540000000003E-2</v>
      </c>
      <c r="X5470">
        <v>0.98010410000000003</v>
      </c>
      <c r="Y5470">
        <v>0.53464460000000003</v>
      </c>
      <c r="Z5470">
        <v>-1.3465919999999999E-2</v>
      </c>
      <c r="AA5470">
        <v>0.84496970000000005</v>
      </c>
      <c r="AB5470">
        <v>24</v>
      </c>
      <c r="AC5470">
        <v>5.8833999999999902</v>
      </c>
      <c r="AD5470">
        <v>-1.146115</v>
      </c>
      <c r="AE5470">
        <v>-5.6347299999999896</v>
      </c>
      <c r="AF5470">
        <v>4.3462593371810501</v>
      </c>
      <c r="AG5470">
        <v>-1.146115</v>
      </c>
      <c r="AH5470">
        <v>6.7024950652772901</v>
      </c>
      <c r="AI5470">
        <v>98.164717490864703</v>
      </c>
      <c r="AJ5470">
        <v>57.038448975463403</v>
      </c>
      <c r="AK5470">
        <v>8.0701294859082005</v>
      </c>
      <c r="AL5470">
        <v>92.044721055134701</v>
      </c>
      <c r="AM5470">
        <v>78.733351608710393</v>
      </c>
      <c r="AN5470">
        <v>0.99999999518111504</v>
      </c>
    </row>
    <row r="5471" spans="1:40" x14ac:dyDescent="0.3">
      <c r="A5471" t="str">
        <f>"20200111160610774"</f>
        <v>20200111160610774</v>
      </c>
      <c r="B5471" t="str">
        <f>"1578729970767859"</f>
        <v>1578729970767859</v>
      </c>
      <c r="C5471" t="s">
        <v>40</v>
      </c>
      <c r="D5471">
        <v>5.3369989999999996</v>
      </c>
      <c r="E5471">
        <v>0.64934130000000001</v>
      </c>
      <c r="F5471" t="s">
        <v>44</v>
      </c>
      <c r="G5471">
        <v>-313.00049999999999</v>
      </c>
      <c r="H5471">
        <v>-0.05</v>
      </c>
      <c r="I5471">
        <v>11.56819</v>
      </c>
      <c r="J5471">
        <v>-318.75760000000002</v>
      </c>
      <c r="K5471">
        <v>1.0952309999999901</v>
      </c>
      <c r="L5471">
        <v>17.151</v>
      </c>
      <c r="M5471">
        <v>0.98102780000000001</v>
      </c>
      <c r="N5471">
        <v>0</v>
      </c>
      <c r="O5471">
        <v>-0.19230359999999999</v>
      </c>
      <c r="P5471">
        <v>0.92312749999999999</v>
      </c>
      <c r="Q5471">
        <v>-5.9120180000000001E-2</v>
      </c>
      <c r="R5471">
        <v>-0.37992169999999997</v>
      </c>
      <c r="S5471">
        <v>2.317596</v>
      </c>
      <c r="T5471">
        <v>-0.45159670000000002</v>
      </c>
      <c r="U5471">
        <v>-2.211182</v>
      </c>
      <c r="V5471">
        <v>0.194637</v>
      </c>
      <c r="W5471">
        <v>-3.8315399999999999E-2</v>
      </c>
      <c r="X5471">
        <v>0.98012670000000002</v>
      </c>
      <c r="Y5471">
        <v>0.53496589999999999</v>
      </c>
      <c r="Z5471">
        <v>-1.2944809999999999E-2</v>
      </c>
      <c r="AA5471">
        <v>0.84477449999999998</v>
      </c>
      <c r="AB5471">
        <v>24</v>
      </c>
      <c r="AC5471">
        <v>5.7571000000000296</v>
      </c>
      <c r="AD5471">
        <v>-1.1452310000000001</v>
      </c>
      <c r="AE5471">
        <v>-5.5828100000000003</v>
      </c>
      <c r="AF5471">
        <v>4.2837395786247097</v>
      </c>
      <c r="AG5471">
        <v>-1.1452310000000001</v>
      </c>
      <c r="AH5471">
        <v>6.5891235722126797</v>
      </c>
      <c r="AI5471">
        <v>98.290706925571499</v>
      </c>
      <c r="AJ5471">
        <v>56.9711858688609</v>
      </c>
      <c r="AK5471">
        <v>7.9421992087032001</v>
      </c>
      <c r="AL5471">
        <v>92.195848232741398</v>
      </c>
      <c r="AM5471">
        <v>78.768126162233301</v>
      </c>
      <c r="AN5471">
        <v>0.99999998984952498</v>
      </c>
    </row>
    <row r="5472" spans="1:40" x14ac:dyDescent="0.3">
      <c r="A5472" t="str">
        <f>"20200111160610786"</f>
        <v>20200111160610786</v>
      </c>
      <c r="B5472" t="str">
        <f>"1578729970777620"</f>
        <v>1578729970777620</v>
      </c>
      <c r="C5472" t="s">
        <v>40</v>
      </c>
      <c r="D5472">
        <v>5.3541299999999996</v>
      </c>
      <c r="E5472">
        <v>0.64929269999999994</v>
      </c>
      <c r="F5472" t="s">
        <v>44</v>
      </c>
      <c r="G5472">
        <v>-313.00740000000002</v>
      </c>
      <c r="H5472">
        <v>-0.05</v>
      </c>
      <c r="I5472">
        <v>11.610950000000001</v>
      </c>
      <c r="J5472">
        <v>-318.63569999999999</v>
      </c>
      <c r="K5472">
        <v>1.094344</v>
      </c>
      <c r="L5472">
        <v>17.12228</v>
      </c>
      <c r="M5472">
        <v>0.98003050000000003</v>
      </c>
      <c r="N5472">
        <v>0</v>
      </c>
      <c r="O5472">
        <v>-0.1972216</v>
      </c>
      <c r="P5472">
        <v>0.92123880000000002</v>
      </c>
      <c r="Q5472">
        <v>-6.208665E-2</v>
      </c>
      <c r="R5472">
        <v>-0.38401069999999998</v>
      </c>
      <c r="S5472">
        <v>2.3060610000000001</v>
      </c>
      <c r="T5472">
        <v>-0.45928229999999998</v>
      </c>
      <c r="U5472">
        <v>-2.2217709999999999</v>
      </c>
      <c r="V5472">
        <v>0.1940598</v>
      </c>
      <c r="W5472">
        <v>-4.0513880000000002E-2</v>
      </c>
      <c r="X5472">
        <v>0.98015269999999999</v>
      </c>
      <c r="Y5472">
        <v>0.53478729999999997</v>
      </c>
      <c r="Z5472">
        <v>-1.2407359999999999E-2</v>
      </c>
      <c r="AA5472">
        <v>0.84489570000000003</v>
      </c>
      <c r="AB5472">
        <v>24</v>
      </c>
      <c r="AC5472">
        <v>5.6282999999999603</v>
      </c>
      <c r="AD5472">
        <v>-1.144344</v>
      </c>
      <c r="AE5472">
        <v>-5.5113299999999903</v>
      </c>
      <c r="AF5472">
        <v>4.2039141559167001</v>
      </c>
      <c r="AG5472">
        <v>-1.144344</v>
      </c>
      <c r="AH5472">
        <v>6.4684783589049202</v>
      </c>
      <c r="AI5472">
        <v>98.437502119413494</v>
      </c>
      <c r="AJ5472">
        <v>56.979848642530598</v>
      </c>
      <c r="AK5472">
        <v>7.79895055121355</v>
      </c>
      <c r="AL5472">
        <v>92.321909939674597</v>
      </c>
      <c r="AM5472">
        <v>78.800880931155305</v>
      </c>
      <c r="AN5472">
        <v>0.99999994788298996</v>
      </c>
    </row>
    <row r="5473" spans="1:40" x14ac:dyDescent="0.3">
      <c r="A5473" t="str">
        <f>"20200111160610796"</f>
        <v>20200111160610796</v>
      </c>
      <c r="B5473" t="str">
        <f>"1578729970787379"</f>
        <v>1578729970787379</v>
      </c>
      <c r="C5473" t="s">
        <v>40</v>
      </c>
      <c r="D5473">
        <v>5.3960400000000002</v>
      </c>
      <c r="E5473">
        <v>0.64912969999999903</v>
      </c>
      <c r="F5473" t="s">
        <v>44</v>
      </c>
      <c r="G5473">
        <v>-312.98860000000002</v>
      </c>
      <c r="H5473">
        <v>-0.05</v>
      </c>
      <c r="I5473">
        <v>11.631130000000001</v>
      </c>
      <c r="J5473">
        <v>-318.52429999999998</v>
      </c>
      <c r="K5473">
        <v>1.0934469999999901</v>
      </c>
      <c r="L5473">
        <v>17.095179999999999</v>
      </c>
      <c r="M5473">
        <v>0.97906729999999997</v>
      </c>
      <c r="N5473">
        <v>0</v>
      </c>
      <c r="O5473">
        <v>-0.20187140000000001</v>
      </c>
      <c r="P5473">
        <v>0.91943660000000005</v>
      </c>
      <c r="Q5473">
        <v>-6.435747E-2</v>
      </c>
      <c r="R5473">
        <v>-0.3879358</v>
      </c>
      <c r="S5473">
        <v>2.2948909999999998</v>
      </c>
      <c r="T5473">
        <v>-0.46504879999999998</v>
      </c>
      <c r="U5473">
        <v>-2.2315369999999999</v>
      </c>
      <c r="V5473">
        <v>0.19357730000000001</v>
      </c>
      <c r="W5473">
        <v>-4.2228439999999999E-2</v>
      </c>
      <c r="X5473">
        <v>0.98017580000000004</v>
      </c>
      <c r="Y5473">
        <v>0.53464100000000003</v>
      </c>
      <c r="Z5473">
        <v>-1.184003E-2</v>
      </c>
      <c r="AA5473">
        <v>0.84499629999999903</v>
      </c>
      <c r="AB5473">
        <v>24</v>
      </c>
      <c r="AC5473">
        <v>5.5356999999999603</v>
      </c>
      <c r="AD5473">
        <v>-1.1434470000000001</v>
      </c>
      <c r="AE5473">
        <v>-5.4640499999999896</v>
      </c>
      <c r="AF5473">
        <v>4.1440449854894599</v>
      </c>
      <c r="AG5473">
        <v>-1.1434470000000001</v>
      </c>
      <c r="AH5473">
        <v>6.3870302638587297</v>
      </c>
      <c r="AI5473">
        <v>98.541094552594998</v>
      </c>
      <c r="AJ5473">
        <v>57.023610565384097</v>
      </c>
      <c r="AK5473">
        <v>7.69900873327318</v>
      </c>
      <c r="AL5473">
        <v>92.420231046983403</v>
      </c>
      <c r="AM5473">
        <v>78.828281226502597</v>
      </c>
      <c r="AN5473">
        <v>1.0000000055628799</v>
      </c>
    </row>
    <row r="5474" spans="1:40" x14ac:dyDescent="0.3">
      <c r="A5474" t="str">
        <f>"20200111160610806"</f>
        <v>20200111160610806</v>
      </c>
      <c r="B5474" t="str">
        <f>"1578729970798115"</f>
        <v>1578729970798115</v>
      </c>
      <c r="C5474" t="s">
        <v>40</v>
      </c>
      <c r="D5474">
        <v>5.4393929999999999</v>
      </c>
      <c r="E5474">
        <v>0.6490435</v>
      </c>
      <c r="F5474" t="s">
        <v>44</v>
      </c>
      <c r="G5474">
        <v>-312.964</v>
      </c>
      <c r="H5474">
        <v>-0.05</v>
      </c>
      <c r="I5474">
        <v>11.64418</v>
      </c>
      <c r="J5474">
        <v>-318.41840000000002</v>
      </c>
      <c r="K5474">
        <v>1.092568</v>
      </c>
      <c r="L5474">
        <v>17.069089999999999</v>
      </c>
      <c r="M5474">
        <v>0.97814049999999997</v>
      </c>
      <c r="N5474">
        <v>0</v>
      </c>
      <c r="O5474">
        <v>-0.2062456</v>
      </c>
      <c r="P5474">
        <v>0.91766530000000002</v>
      </c>
      <c r="Q5474">
        <v>-6.5715869999999996E-2</v>
      </c>
      <c r="R5474">
        <v>-0.39188230000000002</v>
      </c>
      <c r="S5474">
        <v>2.2848820000000001</v>
      </c>
      <c r="T5474">
        <v>-0.46987250000000003</v>
      </c>
      <c r="U5474">
        <v>-2.23996</v>
      </c>
      <c r="V5474">
        <v>0.19339719999999999</v>
      </c>
      <c r="W5474">
        <v>-4.3105730000000002E-2</v>
      </c>
      <c r="X5474">
        <v>0.98017319999999997</v>
      </c>
      <c r="Y5474">
        <v>0.534278699999999</v>
      </c>
      <c r="Z5474">
        <v>-1.1254200000000001E-2</v>
      </c>
      <c r="AA5474">
        <v>0.84523340000000002</v>
      </c>
      <c r="AB5474">
        <v>24</v>
      </c>
      <c r="AC5474">
        <v>5.4544000000000201</v>
      </c>
      <c r="AD5474">
        <v>-1.142568</v>
      </c>
      <c r="AE5474">
        <v>-5.4249099999999899</v>
      </c>
      <c r="AF5474">
        <v>4.09257207850876</v>
      </c>
      <c r="AG5474">
        <v>-1.142568</v>
      </c>
      <c r="AH5474">
        <v>6.3169595275269899</v>
      </c>
      <c r="AI5474">
        <v>98.631569642478496</v>
      </c>
      <c r="AJ5474">
        <v>57.061986167680899</v>
      </c>
      <c r="AK5474">
        <v>7.6130536268193696</v>
      </c>
      <c r="AL5474">
        <v>92.470541789785699</v>
      </c>
      <c r="AM5474">
        <v>78.838385189640604</v>
      </c>
      <c r="AN5474">
        <v>1.0000000414624499</v>
      </c>
    </row>
    <row r="5475" spans="1:40" x14ac:dyDescent="0.3">
      <c r="A5475" t="str">
        <f>"20200111160610817"</f>
        <v>20200111160610817</v>
      </c>
      <c r="B5475" t="str">
        <f>"1578729970807875"</f>
        <v>1578729970807875</v>
      </c>
      <c r="C5475" t="s">
        <v>40</v>
      </c>
      <c r="D5475">
        <v>5.4159759999999997</v>
      </c>
      <c r="E5475">
        <v>0.64876540000000005</v>
      </c>
      <c r="F5475" t="s">
        <v>44</v>
      </c>
      <c r="G5475">
        <v>-312.92829999999998</v>
      </c>
      <c r="H5475">
        <v>-0.05</v>
      </c>
      <c r="I5475">
        <v>11.64166</v>
      </c>
      <c r="J5475">
        <v>-318.29640000000001</v>
      </c>
      <c r="K5475">
        <v>1.0914469999999901</v>
      </c>
      <c r="L5475">
        <v>17.03809</v>
      </c>
      <c r="M5475">
        <v>0.97707869999999997</v>
      </c>
      <c r="N5475">
        <v>0</v>
      </c>
      <c r="O5475">
        <v>-0.21115100000000001</v>
      </c>
      <c r="P5475">
        <v>0.91557529999999998</v>
      </c>
      <c r="Q5475">
        <v>-6.6508949999999997E-2</v>
      </c>
      <c r="R5475">
        <v>-0.3966095</v>
      </c>
      <c r="S5475">
        <v>2.274902</v>
      </c>
      <c r="T5475">
        <v>-0.47343869999999999</v>
      </c>
      <c r="U5475">
        <v>-2.2489319999999999</v>
      </c>
      <c r="V5475">
        <v>0.19351460000000001</v>
      </c>
      <c r="W5475">
        <v>-4.3480810000000002E-2</v>
      </c>
      <c r="X5475">
        <v>0.98013340000000004</v>
      </c>
      <c r="Y5475">
        <v>0.53358349999999999</v>
      </c>
      <c r="Z5475">
        <v>-1.050919E-2</v>
      </c>
      <c r="AA5475">
        <v>0.84568209999999999</v>
      </c>
      <c r="AB5475">
        <v>24</v>
      </c>
      <c r="AC5475">
        <v>5.3681000000000196</v>
      </c>
      <c r="AD5475">
        <v>-1.1414470000000001</v>
      </c>
      <c r="AE5475">
        <v>-5.3964299999999996</v>
      </c>
      <c r="AF5475">
        <v>4.0497046616844701</v>
      </c>
      <c r="AG5475">
        <v>-1.1414470000000001</v>
      </c>
      <c r="AH5475">
        <v>6.2463892795791196</v>
      </c>
      <c r="AI5475">
        <v>98.717373173725207</v>
      </c>
      <c r="AJ5475">
        <v>57.043557564012197</v>
      </c>
      <c r="AK5475">
        <v>7.5312939215462196</v>
      </c>
      <c r="AL5475">
        <v>92.492052607720495</v>
      </c>
      <c r="AM5475">
        <v>78.831337803946994</v>
      </c>
      <c r="AN5475">
        <v>0.99999998152348701</v>
      </c>
    </row>
    <row r="5476" spans="1:40" x14ac:dyDescent="0.3">
      <c r="A5476" t="str">
        <f>"20200111160610829"</f>
        <v>20200111160610829</v>
      </c>
      <c r="B5476" t="str">
        <f>"1578729970827396"</f>
        <v>1578729970827396</v>
      </c>
      <c r="C5476" t="s">
        <v>40</v>
      </c>
      <c r="D5476">
        <v>5.4769329999999998</v>
      </c>
      <c r="E5476">
        <v>0.64808669999999902</v>
      </c>
      <c r="F5476" t="s">
        <v>44</v>
      </c>
      <c r="G5476">
        <v>-312.88200000000001</v>
      </c>
      <c r="H5476">
        <v>-0.05</v>
      </c>
      <c r="I5476">
        <v>11.635999999999999</v>
      </c>
      <c r="J5476">
        <v>-318.17689999999999</v>
      </c>
      <c r="K5476">
        <v>1.0903050000000001</v>
      </c>
      <c r="L5476">
        <v>17.007169999999999</v>
      </c>
      <c r="M5476">
        <v>0.97604230000000003</v>
      </c>
      <c r="N5476">
        <v>0</v>
      </c>
      <c r="O5476">
        <v>-0.21583179999999999</v>
      </c>
      <c r="P5476">
        <v>0.91343799999999997</v>
      </c>
      <c r="Q5476">
        <v>-6.6879939999999999E-2</v>
      </c>
      <c r="R5476">
        <v>-0.401445</v>
      </c>
      <c r="S5476">
        <v>2.2636409999999998</v>
      </c>
      <c r="T5476">
        <v>-0.4772187</v>
      </c>
      <c r="U5476">
        <v>-2.2585139999999999</v>
      </c>
      <c r="V5476">
        <v>0.1939785</v>
      </c>
      <c r="W5476">
        <v>-4.3514850000000001E-2</v>
      </c>
      <c r="X5476">
        <v>0.98004020000000003</v>
      </c>
      <c r="Y5476">
        <v>0.53342149999999999</v>
      </c>
      <c r="Z5476">
        <v>-9.8411550000000007E-3</v>
      </c>
      <c r="AA5476">
        <v>0.8457924</v>
      </c>
      <c r="AB5476">
        <v>24</v>
      </c>
      <c r="AC5476">
        <v>5.2948999999999797</v>
      </c>
      <c r="AD5476">
        <v>-1.1403049999999999</v>
      </c>
      <c r="AE5476">
        <v>-5.3711700000000002</v>
      </c>
      <c r="AF5476">
        <v>4.0095844508005198</v>
      </c>
      <c r="AG5476">
        <v>-1.1403049999999999</v>
      </c>
      <c r="AH5476">
        <v>6.1882630631033999</v>
      </c>
      <c r="AI5476">
        <v>98.790869496435803</v>
      </c>
      <c r="AJ5476">
        <v>57.059436197634199</v>
      </c>
      <c r="AK5476">
        <v>7.4613445637697398</v>
      </c>
      <c r="AL5476">
        <v>92.494004764869601</v>
      </c>
      <c r="AM5476">
        <v>78.804201629953596</v>
      </c>
      <c r="AN5476">
        <v>0.99999999712440601</v>
      </c>
    </row>
    <row r="5477" spans="1:40" x14ac:dyDescent="0.3">
      <c r="A5477" t="str">
        <f>"20200111160610841"</f>
        <v>20200111160610841</v>
      </c>
      <c r="B5477" t="str">
        <f>"1578729970837156"</f>
        <v>1578729970837156</v>
      </c>
      <c r="C5477" t="s">
        <v>40</v>
      </c>
      <c r="D5477">
        <v>5.4507099999999999</v>
      </c>
      <c r="E5477">
        <v>0.64786029999999994</v>
      </c>
      <c r="F5477" t="s">
        <v>44</v>
      </c>
      <c r="G5477">
        <v>-312.81349999999998</v>
      </c>
      <c r="H5477">
        <v>-0.05</v>
      </c>
      <c r="I5477">
        <v>11.61523</v>
      </c>
      <c r="J5477">
        <v>-318.0575</v>
      </c>
      <c r="K5477">
        <v>1.0891230000000001</v>
      </c>
      <c r="L5477">
        <v>16.975519999999999</v>
      </c>
      <c r="M5477">
        <v>0.97501110000000002</v>
      </c>
      <c r="N5477">
        <v>0</v>
      </c>
      <c r="O5477">
        <v>-0.22039159999999999</v>
      </c>
      <c r="P5477">
        <v>0.91135600000000005</v>
      </c>
      <c r="Q5477">
        <v>-6.6394549999999997E-2</v>
      </c>
      <c r="R5477">
        <v>-0.40622950000000002</v>
      </c>
      <c r="S5477">
        <v>2.2535400000000001</v>
      </c>
      <c r="T5477">
        <v>-0.47911599999999999</v>
      </c>
      <c r="U5477">
        <v>-2.2655029999999998</v>
      </c>
      <c r="V5477">
        <v>0.19451550000000001</v>
      </c>
      <c r="W5477">
        <v>-4.2758110000000002E-2</v>
      </c>
      <c r="X5477">
        <v>0.97996709999999998</v>
      </c>
      <c r="Y5477">
        <v>0.53269309999999903</v>
      </c>
      <c r="Z5477">
        <v>-9.0934339999999992E-3</v>
      </c>
      <c r="AA5477">
        <v>0.84625969999999995</v>
      </c>
      <c r="AB5477">
        <v>24</v>
      </c>
      <c r="AC5477">
        <v>5.2440000000000202</v>
      </c>
      <c r="AD5477">
        <v>-1.1391229999999899</v>
      </c>
      <c r="AE5477">
        <v>-5.3602899999999902</v>
      </c>
      <c r="AF5477">
        <v>3.9803494467734599</v>
      </c>
      <c r="AG5477">
        <v>-1.1391229999999899</v>
      </c>
      <c r="AH5477">
        <v>6.1547545720531804</v>
      </c>
      <c r="AI5477">
        <v>98.833806628381893</v>
      </c>
      <c r="AJ5477">
        <v>57.108793810326702</v>
      </c>
      <c r="AK5477">
        <v>7.4176672053798898</v>
      </c>
      <c r="AL5477">
        <v>92.450606288015294</v>
      </c>
      <c r="AM5477">
        <v>78.773177738711098</v>
      </c>
      <c r="AN5477">
        <v>1.0000000263967099</v>
      </c>
    </row>
    <row r="5478" spans="1:40" x14ac:dyDescent="0.3">
      <c r="A5478" t="str">
        <f>"20200111160610851"</f>
        <v>20200111160610851</v>
      </c>
      <c r="B5478" t="str">
        <f>"1578729970847891"</f>
        <v>1578729970847891</v>
      </c>
      <c r="C5478" t="s">
        <v>40</v>
      </c>
      <c r="D5478">
        <v>5.4764309999999998</v>
      </c>
      <c r="E5478">
        <v>0.64758249999999995</v>
      </c>
      <c r="F5478" t="s">
        <v>44</v>
      </c>
      <c r="G5478">
        <v>-312.702</v>
      </c>
      <c r="H5478">
        <v>-0.05</v>
      </c>
      <c r="I5478">
        <v>11.54172</v>
      </c>
      <c r="J5478">
        <v>-317.9502</v>
      </c>
      <c r="K5478">
        <v>1.088036</v>
      </c>
      <c r="L5478">
        <v>16.946259999999999</v>
      </c>
      <c r="M5478">
        <v>0.97407809999999995</v>
      </c>
      <c r="N5478">
        <v>0</v>
      </c>
      <c r="O5478">
        <v>-0.22444320000000001</v>
      </c>
      <c r="P5478">
        <v>0.90943350000000001</v>
      </c>
      <c r="Q5478">
        <v>-6.5498249999999994E-2</v>
      </c>
      <c r="R5478">
        <v>-0.41065940000000001</v>
      </c>
      <c r="S5478">
        <v>2.2427980000000001</v>
      </c>
      <c r="T5478">
        <v>-0.47704360000000001</v>
      </c>
      <c r="U5478">
        <v>-2.2755740000000002</v>
      </c>
      <c r="V5478">
        <v>0.19519320000000001</v>
      </c>
      <c r="W5478">
        <v>-4.1695709999999997E-2</v>
      </c>
      <c r="X5478">
        <v>0.97987809999999997</v>
      </c>
      <c r="Y5478">
        <v>0.53313880000000002</v>
      </c>
      <c r="Z5478">
        <v>-8.4545279999999993E-3</v>
      </c>
      <c r="AA5478">
        <v>0.84598549999999995</v>
      </c>
      <c r="AB5478">
        <v>24</v>
      </c>
      <c r="AC5478">
        <v>5.24819999999999</v>
      </c>
      <c r="AD5478">
        <v>-1.138036</v>
      </c>
      <c r="AE5478">
        <v>-5.4045399999999999</v>
      </c>
      <c r="AF5478">
        <v>3.99693864410066</v>
      </c>
      <c r="AG5478">
        <v>-1.138036</v>
      </c>
      <c r="AH5478">
        <v>6.1865118500275598</v>
      </c>
      <c r="AI5478">
        <v>98.783429204103101</v>
      </c>
      <c r="AJ5478">
        <v>57.134586537762701</v>
      </c>
      <c r="AK5478">
        <v>7.4527560896981297</v>
      </c>
      <c r="AL5478">
        <v>92.389680961017604</v>
      </c>
      <c r="AM5478">
        <v>78.734064599769397</v>
      </c>
      <c r="AN5478">
        <v>1.0000000042091199</v>
      </c>
    </row>
    <row r="5479" spans="1:40" x14ac:dyDescent="0.3">
      <c r="A5479" t="str">
        <f>"20200111160610874"</f>
        <v>20200111160610874</v>
      </c>
      <c r="B5479" t="str">
        <f>"1578729970867410"</f>
        <v>1578729970867410</v>
      </c>
      <c r="C5479" t="s">
        <v>40</v>
      </c>
      <c r="D5479">
        <v>5.304843</v>
      </c>
      <c r="E5479">
        <v>0.64758249999999995</v>
      </c>
      <c r="F5479" t="s">
        <v>44</v>
      </c>
      <c r="G5479">
        <v>-312.58620000000002</v>
      </c>
      <c r="H5479">
        <v>-0.05</v>
      </c>
      <c r="I5479">
        <v>11.458690000000001</v>
      </c>
      <c r="J5479">
        <v>-317.70890000000003</v>
      </c>
      <c r="K5479">
        <v>1.0855570000000001</v>
      </c>
      <c r="L5479">
        <v>16.878689999999999</v>
      </c>
      <c r="M5479">
        <v>0.97190589999999999</v>
      </c>
      <c r="N5479">
        <v>0</v>
      </c>
      <c r="O5479">
        <v>-0.23361660000000001</v>
      </c>
      <c r="P5479">
        <v>0.90507249999999995</v>
      </c>
      <c r="Q5479">
        <v>-6.2815319999999994E-2</v>
      </c>
      <c r="R5479">
        <v>-0.42059259999999898</v>
      </c>
      <c r="S5479">
        <v>2.2330320000000001</v>
      </c>
      <c r="T5479">
        <v>-0.47376629999999997</v>
      </c>
      <c r="U5479">
        <v>-2.2844850000000001</v>
      </c>
      <c r="V5479">
        <v>0.19665740000000001</v>
      </c>
      <c r="W5479">
        <v>-3.8814830000000002E-2</v>
      </c>
      <c r="X5479">
        <v>0.97970369999999996</v>
      </c>
      <c r="Y5479">
        <v>0.52884889999999996</v>
      </c>
      <c r="Z5479">
        <v>-6.5573419999999999E-3</v>
      </c>
      <c r="AA5479">
        <v>0.84869069999999902</v>
      </c>
      <c r="AB5479">
        <v>24</v>
      </c>
      <c r="AC5479">
        <v>5.1227</v>
      </c>
      <c r="AD5479">
        <v>-1.1355569999999999</v>
      </c>
      <c r="AE5479">
        <v>-5.42</v>
      </c>
      <c r="AF5479">
        <v>3.9803736150090301</v>
      </c>
      <c r="AG5479">
        <v>-1.1355569999999999</v>
      </c>
      <c r="AH5479">
        <v>6.1059885517927199</v>
      </c>
      <c r="AI5479">
        <v>98.855207937118294</v>
      </c>
      <c r="AJ5479">
        <v>56.900462574162297</v>
      </c>
      <c r="AK5479">
        <v>7.3767174278220002</v>
      </c>
      <c r="AL5479">
        <v>92.224484673936004</v>
      </c>
      <c r="AM5479">
        <v>78.6497729538372</v>
      </c>
      <c r="AN5479">
        <v>1.0000000318981801</v>
      </c>
    </row>
    <row r="5480" spans="1:40" x14ac:dyDescent="0.3">
      <c r="A5480" t="str">
        <f>"20200111160610885"</f>
        <v>20200111160610885</v>
      </c>
      <c r="B5480" t="str">
        <f>"1578729970878147"</f>
        <v>1578729970878147</v>
      </c>
      <c r="C5480" t="s">
        <v>40</v>
      </c>
      <c r="D5480">
        <v>5.3746539999999996</v>
      </c>
      <c r="E5480">
        <v>0.6467212</v>
      </c>
      <c r="F5480" t="s">
        <v>44</v>
      </c>
      <c r="G5480">
        <v>-312.322</v>
      </c>
      <c r="H5480">
        <v>-0.05</v>
      </c>
      <c r="I5480">
        <v>11.247450000000001</v>
      </c>
      <c r="J5480">
        <v>-317.5949</v>
      </c>
      <c r="K5480">
        <v>1.0843780000000001</v>
      </c>
      <c r="L5480">
        <v>16.845949999999998</v>
      </c>
      <c r="M5480">
        <v>0.97083120000000001</v>
      </c>
      <c r="N5480">
        <v>0</v>
      </c>
      <c r="O5480">
        <v>-0.23803099999999999</v>
      </c>
      <c r="P5480">
        <v>0.90288619999999997</v>
      </c>
      <c r="Q5480">
        <v>-6.1230560000000003E-2</v>
      </c>
      <c r="R5480">
        <v>-0.42549700000000001</v>
      </c>
      <c r="S5480">
        <v>2.2091669999999999</v>
      </c>
      <c r="T5480">
        <v>-0.4656901</v>
      </c>
      <c r="U5480">
        <v>-2.3093569999999999</v>
      </c>
      <c r="V5480">
        <v>0.19751360000000001</v>
      </c>
      <c r="W5480">
        <v>-3.7214949999999997E-2</v>
      </c>
      <c r="X5480">
        <v>0.97959350000000001</v>
      </c>
      <c r="Y5480">
        <v>0.53421879999999999</v>
      </c>
      <c r="Z5480">
        <v>-6.2424469999999999E-3</v>
      </c>
      <c r="AA5480">
        <v>0.84532320000000005</v>
      </c>
      <c r="AB5480">
        <v>24</v>
      </c>
      <c r="AC5480">
        <v>5.2728999999999902</v>
      </c>
      <c r="AD5480">
        <v>-1.1343780000000001</v>
      </c>
      <c r="AE5480">
        <v>-5.5984999999999898</v>
      </c>
      <c r="AF5480">
        <v>4.0927728583235004</v>
      </c>
      <c r="AG5480">
        <v>-1.1343780000000001</v>
      </c>
      <c r="AH5480">
        <v>6.3169515764891999</v>
      </c>
      <c r="AI5480">
        <v>98.5705050935385</v>
      </c>
      <c r="AJ5480">
        <v>57.060670570902403</v>
      </c>
      <c r="AK5480">
        <v>7.6119301321296202</v>
      </c>
      <c r="AL5480">
        <v>92.132752056562694</v>
      </c>
      <c r="AM5480">
        <v>78.600398893767604</v>
      </c>
      <c r="AN5480">
        <v>0.99999999996535605</v>
      </c>
    </row>
    <row r="5481" spans="1:40" x14ac:dyDescent="0.3">
      <c r="A5481" t="str">
        <f>"20200111160610895"</f>
        <v>20200111160610895</v>
      </c>
      <c r="B5481" t="str">
        <f>"1578729970887907"</f>
        <v>1578729970887907</v>
      </c>
      <c r="C5481" t="s">
        <v>40</v>
      </c>
      <c r="D5481">
        <v>5.3454410000000001</v>
      </c>
      <c r="E5481">
        <v>0.64598080000000002</v>
      </c>
      <c r="F5481" t="s">
        <v>44</v>
      </c>
      <c r="G5481">
        <v>-308.11430000000001</v>
      </c>
      <c r="H5481">
        <v>-0.05</v>
      </c>
      <c r="I5481">
        <v>6.833221</v>
      </c>
      <c r="J5481">
        <v>-317.48099999999999</v>
      </c>
      <c r="K5481">
        <v>1.0831900000000001</v>
      </c>
      <c r="L5481">
        <v>16.812349999999999</v>
      </c>
      <c r="M5481">
        <v>0.96971470000000004</v>
      </c>
      <c r="N5481">
        <v>0</v>
      </c>
      <c r="O5481">
        <v>-0.2425361</v>
      </c>
      <c r="P5481">
        <v>0.90064669999999902</v>
      </c>
      <c r="Q5481">
        <v>-5.9277999999999997E-2</v>
      </c>
      <c r="R5481">
        <v>-0.43049029999999999</v>
      </c>
      <c r="S5481">
        <v>2.2065429999999999</v>
      </c>
      <c r="T5481">
        <v>-0.26402100000000001</v>
      </c>
      <c r="U5481">
        <v>-2.3304140000000002</v>
      </c>
      <c r="V5481">
        <v>0.1983885</v>
      </c>
      <c r="W5481">
        <v>-3.5311839999999997E-2</v>
      </c>
      <c r="X5481">
        <v>0.9794872</v>
      </c>
      <c r="Y5481">
        <v>0.53666899999999995</v>
      </c>
      <c r="Z5481">
        <v>-3.2639019999999999E-3</v>
      </c>
      <c r="AA5481">
        <v>0.84378660000000005</v>
      </c>
      <c r="AB5481">
        <v>24</v>
      </c>
      <c r="AC5481">
        <v>9.3666999999999803</v>
      </c>
      <c r="AD5481">
        <v>-1.1331899999999999</v>
      </c>
      <c r="AE5481">
        <v>-9.9791289999999897</v>
      </c>
      <c r="AF5481">
        <v>7.35777921281273</v>
      </c>
      <c r="AG5481">
        <v>-1.1331899999999999</v>
      </c>
      <c r="AH5481">
        <v>11.4297462826898</v>
      </c>
      <c r="AI5481">
        <v>94.7654018222308</v>
      </c>
      <c r="AJ5481">
        <v>57.229015877221997</v>
      </c>
      <c r="AK5481">
        <v>13.640386160489101</v>
      </c>
      <c r="AL5481">
        <v>92.023640003302205</v>
      </c>
      <c r="AM5481">
        <v>78.550024496350204</v>
      </c>
      <c r="AN5481">
        <v>1.00000004897013</v>
      </c>
    </row>
    <row r="5482" spans="1:40" x14ac:dyDescent="0.3">
      <c r="A5482" t="str">
        <f>"20200111160610907"</f>
        <v>20200111160610907</v>
      </c>
      <c r="B5482" t="str">
        <f>"1578729970897667"</f>
        <v>1578729970897667</v>
      </c>
      <c r="C5482" t="s">
        <v>40</v>
      </c>
      <c r="D5482">
        <v>5.3651309999999999</v>
      </c>
      <c r="E5482">
        <v>0.64589469999999904</v>
      </c>
      <c r="F5482" t="s">
        <v>44</v>
      </c>
      <c r="G5482">
        <v>-308.01339999999999</v>
      </c>
      <c r="H5482">
        <v>-0.05</v>
      </c>
      <c r="I5482">
        <v>6.7388149999999998</v>
      </c>
      <c r="J5482">
        <v>-317.37119999999999</v>
      </c>
      <c r="K5482">
        <v>1.0820449999999999</v>
      </c>
      <c r="L5482">
        <v>16.77957</v>
      </c>
      <c r="M5482">
        <v>0.9686131</v>
      </c>
      <c r="N5482">
        <v>0</v>
      </c>
      <c r="O5482">
        <v>-0.24689929999999999</v>
      </c>
      <c r="P5482">
        <v>0.89855169999999995</v>
      </c>
      <c r="Q5482">
        <v>-5.7653169999999997E-2</v>
      </c>
      <c r="R5482">
        <v>-0.43506400000000001</v>
      </c>
      <c r="S5482">
        <v>2.1965330000000001</v>
      </c>
      <c r="T5482">
        <v>-0.26290760000000002</v>
      </c>
      <c r="U5482">
        <v>-2.3371279999999999</v>
      </c>
      <c r="V5482">
        <v>0.198959</v>
      </c>
      <c r="W5482">
        <v>-3.374974E-2</v>
      </c>
      <c r="X5482">
        <v>0.97942649999999998</v>
      </c>
      <c r="Y5482">
        <v>0.53602030000000001</v>
      </c>
      <c r="Z5482">
        <v>-2.8355749999999999E-3</v>
      </c>
      <c r="AA5482">
        <v>0.84420030000000001</v>
      </c>
      <c r="AB5482">
        <v>24</v>
      </c>
      <c r="AC5482">
        <v>9.3577999999999903</v>
      </c>
      <c r="AD5482">
        <v>-1.132045</v>
      </c>
      <c r="AE5482">
        <v>-10.040755000000001</v>
      </c>
      <c r="AF5482">
        <v>7.3681264609050396</v>
      </c>
      <c r="AG5482">
        <v>-1.132045</v>
      </c>
      <c r="AH5482">
        <v>11.469906745566901</v>
      </c>
      <c r="AI5482">
        <v>94.746921578547699</v>
      </c>
      <c r="AJ5482">
        <v>57.283811625197998</v>
      </c>
      <c r="AK5482">
        <v>13.6795312119208</v>
      </c>
      <c r="AL5482">
        <v>91.934084950897798</v>
      </c>
      <c r="AM5482">
        <v>78.517278729308003</v>
      </c>
      <c r="AN5482">
        <v>0.99999999876665802</v>
      </c>
    </row>
    <row r="5483" spans="1:40" x14ac:dyDescent="0.3">
      <c r="A5483" t="str">
        <f>"20200111160610918"</f>
        <v>20200111160610918</v>
      </c>
      <c r="B5483" t="str">
        <f>"1578729970907427"</f>
        <v>1578729970907427</v>
      </c>
      <c r="C5483" t="s">
        <v>40</v>
      </c>
      <c r="D5483">
        <v>5.3793309999999996</v>
      </c>
      <c r="E5483">
        <v>0.64531280000000002</v>
      </c>
      <c r="F5483" t="s">
        <v>44</v>
      </c>
      <c r="G5483">
        <v>-307.58339999999998</v>
      </c>
      <c r="H5483">
        <v>-0.05</v>
      </c>
      <c r="I5483">
        <v>6.2643129999999996</v>
      </c>
      <c r="J5483">
        <v>-317.25709999999998</v>
      </c>
      <c r="K5483">
        <v>1.080846</v>
      </c>
      <c r="L5483">
        <v>16.744779999999999</v>
      </c>
      <c r="M5483">
        <v>0.9674355</v>
      </c>
      <c r="N5483">
        <v>0</v>
      </c>
      <c r="O5483">
        <v>-0.25148089999999901</v>
      </c>
      <c r="P5483">
        <v>0.89618980000000004</v>
      </c>
      <c r="Q5483">
        <v>-5.5991020000000002E-2</v>
      </c>
      <c r="R5483">
        <v>-0.44012459999999998</v>
      </c>
      <c r="S5483">
        <v>2.1855769999999999</v>
      </c>
      <c r="T5483">
        <v>-0.25278220000000001</v>
      </c>
      <c r="U5483">
        <v>-2.3480219999999998</v>
      </c>
      <c r="V5483">
        <v>0.19984779999999999</v>
      </c>
      <c r="W5483">
        <v>-3.2206169999999999E-2</v>
      </c>
      <c r="X5483">
        <v>0.97929750000000004</v>
      </c>
      <c r="Y5483">
        <v>0.53617349999999997</v>
      </c>
      <c r="Z5483">
        <v>-2.3460999999999998E-3</v>
      </c>
      <c r="AA5483">
        <v>0.84410450000000004</v>
      </c>
      <c r="AB5483">
        <v>24</v>
      </c>
      <c r="AC5483">
        <v>9.6736999999999895</v>
      </c>
      <c r="AD5483">
        <v>-1.130846</v>
      </c>
      <c r="AE5483">
        <v>-10.480467000000001</v>
      </c>
      <c r="AF5483">
        <v>7.6614454263493403</v>
      </c>
      <c r="AG5483">
        <v>-1.130846</v>
      </c>
      <c r="AH5483">
        <v>11.9243115611003</v>
      </c>
      <c r="AI5483">
        <v>94.561747232786999</v>
      </c>
      <c r="AJ5483">
        <v>57.278999239094297</v>
      </c>
      <c r="AK5483">
        <v>14.218500796597199</v>
      </c>
      <c r="AL5483">
        <v>91.845596786704206</v>
      </c>
      <c r="AM5483">
        <v>78.465875456827405</v>
      </c>
      <c r="AN5483">
        <v>0.99999998702857895</v>
      </c>
    </row>
    <row r="5484" spans="1:40" x14ac:dyDescent="0.3">
      <c r="A5484" t="str">
        <f>"20200111160610929"</f>
        <v>20200111160610929</v>
      </c>
      <c r="B5484" t="str">
        <f>"1578729970918163"</f>
        <v>1578729970918163</v>
      </c>
      <c r="C5484" t="s">
        <v>40</v>
      </c>
      <c r="D5484">
        <v>5.3677650000000003</v>
      </c>
      <c r="E5484">
        <v>0.64459639999999996</v>
      </c>
      <c r="F5484" t="s">
        <v>44</v>
      </c>
      <c r="G5484">
        <v>-307.428</v>
      </c>
      <c r="H5484">
        <v>-0.05</v>
      </c>
      <c r="I5484">
        <v>6.0962370000000004</v>
      </c>
      <c r="J5484">
        <v>-317.14319999999998</v>
      </c>
      <c r="K5484">
        <v>1.0796479999999999</v>
      </c>
      <c r="L5484">
        <v>16.709440000000001</v>
      </c>
      <c r="M5484">
        <v>0.96622949999999996</v>
      </c>
      <c r="N5484">
        <v>0</v>
      </c>
      <c r="O5484">
        <v>-0.2560886</v>
      </c>
      <c r="P5484">
        <v>0.89380469999999901</v>
      </c>
      <c r="Q5484">
        <v>-5.4903239999999999E-2</v>
      </c>
      <c r="R5484">
        <v>-0.4450828</v>
      </c>
      <c r="S5484">
        <v>2.1747740000000002</v>
      </c>
      <c r="T5484">
        <v>-0.25020900000000001</v>
      </c>
      <c r="U5484">
        <v>-2.3560789999999998</v>
      </c>
      <c r="V5484">
        <v>0.20060600000000001</v>
      </c>
      <c r="W5484">
        <v>-3.127651E-2</v>
      </c>
      <c r="X5484">
        <v>0.97917259999999995</v>
      </c>
      <c r="Y5484">
        <v>0.53570989999999996</v>
      </c>
      <c r="Z5484">
        <v>-1.914294E-3</v>
      </c>
      <c r="AA5484">
        <v>0.84440000000000004</v>
      </c>
      <c r="AB5484">
        <v>24</v>
      </c>
      <c r="AC5484">
        <v>9.7151999999999799</v>
      </c>
      <c r="AD5484">
        <v>-1.129648</v>
      </c>
      <c r="AE5484">
        <v>-10.613203</v>
      </c>
      <c r="AF5484">
        <v>7.7224199983579203</v>
      </c>
      <c r="AG5484">
        <v>-1.129648</v>
      </c>
      <c r="AH5484">
        <v>12.035805515733401</v>
      </c>
      <c r="AI5484">
        <v>94.516708055143397</v>
      </c>
      <c r="AJ5484">
        <v>57.314935685681803</v>
      </c>
      <c r="AK5484">
        <v>14.344772206190701</v>
      </c>
      <c r="AL5484">
        <v>91.792304342045298</v>
      </c>
      <c r="AM5484">
        <v>78.421858625727893</v>
      </c>
      <c r="AN5484">
        <v>0.99999998395226997</v>
      </c>
    </row>
    <row r="5485" spans="1:40" x14ac:dyDescent="0.3">
      <c r="A5485" t="str">
        <f>"20200111160610941"</f>
        <v>20200111160610941</v>
      </c>
      <c r="B5485" t="str">
        <f>"1578729970937684"</f>
        <v>1578729970937684</v>
      </c>
      <c r="C5485" t="s">
        <v>40</v>
      </c>
      <c r="D5485">
        <v>5.5960470000000004</v>
      </c>
      <c r="E5485">
        <v>0.64299649999999997</v>
      </c>
      <c r="F5485" t="s">
        <v>44</v>
      </c>
      <c r="G5485">
        <v>-307.40839999999997</v>
      </c>
      <c r="H5485">
        <v>-0.05</v>
      </c>
      <c r="I5485">
        <v>6.0830539999999997</v>
      </c>
      <c r="J5485">
        <v>-317.03030000000001</v>
      </c>
      <c r="K5485">
        <v>1.0784659999999999</v>
      </c>
      <c r="L5485">
        <v>16.673950000000001</v>
      </c>
      <c r="M5485">
        <v>0.96500770000000002</v>
      </c>
      <c r="N5485">
        <v>0</v>
      </c>
      <c r="O5485">
        <v>-0.2606733</v>
      </c>
      <c r="P5485">
        <v>0.89141539999999997</v>
      </c>
      <c r="Q5485">
        <v>-5.3949950000000003E-2</v>
      </c>
      <c r="R5485">
        <v>-0.44996540000000002</v>
      </c>
      <c r="S5485">
        <v>2.1644290000000002</v>
      </c>
      <c r="T5485">
        <v>-0.251166</v>
      </c>
      <c r="U5485">
        <v>-2.3626710000000002</v>
      </c>
      <c r="V5485">
        <v>0.20131279999999999</v>
      </c>
      <c r="W5485">
        <v>-3.051657E-2</v>
      </c>
      <c r="X5485">
        <v>0.97905149999999996</v>
      </c>
      <c r="Y5485">
        <v>0.53489229999999999</v>
      </c>
      <c r="Z5485">
        <v>-1.4963929999999999E-3</v>
      </c>
      <c r="AA5485">
        <v>0.84491890000000003</v>
      </c>
      <c r="AB5485">
        <v>23</v>
      </c>
      <c r="AC5485">
        <v>9.6219000000000392</v>
      </c>
      <c r="AD5485">
        <v>-1.128466</v>
      </c>
      <c r="AE5485">
        <v>-10.590896000000001</v>
      </c>
      <c r="AF5485">
        <v>7.6675588389552898</v>
      </c>
      <c r="AG5485">
        <v>-1.128466</v>
      </c>
      <c r="AH5485">
        <v>11.9763630995011</v>
      </c>
      <c r="AI5485">
        <v>94.537167913154704</v>
      </c>
      <c r="AJ5485">
        <v>57.371640239185901</v>
      </c>
      <c r="AK5485">
        <v>14.2652783762914</v>
      </c>
      <c r="AL5485">
        <v>91.748742209298797</v>
      </c>
      <c r="AM5485">
        <v>78.380774270082696</v>
      </c>
      <c r="AN5485">
        <v>0.99999997207032698</v>
      </c>
    </row>
    <row r="5486" spans="1:40" x14ac:dyDescent="0.3">
      <c r="A5486" t="str">
        <f>"20200111160610952"</f>
        <v>20200111160610952</v>
      </c>
      <c r="B5486" t="str">
        <f>"1578729970947442"</f>
        <v>1578729970947442</v>
      </c>
      <c r="C5486" t="s">
        <v>40</v>
      </c>
      <c r="D5486">
        <v>5.4782380000000002</v>
      </c>
      <c r="E5486">
        <v>0.64245659999999905</v>
      </c>
      <c r="F5486" t="s">
        <v>44</v>
      </c>
      <c r="G5486">
        <v>-307.9828</v>
      </c>
      <c r="H5486">
        <v>-0.05</v>
      </c>
      <c r="I5486">
        <v>6.7698359999999997</v>
      </c>
      <c r="J5486">
        <v>-316.91430000000003</v>
      </c>
      <c r="K5486">
        <v>1.0772630000000001</v>
      </c>
      <c r="L5486">
        <v>16.636600000000001</v>
      </c>
      <c r="M5486">
        <v>0.96371669999999998</v>
      </c>
      <c r="N5486">
        <v>0</v>
      </c>
      <c r="O5486">
        <v>-0.265432</v>
      </c>
      <c r="P5486">
        <v>0.88872969999999896</v>
      </c>
      <c r="Q5486">
        <v>-5.3460670000000002E-2</v>
      </c>
      <c r="R5486">
        <v>-0.4553044</v>
      </c>
      <c r="S5486">
        <v>2.1571959999999999</v>
      </c>
      <c r="T5486">
        <v>-0.26905800000000002</v>
      </c>
      <c r="U5486">
        <v>-2.3614199999999999</v>
      </c>
      <c r="V5486">
        <v>0.20235230000000001</v>
      </c>
      <c r="W5486">
        <v>-3.0297649999999999E-2</v>
      </c>
      <c r="X5486">
        <v>0.97884400000000005</v>
      </c>
      <c r="Y5486">
        <v>0.53181299999999998</v>
      </c>
      <c r="Z5486">
        <v>-1.0145620000000001E-3</v>
      </c>
      <c r="AA5486">
        <v>0.84686119999999898</v>
      </c>
      <c r="AB5486">
        <v>23</v>
      </c>
      <c r="AC5486">
        <v>8.9315000000000193</v>
      </c>
      <c r="AD5486">
        <v>-1.1272629999999999</v>
      </c>
      <c r="AE5486">
        <v>-9.8667639999999999</v>
      </c>
      <c r="AF5486">
        <v>7.09003680218808</v>
      </c>
      <c r="AG5486">
        <v>-1.1272629999999999</v>
      </c>
      <c r="AH5486">
        <v>11.1508631191553</v>
      </c>
      <c r="AI5486">
        <v>94.875988292230602</v>
      </c>
      <c r="AJ5486">
        <v>57.550635609127802</v>
      </c>
      <c r="AK5486">
        <v>13.262016891471999</v>
      </c>
      <c r="AL5486">
        <v>91.736193185429897</v>
      </c>
      <c r="AM5486">
        <v>78.320013402118406</v>
      </c>
      <c r="AN5486">
        <v>0.999999988623406</v>
      </c>
    </row>
    <row r="5487" spans="1:40" x14ac:dyDescent="0.3">
      <c r="A5487" t="str">
        <f>"20200111160610965"</f>
        <v>20200111160610965</v>
      </c>
      <c r="B5487" t="str">
        <f>"1578729970958179"</f>
        <v>1578729970958179</v>
      </c>
      <c r="C5487" t="s">
        <v>40</v>
      </c>
      <c r="D5487">
        <v>5.4841889999999998</v>
      </c>
      <c r="E5487">
        <v>0.64200699999999999</v>
      </c>
      <c r="F5487" t="s">
        <v>44</v>
      </c>
      <c r="G5487">
        <v>-308.49549999999999</v>
      </c>
      <c r="H5487">
        <v>-0.05</v>
      </c>
      <c r="I5487">
        <v>7.3366239999999996</v>
      </c>
      <c r="J5487">
        <v>-316.7937</v>
      </c>
      <c r="K5487">
        <v>1.076017</v>
      </c>
      <c r="L5487">
        <v>16.59741</v>
      </c>
      <c r="M5487">
        <v>0.96234430000000004</v>
      </c>
      <c r="N5487">
        <v>0</v>
      </c>
      <c r="O5487">
        <v>-0.27039600000000003</v>
      </c>
      <c r="P5487">
        <v>0.88576869999999996</v>
      </c>
      <c r="Q5487">
        <v>-5.303066E-2</v>
      </c>
      <c r="R5487">
        <v>-0.4610881</v>
      </c>
      <c r="S5487">
        <v>2.1446230000000002</v>
      </c>
      <c r="T5487">
        <v>-0.28715930000000001</v>
      </c>
      <c r="U5487">
        <v>-2.3690799999999999</v>
      </c>
      <c r="V5487">
        <v>0.2036848</v>
      </c>
      <c r="W5487">
        <v>-3.0180829999999999E-2</v>
      </c>
      <c r="X5487">
        <v>0.97857119999999997</v>
      </c>
      <c r="Y5487">
        <v>0.53117419999999904</v>
      </c>
      <c r="Z5487">
        <v>-5.6735979999999997E-4</v>
      </c>
      <c r="AA5487">
        <v>0.84726239999999997</v>
      </c>
      <c r="AB5487">
        <v>23</v>
      </c>
      <c r="AC5487">
        <v>8.2981999999999996</v>
      </c>
      <c r="AD5487">
        <v>-1.126017</v>
      </c>
      <c r="AE5487">
        <v>-9.2607859999999995</v>
      </c>
      <c r="AF5487">
        <v>6.6166081651953697</v>
      </c>
      <c r="AG5487">
        <v>-1.126017</v>
      </c>
      <c r="AH5487">
        <v>10.408544653833401</v>
      </c>
      <c r="AI5487">
        <v>95.216461102228905</v>
      </c>
      <c r="AJ5487">
        <v>57.556286108948399</v>
      </c>
      <c r="AK5487">
        <v>12.384878671463101</v>
      </c>
      <c r="AL5487">
        <v>91.729496833124998</v>
      </c>
      <c r="AM5487">
        <v>78.242047821431896</v>
      </c>
      <c r="AN5487">
        <v>0.99999998685998404</v>
      </c>
    </row>
    <row r="5488" spans="1:40" x14ac:dyDescent="0.3">
      <c r="A5488" t="str">
        <f>"20200111160610975"</f>
        <v>20200111160610975</v>
      </c>
      <c r="B5488" t="str">
        <f>"1578729970967939"</f>
        <v>1578729970967939</v>
      </c>
      <c r="C5488" t="s">
        <v>40</v>
      </c>
      <c r="D5488">
        <v>5.4836530000000003</v>
      </c>
      <c r="E5488">
        <v>0.6415225</v>
      </c>
      <c r="F5488" t="s">
        <v>44</v>
      </c>
      <c r="G5488">
        <v>-308.87610000000001</v>
      </c>
      <c r="H5488">
        <v>-0.05</v>
      </c>
      <c r="I5488">
        <v>7.7584839999999904</v>
      </c>
      <c r="J5488">
        <v>-316.67</v>
      </c>
      <c r="K5488">
        <v>1.074776</v>
      </c>
      <c r="L5488">
        <v>16.555969999999999</v>
      </c>
      <c r="M5488">
        <v>0.96088629999999997</v>
      </c>
      <c r="N5488">
        <v>0</v>
      </c>
      <c r="O5488">
        <v>-0.27557150000000002</v>
      </c>
      <c r="P5488">
        <v>0.88265000000000005</v>
      </c>
      <c r="Q5488">
        <v>-5.2790200000000002E-2</v>
      </c>
      <c r="R5488">
        <v>-0.46705669999999999</v>
      </c>
      <c r="S5488">
        <v>2.1306150000000001</v>
      </c>
      <c r="T5488">
        <v>-0.30300959999999899</v>
      </c>
      <c r="U5488">
        <v>-2.3785400000000001</v>
      </c>
      <c r="V5488">
        <v>0.2050227</v>
      </c>
      <c r="W5488">
        <v>-3.03288E-2</v>
      </c>
      <c r="X5488">
        <v>0.97828720000000002</v>
      </c>
      <c r="Y5488">
        <v>0.53096460000000001</v>
      </c>
      <c r="Z5488" s="1">
        <v>-5.6784599999999998E-5</v>
      </c>
      <c r="AA5488">
        <v>0.84739399999999998</v>
      </c>
      <c r="AB5488">
        <v>23</v>
      </c>
      <c r="AC5488">
        <v>7.7938999999999998</v>
      </c>
      <c r="AD5488">
        <v>-1.124776</v>
      </c>
      <c r="AE5488">
        <v>-8.7974859999999993</v>
      </c>
      <c r="AF5488">
        <v>6.2507521178634402</v>
      </c>
      <c r="AG5488">
        <v>-1.124776</v>
      </c>
      <c r="AH5488">
        <v>9.8271477090210801</v>
      </c>
      <c r="AI5488">
        <v>95.516231047024405</v>
      </c>
      <c r="AJ5488">
        <v>57.540791281857601</v>
      </c>
      <c r="AK5488">
        <v>11.7008484813738</v>
      </c>
      <c r="AL5488">
        <v>91.737978759065001</v>
      </c>
      <c r="AM5488">
        <v>78.163648295640797</v>
      </c>
      <c r="AN5488">
        <v>0.99999999465428502</v>
      </c>
    </row>
    <row r="5489" spans="1:40" x14ac:dyDescent="0.3">
      <c r="A5489" t="str">
        <f>"20200111160610988"</f>
        <v>20200111160610988</v>
      </c>
      <c r="B5489" t="str">
        <f>"1578729970977699"</f>
        <v>1578729970977699</v>
      </c>
      <c r="C5489" t="s">
        <v>40</v>
      </c>
      <c r="D5489">
        <v>5.4874479999999997</v>
      </c>
      <c r="E5489">
        <v>0.64093520000000004</v>
      </c>
      <c r="F5489" t="s">
        <v>44</v>
      </c>
      <c r="G5489">
        <v>-309.16449999999998</v>
      </c>
      <c r="H5489">
        <v>-0.05</v>
      </c>
      <c r="I5489">
        <v>8.0850980000000003</v>
      </c>
      <c r="J5489">
        <v>-316.55450000000002</v>
      </c>
      <c r="K5489">
        <v>1.0736490000000001</v>
      </c>
      <c r="L5489">
        <v>16.516909999999999</v>
      </c>
      <c r="M5489">
        <v>0.95948990000000001</v>
      </c>
      <c r="N5489">
        <v>0</v>
      </c>
      <c r="O5489">
        <v>-0.28043230000000002</v>
      </c>
      <c r="P5489">
        <v>0.87954169999999998</v>
      </c>
      <c r="Q5489">
        <v>-5.3005440000000001E-2</v>
      </c>
      <c r="R5489">
        <v>-0.47286010000000001</v>
      </c>
      <c r="S5489">
        <v>2.1161500000000002</v>
      </c>
      <c r="T5489">
        <v>-0.31712750000000001</v>
      </c>
      <c r="U5489">
        <v>-2.3883359999999998</v>
      </c>
      <c r="V5489">
        <v>0.2065111</v>
      </c>
      <c r="W5489">
        <v>-3.092137E-2</v>
      </c>
      <c r="X5489">
        <v>0.97795549999999998</v>
      </c>
      <c r="Y5489">
        <v>0.53118999999999905</v>
      </c>
      <c r="Z5489">
        <v>4.4881180000000003E-4</v>
      </c>
      <c r="AA5489">
        <v>0.84725260000000002</v>
      </c>
      <c r="AB5489">
        <v>23</v>
      </c>
      <c r="AC5489">
        <v>7.3900000000000396</v>
      </c>
      <c r="AD5489">
        <v>-1.1236489999999999</v>
      </c>
      <c r="AE5489">
        <v>-8.4318119999999901</v>
      </c>
      <c r="AF5489">
        <v>5.9601988186734003</v>
      </c>
      <c r="AG5489">
        <v>-1.1236489999999999</v>
      </c>
      <c r="AH5489">
        <v>9.3646115789838404</v>
      </c>
      <c r="AI5489">
        <v>95.780109111044993</v>
      </c>
      <c r="AJ5489">
        <v>57.524886193498098</v>
      </c>
      <c r="AK5489">
        <v>11.1571728972242</v>
      </c>
      <c r="AL5489">
        <v>91.771946509154702</v>
      </c>
      <c r="AM5489">
        <v>78.076242422754504</v>
      </c>
      <c r="AN5489">
        <v>0.99999996276306702</v>
      </c>
    </row>
    <row r="5490" spans="1:40" x14ac:dyDescent="0.3">
      <c r="A5490" t="str">
        <f>"20200111160611008"</f>
        <v>20200111160611008</v>
      </c>
      <c r="B5490" t="str">
        <f>"1578729970997218"</f>
        <v>1578729970997218</v>
      </c>
      <c r="C5490" t="s">
        <v>40</v>
      </c>
      <c r="D5490">
        <v>5.7271199999999904</v>
      </c>
      <c r="E5490">
        <v>0.63955109999999904</v>
      </c>
      <c r="F5490" t="s">
        <v>44</v>
      </c>
      <c r="G5490">
        <v>-309.3843</v>
      </c>
      <c r="H5490">
        <v>-0.05</v>
      </c>
      <c r="I5490">
        <v>8.3405299999999993</v>
      </c>
      <c r="J5490">
        <v>-316.351</v>
      </c>
      <c r="K5490">
        <v>1.071758</v>
      </c>
      <c r="L5490">
        <v>16.446169999999999</v>
      </c>
      <c r="M5490">
        <v>0.95690960000000003</v>
      </c>
      <c r="N5490">
        <v>0</v>
      </c>
      <c r="O5490">
        <v>-0.28918260000000001</v>
      </c>
      <c r="P5490">
        <v>0.87371739999999998</v>
      </c>
      <c r="Q5490">
        <v>-5.473753E-2</v>
      </c>
      <c r="R5490">
        <v>-0.48334460000000001</v>
      </c>
      <c r="S5490">
        <v>2.1022340000000002</v>
      </c>
      <c r="T5490">
        <v>-0.32944119999999999</v>
      </c>
      <c r="U5490">
        <v>-2.3972169999999999</v>
      </c>
      <c r="V5490">
        <v>0.2092717</v>
      </c>
      <c r="W5490">
        <v>-3.3344199999999997E-2</v>
      </c>
      <c r="X5490">
        <v>0.97728879999999996</v>
      </c>
      <c r="Y5490">
        <v>0.52775459999999996</v>
      </c>
      <c r="Z5490">
        <v>1.6613489999999999E-3</v>
      </c>
      <c r="AA5490">
        <v>0.84939529999999996</v>
      </c>
      <c r="AB5490">
        <v>23</v>
      </c>
      <c r="AC5490">
        <v>6.9667000000000003</v>
      </c>
      <c r="AD5490">
        <v>-1.121758</v>
      </c>
      <c r="AE5490">
        <v>-8.1056399999999993</v>
      </c>
      <c r="AF5490">
        <v>5.6811404555830496</v>
      </c>
      <c r="AG5490">
        <v>-1.121758</v>
      </c>
      <c r="AH5490">
        <v>8.91545008295431</v>
      </c>
      <c r="AI5490">
        <v>96.056969489078696</v>
      </c>
      <c r="AJ5490">
        <v>57.493727060832697</v>
      </c>
      <c r="AK5490">
        <v>10.631037017538601</v>
      </c>
      <c r="AL5490">
        <v>91.910836248080699</v>
      </c>
      <c r="AM5490">
        <v>77.913501444597799</v>
      </c>
      <c r="AN5490">
        <v>0.99999993934998299</v>
      </c>
    </row>
    <row r="5491" spans="1:40" x14ac:dyDescent="0.3">
      <c r="A5491" t="str">
        <f>"20200111160611019"</f>
        <v>20200111160611019</v>
      </c>
      <c r="B5491" t="str">
        <f>"1578729971017715"</f>
        <v>1578729971017715</v>
      </c>
      <c r="C5491" t="s">
        <v>40</v>
      </c>
      <c r="D5491">
        <v>5.492286</v>
      </c>
      <c r="E5491">
        <v>0.63859840000000001</v>
      </c>
      <c r="F5491" t="s">
        <v>44</v>
      </c>
      <c r="G5491">
        <v>-309.69170000000003</v>
      </c>
      <c r="H5491">
        <v>-0.05</v>
      </c>
      <c r="I5491">
        <v>8.71870399999999</v>
      </c>
      <c r="J5491">
        <v>-316.23399999999998</v>
      </c>
      <c r="K5491">
        <v>1.070727</v>
      </c>
      <c r="L5491">
        <v>16.404599999999999</v>
      </c>
      <c r="M5491">
        <v>0.95535170000000003</v>
      </c>
      <c r="N5491">
        <v>0</v>
      </c>
      <c r="O5491">
        <v>-0.29432709999999901</v>
      </c>
      <c r="P5491">
        <v>0.87024279999999998</v>
      </c>
      <c r="Q5491">
        <v>-5.6068390000000003E-2</v>
      </c>
      <c r="R5491">
        <v>-0.48942249999999998</v>
      </c>
      <c r="S5491">
        <v>2.0777890000000001</v>
      </c>
      <c r="T5491">
        <v>-0.35000330000000002</v>
      </c>
      <c r="U5491">
        <v>-2.4110719999999999</v>
      </c>
      <c r="V5491">
        <v>0.21082709999999999</v>
      </c>
      <c r="W5491">
        <v>-3.5060189999999998E-2</v>
      </c>
      <c r="X5491">
        <v>0.97689440000000005</v>
      </c>
      <c r="Y5491">
        <v>0.53037880000000004</v>
      </c>
      <c r="Z5491">
        <v>2.2053009999999998E-3</v>
      </c>
      <c r="AA5491">
        <v>0.84775789999999995</v>
      </c>
      <c r="AB5491">
        <v>23</v>
      </c>
      <c r="AC5491">
        <v>6.5423000000000098</v>
      </c>
      <c r="AD5491">
        <v>-1.120727</v>
      </c>
      <c r="AE5491">
        <v>-7.6858959999999996</v>
      </c>
      <c r="AF5491">
        <v>5.3529881612162002</v>
      </c>
      <c r="AG5491">
        <v>-1.120727</v>
      </c>
      <c r="AH5491">
        <v>8.4115308695880309</v>
      </c>
      <c r="AI5491">
        <v>96.413452718032104</v>
      </c>
      <c r="AJ5491">
        <v>57.527858484054597</v>
      </c>
      <c r="AK5491">
        <v>10.033163151901899</v>
      </c>
      <c r="AL5491">
        <v>92.009212734223794</v>
      </c>
      <c r="AM5491">
        <v>77.821570900197599</v>
      </c>
      <c r="AN5491">
        <v>0.99999997588430201</v>
      </c>
    </row>
    <row r="5492" spans="1:40" x14ac:dyDescent="0.3">
      <c r="A5492" t="str">
        <f>"20200111160611032"</f>
        <v>20200111160611032</v>
      </c>
      <c r="B5492" t="str">
        <f>"1578729971027475"</f>
        <v>1578729971027475</v>
      </c>
      <c r="C5492" t="s">
        <v>40</v>
      </c>
      <c r="D5492">
        <v>5.51708</v>
      </c>
      <c r="E5492">
        <v>0.63799930000000005</v>
      </c>
      <c r="F5492" t="s">
        <v>44</v>
      </c>
      <c r="G5492">
        <v>-309.92989999999998</v>
      </c>
      <c r="H5492">
        <v>-0.05</v>
      </c>
      <c r="I5492">
        <v>9.0209499999999991</v>
      </c>
      <c r="J5492">
        <v>-316.1241</v>
      </c>
      <c r="K5492">
        <v>1.0697939999999999</v>
      </c>
      <c r="L5492">
        <v>16.36478</v>
      </c>
      <c r="M5492">
        <v>0.95383459999999998</v>
      </c>
      <c r="N5492">
        <v>0</v>
      </c>
      <c r="O5492">
        <v>-0.299241799999999</v>
      </c>
      <c r="P5492">
        <v>0.86680040000000003</v>
      </c>
      <c r="Q5492">
        <v>-5.7675949999999997E-2</v>
      </c>
      <c r="R5492">
        <v>-0.4953089</v>
      </c>
      <c r="S5492">
        <v>2.0640869999999998</v>
      </c>
      <c r="T5492">
        <v>-0.36694589999999999</v>
      </c>
      <c r="U5492">
        <v>-2.4175420000000001</v>
      </c>
      <c r="V5492">
        <v>0.21242220000000001</v>
      </c>
      <c r="W5492">
        <v>-3.7029090000000001E-2</v>
      </c>
      <c r="X5492">
        <v>0.97647609999999996</v>
      </c>
      <c r="Y5492">
        <v>0.52980760000000005</v>
      </c>
      <c r="Z5492">
        <v>2.9701290000000002E-3</v>
      </c>
      <c r="AA5492">
        <v>0.84811270000000005</v>
      </c>
      <c r="AB5492">
        <v>23</v>
      </c>
      <c r="AC5492">
        <v>6.1942000000000199</v>
      </c>
      <c r="AD5492">
        <v>-1.119794</v>
      </c>
      <c r="AE5492">
        <v>-7.3438299999999996</v>
      </c>
      <c r="AF5492">
        <v>5.0838540516260702</v>
      </c>
      <c r="AG5492">
        <v>-1.119794</v>
      </c>
      <c r="AH5492">
        <v>7.9997937018128003</v>
      </c>
      <c r="AI5492">
        <v>96.737705509373896</v>
      </c>
      <c r="AJ5492">
        <v>57.564117280208102</v>
      </c>
      <c r="AK5492">
        <v>9.5444334505634494</v>
      </c>
      <c r="AL5492">
        <v>92.122095804497107</v>
      </c>
      <c r="AM5492">
        <v>77.727114364585702</v>
      </c>
      <c r="AN5492">
        <v>0.99999995921513796</v>
      </c>
    </row>
    <row r="5493" spans="1:40" x14ac:dyDescent="0.3">
      <c r="A5493" t="str">
        <f>"20200111160611043"</f>
        <v>20200111160611043</v>
      </c>
      <c r="B5493" t="str">
        <f>"1578729971037235"</f>
        <v>1578729971037235</v>
      </c>
      <c r="C5493" t="s">
        <v>40</v>
      </c>
      <c r="D5493">
        <v>5.5554079999999999</v>
      </c>
      <c r="E5493">
        <v>0.63799930000000005</v>
      </c>
      <c r="F5493" t="s">
        <v>44</v>
      </c>
      <c r="G5493">
        <v>-310.0643</v>
      </c>
      <c r="H5493">
        <v>-0.05</v>
      </c>
      <c r="I5493">
        <v>9.1891780000000001</v>
      </c>
      <c r="J5493">
        <v>-316.00869999999998</v>
      </c>
      <c r="K5493">
        <v>1.0688279999999999</v>
      </c>
      <c r="L5493">
        <v>16.322510000000001</v>
      </c>
      <c r="M5493">
        <v>0.9521984</v>
      </c>
      <c r="N5493">
        <v>0</v>
      </c>
      <c r="O5493">
        <v>-0.30444290000000002</v>
      </c>
      <c r="P5493">
        <v>0.86305409999999905</v>
      </c>
      <c r="Q5493">
        <v>-5.8877270000000002E-2</v>
      </c>
      <c r="R5493">
        <v>-0.50166849999999996</v>
      </c>
      <c r="S5493">
        <v>2.0492249999999999</v>
      </c>
      <c r="T5493">
        <v>-0.37867600000000001</v>
      </c>
      <c r="U5493">
        <v>-2.4265439999999998</v>
      </c>
      <c r="V5493">
        <v>0.2142791</v>
      </c>
      <c r="W5493">
        <v>-3.8609629999999999E-2</v>
      </c>
      <c r="X5493">
        <v>0.97600909999999996</v>
      </c>
      <c r="Y5493">
        <v>0.52969840000000001</v>
      </c>
      <c r="Z5493">
        <v>3.748875E-3</v>
      </c>
      <c r="AA5493">
        <v>0.84817779999999998</v>
      </c>
      <c r="AB5493">
        <v>23</v>
      </c>
      <c r="AC5493">
        <v>5.9443999999999697</v>
      </c>
      <c r="AD5493">
        <v>-1.1188279999999999</v>
      </c>
      <c r="AE5493">
        <v>-7.1333320000000002</v>
      </c>
      <c r="AF5493">
        <v>4.9128673199208297</v>
      </c>
      <c r="AG5493">
        <v>-1.1188279999999999</v>
      </c>
      <c r="AH5493">
        <v>7.7223043096468702</v>
      </c>
      <c r="AI5493">
        <v>96.9693410859946</v>
      </c>
      <c r="AJ5493">
        <v>57.5358125471381</v>
      </c>
      <c r="AK5493">
        <v>9.22073886668095</v>
      </c>
      <c r="AL5493">
        <v>92.212718831775206</v>
      </c>
      <c r="AM5493">
        <v>77.617383702284101</v>
      </c>
      <c r="AN5493">
        <v>0.99999999975417797</v>
      </c>
    </row>
    <row r="5494" spans="1:40" x14ac:dyDescent="0.3">
      <c r="A5494" t="str">
        <f>"20200111160611053"</f>
        <v>20200111160611053</v>
      </c>
      <c r="B5494" t="str">
        <f>"1578729971048093"</f>
        <v>1578729971048093</v>
      </c>
      <c r="C5494" t="s">
        <v>40</v>
      </c>
      <c r="D5494">
        <v>5.4233229999999999</v>
      </c>
      <c r="E5494">
        <v>0.62546169999999901</v>
      </c>
      <c r="F5494" t="s">
        <v>44</v>
      </c>
      <c r="G5494">
        <v>-310.07889999999998</v>
      </c>
      <c r="H5494">
        <v>-0.05</v>
      </c>
      <c r="I5494">
        <v>9.1937709999999999</v>
      </c>
      <c r="J5494">
        <v>-315.90609999999998</v>
      </c>
      <c r="K5494">
        <v>1.06799</v>
      </c>
      <c r="L5494">
        <v>16.283909999999999</v>
      </c>
      <c r="M5494">
        <v>0.95069990000000004</v>
      </c>
      <c r="N5494">
        <v>0</v>
      </c>
      <c r="O5494">
        <v>-0.30912119999999998</v>
      </c>
      <c r="P5494">
        <v>0.85962260000000001</v>
      </c>
      <c r="Q5494">
        <v>-5.9846589999999998E-2</v>
      </c>
      <c r="R5494">
        <v>-0.50741270000000005</v>
      </c>
      <c r="S5494">
        <v>2.0307919999999999</v>
      </c>
      <c r="T5494">
        <v>-0.38316440000000002</v>
      </c>
      <c r="U5494">
        <v>-2.441376</v>
      </c>
      <c r="V5494">
        <v>0.21599360000000001</v>
      </c>
      <c r="W5494">
        <v>-3.9933839999999998E-2</v>
      </c>
      <c r="X5494">
        <v>0.97557780000000005</v>
      </c>
      <c r="Y5494">
        <v>0.53182459999999998</v>
      </c>
      <c r="Z5494">
        <v>4.2525719999999996E-3</v>
      </c>
      <c r="AA5494">
        <v>0.84684389999999998</v>
      </c>
      <c r="AB5494">
        <v>23</v>
      </c>
      <c r="AC5494">
        <v>5.8272000000000004</v>
      </c>
      <c r="AD5494">
        <v>-1.11799</v>
      </c>
      <c r="AE5494">
        <v>-7.0901389999999997</v>
      </c>
      <c r="AF5494">
        <v>4.8685515894163602</v>
      </c>
      <c r="AG5494">
        <v>-1.11799</v>
      </c>
      <c r="AH5494">
        <v>7.6209118177787403</v>
      </c>
      <c r="AI5494">
        <v>97.047516536139</v>
      </c>
      <c r="AJ5494">
        <v>57.427887864784097</v>
      </c>
      <c r="AK5494">
        <v>9.1121343906501</v>
      </c>
      <c r="AL5494">
        <v>92.288649066694603</v>
      </c>
      <c r="AM5494">
        <v>77.516055233206998</v>
      </c>
      <c r="AN5494">
        <v>0.99999999533547201</v>
      </c>
    </row>
    <row r="5495" spans="1:40" x14ac:dyDescent="0.3">
      <c r="A5495" t="str">
        <f>"20200111160611064"</f>
        <v>20200111160611064</v>
      </c>
      <c r="B5495" t="str">
        <f>"1578729971057852"</f>
        <v>1578729971057852</v>
      </c>
      <c r="C5495" t="s">
        <v>40</v>
      </c>
      <c r="D5495">
        <v>5.5032809999999897</v>
      </c>
      <c r="E5495">
        <v>0.62518750000000001</v>
      </c>
      <c r="F5495" t="s">
        <v>44</v>
      </c>
      <c r="G5495">
        <v>-311.06950000000001</v>
      </c>
      <c r="H5495">
        <v>-0.05</v>
      </c>
      <c r="I5495">
        <v>10.75027</v>
      </c>
      <c r="J5495">
        <v>-315.79309999999998</v>
      </c>
      <c r="K5495">
        <v>1.0670740000000001</v>
      </c>
      <c r="L5495">
        <v>16.24118</v>
      </c>
      <c r="M5495">
        <v>0.94902030000000004</v>
      </c>
      <c r="N5495">
        <v>0</v>
      </c>
      <c r="O5495">
        <v>-0.31427260000000001</v>
      </c>
      <c r="P5495">
        <v>0.85601249999999995</v>
      </c>
      <c r="Q5495">
        <v>-6.0829620000000001E-2</v>
      </c>
      <c r="R5495">
        <v>-0.51336400000000004</v>
      </c>
      <c r="S5495">
        <v>2.0632929999999998</v>
      </c>
      <c r="T5495">
        <v>-0.47693079999999999</v>
      </c>
      <c r="U5495">
        <v>-2.3606259999999999</v>
      </c>
      <c r="V5495">
        <v>0.217478</v>
      </c>
      <c r="W5495">
        <v>-4.1299259999999997E-2</v>
      </c>
      <c r="X5495">
        <v>0.97519109999999998</v>
      </c>
      <c r="Y5495">
        <v>0.50574649999999999</v>
      </c>
      <c r="Z5495">
        <v>8.5641669999999993E-3</v>
      </c>
      <c r="AA5495">
        <v>0.86263969999999901</v>
      </c>
      <c r="AB5495">
        <v>23</v>
      </c>
      <c r="AC5495">
        <v>4.72359999999997</v>
      </c>
      <c r="AD5495">
        <v>-1.1170739999999999</v>
      </c>
      <c r="AE5495">
        <v>-5.4909100000000004</v>
      </c>
      <c r="AF5495">
        <v>3.6409894809527401</v>
      </c>
      <c r="AG5495">
        <v>-1.1170739999999999</v>
      </c>
      <c r="AH5495">
        <v>6.0659935143703603</v>
      </c>
      <c r="AI5495">
        <v>98.972603832973704</v>
      </c>
      <c r="AJ5495">
        <v>59.026567265359603</v>
      </c>
      <c r="AK5495">
        <v>7.1624671753710496</v>
      </c>
      <c r="AL5495">
        <v>92.366946486640003</v>
      </c>
      <c r="AM5495">
        <v>77.428151777395499</v>
      </c>
      <c r="AN5495">
        <v>0.99999999543987805</v>
      </c>
    </row>
    <row r="5496" spans="1:40" x14ac:dyDescent="0.3">
      <c r="A5496" t="str">
        <f>"20200111160611076"</f>
        <v>20200111160611076</v>
      </c>
      <c r="B5496" t="str">
        <f>"1578729971067613"</f>
        <v>1578729971067613</v>
      </c>
      <c r="C5496" t="s">
        <v>40</v>
      </c>
      <c r="D5496">
        <v>5.4847760000000001</v>
      </c>
      <c r="E5496">
        <v>0.62407480000000004</v>
      </c>
      <c r="F5496" t="s">
        <v>44</v>
      </c>
      <c r="G5496">
        <v>-311.07839999999999</v>
      </c>
      <c r="H5496">
        <v>-0.05</v>
      </c>
      <c r="I5496">
        <v>10.77946</v>
      </c>
      <c r="J5496">
        <v>-315.67970000000003</v>
      </c>
      <c r="K5496">
        <v>1.066171</v>
      </c>
      <c r="L5496">
        <v>16.197199999999999</v>
      </c>
      <c r="M5496">
        <v>0.94730510000000001</v>
      </c>
      <c r="N5496">
        <v>0</v>
      </c>
      <c r="O5496">
        <v>-0.31943709999999997</v>
      </c>
      <c r="P5496">
        <v>0.85240009999999999</v>
      </c>
      <c r="Q5496">
        <v>-6.0955009999999997E-2</v>
      </c>
      <c r="R5496">
        <v>-0.5193255</v>
      </c>
      <c r="S5496">
        <v>2.0476070000000002</v>
      </c>
      <c r="T5496">
        <v>-0.48514750000000001</v>
      </c>
      <c r="U5496">
        <v>-2.3720400000000001</v>
      </c>
      <c r="V5496">
        <v>0.21897330000000001</v>
      </c>
      <c r="W5496">
        <v>-4.1830810000000003E-2</v>
      </c>
      <c r="X5496">
        <v>0.97483379999999997</v>
      </c>
      <c r="Y5496">
        <v>0.50634209999999902</v>
      </c>
      <c r="Z5496">
        <v>9.5270349999999997E-3</v>
      </c>
      <c r="AA5496">
        <v>0.86228009999999999</v>
      </c>
      <c r="AB5496">
        <v>23</v>
      </c>
      <c r="AC5496">
        <v>4.6013000000000304</v>
      </c>
      <c r="AD5496">
        <v>-1.11617099999999</v>
      </c>
      <c r="AE5496">
        <v>-5.4177399999999896</v>
      </c>
      <c r="AF5496">
        <v>3.5753149733856802</v>
      </c>
      <c r="AG5496">
        <v>-1.11617099999999</v>
      </c>
      <c r="AH5496">
        <v>5.9446225762988698</v>
      </c>
      <c r="AI5496">
        <v>99.140662652296697</v>
      </c>
      <c r="AJ5496">
        <v>58.975749157600397</v>
      </c>
      <c r="AK5496">
        <v>7.0261833476503499</v>
      </c>
      <c r="AL5496">
        <v>92.397428317811006</v>
      </c>
      <c r="AM5496">
        <v>77.339998386081405</v>
      </c>
      <c r="AN5496">
        <v>1.00000003020029</v>
      </c>
    </row>
    <row r="5497" spans="1:40" x14ac:dyDescent="0.3">
      <c r="A5497" t="str">
        <f>"20200111160611087"</f>
        <v>20200111160611087</v>
      </c>
      <c r="B5497" t="str">
        <f>"1578729971077373"</f>
        <v>1578729971077373</v>
      </c>
      <c r="C5497" t="s">
        <v>40</v>
      </c>
      <c r="D5497">
        <v>5.5159050000000001</v>
      </c>
      <c r="E5497">
        <v>0.62320019999999998</v>
      </c>
      <c r="F5497" t="s">
        <v>44</v>
      </c>
      <c r="G5497">
        <v>-311.00170000000003</v>
      </c>
      <c r="H5497">
        <v>-0.05</v>
      </c>
      <c r="I5497">
        <v>10.731960000000001</v>
      </c>
      <c r="J5497">
        <v>-315.57709999999997</v>
      </c>
      <c r="K5497">
        <v>1.0653680000000001</v>
      </c>
      <c r="L5497">
        <v>16.156949999999998</v>
      </c>
      <c r="M5497">
        <v>0.94572780000000001</v>
      </c>
      <c r="N5497">
        <v>0</v>
      </c>
      <c r="O5497">
        <v>-0.32410539999999999</v>
      </c>
      <c r="P5497">
        <v>0.84918839999999995</v>
      </c>
      <c r="Q5497">
        <v>-6.1188279999999998E-2</v>
      </c>
      <c r="R5497">
        <v>-0.52453359999999905</v>
      </c>
      <c r="S5497">
        <v>2.035736</v>
      </c>
      <c r="T5497">
        <v>-0.48572769999999998</v>
      </c>
      <c r="U5497">
        <v>-2.3783259999999999</v>
      </c>
      <c r="V5497">
        <v>0.22013460000000001</v>
      </c>
      <c r="W5497">
        <v>-4.2429210000000002E-2</v>
      </c>
      <c r="X5497">
        <v>0.97454629999999998</v>
      </c>
      <c r="Y5497">
        <v>0.50574669999999999</v>
      </c>
      <c r="Z5497">
        <v>1.038732E-2</v>
      </c>
      <c r="AA5497">
        <v>0.86261949999999998</v>
      </c>
      <c r="AB5497">
        <v>23</v>
      </c>
      <c r="AC5497">
        <v>4.5753999999999397</v>
      </c>
      <c r="AD5497">
        <v>-1.1153679999999999</v>
      </c>
      <c r="AE5497">
        <v>-5.4249899999999904</v>
      </c>
      <c r="AF5497">
        <v>3.56071188783707</v>
      </c>
      <c r="AG5497">
        <v>-1.1153679999999999</v>
      </c>
      <c r="AH5497">
        <v>5.9403099506289703</v>
      </c>
      <c r="AI5497">
        <v>99.148738137918301</v>
      </c>
      <c r="AJ5497">
        <v>59.060888352724703</v>
      </c>
      <c r="AK5497">
        <v>7.0149837657082097</v>
      </c>
      <c r="AL5497">
        <v>92.431744688871206</v>
      </c>
      <c r="AM5497">
        <v>77.271406482092203</v>
      </c>
      <c r="AN5497">
        <v>0.99999998541103596</v>
      </c>
    </row>
    <row r="5498" spans="1:40" x14ac:dyDescent="0.3">
      <c r="A5498" t="str">
        <f>"20200111160611097"</f>
        <v>20200111160611097</v>
      </c>
      <c r="B5498" t="str">
        <f>"1578729971088110"</f>
        <v>1578729971088110</v>
      </c>
      <c r="C5498" t="s">
        <v>40</v>
      </c>
      <c r="D5498">
        <v>5.4935400000000003</v>
      </c>
      <c r="E5498">
        <v>0.62254759999999998</v>
      </c>
      <c r="F5498" t="s">
        <v>44</v>
      </c>
      <c r="G5498">
        <v>-310.96870000000001</v>
      </c>
      <c r="H5498">
        <v>-0.05</v>
      </c>
      <c r="I5498">
        <v>10.729889999999999</v>
      </c>
      <c r="J5498">
        <v>-315.46910000000003</v>
      </c>
      <c r="K5498">
        <v>1.0645549999999999</v>
      </c>
      <c r="L5498">
        <v>16.113769999999999</v>
      </c>
      <c r="M5498">
        <v>0.94404489999999996</v>
      </c>
      <c r="N5498">
        <v>0</v>
      </c>
      <c r="O5498">
        <v>-0.3290032</v>
      </c>
      <c r="P5498">
        <v>0.84571609999999997</v>
      </c>
      <c r="Q5498">
        <v>-6.1767120000000002E-2</v>
      </c>
      <c r="R5498">
        <v>-0.53004649999999998</v>
      </c>
      <c r="S5498">
        <v>2.024689</v>
      </c>
      <c r="T5498">
        <v>-0.4900352</v>
      </c>
      <c r="U5498">
        <v>-2.384369</v>
      </c>
      <c r="V5498">
        <v>0.22142510000000001</v>
      </c>
      <c r="W5498">
        <v>-4.3401120000000001E-2</v>
      </c>
      <c r="X5498">
        <v>0.9742111</v>
      </c>
      <c r="Y5498">
        <v>0.50470109999999901</v>
      </c>
      <c r="Z5498">
        <v>1.1416030000000001E-2</v>
      </c>
      <c r="AA5498">
        <v>0.86321870000000001</v>
      </c>
      <c r="AB5498">
        <v>23</v>
      </c>
      <c r="AC5498">
        <v>4.5004000000000097</v>
      </c>
      <c r="AD5498">
        <v>-1.114555</v>
      </c>
      <c r="AE5498">
        <v>-5.3838800000000004</v>
      </c>
      <c r="AF5498">
        <v>3.5142851439262399</v>
      </c>
      <c r="AG5498">
        <v>-1.114555</v>
      </c>
      <c r="AH5498">
        <v>5.8733338541273898</v>
      </c>
      <c r="AI5498">
        <v>99.2489272291037</v>
      </c>
      <c r="AJ5498">
        <v>59.105980940930401</v>
      </c>
      <c r="AK5498">
        <v>6.9345860354374897</v>
      </c>
      <c r="AL5498">
        <v>92.487482347307903</v>
      </c>
      <c r="AM5498">
        <v>77.194979727460606</v>
      </c>
      <c r="AN5498">
        <v>0.99999999974523701</v>
      </c>
    </row>
    <row r="5499" spans="1:40" x14ac:dyDescent="0.3">
      <c r="A5499" t="str">
        <f>"20200111160611109"</f>
        <v>20200111160611109</v>
      </c>
      <c r="B5499" t="str">
        <f>"1578729971107629"</f>
        <v>1578729971107629</v>
      </c>
      <c r="C5499" t="s">
        <v>40</v>
      </c>
      <c r="D5499">
        <v>5.5532269999999997</v>
      </c>
      <c r="E5499">
        <v>0.62113739999999995</v>
      </c>
      <c r="F5499" t="s">
        <v>44</v>
      </c>
      <c r="G5499">
        <v>-310.92070000000001</v>
      </c>
      <c r="H5499">
        <v>-0.05</v>
      </c>
      <c r="I5499">
        <v>10.70396</v>
      </c>
      <c r="J5499">
        <v>-315.36180000000002</v>
      </c>
      <c r="K5499">
        <v>1.0637840000000001</v>
      </c>
      <c r="L5499">
        <v>16.070219999999999</v>
      </c>
      <c r="M5499">
        <v>0.94234510000000005</v>
      </c>
      <c r="N5499">
        <v>0</v>
      </c>
      <c r="O5499">
        <v>-0.333868</v>
      </c>
      <c r="P5499">
        <v>0.84248619999999996</v>
      </c>
      <c r="Q5499">
        <v>-6.2180180000000002E-2</v>
      </c>
      <c r="R5499">
        <v>-0.53511790000000004</v>
      </c>
      <c r="S5499">
        <v>2.0116879999999999</v>
      </c>
      <c r="T5499">
        <v>-0.49295660000000002</v>
      </c>
      <c r="U5499">
        <v>-2.3927</v>
      </c>
      <c r="V5499">
        <v>0.22225610000000001</v>
      </c>
      <c r="W5499">
        <v>-4.4187230000000001E-2</v>
      </c>
      <c r="X5499">
        <v>0.97398649999999998</v>
      </c>
      <c r="Y5499">
        <v>0.50450539999999999</v>
      </c>
      <c r="Z5499">
        <v>1.234291E-2</v>
      </c>
      <c r="AA5499">
        <v>0.86332030000000004</v>
      </c>
      <c r="AB5499">
        <v>23</v>
      </c>
      <c r="AC5499">
        <v>4.4410999999999996</v>
      </c>
      <c r="AD5499">
        <v>-1.1137840000000001</v>
      </c>
      <c r="AE5499">
        <v>-5.3662599999999996</v>
      </c>
      <c r="AF5499">
        <v>3.48592865969538</v>
      </c>
      <c r="AG5499">
        <v>-1.1137840000000001</v>
      </c>
      <c r="AH5499">
        <v>5.82918460786287</v>
      </c>
      <c r="AI5499">
        <v>99.312761640736497</v>
      </c>
      <c r="AJ5499">
        <v>59.120024164120998</v>
      </c>
      <c r="AK5499">
        <v>6.8827034377261196</v>
      </c>
      <c r="AL5499">
        <v>92.532566403721404</v>
      </c>
      <c r="AM5499">
        <v>77.145650754532099</v>
      </c>
      <c r="AN5499">
        <v>0.999999993732266</v>
      </c>
    </row>
    <row r="5500" spans="1:40" x14ac:dyDescent="0.3">
      <c r="A5500" t="str">
        <f>"20200111160611123"</f>
        <v>20200111160611123</v>
      </c>
      <c r="B5500" t="str">
        <f>"1578729971117389"</f>
        <v>1578729971117389</v>
      </c>
      <c r="C5500" t="s">
        <v>40</v>
      </c>
      <c r="D5500">
        <v>5.5831600000000003</v>
      </c>
      <c r="E5500">
        <v>0.62034480000000003</v>
      </c>
      <c r="F5500" t="s">
        <v>44</v>
      </c>
      <c r="G5500">
        <v>-310.85270000000003</v>
      </c>
      <c r="H5500">
        <v>-0.05</v>
      </c>
      <c r="I5500">
        <v>10.679320000000001</v>
      </c>
      <c r="J5500">
        <v>-315.23309999999998</v>
      </c>
      <c r="K5500">
        <v>1.0629029999999999</v>
      </c>
      <c r="L5500">
        <v>16.017240000000001</v>
      </c>
      <c r="M5500">
        <v>0.94026860000000001</v>
      </c>
      <c r="N5500">
        <v>0</v>
      </c>
      <c r="O5500">
        <v>-0.3397017</v>
      </c>
      <c r="P5500">
        <v>0.83870449999999996</v>
      </c>
      <c r="Q5500">
        <v>-6.2711149999999993E-2</v>
      </c>
      <c r="R5500">
        <v>-0.54096390000000005</v>
      </c>
      <c r="S5500">
        <v>2.003174</v>
      </c>
      <c r="T5500">
        <v>-0.4947956</v>
      </c>
      <c r="U5500">
        <v>-2.3948969999999998</v>
      </c>
      <c r="V5500">
        <v>0.2229981</v>
      </c>
      <c r="W5500">
        <v>-4.515247E-2</v>
      </c>
      <c r="X5500">
        <v>0.97377259999999999</v>
      </c>
      <c r="Y5500">
        <v>0.50142979999999904</v>
      </c>
      <c r="Z5500">
        <v>1.3692640000000001E-2</v>
      </c>
      <c r="AA5500">
        <v>0.86508999999999903</v>
      </c>
      <c r="AB5500">
        <v>23</v>
      </c>
      <c r="AC5500">
        <v>4.3803999999999501</v>
      </c>
      <c r="AD5500">
        <v>-1.112903</v>
      </c>
      <c r="AE5500">
        <v>-5.3379199999999898</v>
      </c>
      <c r="AF5500">
        <v>3.44250690544134</v>
      </c>
      <c r="AG5500">
        <v>-1.112903</v>
      </c>
      <c r="AH5500">
        <v>5.7833047035816501</v>
      </c>
      <c r="AI5500">
        <v>99.389249068013399</v>
      </c>
      <c r="AJ5500">
        <v>59.2368150025098</v>
      </c>
      <c r="AK5500">
        <v>6.8217314646569003</v>
      </c>
      <c r="AL5500">
        <v>92.587925860596897</v>
      </c>
      <c r="AM5500">
        <v>77.101431084375804</v>
      </c>
      <c r="AN5500">
        <v>0.99999998733073503</v>
      </c>
    </row>
    <row r="5501" spans="1:40" x14ac:dyDescent="0.3">
      <c r="A5501" t="str">
        <f>"20200111160611134"</f>
        <v>20200111160611134</v>
      </c>
      <c r="B5501" t="str">
        <f>"1578729971128125"</f>
        <v>1578729971128125</v>
      </c>
      <c r="C5501" t="s">
        <v>40</v>
      </c>
      <c r="D5501">
        <v>5.557804</v>
      </c>
      <c r="E5501">
        <v>0.61959169999999997</v>
      </c>
      <c r="F5501" t="s">
        <v>44</v>
      </c>
      <c r="G5501">
        <v>-310.7704</v>
      </c>
      <c r="H5501">
        <v>-0.05</v>
      </c>
      <c r="I5501">
        <v>10.62805</v>
      </c>
      <c r="J5501">
        <v>-315.1164</v>
      </c>
      <c r="K5501">
        <v>1.0621860000000001</v>
      </c>
      <c r="L5501">
        <v>15.96796</v>
      </c>
      <c r="M5501">
        <v>0.9383338</v>
      </c>
      <c r="N5501">
        <v>0</v>
      </c>
      <c r="O5501">
        <v>-0.34503610000000001</v>
      </c>
      <c r="P5501">
        <v>0.83517759999999996</v>
      </c>
      <c r="Q5501">
        <v>-6.3321479999999999E-2</v>
      </c>
      <c r="R5501">
        <v>-0.54632340000000001</v>
      </c>
      <c r="S5501">
        <v>1.989868</v>
      </c>
      <c r="T5501">
        <v>-0.49623689999999998</v>
      </c>
      <c r="U5501">
        <v>-2.4030149999999999</v>
      </c>
      <c r="V5501">
        <v>0.2237101</v>
      </c>
      <c r="W5501">
        <v>-4.6132119999999999E-2</v>
      </c>
      <c r="X5501">
        <v>0.97356339999999997</v>
      </c>
      <c r="Y5501">
        <v>0.50084519999999999</v>
      </c>
      <c r="Z5501">
        <v>1.472044E-2</v>
      </c>
      <c r="AA5501">
        <v>0.86541170000000001</v>
      </c>
      <c r="AB5501">
        <v>23</v>
      </c>
      <c r="AC5501">
        <v>4.3460000000000001</v>
      </c>
      <c r="AD5501">
        <v>-1.1121859999999999</v>
      </c>
      <c r="AE5501">
        <v>-5.3399099999999997</v>
      </c>
      <c r="AF5501">
        <v>3.4226209065508701</v>
      </c>
      <c r="AG5501">
        <v>-1.1121859999999999</v>
      </c>
      <c r="AH5501">
        <v>5.7712804143049201</v>
      </c>
      <c r="AI5501">
        <v>99.411456449502793</v>
      </c>
      <c r="AJ5501">
        <v>59.330211045993003</v>
      </c>
      <c r="AK5501">
        <v>6.8013946502974401</v>
      </c>
      <c r="AL5501">
        <v>92.644114097872702</v>
      </c>
      <c r="AM5501">
        <v>77.058944987598906</v>
      </c>
      <c r="AN5501">
        <v>1.00000003757863</v>
      </c>
    </row>
    <row r="5502" spans="1:40" x14ac:dyDescent="0.3">
      <c r="A5502" t="str">
        <f>"20200111160611147"</f>
        <v>20200111160611147</v>
      </c>
      <c r="B5502" t="str">
        <f>"1578729971137885"</f>
        <v>1578729971137885</v>
      </c>
      <c r="C5502" t="s">
        <v>40</v>
      </c>
      <c r="D5502">
        <v>5.5768579999999996</v>
      </c>
      <c r="E5502">
        <v>0.6189559</v>
      </c>
      <c r="F5502" t="s">
        <v>44</v>
      </c>
      <c r="G5502">
        <v>-310.62889999999999</v>
      </c>
      <c r="H5502">
        <v>-0.05</v>
      </c>
      <c r="I5502">
        <v>10.49663</v>
      </c>
      <c r="J5502">
        <v>-314.9973</v>
      </c>
      <c r="K5502">
        <v>1.06149</v>
      </c>
      <c r="L5502">
        <v>15.917179999999901</v>
      </c>
      <c r="M5502">
        <v>0.93631560000000003</v>
      </c>
      <c r="N5502">
        <v>0</v>
      </c>
      <c r="O5502">
        <v>-0.35050039999999999</v>
      </c>
      <c r="P5502">
        <v>0.831785</v>
      </c>
      <c r="Q5502">
        <v>-6.3629050000000006E-2</v>
      </c>
      <c r="R5502">
        <v>-0.55143900000000001</v>
      </c>
      <c r="S5502">
        <v>1.9776309999999999</v>
      </c>
      <c r="T5502">
        <v>-0.4901296</v>
      </c>
      <c r="U5502">
        <v>-2.4111630000000002</v>
      </c>
      <c r="V5502">
        <v>0.22401650000000001</v>
      </c>
      <c r="W5502">
        <v>-4.6793300000000003E-2</v>
      </c>
      <c r="X5502">
        <v>0.97346129999999997</v>
      </c>
      <c r="Y5502">
        <v>0.49997419999999998</v>
      </c>
      <c r="Z5502">
        <v>1.556486E-2</v>
      </c>
      <c r="AA5502">
        <v>0.86590040000000001</v>
      </c>
      <c r="AB5502">
        <v>23</v>
      </c>
      <c r="AC5502">
        <v>4.3684000000000003</v>
      </c>
      <c r="AD5502">
        <v>-1.1114899999999901</v>
      </c>
      <c r="AE5502">
        <v>-5.4205499999999898</v>
      </c>
      <c r="AF5502">
        <v>3.4569205367651001</v>
      </c>
      <c r="AG5502">
        <v>-1.1114899999999901</v>
      </c>
      <c r="AH5502">
        <v>5.8425613953263298</v>
      </c>
      <c r="AI5502">
        <v>99.298399428012004</v>
      </c>
      <c r="AJ5502">
        <v>59.3880907009071</v>
      </c>
      <c r="AK5502">
        <v>6.8790430494194403</v>
      </c>
      <c r="AL5502">
        <v>92.682038101970093</v>
      </c>
      <c r="AM5502">
        <v>77.040505174982798</v>
      </c>
      <c r="AN5502">
        <v>0.99999995389741303</v>
      </c>
    </row>
    <row r="5503" spans="1:40" x14ac:dyDescent="0.3">
      <c r="A5503" t="str">
        <f>"20200111160611158"</f>
        <v>20200111160611158</v>
      </c>
      <c r="B5503" t="str">
        <f>"1578729971147411"</f>
        <v>1578729971147411</v>
      </c>
      <c r="C5503" t="s">
        <v>40</v>
      </c>
      <c r="D5503">
        <v>5.5869460000000002</v>
      </c>
      <c r="E5503">
        <v>0.6189559</v>
      </c>
      <c r="F5503" t="s">
        <v>44</v>
      </c>
      <c r="G5503">
        <v>-310.50720000000001</v>
      </c>
      <c r="H5503">
        <v>-0.05</v>
      </c>
      <c r="I5503">
        <v>10.39101</v>
      </c>
      <c r="J5503">
        <v>-314.88979999999998</v>
      </c>
      <c r="K5503">
        <v>1.0609219999999999</v>
      </c>
      <c r="L5503">
        <v>15.870419999999999</v>
      </c>
      <c r="M5503">
        <v>0.93444039999999995</v>
      </c>
      <c r="N5503">
        <v>0</v>
      </c>
      <c r="O5503">
        <v>-0.35548980000000002</v>
      </c>
      <c r="P5503">
        <v>0.82864450000000001</v>
      </c>
      <c r="Q5503">
        <v>-6.3897239999999994E-2</v>
      </c>
      <c r="R5503">
        <v>-0.55611650000000001</v>
      </c>
      <c r="S5503">
        <v>1.965668</v>
      </c>
      <c r="T5503">
        <v>-0.48658309999999999</v>
      </c>
      <c r="U5503">
        <v>-2.4192200000000001</v>
      </c>
      <c r="V5503">
        <v>0.22431470000000001</v>
      </c>
      <c r="W5503">
        <v>-4.7360180000000002E-2</v>
      </c>
      <c r="X5503">
        <v>0.97336520000000004</v>
      </c>
      <c r="Y5503">
        <v>0.49942930000000002</v>
      </c>
      <c r="Z5503">
        <v>1.636046E-2</v>
      </c>
      <c r="AA5503">
        <v>0.86620010000000003</v>
      </c>
      <c r="AB5503">
        <v>23</v>
      </c>
      <c r="AC5503">
        <v>4.3825999999999601</v>
      </c>
      <c r="AD5503">
        <v>-1.110922</v>
      </c>
      <c r="AE5503">
        <v>-5.4794099999999997</v>
      </c>
      <c r="AF5503">
        <v>3.4758761101050202</v>
      </c>
      <c r="AG5503">
        <v>-1.110922</v>
      </c>
      <c r="AH5503">
        <v>5.8966866272634002</v>
      </c>
      <c r="AI5503">
        <v>99.218681278921693</v>
      </c>
      <c r="AJ5503">
        <v>59.482241501516903</v>
      </c>
      <c r="AK5503">
        <v>6.9344628921806004</v>
      </c>
      <c r="AL5503">
        <v>92.714554019068203</v>
      </c>
      <c r="AM5503">
        <v>77.022599854744101</v>
      </c>
      <c r="AN5503">
        <v>0.99999994192837904</v>
      </c>
    </row>
    <row r="5504" spans="1:40" x14ac:dyDescent="0.3">
      <c r="A5504" t="str">
        <f>"20200111160611169"</f>
        <v>20200111160611169</v>
      </c>
      <c r="B5504" t="str">
        <f>"1578729971167907"</f>
        <v>1578729971167907</v>
      </c>
      <c r="C5504" t="s">
        <v>40</v>
      </c>
      <c r="D5504">
        <v>5.7662690000000003</v>
      </c>
      <c r="E5504">
        <v>0.60959960000000002</v>
      </c>
      <c r="F5504" t="s">
        <v>44</v>
      </c>
      <c r="G5504">
        <v>-310.44869999999997</v>
      </c>
      <c r="H5504">
        <v>-0.05</v>
      </c>
      <c r="I5504">
        <v>10.341950000000001</v>
      </c>
      <c r="J5504">
        <v>-314.78660000000002</v>
      </c>
      <c r="K5504">
        <v>1.060411</v>
      </c>
      <c r="L5504">
        <v>15.824920000000001</v>
      </c>
      <c r="M5504">
        <v>0.93259899999999996</v>
      </c>
      <c r="N5504">
        <v>0</v>
      </c>
      <c r="O5504">
        <v>-0.3603113</v>
      </c>
      <c r="P5504">
        <v>0.82570679999999996</v>
      </c>
      <c r="Q5504">
        <v>-6.3408229999999996E-2</v>
      </c>
      <c r="R5504">
        <v>-0.5605251</v>
      </c>
      <c r="S5504">
        <v>1.951965</v>
      </c>
      <c r="T5504">
        <v>-0.48827120000000002</v>
      </c>
      <c r="U5504">
        <v>-2.4298709999999999</v>
      </c>
      <c r="V5504">
        <v>0.2244746</v>
      </c>
      <c r="W5504">
        <v>-4.7139210000000001E-2</v>
      </c>
      <c r="X5504">
        <v>0.97333910000000001</v>
      </c>
      <c r="Y5504">
        <v>0.49981300000000001</v>
      </c>
      <c r="Z5504">
        <v>1.7210590000000001E-2</v>
      </c>
      <c r="AA5504">
        <v>0.86596229999999996</v>
      </c>
      <c r="AB5504">
        <v>23</v>
      </c>
      <c r="AC5504">
        <v>4.3379000000000403</v>
      </c>
      <c r="AD5504">
        <v>-1.110411</v>
      </c>
      <c r="AE5504">
        <v>-5.4829699999999999</v>
      </c>
      <c r="AF5504">
        <v>3.4638150253792901</v>
      </c>
      <c r="AG5504">
        <v>-1.110411</v>
      </c>
      <c r="AH5504">
        <v>5.8742287289431196</v>
      </c>
      <c r="AI5504">
        <v>99.248337426802905</v>
      </c>
      <c r="AJ5504">
        <v>59.473722385936298</v>
      </c>
      <c r="AK5504">
        <v>6.90923948628972</v>
      </c>
      <c r="AL5504">
        <v>92.701879117687497</v>
      </c>
      <c r="AM5504">
        <v>77.013326127389305</v>
      </c>
      <c r="AN5504">
        <v>0.99999997737669599</v>
      </c>
    </row>
    <row r="5505" spans="1:40" x14ac:dyDescent="0.3">
      <c r="A5505" t="str">
        <f>"20200111160611181"</f>
        <v>20200111160611181</v>
      </c>
      <c r="B5505" t="str">
        <f>"1578729971177668"</f>
        <v>1578729971177668</v>
      </c>
      <c r="C5505" t="s">
        <v>40</v>
      </c>
      <c r="D5505">
        <v>5.6039059999999896</v>
      </c>
      <c r="E5505">
        <v>0.60959960000000002</v>
      </c>
      <c r="F5505" t="s">
        <v>44</v>
      </c>
      <c r="G5505">
        <v>-309.6746</v>
      </c>
      <c r="H5505">
        <v>-0.05</v>
      </c>
      <c r="I5505">
        <v>9.6767730000000007</v>
      </c>
      <c r="J5505">
        <v>-314.67239999999998</v>
      </c>
      <c r="K5505">
        <v>1.059885</v>
      </c>
      <c r="L5505">
        <v>15.773960000000001</v>
      </c>
      <c r="M5505">
        <v>0.93051379999999995</v>
      </c>
      <c r="N5505">
        <v>0</v>
      </c>
      <c r="O5505">
        <v>-0.36568089999999998</v>
      </c>
      <c r="P5505">
        <v>0.82248659999999996</v>
      </c>
      <c r="Q5505">
        <v>-6.2708819999999998E-2</v>
      </c>
      <c r="R5505">
        <v>-0.56531739999999997</v>
      </c>
      <c r="S5505">
        <v>1.9820249999999999</v>
      </c>
      <c r="T5505">
        <v>-0.43052259999999998</v>
      </c>
      <c r="U5505">
        <v>-2.3837280000000001</v>
      </c>
      <c r="V5505">
        <v>0.22452250000000001</v>
      </c>
      <c r="W5505">
        <v>-4.6719240000000002E-2</v>
      </c>
      <c r="X5505">
        <v>0.97334830000000006</v>
      </c>
      <c r="Y5505">
        <v>0.48066599999999998</v>
      </c>
      <c r="Z5505">
        <v>1.7604660000000001E-2</v>
      </c>
      <c r="AA5505">
        <v>0.87672700000000003</v>
      </c>
      <c r="AB5505">
        <v>23</v>
      </c>
      <c r="AC5505">
        <v>4.9977999999999803</v>
      </c>
      <c r="AD5505">
        <v>-1.109885</v>
      </c>
      <c r="AE5505">
        <v>-6.0971869999999999</v>
      </c>
      <c r="AF5505">
        <v>3.7719695984848398</v>
      </c>
      <c r="AG5505">
        <v>-1.109885</v>
      </c>
      <c r="AH5505">
        <v>6.7478592476207098</v>
      </c>
      <c r="AI5505">
        <v>98.170200325244394</v>
      </c>
      <c r="AJ5505">
        <v>60.795351255743903</v>
      </c>
      <c r="AK5505">
        <v>7.8098145810780499</v>
      </c>
      <c r="AL5505">
        <v>92.677790069206793</v>
      </c>
      <c r="AM5505">
        <v>77.010767519660504</v>
      </c>
      <c r="AN5505">
        <v>0.99999997675265795</v>
      </c>
    </row>
    <row r="5506" spans="1:40" x14ac:dyDescent="0.3">
      <c r="A5506" t="str">
        <f>"20200111160611194"</f>
        <v>20200111160611194</v>
      </c>
      <c r="B5506" t="str">
        <f>"1578729971187428"</f>
        <v>1578729971187428</v>
      </c>
      <c r="C5506" t="s">
        <v>40</v>
      </c>
      <c r="D5506">
        <v>5.6774940000000003</v>
      </c>
      <c r="E5506">
        <v>0.6088614</v>
      </c>
      <c r="F5506" t="s">
        <v>44</v>
      </c>
      <c r="G5506">
        <v>-309.58519999999999</v>
      </c>
      <c r="H5506">
        <v>-0.05</v>
      </c>
      <c r="I5506">
        <v>9.5848849999999999</v>
      </c>
      <c r="J5506">
        <v>-314.55669999999998</v>
      </c>
      <c r="K5506">
        <v>1.059404</v>
      </c>
      <c r="L5506">
        <v>15.72119</v>
      </c>
      <c r="M5506">
        <v>0.92834130000000004</v>
      </c>
      <c r="N5506">
        <v>0</v>
      </c>
      <c r="O5506">
        <v>-0.37117840000000002</v>
      </c>
      <c r="P5506">
        <v>0.81906279999999998</v>
      </c>
      <c r="Q5506">
        <v>-6.126943E-2</v>
      </c>
      <c r="R5506">
        <v>-0.5704224</v>
      </c>
      <c r="S5506">
        <v>1.9685969999999999</v>
      </c>
      <c r="T5506">
        <v>-0.4294924</v>
      </c>
      <c r="U5506">
        <v>-2.3949889999999998</v>
      </c>
      <c r="V5506">
        <v>0.22480900000000001</v>
      </c>
      <c r="W5506">
        <v>-4.5548320000000003E-2</v>
      </c>
      <c r="X5506">
        <v>0.97333769999999997</v>
      </c>
      <c r="Y5506">
        <v>0.4804891</v>
      </c>
      <c r="Z5506">
        <v>1.8409999999999999E-2</v>
      </c>
      <c r="AA5506">
        <v>0.87680749999999996</v>
      </c>
      <c r="AB5506">
        <v>23</v>
      </c>
      <c r="AC5506">
        <v>4.97149999999999</v>
      </c>
      <c r="AD5506">
        <v>-1.1094040000000001</v>
      </c>
      <c r="AE5506">
        <v>-6.1363050000000001</v>
      </c>
      <c r="AF5506">
        <v>3.7775163353071801</v>
      </c>
      <c r="AG5506">
        <v>-1.1094040000000001</v>
      </c>
      <c r="AH5506">
        <v>6.7609066519526699</v>
      </c>
      <c r="AI5506">
        <v>98.152043684037693</v>
      </c>
      <c r="AJ5506">
        <v>60.806630255162403</v>
      </c>
      <c r="AK5506">
        <v>7.8236989752383996</v>
      </c>
      <c r="AL5506">
        <v>92.610629702831105</v>
      </c>
      <c r="AM5506">
        <v>76.994619037210001</v>
      </c>
      <c r="AN5506">
        <v>1.00000000708855</v>
      </c>
    </row>
    <row r="5507" spans="1:40" x14ac:dyDescent="0.3">
      <c r="A5507" t="str">
        <f>"20200111160611206"</f>
        <v>20200111160611206</v>
      </c>
      <c r="B5507" t="str">
        <f>"1578729971197324"</f>
        <v>1578729971197324</v>
      </c>
      <c r="C5507" t="s">
        <v>40</v>
      </c>
      <c r="D5507">
        <v>5.6935799999999999</v>
      </c>
      <c r="E5507">
        <v>0.60860760000000003</v>
      </c>
      <c r="F5507" t="s">
        <v>44</v>
      </c>
      <c r="G5507">
        <v>-309.33069999999998</v>
      </c>
      <c r="H5507">
        <v>-0.05</v>
      </c>
      <c r="I5507">
        <v>9.3061070000000008</v>
      </c>
      <c r="J5507">
        <v>-314.43959999999998</v>
      </c>
      <c r="K5507">
        <v>1.0589379999999999</v>
      </c>
      <c r="L5507">
        <v>15.6673299999999</v>
      </c>
      <c r="M5507">
        <v>0.92609850000000005</v>
      </c>
      <c r="N5507">
        <v>0</v>
      </c>
      <c r="O5507">
        <v>-0.37675520000000001</v>
      </c>
      <c r="P5507">
        <v>0.81555159999999904</v>
      </c>
      <c r="Q5507">
        <v>-5.9269759999999998E-2</v>
      </c>
      <c r="R5507">
        <v>-0.57564119999999996</v>
      </c>
      <c r="S5507">
        <v>1.9578549999999999</v>
      </c>
      <c r="T5507">
        <v>-0.41562860000000001</v>
      </c>
      <c r="U5507">
        <v>-2.4033509999999998</v>
      </c>
      <c r="V5507">
        <v>0.22515270000000001</v>
      </c>
      <c r="W5507">
        <v>-4.3812299999999998E-2</v>
      </c>
      <c r="X5507">
        <v>0.97333789999999998</v>
      </c>
      <c r="Y5507">
        <v>0.47918660000000002</v>
      </c>
      <c r="Z5507">
        <v>1.8741310000000001E-2</v>
      </c>
      <c r="AA5507">
        <v>0.87751299999999899</v>
      </c>
      <c r="AB5507">
        <v>23</v>
      </c>
      <c r="AC5507">
        <v>5.1089000000000002</v>
      </c>
      <c r="AD5507">
        <v>-1.108938</v>
      </c>
      <c r="AE5507">
        <v>-6.3612229999999901</v>
      </c>
      <c r="AF5507">
        <v>3.89514311613395</v>
      </c>
      <c r="AG5507">
        <v>-1.108938</v>
      </c>
      <c r="AH5507">
        <v>7.0000646087588603</v>
      </c>
      <c r="AI5507">
        <v>97.881379276770403</v>
      </c>
      <c r="AJ5507">
        <v>60.9065173624398</v>
      </c>
      <c r="AK5507">
        <v>8.0871990150983706</v>
      </c>
      <c r="AL5507">
        <v>92.511063752670907</v>
      </c>
      <c r="AM5507">
        <v>76.975415751258595</v>
      </c>
      <c r="AN5507">
        <v>0.99999996176249395</v>
      </c>
    </row>
    <row r="5508" spans="1:40" x14ac:dyDescent="0.3">
      <c r="A5508" t="str">
        <f>"20200111160611233"</f>
        <v>20200111160611233</v>
      </c>
      <c r="B5508" t="str">
        <f>"1578729971227583"</f>
        <v>1578729971227583</v>
      </c>
      <c r="C5508" t="s">
        <v>40</v>
      </c>
      <c r="D5508">
        <v>5.670566</v>
      </c>
      <c r="E5508">
        <v>0.60707489999999997</v>
      </c>
      <c r="F5508" t="s">
        <v>44</v>
      </c>
      <c r="G5508">
        <v>-309.15050000000002</v>
      </c>
      <c r="H5508">
        <v>-0.05</v>
      </c>
      <c r="I5508">
        <v>9.1012419999999992</v>
      </c>
      <c r="J5508">
        <v>-314.1918</v>
      </c>
      <c r="K5508">
        <v>1.0580889999999901</v>
      </c>
      <c r="L5508">
        <v>15.54987</v>
      </c>
      <c r="M5508">
        <v>0.92117610000000005</v>
      </c>
      <c r="N5508">
        <v>0</v>
      </c>
      <c r="O5508">
        <v>-0.38866469999999997</v>
      </c>
      <c r="P5508">
        <v>0.80766569999999904</v>
      </c>
      <c r="Q5508">
        <v>-5.0726090000000001E-2</v>
      </c>
      <c r="R5508">
        <v>-0.5874549</v>
      </c>
      <c r="S5508">
        <v>1.9447939999999999</v>
      </c>
      <c r="T5508">
        <v>-0.40775359999999999</v>
      </c>
      <c r="U5508">
        <v>-2.4143370000000002</v>
      </c>
      <c r="V5508">
        <v>0.2266987</v>
      </c>
      <c r="W5508">
        <v>-3.5799369999999997E-2</v>
      </c>
      <c r="X5508">
        <v>0.97330680000000003</v>
      </c>
      <c r="Y5508">
        <v>0.4728639</v>
      </c>
      <c r="Z5508">
        <v>2.0571329999999999E-2</v>
      </c>
      <c r="AA5508">
        <v>0.88089530000000005</v>
      </c>
      <c r="AB5508">
        <v>23</v>
      </c>
      <c r="AC5508">
        <v>5.0412999999999704</v>
      </c>
      <c r="AD5508">
        <v>-1.1080890000000001</v>
      </c>
      <c r="AE5508">
        <v>-6.4486280000000002</v>
      </c>
      <c r="AF5508">
        <v>3.9100350203127401</v>
      </c>
      <c r="AG5508">
        <v>-1.1080890000000001</v>
      </c>
      <c r="AH5508">
        <v>7.0229129841620397</v>
      </c>
      <c r="AI5508">
        <v>97.849097461226705</v>
      </c>
      <c r="AJ5508">
        <v>60.892950778618797</v>
      </c>
      <c r="AK5508">
        <v>8.1140336377849103</v>
      </c>
      <c r="AL5508">
        <v>92.051591164600495</v>
      </c>
      <c r="AM5508">
        <v>76.888658085917498</v>
      </c>
      <c r="AN5508">
        <v>1.0000000112001599</v>
      </c>
    </row>
    <row r="5509" spans="1:40" x14ac:dyDescent="0.3">
      <c r="A5509" t="str">
        <f>"20200111160611246"</f>
        <v>20200111160611246</v>
      </c>
      <c r="B5509" t="str">
        <f>"1578729971237340"</f>
        <v>1578729971237340</v>
      </c>
      <c r="C5509" t="s">
        <v>40</v>
      </c>
      <c r="D5509">
        <v>5.7358469999999997</v>
      </c>
      <c r="E5509">
        <v>0.60634290000000002</v>
      </c>
      <c r="F5509" t="s">
        <v>44</v>
      </c>
      <c r="G5509">
        <v>-308.51760000000002</v>
      </c>
      <c r="H5509">
        <v>-0.05</v>
      </c>
      <c r="I5509">
        <v>8.3554530000000007</v>
      </c>
      <c r="J5509">
        <v>-314.07350000000002</v>
      </c>
      <c r="K5509">
        <v>1.0577160000000001</v>
      </c>
      <c r="L5509">
        <v>15.492610000000001</v>
      </c>
      <c r="M5509">
        <v>0.91875079999999998</v>
      </c>
      <c r="N5509">
        <v>0</v>
      </c>
      <c r="O5509">
        <v>-0.394376</v>
      </c>
      <c r="P5509">
        <v>0.803454</v>
      </c>
      <c r="Q5509">
        <v>-4.6095039999999997E-2</v>
      </c>
      <c r="R5509">
        <v>-0.59357979999999999</v>
      </c>
      <c r="S5509">
        <v>1.920105</v>
      </c>
      <c r="T5509">
        <v>-0.3749691</v>
      </c>
      <c r="U5509">
        <v>-2.4345400000000001</v>
      </c>
      <c r="V5509">
        <v>0.22802610000000001</v>
      </c>
      <c r="W5509">
        <v>-3.1421520000000001E-2</v>
      </c>
      <c r="X5509">
        <v>0.97314789999999995</v>
      </c>
      <c r="Y5509">
        <v>0.47658669999999997</v>
      </c>
      <c r="Z5509">
        <v>1.9440490000000001E-2</v>
      </c>
      <c r="AA5509">
        <v>0.87891249999999999</v>
      </c>
      <c r="AB5509">
        <v>23</v>
      </c>
      <c r="AC5509">
        <v>5.5559000000000003</v>
      </c>
      <c r="AD5509">
        <v>-1.1077159999999999</v>
      </c>
      <c r="AE5509">
        <v>-7.1371570000000002</v>
      </c>
      <c r="AF5509">
        <v>4.3024185620838704</v>
      </c>
      <c r="AG5509">
        <v>-1.1077159999999999</v>
      </c>
      <c r="AH5509">
        <v>7.8036074610710804</v>
      </c>
      <c r="AI5509">
        <v>97.085969417607203</v>
      </c>
      <c r="AJ5509">
        <v>61.130420230715202</v>
      </c>
      <c r="AK5509">
        <v>8.9796508632855101</v>
      </c>
      <c r="AL5509">
        <v>91.800616815337094</v>
      </c>
      <c r="AM5509">
        <v>76.812483434048104</v>
      </c>
      <c r="AN5509">
        <v>1.0000000247373599</v>
      </c>
    </row>
    <row r="5510" spans="1:40" x14ac:dyDescent="0.3">
      <c r="A5510" t="str">
        <f>"20200111160611269"</f>
        <v>20200111160611269</v>
      </c>
      <c r="B5510" t="str">
        <f>"1578729971257837"</f>
        <v>1578729971257837</v>
      </c>
      <c r="C5510" t="s">
        <v>40</v>
      </c>
      <c r="D5510">
        <v>5.293247</v>
      </c>
      <c r="E5510">
        <v>0.60934330000000003</v>
      </c>
      <c r="F5510" t="s">
        <v>44</v>
      </c>
      <c r="G5510">
        <v>-308.21170000000001</v>
      </c>
      <c r="H5510">
        <v>-0.05</v>
      </c>
      <c r="I5510">
        <v>7.9754329999999998</v>
      </c>
      <c r="J5510">
        <v>-313.85750000000002</v>
      </c>
      <c r="K5510">
        <v>1.0571189999999999</v>
      </c>
      <c r="L5510">
        <v>15.38522</v>
      </c>
      <c r="M5510">
        <v>0.91417930000000003</v>
      </c>
      <c r="N5510">
        <v>0</v>
      </c>
      <c r="O5510">
        <v>-0.40487990000000001</v>
      </c>
      <c r="P5510">
        <v>0.7942941</v>
      </c>
      <c r="Q5510">
        <v>-3.6424369999999998E-2</v>
      </c>
      <c r="R5510">
        <v>-0.60644069999999894</v>
      </c>
      <c r="S5510">
        <v>1.906738</v>
      </c>
      <c r="T5510">
        <v>-0.36031790000000002</v>
      </c>
      <c r="U5510">
        <v>-2.4451900000000002</v>
      </c>
      <c r="V5510">
        <v>0.2324977</v>
      </c>
      <c r="W5510">
        <v>-2.222766E-2</v>
      </c>
      <c r="X5510">
        <v>0.97234290000000001</v>
      </c>
      <c r="Y5510">
        <v>0.47149010000000002</v>
      </c>
      <c r="Z5510">
        <v>2.0361000000000001E-2</v>
      </c>
      <c r="AA5510">
        <v>0.88163630000000004</v>
      </c>
      <c r="AB5510">
        <v>23</v>
      </c>
      <c r="AC5510">
        <v>5.6458000000000004</v>
      </c>
      <c r="AD5510">
        <v>-1.107119</v>
      </c>
      <c r="AE5510">
        <v>-7.4097869999999997</v>
      </c>
      <c r="AF5510">
        <v>4.4262669208566701</v>
      </c>
      <c r="AG5510">
        <v>-1.107119</v>
      </c>
      <c r="AH5510">
        <v>8.0490815201737291</v>
      </c>
      <c r="AI5510">
        <v>96.872402211049803</v>
      </c>
      <c r="AJ5510">
        <v>61.1931845427399</v>
      </c>
      <c r="AK5510">
        <v>9.2523113141113598</v>
      </c>
      <c r="AL5510">
        <v>91.273656022676604</v>
      </c>
      <c r="AM5510">
        <v>76.552448461939605</v>
      </c>
      <c r="AN5510">
        <v>0.99999998227738696</v>
      </c>
    </row>
    <row r="5511" spans="1:40" x14ac:dyDescent="0.3">
      <c r="A5511" t="str">
        <f>"20200111160611281"</f>
        <v>20200111160611281</v>
      </c>
      <c r="B5511" t="str">
        <f>"1578729971277356"</f>
        <v>1578729971277356</v>
      </c>
      <c r="C5511" t="s">
        <v>40</v>
      </c>
      <c r="D5511">
        <v>5.6406450000000001</v>
      </c>
      <c r="E5511">
        <v>0.61110790000000004</v>
      </c>
      <c r="F5511" t="s">
        <v>44</v>
      </c>
      <c r="G5511">
        <v>-307.3175</v>
      </c>
      <c r="H5511">
        <v>-0.05</v>
      </c>
      <c r="I5511">
        <v>6.5812989999999996</v>
      </c>
      <c r="J5511">
        <v>-313.74930000000001</v>
      </c>
      <c r="K5511">
        <v>1.0568439999999999</v>
      </c>
      <c r="L5511">
        <v>15.330410000000001</v>
      </c>
      <c r="M5511">
        <v>0.91182479999999999</v>
      </c>
      <c r="N5511">
        <v>0</v>
      </c>
      <c r="O5511">
        <v>-0.41016320000000001</v>
      </c>
      <c r="P5511">
        <v>0.78912950000000004</v>
      </c>
      <c r="Q5511">
        <v>-3.2476409999999997E-2</v>
      </c>
      <c r="R5511">
        <v>-0.61336769999999996</v>
      </c>
      <c r="S5511">
        <v>1.855469</v>
      </c>
      <c r="T5511">
        <v>-0.31410189999999999</v>
      </c>
      <c r="U5511">
        <v>-2.4977719999999999</v>
      </c>
      <c r="V5511">
        <v>0.23537140000000001</v>
      </c>
      <c r="W5511">
        <v>-1.852179E-2</v>
      </c>
      <c r="X5511">
        <v>0.97172899999999995</v>
      </c>
      <c r="Y5511">
        <v>0.487014</v>
      </c>
      <c r="Z5511">
        <v>1.7430439999999998E-2</v>
      </c>
      <c r="AA5511">
        <v>0.87322029999999995</v>
      </c>
      <c r="AB5511">
        <v>23</v>
      </c>
      <c r="AC5511">
        <v>6.4318000000000097</v>
      </c>
      <c r="AD5511">
        <v>-1.1068439999999999</v>
      </c>
      <c r="AE5511">
        <v>-8.7491109999999992</v>
      </c>
      <c r="AF5511">
        <v>5.2855656321781703</v>
      </c>
      <c r="AG5511">
        <v>-1.1068439999999999</v>
      </c>
      <c r="AH5511">
        <v>9.3576303864082302</v>
      </c>
      <c r="AI5511">
        <v>95.880103608456906</v>
      </c>
      <c r="AJ5511">
        <v>60.540493403623699</v>
      </c>
      <c r="AK5511">
        <v>10.804052672077701</v>
      </c>
      <c r="AL5511">
        <v>91.061281080752593</v>
      </c>
      <c r="AM5511">
        <v>76.384102791632898</v>
      </c>
      <c r="AN5511">
        <v>1.0000000010418799</v>
      </c>
    </row>
    <row r="5512" spans="1:40" x14ac:dyDescent="0.3">
      <c r="A5512" t="str">
        <f>"20200111160611292"</f>
        <v>20200111160611292</v>
      </c>
      <c r="B5512" t="str">
        <f>"1578729971288092"</f>
        <v>1578729971288092</v>
      </c>
      <c r="C5512" t="s">
        <v>40</v>
      </c>
      <c r="D5512">
        <v>5.7776300000000003</v>
      </c>
      <c r="E5512">
        <v>0.61013819999999996</v>
      </c>
      <c r="F5512" t="s">
        <v>44</v>
      </c>
      <c r="G5512">
        <v>-306.92140000000001</v>
      </c>
      <c r="H5512">
        <v>-0.05</v>
      </c>
      <c r="I5512">
        <v>5.8860169999999998</v>
      </c>
      <c r="J5512">
        <v>-313.64389999999997</v>
      </c>
      <c r="K5512">
        <v>1.0565960000000001</v>
      </c>
      <c r="L5512">
        <v>15.27594</v>
      </c>
      <c r="M5512">
        <v>0.90947599999999995</v>
      </c>
      <c r="N5512">
        <v>0</v>
      </c>
      <c r="O5512">
        <v>-0.41535300000000003</v>
      </c>
      <c r="P5512">
        <v>0.78361320000000001</v>
      </c>
      <c r="Q5512">
        <v>-2.9298580000000001E-2</v>
      </c>
      <c r="R5512">
        <v>-0.62055760000000004</v>
      </c>
      <c r="S5512">
        <v>1.826141</v>
      </c>
      <c r="T5512">
        <v>-0.29602590000000001</v>
      </c>
      <c r="U5512">
        <v>-2.525909</v>
      </c>
      <c r="V5512">
        <v>0.23871609999999999</v>
      </c>
      <c r="W5512">
        <v>-1.558207E-2</v>
      </c>
      <c r="X5512">
        <v>0.97096439999999995</v>
      </c>
      <c r="Y5512">
        <v>0.49336600000000003</v>
      </c>
      <c r="Z5512">
        <v>1.6618250000000001E-2</v>
      </c>
      <c r="AA5512">
        <v>0.86966309999999902</v>
      </c>
      <c r="AB5512">
        <v>23</v>
      </c>
      <c r="AC5512">
        <v>6.7224999999999602</v>
      </c>
      <c r="AD5512">
        <v>-1.1065959999999999</v>
      </c>
      <c r="AE5512">
        <v>-9.3899229999999996</v>
      </c>
      <c r="AF5512">
        <v>5.6963581239260002</v>
      </c>
      <c r="AG5512">
        <v>-1.1065959999999999</v>
      </c>
      <c r="AH5512">
        <v>9.9246349412661594</v>
      </c>
      <c r="AI5512">
        <v>95.523518853201793</v>
      </c>
      <c r="AJ5512">
        <v>60.1458363263744</v>
      </c>
      <c r="AK5512">
        <v>11.4965833751004</v>
      </c>
      <c r="AL5512">
        <v>90.892822959904507</v>
      </c>
      <c r="AM5512">
        <v>76.1875141717574</v>
      </c>
      <c r="AN5512">
        <v>1.0000000216860201</v>
      </c>
    </row>
    <row r="5513" spans="1:40" x14ac:dyDescent="0.3">
      <c r="A5513" t="str">
        <f>"20200111160611304"</f>
        <v>20200111160611304</v>
      </c>
      <c r="B5513" t="str">
        <f>"1578729971297853"</f>
        <v>1578729971297853</v>
      </c>
      <c r="C5513" t="s">
        <v>40</v>
      </c>
      <c r="D5513">
        <v>5.7407430000000002</v>
      </c>
      <c r="E5513">
        <v>0.60910640000000005</v>
      </c>
      <c r="F5513" t="s">
        <v>44</v>
      </c>
      <c r="G5513">
        <v>-306.85109999999997</v>
      </c>
      <c r="H5513">
        <v>-0.05</v>
      </c>
      <c r="I5513">
        <v>5.7513430000000003</v>
      </c>
      <c r="J5513">
        <v>-313.53309999999999</v>
      </c>
      <c r="K5513">
        <v>1.0563419999999999</v>
      </c>
      <c r="L5513">
        <v>15.218229999999901</v>
      </c>
      <c r="M5513">
        <v>0.90696399999999999</v>
      </c>
      <c r="N5513">
        <v>0</v>
      </c>
      <c r="O5513">
        <v>-0.42081819999999998</v>
      </c>
      <c r="P5513">
        <v>0.77775839999999996</v>
      </c>
      <c r="Q5513">
        <v>-2.6459030000000001E-2</v>
      </c>
      <c r="R5513">
        <v>-0.62800669999999903</v>
      </c>
      <c r="S5513">
        <v>1.8088679999999999</v>
      </c>
      <c r="T5513">
        <v>-0.29467650000000001</v>
      </c>
      <c r="U5513">
        <v>-2.5363159999999998</v>
      </c>
      <c r="V5513">
        <v>0.24213870000000001</v>
      </c>
      <c r="W5513">
        <v>-1.29867E-2</v>
      </c>
      <c r="X5513">
        <v>0.97015479999999998</v>
      </c>
      <c r="Y5513">
        <v>0.49376419999999999</v>
      </c>
      <c r="Z5513">
        <v>1.7108499999999999E-2</v>
      </c>
      <c r="AA5513">
        <v>0.86942749999999902</v>
      </c>
      <c r="AB5513">
        <v>23</v>
      </c>
      <c r="AC5513">
        <v>6.6820000000000102</v>
      </c>
      <c r="AD5513">
        <v>-1.1063419999999999</v>
      </c>
      <c r="AE5513">
        <v>-9.4668869999999892</v>
      </c>
      <c r="AF5513">
        <v>5.722996810233</v>
      </c>
      <c r="AG5513">
        <v>-1.1063419999999999</v>
      </c>
      <c r="AH5513">
        <v>9.9550724061973792</v>
      </c>
      <c r="AI5513">
        <v>95.503302378950906</v>
      </c>
      <c r="AJ5513">
        <v>60.106158328520998</v>
      </c>
      <c r="AK5513">
        <v>11.5360370892058</v>
      </c>
      <c r="AL5513">
        <v>90.744103964637901</v>
      </c>
      <c r="AM5513">
        <v>75.985992434554802</v>
      </c>
      <c r="AN5513">
        <v>1.0000000701888001</v>
      </c>
    </row>
    <row r="5514" spans="1:40" x14ac:dyDescent="0.3">
      <c r="A5514" t="str">
        <f>"20200111160611316"</f>
        <v>20200111160611316</v>
      </c>
      <c r="B5514" t="str">
        <f>"1578729971307612"</f>
        <v>1578729971307612</v>
      </c>
      <c r="C5514" t="s">
        <v>40</v>
      </c>
      <c r="D5514">
        <v>5.8546459999999998</v>
      </c>
      <c r="E5514">
        <v>0.60853269999999904</v>
      </c>
      <c r="F5514" t="s">
        <v>44</v>
      </c>
      <c r="G5514">
        <v>-306.85539999999997</v>
      </c>
      <c r="H5514">
        <v>-0.05</v>
      </c>
      <c r="I5514">
        <v>5.7217710000000004</v>
      </c>
      <c r="J5514">
        <v>-313.42349999999999</v>
      </c>
      <c r="K5514">
        <v>1.0561199999999999</v>
      </c>
      <c r="L5514">
        <v>15.159789999999999</v>
      </c>
      <c r="M5514">
        <v>0.90440849999999995</v>
      </c>
      <c r="N5514">
        <v>0</v>
      </c>
      <c r="O5514">
        <v>-0.42628899999999997</v>
      </c>
      <c r="P5514">
        <v>0.77187720000000004</v>
      </c>
      <c r="Q5514">
        <v>-2.3920839999999999E-2</v>
      </c>
      <c r="R5514">
        <v>-0.63532140000000004</v>
      </c>
      <c r="S5514">
        <v>1.790802</v>
      </c>
      <c r="T5514">
        <v>-0.29669440000000002</v>
      </c>
      <c r="U5514">
        <v>-2.5467219999999999</v>
      </c>
      <c r="V5514">
        <v>0.24544099999999999</v>
      </c>
      <c r="W5514">
        <v>-1.0677499999999999E-2</v>
      </c>
      <c r="X5514">
        <v>0.96935269999999996</v>
      </c>
      <c r="Y5514">
        <v>0.49431930000000002</v>
      </c>
      <c r="Z5514">
        <v>1.7790420000000001E-2</v>
      </c>
      <c r="AA5514">
        <v>0.86909840000000005</v>
      </c>
      <c r="AB5514">
        <v>22</v>
      </c>
      <c r="AC5514">
        <v>6.56810000000001</v>
      </c>
      <c r="AD5514">
        <v>-1.10612</v>
      </c>
      <c r="AE5514">
        <v>-9.4380190000000006</v>
      </c>
      <c r="AF5514">
        <v>5.6842414454916899</v>
      </c>
      <c r="AG5514">
        <v>-1.10612</v>
      </c>
      <c r="AH5514">
        <v>9.8738081988650208</v>
      </c>
      <c r="AI5514">
        <v>95.545287168782593</v>
      </c>
      <c r="AJ5514">
        <v>60.071444902527503</v>
      </c>
      <c r="AK5514">
        <v>11.446667227320701</v>
      </c>
      <c r="AL5514">
        <v>90.611787326150704</v>
      </c>
      <c r="AM5514">
        <v>75.791275687584601</v>
      </c>
      <c r="AN5514">
        <v>0.99999997524226902</v>
      </c>
    </row>
    <row r="5515" spans="1:40" x14ac:dyDescent="0.3">
      <c r="A5515" t="str">
        <f>"20200111160611328"</f>
        <v>20200111160611328</v>
      </c>
      <c r="B5515" t="str">
        <f>"1578729971317372"</f>
        <v>1578729971317372</v>
      </c>
      <c r="C5515" t="s">
        <v>40</v>
      </c>
      <c r="D5515">
        <v>5.7869289999999998</v>
      </c>
      <c r="E5515">
        <v>0.60853269999999904</v>
      </c>
      <c r="F5515" t="s">
        <v>44</v>
      </c>
      <c r="G5515">
        <v>-306.71850000000001</v>
      </c>
      <c r="H5515">
        <v>-0.05</v>
      </c>
      <c r="I5515">
        <v>5.4643860000000002</v>
      </c>
      <c r="J5515">
        <v>-313.32029999999997</v>
      </c>
      <c r="K5515">
        <v>1.055911</v>
      </c>
      <c r="L5515">
        <v>15.10422</v>
      </c>
      <c r="M5515">
        <v>0.90195610000000004</v>
      </c>
      <c r="N5515">
        <v>0</v>
      </c>
      <c r="O5515">
        <v>-0.43145990000000001</v>
      </c>
      <c r="P5515">
        <v>0.76589160000000001</v>
      </c>
      <c r="Q5515">
        <v>-2.192177E-2</v>
      </c>
      <c r="R5515">
        <v>-0.64259619999999995</v>
      </c>
      <c r="S5515">
        <v>1.7704470000000001</v>
      </c>
      <c r="T5515">
        <v>-0.29206939999999998</v>
      </c>
      <c r="U5515">
        <v>-2.5600589999999999</v>
      </c>
      <c r="V5515">
        <v>0.24906619999999999</v>
      </c>
      <c r="W5515">
        <v>-8.9007900000000004E-3</v>
      </c>
      <c r="X5515">
        <v>0.96844549999999996</v>
      </c>
      <c r="Y5515">
        <v>0.49615579999999998</v>
      </c>
      <c r="Z5515">
        <v>1.7967420000000001E-2</v>
      </c>
      <c r="AA5515">
        <v>0.86804760000000003</v>
      </c>
      <c r="AB5515">
        <v>22</v>
      </c>
      <c r="AC5515">
        <v>6.6017999999999599</v>
      </c>
      <c r="AD5515">
        <v>-1.1059110000000001</v>
      </c>
      <c r="AE5515">
        <v>-9.6398340000000005</v>
      </c>
      <c r="AF5515">
        <v>5.7953015734716198</v>
      </c>
      <c r="AG5515">
        <v>-1.1059110000000001</v>
      </c>
      <c r="AH5515">
        <v>10.025519869892699</v>
      </c>
      <c r="AI5515">
        <v>95.455302363353198</v>
      </c>
      <c r="AJ5515">
        <v>59.969727014406999</v>
      </c>
      <c r="AK5515">
        <v>11.6326956518692</v>
      </c>
      <c r="AL5515">
        <v>90.509984465281605</v>
      </c>
      <c r="AM5515">
        <v>75.577153821562604</v>
      </c>
      <c r="AN5515">
        <v>0.99999994125765501</v>
      </c>
    </row>
    <row r="5516" spans="1:40" x14ac:dyDescent="0.3">
      <c r="A5516" t="str">
        <f>"20200111160611344"</f>
        <v>20200111160611344</v>
      </c>
      <c r="B5516" t="str">
        <f>"1578729971337867"</f>
        <v>1578729971337867</v>
      </c>
      <c r="C5516" t="s">
        <v>40</v>
      </c>
      <c r="D5516">
        <v>5.7376880000000003</v>
      </c>
      <c r="E5516">
        <v>0.59230289999999997</v>
      </c>
      <c r="F5516" t="s">
        <v>44</v>
      </c>
      <c r="G5516">
        <v>-306.57889999999998</v>
      </c>
      <c r="H5516">
        <v>-0.05</v>
      </c>
      <c r="I5516">
        <v>5.1579280000000001</v>
      </c>
      <c r="J5516">
        <v>-313.1782</v>
      </c>
      <c r="K5516">
        <v>1.0556479999999999</v>
      </c>
      <c r="L5516">
        <v>15.026490000000001</v>
      </c>
      <c r="M5516">
        <v>0.89849669999999904</v>
      </c>
      <c r="N5516">
        <v>0</v>
      </c>
      <c r="O5516">
        <v>-0.43862610000000002</v>
      </c>
      <c r="P5516">
        <v>0.75595619999999997</v>
      </c>
      <c r="Q5516">
        <v>-1.8363939999999999E-2</v>
      </c>
      <c r="R5516">
        <v>-0.65436490000000003</v>
      </c>
      <c r="S5516">
        <v>1.7466429999999999</v>
      </c>
      <c r="T5516">
        <v>-0.28653519999999999</v>
      </c>
      <c r="U5516">
        <v>-2.577026</v>
      </c>
      <c r="V5516">
        <v>0.25634259999999998</v>
      </c>
      <c r="W5516">
        <v>-5.6889590000000004E-3</v>
      </c>
      <c r="X5516">
        <v>0.96656920000000002</v>
      </c>
      <c r="Y5516">
        <v>0.49742779999999998</v>
      </c>
      <c r="Z5516">
        <v>1.8302820000000001E-2</v>
      </c>
      <c r="AA5516">
        <v>0.86731229999999904</v>
      </c>
      <c r="AB5516">
        <v>22</v>
      </c>
      <c r="AC5516">
        <v>6.5993000000000199</v>
      </c>
      <c r="AD5516">
        <v>-1.105648</v>
      </c>
      <c r="AE5516">
        <v>-9.8685620000000007</v>
      </c>
      <c r="AF5516">
        <v>5.92180985851126</v>
      </c>
      <c r="AG5516">
        <v>-1.105648</v>
      </c>
      <c r="AH5516">
        <v>10.1714293492259</v>
      </c>
      <c r="AI5516">
        <v>95.366628297326997</v>
      </c>
      <c r="AJ5516">
        <v>59.792020278817603</v>
      </c>
      <c r="AK5516">
        <v>11.8215170137575</v>
      </c>
      <c r="AL5516">
        <v>90.325955113224296</v>
      </c>
      <c r="AM5516">
        <v>75.146598354324297</v>
      </c>
      <c r="AN5516">
        <v>0.99999995560895005</v>
      </c>
    </row>
    <row r="5517" spans="1:40" x14ac:dyDescent="0.3">
      <c r="A5517" t="str">
        <f>"20200111160611355"</f>
        <v>20200111160611355</v>
      </c>
      <c r="B5517" t="str">
        <f>"1578729971347628"</f>
        <v>1578729971347628</v>
      </c>
      <c r="C5517" t="s">
        <v>40</v>
      </c>
      <c r="D5517">
        <v>5.6859549999999999</v>
      </c>
      <c r="E5517">
        <v>0.59133369999999996</v>
      </c>
      <c r="F5517" t="s">
        <v>44</v>
      </c>
      <c r="G5517">
        <v>-308.43639999999999</v>
      </c>
      <c r="H5517">
        <v>-0.05</v>
      </c>
      <c r="I5517">
        <v>8.4432980000000004</v>
      </c>
      <c r="J5517">
        <v>-313.07819999999998</v>
      </c>
      <c r="K5517">
        <v>1.055477</v>
      </c>
      <c r="L5517">
        <v>14.97052</v>
      </c>
      <c r="M5517">
        <v>0.8959878</v>
      </c>
      <c r="N5517">
        <v>0</v>
      </c>
      <c r="O5517">
        <v>-0.44373309999999999</v>
      </c>
      <c r="P5517">
        <v>0.74981980000000004</v>
      </c>
      <c r="Q5517">
        <v>-1.6451879999999999E-2</v>
      </c>
      <c r="R5517">
        <v>-0.66143819999999998</v>
      </c>
      <c r="S5517">
        <v>1.7977909999999999</v>
      </c>
      <c r="T5517">
        <v>-0.41918889999999998</v>
      </c>
      <c r="U5517">
        <v>-2.495911</v>
      </c>
      <c r="V5517">
        <v>0.2599303</v>
      </c>
      <c r="W5517">
        <v>-3.9789789999999997E-3</v>
      </c>
      <c r="X5517">
        <v>0.96561920000000001</v>
      </c>
      <c r="Y5517">
        <v>0.46733190000000002</v>
      </c>
      <c r="Z5517">
        <v>3.002881E-2</v>
      </c>
      <c r="AA5517">
        <v>0.88357189999999997</v>
      </c>
      <c r="AB5517">
        <v>22</v>
      </c>
      <c r="AC5517">
        <v>4.6417999999999804</v>
      </c>
      <c r="AD5517">
        <v>-1.105477</v>
      </c>
      <c r="AE5517">
        <v>-6.5272220000000001</v>
      </c>
      <c r="AF5517">
        <v>3.71833770563528</v>
      </c>
      <c r="AG5517">
        <v>-1.105477</v>
      </c>
      <c r="AH5517">
        <v>6.9245107816411604</v>
      </c>
      <c r="AI5517">
        <v>98.006206298914293</v>
      </c>
      <c r="AJ5517">
        <v>61.765001658671899</v>
      </c>
      <c r="AK5517">
        <v>7.9370626969769296</v>
      </c>
      <c r="AL5517">
        <v>90.227979301336305</v>
      </c>
      <c r="AM5517">
        <v>74.933951723488207</v>
      </c>
      <c r="AN5517">
        <v>1.0000000162703</v>
      </c>
    </row>
    <row r="5518" spans="1:40" x14ac:dyDescent="0.3">
      <c r="A5518" t="str">
        <f>"20200111160611367"</f>
        <v>20200111160611367</v>
      </c>
      <c r="B5518" t="str">
        <f>"1578729971357388"</f>
        <v>1578729971357388</v>
      </c>
      <c r="C5518" t="s">
        <v>40</v>
      </c>
      <c r="D5518">
        <v>5.5014989999999999</v>
      </c>
      <c r="E5518">
        <v>0.59133369999999996</v>
      </c>
      <c r="F5518" t="s">
        <v>44</v>
      </c>
      <c r="G5518">
        <v>-308.40030000000002</v>
      </c>
      <c r="H5518">
        <v>-0.05</v>
      </c>
      <c r="I5518">
        <v>8.3831179999999996</v>
      </c>
      <c r="J5518">
        <v>-312.976</v>
      </c>
      <c r="K5518">
        <v>1.0553049999999999</v>
      </c>
      <c r="L5518">
        <v>14.91278</v>
      </c>
      <c r="M5518">
        <v>0.89337610000000001</v>
      </c>
      <c r="N5518">
        <v>0</v>
      </c>
      <c r="O5518">
        <v>-0.44897219999999999</v>
      </c>
      <c r="P5518">
        <v>0.74386229999999998</v>
      </c>
      <c r="Q5518">
        <v>-1.456666E-2</v>
      </c>
      <c r="R5518">
        <v>-0.6681743</v>
      </c>
      <c r="S5518">
        <v>1.780273</v>
      </c>
      <c r="T5518">
        <v>-0.42070970000000002</v>
      </c>
      <c r="U5518">
        <v>-2.506958</v>
      </c>
      <c r="V5518">
        <v>0.26299679999999998</v>
      </c>
      <c r="W5518">
        <v>-2.285137E-3</v>
      </c>
      <c r="X5518">
        <v>0.96479400000000004</v>
      </c>
      <c r="Y5518">
        <v>0.46812359999999997</v>
      </c>
      <c r="Z5518">
        <v>3.0890790000000001E-2</v>
      </c>
      <c r="AA5518">
        <v>0.88312289999999904</v>
      </c>
      <c r="AB5518">
        <v>22</v>
      </c>
      <c r="AC5518">
        <v>4.5756999999999799</v>
      </c>
      <c r="AD5518">
        <v>-1.105305</v>
      </c>
      <c r="AE5518">
        <v>-6.5296620000000001</v>
      </c>
      <c r="AF5518">
        <v>3.70839020486182</v>
      </c>
      <c r="AG5518">
        <v>-1.105305</v>
      </c>
      <c r="AH5518">
        <v>6.8881514496444698</v>
      </c>
      <c r="AI5518">
        <v>98.042075420959407</v>
      </c>
      <c r="AJ5518">
        <v>61.703206402960902</v>
      </c>
      <c r="AK5518">
        <v>7.9006637346351702</v>
      </c>
      <c r="AL5518">
        <v>90.130928819585904</v>
      </c>
      <c r="AM5518">
        <v>74.752002989719401</v>
      </c>
      <c r="AN5518">
        <v>1.00000000054867</v>
      </c>
    </row>
    <row r="5519" spans="1:40" x14ac:dyDescent="0.3">
      <c r="A5519" t="str">
        <f>"20200111160611379"</f>
        <v>20200111160611379</v>
      </c>
      <c r="B5519" t="str">
        <f>"1578729971368125"</f>
        <v>1578729971368125</v>
      </c>
      <c r="C5519" t="s">
        <v>40</v>
      </c>
      <c r="D5519">
        <v>5.4847839999999897</v>
      </c>
      <c r="E5519">
        <v>0.60006199999999998</v>
      </c>
      <c r="F5519" t="s">
        <v>44</v>
      </c>
      <c r="G5519">
        <v>-308.29160000000002</v>
      </c>
      <c r="H5519">
        <v>-0.05</v>
      </c>
      <c r="I5519">
        <v>8.1906590000000001</v>
      </c>
      <c r="J5519">
        <v>-312.86169999999998</v>
      </c>
      <c r="K5519">
        <v>1.0551269999999999</v>
      </c>
      <c r="L5519">
        <v>14.847110000000001</v>
      </c>
      <c r="M5519">
        <v>0.89038499999999998</v>
      </c>
      <c r="N5519">
        <v>0</v>
      </c>
      <c r="O5519">
        <v>-0.4548797</v>
      </c>
      <c r="P5519">
        <v>0.73763230000000002</v>
      </c>
      <c r="Q5519">
        <v>-1.302564E-2</v>
      </c>
      <c r="R5519">
        <v>-0.67507740000000005</v>
      </c>
      <c r="S5519">
        <v>1.758362</v>
      </c>
      <c r="T5519">
        <v>-0.41489789999999999</v>
      </c>
      <c r="U5519">
        <v>-2.523285</v>
      </c>
      <c r="V5519">
        <v>0.2656077</v>
      </c>
      <c r="W5519">
        <v>-9.3290490000000001E-4</v>
      </c>
      <c r="X5519">
        <v>0.96408079999999996</v>
      </c>
      <c r="Y5519">
        <v>0.4701515</v>
      </c>
      <c r="Z5519">
        <v>3.1207149999999999E-2</v>
      </c>
      <c r="AA5519">
        <v>0.88203379999999998</v>
      </c>
      <c r="AB5519">
        <v>22</v>
      </c>
      <c r="AC5519">
        <v>4.5700999999999601</v>
      </c>
      <c r="AD5519">
        <v>-1.105127</v>
      </c>
      <c r="AE5519">
        <v>-6.6564509999999997</v>
      </c>
      <c r="AF5519">
        <v>3.77776361199976</v>
      </c>
      <c r="AG5519">
        <v>-1.105127</v>
      </c>
      <c r="AH5519">
        <v>6.96756822556525</v>
      </c>
      <c r="AI5519">
        <v>97.9377965951915</v>
      </c>
      <c r="AJ5519">
        <v>61.533780492051498</v>
      </c>
      <c r="AK5519">
        <v>8.0024877739478608</v>
      </c>
      <c r="AL5519">
        <v>90.053451518282799</v>
      </c>
      <c r="AM5519">
        <v>74.596928446138605</v>
      </c>
      <c r="AN5519">
        <v>1.0000000547697301</v>
      </c>
    </row>
    <row r="5520" spans="1:40" x14ac:dyDescent="0.3">
      <c r="A5520" t="str">
        <f>"20200111160611391"</f>
        <v>20200111160611391</v>
      </c>
      <c r="B5520" t="str">
        <f>"1578729971387644"</f>
        <v>1578729971387644</v>
      </c>
      <c r="C5520" t="s">
        <v>40</v>
      </c>
      <c r="D5520">
        <v>5.5509440000000003</v>
      </c>
      <c r="E5520">
        <v>0.59934699999999996</v>
      </c>
      <c r="F5520" t="s">
        <v>44</v>
      </c>
      <c r="G5520">
        <v>-307.07209999999998</v>
      </c>
      <c r="H5520">
        <v>-0.05</v>
      </c>
      <c r="I5520">
        <v>5.9177549999999997</v>
      </c>
      <c r="J5520">
        <v>-312.76</v>
      </c>
      <c r="K5520">
        <v>1.0549770000000001</v>
      </c>
      <c r="L5520">
        <v>14.78772</v>
      </c>
      <c r="M5520">
        <v>0.88765559999999999</v>
      </c>
      <c r="N5520">
        <v>0</v>
      </c>
      <c r="O5520">
        <v>-0.4601867</v>
      </c>
      <c r="P5520">
        <v>0.73181219999999902</v>
      </c>
      <c r="Q5520">
        <v>-1.148161E-2</v>
      </c>
      <c r="R5520">
        <v>-0.68140970000000001</v>
      </c>
      <c r="S5520">
        <v>1.6841740000000001</v>
      </c>
      <c r="T5520">
        <v>-0.32147959999999998</v>
      </c>
      <c r="U5520">
        <v>-2.597534</v>
      </c>
      <c r="V5520">
        <v>0.26817439999999998</v>
      </c>
      <c r="W5520">
        <v>4.428066E-4</v>
      </c>
      <c r="X5520">
        <v>0.96337030000000001</v>
      </c>
      <c r="Y5520">
        <v>0.49421330000000002</v>
      </c>
      <c r="Z5520">
        <v>2.334868E-2</v>
      </c>
      <c r="AA5520">
        <v>0.86902710000000005</v>
      </c>
      <c r="AB5520">
        <v>22</v>
      </c>
      <c r="AC5520">
        <v>5.6879000000000097</v>
      </c>
      <c r="AD5520">
        <v>-1.1049770000000001</v>
      </c>
      <c r="AE5520">
        <v>-8.8699649999999899</v>
      </c>
      <c r="AF5520">
        <v>5.1995760857143498</v>
      </c>
      <c r="AG5520">
        <v>-1.1049770000000001</v>
      </c>
      <c r="AH5520">
        <v>9.0327539569542505</v>
      </c>
      <c r="AI5520">
        <v>96.051864566628794</v>
      </c>
      <c r="AJ5520">
        <v>60.073730794037402</v>
      </c>
      <c r="AK5520">
        <v>10.4808019582727</v>
      </c>
      <c r="AL5520">
        <v>89.974629050355404</v>
      </c>
      <c r="AM5520">
        <v>74.444336903507207</v>
      </c>
      <c r="AN5520">
        <v>1.00000001990756</v>
      </c>
    </row>
    <row r="5521" spans="1:40" x14ac:dyDescent="0.3">
      <c r="A5521" t="str">
        <f>"20200111160611404"</f>
        <v>20200111160611404</v>
      </c>
      <c r="B5521" t="str">
        <f>"1578729971397405"</f>
        <v>1578729971397405</v>
      </c>
      <c r="C5521" t="s">
        <v>40</v>
      </c>
      <c r="D5521">
        <v>5.5256470000000002</v>
      </c>
      <c r="E5521">
        <v>0.58678039999999998</v>
      </c>
      <c r="F5521" t="s">
        <v>44</v>
      </c>
      <c r="G5521">
        <v>-307.0326</v>
      </c>
      <c r="H5521">
        <v>-0.05</v>
      </c>
      <c r="I5521">
        <v>5.8238979999999998</v>
      </c>
      <c r="J5521">
        <v>-312.6456</v>
      </c>
      <c r="K5521">
        <v>1.0548070000000001</v>
      </c>
      <c r="L5521">
        <v>14.72012</v>
      </c>
      <c r="M5521">
        <v>0.88452009999999903</v>
      </c>
      <c r="N5521">
        <v>0</v>
      </c>
      <c r="O5521">
        <v>-0.46618900000000002</v>
      </c>
      <c r="P5521">
        <v>0.72582409999999997</v>
      </c>
      <c r="Q5521">
        <v>-1.07844E-2</v>
      </c>
      <c r="R5521">
        <v>-0.68779590000000002</v>
      </c>
      <c r="S5521">
        <v>1.666229</v>
      </c>
      <c r="T5521">
        <v>-0.32146019999999997</v>
      </c>
      <c r="U5521">
        <v>-2.607758</v>
      </c>
      <c r="V5521">
        <v>0.27009529999999998</v>
      </c>
      <c r="W5521">
        <v>9.7495600000000002E-4</v>
      </c>
      <c r="X5521">
        <v>0.9628331</v>
      </c>
      <c r="Y5521">
        <v>0.49413990000000002</v>
      </c>
      <c r="Z5521">
        <v>2.4066710000000002E-2</v>
      </c>
      <c r="AA5521">
        <v>0.86904930000000002</v>
      </c>
      <c r="AB5521">
        <v>22</v>
      </c>
      <c r="AC5521">
        <v>5.6130000000000004</v>
      </c>
      <c r="AD5521">
        <v>-1.1048069999999901</v>
      </c>
      <c r="AE5521">
        <v>-8.8962219999999999</v>
      </c>
      <c r="AF5521">
        <v>5.1956208101530299</v>
      </c>
      <c r="AG5521">
        <v>-1.1048069999999901</v>
      </c>
      <c r="AH5521">
        <v>9.0140263263689402</v>
      </c>
      <c r="AI5521">
        <v>96.061447811373</v>
      </c>
      <c r="AJ5521">
        <v>60.041156797124401</v>
      </c>
      <c r="AK5521">
        <v>10.462683437943401</v>
      </c>
      <c r="AL5521">
        <v>89.944139127141497</v>
      </c>
      <c r="AM5521">
        <v>74.330054528363505</v>
      </c>
      <c r="AN5521">
        <v>1.0000000000384499</v>
      </c>
    </row>
    <row r="5522" spans="1:40" x14ac:dyDescent="0.3">
      <c r="A5522" t="str">
        <f>"20200111160611417"</f>
        <v>20200111160611417</v>
      </c>
      <c r="B5522" t="str">
        <f>"1578729971408140"</f>
        <v>1578729971408140</v>
      </c>
      <c r="C5522" t="s">
        <v>40</v>
      </c>
      <c r="D5522">
        <v>5.5637290000000004</v>
      </c>
      <c r="E5522">
        <v>0.58564539999999998</v>
      </c>
      <c r="F5522" t="s">
        <v>44</v>
      </c>
      <c r="G5522">
        <v>-307.35890000000001</v>
      </c>
      <c r="H5522">
        <v>-0.05</v>
      </c>
      <c r="I5522">
        <v>6.8635099999999998</v>
      </c>
      <c r="J5522">
        <v>-312.5283</v>
      </c>
      <c r="K5522">
        <v>1.0546450000000001</v>
      </c>
      <c r="L5522">
        <v>14.64926</v>
      </c>
      <c r="M5522">
        <v>0.88120089999999995</v>
      </c>
      <c r="N5522">
        <v>0</v>
      </c>
      <c r="O5522">
        <v>-0.47243639999999998</v>
      </c>
      <c r="P5522">
        <v>0.71972819999999904</v>
      </c>
      <c r="Q5522">
        <v>-1.0356270000000001E-2</v>
      </c>
      <c r="R5522">
        <v>-0.69417859999999998</v>
      </c>
      <c r="S5522">
        <v>1.714081</v>
      </c>
      <c r="T5522">
        <v>-0.358209</v>
      </c>
      <c r="U5522">
        <v>-2.5473330000000001</v>
      </c>
      <c r="V5522">
        <v>0.27178770000000002</v>
      </c>
      <c r="W5522">
        <v>1.246755E-3</v>
      </c>
      <c r="X5522">
        <v>0.9623564</v>
      </c>
      <c r="Y5522">
        <v>0.46724450000000001</v>
      </c>
      <c r="Z5522">
        <v>2.950786E-2</v>
      </c>
      <c r="AA5522">
        <v>0.88363559999999997</v>
      </c>
      <c r="AB5522">
        <v>22</v>
      </c>
      <c r="AC5522">
        <v>5.1693999999999898</v>
      </c>
      <c r="AD5522">
        <v>-1.1046450000000001</v>
      </c>
      <c r="AE5522">
        <v>-7.7857499999999904</v>
      </c>
      <c r="AF5522">
        <v>4.3583447261128097</v>
      </c>
      <c r="AG5522">
        <v>-1.1046450000000001</v>
      </c>
      <c r="AH5522">
        <v>8.1212780595519902</v>
      </c>
      <c r="AI5522">
        <v>96.834334686488802</v>
      </c>
      <c r="AJ5522">
        <v>61.779435511433199</v>
      </c>
      <c r="AK5522">
        <v>9.2828102775086894</v>
      </c>
      <c r="AL5522">
        <v>89.928566180081503</v>
      </c>
      <c r="AM5522">
        <v>74.229313861873393</v>
      </c>
      <c r="AN5522">
        <v>0.99999997444513899</v>
      </c>
    </row>
    <row r="5523" spans="1:40" x14ac:dyDescent="0.3">
      <c r="A5523" t="str">
        <f>"20200111160611432"</f>
        <v>20200111160611432</v>
      </c>
      <c r="B5523" t="str">
        <f>"1578729971427660"</f>
        <v>1578729971427660</v>
      </c>
      <c r="C5523" t="s">
        <v>40</v>
      </c>
      <c r="D5523">
        <v>5.5226280000000001</v>
      </c>
      <c r="E5523">
        <v>0.58500359999999996</v>
      </c>
      <c r="F5523" t="s">
        <v>44</v>
      </c>
      <c r="G5523">
        <v>-307.30540000000002</v>
      </c>
      <c r="H5523">
        <v>-0.05</v>
      </c>
      <c r="I5523">
        <v>6.787064</v>
      </c>
      <c r="J5523">
        <v>-312.411</v>
      </c>
      <c r="K5523">
        <v>1.054497</v>
      </c>
      <c r="L5523">
        <v>14.577299999999999</v>
      </c>
      <c r="M5523">
        <v>0.87779689999999999</v>
      </c>
      <c r="N5523">
        <v>0</v>
      </c>
      <c r="O5523">
        <v>-0.47873470000000001</v>
      </c>
      <c r="P5523">
        <v>0.71278719999999995</v>
      </c>
      <c r="Q5523">
        <v>-9.9913439999999992E-3</v>
      </c>
      <c r="R5523">
        <v>-0.70130950000000003</v>
      </c>
      <c r="S5523">
        <v>1.6979059999999999</v>
      </c>
      <c r="T5523">
        <v>-0.35910769999999997</v>
      </c>
      <c r="U5523">
        <v>-2.5559080000000001</v>
      </c>
      <c r="V5523">
        <v>0.27447830000000001</v>
      </c>
      <c r="W5523">
        <v>1.439397E-3</v>
      </c>
      <c r="X5523">
        <v>0.96159220000000001</v>
      </c>
      <c r="Y5523">
        <v>0.46619310000000003</v>
      </c>
      <c r="Z5523">
        <v>3.0495310000000001E-2</v>
      </c>
      <c r="AA5523">
        <v>0.88415719999999998</v>
      </c>
      <c r="AB5523">
        <v>22</v>
      </c>
      <c r="AC5523">
        <v>5.1055999999999804</v>
      </c>
      <c r="AD5523">
        <v>-1.1044969999999901</v>
      </c>
      <c r="AE5523">
        <v>-7.7902359999999904</v>
      </c>
      <c r="AF5523">
        <v>4.3337060560344396</v>
      </c>
      <c r="AG5523">
        <v>-1.1044969999999901</v>
      </c>
      <c r="AH5523">
        <v>8.0984323503619393</v>
      </c>
      <c r="AI5523">
        <v>96.856842276955206</v>
      </c>
      <c r="AJ5523">
        <v>61.847472420772</v>
      </c>
      <c r="AK5523">
        <v>9.2512446912027695</v>
      </c>
      <c r="AL5523">
        <v>89.917528597063907</v>
      </c>
      <c r="AM5523">
        <v>74.069056127041605</v>
      </c>
      <c r="AN5523">
        <v>0.99999998406772606</v>
      </c>
    </row>
    <row r="5524" spans="1:40" x14ac:dyDescent="0.3">
      <c r="A5524" t="str">
        <f>"20200111160611444"</f>
        <v>20200111160611444</v>
      </c>
      <c r="B5524" t="str">
        <f>"1578729971437421"</f>
        <v>1578729971437421</v>
      </c>
      <c r="C5524" t="s">
        <v>40</v>
      </c>
      <c r="D5524">
        <v>5.8417669999999999</v>
      </c>
      <c r="E5524">
        <v>0.58500359999999996</v>
      </c>
      <c r="F5524" t="s">
        <v>44</v>
      </c>
      <c r="G5524">
        <v>-307.16809999999998</v>
      </c>
      <c r="H5524">
        <v>-0.05</v>
      </c>
      <c r="I5524">
        <v>6.5376890000000003</v>
      </c>
      <c r="J5524">
        <v>-312.30529999999999</v>
      </c>
      <c r="K5524">
        <v>1.054368</v>
      </c>
      <c r="L5524">
        <v>14.511749999999999</v>
      </c>
      <c r="M5524">
        <v>0.8746623</v>
      </c>
      <c r="N5524">
        <v>0</v>
      </c>
      <c r="O5524">
        <v>-0.48444019999999999</v>
      </c>
      <c r="P5524">
        <v>0.70761790000000002</v>
      </c>
      <c r="Q5524">
        <v>-9.900697E-3</v>
      </c>
      <c r="R5524">
        <v>-0.70652609999999905</v>
      </c>
      <c r="S5524">
        <v>1.6756899999999999</v>
      </c>
      <c r="T5524">
        <v>-0.35300930000000003</v>
      </c>
      <c r="U5524">
        <v>-2.56955</v>
      </c>
      <c r="V5524">
        <v>0.27528029999999998</v>
      </c>
      <c r="W5524">
        <v>1.414125E-3</v>
      </c>
      <c r="X5524">
        <v>0.96136299999999997</v>
      </c>
      <c r="Y5524">
        <v>0.46796460000000001</v>
      </c>
      <c r="Z5524">
        <v>3.0625090000000001E-2</v>
      </c>
      <c r="AA5524">
        <v>0.88321640000000001</v>
      </c>
      <c r="AB5524">
        <v>22</v>
      </c>
      <c r="AC5524">
        <v>5.1372</v>
      </c>
      <c r="AD5524">
        <v>-1.104368</v>
      </c>
      <c r="AE5524">
        <v>-7.9740609999999901</v>
      </c>
      <c r="AF5524">
        <v>4.4265783264759202</v>
      </c>
      <c r="AG5524">
        <v>-1.104368</v>
      </c>
      <c r="AH5524">
        <v>8.2456858001156395</v>
      </c>
      <c r="AI5524">
        <v>96.730006650872696</v>
      </c>
      <c r="AJ5524">
        <v>61.771509690696298</v>
      </c>
      <c r="AK5524">
        <v>9.42367012761372</v>
      </c>
      <c r="AL5524">
        <v>89.918976581266307</v>
      </c>
      <c r="AM5524">
        <v>74.021265192899804</v>
      </c>
      <c r="AN5524">
        <v>1.0000000305432999</v>
      </c>
    </row>
    <row r="5525" spans="1:40" x14ac:dyDescent="0.3">
      <c r="A5525" t="str">
        <f>"20200111160611456"</f>
        <v>20200111160611456</v>
      </c>
      <c r="B5525" t="str">
        <f>"1578729971447264"</f>
        <v>1578729971447264</v>
      </c>
      <c r="C5525" t="s">
        <v>40</v>
      </c>
      <c r="D5525">
        <v>5.5052130000000004</v>
      </c>
      <c r="E5525">
        <v>0.58491139999999997</v>
      </c>
      <c r="F5525" t="s">
        <v>44</v>
      </c>
      <c r="G5525">
        <v>-307.1198</v>
      </c>
      <c r="H5525">
        <v>-0.05</v>
      </c>
      <c r="I5525">
        <v>6.4300990000000002</v>
      </c>
      <c r="J5525">
        <v>-312.20190000000002</v>
      </c>
      <c r="K5525">
        <v>1.054252</v>
      </c>
      <c r="L5525">
        <v>14.446009999999999</v>
      </c>
      <c r="M5525">
        <v>0.87149709999999903</v>
      </c>
      <c r="N5525">
        <v>0</v>
      </c>
      <c r="O5525">
        <v>-0.49011369999999999</v>
      </c>
      <c r="P5525">
        <v>0.70250140000000005</v>
      </c>
      <c r="Q5525">
        <v>-9.7265300000000006E-3</v>
      </c>
      <c r="R5525">
        <v>-0.71161600000000003</v>
      </c>
      <c r="S5525">
        <v>1.656677</v>
      </c>
      <c r="T5525">
        <v>-0.35282580000000002</v>
      </c>
      <c r="U5525">
        <v>-2.5819399999999999</v>
      </c>
      <c r="V5525">
        <v>0.27597470000000002</v>
      </c>
      <c r="W5525">
        <v>1.4856489999999999E-3</v>
      </c>
      <c r="X5525">
        <v>0.96116380000000001</v>
      </c>
      <c r="Y5525">
        <v>0.4687789</v>
      </c>
      <c r="Z5525">
        <v>3.1299010000000002E-2</v>
      </c>
      <c r="AA5525">
        <v>0.88276089999999996</v>
      </c>
      <c r="AB5525">
        <v>22</v>
      </c>
      <c r="AC5525">
        <v>5.08210000000002</v>
      </c>
      <c r="AD5525">
        <v>-1.104252</v>
      </c>
      <c r="AE5525">
        <v>-8.0159109999999991</v>
      </c>
      <c r="AF5525">
        <v>4.4356274805358096</v>
      </c>
      <c r="AG5525">
        <v>-1.104252</v>
      </c>
      <c r="AH5525">
        <v>8.2472826756663498</v>
      </c>
      <c r="AI5525">
        <v>96.725254923037198</v>
      </c>
      <c r="AJ5525">
        <v>61.727349037269498</v>
      </c>
      <c r="AK5525">
        <v>9.4293072469792207</v>
      </c>
      <c r="AL5525">
        <v>89.914878555091605</v>
      </c>
      <c r="AM5525">
        <v>73.979874273163801</v>
      </c>
      <c r="AN5525">
        <v>1.00000004631173</v>
      </c>
    </row>
    <row r="5526" spans="1:40" x14ac:dyDescent="0.3">
      <c r="A5526" t="str">
        <f>"20200111160611469"</f>
        <v>20200111160611469</v>
      </c>
      <c r="B5526" t="str">
        <f>"1578729971458000"</f>
        <v>1578729971458000</v>
      </c>
      <c r="C5526" t="s">
        <v>40</v>
      </c>
      <c r="D5526">
        <v>5.5299849999999999</v>
      </c>
      <c r="E5526">
        <v>0.58465330000000004</v>
      </c>
      <c r="F5526" t="s">
        <v>44</v>
      </c>
      <c r="G5526">
        <v>-307.05900000000003</v>
      </c>
      <c r="H5526">
        <v>-0.05</v>
      </c>
      <c r="I5526">
        <v>6.3075710000000003</v>
      </c>
      <c r="J5526">
        <v>-312.09269999999998</v>
      </c>
      <c r="K5526">
        <v>1.054135</v>
      </c>
      <c r="L5526">
        <v>14.37585</v>
      </c>
      <c r="M5526">
        <v>0.86808479999999999</v>
      </c>
      <c r="N5526">
        <v>0</v>
      </c>
      <c r="O5526">
        <v>-0.49613479999999999</v>
      </c>
      <c r="P5526">
        <v>0.69709109999999996</v>
      </c>
      <c r="Q5526">
        <v>-9.6625029999999994E-3</v>
      </c>
      <c r="R5526">
        <v>-0.71691780000000005</v>
      </c>
      <c r="S5526">
        <v>1.638733</v>
      </c>
      <c r="T5526">
        <v>-0.351854099999999</v>
      </c>
      <c r="U5526">
        <v>-2.5932010000000001</v>
      </c>
      <c r="V5526">
        <v>0.27660289999999998</v>
      </c>
      <c r="W5526">
        <v>1.4470259999999999E-3</v>
      </c>
      <c r="X5526">
        <v>0.96098320000000004</v>
      </c>
      <c r="Y5526">
        <v>0.46878999999999998</v>
      </c>
      <c r="Z5526">
        <v>3.199838E-2</v>
      </c>
      <c r="AA5526">
        <v>0.88272989999999996</v>
      </c>
      <c r="AB5526">
        <v>22</v>
      </c>
      <c r="AC5526">
        <v>5.0336999999999499</v>
      </c>
      <c r="AD5526">
        <v>-1.1041350000000001</v>
      </c>
      <c r="AE5526">
        <v>-8.0682789999999898</v>
      </c>
      <c r="AF5526">
        <v>4.44723448539479</v>
      </c>
      <c r="AG5526">
        <v>-1.1041350000000001</v>
      </c>
      <c r="AH5526">
        <v>8.2624191576561294</v>
      </c>
      <c r="AI5526">
        <v>96.711178123920206</v>
      </c>
      <c r="AJ5526">
        <v>61.7087089342875</v>
      </c>
      <c r="AK5526">
        <v>9.4479933850057698</v>
      </c>
      <c r="AL5526">
        <v>89.917091487129696</v>
      </c>
      <c r="AM5526">
        <v>73.942423141157406</v>
      </c>
      <c r="AN5526">
        <v>0.99999998442744698</v>
      </c>
    </row>
    <row r="5527" spans="1:40" x14ac:dyDescent="0.3">
      <c r="A5527" t="str">
        <f>"20200111160611482"</f>
        <v>20200111160611482</v>
      </c>
      <c r="B5527" t="str">
        <f>"1578729971477519"</f>
        <v>1578729971477519</v>
      </c>
      <c r="C5527" t="s">
        <v>40</v>
      </c>
      <c r="D5527">
        <v>5.524305</v>
      </c>
      <c r="E5527">
        <v>0.5833564</v>
      </c>
      <c r="F5527" t="s">
        <v>44</v>
      </c>
      <c r="G5527">
        <v>-307.0204</v>
      </c>
      <c r="H5527">
        <v>-0.05</v>
      </c>
      <c r="I5527">
        <v>6.2250059999999996</v>
      </c>
      <c r="J5527">
        <v>-311.97340000000003</v>
      </c>
      <c r="K5527">
        <v>1.0540160000000001</v>
      </c>
      <c r="L5527">
        <v>14.298069999999999</v>
      </c>
      <c r="M5527">
        <v>0.86426409999999998</v>
      </c>
      <c r="N5527">
        <v>0</v>
      </c>
      <c r="O5527">
        <v>-0.50276259999999995</v>
      </c>
      <c r="P5527">
        <v>0.69157089999999999</v>
      </c>
      <c r="Q5527">
        <v>-9.2914179999999992E-3</v>
      </c>
      <c r="R5527">
        <v>-0.72224889999999997</v>
      </c>
      <c r="S5527">
        <v>1.620544</v>
      </c>
      <c r="T5527">
        <v>-0.35275780000000001</v>
      </c>
      <c r="U5527">
        <v>-2.604095</v>
      </c>
      <c r="V5527">
        <v>0.27663209999999999</v>
      </c>
      <c r="W5527">
        <v>1.7278809999999999E-3</v>
      </c>
      <c r="X5527">
        <v>0.96097429999999995</v>
      </c>
      <c r="Y5527">
        <v>0.46816560000000002</v>
      </c>
      <c r="Z5527">
        <v>3.2988789999999997E-2</v>
      </c>
      <c r="AA5527">
        <v>0.88302479999999905</v>
      </c>
      <c r="AB5527">
        <v>22</v>
      </c>
      <c r="AC5527">
        <v>4.9530000000000296</v>
      </c>
      <c r="AD5527">
        <v>-1.1040159999999899</v>
      </c>
      <c r="AE5527">
        <v>-8.0730640000000005</v>
      </c>
      <c r="AF5527">
        <v>4.4275411683372701</v>
      </c>
      <c r="AG5527">
        <v>-1.1040159999999899</v>
      </c>
      <c r="AH5527">
        <v>8.2288847860564598</v>
      </c>
      <c r="AI5527">
        <v>96.738113394783198</v>
      </c>
      <c r="AJ5527">
        <v>61.717582396549297</v>
      </c>
      <c r="AK5527">
        <v>9.4093845148218307</v>
      </c>
      <c r="AL5527">
        <v>89.900999657461298</v>
      </c>
      <c r="AM5527">
        <v>73.940674327597193</v>
      </c>
      <c r="AN5527">
        <v>0.99999995479182402</v>
      </c>
    </row>
    <row r="5528" spans="1:40" x14ac:dyDescent="0.3">
      <c r="A5528" t="str">
        <f>"20200111160611496"</f>
        <v>20200111160611496</v>
      </c>
      <c r="B5528" t="str">
        <f>"1578729971487280"</f>
        <v>1578729971487280</v>
      </c>
      <c r="C5528" t="s">
        <v>40</v>
      </c>
      <c r="D5528">
        <v>5.5123540000000002</v>
      </c>
      <c r="E5528">
        <v>0.58274519999999996</v>
      </c>
      <c r="F5528" t="s">
        <v>44</v>
      </c>
      <c r="G5528">
        <v>-306.90530000000001</v>
      </c>
      <c r="H5528">
        <v>-0.05</v>
      </c>
      <c r="I5528">
        <v>6.0721280000000002</v>
      </c>
      <c r="J5528">
        <v>-311.86559999999997</v>
      </c>
      <c r="K5528">
        <v>1.053925</v>
      </c>
      <c r="L5528">
        <v>14.226039999999999</v>
      </c>
      <c r="M5528">
        <v>0.86069810000000002</v>
      </c>
      <c r="N5528">
        <v>0</v>
      </c>
      <c r="O5528">
        <v>-0.50884499999999999</v>
      </c>
      <c r="P5528">
        <v>0.68684869999999898</v>
      </c>
      <c r="Q5528">
        <v>-8.8048090000000002E-3</v>
      </c>
      <c r="R5528">
        <v>-0.72674719999999904</v>
      </c>
      <c r="S5528">
        <v>1.6078490000000001</v>
      </c>
      <c r="T5528">
        <v>-0.35024119999999997</v>
      </c>
      <c r="U5528">
        <v>-2.6096189999999999</v>
      </c>
      <c r="V5528">
        <v>0.27613259999999901</v>
      </c>
      <c r="W5528">
        <v>2.152742E-3</v>
      </c>
      <c r="X5528">
        <v>0.96111709999999995</v>
      </c>
      <c r="Y5528">
        <v>0.46591870000000002</v>
      </c>
      <c r="Z5528">
        <v>3.3700679999999997E-2</v>
      </c>
      <c r="AA5528">
        <v>0.88418549999999996</v>
      </c>
      <c r="AB5528">
        <v>22</v>
      </c>
      <c r="AC5528">
        <v>4.9602999999999602</v>
      </c>
      <c r="AD5528">
        <v>-1.103925</v>
      </c>
      <c r="AE5528">
        <v>-8.1539119999999894</v>
      </c>
      <c r="AF5528">
        <v>4.4353145623119996</v>
      </c>
      <c r="AG5528">
        <v>-1.103925</v>
      </c>
      <c r="AH5528">
        <v>8.3084049978327794</v>
      </c>
      <c r="AI5528">
        <v>96.685275432703705</v>
      </c>
      <c r="AJ5528">
        <v>61.9051547921976</v>
      </c>
      <c r="AK5528">
        <v>9.4826293442428007</v>
      </c>
      <c r="AL5528">
        <v>89.876656869248706</v>
      </c>
      <c r="AM5528">
        <v>73.970440159531904</v>
      </c>
      <c r="AN5528">
        <v>0.999999963496643</v>
      </c>
    </row>
    <row r="5529" spans="1:40" x14ac:dyDescent="0.3">
      <c r="A5529" t="str">
        <f>"20200111160611510"</f>
        <v>20200111160611510</v>
      </c>
      <c r="B5529" t="str">
        <f>"1578729971507776"</f>
        <v>1578729971507776</v>
      </c>
      <c r="C5529" t="s">
        <v>40</v>
      </c>
      <c r="D5529">
        <v>5.5551120000000003</v>
      </c>
      <c r="E5529">
        <v>0.58206880000000005</v>
      </c>
      <c r="F5529" t="s">
        <v>44</v>
      </c>
      <c r="G5529">
        <v>-306.83069999999998</v>
      </c>
      <c r="H5529">
        <v>-0.05</v>
      </c>
      <c r="I5529">
        <v>5.9618529999999996</v>
      </c>
      <c r="J5529">
        <v>-311.7473</v>
      </c>
      <c r="K5529">
        <v>1.0538339999999999</v>
      </c>
      <c r="L5529">
        <v>14.14594</v>
      </c>
      <c r="M5529">
        <v>0.85669459999999997</v>
      </c>
      <c r="N5529">
        <v>0</v>
      </c>
      <c r="O5529">
        <v>-0.51555870000000004</v>
      </c>
      <c r="P5529">
        <v>0.68163149999999995</v>
      </c>
      <c r="Q5529">
        <v>-5.7754759999999999E-3</v>
      </c>
      <c r="R5529">
        <v>-0.73167309999999997</v>
      </c>
      <c r="S5529">
        <v>1.59436</v>
      </c>
      <c r="T5529">
        <v>-0.34956520000000002</v>
      </c>
      <c r="U5529">
        <v>-2.6169129999999998</v>
      </c>
      <c r="V5529">
        <v>0.27557569999999998</v>
      </c>
      <c r="W5529">
        <v>5.1200789999999996E-3</v>
      </c>
      <c r="X5529">
        <v>0.9612657</v>
      </c>
      <c r="Y5529">
        <v>0.46345960000000003</v>
      </c>
      <c r="Z5529">
        <v>3.4662730000000003E-2</v>
      </c>
      <c r="AA5529">
        <v>0.8854398</v>
      </c>
      <c r="AB5529">
        <v>22</v>
      </c>
      <c r="AC5529">
        <v>4.9166000000000096</v>
      </c>
      <c r="AD5529">
        <v>-1.103834</v>
      </c>
      <c r="AE5529">
        <v>-8.1840869999999999</v>
      </c>
      <c r="AF5529">
        <v>4.4180231497339104</v>
      </c>
      <c r="AG5529">
        <v>-1.103834</v>
      </c>
      <c r="AH5529">
        <v>8.3213228060719295</v>
      </c>
      <c r="AI5529">
        <v>96.682425417722897</v>
      </c>
      <c r="AJ5529">
        <v>62.034916643530103</v>
      </c>
      <c r="AK5529">
        <v>9.4858732488893001</v>
      </c>
      <c r="AL5529">
        <v>89.706639790152593</v>
      </c>
      <c r="AM5529">
        <v>74.003459051504095</v>
      </c>
      <c r="AN5529">
        <v>0.99999996381797196</v>
      </c>
    </row>
    <row r="5530" spans="1:40" x14ac:dyDescent="0.3">
      <c r="A5530" t="str">
        <f>"20200111160611523"</f>
        <v>20200111160611523</v>
      </c>
      <c r="B5530" t="str">
        <f>"1578729971517536"</f>
        <v>1578729971517536</v>
      </c>
      <c r="C5530" t="s">
        <v>40</v>
      </c>
      <c r="D5530">
        <v>5.6040789999999996</v>
      </c>
      <c r="E5530">
        <v>0.57308179999999997</v>
      </c>
      <c r="F5530" t="s">
        <v>44</v>
      </c>
      <c r="G5530">
        <v>-306.63510000000002</v>
      </c>
      <c r="H5530">
        <v>-0.05</v>
      </c>
      <c r="I5530">
        <v>5.6552579999999999</v>
      </c>
      <c r="J5530">
        <v>-311.63650000000001</v>
      </c>
      <c r="K5530">
        <v>1.053758</v>
      </c>
      <c r="L5530">
        <v>14.069979999999999</v>
      </c>
      <c r="M5530">
        <v>0.85285739999999999</v>
      </c>
      <c r="N5530">
        <v>0</v>
      </c>
      <c r="O5530">
        <v>-0.52188310000000004</v>
      </c>
      <c r="P5530">
        <v>0.67660779999999998</v>
      </c>
      <c r="Q5530">
        <v>-3.5014709999999999E-3</v>
      </c>
      <c r="R5530">
        <v>-0.73633559999999998</v>
      </c>
      <c r="S5530">
        <v>1.5805359999999999</v>
      </c>
      <c r="T5530">
        <v>-0.34127259999999998</v>
      </c>
      <c r="U5530">
        <v>-2.6250610000000001</v>
      </c>
      <c r="V5530">
        <v>0.27509650000000002</v>
      </c>
      <c r="W5530">
        <v>7.3392369999999898E-3</v>
      </c>
      <c r="X5530">
        <v>0.96138860000000004</v>
      </c>
      <c r="Y5530">
        <v>0.46157369999999998</v>
      </c>
      <c r="Z5530">
        <v>3.4761E-2</v>
      </c>
      <c r="AA5530">
        <v>0.88642049999999994</v>
      </c>
      <c r="AB5530">
        <v>22</v>
      </c>
      <c r="AC5530">
        <v>5.0013999999999896</v>
      </c>
      <c r="AD5530">
        <v>-1.103758</v>
      </c>
      <c r="AE5530">
        <v>-8.4147219999999994</v>
      </c>
      <c r="AF5530">
        <v>4.5096970041309401</v>
      </c>
      <c r="AG5530">
        <v>-1.103758</v>
      </c>
      <c r="AH5530">
        <v>8.5494625758905904</v>
      </c>
      <c r="AI5530">
        <v>96.514403877252207</v>
      </c>
      <c r="AJ5530">
        <v>62.1891107491643</v>
      </c>
      <c r="AK5530">
        <v>9.7287696615854493</v>
      </c>
      <c r="AL5530">
        <v>89.5794889175707</v>
      </c>
      <c r="AM5530">
        <v>74.031793339604107</v>
      </c>
      <c r="AN5530">
        <v>0.99999999446097598</v>
      </c>
    </row>
    <row r="5531" spans="1:40" x14ac:dyDescent="0.3">
      <c r="A5531" t="str">
        <f>"20200111160611537"</f>
        <v>20200111160611537</v>
      </c>
      <c r="B5531" t="str">
        <f>"1578729971527295"</f>
        <v>1578729971527295</v>
      </c>
      <c r="C5531" t="s">
        <v>40</v>
      </c>
      <c r="D5531">
        <v>5.5458559999999997</v>
      </c>
      <c r="E5531">
        <v>0.57308179999999997</v>
      </c>
      <c r="F5531" t="s">
        <v>44</v>
      </c>
      <c r="G5531">
        <v>-306.57600000000002</v>
      </c>
      <c r="H5531">
        <v>-0.05</v>
      </c>
      <c r="I5531">
        <v>5.9722140000000001</v>
      </c>
      <c r="J5531">
        <v>-311.5299</v>
      </c>
      <c r="K5531">
        <v>1.0536970000000001</v>
      </c>
      <c r="L5531">
        <v>13.99506</v>
      </c>
      <c r="M5531">
        <v>0.84905219999999904</v>
      </c>
      <c r="N5531">
        <v>0</v>
      </c>
      <c r="O5531">
        <v>-0.52805259999999998</v>
      </c>
      <c r="P5531">
        <v>0.67170989999999997</v>
      </c>
      <c r="Q5531">
        <v>-1.0893999999999999E-3</v>
      </c>
      <c r="R5531">
        <v>-0.74081359999999996</v>
      </c>
      <c r="S5531">
        <v>1.6166990000000001</v>
      </c>
      <c r="T5531">
        <v>-0.35261890000000001</v>
      </c>
      <c r="U5531">
        <v>-2.5870060000000001</v>
      </c>
      <c r="V5531">
        <v>0.27455279999999999</v>
      </c>
      <c r="W5531">
        <v>9.7080780000000002E-3</v>
      </c>
      <c r="X5531">
        <v>0.96152300000000002</v>
      </c>
      <c r="Y5531">
        <v>0.44044539999999999</v>
      </c>
      <c r="Z5531">
        <v>3.8103430000000001E-2</v>
      </c>
      <c r="AA5531">
        <v>0.8969705</v>
      </c>
      <c r="AB5531">
        <v>22</v>
      </c>
      <c r="AC5531">
        <v>4.9539000000000302</v>
      </c>
      <c r="AD5531">
        <v>-1.1036969999999999</v>
      </c>
      <c r="AE5531">
        <v>-8.0228459999999995</v>
      </c>
      <c r="AF5531">
        <v>4.1397435276089203</v>
      </c>
      <c r="AG5531">
        <v>-1.1036969999999999</v>
      </c>
      <c r="AH5531">
        <v>8.3296208773119993</v>
      </c>
      <c r="AI5531">
        <v>96.766876029868996</v>
      </c>
      <c r="AJ5531">
        <v>63.573054159066501</v>
      </c>
      <c r="AK5531">
        <v>9.36686753946808</v>
      </c>
      <c r="AL5531">
        <v>89.443759356493899</v>
      </c>
      <c r="AM5531">
        <v>74.063863016036393</v>
      </c>
      <c r="AN5531">
        <v>0.99999998314764604</v>
      </c>
    </row>
    <row r="5532" spans="1:40" x14ac:dyDescent="0.3">
      <c r="A5532" t="str">
        <f>"20200111160611551"</f>
        <v>20200111160611551</v>
      </c>
      <c r="B5532" t="str">
        <f>"1578729971547791"</f>
        <v>1578729971547791</v>
      </c>
      <c r="C5532" t="s">
        <v>40</v>
      </c>
      <c r="D5532">
        <v>5.7473589999999897</v>
      </c>
      <c r="E5532">
        <v>0.59705620000000004</v>
      </c>
      <c r="F5532" t="s">
        <v>44</v>
      </c>
      <c r="G5532">
        <v>-306.41789999999997</v>
      </c>
      <c r="H5532">
        <v>-0.05</v>
      </c>
      <c r="I5532">
        <v>5.6955720000000003</v>
      </c>
      <c r="J5532">
        <v>-311.4119</v>
      </c>
      <c r="K5532">
        <v>1.053633</v>
      </c>
      <c r="L5532">
        <v>13.91095</v>
      </c>
      <c r="M5532">
        <v>0.84474210000000005</v>
      </c>
      <c r="N5532">
        <v>0</v>
      </c>
      <c r="O5532">
        <v>-0.5349218</v>
      </c>
      <c r="P5532">
        <v>0.66592989999999996</v>
      </c>
      <c r="Q5532">
        <v>1.1940430000000001E-3</v>
      </c>
      <c r="R5532">
        <v>-0.74601359999999906</v>
      </c>
      <c r="S5532">
        <v>1.6002809999999901</v>
      </c>
      <c r="T5532">
        <v>-0.34550320000000001</v>
      </c>
      <c r="U5532">
        <v>-2.5980829999999999</v>
      </c>
      <c r="V5532">
        <v>0.27427220000000002</v>
      </c>
      <c r="W5532">
        <v>1.19405E-2</v>
      </c>
      <c r="X5532">
        <v>0.96157800000000004</v>
      </c>
      <c r="Y5532">
        <v>0.43901020000000002</v>
      </c>
      <c r="Z5532">
        <v>3.829813E-2</v>
      </c>
      <c r="AA5532">
        <v>0.89766539999999995</v>
      </c>
      <c r="AB5532">
        <v>22</v>
      </c>
      <c r="AC5532">
        <v>4.9940000000000202</v>
      </c>
      <c r="AD5532">
        <v>-1.1036330000000001</v>
      </c>
      <c r="AE5532">
        <v>-8.2153779999999994</v>
      </c>
      <c r="AF5532">
        <v>4.2135286654572797</v>
      </c>
      <c r="AG5532">
        <v>-1.1036330000000001</v>
      </c>
      <c r="AH5532">
        <v>8.5023499052849392</v>
      </c>
      <c r="AI5532">
        <v>96.633971986180896</v>
      </c>
      <c r="AJ5532">
        <v>63.638261207761097</v>
      </c>
      <c r="AK5532">
        <v>9.5531033452600091</v>
      </c>
      <c r="AL5532">
        <v>89.315843509081105</v>
      </c>
      <c r="AM5532">
        <v>74.080188732040298</v>
      </c>
      <c r="AN5532">
        <v>1.0000000326585401</v>
      </c>
    </row>
    <row r="5533" spans="1:40" x14ac:dyDescent="0.3">
      <c r="A5533" t="str">
        <f>"20200111160611566"</f>
        <v>20200111160611566</v>
      </c>
      <c r="B5533" t="str">
        <f>"1578729971557551"</f>
        <v>1578729971557551</v>
      </c>
      <c r="C5533" t="s">
        <v>40</v>
      </c>
      <c r="D5533">
        <v>5.8126030000000002</v>
      </c>
      <c r="E5533">
        <v>0.60366109999999995</v>
      </c>
      <c r="F5533" t="s">
        <v>44</v>
      </c>
      <c r="G5533">
        <v>-306.98200000000003</v>
      </c>
      <c r="H5533">
        <v>-0.05</v>
      </c>
      <c r="I5533">
        <v>5.480194</v>
      </c>
      <c r="J5533">
        <v>-311.29050000000001</v>
      </c>
      <c r="K5533">
        <v>1.0535870000000001</v>
      </c>
      <c r="L5533">
        <v>13.823029999999999</v>
      </c>
      <c r="M5533">
        <v>0.84019699999999997</v>
      </c>
      <c r="N5533">
        <v>0</v>
      </c>
      <c r="O5533">
        <v>-0.54203389999999996</v>
      </c>
      <c r="P5533">
        <v>0.66011390000000003</v>
      </c>
      <c r="Q5533">
        <v>5.4389130000000001E-3</v>
      </c>
      <c r="R5533">
        <v>-0.75114609999999904</v>
      </c>
      <c r="S5533">
        <v>1.4385680000000001</v>
      </c>
      <c r="T5533">
        <v>-0.35839300000000002</v>
      </c>
      <c r="U5533">
        <v>-2.7377929999999999</v>
      </c>
      <c r="V5533">
        <v>0.27368870000000001</v>
      </c>
      <c r="W5533">
        <v>1.6144829999999999E-2</v>
      </c>
      <c r="X5533">
        <v>0.96168290000000001</v>
      </c>
      <c r="Y5533">
        <v>0.49168109999999998</v>
      </c>
      <c r="Z5533">
        <v>3.7068990000000003E-2</v>
      </c>
      <c r="AA5533">
        <v>0.86998589999999998</v>
      </c>
      <c r="AB5533">
        <v>22</v>
      </c>
      <c r="AC5533">
        <v>4.30849999999998</v>
      </c>
      <c r="AD5533">
        <v>-1.1035870000000001</v>
      </c>
      <c r="AE5533">
        <v>-8.3428359999999895</v>
      </c>
      <c r="AF5533">
        <v>4.6112017996973496</v>
      </c>
      <c r="AG5533">
        <v>-1.1035870000000001</v>
      </c>
      <c r="AH5533">
        <v>8.03222583517217</v>
      </c>
      <c r="AI5533">
        <v>96.795067415860103</v>
      </c>
      <c r="AJ5533">
        <v>60.140398019100701</v>
      </c>
      <c r="AK5533">
        <v>9.3272578055561706</v>
      </c>
      <c r="AL5533">
        <v>89.074929263706807</v>
      </c>
      <c r="AM5533">
        <v>74.113991570794894</v>
      </c>
      <c r="AN5533">
        <v>1.0000000800979101</v>
      </c>
    </row>
    <row r="5534" spans="1:40" x14ac:dyDescent="0.3">
      <c r="A5534" t="str">
        <f>"20200111160611579"</f>
        <v>20200111160611579</v>
      </c>
      <c r="B5534" t="str">
        <f>"1578729971567312"</f>
        <v>1578729971567312</v>
      </c>
      <c r="C5534" t="s">
        <v>40</v>
      </c>
      <c r="D5534">
        <v>5.8405889999999996</v>
      </c>
      <c r="E5534">
        <v>0.60816819999999905</v>
      </c>
      <c r="F5534" t="s">
        <v>44</v>
      </c>
      <c r="G5534">
        <v>-307.09010000000001</v>
      </c>
      <c r="H5534">
        <v>-0.05</v>
      </c>
      <c r="I5534">
        <v>5.3472439999999999</v>
      </c>
      <c r="J5534">
        <v>-311.18459999999999</v>
      </c>
      <c r="K5534">
        <v>1.053544</v>
      </c>
      <c r="L5534">
        <v>13.74475</v>
      </c>
      <c r="M5534">
        <v>0.83612640000000005</v>
      </c>
      <c r="N5534">
        <v>0</v>
      </c>
      <c r="O5534">
        <v>-0.54829269999999997</v>
      </c>
      <c r="P5534">
        <v>0.65463389999999999</v>
      </c>
      <c r="Q5534">
        <v>6.8164929999999999E-3</v>
      </c>
      <c r="R5534">
        <v>-0.75591519999999901</v>
      </c>
      <c r="S5534">
        <v>1.3796999999999999</v>
      </c>
      <c r="T5534">
        <v>-0.36249350000000002</v>
      </c>
      <c r="U5534">
        <v>-2.784027</v>
      </c>
      <c r="V5534">
        <v>0.27351760000000003</v>
      </c>
      <c r="W5534">
        <v>1.7486459999999999E-2</v>
      </c>
      <c r="X5534">
        <v>0.96170809999999995</v>
      </c>
      <c r="Y5534">
        <v>0.50568740000000001</v>
      </c>
      <c r="Z5534">
        <v>3.7326970000000001E-2</v>
      </c>
      <c r="AA5534">
        <v>0.86190889999999998</v>
      </c>
      <c r="AB5534">
        <v>22</v>
      </c>
      <c r="AC5534">
        <v>4.0944999999999796</v>
      </c>
      <c r="AD5534">
        <v>-1.1035440000000001</v>
      </c>
      <c r="AE5534">
        <v>-8.3975059999999999</v>
      </c>
      <c r="AF5534">
        <v>4.7112975983166701</v>
      </c>
      <c r="AG5534">
        <v>-1.1035440000000001</v>
      </c>
      <c r="AH5534">
        <v>7.9184048662584203</v>
      </c>
      <c r="AI5534">
        <v>96.829692591747005</v>
      </c>
      <c r="AJ5534">
        <v>59.248173660103603</v>
      </c>
      <c r="AK5534">
        <v>9.2798313586953505</v>
      </c>
      <c r="AL5534">
        <v>88.998048638613398</v>
      </c>
      <c r="AM5534">
        <v>74.123817192197905</v>
      </c>
      <c r="AN5534">
        <v>1.0000000616993401</v>
      </c>
    </row>
    <row r="5535" spans="1:40" x14ac:dyDescent="0.3">
      <c r="A5535" t="str">
        <f>"20200111160611593"</f>
        <v>20200111160611593</v>
      </c>
      <c r="B5535" t="str">
        <f>"1578729971587808"</f>
        <v>1578729971587808</v>
      </c>
      <c r="C5535" t="s">
        <v>40</v>
      </c>
      <c r="D5535">
        <v>5.7796909999999997</v>
      </c>
      <c r="E5535">
        <v>0.61325249999999998</v>
      </c>
      <c r="F5535" t="s">
        <v>44</v>
      </c>
      <c r="G5535">
        <v>-307.22640000000001</v>
      </c>
      <c r="H5535">
        <v>-0.05</v>
      </c>
      <c r="I5535">
        <v>5.3780359999999998</v>
      </c>
      <c r="J5535">
        <v>-311.07139999999998</v>
      </c>
      <c r="K5535">
        <v>1.053504</v>
      </c>
      <c r="L5535">
        <v>13.659520000000001</v>
      </c>
      <c r="M5535">
        <v>0.831671099999999</v>
      </c>
      <c r="N5535">
        <v>0</v>
      </c>
      <c r="O5535">
        <v>-0.55502859999999998</v>
      </c>
      <c r="P5535">
        <v>0.64872659999999904</v>
      </c>
      <c r="Q5535">
        <v>8.1985089999999997E-3</v>
      </c>
      <c r="R5535">
        <v>-0.76097760000000003</v>
      </c>
      <c r="S5535">
        <v>1.333008</v>
      </c>
      <c r="T5535">
        <v>-0.3716409</v>
      </c>
      <c r="U5535">
        <v>-2.8176570000000001</v>
      </c>
      <c r="V5535">
        <v>0.27325450000000001</v>
      </c>
      <c r="W5535">
        <v>1.8837119999999999E-2</v>
      </c>
      <c r="X5535">
        <v>0.96175730000000004</v>
      </c>
      <c r="Y5535">
        <v>0.51437379999999999</v>
      </c>
      <c r="Z5535">
        <v>3.8546009999999999E-2</v>
      </c>
      <c r="AA5535">
        <v>0.8566994</v>
      </c>
      <c r="AB5535">
        <v>22</v>
      </c>
      <c r="AC5535">
        <v>3.8449999999999598</v>
      </c>
      <c r="AD5535">
        <v>-1.103504</v>
      </c>
      <c r="AE5535">
        <v>-8.2814839999999901</v>
      </c>
      <c r="AF5535">
        <v>4.6855782243723603</v>
      </c>
      <c r="AG5535">
        <v>-1.103504</v>
      </c>
      <c r="AH5535">
        <v>7.6830499833350903</v>
      </c>
      <c r="AI5535">
        <v>96.990922463161496</v>
      </c>
      <c r="AJ5535">
        <v>58.622691474383103</v>
      </c>
      <c r="AK5535">
        <v>9.0665109838985902</v>
      </c>
      <c r="AL5535">
        <v>88.9206486670966</v>
      </c>
      <c r="AM5535">
        <v>74.1390905572935</v>
      </c>
      <c r="AN5535">
        <v>0.99999998148171698</v>
      </c>
    </row>
    <row r="5536" spans="1:40" x14ac:dyDescent="0.3">
      <c r="A5536" t="str">
        <f>"20200111160611606"</f>
        <v>20200111160611606</v>
      </c>
      <c r="B5536" t="str">
        <f>"1578729971597567"</f>
        <v>1578729971597567</v>
      </c>
      <c r="C5536" t="s">
        <v>40</v>
      </c>
      <c r="D5536">
        <v>5.6561570000000003</v>
      </c>
      <c r="E5536">
        <v>0.61494789999999999</v>
      </c>
      <c r="F5536" t="s">
        <v>44</v>
      </c>
      <c r="G5536">
        <v>-307.34629999999999</v>
      </c>
      <c r="H5536">
        <v>-0.05</v>
      </c>
      <c r="I5536">
        <v>5.361618</v>
      </c>
      <c r="J5536">
        <v>-310.97219999999999</v>
      </c>
      <c r="K5536">
        <v>1.0534709999999901</v>
      </c>
      <c r="L5536">
        <v>13.58405</v>
      </c>
      <c r="M5536">
        <v>0.82769820000000005</v>
      </c>
      <c r="N5536">
        <v>0</v>
      </c>
      <c r="O5536">
        <v>-0.56093680000000001</v>
      </c>
      <c r="P5536">
        <v>0.64355130000000005</v>
      </c>
      <c r="Q5536">
        <v>9.0922940000000008E-3</v>
      </c>
      <c r="R5536">
        <v>-0.76534899999999995</v>
      </c>
      <c r="S5536">
        <v>1.2812809999999999</v>
      </c>
      <c r="T5536">
        <v>-0.37956289999999998</v>
      </c>
      <c r="U5536">
        <v>-2.8541560000000001</v>
      </c>
      <c r="V5536">
        <v>0.27293630000000002</v>
      </c>
      <c r="W5536">
        <v>1.9708610000000001E-2</v>
      </c>
      <c r="X5536">
        <v>0.96183019999999997</v>
      </c>
      <c r="Y5536">
        <v>0.52527029999999997</v>
      </c>
      <c r="Z5536">
        <v>3.9374699999999999E-2</v>
      </c>
      <c r="AA5536">
        <v>0.85002389999999906</v>
      </c>
      <c r="AB5536">
        <v>22</v>
      </c>
      <c r="AC5536">
        <v>3.6259000000000001</v>
      </c>
      <c r="AD5536">
        <v>-1.1034710000000001</v>
      </c>
      <c r="AE5536">
        <v>-8.2224319999999995</v>
      </c>
      <c r="AF5536">
        <v>4.7015345507342197</v>
      </c>
      <c r="AG5536">
        <v>-1.1034710000000001</v>
      </c>
      <c r="AH5536">
        <v>7.5013204285882704</v>
      </c>
      <c r="AI5536">
        <v>97.104978743906699</v>
      </c>
      <c r="AJ5536">
        <v>57.922121414680603</v>
      </c>
      <c r="AK5536">
        <v>8.9214283358632809</v>
      </c>
      <c r="AL5536">
        <v>88.870706702992393</v>
      </c>
      <c r="AM5536">
        <v>74.157773142196007</v>
      </c>
      <c r="AN5536">
        <v>0.99999999339893098</v>
      </c>
    </row>
    <row r="5537" spans="1:40" x14ac:dyDescent="0.3">
      <c r="A5537" t="str">
        <f>"20200111160611619"</f>
        <v>20200111160611619</v>
      </c>
      <c r="B5537" t="str">
        <f>"1578729971607328"</f>
        <v>1578729971607328</v>
      </c>
      <c r="C5537" t="s">
        <v>40</v>
      </c>
      <c r="D5537">
        <v>5.6774019999999998</v>
      </c>
      <c r="E5537">
        <v>0.61619349999999995</v>
      </c>
      <c r="F5537" t="s">
        <v>44</v>
      </c>
      <c r="G5537">
        <v>-307.31490000000002</v>
      </c>
      <c r="H5537">
        <v>-0.05</v>
      </c>
      <c r="I5537">
        <v>5.1921689999999998</v>
      </c>
      <c r="J5537">
        <v>-310.86700000000002</v>
      </c>
      <c r="K5537">
        <v>1.053444</v>
      </c>
      <c r="L5537">
        <v>13.50235</v>
      </c>
      <c r="M5537">
        <v>0.823384</v>
      </c>
      <c r="N5537">
        <v>0</v>
      </c>
      <c r="O5537">
        <v>-0.56725109999999901</v>
      </c>
      <c r="P5537">
        <v>0.63798339999999998</v>
      </c>
      <c r="Q5537">
        <v>9.7301969999999995E-3</v>
      </c>
      <c r="R5537">
        <v>-0.76998880000000003</v>
      </c>
      <c r="S5537">
        <v>1.251587</v>
      </c>
      <c r="T5537">
        <v>-0.37763269999999999</v>
      </c>
      <c r="U5537">
        <v>-2.8718870000000001</v>
      </c>
      <c r="V5537">
        <v>0.27256130000000001</v>
      </c>
      <c r="W5537">
        <v>2.032981E-2</v>
      </c>
      <c r="X5537">
        <v>0.96192370000000005</v>
      </c>
      <c r="Y5537">
        <v>0.52809659999999903</v>
      </c>
      <c r="Z5537">
        <v>3.9850009999999998E-2</v>
      </c>
      <c r="AA5537">
        <v>0.84824880000000003</v>
      </c>
      <c r="AB5537">
        <v>22</v>
      </c>
      <c r="AC5537">
        <v>3.55209999999999</v>
      </c>
      <c r="AD5537">
        <v>-1.1034440000000001</v>
      </c>
      <c r="AE5537">
        <v>-8.310181</v>
      </c>
      <c r="AF5537">
        <v>4.7572585698645797</v>
      </c>
      <c r="AG5537">
        <v>-1.1034440000000001</v>
      </c>
      <c r="AH5537">
        <v>7.5274980658058297</v>
      </c>
      <c r="AI5537">
        <v>97.063866892750795</v>
      </c>
      <c r="AJ5537">
        <v>57.707767321271</v>
      </c>
      <c r="AK5537">
        <v>8.97286603557618</v>
      </c>
      <c r="AL5537">
        <v>88.835107535283797</v>
      </c>
      <c r="AM5537">
        <v>74.179909981243398</v>
      </c>
      <c r="AN5537">
        <v>1.000000084027</v>
      </c>
    </row>
    <row r="5538" spans="1:40" x14ac:dyDescent="0.3">
      <c r="A5538" t="str">
        <f>"20200111160611633"</f>
        <v>20200111160611633</v>
      </c>
      <c r="B5538" t="str">
        <f>"1578729971627823"</f>
        <v>1578729971627823</v>
      </c>
      <c r="C5538" t="s">
        <v>40</v>
      </c>
      <c r="D5538">
        <v>5.6200080000000003</v>
      </c>
      <c r="E5538">
        <v>0.61803189999999997</v>
      </c>
      <c r="F5538" t="s">
        <v>44</v>
      </c>
      <c r="G5538">
        <v>-307.29360000000003</v>
      </c>
      <c r="H5538">
        <v>-0.05</v>
      </c>
      <c r="I5538">
        <v>5.0706629999999997</v>
      </c>
      <c r="J5538">
        <v>-310.75549999999998</v>
      </c>
      <c r="K5538">
        <v>1.0534250000000001</v>
      </c>
      <c r="L5538">
        <v>13.41431</v>
      </c>
      <c r="M5538">
        <v>0.81871459999999996</v>
      </c>
      <c r="N5538">
        <v>0</v>
      </c>
      <c r="O5538">
        <v>-0.5739706</v>
      </c>
      <c r="P5538">
        <v>0.63225919999999902</v>
      </c>
      <c r="Q5538">
        <v>1.0631730000000001E-2</v>
      </c>
      <c r="R5538">
        <v>-0.77468440000000005</v>
      </c>
      <c r="S5538">
        <v>1.2235720000000001</v>
      </c>
      <c r="T5538">
        <v>-0.37783709999999998</v>
      </c>
      <c r="U5538">
        <v>-2.887146</v>
      </c>
      <c r="V5538">
        <v>0.27182469999999997</v>
      </c>
      <c r="W5538">
        <v>2.122607E-2</v>
      </c>
      <c r="X5538">
        <v>0.96211270000000004</v>
      </c>
      <c r="Y5538">
        <v>0.52976420000000002</v>
      </c>
      <c r="Z5538">
        <v>4.0694149999999998E-2</v>
      </c>
      <c r="AA5538">
        <v>0.84716809999999998</v>
      </c>
      <c r="AB5538">
        <v>22</v>
      </c>
      <c r="AC5538">
        <v>3.4618999999999498</v>
      </c>
      <c r="AD5538">
        <v>-1.1034250000000001</v>
      </c>
      <c r="AE5538">
        <v>-8.3436470000000007</v>
      </c>
      <c r="AF5538">
        <v>4.7734534563269504</v>
      </c>
      <c r="AG5538">
        <v>-1.1034250000000001</v>
      </c>
      <c r="AH5538">
        <v>7.5122354247637704</v>
      </c>
      <c r="AI5538">
        <v>97.067064357480604</v>
      </c>
      <c r="AJ5538">
        <v>57.567150098803602</v>
      </c>
      <c r="AK5538">
        <v>8.9686724607056796</v>
      </c>
      <c r="AL5538">
        <v>88.783744468982206</v>
      </c>
      <c r="AM5538">
        <v>74.223477434277498</v>
      </c>
      <c r="AN5538">
        <v>1.00000003053951</v>
      </c>
    </row>
    <row r="5539" spans="1:40" x14ac:dyDescent="0.3">
      <c r="A5539" t="str">
        <f>"20200111160611647"</f>
        <v>20200111160611647</v>
      </c>
      <c r="B5539" t="str">
        <f>"1578729971637584"</f>
        <v>1578729971637584</v>
      </c>
      <c r="C5539" t="s">
        <v>40</v>
      </c>
      <c r="D5539">
        <v>5.6112970000000004</v>
      </c>
      <c r="E5539">
        <v>0.61860919999999997</v>
      </c>
      <c r="F5539" t="s">
        <v>44</v>
      </c>
      <c r="G5539">
        <v>-307.30399999999997</v>
      </c>
      <c r="H5539">
        <v>-0.05</v>
      </c>
      <c r="I5539">
        <v>4.9976500000000001</v>
      </c>
      <c r="J5539">
        <v>-310.65050000000002</v>
      </c>
      <c r="K5539">
        <v>1.053412</v>
      </c>
      <c r="L5539">
        <v>13.33014</v>
      </c>
      <c r="M5539">
        <v>0.81422859999999997</v>
      </c>
      <c r="N5539">
        <v>0</v>
      </c>
      <c r="O5539">
        <v>-0.58031730000000004</v>
      </c>
      <c r="P5539">
        <v>0.62651250000000003</v>
      </c>
      <c r="Q5539">
        <v>1.0952989999999999E-2</v>
      </c>
      <c r="R5539">
        <v>-0.77933439999999998</v>
      </c>
      <c r="S5539">
        <v>1.1914370000000001</v>
      </c>
      <c r="T5539">
        <v>-0.3808935</v>
      </c>
      <c r="U5539">
        <v>-2.9053650000000002</v>
      </c>
      <c r="V5539">
        <v>0.27146320000000002</v>
      </c>
      <c r="W5539">
        <v>2.1537850000000001E-2</v>
      </c>
      <c r="X5539">
        <v>0.96220779999999995</v>
      </c>
      <c r="Y5539">
        <v>0.53307740000000003</v>
      </c>
      <c r="Z5539">
        <v>4.1674549999999998E-2</v>
      </c>
      <c r="AA5539">
        <v>0.84503950000000005</v>
      </c>
      <c r="AB5539">
        <v>22</v>
      </c>
      <c r="AC5539">
        <v>3.34649999999999</v>
      </c>
      <c r="AD5539">
        <v>-1.1034120000000001</v>
      </c>
      <c r="AE5539">
        <v>-8.33249</v>
      </c>
      <c r="AF5539">
        <v>4.7711136333398798</v>
      </c>
      <c r="AG5539">
        <v>-1.1034120000000001</v>
      </c>
      <c r="AH5539">
        <v>7.4488223748657996</v>
      </c>
      <c r="AI5539">
        <v>97.110251060231406</v>
      </c>
      <c r="AJ5539">
        <v>57.359658694441002</v>
      </c>
      <c r="AK5539">
        <v>8.9143703151869893</v>
      </c>
      <c r="AL5539">
        <v>88.765876667653203</v>
      </c>
      <c r="AM5539">
        <v>74.244896039664098</v>
      </c>
      <c r="AN5539">
        <v>0.99999999915885096</v>
      </c>
    </row>
    <row r="5540" spans="1:40" x14ac:dyDescent="0.3">
      <c r="A5540" t="str">
        <f>"20200111160611666"</f>
        <v>20200111160611666</v>
      </c>
      <c r="B5540" t="str">
        <f>"1578729971658080"</f>
        <v>1578729971658080</v>
      </c>
      <c r="C5540" t="s">
        <v>40</v>
      </c>
      <c r="D5540">
        <v>5.7760930000000004</v>
      </c>
      <c r="E5540">
        <v>0.61864649999999999</v>
      </c>
      <c r="F5540" t="s">
        <v>44</v>
      </c>
      <c r="G5540">
        <v>-307.28140000000002</v>
      </c>
      <c r="H5540">
        <v>-0.05</v>
      </c>
      <c r="I5540">
        <v>4.9067379999999998</v>
      </c>
      <c r="J5540">
        <v>-310.50150000000002</v>
      </c>
      <c r="K5540">
        <v>1.0533999999999999</v>
      </c>
      <c r="L5540">
        <v>13.208310000000001</v>
      </c>
      <c r="M5540">
        <v>0.80771319999999902</v>
      </c>
      <c r="N5540">
        <v>0</v>
      </c>
      <c r="O5540">
        <v>-0.58935289999999996</v>
      </c>
      <c r="P5540">
        <v>0.61822779999999999</v>
      </c>
      <c r="Q5540">
        <v>1.163518E-2</v>
      </c>
      <c r="R5540">
        <v>-0.78591279999999997</v>
      </c>
      <c r="S5540">
        <v>1.1666559999999999</v>
      </c>
      <c r="T5540">
        <v>-0.38209520000000002</v>
      </c>
      <c r="U5540">
        <v>-2.9169010000000002</v>
      </c>
      <c r="V5540">
        <v>0.2709319</v>
      </c>
      <c r="W5540">
        <v>2.2213839999999999E-2</v>
      </c>
      <c r="X5540">
        <v>0.96234209999999998</v>
      </c>
      <c r="Y5540">
        <v>0.53104289999999998</v>
      </c>
      <c r="Z5540">
        <v>4.3232699999999999E-2</v>
      </c>
      <c r="AA5540">
        <v>0.84624140000000003</v>
      </c>
      <c r="AB5540">
        <v>22</v>
      </c>
      <c r="AC5540">
        <v>3.2201</v>
      </c>
      <c r="AD5540">
        <v>-1.1033999999999999</v>
      </c>
      <c r="AE5540">
        <v>-8.3015720000000002</v>
      </c>
      <c r="AF5540">
        <v>4.7354286516167603</v>
      </c>
      <c r="AG5540">
        <v>-1.1033999999999999</v>
      </c>
      <c r="AH5540">
        <v>7.3811133463042502</v>
      </c>
      <c r="AI5540">
        <v>97.171364138649395</v>
      </c>
      <c r="AJ5540">
        <v>57.3173841200854</v>
      </c>
      <c r="AK5540">
        <v>8.83869958226569</v>
      </c>
      <c r="AL5540">
        <v>88.727135938190997</v>
      </c>
      <c r="AM5540">
        <v>74.276290738221803</v>
      </c>
      <c r="AN5540">
        <v>0.99999993327878001</v>
      </c>
    </row>
    <row r="5541" spans="1:40" x14ac:dyDescent="0.3">
      <c r="A5541" t="str">
        <f>"20200111160611682"</f>
        <v>20200111160611682</v>
      </c>
      <c r="B5541" t="str">
        <f>"1578729971677600"</f>
        <v>1578729971677600</v>
      </c>
      <c r="C5541" t="s">
        <v>40</v>
      </c>
      <c r="D5541">
        <v>5.5634329999999999</v>
      </c>
      <c r="E5541">
        <v>0.61883239999999995</v>
      </c>
      <c r="F5541" t="s">
        <v>44</v>
      </c>
      <c r="G5541">
        <v>-307.23099999999999</v>
      </c>
      <c r="H5541">
        <v>-0.05</v>
      </c>
      <c r="I5541">
        <v>4.7757569999999996</v>
      </c>
      <c r="J5541">
        <v>-310.38220000000001</v>
      </c>
      <c r="K5541">
        <v>1.0533999999999999</v>
      </c>
      <c r="L5541">
        <v>13.108700000000001</v>
      </c>
      <c r="M5541">
        <v>0.80236580000000002</v>
      </c>
      <c r="N5541">
        <v>0</v>
      </c>
      <c r="O5541">
        <v>-0.59661319999999995</v>
      </c>
      <c r="P5541">
        <v>0.61143999999999998</v>
      </c>
      <c r="Q5541">
        <v>1.166032E-2</v>
      </c>
      <c r="R5541">
        <v>-0.79120500000000005</v>
      </c>
      <c r="S5541">
        <v>1.1360779999999999</v>
      </c>
      <c r="T5541">
        <v>-0.38328200000000001</v>
      </c>
      <c r="U5541">
        <v>-2.9291689999999999</v>
      </c>
      <c r="V5541">
        <v>0.27053579999999999</v>
      </c>
      <c r="W5541">
        <v>2.2237199999999999E-2</v>
      </c>
      <c r="X5541">
        <v>0.96245309999999995</v>
      </c>
      <c r="Y5541">
        <v>0.53230010000000005</v>
      </c>
      <c r="Z5541">
        <v>4.4350710000000002E-2</v>
      </c>
      <c r="AA5541">
        <v>0.84539319999999896</v>
      </c>
      <c r="AB5541">
        <v>22</v>
      </c>
      <c r="AC5541">
        <v>3.15120000000001</v>
      </c>
      <c r="AD5541">
        <v>-1.1033999999999999</v>
      </c>
      <c r="AE5541">
        <v>-8.3329429999999896</v>
      </c>
      <c r="AF5541">
        <v>4.7340309964012697</v>
      </c>
      <c r="AG5541">
        <v>-1.1033999999999999</v>
      </c>
      <c r="AH5541">
        <v>7.38761611388587</v>
      </c>
      <c r="AI5541">
        <v>97.1675467339265</v>
      </c>
      <c r="AJ5541">
        <v>57.3479951148514</v>
      </c>
      <c r="AK5541">
        <v>8.8433824343988494</v>
      </c>
      <c r="AL5541">
        <v>88.725797315177701</v>
      </c>
      <c r="AM5541">
        <v>74.299865683703104</v>
      </c>
      <c r="AN5541">
        <v>1.00000004092254</v>
      </c>
    </row>
    <row r="5542" spans="1:40" x14ac:dyDescent="0.3">
      <c r="A5542" t="str">
        <f>"20200111160611701"</f>
        <v>20200111160611701</v>
      </c>
      <c r="B5542" t="str">
        <f>"1578729971698096"</f>
        <v>1578729971698096</v>
      </c>
      <c r="C5542" t="s">
        <v>40</v>
      </c>
      <c r="D5542">
        <v>5.4956300000000002</v>
      </c>
      <c r="E5542">
        <v>0.61875100000000005</v>
      </c>
      <c r="F5542" t="s">
        <v>44</v>
      </c>
      <c r="G5542">
        <v>-307.23149999999998</v>
      </c>
      <c r="H5542">
        <v>-0.05</v>
      </c>
      <c r="I5542">
        <v>4.7651820000000003</v>
      </c>
      <c r="J5542">
        <v>-310.24149999999997</v>
      </c>
      <c r="K5542">
        <v>1.053401</v>
      </c>
      <c r="L5542">
        <v>12.988619999999999</v>
      </c>
      <c r="M5542">
        <v>0.79590399999999994</v>
      </c>
      <c r="N5542">
        <v>0</v>
      </c>
      <c r="O5542">
        <v>-0.60520739999999995</v>
      </c>
      <c r="P5542">
        <v>0.60336889999999999</v>
      </c>
      <c r="Q5542">
        <v>1.027843E-2</v>
      </c>
      <c r="R5542">
        <v>-0.79739609999999905</v>
      </c>
      <c r="S5542">
        <v>1.1100460000000001</v>
      </c>
      <c r="T5542">
        <v>-0.38874829999999999</v>
      </c>
      <c r="U5542">
        <v>-2.939575</v>
      </c>
      <c r="V5542">
        <v>0.2699531</v>
      </c>
      <c r="W5542">
        <v>2.0859929999999999E-2</v>
      </c>
      <c r="X5542">
        <v>0.96264749999999999</v>
      </c>
      <c r="Y5542">
        <v>0.53077940000000001</v>
      </c>
      <c r="Z5542">
        <v>4.6350830000000003E-2</v>
      </c>
      <c r="AA5542">
        <v>0.84624169999999999</v>
      </c>
      <c r="AB5542">
        <v>22</v>
      </c>
      <c r="AC5542">
        <v>3.00999999999999</v>
      </c>
      <c r="AD5542">
        <v>-1.1034010000000001</v>
      </c>
      <c r="AE5542">
        <v>-8.2234379999999891</v>
      </c>
      <c r="AF5542">
        <v>4.6501802162477102</v>
      </c>
      <c r="AG5542">
        <v>-1.1034010000000001</v>
      </c>
      <c r="AH5542">
        <v>7.2582817609715304</v>
      </c>
      <c r="AI5542">
        <v>97.294346438861098</v>
      </c>
      <c r="AJ5542">
        <v>57.353437582759298</v>
      </c>
      <c r="AK5542">
        <v>8.6904731707792902</v>
      </c>
      <c r="AL5542">
        <v>88.804727368107905</v>
      </c>
      <c r="AM5542">
        <v>74.335028037362605</v>
      </c>
      <c r="AN5542">
        <v>1.0000000110677301</v>
      </c>
    </row>
    <row r="5543" spans="1:40" x14ac:dyDescent="0.3">
      <c r="A5543" t="str">
        <f>"20200111160611723"</f>
        <v>20200111160611723</v>
      </c>
      <c r="B5543" t="str">
        <f>"1578729971717618"</f>
        <v>1578729971717618</v>
      </c>
      <c r="C5543" t="s">
        <v>40</v>
      </c>
      <c r="D5543">
        <v>5.4655259999999997</v>
      </c>
      <c r="E5543">
        <v>0.61845169999999905</v>
      </c>
      <c r="F5543" t="s">
        <v>44</v>
      </c>
      <c r="G5543">
        <v>-307.23719999999997</v>
      </c>
      <c r="H5543">
        <v>-0.05</v>
      </c>
      <c r="I5543">
        <v>4.7895810000000001</v>
      </c>
      <c r="J5543">
        <v>-310.0797</v>
      </c>
      <c r="K5543">
        <v>1.053407</v>
      </c>
      <c r="L5543">
        <v>12.8475</v>
      </c>
      <c r="M5543">
        <v>0.78828569999999998</v>
      </c>
      <c r="N5543">
        <v>0</v>
      </c>
      <c r="O5543">
        <v>-0.61509789999999998</v>
      </c>
      <c r="P5543">
        <v>0.59368009999999904</v>
      </c>
      <c r="Q5543">
        <v>8.6075539999999999E-3</v>
      </c>
      <c r="R5543">
        <v>-0.80465540000000002</v>
      </c>
      <c r="S5543">
        <v>1.0807800000000001</v>
      </c>
      <c r="T5543">
        <v>-0.39694210000000002</v>
      </c>
      <c r="U5543">
        <v>-2.949554</v>
      </c>
      <c r="V5543">
        <v>0.26955950000000001</v>
      </c>
      <c r="W5543">
        <v>1.9191819999999998E-2</v>
      </c>
      <c r="X5543">
        <v>0.96279250000000005</v>
      </c>
      <c r="Y5543">
        <v>0.52857209999999999</v>
      </c>
      <c r="Z5543">
        <v>4.89845E-2</v>
      </c>
      <c r="AA5543">
        <v>0.8474739</v>
      </c>
      <c r="AB5543">
        <v>22</v>
      </c>
      <c r="AC5543">
        <v>2.8425000000000198</v>
      </c>
      <c r="AD5543">
        <v>-1.103407</v>
      </c>
      <c r="AE5543">
        <v>-8.0579190000000001</v>
      </c>
      <c r="AF5543">
        <v>4.5286069321245996</v>
      </c>
      <c r="AG5543">
        <v>-1.103407</v>
      </c>
      <c r="AH5543">
        <v>7.0799825319052596</v>
      </c>
      <c r="AI5543">
        <v>97.479512712052099</v>
      </c>
      <c r="AJ5543">
        <v>57.395582243044899</v>
      </c>
      <c r="AK5543">
        <v>8.4765523891155006</v>
      </c>
      <c r="AL5543">
        <v>88.900322225556707</v>
      </c>
      <c r="AM5543">
        <v>74.358989662971197</v>
      </c>
      <c r="AN5543">
        <v>1.0000000240257001</v>
      </c>
    </row>
    <row r="5544" spans="1:40" x14ac:dyDescent="0.3">
      <c r="A5544" t="str">
        <f>"20200111160611745"</f>
        <v>20200111160611745</v>
      </c>
      <c r="B5544" t="str">
        <f>"1578729971738111"</f>
        <v>1578729971738111</v>
      </c>
      <c r="C5544" t="s">
        <v>40</v>
      </c>
      <c r="D5544">
        <v>5.5096350000000003</v>
      </c>
      <c r="E5544">
        <v>0.61788460000000001</v>
      </c>
      <c r="F5544" t="s">
        <v>44</v>
      </c>
      <c r="G5544">
        <v>-307.2457</v>
      </c>
      <c r="H5544">
        <v>-0.05</v>
      </c>
      <c r="I5544">
        <v>4.8358919999999896</v>
      </c>
      <c r="J5544">
        <v>-309.91469999999998</v>
      </c>
      <c r="K5544">
        <v>1.053423</v>
      </c>
      <c r="L5544">
        <v>12.699490000000001</v>
      </c>
      <c r="M5544">
        <v>0.7802789</v>
      </c>
      <c r="N5544">
        <v>0</v>
      </c>
      <c r="O5544">
        <v>-0.62522480000000002</v>
      </c>
      <c r="P5544">
        <v>0.58351609999999998</v>
      </c>
      <c r="Q5544">
        <v>6.8619379999999997E-3</v>
      </c>
      <c r="R5544">
        <v>-0.81207280000000004</v>
      </c>
      <c r="S5544">
        <v>1.0471189999999999</v>
      </c>
      <c r="T5544">
        <v>-0.40767989999999998</v>
      </c>
      <c r="U5544">
        <v>-2.960083</v>
      </c>
      <c r="V5544">
        <v>0.26921299999999998</v>
      </c>
      <c r="W5544">
        <v>1.744975E-2</v>
      </c>
      <c r="X5544">
        <v>0.96292259999999996</v>
      </c>
      <c r="Y5544">
        <v>0.52717029999999998</v>
      </c>
      <c r="Z5544">
        <v>5.2007390000000001E-2</v>
      </c>
      <c r="AA5544">
        <v>0.84816669999999905</v>
      </c>
      <c r="AB5544">
        <v>22</v>
      </c>
      <c r="AC5544">
        <v>2.6689999999999801</v>
      </c>
      <c r="AD5544">
        <v>-1.103423</v>
      </c>
      <c r="AE5544">
        <v>-7.8635979999999996</v>
      </c>
      <c r="AF5544">
        <v>4.3901410841683104</v>
      </c>
      <c r="AG5544">
        <v>-1.103423</v>
      </c>
      <c r="AH5544">
        <v>6.87854025085581</v>
      </c>
      <c r="AI5544">
        <v>97.700901166502305</v>
      </c>
      <c r="AJ5544">
        <v>57.452461706951702</v>
      </c>
      <c r="AK5544">
        <v>8.2343911152236995</v>
      </c>
      <c r="AL5544">
        <v>89.000152259191793</v>
      </c>
      <c r="AM5544">
        <v>74.380120423689803</v>
      </c>
      <c r="AN5544">
        <v>1.0000000333674099</v>
      </c>
    </row>
    <row r="5545" spans="1:40" x14ac:dyDescent="0.3">
      <c r="A5545" t="str">
        <f>"20200111160611767"</f>
        <v>20200111160611767</v>
      </c>
      <c r="B5545" t="str">
        <f>"1578729971757634"</f>
        <v>1578729971757634</v>
      </c>
      <c r="C5545" t="s">
        <v>40</v>
      </c>
      <c r="D5545">
        <v>5.3707120000000002</v>
      </c>
      <c r="E5545">
        <v>0.61721369999999998</v>
      </c>
      <c r="F5545" t="s">
        <v>44</v>
      </c>
      <c r="G5545">
        <v>-307.23259999999999</v>
      </c>
      <c r="H5545">
        <v>-0.05</v>
      </c>
      <c r="I5545">
        <v>4.8428190000000004</v>
      </c>
      <c r="J5545">
        <v>-309.76</v>
      </c>
      <c r="K5545">
        <v>1.053436</v>
      </c>
      <c r="L5545">
        <v>12.557309999999999</v>
      </c>
      <c r="M5545">
        <v>0.77256879999999994</v>
      </c>
      <c r="N5545">
        <v>0</v>
      </c>
      <c r="O5545">
        <v>-0.6347275</v>
      </c>
      <c r="P5545">
        <v>0.57400689999999999</v>
      </c>
      <c r="Q5545">
        <v>5.0791430000000004E-3</v>
      </c>
      <c r="R5545">
        <v>-0.81883470000000003</v>
      </c>
      <c r="S5545">
        <v>1.0136719999999999</v>
      </c>
      <c r="T5545">
        <v>-0.41703279999999898</v>
      </c>
      <c r="U5545">
        <v>-2.9693909999999999</v>
      </c>
      <c r="V5545">
        <v>0.26863239999999999</v>
      </c>
      <c r="W5545">
        <v>1.5677590000000002E-2</v>
      </c>
      <c r="X5545">
        <v>0.96311519999999995</v>
      </c>
      <c r="Y5545">
        <v>0.52618160000000003</v>
      </c>
      <c r="Z5545">
        <v>5.4828780000000001E-2</v>
      </c>
      <c r="AA5545">
        <v>0.84860279999999999</v>
      </c>
      <c r="AB5545">
        <v>21</v>
      </c>
      <c r="AC5545">
        <v>2.5274000000000001</v>
      </c>
      <c r="AD5545">
        <v>-1.1034360000000001</v>
      </c>
      <c r="AE5545">
        <v>-7.7144909999999998</v>
      </c>
      <c r="AF5545">
        <v>4.2773015076916696</v>
      </c>
      <c r="AG5545">
        <v>-1.1034360000000001</v>
      </c>
      <c r="AH5545">
        <v>6.7258109955758103</v>
      </c>
      <c r="AI5545">
        <v>97.881746312375995</v>
      </c>
      <c r="AJ5545">
        <v>57.545545946485703</v>
      </c>
      <c r="AK5545">
        <v>8.0467019791965697</v>
      </c>
      <c r="AL5545">
        <v>89.101703477956704</v>
      </c>
      <c r="AM5545">
        <v>74.415133383319997</v>
      </c>
      <c r="AN5545">
        <v>1.0000000208144999</v>
      </c>
    </row>
    <row r="5546" spans="1:40" x14ac:dyDescent="0.3">
      <c r="A5546" t="str">
        <f>"20200111160611781"</f>
        <v>20200111160611781</v>
      </c>
      <c r="B5546" t="str">
        <f>"1578729971767391"</f>
        <v>1578729971767391</v>
      </c>
      <c r="C5546" t="s">
        <v>40</v>
      </c>
      <c r="D5546">
        <v>5.3930089999999904</v>
      </c>
      <c r="E5546">
        <v>0.61687599999999998</v>
      </c>
      <c r="F5546" t="s">
        <v>44</v>
      </c>
      <c r="G5546">
        <v>-307.21550000000002</v>
      </c>
      <c r="H5546">
        <v>-0.05</v>
      </c>
      <c r="I5546">
        <v>4.8551029999999997</v>
      </c>
      <c r="J5546">
        <v>-309.6626</v>
      </c>
      <c r="K5546">
        <v>1.053447</v>
      </c>
      <c r="L5546">
        <v>12.46585</v>
      </c>
      <c r="M5546">
        <v>0.76760079999999997</v>
      </c>
      <c r="N5546">
        <v>0</v>
      </c>
      <c r="O5546">
        <v>-0.64072739999999995</v>
      </c>
      <c r="P5546">
        <v>0.56774029999999998</v>
      </c>
      <c r="Q5546">
        <v>3.9375979999999996E-3</v>
      </c>
      <c r="R5546">
        <v>-0.82319889999999996</v>
      </c>
      <c r="S5546">
        <v>0.98348999999999998</v>
      </c>
      <c r="T5546">
        <v>-0.4264906</v>
      </c>
      <c r="U5546">
        <v>-2.9769899999999998</v>
      </c>
      <c r="V5546">
        <v>0.26846340000000002</v>
      </c>
      <c r="W5546">
        <v>1.453808E-2</v>
      </c>
      <c r="X5546">
        <v>0.96318020000000004</v>
      </c>
      <c r="Y5546">
        <v>0.52797109999999903</v>
      </c>
      <c r="Z5546">
        <v>5.6980049999999997E-2</v>
      </c>
      <c r="AA5546">
        <v>0.84734859999999901</v>
      </c>
      <c r="AB5546">
        <v>21</v>
      </c>
      <c r="AC5546">
        <v>2.4470999999999701</v>
      </c>
      <c r="AD5546">
        <v>-1.1034469999999901</v>
      </c>
      <c r="AE5546">
        <v>-7.6107469999999999</v>
      </c>
      <c r="AF5546">
        <v>4.1947271238845696</v>
      </c>
      <c r="AG5546">
        <v>-1.1034469999999901</v>
      </c>
      <c r="AH5546">
        <v>6.6293819832630403</v>
      </c>
      <c r="AI5546">
        <v>98.006448729346701</v>
      </c>
      <c r="AJ5546">
        <v>57.676505516462399</v>
      </c>
      <c r="AK5546">
        <v>7.9222494536384396</v>
      </c>
      <c r="AL5546">
        <v>89.167000049862693</v>
      </c>
      <c r="AM5546">
        <v>74.425462023119806</v>
      </c>
      <c r="AN5546">
        <v>1.0000000252908401</v>
      </c>
    </row>
    <row r="5547" spans="1:40" x14ac:dyDescent="0.3">
      <c r="A5547" t="str">
        <f>"20200111160611801"</f>
        <v>20200111160611801</v>
      </c>
      <c r="B5547" t="str">
        <f>"1578729971797648"</f>
        <v>1578729971797648</v>
      </c>
      <c r="C5547" t="s">
        <v>40</v>
      </c>
      <c r="D5547">
        <v>5.3457540000000003</v>
      </c>
      <c r="E5547">
        <v>0.61581739999999996</v>
      </c>
      <c r="F5547" t="s">
        <v>44</v>
      </c>
      <c r="G5547">
        <v>-307.19880000000001</v>
      </c>
      <c r="H5547">
        <v>-0.05</v>
      </c>
      <c r="I5547">
        <v>4.836487</v>
      </c>
      <c r="J5547">
        <v>-309.51769999999999</v>
      </c>
      <c r="K5547">
        <v>1.053464</v>
      </c>
      <c r="L5547">
        <v>12.32733</v>
      </c>
      <c r="M5547">
        <v>0.7600597</v>
      </c>
      <c r="N5547">
        <v>0</v>
      </c>
      <c r="O5547">
        <v>-0.6496556</v>
      </c>
      <c r="P5547">
        <v>0.55836030000000003</v>
      </c>
      <c r="Q5547">
        <v>2.64913E-3</v>
      </c>
      <c r="R5547">
        <v>-0.82959459999999996</v>
      </c>
      <c r="S5547">
        <v>0.96307370000000003</v>
      </c>
      <c r="T5547">
        <v>-0.43132140000000002</v>
      </c>
      <c r="U5547">
        <v>-2.982208</v>
      </c>
      <c r="V5547">
        <v>0.26811679999999999</v>
      </c>
      <c r="W5547">
        <v>1.325599E-2</v>
      </c>
      <c r="X5547">
        <v>0.96329520000000002</v>
      </c>
      <c r="Y5547">
        <v>0.52378829999999998</v>
      </c>
      <c r="Z5547">
        <v>5.9428750000000002E-2</v>
      </c>
      <c r="AA5547">
        <v>0.84977289999999905</v>
      </c>
      <c r="AB5547">
        <v>21</v>
      </c>
      <c r="AC5547">
        <v>2.3188999999999802</v>
      </c>
      <c r="AD5547">
        <v>-1.103464</v>
      </c>
      <c r="AE5547">
        <v>-7.4908429999999901</v>
      </c>
      <c r="AF5547">
        <v>4.1062273383176704</v>
      </c>
      <c r="AG5547">
        <v>-1.103464</v>
      </c>
      <c r="AH5547">
        <v>6.5010867522465396</v>
      </c>
      <c r="AI5547">
        <v>98.166563465710595</v>
      </c>
      <c r="AJ5547">
        <v>57.722605464377096</v>
      </c>
      <c r="AK5547">
        <v>7.7680669869330297</v>
      </c>
      <c r="AL5547">
        <v>89.240465467414495</v>
      </c>
      <c r="AM5547">
        <v>74.446362500751405</v>
      </c>
      <c r="AN5547">
        <v>0.99999999102808002</v>
      </c>
    </row>
    <row r="5548" spans="1:40" x14ac:dyDescent="0.3">
      <c r="A5548" t="str">
        <f>"20200111160611824"</f>
        <v>20200111160611824</v>
      </c>
      <c r="B5548" t="str">
        <f>"1578729971818143"</f>
        <v>1578729971818143</v>
      </c>
      <c r="C5548" t="s">
        <v>40</v>
      </c>
      <c r="D5548">
        <v>5.3204500000000001</v>
      </c>
      <c r="E5548">
        <v>0.61522779999999999</v>
      </c>
      <c r="F5548" t="s">
        <v>44</v>
      </c>
      <c r="G5548">
        <v>-307.15570000000002</v>
      </c>
      <c r="H5548">
        <v>-0.05</v>
      </c>
      <c r="I5548">
        <v>4.7856139999999998</v>
      </c>
      <c r="J5548">
        <v>-309.358</v>
      </c>
      <c r="K5548">
        <v>1.0534859999999999</v>
      </c>
      <c r="L5548">
        <v>12.170809999999999</v>
      </c>
      <c r="M5548">
        <v>0.7515136</v>
      </c>
      <c r="N5548">
        <v>0</v>
      </c>
      <c r="O5548">
        <v>-0.65952369999999905</v>
      </c>
      <c r="P5548">
        <v>0.54752069999999997</v>
      </c>
      <c r="Q5548">
        <v>2.1262170000000001E-3</v>
      </c>
      <c r="R5548">
        <v>-0.83678980000000003</v>
      </c>
      <c r="S5548">
        <v>0.9357605</v>
      </c>
      <c r="T5548">
        <v>-0.437162</v>
      </c>
      <c r="U5548">
        <v>-2.9878230000000001</v>
      </c>
      <c r="V5548">
        <v>0.26806239999999998</v>
      </c>
      <c r="W5548">
        <v>1.2731030000000001E-2</v>
      </c>
      <c r="X5548">
        <v>0.96331750000000005</v>
      </c>
      <c r="Y5548">
        <v>0.52025310000000002</v>
      </c>
      <c r="Z5548">
        <v>6.220941E-2</v>
      </c>
      <c r="AA5548">
        <v>0.85174329999999998</v>
      </c>
      <c r="AB5548">
        <v>21</v>
      </c>
      <c r="AC5548">
        <v>2.2022999999999802</v>
      </c>
      <c r="AD5548">
        <v>-1.103486</v>
      </c>
      <c r="AE5548">
        <v>-7.3851959999999996</v>
      </c>
      <c r="AF5548">
        <v>4.0157956829595296</v>
      </c>
      <c r="AG5548">
        <v>-1.103486</v>
      </c>
      <c r="AH5548">
        <v>6.3954803276306897</v>
      </c>
      <c r="AI5548">
        <v>98.313417884445897</v>
      </c>
      <c r="AJ5548">
        <v>57.874815442949703</v>
      </c>
      <c r="AK5548">
        <v>7.6319371682806496</v>
      </c>
      <c r="AL5548">
        <v>89.270546055685898</v>
      </c>
      <c r="AM5548">
        <v>74.449708122931597</v>
      </c>
      <c r="AN5548">
        <v>1.0000000676124301</v>
      </c>
    </row>
    <row r="5549" spans="1:40" x14ac:dyDescent="0.3">
      <c r="A5549" t="str">
        <f>"20200111160611846"</f>
        <v>20200111160611846</v>
      </c>
      <c r="B5549" t="str">
        <f>"1578729971837666"</f>
        <v>1578729971837666</v>
      </c>
      <c r="C5549" t="s">
        <v>40</v>
      </c>
      <c r="D5549">
        <v>5.2350859999999999</v>
      </c>
      <c r="E5549">
        <v>0.61484369999999999</v>
      </c>
      <c r="F5549" t="s">
        <v>44</v>
      </c>
      <c r="G5549">
        <v>-307.08969999999999</v>
      </c>
      <c r="H5549">
        <v>-0.05</v>
      </c>
      <c r="I5549">
        <v>4.6224669999999897</v>
      </c>
      <c r="J5549">
        <v>-309.20749999999998</v>
      </c>
      <c r="K5549">
        <v>1.0535049999999999</v>
      </c>
      <c r="L5549">
        <v>12.019259999999999</v>
      </c>
      <c r="M5549">
        <v>0.74321559999999998</v>
      </c>
      <c r="N5549">
        <v>0</v>
      </c>
      <c r="O5549">
        <v>-0.66886119999999905</v>
      </c>
      <c r="P5549">
        <v>0.53713310000000003</v>
      </c>
      <c r="Q5549">
        <v>2.4182959999999999E-3</v>
      </c>
      <c r="R5549">
        <v>-0.84349419999999897</v>
      </c>
      <c r="S5549">
        <v>0.90057369999999903</v>
      </c>
      <c r="T5549">
        <v>-0.43812679999999998</v>
      </c>
      <c r="U5549">
        <v>-2.9969790000000001</v>
      </c>
      <c r="V5549">
        <v>0.26794099999999998</v>
      </c>
      <c r="W5549">
        <v>1.3021400000000001E-2</v>
      </c>
      <c r="X5549">
        <v>0.96334730000000002</v>
      </c>
      <c r="Y5549">
        <v>0.51951579999999997</v>
      </c>
      <c r="Z5549">
        <v>6.4040570000000005E-2</v>
      </c>
      <c r="AA5549">
        <v>0.85205759999999897</v>
      </c>
      <c r="AB5549">
        <v>21</v>
      </c>
      <c r="AC5549">
        <v>2.1177999999999799</v>
      </c>
      <c r="AD5549">
        <v>-1.103505</v>
      </c>
      <c r="AE5549">
        <v>-7.3967929999999997</v>
      </c>
      <c r="AF5549">
        <v>3.9991541533836799</v>
      </c>
      <c r="AG5549">
        <v>-1.103505</v>
      </c>
      <c r="AH5549">
        <v>6.3907809446519597</v>
      </c>
      <c r="AI5549">
        <v>98.327498669533199</v>
      </c>
      <c r="AJ5549">
        <v>57.962933817975703</v>
      </c>
      <c r="AK5549">
        <v>7.6192544458153897</v>
      </c>
      <c r="AL5549">
        <v>89.253907635323401</v>
      </c>
      <c r="AM5549">
        <v>74.456867558227998</v>
      </c>
      <c r="AN5549">
        <v>0.99999997837812404</v>
      </c>
    </row>
    <row r="5550" spans="1:40" x14ac:dyDescent="0.3">
      <c r="A5550" t="str">
        <f>"20200111160611866"</f>
        <v>20200111160611866</v>
      </c>
      <c r="B5550" t="str">
        <f>"1578729971857183"</f>
        <v>1578729971857183</v>
      </c>
      <c r="C5550" t="s">
        <v>40</v>
      </c>
      <c r="D5550">
        <v>5.2027510000000001</v>
      </c>
      <c r="E5550">
        <v>0.61403909999999995</v>
      </c>
      <c r="F5550" t="s">
        <v>44</v>
      </c>
      <c r="G5550">
        <v>-307.01889999999997</v>
      </c>
      <c r="H5550">
        <v>-0.05</v>
      </c>
      <c r="I5550">
        <v>4.418533</v>
      </c>
      <c r="J5550">
        <v>-309.06420000000003</v>
      </c>
      <c r="K5550">
        <v>1.0535270000000001</v>
      </c>
      <c r="L5550">
        <v>11.871309999999999</v>
      </c>
      <c r="M5550">
        <v>0.73508989999999996</v>
      </c>
      <c r="N5550">
        <v>0</v>
      </c>
      <c r="O5550">
        <v>-0.67778149999999904</v>
      </c>
      <c r="P5550">
        <v>0.52744690000000005</v>
      </c>
      <c r="Q5550">
        <v>3.2447560000000001E-3</v>
      </c>
      <c r="R5550">
        <v>-0.84958180000000005</v>
      </c>
      <c r="S5550">
        <v>0.865753199999999</v>
      </c>
      <c r="T5550">
        <v>-0.43651469999999998</v>
      </c>
      <c r="U5550">
        <v>-3.0066220000000001</v>
      </c>
      <c r="V5550">
        <v>0.26734980000000003</v>
      </c>
      <c r="W5550">
        <v>1.385722E-2</v>
      </c>
      <c r="X5550">
        <v>0.96349989999999996</v>
      </c>
      <c r="Y5550">
        <v>0.51908329999999903</v>
      </c>
      <c r="Z5550">
        <v>6.5393950000000006E-2</v>
      </c>
      <c r="AA5550">
        <v>0.85221840000000004</v>
      </c>
      <c r="AB5550">
        <v>21</v>
      </c>
      <c r="AC5550">
        <v>2.0453000000000499</v>
      </c>
      <c r="AD5550">
        <v>-1.1035269999999999</v>
      </c>
      <c r="AE5550">
        <v>-7.4527770000000002</v>
      </c>
      <c r="AF5550">
        <v>4.0109379166701196</v>
      </c>
      <c r="AG5550">
        <v>-1.1035269999999999</v>
      </c>
      <c r="AH5550">
        <v>6.4246776599656901</v>
      </c>
      <c r="AI5550">
        <v>98.289726533267995</v>
      </c>
      <c r="AJ5550">
        <v>58.023392106303298</v>
      </c>
      <c r="AK5550">
        <v>7.6538799210317698</v>
      </c>
      <c r="AL5550">
        <v>89.206014364485398</v>
      </c>
      <c r="AM5550">
        <v>74.491848301810194</v>
      </c>
      <c r="AN5550">
        <v>0.99999999770308901</v>
      </c>
    </row>
    <row r="5551" spans="1:40" x14ac:dyDescent="0.3">
      <c r="A5551" t="str">
        <f>"20200111160611890"</f>
        <v>20200111160611890</v>
      </c>
      <c r="B5551" t="str">
        <f>"1578729971887440"</f>
        <v>1578729971887440</v>
      </c>
      <c r="C5551" t="s">
        <v>40</v>
      </c>
      <c r="D5551">
        <v>5.1612869999999997</v>
      </c>
      <c r="E5551">
        <v>0.61323859999999997</v>
      </c>
      <c r="F5551" t="s">
        <v>44</v>
      </c>
      <c r="G5551">
        <v>-306.9289</v>
      </c>
      <c r="H5551">
        <v>-0.05</v>
      </c>
      <c r="I5551">
        <v>4.1782069999999996</v>
      </c>
      <c r="J5551">
        <v>-308.91520000000003</v>
      </c>
      <c r="K5551">
        <v>1.0535479999999999</v>
      </c>
      <c r="L5551">
        <v>11.71353</v>
      </c>
      <c r="M5551">
        <v>0.72639209999999999</v>
      </c>
      <c r="N5551">
        <v>0</v>
      </c>
      <c r="O5551">
        <v>-0.68709529999999996</v>
      </c>
      <c r="P5551">
        <v>0.5173335</v>
      </c>
      <c r="Q5551">
        <v>4.9207030000000002E-3</v>
      </c>
      <c r="R5551">
        <v>-0.85576980000000002</v>
      </c>
      <c r="S5551">
        <v>0.83645630000000004</v>
      </c>
      <c r="T5551">
        <v>-0.43227120000000002</v>
      </c>
      <c r="U5551">
        <v>-3.0135190000000001</v>
      </c>
      <c r="V5551">
        <v>0.266520599999999</v>
      </c>
      <c r="W5551">
        <v>1.554695E-2</v>
      </c>
      <c r="X5551">
        <v>0.9637038</v>
      </c>
      <c r="Y5551">
        <v>0.51642920000000003</v>
      </c>
      <c r="Z5551">
        <v>6.6568459999999996E-2</v>
      </c>
      <c r="AA5551">
        <v>0.85373860000000001</v>
      </c>
      <c r="AB5551">
        <v>21</v>
      </c>
      <c r="AC5551">
        <v>1.9863000000000199</v>
      </c>
      <c r="AD5551">
        <v>-1.103548</v>
      </c>
      <c r="AE5551">
        <v>-7.535323</v>
      </c>
      <c r="AF5551">
        <v>4.0285555137571603</v>
      </c>
      <c r="AG5551">
        <v>-1.103548</v>
      </c>
      <c r="AH5551">
        <v>6.4909891634518697</v>
      </c>
      <c r="AI5551">
        <v>98.219667690280403</v>
      </c>
      <c r="AJ5551">
        <v>58.174683737175599</v>
      </c>
      <c r="AK5551">
        <v>7.7188093664617003</v>
      </c>
      <c r="AL5551">
        <v>89.109189470912696</v>
      </c>
      <c r="AM5551">
        <v>74.540757812131403</v>
      </c>
      <c r="AN5551">
        <v>0.99999997600655</v>
      </c>
    </row>
    <row r="5552" spans="1:40" x14ac:dyDescent="0.3">
      <c r="A5552" t="str">
        <f>"20200111160611911"</f>
        <v>20200111160611911</v>
      </c>
      <c r="B5552" t="str">
        <f>"1578729971907935"</f>
        <v>1578729971907935</v>
      </c>
      <c r="C5552" t="s">
        <v>40</v>
      </c>
      <c r="D5552">
        <v>5.1701930000000003</v>
      </c>
      <c r="E5552">
        <v>0.61255990000000005</v>
      </c>
      <c r="F5552" t="s">
        <v>44</v>
      </c>
      <c r="G5552">
        <v>-306.8143</v>
      </c>
      <c r="H5552">
        <v>-0.05</v>
      </c>
      <c r="I5552">
        <v>3.8438720000000002</v>
      </c>
      <c r="J5552">
        <v>-308.76909999999998</v>
      </c>
      <c r="K5552">
        <v>1.053561</v>
      </c>
      <c r="L5552">
        <v>11.554869999999999</v>
      </c>
      <c r="M5552">
        <v>0.71760979999999996</v>
      </c>
      <c r="N5552">
        <v>0</v>
      </c>
      <c r="O5552">
        <v>-0.69626330000000003</v>
      </c>
      <c r="P5552">
        <v>0.50736550000000002</v>
      </c>
      <c r="Q5552">
        <v>5.466434E-3</v>
      </c>
      <c r="R5552">
        <v>-0.86171379999999997</v>
      </c>
      <c r="S5552">
        <v>0.80636600000000003</v>
      </c>
      <c r="T5552">
        <v>-0.42357299999999998</v>
      </c>
      <c r="U5552">
        <v>-3.0205989999999998</v>
      </c>
      <c r="V5552">
        <v>0.26547670000000001</v>
      </c>
      <c r="W5552">
        <v>1.611098E-2</v>
      </c>
      <c r="X5552">
        <v>0.96398260000000002</v>
      </c>
      <c r="Y5552">
        <v>0.51402970000000003</v>
      </c>
      <c r="Z5552">
        <v>6.6972610000000002E-2</v>
      </c>
      <c r="AA5552">
        <v>0.85515390000000002</v>
      </c>
      <c r="AB5552">
        <v>21</v>
      </c>
      <c r="AC5552">
        <v>1.9547999999999699</v>
      </c>
      <c r="AD5552">
        <v>-1.103561</v>
      </c>
      <c r="AE5552">
        <v>-7.7109979999999902</v>
      </c>
      <c r="AF5552">
        <v>4.09416851574227</v>
      </c>
      <c r="AG5552">
        <v>-1.103561</v>
      </c>
      <c r="AH5552">
        <v>6.6446500809741096</v>
      </c>
      <c r="AI5552">
        <v>98.048081432629402</v>
      </c>
      <c r="AJ5552">
        <v>58.360279800918597</v>
      </c>
      <c r="AK5552">
        <v>7.8823497394244999</v>
      </c>
      <c r="AL5552">
        <v>89.076868855567696</v>
      </c>
      <c r="AM5552">
        <v>74.602670913373203</v>
      </c>
      <c r="AN5552">
        <v>0.99999994751110299</v>
      </c>
    </row>
    <row r="5553" spans="1:40" x14ac:dyDescent="0.3">
      <c r="A5553" t="str">
        <f>"20200111160611935"</f>
        <v>20200111160611935</v>
      </c>
      <c r="B5553" t="str">
        <f>"1578729971927455"</f>
        <v>1578729971927455</v>
      </c>
      <c r="C5553" t="s">
        <v>40</v>
      </c>
      <c r="D5553">
        <v>5.190728</v>
      </c>
      <c r="E5553">
        <v>0.61232500000000001</v>
      </c>
      <c r="F5553" t="s">
        <v>44</v>
      </c>
      <c r="G5553">
        <v>-306.72879999999998</v>
      </c>
      <c r="H5553">
        <v>-0.05</v>
      </c>
      <c r="I5553">
        <v>3.5921479999999999</v>
      </c>
      <c r="J5553">
        <v>-308.62200000000001</v>
      </c>
      <c r="K5553">
        <v>1.0535749999999999</v>
      </c>
      <c r="L5553">
        <v>11.39087</v>
      </c>
      <c r="M5553">
        <v>0.70848610000000001</v>
      </c>
      <c r="N5553">
        <v>0</v>
      </c>
      <c r="O5553">
        <v>-0.70554490000000003</v>
      </c>
      <c r="P5553">
        <v>0.49747770000000002</v>
      </c>
      <c r="Q5553">
        <v>6.2015489999999998E-3</v>
      </c>
      <c r="R5553">
        <v>-0.86745459999999996</v>
      </c>
      <c r="S5553">
        <v>0.77572629999999998</v>
      </c>
      <c r="T5553">
        <v>-0.41956599999999999</v>
      </c>
      <c r="U5553">
        <v>-3.027374</v>
      </c>
      <c r="V5553">
        <v>0.26396180000000002</v>
      </c>
      <c r="W5553">
        <v>1.6875250000000001E-2</v>
      </c>
      <c r="X5553">
        <v>0.96438550000000001</v>
      </c>
      <c r="Y5553">
        <v>0.51148369999999999</v>
      </c>
      <c r="Z5553">
        <v>6.8092959999999994E-2</v>
      </c>
      <c r="AA5553">
        <v>0.85659079999999999</v>
      </c>
      <c r="AB5553">
        <v>21</v>
      </c>
      <c r="AC5553">
        <v>1.89320000000003</v>
      </c>
      <c r="AD5553">
        <v>-1.103575</v>
      </c>
      <c r="AE5553">
        <v>-7.7987219999999997</v>
      </c>
      <c r="AF5553">
        <v>4.1123169026354001</v>
      </c>
      <c r="AG5553">
        <v>-1.103575</v>
      </c>
      <c r="AH5553">
        <v>6.7174960589221699</v>
      </c>
      <c r="AI5553">
        <v>97.9759940762778</v>
      </c>
      <c r="AJ5553">
        <v>58.525864286083099</v>
      </c>
      <c r="AK5553">
        <v>7.9532245906902901</v>
      </c>
      <c r="AL5553">
        <v>89.033073499760704</v>
      </c>
      <c r="AM5553">
        <v>74.692494951613995</v>
      </c>
      <c r="AN5553">
        <v>0.99999999926602601</v>
      </c>
    </row>
    <row r="5554" spans="1:40" x14ac:dyDescent="0.3">
      <c r="A5554" t="str">
        <f>"20200111160611957"</f>
        <v>20200111160611957</v>
      </c>
      <c r="B5554" t="str">
        <f>"1578729971947951"</f>
        <v>1578729971947951</v>
      </c>
      <c r="C5554" t="s">
        <v>40</v>
      </c>
      <c r="D5554">
        <v>5.0951370000000002</v>
      </c>
      <c r="E5554">
        <v>0.61267479999999996</v>
      </c>
      <c r="F5554" t="s">
        <v>44</v>
      </c>
      <c r="G5554">
        <v>-306.6386</v>
      </c>
      <c r="H5554">
        <v>-0.05</v>
      </c>
      <c r="I5554">
        <v>3.2779539999999998</v>
      </c>
      <c r="J5554">
        <v>-308.4803</v>
      </c>
      <c r="K5554">
        <v>1.0535859999999999</v>
      </c>
      <c r="L5554">
        <v>11.228759999999999</v>
      </c>
      <c r="M5554">
        <v>0.69942720000000003</v>
      </c>
      <c r="N5554">
        <v>0</v>
      </c>
      <c r="O5554">
        <v>-0.71452669999999996</v>
      </c>
      <c r="P5554">
        <v>0.48799740000000003</v>
      </c>
      <c r="Q5554">
        <v>6.8526519999999999E-3</v>
      </c>
      <c r="R5554">
        <v>-0.87281830000000005</v>
      </c>
      <c r="S5554">
        <v>0.74215699999999996</v>
      </c>
      <c r="T5554">
        <v>-0.41294209999999898</v>
      </c>
      <c r="U5554">
        <v>-3.035736</v>
      </c>
      <c r="V5554">
        <v>0.26217190000000001</v>
      </c>
      <c r="W5554">
        <v>1.7562270000000001E-2</v>
      </c>
      <c r="X5554">
        <v>0.96486139999999998</v>
      </c>
      <c r="Y5554">
        <v>0.51003399999999999</v>
      </c>
      <c r="Z5554">
        <v>6.8617839999999999E-2</v>
      </c>
      <c r="AA5554">
        <v>0.85741290000000003</v>
      </c>
      <c r="AB5554">
        <v>21</v>
      </c>
      <c r="AC5554">
        <v>1.8416999999999999</v>
      </c>
      <c r="AD5554">
        <v>-1.103586</v>
      </c>
      <c r="AE5554">
        <v>-7.950806</v>
      </c>
      <c r="AF5554">
        <v>4.1693674059024302</v>
      </c>
      <c r="AG5554">
        <v>-1.103586</v>
      </c>
      <c r="AH5554">
        <v>6.8449223072098402</v>
      </c>
      <c r="AI5554">
        <v>97.839984295298294</v>
      </c>
      <c r="AJ5554">
        <v>58.653641369980399</v>
      </c>
      <c r="AK5554">
        <v>8.0903947997941597</v>
      </c>
      <c r="AL5554">
        <v>88.993704346656301</v>
      </c>
      <c r="AM5554">
        <v>74.798625266915593</v>
      </c>
      <c r="AN5554">
        <v>1.0000000298435601</v>
      </c>
    </row>
    <row r="5555" spans="1:40" x14ac:dyDescent="0.3">
      <c r="A5555" t="str">
        <f>"20200111160611980"</f>
        <v>20200111160611980</v>
      </c>
      <c r="B5555" t="str">
        <f>"1578729971967471"</f>
        <v>1578729971967471</v>
      </c>
      <c r="C5555" t="s">
        <v>40</v>
      </c>
      <c r="D5555">
        <v>5.0977610000000002</v>
      </c>
      <c r="E5555">
        <v>0.61311629999999995</v>
      </c>
      <c r="F5555" t="s">
        <v>44</v>
      </c>
      <c r="G5555">
        <v>-306.5582</v>
      </c>
      <c r="H5555">
        <v>-0.05</v>
      </c>
      <c r="I5555">
        <v>2.9321139999999999</v>
      </c>
      <c r="J5555">
        <v>-308.34480000000002</v>
      </c>
      <c r="K5555">
        <v>1.0535950000000001</v>
      </c>
      <c r="L5555">
        <v>11.06958</v>
      </c>
      <c r="M5555">
        <v>0.69049139999999998</v>
      </c>
      <c r="N5555">
        <v>0</v>
      </c>
      <c r="O5555">
        <v>-0.72316599999999998</v>
      </c>
      <c r="P5555">
        <v>0.47922019999999999</v>
      </c>
      <c r="Q5555">
        <v>7.1573440000000004E-3</v>
      </c>
      <c r="R5555">
        <v>-0.8776661</v>
      </c>
      <c r="S5555">
        <v>0.70565800000000001</v>
      </c>
      <c r="T5555">
        <v>-0.40514</v>
      </c>
      <c r="U5555">
        <v>-3.0458069999999999</v>
      </c>
      <c r="V5555">
        <v>0.25985619999999998</v>
      </c>
      <c r="W5555">
        <v>1.7915070000000002E-2</v>
      </c>
      <c r="X5555">
        <v>0.96548120000000004</v>
      </c>
      <c r="Y5555">
        <v>0.5097431</v>
      </c>
      <c r="Z5555">
        <v>6.8749340000000006E-2</v>
      </c>
      <c r="AA5555">
        <v>0.85757539999999999</v>
      </c>
      <c r="AB5555">
        <v>21</v>
      </c>
      <c r="AC5555">
        <v>1.7866000000000199</v>
      </c>
      <c r="AD5555">
        <v>-1.1035950000000001</v>
      </c>
      <c r="AE5555">
        <v>-8.1374659999999999</v>
      </c>
      <c r="AF5555">
        <v>4.25276638171069</v>
      </c>
      <c r="AG5555">
        <v>-1.1035950000000001</v>
      </c>
      <c r="AH5555">
        <v>6.9965041668562096</v>
      </c>
      <c r="AI5555">
        <v>97.676534035238603</v>
      </c>
      <c r="AJ5555">
        <v>58.707024754294899</v>
      </c>
      <c r="AK5555">
        <v>8.2616592993338802</v>
      </c>
      <c r="AL5555">
        <v>88.973487257361001</v>
      </c>
      <c r="AM5555">
        <v>74.935996495735495</v>
      </c>
      <c r="AN5555">
        <v>1.0000000709824901</v>
      </c>
    </row>
    <row r="5556" spans="1:40" x14ac:dyDescent="0.3">
      <c r="A5556" t="str">
        <f>"20200111160612002"</f>
        <v>20200111160612002</v>
      </c>
      <c r="B5556" t="str">
        <f>"1578729971997728"</f>
        <v>1578729971997728</v>
      </c>
      <c r="C5556" t="s">
        <v>40</v>
      </c>
      <c r="D5556">
        <v>5.075634</v>
      </c>
      <c r="E5556">
        <v>0.61359330000000001</v>
      </c>
      <c r="F5556" t="s">
        <v>44</v>
      </c>
      <c r="G5556">
        <v>-306.48970000000003</v>
      </c>
      <c r="H5556">
        <v>-0.05</v>
      </c>
      <c r="I5556">
        <v>2.6322019999999999</v>
      </c>
      <c r="J5556">
        <v>-308.20530000000002</v>
      </c>
      <c r="K5556">
        <v>1.0536049999999999</v>
      </c>
      <c r="L5556">
        <v>10.90152</v>
      </c>
      <c r="M5556">
        <v>0.68101119999999904</v>
      </c>
      <c r="N5556">
        <v>0</v>
      </c>
      <c r="O5556">
        <v>-0.73210050000000004</v>
      </c>
      <c r="P5556">
        <v>0.46943869999999999</v>
      </c>
      <c r="Q5556">
        <v>7.2710659999999996E-3</v>
      </c>
      <c r="R5556">
        <v>-0.88293529999999998</v>
      </c>
      <c r="S5556">
        <v>0.67163090000000003</v>
      </c>
      <c r="T5556">
        <v>-0.39954780000000001</v>
      </c>
      <c r="U5556">
        <v>-3.0546880000000001</v>
      </c>
      <c r="V5556">
        <v>0.25800529999999999</v>
      </c>
      <c r="W5556">
        <v>1.8068109999999998E-2</v>
      </c>
      <c r="X5556">
        <v>0.96597460000000002</v>
      </c>
      <c r="Y5556">
        <v>0.50820050000000005</v>
      </c>
      <c r="Z5556">
        <v>6.9330269999999999E-2</v>
      </c>
      <c r="AA5556">
        <v>0.85844370000000003</v>
      </c>
      <c r="AB5556">
        <v>21</v>
      </c>
      <c r="AC5556">
        <v>1.71559999999999</v>
      </c>
      <c r="AD5556">
        <v>-1.1036049999999999</v>
      </c>
      <c r="AE5556">
        <v>-8.2693180000000002</v>
      </c>
      <c r="AF5556">
        <v>4.3025883007512702</v>
      </c>
      <c r="AG5556">
        <v>-1.1036049999999999</v>
      </c>
      <c r="AH5556">
        <v>7.1019540587186496</v>
      </c>
      <c r="AI5556">
        <v>97.570617718990604</v>
      </c>
      <c r="AJ5556">
        <v>58.791193836546299</v>
      </c>
      <c r="AK5556">
        <v>8.3766318728912204</v>
      </c>
      <c r="AL5556">
        <v>88.964717280608397</v>
      </c>
      <c r="AM5556">
        <v>75.045766230351205</v>
      </c>
      <c r="AN5556">
        <v>1.0000000596361001</v>
      </c>
    </row>
    <row r="5557" spans="1:40" x14ac:dyDescent="0.3">
      <c r="A5557" t="str">
        <f>"20200111160612025"</f>
        <v>20200111160612025</v>
      </c>
      <c r="B5557" t="str">
        <f>"1578729972017247"</f>
        <v>1578729972017247</v>
      </c>
      <c r="C5557" t="s">
        <v>40</v>
      </c>
      <c r="D5557">
        <v>5.0749940000000002</v>
      </c>
      <c r="E5557">
        <v>0.61376929999999996</v>
      </c>
      <c r="F5557" t="s">
        <v>44</v>
      </c>
      <c r="G5557">
        <v>-306.42349999999999</v>
      </c>
      <c r="H5557">
        <v>-0.05</v>
      </c>
      <c r="I5557">
        <v>2.2827299999999999</v>
      </c>
      <c r="J5557">
        <v>-308.0686</v>
      </c>
      <c r="K5557">
        <v>1.0536160000000001</v>
      </c>
      <c r="L5557">
        <v>10.73218</v>
      </c>
      <c r="M5557">
        <v>0.67142170000000001</v>
      </c>
      <c r="N5557">
        <v>0</v>
      </c>
      <c r="O5557">
        <v>-0.74090509999999998</v>
      </c>
      <c r="P5557">
        <v>0.45971610000000002</v>
      </c>
      <c r="Q5557">
        <v>7.6860660000000001E-3</v>
      </c>
      <c r="R5557">
        <v>-0.88803269999999901</v>
      </c>
      <c r="S5557">
        <v>0.63348389999999999</v>
      </c>
      <c r="T5557">
        <v>-0.39235639999999999</v>
      </c>
      <c r="U5557">
        <v>-3.0641780000000001</v>
      </c>
      <c r="V5557">
        <v>0.25603799999999999</v>
      </c>
      <c r="W5557">
        <v>1.8526750000000002E-2</v>
      </c>
      <c r="X5557">
        <v>0.96648909999999999</v>
      </c>
      <c r="Y5557">
        <v>0.50778840000000003</v>
      </c>
      <c r="Z5557">
        <v>6.9510370000000002E-2</v>
      </c>
      <c r="AA5557">
        <v>0.85867299999999902</v>
      </c>
      <c r="AB5557">
        <v>21</v>
      </c>
      <c r="AC5557">
        <v>1.64510000000001</v>
      </c>
      <c r="AD5557">
        <v>-1.1036159999999999</v>
      </c>
      <c r="AE5557">
        <v>-8.4494499999999899</v>
      </c>
      <c r="AF5557">
        <v>4.3828038559486497</v>
      </c>
      <c r="AG5557">
        <v>-1.1036159999999999</v>
      </c>
      <c r="AH5557">
        <v>7.2466145424112796</v>
      </c>
      <c r="AI5557">
        <v>97.424595353833098</v>
      </c>
      <c r="AJ5557">
        <v>58.834153787061702</v>
      </c>
      <c r="AK5557">
        <v>8.5405128792983493</v>
      </c>
      <c r="AL5557">
        <v>88.938434617714705</v>
      </c>
      <c r="AM5557">
        <v>75.162293697596994</v>
      </c>
      <c r="AN5557">
        <v>0.99999993916418395</v>
      </c>
    </row>
    <row r="5558" spans="1:40" x14ac:dyDescent="0.3">
      <c r="A5558" t="str">
        <f>"20200111160612045"</f>
        <v>20200111160612045</v>
      </c>
      <c r="B5558" t="str">
        <f>"1578729972037746"</f>
        <v>1578729972037746</v>
      </c>
      <c r="C5558" t="s">
        <v>40</v>
      </c>
      <c r="D5558">
        <v>5.0650740000000001</v>
      </c>
      <c r="E5558">
        <v>0.61385449999999997</v>
      </c>
      <c r="F5558" t="s">
        <v>44</v>
      </c>
      <c r="G5558">
        <v>-306.36180000000002</v>
      </c>
      <c r="H5558">
        <v>-0.05</v>
      </c>
      <c r="I5558">
        <v>1.9617309999999999</v>
      </c>
      <c r="J5558">
        <v>-307.94470000000001</v>
      </c>
      <c r="K5558">
        <v>1.053633</v>
      </c>
      <c r="L5558">
        <v>10.57455</v>
      </c>
      <c r="M5558">
        <v>0.66246470000000002</v>
      </c>
      <c r="N5558">
        <v>0</v>
      </c>
      <c r="O5558">
        <v>-0.74892499999999995</v>
      </c>
      <c r="P5558">
        <v>0.45075270000000001</v>
      </c>
      <c r="Q5558">
        <v>8.2343309999999992E-3</v>
      </c>
      <c r="R5558">
        <v>-0.89261109999999899</v>
      </c>
      <c r="S5558">
        <v>0.59786989999999995</v>
      </c>
      <c r="T5558">
        <v>-0.386571</v>
      </c>
      <c r="U5558">
        <v>-3.0720830000000001</v>
      </c>
      <c r="V5558">
        <v>0.25415199999999999</v>
      </c>
      <c r="W5558">
        <v>1.9118400000000001E-2</v>
      </c>
      <c r="X5558">
        <v>0.96697529999999998</v>
      </c>
      <c r="Y5558">
        <v>0.50745549999999995</v>
      </c>
      <c r="Z5558">
        <v>6.9779599999999997E-2</v>
      </c>
      <c r="AA5558">
        <v>0.858847899999999</v>
      </c>
      <c r="AB5558">
        <v>21</v>
      </c>
      <c r="AC5558">
        <v>1.58289999999999</v>
      </c>
      <c r="AD5558">
        <v>-1.1036330000000001</v>
      </c>
      <c r="AE5558">
        <v>-8.612819</v>
      </c>
      <c r="AF5558">
        <v>4.45010361420566</v>
      </c>
      <c r="AG5558">
        <v>-1.1036330000000001</v>
      </c>
      <c r="AH5558">
        <v>7.3826567937012104</v>
      </c>
      <c r="AI5558">
        <v>97.295853256456397</v>
      </c>
      <c r="AJ5558">
        <v>58.919348890420501</v>
      </c>
      <c r="AK5558">
        <v>8.69051490473597</v>
      </c>
      <c r="AL5558">
        <v>88.904529617987606</v>
      </c>
      <c r="AM5558">
        <v>75.2739044896623</v>
      </c>
      <c r="AN5558">
        <v>0.99999999156632502</v>
      </c>
    </row>
    <row r="5559" spans="1:40" x14ac:dyDescent="0.3">
      <c r="A5559" t="str">
        <f>"20200111160612068"</f>
        <v>20200111160612068</v>
      </c>
      <c r="B5559" t="str">
        <f>"1578729972057263"</f>
        <v>1578729972057263</v>
      </c>
      <c r="C5559" t="s">
        <v>40</v>
      </c>
      <c r="D5559">
        <v>5.1048359999999997</v>
      </c>
      <c r="E5559">
        <v>0.61378759999999999</v>
      </c>
      <c r="F5559" t="s">
        <v>44</v>
      </c>
      <c r="G5559">
        <v>-306.30360000000002</v>
      </c>
      <c r="H5559">
        <v>-0.05</v>
      </c>
      <c r="I5559">
        <v>1.6432500000000001</v>
      </c>
      <c r="J5559">
        <v>-307.81450000000001</v>
      </c>
      <c r="K5559">
        <v>1.05366</v>
      </c>
      <c r="L5559">
        <v>10.404389999999999</v>
      </c>
      <c r="M5559">
        <v>0.65276569999999901</v>
      </c>
      <c r="N5559">
        <v>0</v>
      </c>
      <c r="O5559">
        <v>-0.75739350000000005</v>
      </c>
      <c r="P5559">
        <v>0.44079679999999999</v>
      </c>
      <c r="Q5559">
        <v>8.270019E-3</v>
      </c>
      <c r="R5559">
        <v>-0.89756909999999901</v>
      </c>
      <c r="S5559">
        <v>0.56573490000000004</v>
      </c>
      <c r="T5559">
        <v>-0.38043979999999999</v>
      </c>
      <c r="U5559">
        <v>-3.0787659999999999</v>
      </c>
      <c r="V5559">
        <v>0.25245380000000001</v>
      </c>
      <c r="W5559">
        <v>1.9196589999999999E-2</v>
      </c>
      <c r="X5559">
        <v>0.96741849999999996</v>
      </c>
      <c r="Y5559">
        <v>0.50538490000000003</v>
      </c>
      <c r="Z5559">
        <v>7.0113659999999994E-2</v>
      </c>
      <c r="AA5559">
        <v>0.86004080000000005</v>
      </c>
      <c r="AB5559">
        <v>21</v>
      </c>
      <c r="AC5559">
        <v>1.5108999999999899</v>
      </c>
      <c r="AD5559">
        <v>-1.1036600000000001</v>
      </c>
      <c r="AE5559">
        <v>-8.7611399999999993</v>
      </c>
      <c r="AF5559">
        <v>4.5057655543565103</v>
      </c>
      <c r="AG5559">
        <v>-1.1036600000000001</v>
      </c>
      <c r="AH5559">
        <v>7.5071643964898298</v>
      </c>
      <c r="AI5559">
        <v>97.184401335549595</v>
      </c>
      <c r="AJ5559">
        <v>59.028012029391597</v>
      </c>
      <c r="AK5559">
        <v>8.8248232788169805</v>
      </c>
      <c r="AL5559">
        <v>88.900048839294996</v>
      </c>
      <c r="AM5559">
        <v>75.374481661619299</v>
      </c>
      <c r="AN5559">
        <v>0.99999999217215896</v>
      </c>
    </row>
    <row r="5560" spans="1:40" x14ac:dyDescent="0.3">
      <c r="A5560" t="str">
        <f>"20200111160612091"</f>
        <v>20200111160612091</v>
      </c>
      <c r="B5560" t="str">
        <f>"1578729972087520"</f>
        <v>1578729972087520</v>
      </c>
      <c r="C5560" t="s">
        <v>40</v>
      </c>
      <c r="D5560">
        <v>5.1042449999999997</v>
      </c>
      <c r="E5560">
        <v>0.61359350000000001</v>
      </c>
      <c r="F5560" t="s">
        <v>44</v>
      </c>
      <c r="G5560">
        <v>-306.25740000000002</v>
      </c>
      <c r="H5560">
        <v>-0.05</v>
      </c>
      <c r="I5560">
        <v>1.367218</v>
      </c>
      <c r="J5560">
        <v>-307.68689999999998</v>
      </c>
      <c r="K5560">
        <v>1.053688</v>
      </c>
      <c r="L5560">
        <v>10.233090000000001</v>
      </c>
      <c r="M5560">
        <v>0.6429743</v>
      </c>
      <c r="N5560">
        <v>0</v>
      </c>
      <c r="O5560">
        <v>-0.76572340000000005</v>
      </c>
      <c r="P5560">
        <v>0.4305543</v>
      </c>
      <c r="Q5560">
        <v>9.3492509999999994E-3</v>
      </c>
      <c r="R5560">
        <v>-0.90251669999999995</v>
      </c>
      <c r="S5560">
        <v>0.53152469999999996</v>
      </c>
      <c r="T5560">
        <v>-0.37673050000000002</v>
      </c>
      <c r="U5560">
        <v>-3.0848080000000002</v>
      </c>
      <c r="V5560">
        <v>0.25103520000000001</v>
      </c>
      <c r="W5560">
        <v>2.0314080000000002E-2</v>
      </c>
      <c r="X5560">
        <v>0.96776479999999998</v>
      </c>
      <c r="Y5560">
        <v>0.50385570000000002</v>
      </c>
      <c r="Z5560">
        <v>7.0823010000000006E-2</v>
      </c>
      <c r="AA5560">
        <v>0.86087950000000002</v>
      </c>
      <c r="AB5560">
        <v>21</v>
      </c>
      <c r="AC5560">
        <v>1.42949999999996</v>
      </c>
      <c r="AD5560">
        <v>-1.103688</v>
      </c>
      <c r="AE5560">
        <v>-8.8658719999999995</v>
      </c>
      <c r="AF5560">
        <v>4.5379628416379099</v>
      </c>
      <c r="AG5560">
        <v>-1.103688</v>
      </c>
      <c r="AH5560">
        <v>7.5942018445460402</v>
      </c>
      <c r="AI5560">
        <v>97.111268037589696</v>
      </c>
      <c r="AJ5560">
        <v>59.139307461876299</v>
      </c>
      <c r="AK5560">
        <v>8.9153314918255795</v>
      </c>
      <c r="AL5560">
        <v>88.836008910376506</v>
      </c>
      <c r="AM5560">
        <v>75.458155016380999</v>
      </c>
      <c r="AN5560">
        <v>1.00000002080216</v>
      </c>
    </row>
    <row r="5561" spans="1:40" x14ac:dyDescent="0.3">
      <c r="A5561" t="str">
        <f>"20200111160612114"</f>
        <v>20200111160612114</v>
      </c>
      <c r="B5561" t="str">
        <f>"1578729972108015"</f>
        <v>1578729972108015</v>
      </c>
      <c r="C5561" t="s">
        <v>40</v>
      </c>
      <c r="D5561">
        <v>5.1013279999999996</v>
      </c>
      <c r="E5561">
        <v>0.6133634</v>
      </c>
      <c r="F5561" t="s">
        <v>44</v>
      </c>
      <c r="G5561">
        <v>-306.2022</v>
      </c>
      <c r="H5561">
        <v>-0.05</v>
      </c>
      <c r="I5561">
        <v>1.0079039999999999</v>
      </c>
      <c r="J5561">
        <v>-307.5573</v>
      </c>
      <c r="K5561">
        <v>1.053723</v>
      </c>
      <c r="L5561">
        <v>10.054349999999999</v>
      </c>
      <c r="M5561">
        <v>0.63273500000000005</v>
      </c>
      <c r="N5561">
        <v>0</v>
      </c>
      <c r="O5561">
        <v>-0.77420619999999996</v>
      </c>
      <c r="P5561">
        <v>0.4194582</v>
      </c>
      <c r="Q5561">
        <v>1.033802E-2</v>
      </c>
      <c r="R5561">
        <v>-0.90771599999999997</v>
      </c>
      <c r="S5561">
        <v>0.49740600000000001</v>
      </c>
      <c r="T5561">
        <v>-0.36975170000000002</v>
      </c>
      <c r="U5561">
        <v>-3.090576</v>
      </c>
      <c r="V5561">
        <v>0.25003769999999997</v>
      </c>
      <c r="W5561">
        <v>2.1334760000000001E-2</v>
      </c>
      <c r="X5561">
        <v>0.968001</v>
      </c>
      <c r="Y5561">
        <v>0.50190199999999996</v>
      </c>
      <c r="Z5561">
        <v>7.0932149999999999E-2</v>
      </c>
      <c r="AA5561">
        <v>0.86201099999999997</v>
      </c>
      <c r="AB5561">
        <v>21</v>
      </c>
      <c r="AC5561">
        <v>1.35509999999999</v>
      </c>
      <c r="AD5561">
        <v>-1.103723</v>
      </c>
      <c r="AE5561">
        <v>-9.0464459999999995</v>
      </c>
      <c r="AF5561">
        <v>4.6083708229675002</v>
      </c>
      <c r="AG5561">
        <v>-1.103723</v>
      </c>
      <c r="AH5561">
        <v>7.7493988983614104</v>
      </c>
      <c r="AI5561">
        <v>96.979237706740705</v>
      </c>
      <c r="AJ5561">
        <v>59.261125044040597</v>
      </c>
      <c r="AK5561">
        <v>9.0834172748273598</v>
      </c>
      <c r="AL5561">
        <v>88.777515518183506</v>
      </c>
      <c r="AM5561">
        <v>75.516888053823706</v>
      </c>
      <c r="AN5561">
        <v>0.99999997970327303</v>
      </c>
    </row>
    <row r="5562" spans="1:40" x14ac:dyDescent="0.3">
      <c r="A5562" t="str">
        <f>"20200111160612135"</f>
        <v>20200111160612135</v>
      </c>
      <c r="B5562" t="str">
        <f>"1578729972127535"</f>
        <v>1578729972127535</v>
      </c>
      <c r="C5562" t="s">
        <v>40</v>
      </c>
      <c r="D5562">
        <v>5.1271639999999996</v>
      </c>
      <c r="E5562">
        <v>0.61305889999999996</v>
      </c>
      <c r="F5562" t="s">
        <v>44</v>
      </c>
      <c r="G5562">
        <v>-306.16180000000003</v>
      </c>
      <c r="H5562">
        <v>-0.05</v>
      </c>
      <c r="I5562">
        <v>0.69352720000000001</v>
      </c>
      <c r="J5562">
        <v>-307.44310000000002</v>
      </c>
      <c r="K5562">
        <v>1.0537669999999999</v>
      </c>
      <c r="L5562">
        <v>9.8925780000000003</v>
      </c>
      <c r="M5562">
        <v>0.62344869999999997</v>
      </c>
      <c r="N5562">
        <v>0</v>
      </c>
      <c r="O5562">
        <v>-0.78170360000000005</v>
      </c>
      <c r="P5562">
        <v>0.41074500000000003</v>
      </c>
      <c r="Q5562">
        <v>1.246942E-2</v>
      </c>
      <c r="R5562">
        <v>-0.9116649</v>
      </c>
      <c r="S5562">
        <v>0.46154790000000001</v>
      </c>
      <c r="T5562">
        <v>-0.36503210000000003</v>
      </c>
      <c r="U5562">
        <v>-3.0958860000000001</v>
      </c>
      <c r="V5562">
        <v>0.2477721</v>
      </c>
      <c r="W5562">
        <v>2.352433E-2</v>
      </c>
      <c r="X5562">
        <v>0.96853270000000002</v>
      </c>
      <c r="Y5562">
        <v>0.50157339999999995</v>
      </c>
      <c r="Z5562">
        <v>7.1213250000000006E-2</v>
      </c>
      <c r="AA5562">
        <v>0.86217909999999998</v>
      </c>
      <c r="AB5562">
        <v>21</v>
      </c>
      <c r="AC5562">
        <v>1.2812999999999799</v>
      </c>
      <c r="AD5562">
        <v>-1.1037669999999999</v>
      </c>
      <c r="AE5562">
        <v>-9.1990508000000002</v>
      </c>
      <c r="AF5562">
        <v>4.6682054857786799</v>
      </c>
      <c r="AG5562">
        <v>-1.1037669999999999</v>
      </c>
      <c r="AH5562">
        <v>7.8794785619862404</v>
      </c>
      <c r="AI5562">
        <v>96.872039160913999</v>
      </c>
      <c r="AJ5562">
        <v>59.355333741567399</v>
      </c>
      <c r="AK5562">
        <v>9.2247832742316493</v>
      </c>
      <c r="AL5562">
        <v>88.652030828325593</v>
      </c>
      <c r="AM5562">
        <v>75.650228157924204</v>
      </c>
      <c r="AN5562">
        <v>0.99999999930482397</v>
      </c>
    </row>
    <row r="5563" spans="1:40" x14ac:dyDescent="0.3">
      <c r="A5563" t="str">
        <f>"20200111160612157"</f>
        <v>20200111160612157</v>
      </c>
      <c r="B5563" t="str">
        <f>"1578729972147562"</f>
        <v>1578729972147562</v>
      </c>
      <c r="C5563" t="s">
        <v>40</v>
      </c>
      <c r="D5563">
        <v>5.4021150000000002</v>
      </c>
      <c r="E5563">
        <v>0.61279189999999994</v>
      </c>
      <c r="F5563" t="s">
        <v>44</v>
      </c>
      <c r="G5563">
        <v>-306.09789999999998</v>
      </c>
      <c r="H5563">
        <v>-0.05</v>
      </c>
      <c r="I5563">
        <v>0.27349849999999998</v>
      </c>
      <c r="J5563">
        <v>-307.32429999999999</v>
      </c>
      <c r="K5563">
        <v>1.0538130000000001</v>
      </c>
      <c r="L5563">
        <v>9.7198180000000001</v>
      </c>
      <c r="M5563">
        <v>0.61351719999999998</v>
      </c>
      <c r="N5563">
        <v>0</v>
      </c>
      <c r="O5563">
        <v>-0.78952279999999997</v>
      </c>
      <c r="P5563">
        <v>0.39999289999999998</v>
      </c>
      <c r="Q5563">
        <v>1.3630339999999999E-2</v>
      </c>
      <c r="R5563">
        <v>-0.91641740000000005</v>
      </c>
      <c r="S5563">
        <v>0.43356319999999998</v>
      </c>
      <c r="T5563">
        <v>-0.35574289999999997</v>
      </c>
      <c r="U5563">
        <v>-3.1002200000000002</v>
      </c>
      <c r="V5563">
        <v>0.2469287</v>
      </c>
      <c r="W5563">
        <v>2.4714159999999999E-2</v>
      </c>
      <c r="X5563">
        <v>0.96871850000000004</v>
      </c>
      <c r="Y5563">
        <v>0.49844840000000001</v>
      </c>
      <c r="Z5563">
        <v>7.0731160000000001E-2</v>
      </c>
      <c r="AA5563">
        <v>0.864029099999999</v>
      </c>
      <c r="AB5563">
        <v>21</v>
      </c>
      <c r="AC5563">
        <v>1.2264000000000099</v>
      </c>
      <c r="AD5563">
        <v>-1.1038129999999999</v>
      </c>
      <c r="AE5563">
        <v>-9.4463194999999995</v>
      </c>
      <c r="AF5563">
        <v>4.7638449866117796</v>
      </c>
      <c r="AG5563">
        <v>-1.1038129999999999</v>
      </c>
      <c r="AH5563">
        <v>8.1027280036599993</v>
      </c>
      <c r="AI5563">
        <v>96.697830280052401</v>
      </c>
      <c r="AJ5563">
        <v>59.547409580364302</v>
      </c>
      <c r="AK5563">
        <v>9.4639750262102407</v>
      </c>
      <c r="AL5563">
        <v>88.583838824291007</v>
      </c>
      <c r="AM5563">
        <v>75.699697286740502</v>
      </c>
      <c r="AN5563">
        <v>1.0000000524152199</v>
      </c>
    </row>
    <row r="5564" spans="1:40" x14ac:dyDescent="0.3">
      <c r="A5564" t="str">
        <f>"20200111160612180"</f>
        <v>20200111160612180</v>
      </c>
      <c r="B5564" t="str">
        <f>"1578729972177819"</f>
        <v>1578729972177819</v>
      </c>
      <c r="C5564" t="s">
        <v>40</v>
      </c>
      <c r="D5564">
        <v>5.0687569999999997</v>
      </c>
      <c r="E5564">
        <v>0.61242569999999996</v>
      </c>
      <c r="F5564" t="s">
        <v>44</v>
      </c>
      <c r="G5564">
        <v>-306.0641</v>
      </c>
      <c r="H5564">
        <v>-0.05</v>
      </c>
      <c r="I5564">
        <v>-9.4818120000000006E-2</v>
      </c>
      <c r="J5564">
        <v>-307.20659999999998</v>
      </c>
      <c r="K5564">
        <v>1.0538510000000001</v>
      </c>
      <c r="L5564">
        <v>9.5440369999999994</v>
      </c>
      <c r="M5564">
        <v>0.60339940000000003</v>
      </c>
      <c r="N5564">
        <v>0</v>
      </c>
      <c r="O5564">
        <v>-0.79728219999999905</v>
      </c>
      <c r="P5564">
        <v>0.3884455</v>
      </c>
      <c r="Q5564">
        <v>1.531735E-2</v>
      </c>
      <c r="R5564">
        <v>-0.92134459999999996</v>
      </c>
      <c r="S5564">
        <v>0.39868160000000002</v>
      </c>
      <c r="T5564">
        <v>-0.3491843</v>
      </c>
      <c r="U5564">
        <v>-3.104797</v>
      </c>
      <c r="V5564">
        <v>0.24675910000000001</v>
      </c>
      <c r="W5564">
        <v>2.6415439999999998E-2</v>
      </c>
      <c r="X5564">
        <v>0.96871669999999999</v>
      </c>
      <c r="Y5564">
        <v>0.49711569999999999</v>
      </c>
      <c r="Z5564">
        <v>7.065602E-2</v>
      </c>
      <c r="AA5564">
        <v>0.86480270000000004</v>
      </c>
      <c r="AB5564">
        <v>21</v>
      </c>
      <c r="AC5564">
        <v>1.1424999999999801</v>
      </c>
      <c r="AD5564">
        <v>-1.1038509999999999</v>
      </c>
      <c r="AE5564">
        <v>-9.6388551200000006</v>
      </c>
      <c r="AF5564">
        <v>4.8431601200788403</v>
      </c>
      <c r="AG5564">
        <v>-1.1038509999999999</v>
      </c>
      <c r="AH5564">
        <v>8.2683816620290091</v>
      </c>
      <c r="AI5564">
        <v>96.571262891533095</v>
      </c>
      <c r="AJ5564">
        <v>59.640590245499602</v>
      </c>
      <c r="AK5564">
        <v>9.6457670658118602</v>
      </c>
      <c r="AL5564">
        <v>88.486330610089894</v>
      </c>
      <c r="AM5564">
        <v>75.709091357395707</v>
      </c>
      <c r="AN5564">
        <v>0.99999993688104405</v>
      </c>
    </row>
    <row r="5565" spans="1:40" x14ac:dyDescent="0.3">
      <c r="A5565" t="str">
        <f>"20200111160612203"</f>
        <v>20200111160612203</v>
      </c>
      <c r="B5565" t="str">
        <f>"1578729972197338"</f>
        <v>1578729972197338</v>
      </c>
      <c r="C5565" t="s">
        <v>40</v>
      </c>
      <c r="D5565">
        <v>5.0580980000000002</v>
      </c>
      <c r="E5565">
        <v>0.61205880000000001</v>
      </c>
      <c r="F5565" t="s">
        <v>44</v>
      </c>
      <c r="G5565">
        <v>-306.02879999999999</v>
      </c>
      <c r="H5565">
        <v>-0.05</v>
      </c>
      <c r="I5565">
        <v>-0.57736209999999999</v>
      </c>
      <c r="J5565">
        <v>-307.08859999999999</v>
      </c>
      <c r="K5565">
        <v>1.053887</v>
      </c>
      <c r="L5565">
        <v>9.3627319999999994</v>
      </c>
      <c r="M5565">
        <v>0.59294959999999997</v>
      </c>
      <c r="N5565">
        <v>0</v>
      </c>
      <c r="O5565">
        <v>-0.80508459999999904</v>
      </c>
      <c r="P5565">
        <v>0.37602669999999999</v>
      </c>
      <c r="Q5565">
        <v>1.651772E-2</v>
      </c>
      <c r="R5565">
        <v>-0.92646209999999996</v>
      </c>
      <c r="S5565">
        <v>0.36181639999999998</v>
      </c>
      <c r="T5565">
        <v>-0.3390917</v>
      </c>
      <c r="U5565">
        <v>-3.1091920000000002</v>
      </c>
      <c r="V5565">
        <v>0.24715090000000001</v>
      </c>
      <c r="W5565">
        <v>2.7617590000000001E-2</v>
      </c>
      <c r="X5565">
        <v>0.96858330000000004</v>
      </c>
      <c r="Y5565">
        <v>0.49606489999999998</v>
      </c>
      <c r="Z5565">
        <v>6.9816429999999999E-2</v>
      </c>
      <c r="AA5565">
        <v>0.86547399999999997</v>
      </c>
      <c r="AB5565">
        <v>20</v>
      </c>
      <c r="AC5565">
        <v>1.0597999999999901</v>
      </c>
      <c r="AD5565">
        <v>-1.1038870000000001</v>
      </c>
      <c r="AE5565">
        <v>-9.9400940999999996</v>
      </c>
      <c r="AF5565">
        <v>4.9806395182503298</v>
      </c>
      <c r="AG5565">
        <v>-1.1038870000000001</v>
      </c>
      <c r="AH5565">
        <v>8.5281069845677209</v>
      </c>
      <c r="AI5565">
        <v>96.377746449822695</v>
      </c>
      <c r="AJ5565">
        <v>59.7139442548701</v>
      </c>
      <c r="AK5565">
        <v>9.9375019627549595</v>
      </c>
      <c r="AL5565">
        <v>88.417427356519596</v>
      </c>
      <c r="AM5565">
        <v>75.685441817077901</v>
      </c>
      <c r="AN5565">
        <v>0.999999953843553</v>
      </c>
    </row>
    <row r="5566" spans="1:40" x14ac:dyDescent="0.3">
      <c r="A5566" t="str">
        <f>"20200111160612225"</f>
        <v>20200111160612225</v>
      </c>
      <c r="B5566" t="str">
        <f>"1578729972217837"</f>
        <v>1578729972217837</v>
      </c>
      <c r="C5566" t="s">
        <v>40</v>
      </c>
      <c r="D5566">
        <v>5.0870290000000002</v>
      </c>
      <c r="E5566">
        <v>0.61167399999999905</v>
      </c>
      <c r="F5566" t="s">
        <v>41</v>
      </c>
      <c r="G5566">
        <v>-306.06950000000001</v>
      </c>
      <c r="H5566" s="1">
        <v>-5.3338969999999898E-6</v>
      </c>
      <c r="I5566">
        <v>-0.46359729999999999</v>
      </c>
      <c r="J5566">
        <v>-306.97829999999999</v>
      </c>
      <c r="K5566">
        <v>1.053922</v>
      </c>
      <c r="L5566">
        <v>9.1882319999999993</v>
      </c>
      <c r="M5566">
        <v>0.58288469999999903</v>
      </c>
      <c r="N5566">
        <v>0</v>
      </c>
      <c r="O5566">
        <v>-0.81240109999999999</v>
      </c>
      <c r="P5566">
        <v>0.36478539999999998</v>
      </c>
      <c r="Q5566">
        <v>1.685884E-2</v>
      </c>
      <c r="R5566">
        <v>-0.93093879999999996</v>
      </c>
      <c r="S5566">
        <v>0.32284550000000001</v>
      </c>
      <c r="T5566">
        <v>-0.33387899999999998</v>
      </c>
      <c r="U5566">
        <v>-3.1130369999999998</v>
      </c>
      <c r="V5566">
        <v>0.24682019999999999</v>
      </c>
      <c r="W5566">
        <v>2.7975549999999998E-2</v>
      </c>
      <c r="X5566">
        <v>0.9686574</v>
      </c>
      <c r="Y5566">
        <v>0.49609599999999998</v>
      </c>
      <c r="Z5566">
        <v>6.9819969999999995E-2</v>
      </c>
      <c r="AA5566">
        <v>0.86545589999999994</v>
      </c>
      <c r="AB5566">
        <v>20</v>
      </c>
      <c r="AC5566">
        <v>0.90879999999998495</v>
      </c>
      <c r="AD5566">
        <v>-1.0539273338969899</v>
      </c>
      <c r="AE5566">
        <v>-9.6518292999999993</v>
      </c>
      <c r="AF5566">
        <v>4.8311070061689101</v>
      </c>
      <c r="AG5566">
        <v>-1.0539273338969899</v>
      </c>
      <c r="AH5566">
        <v>8.2741390715613097</v>
      </c>
      <c r="AI5566">
        <v>96.277217370602003</v>
      </c>
      <c r="AJ5566">
        <v>59.720184977461699</v>
      </c>
      <c r="AK5566">
        <v>9.6390733530628907</v>
      </c>
      <c r="AL5566">
        <v>88.396909905164705</v>
      </c>
      <c r="AM5566">
        <v>75.704858569054593</v>
      </c>
      <c r="AN5566">
        <v>1.0000000005503</v>
      </c>
    </row>
    <row r="5567" spans="1:40" x14ac:dyDescent="0.3">
      <c r="A5567" t="str">
        <f>"20200111160612247"</f>
        <v>20200111160612247</v>
      </c>
      <c r="B5567" t="str">
        <f>"1578729972237355"</f>
        <v>1578729972237355</v>
      </c>
      <c r="C5567" t="s">
        <v>40</v>
      </c>
      <c r="D5567">
        <v>5.1242650000000003</v>
      </c>
      <c r="E5567">
        <v>0.61147589999999996</v>
      </c>
      <c r="F5567" t="s">
        <v>41</v>
      </c>
      <c r="G5567">
        <v>-306.06290000000001</v>
      </c>
      <c r="H5567" s="1">
        <v>-5.233695E-6</v>
      </c>
      <c r="I5567">
        <v>-0.72147939999999999</v>
      </c>
      <c r="J5567">
        <v>-306.8732</v>
      </c>
      <c r="K5567">
        <v>1.0539609999999999</v>
      </c>
      <c r="L5567">
        <v>9.0172419999999995</v>
      </c>
      <c r="M5567">
        <v>0.57301569999999902</v>
      </c>
      <c r="N5567">
        <v>0</v>
      </c>
      <c r="O5567">
        <v>-0.81939240000000002</v>
      </c>
      <c r="P5567">
        <v>0.35460570000000002</v>
      </c>
      <c r="Q5567">
        <v>1.7505039999999999E-2</v>
      </c>
      <c r="R5567">
        <v>-0.93485229999999997</v>
      </c>
      <c r="S5567">
        <v>0.28781129999999999</v>
      </c>
      <c r="T5567">
        <v>-0.33137290000000003</v>
      </c>
      <c r="U5567">
        <v>-3.1157840000000001</v>
      </c>
      <c r="V5567">
        <v>0.24567439999999999</v>
      </c>
      <c r="W5567">
        <v>2.8654300000000001E-2</v>
      </c>
      <c r="X5567">
        <v>0.96892880000000003</v>
      </c>
      <c r="Y5567">
        <v>0.4953205</v>
      </c>
      <c r="Z5567">
        <v>7.0355490000000007E-2</v>
      </c>
      <c r="AA5567">
        <v>0.86585659999999898</v>
      </c>
      <c r="AB5567">
        <v>20</v>
      </c>
      <c r="AC5567">
        <v>0.81029999999998303</v>
      </c>
      <c r="AD5567">
        <v>-1.053966233695</v>
      </c>
      <c r="AE5567">
        <v>-9.7387213999999993</v>
      </c>
      <c r="AF5567">
        <v>4.8605611626612504</v>
      </c>
      <c r="AG5567">
        <v>-1.053966233695</v>
      </c>
      <c r="AH5567">
        <v>8.3480960404047195</v>
      </c>
      <c r="AI5567">
        <v>96.226691493741797</v>
      </c>
      <c r="AJ5567">
        <v>59.790499872512598</v>
      </c>
      <c r="AK5567">
        <v>9.7173353928719095</v>
      </c>
      <c r="AL5567">
        <v>88.358004793605502</v>
      </c>
      <c r="AM5567">
        <v>75.772342647295801</v>
      </c>
      <c r="AN5567">
        <v>0.99999999959664498</v>
      </c>
    </row>
    <row r="5568" spans="1:40" x14ac:dyDescent="0.3">
      <c r="A5568" t="str">
        <f>"20200111160612269"</f>
        <v>20200111160612269</v>
      </c>
      <c r="B5568" t="str">
        <f>"1578729972257850"</f>
        <v>1578729972257850</v>
      </c>
      <c r="C5568" t="s">
        <v>40</v>
      </c>
      <c r="D5568">
        <v>5.0615420000000002</v>
      </c>
      <c r="E5568">
        <v>0.59434169999999997</v>
      </c>
      <c r="F5568" t="s">
        <v>41</v>
      </c>
      <c r="G5568">
        <v>-306.05410000000001</v>
      </c>
      <c r="H5568" s="1">
        <v>-5.1321140000000003E-6</v>
      </c>
      <c r="I5568">
        <v>-0.98194309999999996</v>
      </c>
      <c r="J5568">
        <v>-306.76519999999999</v>
      </c>
      <c r="K5568">
        <v>1.053992</v>
      </c>
      <c r="L5568">
        <v>8.8366089999999993</v>
      </c>
      <c r="M5568">
        <v>0.56257809999999997</v>
      </c>
      <c r="N5568">
        <v>0</v>
      </c>
      <c r="O5568">
        <v>-0.82659359999999904</v>
      </c>
      <c r="P5568">
        <v>0.34464640000000002</v>
      </c>
      <c r="Q5568">
        <v>1.717834E-2</v>
      </c>
      <c r="R5568">
        <v>-0.93857559999999995</v>
      </c>
      <c r="S5568">
        <v>0.2554321</v>
      </c>
      <c r="T5568">
        <v>-0.3286868</v>
      </c>
      <c r="U5568">
        <v>-3.1183169999999998</v>
      </c>
      <c r="V5568">
        <v>0.24368210000000001</v>
      </c>
      <c r="W5568">
        <v>2.8378319999999999E-2</v>
      </c>
      <c r="X5568">
        <v>0.96943990000000002</v>
      </c>
      <c r="Y5568">
        <v>0.49330099999999999</v>
      </c>
      <c r="Z5568">
        <v>7.090987E-2</v>
      </c>
      <c r="AA5568">
        <v>0.86696359999999995</v>
      </c>
      <c r="AB5568">
        <v>20</v>
      </c>
      <c r="AC5568">
        <v>0.71109999999998696</v>
      </c>
      <c r="AD5568">
        <v>-1.053997132114</v>
      </c>
      <c r="AE5568">
        <v>-9.8185520999999998</v>
      </c>
      <c r="AF5568">
        <v>4.8805782444807999</v>
      </c>
      <c r="AG5568">
        <v>-1.053997132114</v>
      </c>
      <c r="AH5568">
        <v>8.4205340236866402</v>
      </c>
      <c r="AI5568">
        <v>96.180727017818</v>
      </c>
      <c r="AJ5568">
        <v>59.9032320696951</v>
      </c>
      <c r="AK5568">
        <v>9.7896040368887398</v>
      </c>
      <c r="AL5568">
        <v>88.373823728560794</v>
      </c>
      <c r="AM5568">
        <v>75.890236490857802</v>
      </c>
      <c r="AN5568">
        <v>1.0000000073092199</v>
      </c>
    </row>
    <row r="5569" spans="1:40" x14ac:dyDescent="0.3">
      <c r="A5569" t="str">
        <f>"20200111160612292"</f>
        <v>20200111160612292</v>
      </c>
      <c r="B5569" t="str">
        <f>"1578729972288107"</f>
        <v>1578729972288107</v>
      </c>
      <c r="C5569" t="s">
        <v>40</v>
      </c>
      <c r="D5569">
        <v>4.9239819999999996</v>
      </c>
      <c r="E5569">
        <v>0.59386619999999901</v>
      </c>
      <c r="F5569" t="s">
        <v>41</v>
      </c>
      <c r="G5569">
        <v>-305.52539999999999</v>
      </c>
      <c r="H5569" s="1">
        <v>-4.6094049999999998E-6</v>
      </c>
      <c r="I5569">
        <v>-2.0989049999999998</v>
      </c>
      <c r="J5569">
        <v>-306.65910000000002</v>
      </c>
      <c r="K5569">
        <v>1.054027</v>
      </c>
      <c r="L5569">
        <v>8.6538389999999996</v>
      </c>
      <c r="M5569">
        <v>0.55200700000000003</v>
      </c>
      <c r="N5569">
        <v>0</v>
      </c>
      <c r="O5569">
        <v>-0.83369059999999995</v>
      </c>
      <c r="P5569">
        <v>0.33494760000000001</v>
      </c>
      <c r="Q5569">
        <v>1.7379269999999999E-2</v>
      </c>
      <c r="R5569">
        <v>-0.94207669999999999</v>
      </c>
      <c r="S5569">
        <v>0.34848020000000002</v>
      </c>
      <c r="T5569">
        <v>-0.29626089999999999</v>
      </c>
      <c r="U5569">
        <v>-3.0737920000000001</v>
      </c>
      <c r="V5569">
        <v>0.24133370000000001</v>
      </c>
      <c r="W5569">
        <v>2.8636180000000001E-2</v>
      </c>
      <c r="X5569">
        <v>0.97001959999999998</v>
      </c>
      <c r="Y5569">
        <v>0.4547814</v>
      </c>
      <c r="Z5569">
        <v>6.6863080000000005E-2</v>
      </c>
      <c r="AA5569">
        <v>0.88808960000000003</v>
      </c>
      <c r="AB5569">
        <v>20</v>
      </c>
      <c r="AC5569">
        <v>1.1337000000000299</v>
      </c>
      <c r="AD5569">
        <v>-1.054031609405</v>
      </c>
      <c r="AE5569">
        <v>-10.752744</v>
      </c>
      <c r="AF5569">
        <v>4.9440702504837599</v>
      </c>
      <c r="AG5569">
        <v>-1.054031609405</v>
      </c>
      <c r="AH5569">
        <v>9.5011715170592002</v>
      </c>
      <c r="AI5569">
        <v>95.620409426720201</v>
      </c>
      <c r="AJ5569">
        <v>62.509141702806602</v>
      </c>
      <c r="AK5569">
        <v>10.7622987076144</v>
      </c>
      <c r="AL5569">
        <v>88.359043428164</v>
      </c>
      <c r="AM5569">
        <v>76.0288844896142</v>
      </c>
      <c r="AN5569">
        <v>1.00000000497242</v>
      </c>
    </row>
    <row r="5570" spans="1:40" x14ac:dyDescent="0.3">
      <c r="A5570" t="str">
        <f>"20200111160612315"</f>
        <v>20200111160612315</v>
      </c>
      <c r="B5570" t="str">
        <f>"1578729972307626"</f>
        <v>1578729972307626</v>
      </c>
      <c r="C5570" t="s">
        <v>40</v>
      </c>
      <c r="D5570">
        <v>4.9658629999999997</v>
      </c>
      <c r="E5570">
        <v>0.60246669999999902</v>
      </c>
      <c r="F5570" t="s">
        <v>41</v>
      </c>
      <c r="G5570">
        <v>-305.40679999999998</v>
      </c>
      <c r="H5570" s="1">
        <v>-4.0729109999999997E-6</v>
      </c>
      <c r="I5570">
        <v>-3.4411909999999999</v>
      </c>
      <c r="J5570">
        <v>-306.55619999999999</v>
      </c>
      <c r="K5570">
        <v>1.0540670000000001</v>
      </c>
      <c r="L5570">
        <v>8.4713440000000002</v>
      </c>
      <c r="M5570">
        <v>0.54143850000000004</v>
      </c>
      <c r="N5570">
        <v>0</v>
      </c>
      <c r="O5570">
        <v>-0.84059300000000003</v>
      </c>
      <c r="P5570">
        <v>0.32517299999999999</v>
      </c>
      <c r="Q5570">
        <v>1.6929409999999999E-2</v>
      </c>
      <c r="R5570">
        <v>-0.94550319999999999</v>
      </c>
      <c r="S5570">
        <v>0.31848140000000003</v>
      </c>
      <c r="T5570">
        <v>-0.26807550000000002</v>
      </c>
      <c r="U5570">
        <v>-3.0761720000000001</v>
      </c>
      <c r="V5570">
        <v>0.23912710000000001</v>
      </c>
      <c r="W5570">
        <v>2.8240089999999999E-2</v>
      </c>
      <c r="X5570">
        <v>0.97057749999999998</v>
      </c>
      <c r="Y5570">
        <v>0.45215929999999999</v>
      </c>
      <c r="Z5570">
        <v>6.1450400000000002E-2</v>
      </c>
      <c r="AA5570">
        <v>0.88981779999999999</v>
      </c>
      <c r="AB5570">
        <v>20</v>
      </c>
      <c r="AC5570">
        <v>1.14940000000001</v>
      </c>
      <c r="AD5570">
        <v>-1.0540710729109899</v>
      </c>
      <c r="AE5570">
        <v>-11.912535</v>
      </c>
      <c r="AF5570">
        <v>5.4421905809996796</v>
      </c>
      <c r="AG5570">
        <v>-1.0540710729109899</v>
      </c>
      <c r="AH5570">
        <v>10.555360346659199</v>
      </c>
      <c r="AI5570">
        <v>95.0721893390986</v>
      </c>
      <c r="AJ5570">
        <v>62.725025185433097</v>
      </c>
      <c r="AK5570">
        <v>11.922421574264799</v>
      </c>
      <c r="AL5570">
        <v>88.381746852280301</v>
      </c>
      <c r="AM5570">
        <v>76.159342901795299</v>
      </c>
      <c r="AN5570">
        <v>0.99999997807193297</v>
      </c>
    </row>
    <row r="5571" spans="1:40" x14ac:dyDescent="0.3">
      <c r="A5571" t="str">
        <f>"20200111160612336"</f>
        <v>20200111160612336</v>
      </c>
      <c r="B5571" t="str">
        <f>"1578729972328123"</f>
        <v>1578729972328123</v>
      </c>
      <c r="C5571" t="s">
        <v>40</v>
      </c>
      <c r="D5571">
        <v>4.9653669999999996</v>
      </c>
      <c r="E5571">
        <v>0.60081049999999903</v>
      </c>
      <c r="F5571" t="s">
        <v>41</v>
      </c>
      <c r="G5571">
        <v>-305.4819</v>
      </c>
      <c r="H5571" s="1">
        <v>-2.7019279999999998E-6</v>
      </c>
      <c r="I5571">
        <v>-6.8324170000000004</v>
      </c>
      <c r="J5571">
        <v>-306.46080000000001</v>
      </c>
      <c r="K5571">
        <v>1.0541020000000001</v>
      </c>
      <c r="L5571">
        <v>8.2974549999999994</v>
      </c>
      <c r="M5571">
        <v>0.53136079999999997</v>
      </c>
      <c r="N5571">
        <v>0</v>
      </c>
      <c r="O5571">
        <v>-0.84699959999999996</v>
      </c>
      <c r="P5571">
        <v>0.31604549999999998</v>
      </c>
      <c r="Q5571">
        <v>1.6167999999999998E-2</v>
      </c>
      <c r="R5571">
        <v>-0.94860679999999997</v>
      </c>
      <c r="S5571">
        <v>0.21774289999999999</v>
      </c>
      <c r="T5571">
        <v>-0.2136459</v>
      </c>
      <c r="U5571">
        <v>-3.1018680000000001</v>
      </c>
      <c r="V5571">
        <v>0.23688039999999999</v>
      </c>
      <c r="W5571">
        <v>2.7533220000000001E-2</v>
      </c>
      <c r="X5571">
        <v>0.97114860000000003</v>
      </c>
      <c r="Y5571">
        <v>0.47082109999999999</v>
      </c>
      <c r="Z5571">
        <v>4.8965410000000001E-2</v>
      </c>
      <c r="AA5571">
        <v>0.88086880000000001</v>
      </c>
      <c r="AB5571">
        <v>20</v>
      </c>
      <c r="AC5571">
        <v>0.97890000000000998</v>
      </c>
      <c r="AD5571">
        <v>-1.0541047019280001</v>
      </c>
      <c r="AE5571">
        <v>-15.129872000000001</v>
      </c>
      <c r="AF5571">
        <v>7.1764957045155597</v>
      </c>
      <c r="AG5571">
        <v>-1.0541047019280001</v>
      </c>
      <c r="AH5571">
        <v>13.272637925496801</v>
      </c>
      <c r="AI5571">
        <v>93.996255014753402</v>
      </c>
      <c r="AJ5571">
        <v>61.599976118537697</v>
      </c>
      <c r="AK5571">
        <v>15.1253477586763</v>
      </c>
      <c r="AL5571">
        <v>88.422263317715803</v>
      </c>
      <c r="AM5571">
        <v>76.292209966632399</v>
      </c>
      <c r="AN5571">
        <v>1.0000000026948399</v>
      </c>
    </row>
    <row r="5572" spans="1:40" x14ac:dyDescent="0.3">
      <c r="A5572" t="str">
        <f>"20200111160612359"</f>
        <v>20200111160612359</v>
      </c>
      <c r="B5572" t="str">
        <f>"1578729972347642"</f>
        <v>1578729972347642</v>
      </c>
      <c r="C5572" t="s">
        <v>40</v>
      </c>
      <c r="D5572">
        <v>5.0029130000000004</v>
      </c>
      <c r="E5572">
        <v>0.5954313</v>
      </c>
      <c r="F5572" t="s">
        <v>41</v>
      </c>
      <c r="G5572">
        <v>-305.4898</v>
      </c>
      <c r="H5572" s="1">
        <v>-2.746334E-6</v>
      </c>
      <c r="I5572">
        <v>-6.7429600000000001</v>
      </c>
      <c r="J5572">
        <v>-306.3621</v>
      </c>
      <c r="K5572">
        <v>1.054138</v>
      </c>
      <c r="L5572">
        <v>8.1121219999999994</v>
      </c>
      <c r="M5572">
        <v>0.52060859999999998</v>
      </c>
      <c r="N5572">
        <v>0</v>
      </c>
      <c r="O5572">
        <v>-0.85365059999999904</v>
      </c>
      <c r="P5572">
        <v>0.30620570000000003</v>
      </c>
      <c r="Q5572">
        <v>1.5909599999999999E-2</v>
      </c>
      <c r="R5572">
        <v>-0.95183249999999997</v>
      </c>
      <c r="S5572">
        <v>0.2001038</v>
      </c>
      <c r="T5572">
        <v>-0.2172335</v>
      </c>
      <c r="U5572">
        <v>-3.0995789999999999</v>
      </c>
      <c r="V5572">
        <v>0.2346512</v>
      </c>
      <c r="W5572">
        <v>2.732921E-2</v>
      </c>
      <c r="X5572">
        <v>0.97169539999999999</v>
      </c>
      <c r="Y5572">
        <v>0.46460560000000001</v>
      </c>
      <c r="Z5572">
        <v>5.0626329999999997E-2</v>
      </c>
      <c r="AA5572">
        <v>0.88406940000000001</v>
      </c>
      <c r="AB5572">
        <v>20</v>
      </c>
      <c r="AC5572">
        <v>0.87229999999999497</v>
      </c>
      <c r="AD5572">
        <v>-1.054140746334</v>
      </c>
      <c r="AE5572">
        <v>-14.855081999999999</v>
      </c>
      <c r="AF5572">
        <v>6.9550065634633196</v>
      </c>
      <c r="AG5572">
        <v>-1.054140746334</v>
      </c>
      <c r="AH5572">
        <v>13.0712066995277</v>
      </c>
      <c r="AI5572">
        <v>94.072306879605705</v>
      </c>
      <c r="AJ5572">
        <v>61.983180602321603</v>
      </c>
      <c r="AK5572">
        <v>14.843846320703999</v>
      </c>
      <c r="AL5572">
        <v>88.433956642776295</v>
      </c>
      <c r="AM5572">
        <v>76.423769123649507</v>
      </c>
      <c r="AN5572">
        <v>1.00000001088091</v>
      </c>
    </row>
    <row r="5573" spans="1:40" x14ac:dyDescent="0.3">
      <c r="A5573" t="str">
        <f>"20200111160612381"</f>
        <v>20200111160612381</v>
      </c>
      <c r="B5573" t="str">
        <f>"1578729972377899"</f>
        <v>1578729972377899</v>
      </c>
      <c r="C5573" t="s">
        <v>40</v>
      </c>
      <c r="D5573">
        <v>5.0174370000000001</v>
      </c>
      <c r="E5573">
        <v>0.59382159999999995</v>
      </c>
      <c r="F5573" t="s">
        <v>41</v>
      </c>
      <c r="G5573">
        <v>-305.32240000000002</v>
      </c>
      <c r="H5573" s="1">
        <v>-2.4471319999999999E-6</v>
      </c>
      <c r="I5573">
        <v>-7.2816689999999999</v>
      </c>
      <c r="J5573">
        <v>-306.26859999999999</v>
      </c>
      <c r="K5573">
        <v>1.0541780000000001</v>
      </c>
      <c r="L5573">
        <v>7.9311829999999999</v>
      </c>
      <c r="M5573">
        <v>0.5101078</v>
      </c>
      <c r="N5573">
        <v>0</v>
      </c>
      <c r="O5573">
        <v>-0.85996689999999998</v>
      </c>
      <c r="P5573">
        <v>0.29740820000000001</v>
      </c>
      <c r="Q5573">
        <v>1.635909E-2</v>
      </c>
      <c r="R5573">
        <v>-0.95461030000000002</v>
      </c>
      <c r="S5573">
        <v>0.20858760000000001</v>
      </c>
      <c r="T5573">
        <v>-0.21147859999999999</v>
      </c>
      <c r="U5573">
        <v>-3.088257</v>
      </c>
      <c r="V5573">
        <v>0.23170950000000001</v>
      </c>
      <c r="W5573">
        <v>2.784733E-2</v>
      </c>
      <c r="X5573">
        <v>0.97238639999999998</v>
      </c>
      <c r="Y5573">
        <v>0.45108130000000002</v>
      </c>
      <c r="Z5573">
        <v>5.0347799999999998E-2</v>
      </c>
      <c r="AA5573">
        <v>0.89106160000000001</v>
      </c>
      <c r="AB5573">
        <v>20</v>
      </c>
      <c r="AC5573">
        <v>0.94619999999997595</v>
      </c>
      <c r="AD5573">
        <v>-1.054180447132</v>
      </c>
      <c r="AE5573">
        <v>-15.212852</v>
      </c>
      <c r="AF5573">
        <v>6.9142783223277497</v>
      </c>
      <c r="AG5573">
        <v>-1.054180447132</v>
      </c>
      <c r="AH5573">
        <v>13.5023023558189</v>
      </c>
      <c r="AI5573">
        <v>93.975239670394501</v>
      </c>
      <c r="AJ5573">
        <v>62.883857051178602</v>
      </c>
      <c r="AK5573">
        <v>15.206272062595801</v>
      </c>
      <c r="AL5573">
        <v>88.404259293954198</v>
      </c>
      <c r="AM5573">
        <v>76.596967718959405</v>
      </c>
      <c r="AN5573">
        <v>1.0000000385416601</v>
      </c>
    </row>
    <row r="5574" spans="1:40" x14ac:dyDescent="0.3">
      <c r="A5574" t="str">
        <f>"20200111160612405"</f>
        <v>20200111160612405</v>
      </c>
      <c r="B5574" t="str">
        <f>"1578729972397418"</f>
        <v>1578729972397418</v>
      </c>
      <c r="C5574" t="s">
        <v>40</v>
      </c>
      <c r="D5574">
        <v>5.0670469999999996</v>
      </c>
      <c r="E5574">
        <v>0.59282429999999997</v>
      </c>
      <c r="F5574" t="s">
        <v>41</v>
      </c>
      <c r="G5574">
        <v>-305.31119999999999</v>
      </c>
      <c r="H5574" s="1">
        <v>-2.3652630000000001E-6</v>
      </c>
      <c r="I5574">
        <v>-7.4485669999999997</v>
      </c>
      <c r="J5574">
        <v>-306.17329999999998</v>
      </c>
      <c r="K5574">
        <v>1.054224</v>
      </c>
      <c r="L5574">
        <v>7.7409970000000001</v>
      </c>
      <c r="M5574">
        <v>0.49906800000000001</v>
      </c>
      <c r="N5574">
        <v>0</v>
      </c>
      <c r="O5574">
        <v>-0.86642039999999998</v>
      </c>
      <c r="P5574">
        <v>0.28831600000000002</v>
      </c>
      <c r="Q5574">
        <v>1.7058940000000002E-2</v>
      </c>
      <c r="R5574">
        <v>-0.95738330000000005</v>
      </c>
      <c r="S5574">
        <v>0.1921387</v>
      </c>
      <c r="T5574">
        <v>-0.2115542</v>
      </c>
      <c r="U5574">
        <v>-3.0864259999999999</v>
      </c>
      <c r="V5574">
        <v>0.22852159999999999</v>
      </c>
      <c r="W5574">
        <v>2.8620449999999999E-2</v>
      </c>
      <c r="X5574">
        <v>0.97311809999999999</v>
      </c>
      <c r="Y5574">
        <v>0.44435340000000001</v>
      </c>
      <c r="Z5574">
        <v>5.1167619999999997E-2</v>
      </c>
      <c r="AA5574">
        <v>0.8943892</v>
      </c>
      <c r="AB5574">
        <v>20</v>
      </c>
      <c r="AC5574">
        <v>0.86209999999999798</v>
      </c>
      <c r="AD5574">
        <v>-1.054226365263</v>
      </c>
      <c r="AE5574">
        <v>-15.189564000000001</v>
      </c>
      <c r="AF5574">
        <v>6.8018683746942399</v>
      </c>
      <c r="AG5574">
        <v>-1.054226365263</v>
      </c>
      <c r="AH5574">
        <v>13.5275192990724</v>
      </c>
      <c r="AI5574">
        <v>93.9828395600329</v>
      </c>
      <c r="AJ5574">
        <v>63.305966844295099</v>
      </c>
      <c r="AK5574">
        <v>15.1779637963285</v>
      </c>
      <c r="AL5574">
        <v>88.359945124657301</v>
      </c>
      <c r="AM5574">
        <v>76.784441045227496</v>
      </c>
      <c r="AN5574">
        <v>1.00000004418618</v>
      </c>
    </row>
    <row r="5575" spans="1:40" x14ac:dyDescent="0.3">
      <c r="A5575" t="str">
        <f>"20200111160612425"</f>
        <v>20200111160612425</v>
      </c>
      <c r="B5575" t="str">
        <f>"1578729972417914"</f>
        <v>1578729972417914</v>
      </c>
      <c r="C5575" t="s">
        <v>40</v>
      </c>
      <c r="D5575">
        <v>5.1037309999999998</v>
      </c>
      <c r="E5575">
        <v>0.59151730000000002</v>
      </c>
      <c r="F5575" t="s">
        <v>41</v>
      </c>
      <c r="G5575">
        <v>-305.3229</v>
      </c>
      <c r="H5575" s="1">
        <v>-2.2526560000000001E-6</v>
      </c>
      <c r="I5575">
        <v>-7.6933649999999902</v>
      </c>
      <c r="J5575">
        <v>-306.08749999999998</v>
      </c>
      <c r="K5575">
        <v>1.054268</v>
      </c>
      <c r="L5575">
        <v>7.5639649999999996</v>
      </c>
      <c r="M5575">
        <v>0.48879420000000001</v>
      </c>
      <c r="N5575">
        <v>0</v>
      </c>
      <c r="O5575">
        <v>-0.87225799999999998</v>
      </c>
      <c r="P5575">
        <v>0.28051039999999999</v>
      </c>
      <c r="Q5575">
        <v>1.8078759999999999E-2</v>
      </c>
      <c r="R5575">
        <v>-0.95968109999999995</v>
      </c>
      <c r="S5575">
        <v>0.1700439</v>
      </c>
      <c r="T5575">
        <v>-0.2107919</v>
      </c>
      <c r="U5575">
        <v>-3.08609</v>
      </c>
      <c r="V5575">
        <v>0.2249478</v>
      </c>
      <c r="W5575">
        <v>2.9720050000000001E-2</v>
      </c>
      <c r="X5575">
        <v>0.97391740000000004</v>
      </c>
      <c r="Y5575">
        <v>0.4401408</v>
      </c>
      <c r="Z5575">
        <v>5.1653810000000001E-2</v>
      </c>
      <c r="AA5575">
        <v>0.89644179999999996</v>
      </c>
      <c r="AB5575">
        <v>20</v>
      </c>
      <c r="AC5575">
        <v>0.76459999999997297</v>
      </c>
      <c r="AD5575">
        <v>-1.0542702526559999</v>
      </c>
      <c r="AE5575">
        <v>-15.25733</v>
      </c>
      <c r="AF5575">
        <v>6.7594087273653702</v>
      </c>
      <c r="AG5575">
        <v>-1.0542702526559999</v>
      </c>
      <c r="AH5575">
        <v>13.618881559695099</v>
      </c>
      <c r="AI5575">
        <v>93.966617285155195</v>
      </c>
      <c r="AJ5575">
        <v>63.603587389839198</v>
      </c>
      <c r="AK5575">
        <v>15.240571742760199</v>
      </c>
      <c r="AL5575">
        <v>88.296915699730604</v>
      </c>
      <c r="AM5575">
        <v>76.994344901385105</v>
      </c>
      <c r="AN5575">
        <v>0.99999994805979997</v>
      </c>
    </row>
    <row r="5576" spans="1:40" x14ac:dyDescent="0.3">
      <c r="A5576" t="str">
        <f>"20200111160612448"</f>
        <v>20200111160612448</v>
      </c>
      <c r="B5576" t="str">
        <f>"1578729972437434"</f>
        <v>1578729972437434</v>
      </c>
      <c r="C5576" t="s">
        <v>40</v>
      </c>
      <c r="D5576">
        <v>5.2124790000000001</v>
      </c>
      <c r="E5576">
        <v>0.59096709999999997</v>
      </c>
      <c r="F5576" t="s">
        <v>41</v>
      </c>
      <c r="G5576">
        <v>-305.30610000000001</v>
      </c>
      <c r="H5576" s="1">
        <v>-2.085625E-6</v>
      </c>
      <c r="I5576">
        <v>-8.0372389999999996</v>
      </c>
      <c r="J5576">
        <v>-306.00240000000002</v>
      </c>
      <c r="K5576">
        <v>1.054319</v>
      </c>
      <c r="L5576">
        <v>7.383057</v>
      </c>
      <c r="M5576">
        <v>0.47829899999999997</v>
      </c>
      <c r="N5576">
        <v>0</v>
      </c>
      <c r="O5576">
        <v>-0.87805730000000004</v>
      </c>
      <c r="P5576">
        <v>0.271922099999999</v>
      </c>
      <c r="Q5576">
        <v>1.9341690000000002E-2</v>
      </c>
      <c r="R5576">
        <v>-0.96212500000000001</v>
      </c>
      <c r="S5576">
        <v>0.1545105</v>
      </c>
      <c r="T5576">
        <v>-0.20845959999999999</v>
      </c>
      <c r="U5576">
        <v>-3.0848080000000002</v>
      </c>
      <c r="V5576">
        <v>0.22197629999999999</v>
      </c>
      <c r="W5576">
        <v>3.105076E-2</v>
      </c>
      <c r="X5576">
        <v>0.97455749999999997</v>
      </c>
      <c r="Y5576">
        <v>0.43384709999999899</v>
      </c>
      <c r="Z5576">
        <v>5.1791909999999997E-2</v>
      </c>
      <c r="AA5576">
        <v>0.89949669999999904</v>
      </c>
      <c r="AB5576">
        <v>20</v>
      </c>
      <c r="AC5576">
        <v>0.69630000000000702</v>
      </c>
      <c r="AD5576">
        <v>-1.054321085625</v>
      </c>
      <c r="AE5576">
        <v>-15.420295999999899</v>
      </c>
      <c r="AF5576">
        <v>6.7335374235030301</v>
      </c>
      <c r="AG5576">
        <v>-1.054321085625</v>
      </c>
      <c r="AH5576">
        <v>13.8102176548841</v>
      </c>
      <c r="AI5576">
        <v>93.925559839985198</v>
      </c>
      <c r="AJ5576">
        <v>64.007225601868896</v>
      </c>
      <c r="AK5576">
        <v>15.400462033997</v>
      </c>
      <c r="AL5576">
        <v>88.220636448338496</v>
      </c>
      <c r="AM5576">
        <v>77.168569815737001</v>
      </c>
      <c r="AN5576">
        <v>0.99999997413225805</v>
      </c>
    </row>
    <row r="5577" spans="1:40" x14ac:dyDescent="0.3">
      <c r="A5577" t="str">
        <f>"20200111160612470"</f>
        <v>20200111160612470</v>
      </c>
      <c r="B5577" t="str">
        <f>"1578729972467690"</f>
        <v>1578729972467690</v>
      </c>
      <c r="C5577" t="s">
        <v>40</v>
      </c>
      <c r="D5577">
        <v>5.2383280000000001</v>
      </c>
      <c r="E5577">
        <v>0.54350859999999901</v>
      </c>
      <c r="F5577" t="s">
        <v>41</v>
      </c>
      <c r="G5577">
        <v>-305.33249999999998</v>
      </c>
      <c r="H5577" s="1">
        <v>-1.9169740000000002E-6</v>
      </c>
      <c r="I5577">
        <v>-8.4088779999999996</v>
      </c>
      <c r="J5577">
        <v>-305.91719999999998</v>
      </c>
      <c r="K5577">
        <v>1.054365</v>
      </c>
      <c r="L5577">
        <v>7.1960449999999998</v>
      </c>
      <c r="M5577">
        <v>0.46744970000000002</v>
      </c>
      <c r="N5577">
        <v>0</v>
      </c>
      <c r="O5577">
        <v>-0.88388099999999903</v>
      </c>
      <c r="P5577">
        <v>0.26334980000000002</v>
      </c>
      <c r="Q5577">
        <v>1.95672E-2</v>
      </c>
      <c r="R5577">
        <v>-0.96450210000000003</v>
      </c>
      <c r="S5577">
        <v>0.130889899999999</v>
      </c>
      <c r="T5577">
        <v>-0.20598030000000001</v>
      </c>
      <c r="U5577">
        <v>-3.0852360000000001</v>
      </c>
      <c r="V5577">
        <v>0.2186428</v>
      </c>
      <c r="W5577">
        <v>3.1350540000000003E-2</v>
      </c>
      <c r="X5577">
        <v>0.97530119999999998</v>
      </c>
      <c r="Y5577">
        <v>0.42962810000000001</v>
      </c>
      <c r="Z5577">
        <v>5.1817960000000003E-2</v>
      </c>
      <c r="AA5577">
        <v>0.90151789999999998</v>
      </c>
      <c r="AB5577">
        <v>20</v>
      </c>
      <c r="AC5577">
        <v>0.584699999999997</v>
      </c>
      <c r="AD5577">
        <v>-1.054366916974</v>
      </c>
      <c r="AE5577">
        <v>-15.604922999999999</v>
      </c>
      <c r="AF5577">
        <v>6.7477804907935699</v>
      </c>
      <c r="AG5577">
        <v>-1.054366916974</v>
      </c>
      <c r="AH5577">
        <v>14.0040953730811</v>
      </c>
      <c r="AI5577">
        <v>93.880242175996401</v>
      </c>
      <c r="AJ5577">
        <v>64.273216158442594</v>
      </c>
      <c r="AK5577">
        <v>15.580722652235799</v>
      </c>
      <c r="AL5577">
        <v>88.203451964131901</v>
      </c>
      <c r="AM5577">
        <v>77.364355485225701</v>
      </c>
      <c r="AN5577">
        <v>0.99999998053578498</v>
      </c>
    </row>
    <row r="5578" spans="1:40" x14ac:dyDescent="0.3">
      <c r="A5578" t="str">
        <f>"20200111160612494"</f>
        <v>20200111160612494</v>
      </c>
      <c r="B5578" t="str">
        <f>"1578729972488186"</f>
        <v>1578729972488186</v>
      </c>
      <c r="C5578" t="s">
        <v>40</v>
      </c>
      <c r="D5578">
        <v>5.2497189999999998</v>
      </c>
      <c r="E5578">
        <v>0.53651389999999999</v>
      </c>
      <c r="F5578" t="s">
        <v>41</v>
      </c>
      <c r="G5578">
        <v>-304.0324</v>
      </c>
      <c r="H5578" s="1">
        <v>-3.312413E-6</v>
      </c>
      <c r="I5578">
        <v>-4.7251059999999896</v>
      </c>
      <c r="J5578">
        <v>-305.83280000000002</v>
      </c>
      <c r="K5578">
        <v>1.0544129999999901</v>
      </c>
      <c r="L5578">
        <v>7.0046080000000002</v>
      </c>
      <c r="M5578">
        <v>0.4563508</v>
      </c>
      <c r="N5578">
        <v>0</v>
      </c>
      <c r="O5578">
        <v>-0.88966239999999996</v>
      </c>
      <c r="P5578">
        <v>0.25487919999999997</v>
      </c>
      <c r="Q5578">
        <v>1.9413449999999999E-2</v>
      </c>
      <c r="R5578">
        <v>-0.96677800000000003</v>
      </c>
      <c r="S5578">
        <v>0.47222900000000001</v>
      </c>
      <c r="T5578">
        <v>-0.26417220000000002</v>
      </c>
      <c r="U5578">
        <v>-2.986847</v>
      </c>
      <c r="V5578">
        <v>0.21498419999999999</v>
      </c>
      <c r="W5578">
        <v>3.1276669999999999E-2</v>
      </c>
      <c r="X5578">
        <v>0.9761166</v>
      </c>
      <c r="Y5578">
        <v>0.31225459999999999</v>
      </c>
      <c r="Z5578">
        <v>7.1096000000000006E-2</v>
      </c>
      <c r="AA5578">
        <v>0.94733440000000002</v>
      </c>
      <c r="AB5578">
        <v>20</v>
      </c>
      <c r="AC5578">
        <v>1.80040000000002</v>
      </c>
      <c r="AD5578">
        <v>-1.0544163124129899</v>
      </c>
      <c r="AE5578">
        <v>-11.729714</v>
      </c>
      <c r="AF5578">
        <v>3.72218971078378</v>
      </c>
      <c r="AG5578">
        <v>-1.0544163124129899</v>
      </c>
      <c r="AH5578">
        <v>11.170291147972399</v>
      </c>
      <c r="AI5578">
        <v>95.117395713121297</v>
      </c>
      <c r="AJ5578">
        <v>71.570778768836206</v>
      </c>
      <c r="AK5578">
        <v>11.8212475793978</v>
      </c>
      <c r="AL5578">
        <v>88.207686562544197</v>
      </c>
      <c r="AM5578">
        <v>77.579226364047997</v>
      </c>
      <c r="AN5578">
        <v>1.0000000265657401</v>
      </c>
    </row>
    <row r="5579" spans="1:40" x14ac:dyDescent="0.3">
      <c r="A5579" t="str">
        <f>"20200111160612515"</f>
        <v>20200111160612515</v>
      </c>
      <c r="B5579" t="str">
        <f>"1578729972507706"</f>
        <v>1578729972507706</v>
      </c>
      <c r="C5579" t="s">
        <v>40</v>
      </c>
      <c r="D5579">
        <v>5.2265439999999996</v>
      </c>
      <c r="E5579">
        <v>0.53235829999999995</v>
      </c>
      <c r="F5579" t="s">
        <v>41</v>
      </c>
      <c r="G5579">
        <v>-303.86450000000002</v>
      </c>
      <c r="H5579" s="1">
        <v>-3.2682159999999999E-6</v>
      </c>
      <c r="I5579">
        <v>-4.7240520000000004</v>
      </c>
      <c r="J5579">
        <v>-305.7552</v>
      </c>
      <c r="K5579">
        <v>1.0544560000000001</v>
      </c>
      <c r="L5579">
        <v>6.8226929999999903</v>
      </c>
      <c r="M5579">
        <v>0.44581009999999999</v>
      </c>
      <c r="N5579">
        <v>0</v>
      </c>
      <c r="O5579">
        <v>-0.89499119999999999</v>
      </c>
      <c r="P5579">
        <v>0.2474046</v>
      </c>
      <c r="Q5579">
        <v>1.9466939999999999E-2</v>
      </c>
      <c r="R5579">
        <v>-0.96871669999999999</v>
      </c>
      <c r="S5579">
        <v>0.49957279999999998</v>
      </c>
      <c r="T5579">
        <v>-0.26761200000000002</v>
      </c>
      <c r="U5579">
        <v>-2.9767459999999999</v>
      </c>
      <c r="V5579">
        <v>0.2109869</v>
      </c>
      <c r="W5579">
        <v>3.1414409999999997E-2</v>
      </c>
      <c r="X5579">
        <v>0.97698399999999996</v>
      </c>
      <c r="Y5579">
        <v>0.29202139999999999</v>
      </c>
      <c r="Z5579">
        <v>7.3194220000000004E-2</v>
      </c>
      <c r="AA5579">
        <v>0.95360690000000004</v>
      </c>
      <c r="AB5579">
        <v>20</v>
      </c>
      <c r="AC5579">
        <v>1.8906999999999801</v>
      </c>
      <c r="AD5579">
        <v>-1.0544592682159999</v>
      </c>
      <c r="AE5579">
        <v>-11.5467449999999</v>
      </c>
      <c r="AF5579">
        <v>3.4280755410199002</v>
      </c>
      <c r="AG5579">
        <v>-1.0544592682159999</v>
      </c>
      <c r="AH5579">
        <v>11.088435276935099</v>
      </c>
      <c r="AI5579">
        <v>95.191223850616694</v>
      </c>
      <c r="AJ5579">
        <v>72.820601476040295</v>
      </c>
      <c r="AK5579">
        <v>11.6540543655007</v>
      </c>
      <c r="AL5579">
        <v>88.199790780377896</v>
      </c>
      <c r="AM5579">
        <v>77.8137001888161</v>
      </c>
      <c r="AN5579">
        <v>1.00000003669162</v>
      </c>
    </row>
    <row r="5580" spans="1:40" x14ac:dyDescent="0.3">
      <c r="A5580" t="str">
        <f>"20200111160612536"</f>
        <v>20200111160612536</v>
      </c>
      <c r="B5580" t="str">
        <f>"1578729972527226"</f>
        <v>1578729972527226</v>
      </c>
      <c r="C5580" t="s">
        <v>40</v>
      </c>
      <c r="D5580">
        <v>5.2078579999999999</v>
      </c>
      <c r="E5580">
        <v>0.53006709999999901</v>
      </c>
      <c r="F5580" t="s">
        <v>41</v>
      </c>
      <c r="G5580">
        <v>-303.77080000000001</v>
      </c>
      <c r="H5580" s="1">
        <v>-3.22038E-6</v>
      </c>
      <c r="I5580">
        <v>-4.7725580000000001</v>
      </c>
      <c r="J5580">
        <v>-305.67970000000003</v>
      </c>
      <c r="K5580">
        <v>1.0545009999999999</v>
      </c>
      <c r="L5580">
        <v>6.6401669999999999</v>
      </c>
      <c r="M5580">
        <v>0.4352472</v>
      </c>
      <c r="N5580">
        <v>0</v>
      </c>
      <c r="O5580">
        <v>-0.90017579999999997</v>
      </c>
      <c r="P5580">
        <v>0.23987829999999999</v>
      </c>
      <c r="Q5580">
        <v>1.9391889999999998E-2</v>
      </c>
      <c r="R5580">
        <v>-0.97060919999999895</v>
      </c>
      <c r="S5580">
        <v>0.50866699999999998</v>
      </c>
      <c r="T5580">
        <v>-0.27030520000000002</v>
      </c>
      <c r="U5580">
        <v>-2.9723820000000001</v>
      </c>
      <c r="V5580">
        <v>0.20706579999999999</v>
      </c>
      <c r="W5580">
        <v>3.1422510000000001E-2</v>
      </c>
      <c r="X5580">
        <v>0.97782219999999997</v>
      </c>
      <c r="Y5580">
        <v>0.27769290000000002</v>
      </c>
      <c r="Z5580">
        <v>7.4892739999999999E-2</v>
      </c>
      <c r="AA5580">
        <v>0.95774610000000004</v>
      </c>
      <c r="AB5580">
        <v>20</v>
      </c>
      <c r="AC5580">
        <v>1.90890000000001</v>
      </c>
      <c r="AD5580">
        <v>-1.0545042203799999</v>
      </c>
      <c r="AE5580">
        <v>-11.412725</v>
      </c>
      <c r="AF5580">
        <v>3.2226427427247599</v>
      </c>
      <c r="AG5580">
        <v>-1.0545042203799999</v>
      </c>
      <c r="AH5580">
        <v>11.014182113048699</v>
      </c>
      <c r="AI5580">
        <v>95.250058064807206</v>
      </c>
      <c r="AJ5580">
        <v>73.691036575969306</v>
      </c>
      <c r="AK5580">
        <v>11.5243053160457</v>
      </c>
      <c r="AL5580">
        <v>88.199326276210599</v>
      </c>
      <c r="AM5580">
        <v>78.043552065299707</v>
      </c>
      <c r="AN5580">
        <v>0.99999993723858804</v>
      </c>
    </row>
    <row r="5581" spans="1:40" x14ac:dyDescent="0.3">
      <c r="A5581" t="str">
        <f>"20200111160612560"</f>
        <v>20200111160612560</v>
      </c>
      <c r="B5581" t="str">
        <f>"1578729972547722"</f>
        <v>1578729972547722</v>
      </c>
      <c r="C5581" t="s">
        <v>40</v>
      </c>
      <c r="D5581">
        <v>5.2257199999999999</v>
      </c>
      <c r="E5581">
        <v>0.5277731</v>
      </c>
      <c r="F5581" t="s">
        <v>41</v>
      </c>
      <c r="G5581">
        <v>-303.71429999999998</v>
      </c>
      <c r="H5581" s="1">
        <v>-3.107205E-6</v>
      </c>
      <c r="I5581">
        <v>-4.9801320000000002</v>
      </c>
      <c r="J5581">
        <v>-305.60399999999998</v>
      </c>
      <c r="K5581">
        <v>1.0545500000000001</v>
      </c>
      <c r="L5581">
        <v>6.4505919999999897</v>
      </c>
      <c r="M5581">
        <v>0.42429210000000001</v>
      </c>
      <c r="N5581">
        <v>0</v>
      </c>
      <c r="O5581">
        <v>-0.90539119999999995</v>
      </c>
      <c r="P5581">
        <v>0.23201179999999999</v>
      </c>
      <c r="Q5581">
        <v>1.941507E-2</v>
      </c>
      <c r="R5581">
        <v>-0.97251949999999998</v>
      </c>
      <c r="S5581">
        <v>0.50268550000000001</v>
      </c>
      <c r="T5581">
        <v>-0.26969779999999999</v>
      </c>
      <c r="U5581">
        <v>-2.9719850000000001</v>
      </c>
      <c r="V5581">
        <v>0.2031106</v>
      </c>
      <c r="W5581">
        <v>3.1528790000000001E-2</v>
      </c>
      <c r="X5581">
        <v>0.97864810000000002</v>
      </c>
      <c r="Y5581">
        <v>0.26788139999999999</v>
      </c>
      <c r="Z5581">
        <v>7.5558829999999993E-2</v>
      </c>
      <c r="AA5581">
        <v>0.96048440000000002</v>
      </c>
      <c r="AB5581">
        <v>20</v>
      </c>
      <c r="AC5581">
        <v>1.8897000000000601</v>
      </c>
      <c r="AD5581">
        <v>-1.0545531072050001</v>
      </c>
      <c r="AE5581">
        <v>-11.430724</v>
      </c>
      <c r="AF5581">
        <v>3.1136339022200499</v>
      </c>
      <c r="AG5581">
        <v>-1.0545531072050001</v>
      </c>
      <c r="AH5581">
        <v>11.0607809151018</v>
      </c>
      <c r="AI5581">
        <v>95.243613994453398</v>
      </c>
      <c r="AJ5581">
        <v>74.277973529829396</v>
      </c>
      <c r="AK5581">
        <v>11.538963245666899</v>
      </c>
      <c r="AL5581">
        <v>88.193234051103502</v>
      </c>
      <c r="AM5581">
        <v>78.275171061277007</v>
      </c>
      <c r="AN5581">
        <v>1.00000004203241</v>
      </c>
    </row>
    <row r="5582" spans="1:40" x14ac:dyDescent="0.3">
      <c r="A5582" t="str">
        <f>"20200111160612583"</f>
        <v>20200111160612583</v>
      </c>
      <c r="B5582" t="str">
        <f>"1578729972577978"</f>
        <v>1578729972577978</v>
      </c>
      <c r="C5582" t="s">
        <v>40</v>
      </c>
      <c r="D5582">
        <v>5.2493600000000002</v>
      </c>
      <c r="E5582">
        <v>0.52520540000000004</v>
      </c>
      <c r="F5582" t="s">
        <v>41</v>
      </c>
      <c r="G5582">
        <v>-303.64530000000002</v>
      </c>
      <c r="H5582" s="1">
        <v>-2.9487039999999999E-6</v>
      </c>
      <c r="I5582">
        <v>-5.2766080000000004</v>
      </c>
      <c r="J5582">
        <v>-305.52820000000003</v>
      </c>
      <c r="K5582">
        <v>1.0546040000000001</v>
      </c>
      <c r="L5582">
        <v>6.2539369999999996</v>
      </c>
      <c r="M5582">
        <v>0.41294389999999997</v>
      </c>
      <c r="N5582">
        <v>0</v>
      </c>
      <c r="O5582">
        <v>-0.91062310000000002</v>
      </c>
      <c r="P5582">
        <v>0.22444420000000001</v>
      </c>
      <c r="Q5582">
        <v>1.875023E-2</v>
      </c>
      <c r="R5582">
        <v>-0.97430629999999996</v>
      </c>
      <c r="S5582">
        <v>0.4963379</v>
      </c>
      <c r="T5582">
        <v>-0.26722430000000003</v>
      </c>
      <c r="U5582">
        <v>-2.9716800000000001</v>
      </c>
      <c r="V5582">
        <v>0.19847529999999999</v>
      </c>
      <c r="W5582">
        <v>3.0959259999999999E-2</v>
      </c>
      <c r="X5582">
        <v>0.97961679999999995</v>
      </c>
      <c r="Y5582">
        <v>0.25780619999999999</v>
      </c>
      <c r="Z5582">
        <v>7.5696390000000002E-2</v>
      </c>
      <c r="AA5582">
        <v>0.9632269</v>
      </c>
      <c r="AB5582">
        <v>20</v>
      </c>
      <c r="AC5582">
        <v>1.8829</v>
      </c>
      <c r="AD5582">
        <v>-1.054606948704</v>
      </c>
      <c r="AE5582">
        <v>-11.530545</v>
      </c>
      <c r="AF5582">
        <v>3.0225978917060798</v>
      </c>
      <c r="AG5582">
        <v>-1.054606948704</v>
      </c>
      <c r="AH5582">
        <v>11.187724745838301</v>
      </c>
      <c r="AI5582">
        <v>95.199703891924202</v>
      </c>
      <c r="AJ5582">
        <v>74.881297656147197</v>
      </c>
      <c r="AK5582">
        <v>11.636729730463101</v>
      </c>
      <c r="AL5582">
        <v>88.225881575751103</v>
      </c>
      <c r="AM5582">
        <v>78.5466226276925</v>
      </c>
      <c r="AN5582">
        <v>0.99999999766603798</v>
      </c>
    </row>
    <row r="5583" spans="1:40" x14ac:dyDescent="0.3">
      <c r="A5583" t="str">
        <f>"20200111160612605"</f>
        <v>20200111160612605</v>
      </c>
      <c r="B5583" t="str">
        <f>"1578729972597498"</f>
        <v>1578729972597498</v>
      </c>
      <c r="C5583" t="s">
        <v>40</v>
      </c>
      <c r="D5583">
        <v>5.2142589999999904</v>
      </c>
      <c r="E5583">
        <v>0.52384449999999905</v>
      </c>
      <c r="F5583" t="s">
        <v>41</v>
      </c>
      <c r="G5583">
        <v>-303.57499999999999</v>
      </c>
      <c r="H5583" s="1">
        <v>-2.809235E-6</v>
      </c>
      <c r="I5583">
        <v>-5.5321099999999896</v>
      </c>
      <c r="J5583">
        <v>-305.46080000000001</v>
      </c>
      <c r="K5583">
        <v>1.0546580000000001</v>
      </c>
      <c r="L5583">
        <v>6.0727229999999999</v>
      </c>
      <c r="M5583">
        <v>0.40251310000000001</v>
      </c>
      <c r="N5583">
        <v>0</v>
      </c>
      <c r="O5583">
        <v>-0.91528209999999999</v>
      </c>
      <c r="P5583">
        <v>0.21888650000000001</v>
      </c>
      <c r="Q5583">
        <v>1.8178659999999999E-2</v>
      </c>
      <c r="R5583">
        <v>-0.97558109999999998</v>
      </c>
      <c r="S5583">
        <v>0.49230960000000001</v>
      </c>
      <c r="T5583">
        <v>-0.26582719999999999</v>
      </c>
      <c r="U5583">
        <v>-2.970825</v>
      </c>
      <c r="V5583">
        <v>0.192854</v>
      </c>
      <c r="W5583">
        <v>3.049932E-2</v>
      </c>
      <c r="X5583">
        <v>0.9807534</v>
      </c>
      <c r="Y5583">
        <v>0.2479837</v>
      </c>
      <c r="Z5583">
        <v>7.6052759999999997E-2</v>
      </c>
      <c r="AA5583">
        <v>0.96577440000000003</v>
      </c>
      <c r="AB5583">
        <v>20</v>
      </c>
      <c r="AC5583">
        <v>1.8858000000000099</v>
      </c>
      <c r="AD5583">
        <v>-1.0546608092350001</v>
      </c>
      <c r="AE5583">
        <v>-11.604832999999999</v>
      </c>
      <c r="AF5583">
        <v>2.9219023213714599</v>
      </c>
      <c r="AG5583">
        <v>-1.0546608092350001</v>
      </c>
      <c r="AH5583">
        <v>11.291272083393</v>
      </c>
      <c r="AI5583">
        <v>95.166994437738396</v>
      </c>
      <c r="AJ5583">
        <v>75.491530375988305</v>
      </c>
      <c r="AK5583">
        <v>11.710791939889599</v>
      </c>
      <c r="AL5583">
        <v>88.252246744200093</v>
      </c>
      <c r="AM5583">
        <v>78.875371859803593</v>
      </c>
      <c r="AN5583">
        <v>1.0000000527240001</v>
      </c>
    </row>
    <row r="5584" spans="1:40" x14ac:dyDescent="0.3">
      <c r="A5584" t="str">
        <f>"20200111160612626"</f>
        <v>20200111160612626</v>
      </c>
      <c r="B5584" t="str">
        <f>"1578729972617994"</f>
        <v>1578729972617994</v>
      </c>
      <c r="C5584" t="s">
        <v>40</v>
      </c>
      <c r="D5584">
        <v>5.2398009999999999</v>
      </c>
      <c r="E5584">
        <v>0.5226073</v>
      </c>
      <c r="F5584" t="s">
        <v>41</v>
      </c>
      <c r="G5584">
        <v>-303.52949999999998</v>
      </c>
      <c r="H5584" s="1">
        <v>-2.6974089999999998E-6</v>
      </c>
      <c r="I5584">
        <v>-5.7430430000000001</v>
      </c>
      <c r="J5584">
        <v>-305.39420000000001</v>
      </c>
      <c r="K5584">
        <v>1.0547260000000001</v>
      </c>
      <c r="L5584">
        <v>5.8865970000000001</v>
      </c>
      <c r="M5584">
        <v>0.39183259999999998</v>
      </c>
      <c r="N5584">
        <v>0</v>
      </c>
      <c r="O5584">
        <v>-0.91990519999999998</v>
      </c>
      <c r="P5584">
        <v>0.21345629999999999</v>
      </c>
      <c r="Q5584">
        <v>1.955144E-2</v>
      </c>
      <c r="R5584">
        <v>-0.97675690000000004</v>
      </c>
      <c r="S5584">
        <v>0.48562620000000001</v>
      </c>
      <c r="T5584">
        <v>-0.26519399999999999</v>
      </c>
      <c r="U5584">
        <v>-2.971069</v>
      </c>
      <c r="V5584">
        <v>0.18689500000000001</v>
      </c>
      <c r="W5584">
        <v>3.1988719999999998E-2</v>
      </c>
      <c r="X5584">
        <v>0.98185900000000004</v>
      </c>
      <c r="Y5584">
        <v>0.2388306</v>
      </c>
      <c r="Z5584">
        <v>7.6581759999999999E-2</v>
      </c>
      <c r="AA5584">
        <v>0.96803680000000003</v>
      </c>
      <c r="AB5584">
        <v>20</v>
      </c>
      <c r="AC5584">
        <v>1.86470000000002</v>
      </c>
      <c r="AD5584">
        <v>-1.054728697409</v>
      </c>
      <c r="AE5584">
        <v>-11.62964</v>
      </c>
      <c r="AF5584">
        <v>2.8192603342787699</v>
      </c>
      <c r="AG5584">
        <v>-1.054728697409</v>
      </c>
      <c r="AH5584">
        <v>11.339267074449699</v>
      </c>
      <c r="AI5584">
        <v>95.157964663275493</v>
      </c>
      <c r="AJ5584">
        <v>76.037761136512202</v>
      </c>
      <c r="AK5584">
        <v>11.7319929783168</v>
      </c>
      <c r="AL5584">
        <v>88.1668687329324</v>
      </c>
      <c r="AM5584">
        <v>79.222784121072195</v>
      </c>
      <c r="AN5584">
        <v>1.0000000575566099</v>
      </c>
    </row>
    <row r="5585" spans="1:40" x14ac:dyDescent="0.3">
      <c r="A5585" t="str">
        <f>"20200111160612650"</f>
        <v>20200111160612650</v>
      </c>
      <c r="B5585" t="str">
        <f>"1578729972647274"</f>
        <v>1578729972647274</v>
      </c>
      <c r="C5585" t="s">
        <v>40</v>
      </c>
      <c r="D5585">
        <v>5.1811239999999996</v>
      </c>
      <c r="E5585">
        <v>0.52084819999999998</v>
      </c>
      <c r="F5585" t="s">
        <v>41</v>
      </c>
      <c r="G5585">
        <v>-303.45069999999998</v>
      </c>
      <c r="H5585" s="1">
        <v>-2.4682739999999999E-6</v>
      </c>
      <c r="I5585">
        <v>-6.1833939999999998</v>
      </c>
      <c r="J5585">
        <v>-305.32690000000002</v>
      </c>
      <c r="K5585">
        <v>1.0547930000000001</v>
      </c>
      <c r="L5585">
        <v>5.6918329999999999</v>
      </c>
      <c r="M5585">
        <v>0.38068970000000002</v>
      </c>
      <c r="N5585">
        <v>0</v>
      </c>
      <c r="O5585">
        <v>-0.92457259999999997</v>
      </c>
      <c r="P5585">
        <v>0.20469580000000001</v>
      </c>
      <c r="Q5585">
        <v>2.177252E-2</v>
      </c>
      <c r="R5585">
        <v>-0.97858350000000005</v>
      </c>
      <c r="S5585">
        <v>0.47854609999999898</v>
      </c>
      <c r="T5585">
        <v>-0.25970490000000002</v>
      </c>
      <c r="U5585">
        <v>-2.9719850000000001</v>
      </c>
      <c r="V5585">
        <v>0.18383830000000001</v>
      </c>
      <c r="W5585">
        <v>3.4271509999999998E-2</v>
      </c>
      <c r="X5585">
        <v>0.98235890000000003</v>
      </c>
      <c r="Y5585">
        <v>0.22936880000000001</v>
      </c>
      <c r="Z5585">
        <v>7.5691480000000005E-2</v>
      </c>
      <c r="AA5585">
        <v>0.97039200000000003</v>
      </c>
      <c r="AB5585">
        <v>20</v>
      </c>
      <c r="AC5585">
        <v>1.8762000000000401</v>
      </c>
      <c r="AD5585">
        <v>-1.0547954682739999</v>
      </c>
      <c r="AE5585">
        <v>-11.875227000000001</v>
      </c>
      <c r="AF5585">
        <v>2.7651446095977801</v>
      </c>
      <c r="AG5585">
        <v>-1.0547954682739999</v>
      </c>
      <c r="AH5585">
        <v>11.605833110404999</v>
      </c>
      <c r="AI5585">
        <v>95.052398174058794</v>
      </c>
      <c r="AJ5585">
        <v>76.598854706228593</v>
      </c>
      <c r="AK5585">
        <v>11.977227574795901</v>
      </c>
      <c r="AL5585">
        <v>88.036002591221106</v>
      </c>
      <c r="AM5585">
        <v>79.400291396670099</v>
      </c>
      <c r="AN5585">
        <v>1.0000000326768801</v>
      </c>
    </row>
    <row r="5586" spans="1:40" x14ac:dyDescent="0.3">
      <c r="A5586" t="str">
        <f>"20200111160612672"</f>
        <v>20200111160612672</v>
      </c>
      <c r="B5586" t="str">
        <f>"1578729972667770"</f>
        <v>1578729972667770</v>
      </c>
      <c r="C5586" t="s">
        <v>40</v>
      </c>
      <c r="D5586">
        <v>5.188593</v>
      </c>
      <c r="E5586">
        <v>0.51987919999999999</v>
      </c>
      <c r="F5586" t="s">
        <v>41</v>
      </c>
      <c r="G5586">
        <v>-303.33999999999997</v>
      </c>
      <c r="H5586" s="1">
        <v>-2.0620700000000001E-6</v>
      </c>
      <c r="I5586">
        <v>-6.9804190000000004</v>
      </c>
      <c r="J5586">
        <v>-305.26600000000002</v>
      </c>
      <c r="K5586">
        <v>1.054864</v>
      </c>
      <c r="L5586">
        <v>5.508667</v>
      </c>
      <c r="M5586">
        <v>0.3702493</v>
      </c>
      <c r="N5586">
        <v>0</v>
      </c>
      <c r="O5586">
        <v>-0.92880309999999999</v>
      </c>
      <c r="P5586">
        <v>0.19852719999999999</v>
      </c>
      <c r="Q5586">
        <v>2.4769309999999999E-2</v>
      </c>
      <c r="R5586">
        <v>-0.97978240000000005</v>
      </c>
      <c r="S5586">
        <v>0.46624759999999998</v>
      </c>
      <c r="T5586">
        <v>-0.24751500000000001</v>
      </c>
      <c r="U5586">
        <v>-2.973633</v>
      </c>
      <c r="V5586">
        <v>0.17896819999999999</v>
      </c>
      <c r="W5586">
        <v>3.7361329999999998E-2</v>
      </c>
      <c r="X5586">
        <v>0.98314520000000005</v>
      </c>
      <c r="Y5586">
        <v>0.22235930000000001</v>
      </c>
      <c r="Z5586">
        <v>7.272518E-2</v>
      </c>
      <c r="AA5586">
        <v>0.97224860000000002</v>
      </c>
      <c r="AB5586">
        <v>19</v>
      </c>
      <c r="AC5586">
        <v>1.92599999999998</v>
      </c>
      <c r="AD5586">
        <v>-1.0548660620700001</v>
      </c>
      <c r="AE5586">
        <v>-12.489086</v>
      </c>
      <c r="AF5586">
        <v>2.8159191078597199</v>
      </c>
      <c r="AG5586">
        <v>-1.0548660620700001</v>
      </c>
      <c r="AH5586">
        <v>12.2292643821479</v>
      </c>
      <c r="AI5586">
        <v>94.804869071895595</v>
      </c>
      <c r="AJ5586">
        <v>77.033049171405494</v>
      </c>
      <c r="AK5586">
        <v>12.5935320764029</v>
      </c>
      <c r="AL5586">
        <v>87.858855118309194</v>
      </c>
      <c r="AM5586">
        <v>79.683051837623097</v>
      </c>
      <c r="AN5586">
        <v>0.99999998493682396</v>
      </c>
    </row>
    <row r="5587" spans="1:40" x14ac:dyDescent="0.3">
      <c r="A5587" t="str">
        <f>"20200111160612695"</f>
        <v>20200111160612695</v>
      </c>
      <c r="B5587" t="str">
        <f>"1578729972687290"</f>
        <v>1578729972687290</v>
      </c>
      <c r="C5587" t="s">
        <v>40</v>
      </c>
      <c r="D5587">
        <v>5.2323329999999997</v>
      </c>
      <c r="E5587">
        <v>0.5191038</v>
      </c>
      <c r="F5587" t="s">
        <v>41</v>
      </c>
      <c r="G5587">
        <v>-303.2269</v>
      </c>
      <c r="H5587" s="1">
        <v>-1.6522940000000001E-6</v>
      </c>
      <c r="I5587">
        <v>-7.7836030000000003</v>
      </c>
      <c r="J5587">
        <v>-305.20319999999998</v>
      </c>
      <c r="K5587">
        <v>1.054934</v>
      </c>
      <c r="L5587">
        <v>5.3126220000000002</v>
      </c>
      <c r="M5587">
        <v>0.35914279999999998</v>
      </c>
      <c r="N5587">
        <v>0</v>
      </c>
      <c r="O5587">
        <v>-0.93315409999999999</v>
      </c>
      <c r="P5587">
        <v>0.19198180000000001</v>
      </c>
      <c r="Q5587">
        <v>2.605497E-2</v>
      </c>
      <c r="R5587">
        <v>-0.98105249999999999</v>
      </c>
      <c r="S5587">
        <v>0.45645140000000001</v>
      </c>
      <c r="T5587">
        <v>-0.23612359999999999</v>
      </c>
      <c r="U5587">
        <v>-2.9753720000000001</v>
      </c>
      <c r="V5587">
        <v>0.17379800000000001</v>
      </c>
      <c r="W5587">
        <v>3.874793E-2</v>
      </c>
      <c r="X5587">
        <v>0.98401870000000002</v>
      </c>
      <c r="Y5587">
        <v>0.21390039999999999</v>
      </c>
      <c r="Z5587">
        <v>6.9953760000000004E-2</v>
      </c>
      <c r="AA5587">
        <v>0.97434750000000003</v>
      </c>
      <c r="AB5587">
        <v>19</v>
      </c>
      <c r="AC5587">
        <v>1.97629999999998</v>
      </c>
      <c r="AD5587">
        <v>-1.0549356522939899</v>
      </c>
      <c r="AE5587">
        <v>-13.096225</v>
      </c>
      <c r="AF5587">
        <v>2.8415380179327099</v>
      </c>
      <c r="AG5587">
        <v>-1.0549356522939899</v>
      </c>
      <c r="AH5587">
        <v>12.850593673677899</v>
      </c>
      <c r="AI5587">
        <v>94.582811115953405</v>
      </c>
      <c r="AJ5587">
        <v>77.531324432607093</v>
      </c>
      <c r="AK5587">
        <v>13.203218747858701</v>
      </c>
      <c r="AL5587">
        <v>87.779351171609505</v>
      </c>
      <c r="AM5587">
        <v>79.983683440424997</v>
      </c>
      <c r="AN5587">
        <v>0.99999997441648703</v>
      </c>
    </row>
    <row r="5588" spans="1:40" x14ac:dyDescent="0.3">
      <c r="A5588" t="str">
        <f>"20200111160612723"</f>
        <v>20200111160612723</v>
      </c>
      <c r="B5588" t="str">
        <f>"1578729972717547"</f>
        <v>1578729972717547</v>
      </c>
      <c r="C5588" t="s">
        <v>40</v>
      </c>
      <c r="D5588">
        <v>5.1888750000000003</v>
      </c>
      <c r="E5588">
        <v>0.50226029999999999</v>
      </c>
      <c r="F5588" t="s">
        <v>41</v>
      </c>
      <c r="G5588">
        <v>-303.18549999999999</v>
      </c>
      <c r="H5588" s="1">
        <v>-1.4435079999999901E-6</v>
      </c>
      <c r="I5588">
        <v>-8.2019939999999991</v>
      </c>
      <c r="J5588">
        <v>-305.13060000000002</v>
      </c>
      <c r="K5588">
        <v>1.05504</v>
      </c>
      <c r="L5588">
        <v>5.0762019999999897</v>
      </c>
      <c r="M5588">
        <v>0.34587810000000002</v>
      </c>
      <c r="N5588">
        <v>0</v>
      </c>
      <c r="O5588">
        <v>-0.9381524</v>
      </c>
      <c r="P5588">
        <v>0.1844354</v>
      </c>
      <c r="Q5588">
        <v>2.5945739999999998E-2</v>
      </c>
      <c r="R5588">
        <v>-0.98250230000000005</v>
      </c>
      <c r="S5588">
        <v>0.44448850000000001</v>
      </c>
      <c r="T5588">
        <v>-0.23239219999999999</v>
      </c>
      <c r="U5588">
        <v>-2.9771420000000002</v>
      </c>
      <c r="V5588">
        <v>0.1673926</v>
      </c>
      <c r="W5588">
        <v>3.8766509999999997E-2</v>
      </c>
      <c r="X5588">
        <v>0.98512789999999995</v>
      </c>
      <c r="Y5588">
        <v>0.20394880000000001</v>
      </c>
      <c r="Z5588">
        <v>6.9487090000000001E-2</v>
      </c>
      <c r="AA5588">
        <v>0.97651239999999995</v>
      </c>
      <c r="AB5588">
        <v>19</v>
      </c>
      <c r="AC5588">
        <v>1.94510000000002</v>
      </c>
      <c r="AD5588">
        <v>-1.055041443508</v>
      </c>
      <c r="AE5588">
        <v>-13.278195999999999</v>
      </c>
      <c r="AF5588">
        <v>2.7511627713227198</v>
      </c>
      <c r="AG5588">
        <v>-1.055041443508</v>
      </c>
      <c r="AH5588">
        <v>13.050641834946999</v>
      </c>
      <c r="AI5588">
        <v>94.522881855932994</v>
      </c>
      <c r="AJ5588">
        <v>78.095959655242595</v>
      </c>
      <c r="AK5588">
        <v>13.3791352988861</v>
      </c>
      <c r="AL5588">
        <v>87.778285988217505</v>
      </c>
      <c r="AM5588">
        <v>80.3564284690016</v>
      </c>
      <c r="AN5588">
        <v>1.00000005209537</v>
      </c>
    </row>
    <row r="5589" spans="1:40" x14ac:dyDescent="0.3">
      <c r="A5589" t="str">
        <f>"20200111160612743"</f>
        <v>20200111160612743</v>
      </c>
      <c r="B5589" t="str">
        <f>"1578729972738042"</f>
        <v>1578729972738042</v>
      </c>
      <c r="C5589" t="s">
        <v>40</v>
      </c>
      <c r="D5589">
        <v>5.1748029999999998</v>
      </c>
      <c r="E5589">
        <v>0.50347959999999903</v>
      </c>
      <c r="F5589" t="s">
        <v>41</v>
      </c>
      <c r="G5589">
        <v>-302.29450000000003</v>
      </c>
      <c r="H5589" s="1">
        <v>-3.2647650000000001E-7</v>
      </c>
      <c r="I5589">
        <v>-10.063510000000001</v>
      </c>
      <c r="J5589">
        <v>-305.0797</v>
      </c>
      <c r="K5589">
        <v>1.0551379999999999</v>
      </c>
      <c r="L5589">
        <v>4.9033509999999998</v>
      </c>
      <c r="M5589">
        <v>0.33631129999999998</v>
      </c>
      <c r="N5589">
        <v>0</v>
      </c>
      <c r="O5589">
        <v>-0.94162469999999998</v>
      </c>
      <c r="P5589">
        <v>0.1814751</v>
      </c>
      <c r="Q5589">
        <v>2.7087750000000001E-2</v>
      </c>
      <c r="R5589">
        <v>-0.98302259999999997</v>
      </c>
      <c r="S5589">
        <v>0.55355829999999995</v>
      </c>
      <c r="T5589">
        <v>-0.20592179999999999</v>
      </c>
      <c r="U5589">
        <v>-2.9549560000000001</v>
      </c>
      <c r="V5589">
        <v>0.1603203</v>
      </c>
      <c r="W5589">
        <v>4.004344E-2</v>
      </c>
      <c r="X5589">
        <v>0.98625249999999998</v>
      </c>
      <c r="Y5589">
        <v>0.15757679999999999</v>
      </c>
      <c r="Z5589">
        <v>6.2538109999999994E-2</v>
      </c>
      <c r="AA5589">
        <v>0.98552450000000003</v>
      </c>
      <c r="AB5589">
        <v>19</v>
      </c>
      <c r="AC5589">
        <v>2.7851999999999699</v>
      </c>
      <c r="AD5589">
        <v>-1.0551383264765</v>
      </c>
      <c r="AE5589">
        <v>-14.966861</v>
      </c>
      <c r="AF5589">
        <v>2.3996706699753001</v>
      </c>
      <c r="AG5589">
        <v>-1.0551383264765</v>
      </c>
      <c r="AH5589">
        <v>14.959784623321699</v>
      </c>
      <c r="AI5589">
        <v>93.983725204313103</v>
      </c>
      <c r="AJ5589">
        <v>80.886925615074801</v>
      </c>
      <c r="AK5589">
        <v>15.1877217576736</v>
      </c>
      <c r="AL5589">
        <v>87.705066379395603</v>
      </c>
      <c r="AM5589">
        <v>80.767042180297096</v>
      </c>
      <c r="AN5589">
        <v>1.0000000347176801</v>
      </c>
    </row>
    <row r="5590" spans="1:40" x14ac:dyDescent="0.3">
      <c r="A5590" t="str">
        <f>"20200111160612763"</f>
        <v>20200111160612763</v>
      </c>
      <c r="B5590" t="str">
        <f>"1578729972757563"</f>
        <v>1578729972757563</v>
      </c>
      <c r="C5590" t="s">
        <v>40</v>
      </c>
      <c r="D5590">
        <v>5.2148649999999996</v>
      </c>
      <c r="E5590">
        <v>0.50435819999999998</v>
      </c>
      <c r="F5590" t="s">
        <v>41</v>
      </c>
      <c r="G5590">
        <v>-302.35270000000003</v>
      </c>
      <c r="H5590" s="1">
        <v>-3.1789590000000001E-7</v>
      </c>
      <c r="I5590">
        <v>-10.11445</v>
      </c>
      <c r="J5590">
        <v>-305.03160000000003</v>
      </c>
      <c r="K5590">
        <v>1.055267</v>
      </c>
      <c r="L5590">
        <v>4.733765</v>
      </c>
      <c r="M5590">
        <v>0.3270634</v>
      </c>
      <c r="N5590">
        <v>0</v>
      </c>
      <c r="O5590">
        <v>-0.94487730000000003</v>
      </c>
      <c r="P5590">
        <v>0.17945169999999999</v>
      </c>
      <c r="Q5590">
        <v>3.0215180000000001E-2</v>
      </c>
      <c r="R5590">
        <v>-0.98330300000000004</v>
      </c>
      <c r="S5590">
        <v>0.53720089999999998</v>
      </c>
      <c r="T5590">
        <v>-0.20785300000000001</v>
      </c>
      <c r="U5590">
        <v>-2.9583740000000001</v>
      </c>
      <c r="V5590">
        <v>0.152672</v>
      </c>
      <c r="W5590">
        <v>4.3313600000000001E-2</v>
      </c>
      <c r="X5590">
        <v>0.98732730000000002</v>
      </c>
      <c r="Y5590">
        <v>0.15337870000000001</v>
      </c>
      <c r="Z5590">
        <v>6.3436469999999995E-2</v>
      </c>
      <c r="AA5590">
        <v>0.98612920000000004</v>
      </c>
      <c r="AB5590">
        <v>19</v>
      </c>
      <c r="AC5590">
        <v>2.6788999999999898</v>
      </c>
      <c r="AD5590">
        <v>-1.0552673178959</v>
      </c>
      <c r="AE5590">
        <v>-14.848215</v>
      </c>
      <c r="AF5590">
        <v>2.3140310990581501</v>
      </c>
      <c r="AG5590">
        <v>-1.0552673178959</v>
      </c>
      <c r="AH5590">
        <v>14.835104045070601</v>
      </c>
      <c r="AI5590">
        <v>94.020321875951396</v>
      </c>
      <c r="AJ5590">
        <v>81.1342482083964</v>
      </c>
      <c r="AK5590">
        <v>15.051532847776601</v>
      </c>
      <c r="AL5590">
        <v>87.5175369059411</v>
      </c>
      <c r="AM5590">
        <v>81.209880718236406</v>
      </c>
      <c r="AN5590">
        <v>1.0000000024271201</v>
      </c>
    </row>
    <row r="5591" spans="1:40" x14ac:dyDescent="0.3">
      <c r="A5591" t="str">
        <f>"20200111160612788"</f>
        <v>20200111160612788</v>
      </c>
      <c r="B5591" t="str">
        <f>"1578729972778059"</f>
        <v>1578729972778059</v>
      </c>
      <c r="C5591" t="s">
        <v>40</v>
      </c>
      <c r="D5591">
        <v>5.2871800000000002</v>
      </c>
      <c r="E5591">
        <v>0.50417129999999999</v>
      </c>
      <c r="F5591" t="s">
        <v>41</v>
      </c>
      <c r="G5591">
        <v>-302.42140000000001</v>
      </c>
      <c r="H5591" s="1">
        <v>-4.2349149999999998E-7</v>
      </c>
      <c r="I5591">
        <v>-9.9297000000000004</v>
      </c>
      <c r="J5591">
        <v>-304.97370000000001</v>
      </c>
      <c r="K5591">
        <v>1.0554749999999999</v>
      </c>
      <c r="L5591">
        <v>4.5223079999999998</v>
      </c>
      <c r="M5591">
        <v>0.31577739999999999</v>
      </c>
      <c r="N5591">
        <v>0</v>
      </c>
      <c r="O5591">
        <v>-0.94870949999999998</v>
      </c>
      <c r="P5591">
        <v>0.17553679999999999</v>
      </c>
      <c r="Q5591">
        <v>3.4564159999999997E-2</v>
      </c>
      <c r="R5591">
        <v>-0.98386640000000003</v>
      </c>
      <c r="S5591">
        <v>0.52713009999999905</v>
      </c>
      <c r="T5591">
        <v>-0.2131102</v>
      </c>
      <c r="U5591">
        <v>-2.9612729999999998</v>
      </c>
      <c r="V5591">
        <v>0.14481469999999999</v>
      </c>
      <c r="W5591">
        <v>4.7808360000000001E-2</v>
      </c>
      <c r="X5591">
        <v>0.98830309999999999</v>
      </c>
      <c r="Y5591">
        <v>0.14503469999999999</v>
      </c>
      <c r="Z5591">
        <v>6.5436999999999995E-2</v>
      </c>
      <c r="AA5591">
        <v>0.98726029999999998</v>
      </c>
      <c r="AB5591">
        <v>19</v>
      </c>
      <c r="AC5591">
        <v>2.5522999999999998</v>
      </c>
      <c r="AD5591">
        <v>-1.0554754234915</v>
      </c>
      <c r="AE5591">
        <v>-14.452007999999999</v>
      </c>
      <c r="AF5591">
        <v>2.1314529586680102</v>
      </c>
      <c r="AG5591">
        <v>-1.0554754234915</v>
      </c>
      <c r="AH5591">
        <v>14.4437111084099</v>
      </c>
      <c r="AI5591">
        <v>94.134843636851897</v>
      </c>
      <c r="AJ5591">
        <v>81.605469033972298</v>
      </c>
      <c r="AK5591">
        <v>14.638234547506499</v>
      </c>
      <c r="AL5591">
        <v>87.259738131796894</v>
      </c>
      <c r="AM5591">
        <v>81.663850899216797</v>
      </c>
      <c r="AN5591">
        <v>0.99999997704579402</v>
      </c>
    </row>
    <row r="5592" spans="1:40" x14ac:dyDescent="0.3">
      <c r="A5592" t="str">
        <f>"20200111160612811"</f>
        <v>20200111160612811</v>
      </c>
      <c r="B5592" t="str">
        <f>"1578729972807339"</f>
        <v>1578729972807339</v>
      </c>
      <c r="C5592" t="s">
        <v>40</v>
      </c>
      <c r="D5592">
        <v>5.2225570000000001</v>
      </c>
      <c r="E5592">
        <v>0.50390539999999995</v>
      </c>
      <c r="F5592" t="s">
        <v>42</v>
      </c>
      <c r="G5592">
        <v>-304.82119999999998</v>
      </c>
      <c r="H5592">
        <v>0.99407990000000002</v>
      </c>
      <c r="I5592">
        <v>3.6528170000000002</v>
      </c>
      <c r="J5592">
        <v>-304.92270000000002</v>
      </c>
      <c r="K5592">
        <v>1.0556840000000001</v>
      </c>
      <c r="L5592">
        <v>4.3285519999999904</v>
      </c>
      <c r="M5592">
        <v>0.30567670000000002</v>
      </c>
      <c r="N5592">
        <v>0</v>
      </c>
      <c r="O5592">
        <v>-0.95201290000000005</v>
      </c>
      <c r="P5592">
        <v>0.17347889999999999</v>
      </c>
      <c r="Q5592">
        <v>3.7660760000000001E-2</v>
      </c>
      <c r="R5592">
        <v>-0.98411769999999998</v>
      </c>
      <c r="S5592">
        <v>0.51937869999999997</v>
      </c>
      <c r="T5592">
        <v>-0.20987449999999999</v>
      </c>
      <c r="U5592">
        <v>-2.9638979999999999</v>
      </c>
      <c r="V5592">
        <v>0.1363489</v>
      </c>
      <c r="W5592">
        <v>5.105022E-2</v>
      </c>
      <c r="X5592">
        <v>0.98934469999999997</v>
      </c>
      <c r="Y5592">
        <v>0.13716</v>
      </c>
      <c r="Z5592">
        <v>6.4787510000000006E-2</v>
      </c>
      <c r="AA5592">
        <v>0.98842790000000003</v>
      </c>
      <c r="AB5592">
        <v>19</v>
      </c>
      <c r="AC5592">
        <v>0.101500000000044</v>
      </c>
      <c r="AD5592">
        <v>-6.1604099999999898E-2</v>
      </c>
      <c r="AE5592">
        <v>-0.67573499999999898</v>
      </c>
      <c r="AF5592">
        <v>0.109053581626897</v>
      </c>
      <c r="AG5592">
        <v>-6.1604099999999898E-2</v>
      </c>
      <c r="AH5592">
        <v>0.66897591205944695</v>
      </c>
      <c r="AI5592">
        <v>95.193199875433507</v>
      </c>
      <c r="AJ5592">
        <v>80.741328418756197</v>
      </c>
      <c r="AK5592">
        <v>0.68060011733633496</v>
      </c>
      <c r="AL5592">
        <v>87.073766010455401</v>
      </c>
      <c r="AM5592">
        <v>82.1530768281077</v>
      </c>
      <c r="AN5592">
        <v>1.00000004145567</v>
      </c>
    </row>
    <row r="5593" spans="1:40" x14ac:dyDescent="0.3">
      <c r="A5593" t="str">
        <f>"20200111160612831"</f>
        <v>20200111160612831</v>
      </c>
      <c r="B5593" t="str">
        <f>"1578729972827835"</f>
        <v>1578729972827835</v>
      </c>
      <c r="C5593" t="s">
        <v>40</v>
      </c>
      <c r="D5593">
        <v>5.222658</v>
      </c>
      <c r="E5593">
        <v>0.4966737</v>
      </c>
      <c r="F5593" t="s">
        <v>42</v>
      </c>
      <c r="G5593">
        <v>-304.7758</v>
      </c>
      <c r="H5593">
        <v>0.99567910000000004</v>
      </c>
      <c r="I5593">
        <v>3.4843440000000001</v>
      </c>
      <c r="J5593">
        <v>-304.87959999999998</v>
      </c>
      <c r="K5593">
        <v>1.0558620000000001</v>
      </c>
      <c r="L5593">
        <v>4.1592409999999997</v>
      </c>
      <c r="M5593">
        <v>0.29703649999999998</v>
      </c>
      <c r="N5593">
        <v>0</v>
      </c>
      <c r="O5593">
        <v>-0.9547445</v>
      </c>
      <c r="P5593">
        <v>0.17253879999999999</v>
      </c>
      <c r="Q5593">
        <v>3.9165279999999997E-2</v>
      </c>
      <c r="R5593">
        <v>-0.98422390000000004</v>
      </c>
      <c r="S5593">
        <v>0.51654049999999996</v>
      </c>
      <c r="T5593">
        <v>-0.20992</v>
      </c>
      <c r="U5593">
        <v>-2.9653930000000002</v>
      </c>
      <c r="V5593">
        <v>0.12829839999999901</v>
      </c>
      <c r="W5593">
        <v>5.268072E-2</v>
      </c>
      <c r="X5593">
        <v>0.99033539999999998</v>
      </c>
      <c r="Y5593">
        <v>0.12918379999999999</v>
      </c>
      <c r="Z5593">
        <v>6.5095120000000006E-2</v>
      </c>
      <c r="AA5593">
        <v>0.98948170000000002</v>
      </c>
      <c r="AB5593">
        <v>19</v>
      </c>
      <c r="AC5593">
        <v>0.10379999999997799</v>
      </c>
      <c r="AD5593">
        <v>-6.0182900000000102E-2</v>
      </c>
      <c r="AE5593">
        <v>-0.67489699999999997</v>
      </c>
      <c r="AF5593">
        <v>0.10059688540704501</v>
      </c>
      <c r="AG5593">
        <v>-6.0182900000000102E-2</v>
      </c>
      <c r="AH5593">
        <v>0.67005988299695496</v>
      </c>
      <c r="AI5593">
        <v>95.075792944515001</v>
      </c>
      <c r="AJ5593">
        <v>81.461883484792693</v>
      </c>
      <c r="AK5593">
        <v>0.68023669528179798</v>
      </c>
      <c r="AL5593">
        <v>86.980219116441603</v>
      </c>
      <c r="AM5593">
        <v>82.618418392337006</v>
      </c>
      <c r="AN5593">
        <v>0.99999997109771799</v>
      </c>
    </row>
    <row r="5594" spans="1:40" x14ac:dyDescent="0.3">
      <c r="A5594" t="str">
        <f>"20200111160612852"</f>
        <v>20200111160612852</v>
      </c>
      <c r="B5594" t="str">
        <f>"1578729972847355"</f>
        <v>1578729972847355</v>
      </c>
      <c r="C5594" t="s">
        <v>40</v>
      </c>
      <c r="D5594">
        <v>5.2622869999999997</v>
      </c>
      <c r="E5594">
        <v>0.49818449999999997</v>
      </c>
      <c r="F5594" t="s">
        <v>42</v>
      </c>
      <c r="G5594">
        <v>-304.7174</v>
      </c>
      <c r="H5594">
        <v>1.001622</v>
      </c>
      <c r="I5594">
        <v>3.316643</v>
      </c>
      <c r="J5594">
        <v>-304.83519999999999</v>
      </c>
      <c r="K5594">
        <v>1.05604599999999</v>
      </c>
      <c r="L5594">
        <v>3.9785159999999999</v>
      </c>
      <c r="M5594">
        <v>0.28804590000000002</v>
      </c>
      <c r="N5594">
        <v>0</v>
      </c>
      <c r="O5594">
        <v>-0.95749620000000002</v>
      </c>
      <c r="P5594">
        <v>0.17112759999999999</v>
      </c>
      <c r="Q5594">
        <v>3.9107900000000001E-2</v>
      </c>
      <c r="R5594">
        <v>-0.98447260000000003</v>
      </c>
      <c r="S5594">
        <v>0.56918329999999995</v>
      </c>
      <c r="T5594">
        <v>-0.1900038</v>
      </c>
      <c r="U5594">
        <v>-2.9558719999999998</v>
      </c>
      <c r="V5594">
        <v>0.12037299999999999</v>
      </c>
      <c r="W5594">
        <v>5.2740240000000001E-2</v>
      </c>
      <c r="X5594">
        <v>0.99132679999999995</v>
      </c>
      <c r="Y5594">
        <v>0.1021589</v>
      </c>
      <c r="Z5594">
        <v>5.9399279999999999E-2</v>
      </c>
      <c r="AA5594">
        <v>0.99299309999999996</v>
      </c>
      <c r="AB5594">
        <v>19</v>
      </c>
      <c r="AC5594">
        <v>0.117799999999988</v>
      </c>
      <c r="AD5594">
        <v>-5.4423999999999799E-2</v>
      </c>
      <c r="AE5594">
        <v>-0.66187300000000004</v>
      </c>
      <c r="AF5594">
        <v>7.7358741939412001E-2</v>
      </c>
      <c r="AG5594">
        <v>-5.4423999999999799E-2</v>
      </c>
      <c r="AH5594">
        <v>0.66340192996676295</v>
      </c>
      <c r="AI5594">
        <v>94.658489084470403</v>
      </c>
      <c r="AJ5594">
        <v>83.348825607680993</v>
      </c>
      <c r="AK5594">
        <v>0.67011078741807595</v>
      </c>
      <c r="AL5594">
        <v>86.976804236483602</v>
      </c>
      <c r="AM5594">
        <v>83.076687619861303</v>
      </c>
      <c r="AN5594">
        <v>1.0000000082212399</v>
      </c>
    </row>
    <row r="5595" spans="1:40" x14ac:dyDescent="0.3">
      <c r="A5595" t="str">
        <f>"20200111160612874"</f>
        <v>20200111160612874</v>
      </c>
      <c r="B5595" t="str">
        <f>"1578729972867850"</f>
        <v>1578729972867850</v>
      </c>
      <c r="C5595" t="s">
        <v>40</v>
      </c>
      <c r="D5595">
        <v>5.3049019999999896</v>
      </c>
      <c r="E5595">
        <v>0.4985134</v>
      </c>
      <c r="F5595" t="s">
        <v>42</v>
      </c>
      <c r="G5595">
        <v>-304.68020000000001</v>
      </c>
      <c r="H5595">
        <v>0.99962450000000003</v>
      </c>
      <c r="I5595">
        <v>3.148962</v>
      </c>
      <c r="J5595">
        <v>-304.78879999999998</v>
      </c>
      <c r="K5595">
        <v>1.0562469999999999</v>
      </c>
      <c r="L5595">
        <v>3.7833860000000001</v>
      </c>
      <c r="M5595">
        <v>0.27867550000000002</v>
      </c>
      <c r="N5595">
        <v>0</v>
      </c>
      <c r="O5595">
        <v>-0.96026639999999996</v>
      </c>
      <c r="P5595">
        <v>0.1688936</v>
      </c>
      <c r="Q5595">
        <v>3.9456440000000002E-2</v>
      </c>
      <c r="R5595">
        <v>-0.98484459999999996</v>
      </c>
      <c r="S5595">
        <v>0.55346680000000004</v>
      </c>
      <c r="T5595">
        <v>-0.2004948</v>
      </c>
      <c r="U5595">
        <v>-2.959076</v>
      </c>
      <c r="V5595">
        <v>0.1128982</v>
      </c>
      <c r="W5595">
        <v>5.3193070000000002E-2</v>
      </c>
      <c r="X5595">
        <v>0.99218170000000006</v>
      </c>
      <c r="Y5595">
        <v>9.7767060000000003E-2</v>
      </c>
      <c r="Z5595">
        <v>6.2917500000000001E-2</v>
      </c>
      <c r="AA5595">
        <v>0.9932185</v>
      </c>
      <c r="AB5595">
        <v>19</v>
      </c>
      <c r="AC5595">
        <v>0.108599999999967</v>
      </c>
      <c r="AD5595">
        <v>-5.6622499999999902E-2</v>
      </c>
      <c r="AE5595">
        <v>-0.63442399999999999</v>
      </c>
      <c r="AF5595">
        <v>7.1964852470923601E-2</v>
      </c>
      <c r="AG5595">
        <v>-5.6622499999999902E-2</v>
      </c>
      <c r="AH5595">
        <v>0.63464186023200198</v>
      </c>
      <c r="AI5595">
        <v>95.066111577953393</v>
      </c>
      <c r="AJ5595">
        <v>83.530611693961205</v>
      </c>
      <c r="AK5595">
        <v>0.64121395669163905</v>
      </c>
      <c r="AL5595">
        <v>86.950822541471794</v>
      </c>
      <c r="AM5595">
        <v>83.508358855316601</v>
      </c>
      <c r="AN5595">
        <v>1.0000000160370699</v>
      </c>
    </row>
    <row r="5596" spans="1:40" x14ac:dyDescent="0.3">
      <c r="A5596" t="str">
        <f>"20200111160612897"</f>
        <v>20200111160612897</v>
      </c>
      <c r="B5596" t="str">
        <f>"1578729972888346"</f>
        <v>1578729972888346</v>
      </c>
      <c r="C5596" t="s">
        <v>40</v>
      </c>
      <c r="D5596">
        <v>5.3004189999999998</v>
      </c>
      <c r="E5596">
        <v>0.4989845</v>
      </c>
      <c r="F5596" t="s">
        <v>42</v>
      </c>
      <c r="G5596">
        <v>-304.64109999999999</v>
      </c>
      <c r="H5596">
        <v>1.000939</v>
      </c>
      <c r="I5596">
        <v>2.9792450000000001</v>
      </c>
      <c r="J5596">
        <v>-304.74630000000002</v>
      </c>
      <c r="K5596">
        <v>1.056476</v>
      </c>
      <c r="L5596">
        <v>3.5981450000000001</v>
      </c>
      <c r="M5596">
        <v>0.27015060000000002</v>
      </c>
      <c r="N5596">
        <v>0</v>
      </c>
      <c r="O5596">
        <v>-0.96270029999999995</v>
      </c>
      <c r="P5596">
        <v>0.1664947</v>
      </c>
      <c r="Q5596">
        <v>4.0589119999999999E-2</v>
      </c>
      <c r="R5596">
        <v>-0.98520700000000005</v>
      </c>
      <c r="S5596">
        <v>0.54443359999999996</v>
      </c>
      <c r="T5596">
        <v>-0.2032979</v>
      </c>
      <c r="U5596">
        <v>-2.9609380000000001</v>
      </c>
      <c r="V5596">
        <v>0.10647860000000001</v>
      </c>
      <c r="W5596">
        <v>5.4410100000000003E-2</v>
      </c>
      <c r="X5596">
        <v>0.99282519999999996</v>
      </c>
      <c r="Y5596">
        <v>9.1995889999999997E-2</v>
      </c>
      <c r="Z5596">
        <v>6.4034170000000001E-2</v>
      </c>
      <c r="AA5596">
        <v>0.99369839999999998</v>
      </c>
      <c r="AB5596">
        <v>19</v>
      </c>
      <c r="AC5596">
        <v>0.105200000000024</v>
      </c>
      <c r="AD5596">
        <v>-5.5536999999999899E-2</v>
      </c>
      <c r="AE5596">
        <v>-0.61889999999999901</v>
      </c>
      <c r="AF5596">
        <v>6.5415651682487197E-2</v>
      </c>
      <c r="AG5596">
        <v>-5.5536999999999899E-2</v>
      </c>
      <c r="AH5596">
        <v>0.619457822865495</v>
      </c>
      <c r="AI5596">
        <v>95.094931288317198</v>
      </c>
      <c r="AJ5596">
        <v>83.9718237472201</v>
      </c>
      <c r="AK5596">
        <v>0.62537313674581796</v>
      </c>
      <c r="AL5596">
        <v>86.880990709676595</v>
      </c>
      <c r="AM5596">
        <v>83.878535896457606</v>
      </c>
      <c r="AN5596">
        <v>1.0000000144975001</v>
      </c>
    </row>
    <row r="5597" spans="1:40" x14ac:dyDescent="0.3">
      <c r="A5597" t="str">
        <f>"20200111160612922"</f>
        <v>20200111160612922</v>
      </c>
      <c r="B5597" t="str">
        <f>"1578729972917626"</f>
        <v>1578729972917626</v>
      </c>
      <c r="C5597" t="s">
        <v>40</v>
      </c>
      <c r="D5597">
        <v>5.4963870000000004</v>
      </c>
      <c r="E5597">
        <v>0.49842690000000001</v>
      </c>
      <c r="F5597" t="s">
        <v>42</v>
      </c>
      <c r="G5597">
        <v>-304.60419999999999</v>
      </c>
      <c r="H5597">
        <v>1.0024649999999999</v>
      </c>
      <c r="I5597">
        <v>2.809199</v>
      </c>
      <c r="J5597">
        <v>-304.69979999999998</v>
      </c>
      <c r="K5597">
        <v>1.0567979999999999</v>
      </c>
      <c r="L5597">
        <v>3.3897710000000001</v>
      </c>
      <c r="M5597">
        <v>0.26105040000000002</v>
      </c>
      <c r="N5597">
        <v>0</v>
      </c>
      <c r="O5597">
        <v>-0.96520859999999997</v>
      </c>
      <c r="P5597">
        <v>0.16226360000000001</v>
      </c>
      <c r="Q5597">
        <v>4.1948039999999999E-2</v>
      </c>
      <c r="R5597">
        <v>-0.98585560000000005</v>
      </c>
      <c r="S5597">
        <v>0.53387450000000003</v>
      </c>
      <c r="T5597">
        <v>-0.20246729999999999</v>
      </c>
      <c r="U5597">
        <v>-2.963165</v>
      </c>
      <c r="V5597">
        <v>0.10131709999999999</v>
      </c>
      <c r="W5597">
        <v>5.5838440000000003E-2</v>
      </c>
      <c r="X5597">
        <v>0.99328590000000005</v>
      </c>
      <c r="Y5597">
        <v>8.6152779999999998E-2</v>
      </c>
      <c r="Z5597">
        <v>6.4015009999999997E-2</v>
      </c>
      <c r="AA5597">
        <v>0.99422319999999997</v>
      </c>
      <c r="AB5597">
        <v>19</v>
      </c>
      <c r="AC5597">
        <v>9.5599999999990304E-2</v>
      </c>
      <c r="AD5597">
        <v>-5.4332999999999902E-2</v>
      </c>
      <c r="AE5597">
        <v>-0.58057199999999998</v>
      </c>
      <c r="AF5597">
        <v>5.8789980523262703E-2</v>
      </c>
      <c r="AG5597">
        <v>-5.4332999999999902E-2</v>
      </c>
      <c r="AH5597">
        <v>0.58044591747012497</v>
      </c>
      <c r="AI5597">
        <v>95.320561244662898</v>
      </c>
      <c r="AJ5597">
        <v>84.216567372249699</v>
      </c>
      <c r="AK5597">
        <v>0.58594009916258505</v>
      </c>
      <c r="AL5597">
        <v>86.799028124187103</v>
      </c>
      <c r="AM5597">
        <v>84.175861833755405</v>
      </c>
      <c r="AN5597">
        <v>0.99999998263642598</v>
      </c>
    </row>
    <row r="5598" spans="1:40" x14ac:dyDescent="0.3">
      <c r="A5598" t="str">
        <f>"20200111160612944"</f>
        <v>20200111160612944</v>
      </c>
      <c r="B5598" t="str">
        <f>"1578729972938122"</f>
        <v>1578729972938122</v>
      </c>
      <c r="C5598" t="s">
        <v>40</v>
      </c>
      <c r="D5598">
        <v>5.2509990000000002</v>
      </c>
      <c r="E5598">
        <v>0.49836989999999998</v>
      </c>
      <c r="F5598" t="s">
        <v>41</v>
      </c>
      <c r="G5598">
        <v>-301.88220000000001</v>
      </c>
      <c r="H5598" s="1">
        <v>-3.9060859999999998E-6</v>
      </c>
      <c r="I5598">
        <v>-12.473089999999999</v>
      </c>
      <c r="J5598">
        <v>-304.65929999999997</v>
      </c>
      <c r="K5598">
        <v>1.0571200000000001</v>
      </c>
      <c r="L5598">
        <v>3.2037659999999999</v>
      </c>
      <c r="M5598">
        <v>0.25344499999999998</v>
      </c>
      <c r="N5598">
        <v>0</v>
      </c>
      <c r="O5598">
        <v>-0.96723479999999995</v>
      </c>
      <c r="P5598">
        <v>0.15898779999999901</v>
      </c>
      <c r="Q5598">
        <v>4.2064989999999997E-2</v>
      </c>
      <c r="R5598">
        <v>-0.98638419999999905</v>
      </c>
      <c r="S5598">
        <v>0.5266113</v>
      </c>
      <c r="T5598">
        <v>-0.19751730000000001</v>
      </c>
      <c r="U5598">
        <v>-2.9647830000000002</v>
      </c>
      <c r="V5598">
        <v>9.6744810000000001E-2</v>
      </c>
      <c r="W5598">
        <v>5.6016969999999999E-2</v>
      </c>
      <c r="X5598">
        <v>0.99373160000000005</v>
      </c>
      <c r="Y5598">
        <v>8.0747600000000003E-2</v>
      </c>
      <c r="Z5598">
        <v>6.2648969999999998E-2</v>
      </c>
      <c r="AA5598">
        <v>0.99476370000000003</v>
      </c>
      <c r="AB5598">
        <v>19</v>
      </c>
      <c r="AC5598">
        <v>2.7770999999999599</v>
      </c>
      <c r="AD5598">
        <v>-1.057123906086</v>
      </c>
      <c r="AE5598">
        <v>-15.676856000000001</v>
      </c>
      <c r="AF5598">
        <v>1.28160593301898</v>
      </c>
      <c r="AG5598">
        <v>-1.057123906086</v>
      </c>
      <c r="AH5598">
        <v>15.7991536744542</v>
      </c>
      <c r="AI5598">
        <v>93.815468485554504</v>
      </c>
      <c r="AJ5598">
        <v>85.3623984010963</v>
      </c>
      <c r="AK5598">
        <v>15.886260779345999</v>
      </c>
      <c r="AL5598">
        <v>86.788783051852505</v>
      </c>
      <c r="AM5598">
        <v>84.439488689298997</v>
      </c>
      <c r="AN5598">
        <v>0.99999997601423796</v>
      </c>
    </row>
    <row r="5599" spans="1:40" x14ac:dyDescent="0.3">
      <c r="A5599" t="str">
        <f>"20200111160612965"</f>
        <v>20200111160612965</v>
      </c>
      <c r="B5599" t="str">
        <f>"1578729972957642"</f>
        <v>1578729972957642</v>
      </c>
      <c r="C5599" t="s">
        <v>40</v>
      </c>
      <c r="D5599">
        <v>5.3035009999999998</v>
      </c>
      <c r="E5599">
        <v>0.49814190000000003</v>
      </c>
      <c r="F5599" t="s">
        <v>42</v>
      </c>
      <c r="G5599">
        <v>-304.50310000000002</v>
      </c>
      <c r="H5599">
        <v>0.99645539999999999</v>
      </c>
      <c r="I5599">
        <v>2.3085719999999998</v>
      </c>
      <c r="J5599">
        <v>-304.62139999999999</v>
      </c>
      <c r="K5599">
        <v>1.0574680000000001</v>
      </c>
      <c r="L5599">
        <v>3.0251459999999999</v>
      </c>
      <c r="M5599">
        <v>0.24669540000000001</v>
      </c>
      <c r="N5599">
        <v>0</v>
      </c>
      <c r="O5599">
        <v>-0.96897929999999999</v>
      </c>
      <c r="P5599">
        <v>0.1578068</v>
      </c>
      <c r="Q5599">
        <v>3.8938109999999998E-2</v>
      </c>
      <c r="R5599">
        <v>-0.98670210000000003</v>
      </c>
      <c r="S5599">
        <v>0.51818850000000005</v>
      </c>
      <c r="T5599">
        <v>-0.20059859999999999</v>
      </c>
      <c r="U5599">
        <v>-2.966431</v>
      </c>
      <c r="V5599">
        <v>9.0953030000000004E-2</v>
      </c>
      <c r="W5599">
        <v>5.2964039999999997E-2</v>
      </c>
      <c r="X5599">
        <v>0.99444569999999999</v>
      </c>
      <c r="Y5599">
        <v>7.664427E-2</v>
      </c>
      <c r="Z5599">
        <v>6.3786419999999996E-2</v>
      </c>
      <c r="AA5599">
        <v>0.99501600000000001</v>
      </c>
      <c r="AB5599">
        <v>19</v>
      </c>
      <c r="AC5599">
        <v>0.11829999999997599</v>
      </c>
      <c r="AD5599">
        <v>-6.10126E-2</v>
      </c>
      <c r="AE5599">
        <v>-0.71657399999999905</v>
      </c>
      <c r="AF5599">
        <v>6.1716558520898301E-2</v>
      </c>
      <c r="AG5599">
        <v>-6.10126E-2</v>
      </c>
      <c r="AH5599">
        <v>0.71853827820443505</v>
      </c>
      <c r="AI5599">
        <v>94.835743231939503</v>
      </c>
      <c r="AJ5599">
        <v>85.090810074383398</v>
      </c>
      <c r="AK5599">
        <v>0.72376013167306896</v>
      </c>
      <c r="AL5599">
        <v>86.963963307347001</v>
      </c>
      <c r="AM5599">
        <v>84.774207972821102</v>
      </c>
      <c r="AN5599">
        <v>0.99999994672389403</v>
      </c>
    </row>
    <row r="5600" spans="1:40" x14ac:dyDescent="0.3">
      <c r="A5600" t="str">
        <f>"20200111160612990"</f>
        <v>20200111160612990</v>
      </c>
      <c r="B5600" t="str">
        <f>"1578729972987898"</f>
        <v>1578729972987898</v>
      </c>
      <c r="C5600" t="s">
        <v>40</v>
      </c>
      <c r="D5600">
        <v>5.3017130000000003</v>
      </c>
      <c r="E5600">
        <v>0.49795469999999997</v>
      </c>
      <c r="F5600" t="s">
        <v>42</v>
      </c>
      <c r="G5600">
        <v>-304.46800000000002</v>
      </c>
      <c r="H5600">
        <v>0.99395100000000003</v>
      </c>
      <c r="I5600">
        <v>2.1434920000000002</v>
      </c>
      <c r="J5600">
        <v>-304.57729999999998</v>
      </c>
      <c r="K5600">
        <v>1.0578559999999999</v>
      </c>
      <c r="L5600">
        <v>2.813904</v>
      </c>
      <c r="M5600">
        <v>0.2393324</v>
      </c>
      <c r="N5600">
        <v>0</v>
      </c>
      <c r="O5600">
        <v>-0.97082559999999996</v>
      </c>
      <c r="P5600">
        <v>0.15693650000000001</v>
      </c>
      <c r="Q5600">
        <v>3.4623149999999998E-2</v>
      </c>
      <c r="R5600">
        <v>-0.98700169999999998</v>
      </c>
      <c r="S5600">
        <v>0.51684569999999996</v>
      </c>
      <c r="T5600">
        <v>-0.2132685</v>
      </c>
      <c r="U5600">
        <v>-2.9661870000000001</v>
      </c>
      <c r="V5600">
        <v>8.4226350000000005E-2</v>
      </c>
      <c r="W5600">
        <v>4.8717110000000001E-2</v>
      </c>
      <c r="X5600">
        <v>0.99525509999999995</v>
      </c>
      <c r="Y5600">
        <v>6.9544800000000004E-2</v>
      </c>
      <c r="Z5600">
        <v>6.8017149999999998E-2</v>
      </c>
      <c r="AA5600">
        <v>0.99525730000000001</v>
      </c>
      <c r="AB5600">
        <v>19</v>
      </c>
      <c r="AC5600">
        <v>0.109299999999961</v>
      </c>
      <c r="AD5600">
        <v>-6.3904999999999795E-2</v>
      </c>
      <c r="AE5600">
        <v>-0.67041200000000001</v>
      </c>
      <c r="AF5600">
        <v>5.3869192328606701E-2</v>
      </c>
      <c r="AG5600">
        <v>-6.3904999999999795E-2</v>
      </c>
      <c r="AH5600">
        <v>0.67114553173969105</v>
      </c>
      <c r="AI5600">
        <v>95.421847161014895</v>
      </c>
      <c r="AJ5600">
        <v>85.411017999794296</v>
      </c>
      <c r="AK5600">
        <v>0.67632984828505704</v>
      </c>
      <c r="AL5600">
        <v>87.207610115000804</v>
      </c>
      <c r="AM5600">
        <v>85.162704521170298</v>
      </c>
      <c r="AN5600">
        <v>1.00000007445853</v>
      </c>
    </row>
    <row r="5601" spans="1:40" x14ac:dyDescent="0.3">
      <c r="A5601" t="str">
        <f>"20200111160613012"</f>
        <v>20200111160613012</v>
      </c>
      <c r="B5601" t="str">
        <f>"1578729973007419"</f>
        <v>1578729973007419</v>
      </c>
      <c r="C5601" t="s">
        <v>40</v>
      </c>
      <c r="D5601">
        <v>5.3420940000000003</v>
      </c>
      <c r="E5601">
        <v>0.4977067</v>
      </c>
      <c r="F5601" t="s">
        <v>42</v>
      </c>
      <c r="G5601">
        <v>-304.4323</v>
      </c>
      <c r="H5601">
        <v>0.99261929999999998</v>
      </c>
      <c r="I5601">
        <v>1.977579</v>
      </c>
      <c r="J5601">
        <v>-304.5403</v>
      </c>
      <c r="K5601">
        <v>1.0581430000000001</v>
      </c>
      <c r="L5601">
        <v>2.6334230000000001</v>
      </c>
      <c r="M5601">
        <v>0.23354559999999999</v>
      </c>
      <c r="N5601">
        <v>0</v>
      </c>
      <c r="O5601">
        <v>-0.97223479999999995</v>
      </c>
      <c r="P5601">
        <v>0.15688669999999999</v>
      </c>
      <c r="Q5601">
        <v>3.016723E-2</v>
      </c>
      <c r="R5601">
        <v>-0.98715600000000003</v>
      </c>
      <c r="S5601">
        <v>0.51473999999999998</v>
      </c>
      <c r="T5601">
        <v>-0.2311406</v>
      </c>
      <c r="U5601">
        <v>-2.9657589999999998</v>
      </c>
      <c r="V5601">
        <v>7.83108E-2</v>
      </c>
      <c r="W5601">
        <v>4.430543E-2</v>
      </c>
      <c r="X5601">
        <v>0.99594400000000005</v>
      </c>
      <c r="Y5601">
        <v>6.4335859999999995E-2</v>
      </c>
      <c r="Z5601">
        <v>7.3874579999999995E-2</v>
      </c>
      <c r="AA5601">
        <v>0.99519009999999997</v>
      </c>
      <c r="AB5601">
        <v>19</v>
      </c>
      <c r="AC5601">
        <v>0.108000000000004</v>
      </c>
      <c r="AD5601">
        <v>-6.5523699999999893E-2</v>
      </c>
      <c r="AE5601">
        <v>-0.65584399999999898</v>
      </c>
      <c r="AF5601">
        <v>4.7709682394295502E-2</v>
      </c>
      <c r="AG5601">
        <v>-6.5523699999999893E-2</v>
      </c>
      <c r="AH5601">
        <v>0.65654854640166105</v>
      </c>
      <c r="AI5601">
        <v>95.684370610586001</v>
      </c>
      <c r="AJ5601">
        <v>85.843769557649495</v>
      </c>
      <c r="AK5601">
        <v>0.66153273754062203</v>
      </c>
      <c r="AL5601">
        <v>87.460654616667</v>
      </c>
      <c r="AM5601">
        <v>85.504099051728801</v>
      </c>
      <c r="AN5601">
        <v>1.0000000018300601</v>
      </c>
    </row>
    <row r="5602" spans="1:40" x14ac:dyDescent="0.3">
      <c r="A5602" t="str">
        <f>"20200111160613034"</f>
        <v>20200111160613034</v>
      </c>
      <c r="B5602" t="str">
        <f>"1578729973027915"</f>
        <v>1578729973027915</v>
      </c>
      <c r="C5602" t="s">
        <v>40</v>
      </c>
      <c r="D5602">
        <v>5.3139729999999998</v>
      </c>
      <c r="E5602">
        <v>0.49767909999999999</v>
      </c>
      <c r="F5602" t="s">
        <v>42</v>
      </c>
      <c r="G5602">
        <v>-304.39789999999999</v>
      </c>
      <c r="H5602">
        <v>0.98953000000000002</v>
      </c>
      <c r="I5602">
        <v>1.81254</v>
      </c>
      <c r="J5602">
        <v>-304.50150000000002</v>
      </c>
      <c r="K5602">
        <v>1.0584279999999999</v>
      </c>
      <c r="L5602">
        <v>2.4417110000000002</v>
      </c>
      <c r="M5602">
        <v>0.22795409999999999</v>
      </c>
      <c r="N5602">
        <v>0</v>
      </c>
      <c r="O5602">
        <v>-0.97356209999999999</v>
      </c>
      <c r="P5602">
        <v>0.1565367</v>
      </c>
      <c r="Q5602">
        <v>2.5363400000000001E-2</v>
      </c>
      <c r="R5602">
        <v>-0.98734679999999997</v>
      </c>
      <c r="S5602">
        <v>0.51510619999999996</v>
      </c>
      <c r="T5602">
        <v>-0.24727830000000001</v>
      </c>
      <c r="U5602">
        <v>-2.9647220000000001</v>
      </c>
      <c r="V5602">
        <v>7.2906750000000006E-2</v>
      </c>
      <c r="W5602">
        <v>3.952696E-2</v>
      </c>
      <c r="X5602">
        <v>0.99655510000000003</v>
      </c>
      <c r="Y5602">
        <v>5.8492299999999997E-2</v>
      </c>
      <c r="Z5602">
        <v>7.9202540000000002E-2</v>
      </c>
      <c r="AA5602">
        <v>0.99514100000000005</v>
      </c>
      <c r="AB5602">
        <v>19</v>
      </c>
      <c r="AC5602">
        <v>0.103600000000028</v>
      </c>
      <c r="AD5602">
        <v>-6.8898000000000195E-2</v>
      </c>
      <c r="AE5602">
        <v>-0.62917100000000004</v>
      </c>
      <c r="AF5602">
        <v>4.2074405900869902E-2</v>
      </c>
      <c r="AG5602">
        <v>-6.8898000000000195E-2</v>
      </c>
      <c r="AH5602">
        <v>0.62887891800810103</v>
      </c>
      <c r="AI5602">
        <v>96.238374866961294</v>
      </c>
      <c r="AJ5602">
        <v>86.172397257211301</v>
      </c>
      <c r="AK5602">
        <v>0.63403933911938903</v>
      </c>
      <c r="AL5602">
        <v>87.734681693236794</v>
      </c>
      <c r="AM5602">
        <v>85.815765315260094</v>
      </c>
      <c r="AN5602">
        <v>0.99999992104920299</v>
      </c>
    </row>
    <row r="5603" spans="1:40" x14ac:dyDescent="0.3">
      <c r="A5603" t="str">
        <f>"20200111160613065"</f>
        <v>20200111160613065</v>
      </c>
      <c r="B5603" t="str">
        <f>"1578729973057419"</f>
        <v>1578729973057419</v>
      </c>
      <c r="C5603" t="s">
        <v>40</v>
      </c>
      <c r="D5603">
        <v>5.3150629999999897</v>
      </c>
      <c r="E5603">
        <v>0.497664</v>
      </c>
      <c r="F5603" t="s">
        <v>42</v>
      </c>
      <c r="G5603">
        <v>-304.3639</v>
      </c>
      <c r="H5603">
        <v>0.98719639999999997</v>
      </c>
      <c r="I5603">
        <v>1.647527</v>
      </c>
      <c r="J5603">
        <v>-304.45269999999999</v>
      </c>
      <c r="K5603">
        <v>1.058748</v>
      </c>
      <c r="L5603">
        <v>2.1970209999999999</v>
      </c>
      <c r="M5603">
        <v>0.2215618</v>
      </c>
      <c r="N5603">
        <v>0</v>
      </c>
      <c r="O5603">
        <v>-0.97503819999999997</v>
      </c>
      <c r="P5603">
        <v>0.15781609999999999</v>
      </c>
      <c r="Q5603">
        <v>1.600476E-2</v>
      </c>
      <c r="R5603">
        <v>-0.98733910000000003</v>
      </c>
      <c r="S5603">
        <v>0.51382450000000002</v>
      </c>
      <c r="T5603">
        <v>-0.265544</v>
      </c>
      <c r="U5603">
        <v>-2.9638059999999999</v>
      </c>
      <c r="V5603">
        <v>6.503623E-2</v>
      </c>
      <c r="W5603">
        <v>3.0193810000000001E-2</v>
      </c>
      <c r="X5603">
        <v>0.99742600000000003</v>
      </c>
      <c r="Y5603">
        <v>5.2393620000000002E-2</v>
      </c>
      <c r="Z5603">
        <v>8.5247169999999997E-2</v>
      </c>
      <c r="AA5603">
        <v>0.99498129999999996</v>
      </c>
      <c r="AB5603">
        <v>19</v>
      </c>
      <c r="AC5603">
        <v>8.8799999999991996E-2</v>
      </c>
      <c r="AD5603">
        <v>-7.1551600000000007E-2</v>
      </c>
      <c r="AE5603">
        <v>-0.54949399999999904</v>
      </c>
      <c r="AF5603">
        <v>3.4595537358953599E-2</v>
      </c>
      <c r="AG5603">
        <v>-7.1551600000000007E-2</v>
      </c>
      <c r="AH5603">
        <v>0.54648082742908699</v>
      </c>
      <c r="AI5603">
        <v>97.444659366866304</v>
      </c>
      <c r="AJ5603">
        <v>86.377664927428199</v>
      </c>
      <c r="AK5603">
        <v>0.55222982300423995</v>
      </c>
      <c r="AL5603">
        <v>88.269759153767694</v>
      </c>
      <c r="AM5603">
        <v>86.269363293610994</v>
      </c>
      <c r="AN5603">
        <v>1.00000000142546</v>
      </c>
    </row>
    <row r="5604" spans="1:40" x14ac:dyDescent="0.3">
      <c r="A5604" t="str">
        <f>"20200111160613253"</f>
        <v>20200111160613253</v>
      </c>
      <c r="B5604" t="str">
        <f>"1578729973247740"</f>
        <v>1578729973247740</v>
      </c>
      <c r="C5604" t="s">
        <v>40</v>
      </c>
      <c r="D5604">
        <v>5.0724450000000001</v>
      </c>
      <c r="E5604">
        <v>0.40223560000000003</v>
      </c>
      <c r="F5604" t="s">
        <v>41</v>
      </c>
      <c r="G5604">
        <v>-298.07310000000001</v>
      </c>
      <c r="H5604" s="1">
        <v>-3.3722909999999998E-6</v>
      </c>
      <c r="I5604">
        <v>-13.30306</v>
      </c>
      <c r="J5604">
        <v>-304.15640000000002</v>
      </c>
      <c r="K5604">
        <v>1.059979</v>
      </c>
      <c r="L5604">
        <v>0.64425659999999996</v>
      </c>
      <c r="M5604">
        <v>0.191853</v>
      </c>
      <c r="N5604">
        <v>0</v>
      </c>
      <c r="O5604">
        <v>-0.98131829999999998</v>
      </c>
      <c r="P5604">
        <v>0.163442</v>
      </c>
      <c r="Q5604">
        <v>1.071712E-2</v>
      </c>
      <c r="R5604">
        <v>-0.98649509999999996</v>
      </c>
      <c r="S5604">
        <v>1.2298579999999999</v>
      </c>
      <c r="T5604">
        <v>-0.2131284</v>
      </c>
      <c r="U5604">
        <v>-2.8404850000000001</v>
      </c>
      <c r="V5604">
        <v>2.8985940000000002E-2</v>
      </c>
      <c r="W5604">
        <v>2.497253E-2</v>
      </c>
      <c r="X5604">
        <v>0.99926780000000004</v>
      </c>
      <c r="Y5604">
        <v>-0.21291570000000001</v>
      </c>
      <c r="Z5604">
        <v>6.8840680000000001E-2</v>
      </c>
      <c r="AA5604">
        <v>0.97464240000000002</v>
      </c>
      <c r="AB5604">
        <v>18</v>
      </c>
      <c r="AC5604">
        <v>6.0833000000000004</v>
      </c>
      <c r="AD5604">
        <v>-1.059982372291</v>
      </c>
      <c r="AE5604">
        <v>-13.947316600000001</v>
      </c>
      <c r="AF5604">
        <v>-3.2782514259635902</v>
      </c>
      <c r="AG5604">
        <v>-1.059982372291</v>
      </c>
      <c r="AH5604">
        <v>14.7836522298832</v>
      </c>
      <c r="AI5604">
        <v>94.004131081591893</v>
      </c>
      <c r="AJ5604">
        <v>102.502935385626</v>
      </c>
      <c r="AK5604">
        <v>15.179817795201901</v>
      </c>
      <c r="AL5604">
        <v>88.569030631885894</v>
      </c>
      <c r="AM5604">
        <v>88.338476970894504</v>
      </c>
      <c r="AN5604">
        <v>0.99999997404456098</v>
      </c>
    </row>
    <row r="5605" spans="1:40" x14ac:dyDescent="0.3">
      <c r="A5605" t="str">
        <f>"20200111160613277"</f>
        <v>20200111160613277</v>
      </c>
      <c r="B5605" t="str">
        <f>"1578729973268235"</f>
        <v>1578729973268235</v>
      </c>
      <c r="C5605" t="s">
        <v>40</v>
      </c>
      <c r="D5605">
        <v>5.2775470000000002</v>
      </c>
      <c r="E5605">
        <v>0.40049249999999997</v>
      </c>
      <c r="F5605" t="s">
        <v>41</v>
      </c>
      <c r="G5605">
        <v>-297.27870000000001</v>
      </c>
      <c r="H5605" s="1">
        <v>-2.943083E-6</v>
      </c>
      <c r="I5605">
        <v>-14.63205</v>
      </c>
      <c r="J5605">
        <v>-304.1223</v>
      </c>
      <c r="K5605">
        <v>1.060192</v>
      </c>
      <c r="L5605">
        <v>0.45913700000000002</v>
      </c>
      <c r="M5605">
        <v>0.19337470000000001</v>
      </c>
      <c r="N5605">
        <v>0</v>
      </c>
      <c r="O5605">
        <v>-0.9810352</v>
      </c>
      <c r="P5605">
        <v>0.16678090000000001</v>
      </c>
      <c r="Q5605">
        <v>1.231701E-2</v>
      </c>
      <c r="R5605">
        <v>-0.98591700000000004</v>
      </c>
      <c r="S5605">
        <v>1.2750239999999999</v>
      </c>
      <c r="T5605">
        <v>-0.19650280000000001</v>
      </c>
      <c r="U5605">
        <v>-2.8319700000000001</v>
      </c>
      <c r="V5605">
        <v>2.7179700000000001E-2</v>
      </c>
      <c r="W5605">
        <v>2.5428240000000001E-2</v>
      </c>
      <c r="X5605">
        <v>0.9993071</v>
      </c>
      <c r="Y5605">
        <v>-0.22560649999999999</v>
      </c>
      <c r="Z5605">
        <v>6.335151E-2</v>
      </c>
      <c r="AA5605">
        <v>0.97215649999999998</v>
      </c>
      <c r="AB5605">
        <v>18</v>
      </c>
      <c r="AC5605">
        <v>6.8435999999999799</v>
      </c>
      <c r="AD5605">
        <v>-1.060194943083</v>
      </c>
      <c r="AE5605">
        <v>-15.091187</v>
      </c>
      <c r="AF5605">
        <v>-3.78041761180654</v>
      </c>
      <c r="AG5605">
        <v>-1.060194943083</v>
      </c>
      <c r="AH5605">
        <v>16.064025985691401</v>
      </c>
      <c r="AI5605">
        <v>93.6758066723295</v>
      </c>
      <c r="AJ5605">
        <v>103.24270579731601</v>
      </c>
      <c r="AK5605">
        <v>16.536883065014599</v>
      </c>
      <c r="AL5605">
        <v>88.542912122839795</v>
      </c>
      <c r="AM5605">
        <v>88.442022213874495</v>
      </c>
      <c r="AN5605">
        <v>1.0000000057959899</v>
      </c>
    </row>
    <row r="5606" spans="1:40" x14ac:dyDescent="0.3">
      <c r="A5606" t="str">
        <f>"20200111160613321"</f>
        <v>20200111160613321</v>
      </c>
      <c r="B5606" t="str">
        <f>"1578729973318011"</f>
        <v>1578729973318011</v>
      </c>
      <c r="C5606" t="s">
        <v>40</v>
      </c>
      <c r="D5606">
        <v>5.1439729999999999</v>
      </c>
      <c r="E5606">
        <v>0.39753430000000001</v>
      </c>
      <c r="F5606" t="s">
        <v>41</v>
      </c>
      <c r="G5606">
        <v>-296.88869999999997</v>
      </c>
      <c r="H5606" s="1">
        <v>-2.7296469999999999E-6</v>
      </c>
      <c r="I5606">
        <v>-15.290800000000001</v>
      </c>
      <c r="J5606">
        <v>-304.05279999999999</v>
      </c>
      <c r="K5606">
        <v>1.063482</v>
      </c>
      <c r="L5606">
        <v>9.1552729999999999E-2</v>
      </c>
      <c r="M5606">
        <v>0.19442780000000001</v>
      </c>
      <c r="N5606">
        <v>0</v>
      </c>
      <c r="O5606">
        <v>-0.98087869999999999</v>
      </c>
      <c r="P5606">
        <v>0.17043920000000001</v>
      </c>
      <c r="Q5606">
        <v>2.0940650000000002E-2</v>
      </c>
      <c r="R5606">
        <v>-0.98514579999999996</v>
      </c>
      <c r="S5606">
        <v>1.29776</v>
      </c>
      <c r="T5606">
        <v>-0.19020870000000001</v>
      </c>
      <c r="U5606">
        <v>-2.8256839999999999</v>
      </c>
      <c r="V5606">
        <v>2.443377E-2</v>
      </c>
      <c r="W5606">
        <v>2.9517479999999999E-2</v>
      </c>
      <c r="X5606">
        <v>0.99926559999999998</v>
      </c>
      <c r="Y5606">
        <v>-0.231909</v>
      </c>
      <c r="Z5606">
        <v>6.1290999999999998E-2</v>
      </c>
      <c r="AA5606">
        <v>0.97080460000000002</v>
      </c>
      <c r="AB5606">
        <v>18</v>
      </c>
      <c r="AC5606">
        <v>7.1641000000000101</v>
      </c>
      <c r="AD5606">
        <v>-1.063484729647</v>
      </c>
      <c r="AE5606">
        <v>-15.382352729999999</v>
      </c>
      <c r="AF5606">
        <v>-4.0207141697778503</v>
      </c>
      <c r="AG5606">
        <v>-1.063484729647</v>
      </c>
      <c r="AH5606">
        <v>16.417253735079701</v>
      </c>
      <c r="AI5606">
        <v>93.600248356192793</v>
      </c>
      <c r="AJ5606">
        <v>103.761319269052</v>
      </c>
      <c r="AK5606">
        <v>16.9358602499913</v>
      </c>
      <c r="AL5606">
        <v>88.308527314078006</v>
      </c>
      <c r="AM5606">
        <v>88.599298330388393</v>
      </c>
      <c r="AN5606">
        <v>1.00000001504266</v>
      </c>
    </row>
    <row r="5607" spans="1:40" x14ac:dyDescent="0.3">
      <c r="A5607" t="str">
        <f>"20200111160613343"</f>
        <v>20200111160613343</v>
      </c>
      <c r="B5607" t="str">
        <f>"1578729973337531"</f>
        <v>1578729973337531</v>
      </c>
      <c r="C5607" t="s">
        <v>40</v>
      </c>
      <c r="D5607">
        <v>5.1737640000000003</v>
      </c>
      <c r="E5607">
        <v>0.39690609999999998</v>
      </c>
      <c r="F5607" t="s">
        <v>41</v>
      </c>
      <c r="G5607">
        <v>-295.05799999999999</v>
      </c>
      <c r="H5607" s="1">
        <v>-1.7890200000000001E-6</v>
      </c>
      <c r="I5607">
        <v>-18.958839999999999</v>
      </c>
      <c r="J5607">
        <v>-304.01679999999999</v>
      </c>
      <c r="K5607">
        <v>1.065601</v>
      </c>
      <c r="L5607">
        <v>-9.1400149999999999E-2</v>
      </c>
      <c r="M5607">
        <v>0.193574</v>
      </c>
      <c r="N5607">
        <v>0</v>
      </c>
      <c r="O5607">
        <v>-0.98106519999999997</v>
      </c>
      <c r="P5607">
        <v>0.1704041</v>
      </c>
      <c r="Q5607">
        <v>2.6235990000000001E-2</v>
      </c>
      <c r="R5607">
        <v>-0.98502489999999998</v>
      </c>
      <c r="S5607">
        <v>1.330719</v>
      </c>
      <c r="T5607">
        <v>-0.15733420000000001</v>
      </c>
      <c r="U5607">
        <v>-2.8183590000000001</v>
      </c>
      <c r="V5607">
        <v>2.3519680000000001E-2</v>
      </c>
      <c r="W5607">
        <v>3.2587310000000001E-2</v>
      </c>
      <c r="X5607">
        <v>0.99919210000000003</v>
      </c>
      <c r="Y5607">
        <v>-0.243283</v>
      </c>
      <c r="Z5607">
        <v>5.0670149999999997E-2</v>
      </c>
      <c r="AA5607">
        <v>0.96863100000000002</v>
      </c>
      <c r="AB5607">
        <v>19</v>
      </c>
      <c r="AC5607">
        <v>8.9587999999999894</v>
      </c>
      <c r="AD5607">
        <v>-1.0656027890199999</v>
      </c>
      <c r="AE5607">
        <v>-18.86743985</v>
      </c>
      <c r="AF5607">
        <v>-5.1236876435902001</v>
      </c>
      <c r="AG5607">
        <v>-1.0656027890199999</v>
      </c>
      <c r="AH5607">
        <v>20.192226885213099</v>
      </c>
      <c r="AI5607">
        <v>92.928233284472896</v>
      </c>
      <c r="AJ5607">
        <v>104.23804501879501</v>
      </c>
      <c r="AK5607">
        <v>20.859379448031699</v>
      </c>
      <c r="AL5607">
        <v>88.132554018212701</v>
      </c>
      <c r="AM5607">
        <v>88.651581014464298</v>
      </c>
      <c r="AN5607">
        <v>0.99999998041137395</v>
      </c>
    </row>
    <row r="5608" spans="1:40" x14ac:dyDescent="0.3">
      <c r="A5608" t="str">
        <f>"20200111160613365"</f>
        <v>20200111160613365</v>
      </c>
      <c r="B5608" t="str">
        <f>"1578729973358027"</f>
        <v>1578729973358027</v>
      </c>
      <c r="C5608" t="s">
        <v>40</v>
      </c>
      <c r="D5608">
        <v>5.1497549999999999</v>
      </c>
      <c r="E5608">
        <v>0.39641490000000001</v>
      </c>
      <c r="F5608" t="s">
        <v>41</v>
      </c>
      <c r="G5608">
        <v>-293.77550000000002</v>
      </c>
      <c r="H5608" s="1">
        <v>-4.8202089999999996E-6</v>
      </c>
      <c r="I5608">
        <v>-21.704940000000001</v>
      </c>
      <c r="J5608">
        <v>-303.98050000000001</v>
      </c>
      <c r="K5608">
        <v>1.0674920000000001</v>
      </c>
      <c r="L5608">
        <v>-0.2715149</v>
      </c>
      <c r="M5608">
        <v>0.19259309999999999</v>
      </c>
      <c r="N5608">
        <v>0</v>
      </c>
      <c r="O5608">
        <v>-0.98126939999999996</v>
      </c>
      <c r="P5608">
        <v>0.17053650000000001</v>
      </c>
      <c r="Q5608">
        <v>3.0357350000000002E-2</v>
      </c>
      <c r="R5608">
        <v>-0.98488370000000003</v>
      </c>
      <c r="S5608">
        <v>1.3354189999999999</v>
      </c>
      <c r="T5608">
        <v>-0.13894979999999901</v>
      </c>
      <c r="U5608">
        <v>-2.818298</v>
      </c>
      <c r="V5608">
        <v>2.232808E-2</v>
      </c>
      <c r="W5608">
        <v>3.4655610000000003E-2</v>
      </c>
      <c r="X5608">
        <v>0.99914990000000004</v>
      </c>
      <c r="Y5608">
        <v>-0.2457047</v>
      </c>
      <c r="Z5608">
        <v>4.4747540000000002E-2</v>
      </c>
      <c r="AA5608">
        <v>0.96831140000000004</v>
      </c>
      <c r="AB5608">
        <v>19</v>
      </c>
      <c r="AC5608">
        <v>10.204999999999901</v>
      </c>
      <c r="AD5608">
        <v>-1.0674968202090001</v>
      </c>
      <c r="AE5608">
        <v>-21.433425100000001</v>
      </c>
      <c r="AF5608">
        <v>-5.8740998817134997</v>
      </c>
      <c r="AG5608">
        <v>-1.0674968202090001</v>
      </c>
      <c r="AH5608">
        <v>22.951176061388999</v>
      </c>
      <c r="AI5608">
        <v>92.579959691966707</v>
      </c>
      <c r="AJ5608">
        <v>104.35605367972499</v>
      </c>
      <c r="AK5608">
        <v>23.714996974117</v>
      </c>
      <c r="AL5608">
        <v>88.013982213493094</v>
      </c>
      <c r="AM5608">
        <v>88.719819864576095</v>
      </c>
      <c r="AN5608">
        <v>1.0000000385654799</v>
      </c>
    </row>
    <row r="5609" spans="1:40" x14ac:dyDescent="0.3">
      <c r="A5609" t="str">
        <f>"20200111160613412"</f>
        <v>20200111160613412</v>
      </c>
      <c r="B5609" t="str">
        <f>"1578729973407803"</f>
        <v>1578729973407803</v>
      </c>
      <c r="C5609" t="s">
        <v>40</v>
      </c>
      <c r="D5609">
        <v>5.1596099999999998</v>
      </c>
      <c r="E5609">
        <v>0.39682400000000001</v>
      </c>
      <c r="F5609" t="s">
        <v>41</v>
      </c>
      <c r="G5609">
        <v>-292.89850000000001</v>
      </c>
      <c r="H5609" s="1">
        <v>-4.1882519999999997E-6</v>
      </c>
      <c r="I5609">
        <v>-23.59704</v>
      </c>
      <c r="J5609">
        <v>-303.89949999999999</v>
      </c>
      <c r="K5609">
        <v>1.070587</v>
      </c>
      <c r="L5609">
        <v>-0.67269899999999905</v>
      </c>
      <c r="M5609">
        <v>0.19203249999999999</v>
      </c>
      <c r="N5609">
        <v>0</v>
      </c>
      <c r="O5609">
        <v>-0.9813887</v>
      </c>
      <c r="P5609">
        <v>0.17188999999999999</v>
      </c>
      <c r="Q5609">
        <v>3.9333800000000002E-2</v>
      </c>
      <c r="R5609">
        <v>-0.98433099999999996</v>
      </c>
      <c r="S5609">
        <v>1.3389279999999999</v>
      </c>
      <c r="T5609">
        <v>-0.12897419999999901</v>
      </c>
      <c r="U5609">
        <v>-2.8181759999999998</v>
      </c>
      <c r="V5609">
        <v>2.033132E-2</v>
      </c>
      <c r="W5609">
        <v>3.9297770000000003E-2</v>
      </c>
      <c r="X5609">
        <v>0.99902069999999998</v>
      </c>
      <c r="Y5609">
        <v>-0.2473207</v>
      </c>
      <c r="Z5609">
        <v>4.1530369999999997E-2</v>
      </c>
      <c r="AA5609">
        <v>0.96804319999999999</v>
      </c>
      <c r="AB5609">
        <v>19</v>
      </c>
      <c r="AC5609">
        <v>11.0009999999999</v>
      </c>
      <c r="AD5609">
        <v>-1.0705911882520001</v>
      </c>
      <c r="AE5609">
        <v>-22.924340999999998</v>
      </c>
      <c r="AF5609">
        <v>-6.3827227817719896</v>
      </c>
      <c r="AG5609">
        <v>-1.0705911882520001</v>
      </c>
      <c r="AH5609">
        <v>24.566684990074702</v>
      </c>
      <c r="AI5609">
        <v>92.415227124304195</v>
      </c>
      <c r="AJ5609">
        <v>104.564133220846</v>
      </c>
      <c r="AK5609">
        <v>25.4048681752706</v>
      </c>
      <c r="AL5609">
        <v>87.747823743640495</v>
      </c>
      <c r="AM5609">
        <v>88.834120209397597</v>
      </c>
      <c r="AN5609">
        <v>1.0000000181641999</v>
      </c>
    </row>
    <row r="5610" spans="1:40" x14ac:dyDescent="0.3">
      <c r="A5610" t="str">
        <f>"20200111160613456"</f>
        <v>20200111160613456</v>
      </c>
      <c r="B5610" t="str">
        <f>"1578729973447819"</f>
        <v>1578729973447819</v>
      </c>
      <c r="C5610" t="s">
        <v>40</v>
      </c>
      <c r="D5610">
        <v>5.1018759999999999</v>
      </c>
      <c r="E5610">
        <v>0.39732790000000001</v>
      </c>
      <c r="F5610" t="s">
        <v>41</v>
      </c>
      <c r="G5610">
        <v>-290.39490000000001</v>
      </c>
      <c r="H5610" s="1">
        <v>-2.976853E-6</v>
      </c>
      <c r="I5610">
        <v>-29.114270000000001</v>
      </c>
      <c r="J5610">
        <v>-303.82639999999998</v>
      </c>
      <c r="K5610">
        <v>1.0728850000000001</v>
      </c>
      <c r="L5610">
        <v>-1.040497</v>
      </c>
      <c r="M5610">
        <v>0.19262750000000001</v>
      </c>
      <c r="N5610">
        <v>0</v>
      </c>
      <c r="O5610">
        <v>-0.98126670000000005</v>
      </c>
      <c r="P5610">
        <v>0.1713935</v>
      </c>
      <c r="Q5610">
        <v>4.4598520000000003E-2</v>
      </c>
      <c r="R5610">
        <v>-0.98419290000000004</v>
      </c>
      <c r="S5610">
        <v>1.3381959999999999</v>
      </c>
      <c r="T5610">
        <v>-0.10608670000000001</v>
      </c>
      <c r="U5610">
        <v>-2.8183289999999999</v>
      </c>
      <c r="V5610">
        <v>2.1436489999999999E-2</v>
      </c>
      <c r="W5610">
        <v>4.1275529999999998E-2</v>
      </c>
      <c r="X5610">
        <v>0.99891779999999997</v>
      </c>
      <c r="Y5610">
        <v>-0.2466276</v>
      </c>
      <c r="Z5610">
        <v>3.4167740000000002E-2</v>
      </c>
      <c r="AA5610">
        <v>0.96850780000000003</v>
      </c>
      <c r="AB5610">
        <v>20</v>
      </c>
      <c r="AC5610">
        <v>13.4314999999999</v>
      </c>
      <c r="AD5610">
        <v>-1.072887976853</v>
      </c>
      <c r="AE5610">
        <v>-28.073772999999999</v>
      </c>
      <c r="AF5610">
        <v>-7.7629169981001098</v>
      </c>
      <c r="AG5610">
        <v>-1.072887976853</v>
      </c>
      <c r="AH5610">
        <v>30.099517650508599</v>
      </c>
      <c r="AI5610">
        <v>91.976793349675305</v>
      </c>
      <c r="AJ5610">
        <v>104.46190492233301</v>
      </c>
      <c r="AK5610">
        <v>31.1029730367299</v>
      </c>
      <c r="AL5610">
        <v>87.634414270301903</v>
      </c>
      <c r="AM5610">
        <v>88.770637667168998</v>
      </c>
      <c r="AN5610">
        <v>0.99999998181856997</v>
      </c>
    </row>
    <row r="5611" spans="1:40" x14ac:dyDescent="0.3">
      <c r="A5611" t="str">
        <f>"20200111160613478"</f>
        <v>20200111160613478</v>
      </c>
      <c r="B5611" t="str">
        <f>"1578729973467994"</f>
        <v>1578729973467994</v>
      </c>
      <c r="C5611" t="s">
        <v>40</v>
      </c>
      <c r="D5611">
        <v>5.1373249999999997</v>
      </c>
      <c r="E5611">
        <v>0.39762219999999998</v>
      </c>
      <c r="F5611" t="s">
        <v>41</v>
      </c>
      <c r="G5611">
        <v>-289.94409999999999</v>
      </c>
      <c r="H5611">
        <v>6.3638780000000006E-2</v>
      </c>
      <c r="I5611">
        <v>-30.442299999999999</v>
      </c>
      <c r="J5611">
        <v>-303.78649999999999</v>
      </c>
      <c r="K5611">
        <v>1.0740799999999999</v>
      </c>
      <c r="L5611">
        <v>-1.2431639999999999</v>
      </c>
      <c r="M5611">
        <v>0.19291469999999999</v>
      </c>
      <c r="N5611">
        <v>0</v>
      </c>
      <c r="O5611">
        <v>-0.98120350000000001</v>
      </c>
      <c r="P5611">
        <v>0.17181729999999901</v>
      </c>
      <c r="Q5611">
        <v>4.361901E-2</v>
      </c>
      <c r="R5611">
        <v>-0.98416269999999995</v>
      </c>
      <c r="S5611">
        <v>1.3317870000000001</v>
      </c>
      <c r="T5611">
        <v>-9.6821550000000006E-2</v>
      </c>
      <c r="U5611">
        <v>-2.8206479999999998</v>
      </c>
      <c r="V5611">
        <v>2.1314090000000001E-2</v>
      </c>
      <c r="W5611">
        <v>3.8756020000000002E-2</v>
      </c>
      <c r="X5611">
        <v>0.99902139999999995</v>
      </c>
      <c r="Y5611">
        <v>-0.24427769999999999</v>
      </c>
      <c r="Z5611">
        <v>3.1185029999999999E-2</v>
      </c>
      <c r="AA5611">
        <v>0.96920379999999995</v>
      </c>
      <c r="AB5611">
        <v>20</v>
      </c>
      <c r="AC5611">
        <v>13.8423999999999</v>
      </c>
      <c r="AD5611">
        <v>-1.0104412199999999</v>
      </c>
      <c r="AE5611">
        <v>-29.199135999999999</v>
      </c>
      <c r="AF5611">
        <v>-7.9415975352458696</v>
      </c>
      <c r="AG5611">
        <v>-1.0104412199999999</v>
      </c>
      <c r="AH5611">
        <v>31.290471673795299</v>
      </c>
      <c r="AI5611">
        <v>91.792768379632406</v>
      </c>
      <c r="AJ5611">
        <v>104.241106650261</v>
      </c>
      <c r="AK5611">
        <v>32.298352596370698</v>
      </c>
      <c r="AL5611">
        <v>87.778887442913501</v>
      </c>
      <c r="AM5611">
        <v>88.777781775580806</v>
      </c>
      <c r="AN5611">
        <v>1.0000000385883601</v>
      </c>
    </row>
    <row r="5612" spans="1:40" x14ac:dyDescent="0.3">
      <c r="A5612" t="str">
        <f>"20200111160613499"</f>
        <v>20200111160613499</v>
      </c>
      <c r="B5612" t="str">
        <f>"1578729973487514"</f>
        <v>1578729973487514</v>
      </c>
      <c r="C5612" t="s">
        <v>40</v>
      </c>
      <c r="D5612">
        <v>5.0985940000000003</v>
      </c>
      <c r="E5612">
        <v>0.39778999999999998</v>
      </c>
      <c r="F5612" t="s">
        <v>41</v>
      </c>
      <c r="G5612">
        <v>-290.1506</v>
      </c>
      <c r="H5612" s="1">
        <v>-2.680493E-6</v>
      </c>
      <c r="I5612">
        <v>-30.176169999999999</v>
      </c>
      <c r="J5612">
        <v>-303.7516</v>
      </c>
      <c r="K5612">
        <v>1.0751520000000001</v>
      </c>
      <c r="L5612">
        <v>-1.421082</v>
      </c>
      <c r="M5612">
        <v>0.19259519999999999</v>
      </c>
      <c r="N5612">
        <v>0</v>
      </c>
      <c r="O5612">
        <v>-0.98126089999999999</v>
      </c>
      <c r="P5612">
        <v>0.17285039999999999</v>
      </c>
      <c r="Q5612">
        <v>4.0407419999999999E-2</v>
      </c>
      <c r="R5612">
        <v>-0.98411919999999997</v>
      </c>
      <c r="S5612">
        <v>1.329437</v>
      </c>
      <c r="T5612">
        <v>-0.10471800000000001</v>
      </c>
      <c r="U5612">
        <v>-2.8208310000000001</v>
      </c>
      <c r="V5612">
        <v>1.996144E-2</v>
      </c>
      <c r="W5612">
        <v>3.4530279999999997E-2</v>
      </c>
      <c r="X5612">
        <v>0.99920430000000005</v>
      </c>
      <c r="Y5612">
        <v>-0.24387200000000001</v>
      </c>
      <c r="Z5612">
        <v>3.3734159999999999E-2</v>
      </c>
      <c r="AA5612">
        <v>0.96922050000000004</v>
      </c>
      <c r="AB5612">
        <v>20</v>
      </c>
      <c r="AC5612">
        <v>13.601000000000001</v>
      </c>
      <c r="AD5612">
        <v>-1.0751546804929999</v>
      </c>
      <c r="AE5612">
        <v>-28.755088000000001</v>
      </c>
      <c r="AF5612">
        <v>-7.7992607451951699</v>
      </c>
      <c r="AG5612">
        <v>-1.0751546804929999</v>
      </c>
      <c r="AH5612">
        <v>30.801069126138501</v>
      </c>
      <c r="AI5612">
        <v>91.938060621474605</v>
      </c>
      <c r="AJ5612">
        <v>104.209426284605</v>
      </c>
      <c r="AK5612">
        <v>31.791355508560699</v>
      </c>
      <c r="AL5612">
        <v>88.021167349491705</v>
      </c>
      <c r="AM5612">
        <v>88.855535196680904</v>
      </c>
      <c r="AN5612">
        <v>1.00000001623112</v>
      </c>
    </row>
    <row r="5613" spans="1:40" x14ac:dyDescent="0.3">
      <c r="A5613" t="str">
        <f>"20200111160613523"</f>
        <v>20200111160613523</v>
      </c>
      <c r="B5613" t="str">
        <f>"1578729973517771"</f>
        <v>1578729973517771</v>
      </c>
      <c r="C5613" t="s">
        <v>40</v>
      </c>
      <c r="D5613">
        <v>5.0751920000000004</v>
      </c>
      <c r="E5613">
        <v>0.3979858</v>
      </c>
      <c r="F5613" t="s">
        <v>41</v>
      </c>
      <c r="G5613">
        <v>-291.80239999999998</v>
      </c>
      <c r="H5613" s="1">
        <v>-3.4044189999999999E-6</v>
      </c>
      <c r="I5613">
        <v>-26.757380000000001</v>
      </c>
      <c r="J5613">
        <v>-303.70909999999998</v>
      </c>
      <c r="K5613">
        <v>1.076441</v>
      </c>
      <c r="L5613">
        <v>-1.6354059999999999</v>
      </c>
      <c r="M5613">
        <v>0.1913213</v>
      </c>
      <c r="N5613">
        <v>0</v>
      </c>
      <c r="O5613">
        <v>-0.98150559999999998</v>
      </c>
      <c r="P5613">
        <v>0.1735006</v>
      </c>
      <c r="Q5613">
        <v>3.9813609999999999E-2</v>
      </c>
      <c r="R5613">
        <v>-0.98402869999999998</v>
      </c>
      <c r="S5613">
        <v>1.3298650000000001</v>
      </c>
      <c r="T5613">
        <v>-0.11965770000000001</v>
      </c>
      <c r="U5613">
        <v>-2.819763</v>
      </c>
      <c r="V5613">
        <v>1.8017760000000001E-2</v>
      </c>
      <c r="W5613">
        <v>3.323831E-2</v>
      </c>
      <c r="X5613">
        <v>0.99928499999999998</v>
      </c>
      <c r="Y5613">
        <v>-0.24531610000000001</v>
      </c>
      <c r="Z5613">
        <v>3.8559179999999998E-2</v>
      </c>
      <c r="AA5613">
        <v>0.96867599999999998</v>
      </c>
      <c r="AB5613">
        <v>20</v>
      </c>
      <c r="AC5613">
        <v>11.906700000000001</v>
      </c>
      <c r="AD5613">
        <v>-1.076444404419</v>
      </c>
      <c r="AE5613">
        <v>-25.121974000000002</v>
      </c>
      <c r="AF5613">
        <v>-6.8699719511428796</v>
      </c>
      <c r="AG5613">
        <v>-1.076444404419</v>
      </c>
      <c r="AH5613">
        <v>26.895618677782299</v>
      </c>
      <c r="AI5613">
        <v>92.220702655461295</v>
      </c>
      <c r="AJ5613">
        <v>104.32873056845099</v>
      </c>
      <c r="AK5613">
        <v>27.780020720402099</v>
      </c>
      <c r="AL5613">
        <v>88.095234221996094</v>
      </c>
      <c r="AM5613">
        <v>88.967031674485995</v>
      </c>
      <c r="AN5613">
        <v>0.99999996807603597</v>
      </c>
    </row>
    <row r="5614" spans="1:40" x14ac:dyDescent="0.3">
      <c r="A5614" t="str">
        <f>"20200111160613546"</f>
        <v>20200111160613546</v>
      </c>
      <c r="B5614" t="str">
        <f>"1578729973537290"</f>
        <v>1578729973537290</v>
      </c>
      <c r="C5614" t="s">
        <v>40</v>
      </c>
      <c r="D5614">
        <v>5.2314860000000003</v>
      </c>
      <c r="E5614">
        <v>0.39830670000000001</v>
      </c>
      <c r="F5614" t="s">
        <v>41</v>
      </c>
      <c r="G5614">
        <v>-292.35489999999999</v>
      </c>
      <c r="H5614" s="1">
        <v>-3.612834E-6</v>
      </c>
      <c r="I5614">
        <v>-25.712949999999999</v>
      </c>
      <c r="J5614">
        <v>-303.67079999999999</v>
      </c>
      <c r="K5614">
        <v>1.0773889999999999</v>
      </c>
      <c r="L5614">
        <v>-1.827698</v>
      </c>
      <c r="M5614">
        <v>0.19049869999999999</v>
      </c>
      <c r="N5614">
        <v>0</v>
      </c>
      <c r="O5614">
        <v>-0.98166509999999996</v>
      </c>
      <c r="P5614">
        <v>0.17388239999999999</v>
      </c>
      <c r="Q5614">
        <v>4.1844390000000002E-2</v>
      </c>
      <c r="R5614">
        <v>-0.98387690000000005</v>
      </c>
      <c r="S5614">
        <v>1.329529</v>
      </c>
      <c r="T5614">
        <v>-0.12604649999999901</v>
      </c>
      <c r="U5614">
        <v>-2.819366</v>
      </c>
      <c r="V5614">
        <v>1.682784E-2</v>
      </c>
      <c r="W5614">
        <v>3.5189819999999997E-2</v>
      </c>
      <c r="X5614">
        <v>0.99923899999999999</v>
      </c>
      <c r="Y5614">
        <v>-0.2460512</v>
      </c>
      <c r="Z5614">
        <v>4.0626599999999999E-2</v>
      </c>
      <c r="AA5614">
        <v>0.96840499999999996</v>
      </c>
      <c r="AB5614">
        <v>20</v>
      </c>
      <c r="AC5614">
        <v>11.315899999999999</v>
      </c>
      <c r="AD5614">
        <v>-1.0773926128339999</v>
      </c>
      <c r="AE5614">
        <v>-23.885252000000001</v>
      </c>
      <c r="AF5614">
        <v>-6.5475785510990496</v>
      </c>
      <c r="AG5614">
        <v>-1.0773926128339999</v>
      </c>
      <c r="AH5614">
        <v>25.561069912320001</v>
      </c>
      <c r="AI5614">
        <v>92.338170887350898</v>
      </c>
      <c r="AJ5614">
        <v>104.367634445024</v>
      </c>
      <c r="AK5614">
        <v>26.408329269143699</v>
      </c>
      <c r="AL5614">
        <v>87.983355555796706</v>
      </c>
      <c r="AM5614">
        <v>89.035192703945995</v>
      </c>
      <c r="AN5614">
        <v>1.0000000393758399</v>
      </c>
    </row>
    <row r="5615" spans="1:40" x14ac:dyDescent="0.3">
      <c r="A5615" t="str">
        <f>"20200111160613569"</f>
        <v>20200111160613569</v>
      </c>
      <c r="B5615" t="str">
        <f>"1578729973557786"</f>
        <v>1578729973557786</v>
      </c>
      <c r="C5615" t="s">
        <v>40</v>
      </c>
      <c r="D5615">
        <v>4.3732759999999997</v>
      </c>
      <c r="E5615">
        <v>0.39830670000000001</v>
      </c>
      <c r="F5615" t="s">
        <v>41</v>
      </c>
      <c r="G5615">
        <v>-292.09609999999998</v>
      </c>
      <c r="H5615" s="1">
        <v>-3.4432069999999999E-6</v>
      </c>
      <c r="I5615">
        <v>-26.41376</v>
      </c>
      <c r="J5615">
        <v>-303.62990000000002</v>
      </c>
      <c r="K5615">
        <v>1.078627</v>
      </c>
      <c r="L5615">
        <v>-2.0363159999999998</v>
      </c>
      <c r="M5615">
        <v>0.1913193</v>
      </c>
      <c r="N5615">
        <v>0</v>
      </c>
      <c r="O5615">
        <v>-0.98150590000000004</v>
      </c>
      <c r="P5615">
        <v>0.17472199999999999</v>
      </c>
      <c r="Q5615">
        <v>4.742188E-2</v>
      </c>
      <c r="R5615">
        <v>-0.98347530000000005</v>
      </c>
      <c r="S5615">
        <v>1.327515</v>
      </c>
      <c r="T5615">
        <v>-0.12356689999999999</v>
      </c>
      <c r="U5615">
        <v>-2.8197939999999999</v>
      </c>
      <c r="V5615">
        <v>1.6845530000000001E-2</v>
      </c>
      <c r="W5615">
        <v>4.0785269999999998E-2</v>
      </c>
      <c r="X5615">
        <v>0.99902590000000002</v>
      </c>
      <c r="Y5615">
        <v>-0.24463190000000001</v>
      </c>
      <c r="Z5615">
        <v>3.9826720000000003E-2</v>
      </c>
      <c r="AA5615">
        <v>0.96879769999999998</v>
      </c>
      <c r="AB5615">
        <v>20</v>
      </c>
      <c r="AC5615">
        <v>11.533799999999999</v>
      </c>
      <c r="AD5615">
        <v>-1.078630443207</v>
      </c>
      <c r="AE5615">
        <v>-24.377444000000001</v>
      </c>
      <c r="AF5615">
        <v>-6.64612884438856</v>
      </c>
      <c r="AG5615">
        <v>-1.078630443207</v>
      </c>
      <c r="AH5615">
        <v>26.092067264405198</v>
      </c>
      <c r="AI5615">
        <v>92.294056054805793</v>
      </c>
      <c r="AJ5615">
        <v>104.290399811455</v>
      </c>
      <c r="AK5615">
        <v>26.946807721499599</v>
      </c>
      <c r="AL5615">
        <v>87.662527768961098</v>
      </c>
      <c r="AM5615">
        <v>89.033972679419193</v>
      </c>
      <c r="AN5615">
        <v>0.999999979500381</v>
      </c>
    </row>
    <row r="5616" spans="1:40" x14ac:dyDescent="0.3">
      <c r="A5616" t="str">
        <f>"20200111160613589"</f>
        <v>20200111160613589</v>
      </c>
      <c r="B5616" t="str">
        <f>"1578729973577306"</f>
        <v>1578729973577306</v>
      </c>
      <c r="C5616" t="s">
        <v>40</v>
      </c>
      <c r="D5616">
        <v>6.3326560000000001</v>
      </c>
      <c r="E5616">
        <v>0.42410609999999999</v>
      </c>
      <c r="F5616" t="s">
        <v>41</v>
      </c>
      <c r="G5616">
        <v>-290.40789999999998</v>
      </c>
      <c r="H5616" s="1">
        <v>-2.6472720000000001E-6</v>
      </c>
      <c r="I5616">
        <v>-30.072620000000001</v>
      </c>
      <c r="J5616">
        <v>-303.59440000000001</v>
      </c>
      <c r="K5616">
        <v>1.0802350000000001</v>
      </c>
      <c r="L5616">
        <v>-2.22113</v>
      </c>
      <c r="M5616">
        <v>0.1927741</v>
      </c>
      <c r="N5616">
        <v>0</v>
      </c>
      <c r="O5616">
        <v>-0.98122140000000002</v>
      </c>
      <c r="P5616">
        <v>0.17412439999999901</v>
      </c>
      <c r="Q5616">
        <v>5.4117930000000002E-2</v>
      </c>
      <c r="R5616">
        <v>-0.98323550000000004</v>
      </c>
      <c r="S5616">
        <v>1.3296509999999999</v>
      </c>
      <c r="T5616">
        <v>-0.1084707</v>
      </c>
      <c r="U5616">
        <v>-2.8194270000000001</v>
      </c>
      <c r="V5616">
        <v>1.892897E-2</v>
      </c>
      <c r="W5616">
        <v>4.7484480000000003E-2</v>
      </c>
      <c r="X5616">
        <v>0.99869260000000004</v>
      </c>
      <c r="Y5616">
        <v>-0.24392240000000001</v>
      </c>
      <c r="Z5616">
        <v>3.4954590000000001E-2</v>
      </c>
      <c r="AA5616">
        <v>0.96916460000000004</v>
      </c>
      <c r="AB5616">
        <v>20</v>
      </c>
      <c r="AC5616">
        <v>13.186500000000001</v>
      </c>
      <c r="AD5616">
        <v>-1.0802376472719999</v>
      </c>
      <c r="AE5616">
        <v>-27.851489999999998</v>
      </c>
      <c r="AF5616">
        <v>-7.5607006823175604</v>
      </c>
      <c r="AG5616">
        <v>-1.0802376472719999</v>
      </c>
      <c r="AH5616">
        <v>29.834469172403001</v>
      </c>
      <c r="AI5616">
        <v>92.010153219874198</v>
      </c>
      <c r="AJ5616">
        <v>104.220608881462</v>
      </c>
      <c r="AK5616">
        <v>30.796536477033399</v>
      </c>
      <c r="AL5616">
        <v>87.278316239455805</v>
      </c>
      <c r="AM5616">
        <v>88.914160126370106</v>
      </c>
      <c r="AN5616">
        <v>0.99999999552044505</v>
      </c>
    </row>
    <row r="5617" spans="1:40" x14ac:dyDescent="0.3">
      <c r="A5617" t="str">
        <f>"20200111160613612"</f>
        <v>20200111160613612</v>
      </c>
      <c r="B5617" t="str">
        <f>"1578729973607563"</f>
        <v>1578729973607563</v>
      </c>
      <c r="C5617" t="s">
        <v>40</v>
      </c>
      <c r="D5617">
        <v>5.290457</v>
      </c>
      <c r="E5617">
        <v>0.5589459</v>
      </c>
      <c r="F5617" t="s">
        <v>92</v>
      </c>
      <c r="G5617">
        <v>-272.82260000000002</v>
      </c>
      <c r="H5617">
        <v>5.5611439999999996</v>
      </c>
      <c r="I5617">
        <v>-80.464519999999993</v>
      </c>
      <c r="J5617">
        <v>-303.55349999999999</v>
      </c>
      <c r="K5617">
        <v>1.0826469999999999</v>
      </c>
      <c r="L5617">
        <v>-2.4348450000000001</v>
      </c>
      <c r="M5617">
        <v>0.1935848</v>
      </c>
      <c r="N5617">
        <v>0</v>
      </c>
      <c r="O5617">
        <v>-0.98106150000000003</v>
      </c>
      <c r="P5617">
        <v>0.1701135</v>
      </c>
      <c r="Q5617">
        <v>5.8440949999999998E-2</v>
      </c>
      <c r="R5617">
        <v>-0.98369030000000002</v>
      </c>
      <c r="S5617">
        <v>1.11853</v>
      </c>
      <c r="T5617">
        <v>0.162878</v>
      </c>
      <c r="U5617">
        <v>-2.8440859999999999</v>
      </c>
      <c r="V5617">
        <v>2.3781969999999999E-2</v>
      </c>
      <c r="W5617">
        <v>5.1747870000000001E-2</v>
      </c>
      <c r="X5617">
        <v>0.99837699999999996</v>
      </c>
      <c r="Y5617">
        <v>-0.17838989999999999</v>
      </c>
      <c r="Z5617">
        <v>-5.3141699999999903E-2</v>
      </c>
      <c r="AA5617">
        <v>0.98252379999999995</v>
      </c>
      <c r="AB5617">
        <v>21</v>
      </c>
      <c r="AC5617">
        <v>30.730899999999899</v>
      </c>
      <c r="AD5617">
        <v>4.478497</v>
      </c>
      <c r="AE5617">
        <v>-78.029674999999997</v>
      </c>
      <c r="AF5617">
        <v>-15.001088737018</v>
      </c>
      <c r="AG5617">
        <v>4.478497</v>
      </c>
      <c r="AH5617">
        <v>82.2681153776158</v>
      </c>
      <c r="AI5617">
        <v>86.934466082781199</v>
      </c>
      <c r="AJ5617">
        <v>100.33400113614</v>
      </c>
      <c r="AK5617">
        <v>83.744447018650703</v>
      </c>
      <c r="AL5617">
        <v>87.033740668521105</v>
      </c>
      <c r="AM5617">
        <v>88.635436440639296</v>
      </c>
      <c r="AN5617">
        <v>1.0000000291378</v>
      </c>
    </row>
    <row r="5618" spans="1:40" x14ac:dyDescent="0.3">
      <c r="A5618" t="str">
        <f>"20200111160613635"</f>
        <v>20200111160613635</v>
      </c>
      <c r="B5618" t="str">
        <f>"1578729973628058"</f>
        <v>1578729973628058</v>
      </c>
      <c r="C5618" t="s">
        <v>40</v>
      </c>
      <c r="D5618">
        <v>5.2618970000000003</v>
      </c>
      <c r="E5618">
        <v>0.61963800000000002</v>
      </c>
      <c r="F5618" t="s">
        <v>93</v>
      </c>
      <c r="G5618">
        <v>-302.1558</v>
      </c>
      <c r="H5618">
        <v>5.8659439999999998</v>
      </c>
      <c r="I5618">
        <v>-91.564989999999995</v>
      </c>
      <c r="J5618">
        <v>-303.51220000000001</v>
      </c>
      <c r="K5618">
        <v>1.0854429999999999</v>
      </c>
      <c r="L5618">
        <v>-2.6501459999999999</v>
      </c>
      <c r="M5618">
        <v>0.19290959999999999</v>
      </c>
      <c r="N5618">
        <v>0</v>
      </c>
      <c r="O5618">
        <v>-0.9811957</v>
      </c>
      <c r="P5618">
        <v>0.163572</v>
      </c>
      <c r="Q5618">
        <v>6.0365960000000003E-2</v>
      </c>
      <c r="R5618">
        <v>-0.98468290000000003</v>
      </c>
      <c r="S5618">
        <v>4.7546390000000001E-2</v>
      </c>
      <c r="T5618">
        <v>0.16270960000000001</v>
      </c>
      <c r="U5618">
        <v>-3.03186</v>
      </c>
      <c r="V5618">
        <v>2.9662270000000001E-2</v>
      </c>
      <c r="W5618">
        <v>5.3853499999999999E-2</v>
      </c>
      <c r="X5618">
        <v>0.9981082</v>
      </c>
      <c r="Y5618">
        <v>0.17752309999999999</v>
      </c>
      <c r="Z5618">
        <v>-5.1652299999999998E-2</v>
      </c>
      <c r="AA5618">
        <v>0.98276019999999997</v>
      </c>
      <c r="AB5618">
        <v>21</v>
      </c>
      <c r="AC5618">
        <v>1.3564000000000001</v>
      </c>
      <c r="AD5618">
        <v>4.7805010000000001</v>
      </c>
      <c r="AE5618">
        <v>-88.914843999999903</v>
      </c>
      <c r="AF5618">
        <v>15.776362958002601</v>
      </c>
      <c r="AG5618">
        <v>4.7805010000000001</v>
      </c>
      <c r="AH5618">
        <v>87.254149888917595</v>
      </c>
      <c r="AI5618">
        <v>86.9139405799408</v>
      </c>
      <c r="AJ5618">
        <v>79.751117611960197</v>
      </c>
      <c r="AK5618">
        <v>88.797711067523295</v>
      </c>
      <c r="AL5618">
        <v>86.912928366962205</v>
      </c>
      <c r="AM5618">
        <v>88.297756882881401</v>
      </c>
      <c r="AN5618">
        <v>1.0000000143155201</v>
      </c>
    </row>
    <row r="5619" spans="1:40" x14ac:dyDescent="0.3">
      <c r="A5619" t="str">
        <f>"20200111160613657"</f>
        <v>20200111160613657</v>
      </c>
      <c r="B5619" t="str">
        <f>"1578729973647578"</f>
        <v>1578729973647578</v>
      </c>
      <c r="C5619" t="s">
        <v>40</v>
      </c>
      <c r="D5619">
        <v>5.2027489999999998</v>
      </c>
      <c r="E5619">
        <v>0.6196258</v>
      </c>
      <c r="F5619" t="s">
        <v>67</v>
      </c>
      <c r="G5619">
        <v>-310.08699999999999</v>
      </c>
      <c r="H5619">
        <v>7.9987509999999998E-2</v>
      </c>
      <c r="I5619">
        <v>-48.95337</v>
      </c>
      <c r="J5619">
        <v>-303.47309999999999</v>
      </c>
      <c r="K5619">
        <v>1.088103</v>
      </c>
      <c r="L5619">
        <v>-2.8525700000000001</v>
      </c>
      <c r="M5619">
        <v>0.19156319999999999</v>
      </c>
      <c r="N5619">
        <v>0</v>
      </c>
      <c r="O5619">
        <v>-0.98146239999999996</v>
      </c>
      <c r="P5619">
        <v>0.1547781</v>
      </c>
      <c r="Q5619">
        <v>5.9675659999999998E-2</v>
      </c>
      <c r="R5619">
        <v>-0.98614539999999995</v>
      </c>
      <c r="S5619">
        <v>-0.44366460000000002</v>
      </c>
      <c r="T5619">
        <v>-6.7847489999999996E-2</v>
      </c>
      <c r="U5619">
        <v>-3.1245120000000002</v>
      </c>
      <c r="V5619">
        <v>3.7154340000000001E-2</v>
      </c>
      <c r="W5619">
        <v>5.3656849999999999E-2</v>
      </c>
      <c r="X5619">
        <v>0.99786799999999998</v>
      </c>
      <c r="Y5619">
        <v>0.32761400000000002</v>
      </c>
      <c r="Z5619">
        <v>2.040229E-2</v>
      </c>
      <c r="AA5619">
        <v>0.94459130000000002</v>
      </c>
      <c r="AB5619">
        <v>21</v>
      </c>
      <c r="AC5619">
        <v>-6.6139000000000001</v>
      </c>
      <c r="AD5619">
        <v>-1.00811549</v>
      </c>
      <c r="AE5619">
        <v>-46.1008</v>
      </c>
      <c r="AF5619">
        <v>15.3156037188262</v>
      </c>
      <c r="AG5619">
        <v>-1.00811549</v>
      </c>
      <c r="AH5619">
        <v>43.959396612782001</v>
      </c>
      <c r="AI5619">
        <v>91.240611947699406</v>
      </c>
      <c r="AJ5619">
        <v>70.791489032956306</v>
      </c>
      <c r="AK5619">
        <v>46.5619218318271</v>
      </c>
      <c r="AL5619">
        <v>86.924211925953003</v>
      </c>
      <c r="AM5619">
        <v>87.867649887431398</v>
      </c>
      <c r="AN5619">
        <v>1.00000002397837</v>
      </c>
    </row>
    <row r="5620" spans="1:40" x14ac:dyDescent="0.3">
      <c r="A5620" t="str">
        <f>"20200111160613682"</f>
        <v>20200111160613682</v>
      </c>
      <c r="B5620" t="str">
        <f>"1578729973677834"</f>
        <v>1578729973677834</v>
      </c>
      <c r="C5620" t="s">
        <v>40</v>
      </c>
      <c r="D5620">
        <v>5.1953500000000004</v>
      </c>
      <c r="E5620">
        <v>0.61866519999999903</v>
      </c>
      <c r="F5620" t="s">
        <v>41</v>
      </c>
      <c r="G5620">
        <v>-307.29480000000001</v>
      </c>
      <c r="H5620" s="1">
        <v>-2.8554819999999999E-6</v>
      </c>
      <c r="I5620">
        <v>-28.279109999999999</v>
      </c>
      <c r="J5620">
        <v>-303.42689999999999</v>
      </c>
      <c r="K5620">
        <v>1.090981</v>
      </c>
      <c r="L5620">
        <v>-3.0914609999999998</v>
      </c>
      <c r="M5620">
        <v>0.19011990000000001</v>
      </c>
      <c r="N5620">
        <v>0</v>
      </c>
      <c r="O5620">
        <v>-0.98174760000000005</v>
      </c>
      <c r="P5620">
        <v>0.1457106</v>
      </c>
      <c r="Q5620">
        <v>5.7690350000000001E-2</v>
      </c>
      <c r="R5620">
        <v>-0.98764379999999996</v>
      </c>
      <c r="S5620">
        <v>-0.4695435</v>
      </c>
      <c r="T5620">
        <v>-0.13368579999999999</v>
      </c>
      <c r="U5620">
        <v>-3.1239319999999999</v>
      </c>
      <c r="V5620">
        <v>4.4836519999999998E-2</v>
      </c>
      <c r="W5620">
        <v>5.2468819999999999E-2</v>
      </c>
      <c r="X5620">
        <v>0.99761549999999999</v>
      </c>
      <c r="Y5620">
        <v>0.33380840000000001</v>
      </c>
      <c r="Z5620">
        <v>4.0128509999999999E-2</v>
      </c>
      <c r="AA5620">
        <v>0.94178640000000002</v>
      </c>
      <c r="AB5620">
        <v>21</v>
      </c>
      <c r="AC5620">
        <v>-3.8679000000000201</v>
      </c>
      <c r="AD5620">
        <v>-1.0909838554819999</v>
      </c>
      <c r="AE5620">
        <v>-25.187649</v>
      </c>
      <c r="AF5620">
        <v>8.5703781370604499</v>
      </c>
      <c r="AG5620">
        <v>-1.0909838554819999</v>
      </c>
      <c r="AH5620">
        <v>23.948965916025699</v>
      </c>
      <c r="AI5620">
        <v>92.455959806744005</v>
      </c>
      <c r="AJ5620">
        <v>70.309740536767194</v>
      </c>
      <c r="AK5620">
        <v>25.459666054999399</v>
      </c>
      <c r="AL5620">
        <v>86.992376958377804</v>
      </c>
      <c r="AM5620">
        <v>87.426648084628397</v>
      </c>
      <c r="AN5620">
        <v>0.99999998821907599</v>
      </c>
    </row>
    <row r="5621" spans="1:40" x14ac:dyDescent="0.3">
      <c r="A5621" t="str">
        <f>"20200111160613702"</f>
        <v>20200111160613702</v>
      </c>
      <c r="B5621" t="str">
        <f>"1578729973697354"</f>
        <v>1578729973697354</v>
      </c>
      <c r="C5621" t="s">
        <v>40</v>
      </c>
      <c r="D5621">
        <v>5.7146939999999997</v>
      </c>
      <c r="E5621">
        <v>0.61414859999999905</v>
      </c>
      <c r="F5621" t="s">
        <v>41</v>
      </c>
      <c r="G5621">
        <v>-306.38740000000001</v>
      </c>
      <c r="H5621" s="1">
        <v>-4.8845639999999996E-6</v>
      </c>
      <c r="I5621">
        <v>-21.98911</v>
      </c>
      <c r="J5621">
        <v>-303.39049999999997</v>
      </c>
      <c r="K5621">
        <v>1.0929679999999999</v>
      </c>
      <c r="L5621">
        <v>-3.2814640000000002</v>
      </c>
      <c r="M5621">
        <v>0.18943850000000001</v>
      </c>
      <c r="N5621">
        <v>0</v>
      </c>
      <c r="O5621">
        <v>-0.98188220000000004</v>
      </c>
      <c r="P5621">
        <v>0.13765289999999999</v>
      </c>
      <c r="Q5621">
        <v>5.3788080000000002E-2</v>
      </c>
      <c r="R5621">
        <v>-0.98901899999999998</v>
      </c>
      <c r="S5621">
        <v>-0.48880000000000001</v>
      </c>
      <c r="T5621">
        <v>-0.18013189999999901</v>
      </c>
      <c r="U5621">
        <v>-3.1201780000000001</v>
      </c>
      <c r="V5621">
        <v>5.2301529999999999E-2</v>
      </c>
      <c r="W5621">
        <v>4.9186710000000002E-2</v>
      </c>
      <c r="X5621">
        <v>0.99741930000000001</v>
      </c>
      <c r="Y5621">
        <v>0.33888610000000002</v>
      </c>
      <c r="Z5621">
        <v>5.4028609999999998E-2</v>
      </c>
      <c r="AA5621">
        <v>0.93927479999999997</v>
      </c>
      <c r="AB5621">
        <v>22</v>
      </c>
      <c r="AC5621">
        <v>-2.9969000000000299</v>
      </c>
      <c r="AD5621">
        <v>-1.0929728845640001</v>
      </c>
      <c r="AE5621">
        <v>-18.707646</v>
      </c>
      <c r="AF5621">
        <v>6.4651018379432301</v>
      </c>
      <c r="AG5621">
        <v>-1.0929728845640001</v>
      </c>
      <c r="AH5621">
        <v>17.7421132089653</v>
      </c>
      <c r="AI5621">
        <v>93.312601366008593</v>
      </c>
      <c r="AJ5621">
        <v>69.978613790056698</v>
      </c>
      <c r="AK5621">
        <v>18.914933587541601</v>
      </c>
      <c r="AL5621">
        <v>87.180671573105798</v>
      </c>
      <c r="AM5621">
        <v>86.998338718907107</v>
      </c>
      <c r="AN5621">
        <v>1.0000000212467199</v>
      </c>
    </row>
    <row r="5622" spans="1:40" x14ac:dyDescent="0.3">
      <c r="A5622" t="str">
        <f>"20200111160613725"</f>
        <v>20200111160613725</v>
      </c>
      <c r="B5622" t="str">
        <f>"1578729973717851"</f>
        <v>1578729973717851</v>
      </c>
      <c r="C5622" t="s">
        <v>40</v>
      </c>
      <c r="D5622">
        <v>5.5148390000000003</v>
      </c>
      <c r="E5622">
        <v>0.61233040000000005</v>
      </c>
      <c r="F5622" t="s">
        <v>41</v>
      </c>
      <c r="G5622">
        <v>-305.61509999999998</v>
      </c>
      <c r="H5622" s="1">
        <v>-2.6087530000000001E-6</v>
      </c>
      <c r="I5622">
        <v>-17.81241</v>
      </c>
      <c r="J5622">
        <v>-303.34859999999998</v>
      </c>
      <c r="K5622">
        <v>1.0950040000000001</v>
      </c>
      <c r="L5622">
        <v>-3.5019230000000001</v>
      </c>
      <c r="M5622">
        <v>0.18898780000000001</v>
      </c>
      <c r="N5622">
        <v>0</v>
      </c>
      <c r="O5622">
        <v>-0.98197219999999996</v>
      </c>
      <c r="P5622">
        <v>0.13100909999999999</v>
      </c>
      <c r="Q5622">
        <v>5.0077429999999999E-2</v>
      </c>
      <c r="R5622">
        <v>-0.9901162</v>
      </c>
      <c r="S5622">
        <v>-0.47647089999999998</v>
      </c>
      <c r="T5622">
        <v>-0.234102</v>
      </c>
      <c r="U5622">
        <v>-3.1123660000000002</v>
      </c>
      <c r="V5622">
        <v>5.8568380000000003E-2</v>
      </c>
      <c r="W5622">
        <v>4.6125079999999999E-2</v>
      </c>
      <c r="X5622">
        <v>0.99721720000000003</v>
      </c>
      <c r="Y5622">
        <v>0.33501510000000001</v>
      </c>
      <c r="Z5622">
        <v>7.0393029999999995E-2</v>
      </c>
      <c r="AA5622">
        <v>0.93957950000000001</v>
      </c>
      <c r="AB5622">
        <v>22</v>
      </c>
      <c r="AC5622">
        <v>-2.2665000000000002</v>
      </c>
      <c r="AD5622">
        <v>-1.0950066087529999</v>
      </c>
      <c r="AE5622">
        <v>-14.310487</v>
      </c>
      <c r="AF5622">
        <v>4.9021826996370601</v>
      </c>
      <c r="AG5622">
        <v>-1.0950066087529999</v>
      </c>
      <c r="AH5622">
        <v>13.5468806943844</v>
      </c>
      <c r="AI5622">
        <v>94.346547423072494</v>
      </c>
      <c r="AJ5622">
        <v>70.106430778022002</v>
      </c>
      <c r="AK5622">
        <v>14.448128295447701</v>
      </c>
      <c r="AL5622">
        <v>87.3562894917915</v>
      </c>
      <c r="AM5622">
        <v>86.638775870248907</v>
      </c>
      <c r="AN5622">
        <v>0.999999961058334</v>
      </c>
    </row>
    <row r="5623" spans="1:40" x14ac:dyDescent="0.3">
      <c r="A5623" t="str">
        <f>"20200111160613745"</f>
        <v>20200111160613745</v>
      </c>
      <c r="B5623" t="str">
        <f>"1578729973737370"</f>
        <v>1578729973737370</v>
      </c>
      <c r="C5623" t="s">
        <v>40</v>
      </c>
      <c r="D5623">
        <v>5.5479159999999998</v>
      </c>
      <c r="E5623">
        <v>0.58981969999999995</v>
      </c>
      <c r="F5623" t="s">
        <v>41</v>
      </c>
      <c r="G5623">
        <v>-305.3843</v>
      </c>
      <c r="H5623" s="1">
        <v>-3.0646770000000001E-6</v>
      </c>
      <c r="I5623">
        <v>-16.606549999999999</v>
      </c>
      <c r="J5623">
        <v>-303.31099999999998</v>
      </c>
      <c r="K5623">
        <v>1.096649</v>
      </c>
      <c r="L5623">
        <v>-3.7012019999999999</v>
      </c>
      <c r="M5623">
        <v>0.1886651</v>
      </c>
      <c r="N5623">
        <v>0</v>
      </c>
      <c r="O5623">
        <v>-0.98203620000000003</v>
      </c>
      <c r="P5623">
        <v>0.12624150000000001</v>
      </c>
      <c r="Q5623">
        <v>4.4027629999999998E-2</v>
      </c>
      <c r="R5623">
        <v>-0.99102250000000003</v>
      </c>
      <c r="S5623">
        <v>-0.4826355</v>
      </c>
      <c r="T5623">
        <v>-0.2596117</v>
      </c>
      <c r="U5623">
        <v>-3.1069339999999999</v>
      </c>
      <c r="V5623">
        <v>6.3081789999999999E-2</v>
      </c>
      <c r="W5623">
        <v>4.0608030000000003E-2</v>
      </c>
      <c r="X5623">
        <v>0.99718189999999995</v>
      </c>
      <c r="Y5623">
        <v>0.33667770000000002</v>
      </c>
      <c r="Z5623">
        <v>7.8119170000000002E-2</v>
      </c>
      <c r="AA5623">
        <v>0.93837389999999998</v>
      </c>
      <c r="AB5623">
        <v>22</v>
      </c>
      <c r="AC5623">
        <v>-2.0733000000000099</v>
      </c>
      <c r="AD5623">
        <v>-1.0966520646769999</v>
      </c>
      <c r="AE5623">
        <v>-12.905347999999901</v>
      </c>
      <c r="AF5623">
        <v>4.4396157048910299</v>
      </c>
      <c r="AG5623">
        <v>-1.0966520646769999</v>
      </c>
      <c r="AH5623">
        <v>12.1965676300446</v>
      </c>
      <c r="AI5623">
        <v>94.829526122564502</v>
      </c>
      <c r="AJ5623">
        <v>69.998224074676699</v>
      </c>
      <c r="AK5623">
        <v>13.025709013805301</v>
      </c>
      <c r="AL5623">
        <v>87.672691417733304</v>
      </c>
      <c r="AM5623">
        <v>86.380288722313097</v>
      </c>
      <c r="AN5623">
        <v>1.0000000330088401</v>
      </c>
    </row>
    <row r="5624" spans="1:40" x14ac:dyDescent="0.3">
      <c r="A5624" t="str">
        <f>"20200111160613774"</f>
        <v>20200111160613774</v>
      </c>
      <c r="B5624" t="str">
        <f>"1578729973767627"</f>
        <v>1578729973767627</v>
      </c>
      <c r="C5624" t="s">
        <v>40</v>
      </c>
      <c r="D5624">
        <v>5.2193519999999998</v>
      </c>
      <c r="E5624">
        <v>0.59722229999999998</v>
      </c>
      <c r="F5624" t="s">
        <v>41</v>
      </c>
      <c r="G5624">
        <v>-304.15929999999997</v>
      </c>
      <c r="H5624" s="1">
        <v>-4.4821870000000003E-6</v>
      </c>
      <c r="I5624">
        <v>-12.010120000000001</v>
      </c>
      <c r="J5624">
        <v>-303.2568</v>
      </c>
      <c r="K5624">
        <v>1.098787</v>
      </c>
      <c r="L5624">
        <v>-3.990173</v>
      </c>
      <c r="M5624">
        <v>0.18803819999999999</v>
      </c>
      <c r="N5624">
        <v>0</v>
      </c>
      <c r="O5624">
        <v>-0.98215850000000005</v>
      </c>
      <c r="P5624">
        <v>0.1226782</v>
      </c>
      <c r="Q5624">
        <v>3.9977350000000002E-2</v>
      </c>
      <c r="R5624">
        <v>-0.9916412</v>
      </c>
      <c r="S5624">
        <v>-0.31500240000000002</v>
      </c>
      <c r="T5624">
        <v>-0.40722520000000001</v>
      </c>
      <c r="U5624">
        <v>-3.085388</v>
      </c>
      <c r="V5624">
        <v>6.6047850000000005E-2</v>
      </c>
      <c r="W5624">
        <v>3.7279850000000003E-2</v>
      </c>
      <c r="X5624">
        <v>0.9971198</v>
      </c>
      <c r="Y5624">
        <v>0.28598590000000002</v>
      </c>
      <c r="Z5624">
        <v>0.1242925</v>
      </c>
      <c r="AA5624">
        <v>0.95013860000000006</v>
      </c>
      <c r="AB5624">
        <v>22</v>
      </c>
      <c r="AC5624">
        <v>-0.90249999999997499</v>
      </c>
      <c r="AD5624">
        <v>-1.098791482187</v>
      </c>
      <c r="AE5624">
        <v>-8.0199470000000002</v>
      </c>
      <c r="AF5624">
        <v>2.3508853508390199</v>
      </c>
      <c r="AG5624">
        <v>-1.098791482187</v>
      </c>
      <c r="AH5624">
        <v>7.56691654074148</v>
      </c>
      <c r="AI5624">
        <v>97.8949517380195</v>
      </c>
      <c r="AJ5624">
        <v>72.741054970156398</v>
      </c>
      <c r="AK5624">
        <v>7.9995143970533098</v>
      </c>
      <c r="AL5624">
        <v>87.863526866614293</v>
      </c>
      <c r="AM5624">
        <v>86.210342007305798</v>
      </c>
      <c r="AN5624">
        <v>1.0000000006288401</v>
      </c>
    </row>
    <row r="5625" spans="1:40" x14ac:dyDescent="0.3">
      <c r="A5625" t="str">
        <f>"20200111160613794"</f>
        <v>20200111160613794</v>
      </c>
      <c r="B5625" t="str">
        <f>"1578729973788124"</f>
        <v>1578729973788124</v>
      </c>
      <c r="C5625" t="s">
        <v>40</v>
      </c>
      <c r="D5625">
        <v>5.2903079999999996</v>
      </c>
      <c r="E5625">
        <v>0.59831369999999995</v>
      </c>
      <c r="F5625" t="s">
        <v>41</v>
      </c>
      <c r="G5625">
        <v>-304.43150000000003</v>
      </c>
      <c r="H5625" s="1">
        <v>-4.0663210000000003E-6</v>
      </c>
      <c r="I5625">
        <v>-13.37402</v>
      </c>
      <c r="J5625">
        <v>-303.21800000000002</v>
      </c>
      <c r="K5625">
        <v>1.100174</v>
      </c>
      <c r="L5625">
        <v>-4.1972659999999999</v>
      </c>
      <c r="M5625">
        <v>0.1874799</v>
      </c>
      <c r="N5625">
        <v>0</v>
      </c>
      <c r="O5625">
        <v>-0.98226619999999998</v>
      </c>
      <c r="P5625">
        <v>0.1216453</v>
      </c>
      <c r="Q5625">
        <v>3.9591910000000001E-2</v>
      </c>
      <c r="R5625">
        <v>-0.991784</v>
      </c>
      <c r="S5625">
        <v>-0.38650509999999999</v>
      </c>
      <c r="T5625">
        <v>-0.36154789999999998</v>
      </c>
      <c r="U5625">
        <v>-3.0876769999999998</v>
      </c>
      <c r="V5625">
        <v>6.6515130000000006E-2</v>
      </c>
      <c r="W5625">
        <v>3.737944E-2</v>
      </c>
      <c r="X5625">
        <v>0.997085</v>
      </c>
      <c r="Y5625">
        <v>0.30723630000000002</v>
      </c>
      <c r="Z5625">
        <v>0.1099605</v>
      </c>
      <c r="AA5625">
        <v>0.94525899999999996</v>
      </c>
      <c r="AB5625">
        <v>22</v>
      </c>
      <c r="AC5625">
        <v>-1.21350000000001</v>
      </c>
      <c r="AD5625">
        <v>-1.1001780663209999</v>
      </c>
      <c r="AE5625">
        <v>-9.1767540000000007</v>
      </c>
      <c r="AF5625">
        <v>2.87187525696211</v>
      </c>
      <c r="AG5625">
        <v>-1.1001780663209999</v>
      </c>
      <c r="AH5625">
        <v>8.6641381467896501</v>
      </c>
      <c r="AI5625">
        <v>96.872806558643305</v>
      </c>
      <c r="AJ5625">
        <v>71.661348428988902</v>
      </c>
      <c r="AK5625">
        <v>9.1937668610760692</v>
      </c>
      <c r="AL5625">
        <v>87.857816779713403</v>
      </c>
      <c r="AM5625">
        <v>86.183476817212593</v>
      </c>
      <c r="AN5625">
        <v>0.99999999113931504</v>
      </c>
    </row>
    <row r="5626" spans="1:40" x14ac:dyDescent="0.3">
      <c r="A5626" t="str">
        <f>"20200111160613833"</f>
        <v>20200111160613833</v>
      </c>
      <c r="B5626" t="str">
        <f>"1578729973828138"</f>
        <v>1578729973828138</v>
      </c>
      <c r="C5626" t="s">
        <v>40</v>
      </c>
      <c r="D5626">
        <v>5.8044849999999997</v>
      </c>
      <c r="E5626">
        <v>0.59842720000000005</v>
      </c>
      <c r="F5626" t="s">
        <v>41</v>
      </c>
      <c r="G5626">
        <v>-304.48149999999998</v>
      </c>
      <c r="H5626" s="1">
        <v>-3.8612600000000004E-6</v>
      </c>
      <c r="I5626">
        <v>-14.002689999999999</v>
      </c>
      <c r="J5626">
        <v>-303.1447</v>
      </c>
      <c r="K5626">
        <v>1.102371</v>
      </c>
      <c r="L5626">
        <v>-4.5905149999999999</v>
      </c>
      <c r="M5626">
        <v>0.18634290000000001</v>
      </c>
      <c r="N5626">
        <v>0</v>
      </c>
      <c r="O5626">
        <v>-0.98248400000000002</v>
      </c>
      <c r="P5626">
        <v>0.1228659</v>
      </c>
      <c r="Q5626">
        <v>3.774607E-2</v>
      </c>
      <c r="R5626">
        <v>-0.99170539999999996</v>
      </c>
      <c r="S5626">
        <v>-0.39782709999999999</v>
      </c>
      <c r="T5626">
        <v>-0.34641620000000001</v>
      </c>
      <c r="U5626">
        <v>-3.0874630000000001</v>
      </c>
      <c r="V5626">
        <v>6.4131450000000007E-2</v>
      </c>
      <c r="W5626">
        <v>3.6368280000000003E-2</v>
      </c>
      <c r="X5626">
        <v>0.99727860000000002</v>
      </c>
      <c r="Y5626">
        <v>0.30962000000000001</v>
      </c>
      <c r="Z5626">
        <v>0.10539220000000001</v>
      </c>
      <c r="AA5626">
        <v>0.94500150000000005</v>
      </c>
      <c r="AB5626">
        <v>23</v>
      </c>
      <c r="AC5626">
        <v>-1.33679999999998</v>
      </c>
      <c r="AD5626">
        <v>-1.1023748612599999</v>
      </c>
      <c r="AE5626">
        <v>-9.4121749999999995</v>
      </c>
      <c r="AF5626">
        <v>3.0265823631322899</v>
      </c>
      <c r="AG5626">
        <v>-1.1023748612599999</v>
      </c>
      <c r="AH5626">
        <v>8.87882694833519</v>
      </c>
      <c r="AI5626">
        <v>96.702527060484996</v>
      </c>
      <c r="AJ5626">
        <v>71.176969205416796</v>
      </c>
      <c r="AK5626">
        <v>9.4450515675693705</v>
      </c>
      <c r="AL5626">
        <v>87.9157915334942</v>
      </c>
      <c r="AM5626">
        <v>86.3205778959002</v>
      </c>
      <c r="AN5626">
        <v>1.0000000503436</v>
      </c>
    </row>
    <row r="5627" spans="1:40" x14ac:dyDescent="0.3">
      <c r="A5627" t="str">
        <f>"20200111160613858"</f>
        <v>20200111160613858</v>
      </c>
      <c r="B5627" t="str">
        <f>"1578729973847659"</f>
        <v>1578729973847659</v>
      </c>
      <c r="C5627" t="s">
        <v>40</v>
      </c>
      <c r="D5627">
        <v>5.4022839999999999</v>
      </c>
      <c r="E5627">
        <v>0.55084739999999999</v>
      </c>
      <c r="F5627" t="s">
        <v>41</v>
      </c>
      <c r="G5627">
        <v>-304.41199999999998</v>
      </c>
      <c r="H5627" s="1">
        <v>-3.6658830000000001E-6</v>
      </c>
      <c r="I5627">
        <v>-14.540570000000001</v>
      </c>
      <c r="J5627">
        <v>-303.09859999999998</v>
      </c>
      <c r="K5627">
        <v>1.10347</v>
      </c>
      <c r="L5627">
        <v>-4.838165</v>
      </c>
      <c r="M5627">
        <v>0.1856544</v>
      </c>
      <c r="N5627">
        <v>0</v>
      </c>
      <c r="O5627">
        <v>-0.98261489999999996</v>
      </c>
      <c r="P5627">
        <v>0.1232307</v>
      </c>
      <c r="Q5627">
        <v>3.4794539999999999E-2</v>
      </c>
      <c r="R5627">
        <v>-0.99176810000000004</v>
      </c>
      <c r="S5627">
        <v>-0.39315800000000001</v>
      </c>
      <c r="T5627">
        <v>-0.3419915</v>
      </c>
      <c r="U5627">
        <v>-3.0868229999999999</v>
      </c>
      <c r="V5627">
        <v>6.3076960000000001E-2</v>
      </c>
      <c r="W5627">
        <v>3.3889780000000001E-2</v>
      </c>
      <c r="X5627">
        <v>0.99743309999999996</v>
      </c>
      <c r="Y5627">
        <v>0.30758970000000002</v>
      </c>
      <c r="Z5627">
        <v>0.1041511</v>
      </c>
      <c r="AA5627">
        <v>0.94580180000000003</v>
      </c>
      <c r="AB5627">
        <v>23</v>
      </c>
      <c r="AC5627">
        <v>-1.3134000000000501</v>
      </c>
      <c r="AD5627">
        <v>-1.103473665883</v>
      </c>
      <c r="AE5627">
        <v>-9.7024050000000006</v>
      </c>
      <c r="AF5627">
        <v>3.05308037663265</v>
      </c>
      <c r="AG5627">
        <v>-1.103473665883</v>
      </c>
      <c r="AH5627">
        <v>9.1733691403769804</v>
      </c>
      <c r="AI5627">
        <v>96.511312723396898</v>
      </c>
      <c r="AJ5627">
        <v>71.591527818019003</v>
      </c>
      <c r="AK5627">
        <v>9.7308609743998105</v>
      </c>
      <c r="AL5627">
        <v>88.057886766708194</v>
      </c>
      <c r="AM5627">
        <v>86.381474256594402</v>
      </c>
      <c r="AN5627">
        <v>1.0000000045234401</v>
      </c>
    </row>
    <row r="5628" spans="1:40" x14ac:dyDescent="0.3">
      <c r="A5628" t="str">
        <f>"20200111160613880"</f>
        <v>20200111160613880</v>
      </c>
      <c r="B5628" t="str">
        <f>"1578729973877914"</f>
        <v>1578729973877914</v>
      </c>
      <c r="C5628" t="s">
        <v>40</v>
      </c>
      <c r="D5628">
        <v>5.3675509999999997</v>
      </c>
      <c r="E5628">
        <v>0.53760019999999997</v>
      </c>
      <c r="F5628" t="s">
        <v>42</v>
      </c>
      <c r="G5628">
        <v>-303.1035</v>
      </c>
      <c r="H5628">
        <v>1.0343329999999999</v>
      </c>
      <c r="I5628">
        <v>-5.6396519999999999</v>
      </c>
      <c r="J5628">
        <v>-303.05689999999998</v>
      </c>
      <c r="K5628">
        <v>1.104312</v>
      </c>
      <c r="L5628">
        <v>-5.0629580000000001</v>
      </c>
      <c r="M5628">
        <v>0.18504570000000001</v>
      </c>
      <c r="N5628">
        <v>0</v>
      </c>
      <c r="O5628">
        <v>-0.98272999999999999</v>
      </c>
      <c r="P5628">
        <v>0.12336949999999999</v>
      </c>
      <c r="Q5628">
        <v>3.250575E-2</v>
      </c>
      <c r="R5628">
        <v>-0.99182859999999995</v>
      </c>
      <c r="S5628">
        <v>-1.8096919999999999E-2</v>
      </c>
      <c r="T5628">
        <v>-0.26189319999999999</v>
      </c>
      <c r="U5628">
        <v>-3.036346</v>
      </c>
      <c r="V5628">
        <v>6.2329179999999998E-2</v>
      </c>
      <c r="W5628">
        <v>3.2006819999999998E-2</v>
      </c>
      <c r="X5628">
        <v>0.99754229999999999</v>
      </c>
      <c r="Y5628">
        <v>0.19087229999999999</v>
      </c>
      <c r="Z5628">
        <v>8.2919099999999996E-2</v>
      </c>
      <c r="AA5628">
        <v>0.97810640000000004</v>
      </c>
      <c r="AB5628">
        <v>23</v>
      </c>
      <c r="AC5628">
        <v>-4.6600000000012097E-2</v>
      </c>
      <c r="AD5628">
        <v>-6.9979000000000194E-2</v>
      </c>
      <c r="AE5628">
        <v>-0.57669399999999904</v>
      </c>
      <c r="AF5628">
        <v>0.150311032875203</v>
      </c>
      <c r="AG5628">
        <v>-6.9979000000000194E-2</v>
      </c>
      <c r="AH5628">
        <v>0.55006436385305701</v>
      </c>
      <c r="AI5628">
        <v>96.996372047481898</v>
      </c>
      <c r="AJ5628">
        <v>74.716432135883593</v>
      </c>
      <c r="AK5628">
        <v>0.57450959210972097</v>
      </c>
      <c r="AL5628">
        <v>88.165831045679397</v>
      </c>
      <c r="AM5628">
        <v>86.424650484124001</v>
      </c>
      <c r="AN5628">
        <v>1.00000000174763</v>
      </c>
    </row>
    <row r="5629" spans="1:40" x14ac:dyDescent="0.3">
      <c r="A5629" t="str">
        <f>"20200111160613903"</f>
        <v>20200111160613903</v>
      </c>
      <c r="B5629" t="str">
        <f>"1578729973897434"</f>
        <v>1578729973897434</v>
      </c>
      <c r="C5629" t="s">
        <v>40</v>
      </c>
      <c r="D5629">
        <v>5.1948939999999997</v>
      </c>
      <c r="E5629">
        <v>0.53436609999999996</v>
      </c>
      <c r="F5629" t="s">
        <v>41</v>
      </c>
      <c r="G5629">
        <v>-302.51569999999998</v>
      </c>
      <c r="H5629" s="1">
        <v>-3.1195220000000001E-6</v>
      </c>
      <c r="I5629">
        <v>-24.69951</v>
      </c>
      <c r="J5629">
        <v>-303.0138</v>
      </c>
      <c r="K5629">
        <v>1.1050260000000001</v>
      </c>
      <c r="L5629">
        <v>-5.2954410000000003</v>
      </c>
      <c r="M5629">
        <v>0.184395</v>
      </c>
      <c r="N5629">
        <v>0</v>
      </c>
      <c r="O5629">
        <v>-0.98285259999999997</v>
      </c>
      <c r="P5629">
        <v>0.12304279999999999</v>
      </c>
      <c r="Q5629">
        <v>3.0940100000000002E-2</v>
      </c>
      <c r="R5629">
        <v>-0.99191929999999995</v>
      </c>
      <c r="S5629">
        <v>8.3221439999999994E-2</v>
      </c>
      <c r="T5629">
        <v>-0.16983380000000001</v>
      </c>
      <c r="U5629">
        <v>-3.0199280000000002</v>
      </c>
      <c r="V5629">
        <v>6.2005159999999997E-2</v>
      </c>
      <c r="W5629">
        <v>3.084916E-2</v>
      </c>
      <c r="X5629">
        <v>0.99759889999999996</v>
      </c>
      <c r="Y5629">
        <v>0.15729000000000001</v>
      </c>
      <c r="Z5629">
        <v>5.4347100000000002E-2</v>
      </c>
      <c r="AA5629">
        <v>0.98605589999999999</v>
      </c>
      <c r="AB5629">
        <v>23</v>
      </c>
      <c r="AC5629">
        <v>0.49810000000002203</v>
      </c>
      <c r="AD5629">
        <v>-1.1050291195219999</v>
      </c>
      <c r="AE5629">
        <v>-19.404069</v>
      </c>
      <c r="AF5629">
        <v>3.0784760008258898</v>
      </c>
      <c r="AG5629">
        <v>-1.1050291195219999</v>
      </c>
      <c r="AH5629">
        <v>19.101272879920401</v>
      </c>
      <c r="AI5629">
        <v>93.268844088839501</v>
      </c>
      <c r="AJ5629">
        <v>80.844594893570402</v>
      </c>
      <c r="AK5629">
        <v>19.379286093038498</v>
      </c>
      <c r="AL5629">
        <v>88.232192750000905</v>
      </c>
      <c r="AM5629">
        <v>86.443390482915305</v>
      </c>
      <c r="AN5629">
        <v>0.99999993791026798</v>
      </c>
    </row>
    <row r="5630" spans="1:40" x14ac:dyDescent="0.3">
      <c r="A5630" t="str">
        <f>"20200111160613925"</f>
        <v>20200111160613925</v>
      </c>
      <c r="B5630" t="str">
        <f>"1578729973917930"</f>
        <v>1578729973917930</v>
      </c>
      <c r="C5630" t="s">
        <v>40</v>
      </c>
      <c r="D5630">
        <v>5.1140429999999997</v>
      </c>
      <c r="E5630">
        <v>0.5321977</v>
      </c>
      <c r="F5630" t="s">
        <v>42</v>
      </c>
      <c r="G5630">
        <v>-302.98649999999998</v>
      </c>
      <c r="H5630">
        <v>1.051599</v>
      </c>
      <c r="I5630">
        <v>-6.0518359999999998</v>
      </c>
      <c r="J5630">
        <v>-302.97000000000003</v>
      </c>
      <c r="K5630">
        <v>1.1056109999999999</v>
      </c>
      <c r="L5630">
        <v>-5.5331729999999997</v>
      </c>
      <c r="M5630">
        <v>0.1836576</v>
      </c>
      <c r="N5630">
        <v>0</v>
      </c>
      <c r="O5630">
        <v>-0.98299040000000004</v>
      </c>
      <c r="P5630">
        <v>0.12226190000000001</v>
      </c>
      <c r="Q5630">
        <v>2.9357080000000001E-2</v>
      </c>
      <c r="R5630">
        <v>-0.9920639</v>
      </c>
      <c r="S5630">
        <v>0.10968020000000001</v>
      </c>
      <c r="T5630">
        <v>-0.2130764</v>
      </c>
      <c r="U5630">
        <v>-3.017487</v>
      </c>
      <c r="V5630">
        <v>6.2052309999999999E-2</v>
      </c>
      <c r="W5630">
        <v>2.9673339999999999E-2</v>
      </c>
      <c r="X5630">
        <v>0.99763170000000001</v>
      </c>
      <c r="Y5630">
        <v>0.14791360000000001</v>
      </c>
      <c r="Z5630">
        <v>6.8235199999999996E-2</v>
      </c>
      <c r="AA5630">
        <v>0.98664359999999995</v>
      </c>
      <c r="AB5630">
        <v>23</v>
      </c>
      <c r="AC5630">
        <v>-1.6499999999950801E-2</v>
      </c>
      <c r="AD5630">
        <v>-5.4012000000000102E-2</v>
      </c>
      <c r="AE5630">
        <v>-0.51866299999999899</v>
      </c>
      <c r="AF5630">
        <v>0.110280995605691</v>
      </c>
      <c r="AG5630">
        <v>-5.4012000000000102E-2</v>
      </c>
      <c r="AH5630">
        <v>0.50137862941286604</v>
      </c>
      <c r="AI5630">
        <v>96.006102969254698</v>
      </c>
      <c r="AJ5630">
        <v>77.595012526081803</v>
      </c>
      <c r="AK5630">
        <v>0.51619736939247096</v>
      </c>
      <c r="AL5630">
        <v>88.299593259318598</v>
      </c>
      <c r="AM5630">
        <v>86.440809635425893</v>
      </c>
      <c r="AN5630">
        <v>1.0000000025639899</v>
      </c>
    </row>
    <row r="5631" spans="1:40" x14ac:dyDescent="0.3">
      <c r="A5631" t="str">
        <f>"20200111160613968"</f>
        <v>20200111160613968</v>
      </c>
      <c r="B5631" t="str">
        <f>"1578729973957946"</f>
        <v>1578729973957946</v>
      </c>
      <c r="C5631" t="s">
        <v>40</v>
      </c>
      <c r="D5631">
        <v>5.1674499999999997</v>
      </c>
      <c r="E5631">
        <v>0.52910080000000004</v>
      </c>
      <c r="F5631" t="s">
        <v>42</v>
      </c>
      <c r="G5631">
        <v>-302.93180000000001</v>
      </c>
      <c r="H5631">
        <v>1.033129</v>
      </c>
      <c r="I5631">
        <v>-6.4609259999999997</v>
      </c>
      <c r="J5631">
        <v>-302.88920000000002</v>
      </c>
      <c r="K5631">
        <v>1.1063590000000001</v>
      </c>
      <c r="L5631">
        <v>-5.9759219999999997</v>
      </c>
      <c r="M5631">
        <v>0.182009</v>
      </c>
      <c r="N5631">
        <v>0</v>
      </c>
      <c r="O5631">
        <v>-0.98329650000000002</v>
      </c>
      <c r="P5631">
        <v>0.12113649999999999</v>
      </c>
      <c r="Q5631">
        <v>2.4457690000000001E-2</v>
      </c>
      <c r="R5631">
        <v>-0.99233470000000001</v>
      </c>
      <c r="S5631">
        <v>0.1253967</v>
      </c>
      <c r="T5631">
        <v>-0.2354599</v>
      </c>
      <c r="U5631">
        <v>-3.0155029999999998</v>
      </c>
      <c r="V5631">
        <v>6.1539589999999998E-2</v>
      </c>
      <c r="W5631">
        <v>2.547686E-2</v>
      </c>
      <c r="X5631">
        <v>0.99777939999999998</v>
      </c>
      <c r="Y5631">
        <v>0.14111560000000001</v>
      </c>
      <c r="Z5631">
        <v>7.5478719999999999E-2</v>
      </c>
      <c r="AA5631">
        <v>0.98711159999999998</v>
      </c>
      <c r="AB5631">
        <v>24</v>
      </c>
      <c r="AC5631">
        <v>-4.2599999999992998E-2</v>
      </c>
      <c r="AD5631">
        <v>-7.3229999999999906E-2</v>
      </c>
      <c r="AE5631">
        <v>-0.48500399999999999</v>
      </c>
      <c r="AF5631">
        <v>0.127284026941063</v>
      </c>
      <c r="AG5631">
        <v>-7.3229999999999906E-2</v>
      </c>
      <c r="AH5631">
        <v>0.458770564388781</v>
      </c>
      <c r="AI5631">
        <v>98.744254746077701</v>
      </c>
      <c r="AJ5631">
        <v>74.493541872071006</v>
      </c>
      <c r="AK5631">
        <v>0.48169937426151399</v>
      </c>
      <c r="AL5631">
        <v>88.540125434302396</v>
      </c>
      <c r="AM5631">
        <v>86.470664713183595</v>
      </c>
      <c r="AN5631">
        <v>0.99999996129859303</v>
      </c>
    </row>
    <row r="5632" spans="1:40" x14ac:dyDescent="0.3">
      <c r="A5632" t="str">
        <f>"20200111160613995"</f>
        <v>20200111160613995</v>
      </c>
      <c r="B5632" t="str">
        <f>"1578729973988203"</f>
        <v>1578729973988203</v>
      </c>
      <c r="C5632" t="s">
        <v>40</v>
      </c>
      <c r="D5632">
        <v>5.0469030000000004</v>
      </c>
      <c r="E5632">
        <v>0.5272329</v>
      </c>
      <c r="F5632" t="s">
        <v>42</v>
      </c>
      <c r="G5632">
        <v>-302.84559999999999</v>
      </c>
      <c r="H5632">
        <v>1.0256989999999999</v>
      </c>
      <c r="I5632">
        <v>-6.8768840000000004</v>
      </c>
      <c r="J5632">
        <v>-302.83659999999998</v>
      </c>
      <c r="K5632">
        <v>1.106706</v>
      </c>
      <c r="L5632">
        <v>-6.2678219999999998</v>
      </c>
      <c r="M5632">
        <v>0.18071190000000001</v>
      </c>
      <c r="N5632">
        <v>0</v>
      </c>
      <c r="O5632">
        <v>-0.98353500000000005</v>
      </c>
      <c r="P5632">
        <v>0.1212336</v>
      </c>
      <c r="Q5632">
        <v>2.0515970000000001E-2</v>
      </c>
      <c r="R5632">
        <v>-0.99241230000000002</v>
      </c>
      <c r="S5632">
        <v>0.14648439999999999</v>
      </c>
      <c r="T5632">
        <v>-0.2695881</v>
      </c>
      <c r="U5632">
        <v>-3.0119319999999998</v>
      </c>
      <c r="V5632">
        <v>6.0142769999999998E-2</v>
      </c>
      <c r="W5632">
        <v>2.1944499999999999E-2</v>
      </c>
      <c r="X5632">
        <v>0.99794850000000002</v>
      </c>
      <c r="Y5632">
        <v>0.1329033</v>
      </c>
      <c r="Z5632">
        <v>8.6509370000000002E-2</v>
      </c>
      <c r="AA5632">
        <v>0.98734639999999996</v>
      </c>
      <c r="AB5632">
        <v>24</v>
      </c>
      <c r="AC5632">
        <v>-9.0000000000145502E-3</v>
      </c>
      <c r="AD5632">
        <v>-8.1006999999999996E-2</v>
      </c>
      <c r="AE5632">
        <v>-0.60906199999999899</v>
      </c>
      <c r="AF5632">
        <v>0.116850092327316</v>
      </c>
      <c r="AG5632">
        <v>-8.1006999999999996E-2</v>
      </c>
      <c r="AH5632">
        <v>0.58702593376726597</v>
      </c>
      <c r="AI5632">
        <v>97.707600216529599</v>
      </c>
      <c r="AJ5632">
        <v>78.742172326093495</v>
      </c>
      <c r="AK5632">
        <v>0.60399960682208398</v>
      </c>
      <c r="AL5632">
        <v>88.742571782567296</v>
      </c>
      <c r="AM5632">
        <v>86.551160663345499</v>
      </c>
      <c r="AN5632">
        <v>0.99999996125788504</v>
      </c>
    </row>
    <row r="5633" spans="1:40" x14ac:dyDescent="0.3">
      <c r="A5633" t="str">
        <f>"20200111160614022"</f>
        <v>20200111160614022</v>
      </c>
      <c r="B5633" t="str">
        <f>"1578729974017482"</f>
        <v>1578729974017482</v>
      </c>
      <c r="C5633" t="s">
        <v>40</v>
      </c>
      <c r="D5633">
        <v>5.0852120000000003</v>
      </c>
      <c r="E5633">
        <v>0.52537979999999995</v>
      </c>
      <c r="F5633" t="s">
        <v>42</v>
      </c>
      <c r="G5633">
        <v>-302.79300000000001</v>
      </c>
      <c r="H5633">
        <v>1.02668</v>
      </c>
      <c r="I5633">
        <v>-7.0871300000000002</v>
      </c>
      <c r="J5633">
        <v>-302.78719999999998</v>
      </c>
      <c r="K5633">
        <v>1.1069530000000001</v>
      </c>
      <c r="L5633">
        <v>-6.5453799999999998</v>
      </c>
      <c r="M5633">
        <v>0.17931259999999999</v>
      </c>
      <c r="N5633">
        <v>0</v>
      </c>
      <c r="O5633">
        <v>-0.98379059999999896</v>
      </c>
      <c r="P5633">
        <v>0.12181450000000001</v>
      </c>
      <c r="Q5633">
        <v>1.8171880000000001E-2</v>
      </c>
      <c r="R5633">
        <v>-0.99238689999999996</v>
      </c>
      <c r="S5633">
        <v>0.1607971</v>
      </c>
      <c r="T5633">
        <v>-0.29389419999999999</v>
      </c>
      <c r="U5633">
        <v>-3.009369</v>
      </c>
      <c r="V5633">
        <v>5.8148779999999997E-2</v>
      </c>
      <c r="W5633">
        <v>1.995127E-2</v>
      </c>
      <c r="X5633">
        <v>0.99810860000000001</v>
      </c>
      <c r="Y5633">
        <v>0.1268048</v>
      </c>
      <c r="Z5633">
        <v>9.438386E-2</v>
      </c>
      <c r="AA5633">
        <v>0.9874271</v>
      </c>
      <c r="AB5633">
        <v>24</v>
      </c>
      <c r="AC5633">
        <v>-5.8000000000220098E-3</v>
      </c>
      <c r="AD5633">
        <v>-8.0272999999999997E-2</v>
      </c>
      <c r="AE5633">
        <v>-0.54174999999999895</v>
      </c>
      <c r="AF5633">
        <v>0.10063941879534399</v>
      </c>
      <c r="AG5633">
        <v>-8.0272999999999997E-2</v>
      </c>
      <c r="AH5633">
        <v>0.520502822277362</v>
      </c>
      <c r="AI5633">
        <v>98.610188093469702</v>
      </c>
      <c r="AJ5633">
        <v>79.056873049865501</v>
      </c>
      <c r="AK5633">
        <v>0.53618582146785998</v>
      </c>
      <c r="AL5633">
        <v>88.856800645720199</v>
      </c>
      <c r="AM5633">
        <v>86.6657756725524</v>
      </c>
      <c r="AN5633">
        <v>1.0000000555920201</v>
      </c>
    </row>
    <row r="5634" spans="1:40" x14ac:dyDescent="0.3">
      <c r="A5634" t="str">
        <f>"20200111160614045"</f>
        <v>20200111160614045</v>
      </c>
      <c r="B5634" t="str">
        <f>"1578729974037979"</f>
        <v>1578729974037979</v>
      </c>
      <c r="C5634" t="s">
        <v>40</v>
      </c>
      <c r="D5634">
        <v>5.0951810000000002</v>
      </c>
      <c r="E5634">
        <v>0.52455099999999999</v>
      </c>
      <c r="F5634" t="s">
        <v>42</v>
      </c>
      <c r="G5634">
        <v>-302.74299999999999</v>
      </c>
      <c r="H5634">
        <v>1.0296129999999999</v>
      </c>
      <c r="I5634">
        <v>-7.3000829999999999</v>
      </c>
      <c r="J5634">
        <v>-302.74169999999998</v>
      </c>
      <c r="K5634">
        <v>1.10711</v>
      </c>
      <c r="L5634">
        <v>-6.8036500000000002</v>
      </c>
      <c r="M5634">
        <v>0.1777997</v>
      </c>
      <c r="N5634">
        <v>0</v>
      </c>
      <c r="O5634">
        <v>-0.9840643</v>
      </c>
      <c r="P5634">
        <v>0.12185070000000001</v>
      </c>
      <c r="Q5634">
        <v>1.7539949999999999E-2</v>
      </c>
      <c r="R5634">
        <v>-0.99239370000000005</v>
      </c>
      <c r="S5634">
        <v>0.1772156</v>
      </c>
      <c r="T5634">
        <v>-0.30799779999999999</v>
      </c>
      <c r="U5634">
        <v>-3.0068969999999999</v>
      </c>
      <c r="V5634">
        <v>5.6584839999999997E-2</v>
      </c>
      <c r="W5634">
        <v>1.960659E-2</v>
      </c>
      <c r="X5634">
        <v>0.99820520000000001</v>
      </c>
      <c r="Y5634">
        <v>0.1198858</v>
      </c>
      <c r="Z5634">
        <v>9.901923E-2</v>
      </c>
      <c r="AA5634">
        <v>0.98783730000000003</v>
      </c>
      <c r="AB5634">
        <v>24</v>
      </c>
      <c r="AC5634">
        <v>-1.3000000000147299E-3</v>
      </c>
      <c r="AD5634">
        <v>-7.7497000000000094E-2</v>
      </c>
      <c r="AE5634">
        <v>-0.49643299999999901</v>
      </c>
      <c r="AF5634">
        <v>8.7414881834040795E-2</v>
      </c>
      <c r="AG5634">
        <v>-7.7497000000000094E-2</v>
      </c>
      <c r="AH5634">
        <v>0.47667568675498001</v>
      </c>
      <c r="AI5634">
        <v>99.085326047018995</v>
      </c>
      <c r="AJ5634">
        <v>79.608311796756695</v>
      </c>
      <c r="AK5634">
        <v>0.49078188324182398</v>
      </c>
      <c r="AL5634">
        <v>88.876553090298103</v>
      </c>
      <c r="AM5634">
        <v>86.755570359100801</v>
      </c>
      <c r="AN5634">
        <v>0.99999994189814501</v>
      </c>
    </row>
    <row r="5635" spans="1:40" x14ac:dyDescent="0.3">
      <c r="A5635" t="str">
        <f>"20200111160614069"</f>
        <v>20200111160614069</v>
      </c>
      <c r="B5635" t="str">
        <f>"1578729974057498"</f>
        <v>1578729974057498</v>
      </c>
      <c r="C5635" t="s">
        <v>40</v>
      </c>
      <c r="D5635">
        <v>5.0758400000000004</v>
      </c>
      <c r="E5635">
        <v>0.52381860000000002</v>
      </c>
      <c r="F5635" t="s">
        <v>42</v>
      </c>
      <c r="G5635">
        <v>-302.68540000000002</v>
      </c>
      <c r="H5635">
        <v>1.0112479999999999</v>
      </c>
      <c r="I5635">
        <v>-7.7260679999999997</v>
      </c>
      <c r="J5635">
        <v>-302.69900000000001</v>
      </c>
      <c r="K5635">
        <v>1.107189</v>
      </c>
      <c r="L5635">
        <v>-7.0502320000000003</v>
      </c>
      <c r="M5635">
        <v>0.17614360000000001</v>
      </c>
      <c r="N5635">
        <v>0</v>
      </c>
      <c r="O5635">
        <v>-0.9843615</v>
      </c>
      <c r="P5635">
        <v>0.1209571</v>
      </c>
      <c r="Q5635">
        <v>1.8723839999999999E-2</v>
      </c>
      <c r="R5635">
        <v>-0.99248119999999995</v>
      </c>
      <c r="S5635">
        <v>0.18411250000000001</v>
      </c>
      <c r="T5635">
        <v>-0.31228339999999999</v>
      </c>
      <c r="U5635">
        <v>-3.0059200000000001</v>
      </c>
      <c r="V5635">
        <v>5.5810459999999999E-2</v>
      </c>
      <c r="W5635">
        <v>2.102965E-2</v>
      </c>
      <c r="X5635">
        <v>0.99821990000000005</v>
      </c>
      <c r="Y5635">
        <v>0.1159462</v>
      </c>
      <c r="Z5635">
        <v>0.10047830000000001</v>
      </c>
      <c r="AA5635">
        <v>0.98816020000000004</v>
      </c>
      <c r="AB5635">
        <v>24</v>
      </c>
      <c r="AC5635">
        <v>1.35999999999967E-2</v>
      </c>
      <c r="AD5635">
        <v>-9.5940999999999999E-2</v>
      </c>
      <c r="AE5635">
        <v>-0.67583599999999899</v>
      </c>
      <c r="AF5635">
        <v>0.103570828323996</v>
      </c>
      <c r="AG5635">
        <v>-9.5940999999999999E-2</v>
      </c>
      <c r="AH5635">
        <v>0.65448046618139599</v>
      </c>
      <c r="AI5635">
        <v>98.238565122871606</v>
      </c>
      <c r="AJ5635">
        <v>81.007574765736507</v>
      </c>
      <c r="AK5635">
        <v>0.66953436997195004</v>
      </c>
      <c r="AL5635">
        <v>88.7950009950153</v>
      </c>
      <c r="AM5635">
        <v>86.799925430263201</v>
      </c>
      <c r="AN5635">
        <v>1.00000001119027</v>
      </c>
    </row>
    <row r="5636" spans="1:40" x14ac:dyDescent="0.3">
      <c r="A5636" t="str">
        <f>"20200111160614102"</f>
        <v>20200111160614102</v>
      </c>
      <c r="B5636" t="str">
        <f>"1578729974097515"</f>
        <v>1578729974097515</v>
      </c>
      <c r="C5636" t="s">
        <v>40</v>
      </c>
      <c r="D5636">
        <v>5.0353190000000003</v>
      </c>
      <c r="E5636">
        <v>0.52267839999999999</v>
      </c>
      <c r="F5636" t="s">
        <v>42</v>
      </c>
      <c r="G5636">
        <v>-302.6431</v>
      </c>
      <c r="H5636">
        <v>1.014343</v>
      </c>
      <c r="I5636">
        <v>-7.9442139999999997</v>
      </c>
      <c r="J5636">
        <v>-302.63589999999999</v>
      </c>
      <c r="K5636">
        <v>1.107237</v>
      </c>
      <c r="L5636">
        <v>-7.4204410000000003</v>
      </c>
      <c r="M5636">
        <v>0.17336589999999999</v>
      </c>
      <c r="N5636">
        <v>0</v>
      </c>
      <c r="O5636">
        <v>-0.9848536</v>
      </c>
      <c r="P5636">
        <v>0.1175374</v>
      </c>
      <c r="Q5636">
        <v>1.8560799999999999E-2</v>
      </c>
      <c r="R5636">
        <v>-0.99289519999999998</v>
      </c>
      <c r="S5636">
        <v>0.1878967</v>
      </c>
      <c r="T5636">
        <v>-0.31215229999999999</v>
      </c>
      <c r="U5636">
        <v>-3.0057070000000001</v>
      </c>
      <c r="V5636">
        <v>5.6444599999999998E-2</v>
      </c>
      <c r="W5636">
        <v>2.1176009999999999E-2</v>
      </c>
      <c r="X5636">
        <v>0.99818119999999999</v>
      </c>
      <c r="Y5636">
        <v>0.11190020000000001</v>
      </c>
      <c r="Z5636">
        <v>0.1005397</v>
      </c>
      <c r="AA5636">
        <v>0.98862030000000001</v>
      </c>
      <c r="AB5636">
        <v>24</v>
      </c>
      <c r="AC5636">
        <v>-7.2000000000116398E-3</v>
      </c>
      <c r="AD5636">
        <v>-9.2894000000000004E-2</v>
      </c>
      <c r="AE5636">
        <v>-0.52377299999999904</v>
      </c>
      <c r="AF5636">
        <v>9.4910845324900198E-2</v>
      </c>
      <c r="AG5636">
        <v>-9.2894000000000004E-2</v>
      </c>
      <c r="AH5636">
        <v>0.498903436863389</v>
      </c>
      <c r="AI5636">
        <v>100.365712825703</v>
      </c>
      <c r="AJ5636">
        <v>79.228821972069497</v>
      </c>
      <c r="AK5636">
        <v>0.51627706041464705</v>
      </c>
      <c r="AL5636">
        <v>88.786613378808596</v>
      </c>
      <c r="AM5636">
        <v>86.763516596950595</v>
      </c>
      <c r="AN5636">
        <v>1.0000000621510501</v>
      </c>
    </row>
    <row r="5637" spans="1:40" x14ac:dyDescent="0.3">
      <c r="A5637" t="str">
        <f>"20200111160614128"</f>
        <v>20200111160614128</v>
      </c>
      <c r="B5637" t="str">
        <f>"1578729974118010"</f>
        <v>1578729974118010</v>
      </c>
      <c r="C5637" t="s">
        <v>40</v>
      </c>
      <c r="D5637">
        <v>5.0843489999999996</v>
      </c>
      <c r="E5637">
        <v>0.52267839999999999</v>
      </c>
      <c r="F5637" t="s">
        <v>42</v>
      </c>
      <c r="G5637">
        <v>-302.58949999999999</v>
      </c>
      <c r="H5637">
        <v>1.0286649999999999</v>
      </c>
      <c r="I5637">
        <v>-8.1669479999999997</v>
      </c>
      <c r="J5637">
        <v>-302.58749999999998</v>
      </c>
      <c r="K5637">
        <v>1.1072340000000001</v>
      </c>
      <c r="L5637">
        <v>-7.7108759999999998</v>
      </c>
      <c r="M5637">
        <v>0.1709203</v>
      </c>
      <c r="N5637">
        <v>0</v>
      </c>
      <c r="O5637">
        <v>-0.9852805</v>
      </c>
      <c r="P5637">
        <v>0.1140765</v>
      </c>
      <c r="Q5637">
        <v>1.6968199999999999E-2</v>
      </c>
      <c r="R5637">
        <v>-0.99332739999999997</v>
      </c>
      <c r="S5637">
        <v>0.18795780000000001</v>
      </c>
      <c r="T5637">
        <v>-0.31608910000000001</v>
      </c>
      <c r="U5637">
        <v>-3.0051269999999999</v>
      </c>
      <c r="V5637">
        <v>5.7452839999999998E-2</v>
      </c>
      <c r="W5637">
        <v>1.9798240000000002E-2</v>
      </c>
      <c r="X5637">
        <v>0.99815189999999998</v>
      </c>
      <c r="Y5637">
        <v>0.10940950000000001</v>
      </c>
      <c r="Z5637">
        <v>0.1018946</v>
      </c>
      <c r="AA5637">
        <v>0.98876039999999998</v>
      </c>
      <c r="AB5637">
        <v>25</v>
      </c>
      <c r="AC5637">
        <v>-2.0000000000095402E-3</v>
      </c>
      <c r="AD5637">
        <v>-7.8569000000000097E-2</v>
      </c>
      <c r="AE5637">
        <v>-0.45607199999999898</v>
      </c>
      <c r="AF5637">
        <v>7.7619320036906705E-2</v>
      </c>
      <c r="AG5637">
        <v>-7.8569000000000097E-2</v>
      </c>
      <c r="AH5637">
        <v>0.43607725386327201</v>
      </c>
      <c r="AI5637">
        <v>100.058735392904</v>
      </c>
      <c r="AJ5637">
        <v>79.9073697850271</v>
      </c>
      <c r="AK5637">
        <v>0.44984577128269698</v>
      </c>
      <c r="AL5637">
        <v>88.865570295805298</v>
      </c>
      <c r="AM5637">
        <v>86.705734725609801</v>
      </c>
      <c r="AN5637">
        <v>1.00000000730238</v>
      </c>
    </row>
    <row r="5638" spans="1:40" x14ac:dyDescent="0.3">
      <c r="A5638" t="str">
        <f>"20200111160614150"</f>
        <v>20200111160614150</v>
      </c>
      <c r="B5638" t="str">
        <f>"1578729974148266"</f>
        <v>1578729974148266</v>
      </c>
      <c r="C5638" t="s">
        <v>40</v>
      </c>
      <c r="D5638">
        <v>4.8037470000000004</v>
      </c>
      <c r="E5638">
        <v>0.5226054</v>
      </c>
      <c r="F5638" t="s">
        <v>42</v>
      </c>
      <c r="G5638">
        <v>-302.53489999999999</v>
      </c>
      <c r="H5638">
        <v>1.011841</v>
      </c>
      <c r="I5638">
        <v>-8.6033729999999995</v>
      </c>
      <c r="J5638">
        <v>-302.54840000000002</v>
      </c>
      <c r="K5638">
        <v>1.1072139999999999</v>
      </c>
      <c r="L5638">
        <v>-7.9499820000000003</v>
      </c>
      <c r="M5638">
        <v>0.1687379</v>
      </c>
      <c r="N5638">
        <v>0</v>
      </c>
      <c r="O5638">
        <v>-0.98565559999999997</v>
      </c>
      <c r="P5638">
        <v>0.1108479</v>
      </c>
      <c r="Q5638">
        <v>1.409581E-2</v>
      </c>
      <c r="R5638">
        <v>-0.99373750000000005</v>
      </c>
      <c r="S5638">
        <v>0.177764899999999</v>
      </c>
      <c r="T5638">
        <v>-0.32110329999999998</v>
      </c>
      <c r="U5638">
        <v>-3.0052189999999999</v>
      </c>
      <c r="V5638">
        <v>5.8489289999999999E-2</v>
      </c>
      <c r="W5638">
        <v>1.7095039999999999E-2</v>
      </c>
      <c r="X5638">
        <v>0.99814159999999996</v>
      </c>
      <c r="Y5638">
        <v>0.1105614</v>
      </c>
      <c r="Z5638">
        <v>0.10355300000000001</v>
      </c>
      <c r="AA5638">
        <v>0.98845989999999995</v>
      </c>
      <c r="AB5638">
        <v>25</v>
      </c>
      <c r="AC5638">
        <v>1.35000000000218E-2</v>
      </c>
      <c r="AD5638">
        <v>-9.5372999999999902E-2</v>
      </c>
      <c r="AE5638">
        <v>-0.65339099999999894</v>
      </c>
      <c r="AF5638">
        <v>9.4924378244752097E-2</v>
      </c>
      <c r="AG5638">
        <v>-9.5372999999999902E-2</v>
      </c>
      <c r="AH5638">
        <v>0.63282262373251497</v>
      </c>
      <c r="AI5638">
        <v>98.4771346406379</v>
      </c>
      <c r="AJ5638">
        <v>81.469147198484094</v>
      </c>
      <c r="AK5638">
        <v>0.64697072562972802</v>
      </c>
      <c r="AL5638">
        <v>89.020478590811294</v>
      </c>
      <c r="AM5638">
        <v>86.646406047171098</v>
      </c>
      <c r="AN5638">
        <v>0.99999994554393101</v>
      </c>
    </row>
    <row r="5639" spans="1:40" x14ac:dyDescent="0.3">
      <c r="A5639" t="str">
        <f>"20200111160614169"</f>
        <v>20200111160614169</v>
      </c>
      <c r="B5639" t="str">
        <f>"1578729974167787"</f>
        <v>1578729974167787</v>
      </c>
      <c r="C5639" t="s">
        <v>40</v>
      </c>
      <c r="D5639">
        <v>9.4098780000000009</v>
      </c>
      <c r="E5639">
        <v>0.5707816</v>
      </c>
      <c r="F5639" t="s">
        <v>42</v>
      </c>
      <c r="G5639">
        <v>-302.4991</v>
      </c>
      <c r="H5639">
        <v>1.010996</v>
      </c>
      <c r="I5639">
        <v>-8.825367</v>
      </c>
      <c r="J5639">
        <v>-302.5127</v>
      </c>
      <c r="K5639">
        <v>1.107192</v>
      </c>
      <c r="L5639">
        <v>-8.1715699999999991</v>
      </c>
      <c r="M5639">
        <v>0.166605</v>
      </c>
      <c r="N5639">
        <v>0</v>
      </c>
      <c r="O5639">
        <v>-0.98601799999999995</v>
      </c>
      <c r="P5639">
        <v>0.1070431</v>
      </c>
      <c r="Q5639">
        <v>1.1359370000000001E-2</v>
      </c>
      <c r="R5639">
        <v>-0.99418969999999995</v>
      </c>
      <c r="S5639">
        <v>0.1694031</v>
      </c>
      <c r="T5639">
        <v>-0.33025840000000001</v>
      </c>
      <c r="U5639">
        <v>-3.0047000000000001</v>
      </c>
      <c r="V5639">
        <v>6.0150200000000001E-2</v>
      </c>
      <c r="W5639">
        <v>1.4508989999999999E-2</v>
      </c>
      <c r="X5639">
        <v>0.99808390000000002</v>
      </c>
      <c r="Y5639">
        <v>0.11116040000000001</v>
      </c>
      <c r="Z5639">
        <v>0.10655290000000001</v>
      </c>
      <c r="AA5639">
        <v>0.9880738</v>
      </c>
      <c r="AB5639">
        <v>25</v>
      </c>
      <c r="AC5639">
        <v>1.35999999999967E-2</v>
      </c>
      <c r="AD5639">
        <v>-9.6195999999999907E-2</v>
      </c>
      <c r="AE5639">
        <v>-0.65379699999999996</v>
      </c>
      <c r="AF5639">
        <v>9.3493424279180101E-2</v>
      </c>
      <c r="AG5639">
        <v>-9.6195999999999907E-2</v>
      </c>
      <c r="AH5639">
        <v>0.63322268241861501</v>
      </c>
      <c r="AI5639">
        <v>98.546774534469904</v>
      </c>
      <c r="AJ5639">
        <v>81.601130474617506</v>
      </c>
      <c r="AK5639">
        <v>0.64727556444598799</v>
      </c>
      <c r="AL5639">
        <v>89.1686669508005</v>
      </c>
      <c r="AM5639">
        <v>86.5512024219952</v>
      </c>
      <c r="AN5639">
        <v>1.0000000143950301</v>
      </c>
    </row>
    <row r="5640" spans="1:40" x14ac:dyDescent="0.3">
      <c r="A5640" t="str">
        <f>"20200111160614193"</f>
        <v>20200111160614193</v>
      </c>
      <c r="B5640" t="str">
        <f>"1578729974188282"</f>
        <v>1578729974188282</v>
      </c>
      <c r="C5640" t="s">
        <v>40</v>
      </c>
      <c r="D5640">
        <v>4.9456610000000003</v>
      </c>
      <c r="E5640">
        <v>0.61930869999999905</v>
      </c>
      <c r="F5640" t="s">
        <v>93</v>
      </c>
      <c r="G5640">
        <v>-309.14429999999999</v>
      </c>
      <c r="H5640">
        <v>2.8131599999999999</v>
      </c>
      <c r="I5640">
        <v>-91.564989999999995</v>
      </c>
      <c r="J5640">
        <v>-302.471</v>
      </c>
      <c r="K5640">
        <v>1.1071820000000001</v>
      </c>
      <c r="L5640">
        <v>-8.4359129999999993</v>
      </c>
      <c r="M5640">
        <v>0.16394810000000001</v>
      </c>
      <c r="N5640">
        <v>0</v>
      </c>
      <c r="O5640">
        <v>-0.98646250000000002</v>
      </c>
      <c r="P5640">
        <v>0.1033114</v>
      </c>
      <c r="Q5640">
        <v>9.2892730000000007E-3</v>
      </c>
      <c r="R5640">
        <v>-0.99460590000000004</v>
      </c>
      <c r="S5640">
        <v>-0.24197389999999999</v>
      </c>
      <c r="T5640">
        <v>6.2248230000000002E-2</v>
      </c>
      <c r="U5640">
        <v>-3.0428769999999998</v>
      </c>
      <c r="V5640">
        <v>6.120598E-2</v>
      </c>
      <c r="W5640">
        <v>1.2617079999999999E-2</v>
      </c>
      <c r="X5640">
        <v>0.99804539999999997</v>
      </c>
      <c r="Y5640">
        <v>0.24161569999999999</v>
      </c>
      <c r="Z5640">
        <v>-1.970266E-2</v>
      </c>
      <c r="AA5640">
        <v>0.97017200000000003</v>
      </c>
      <c r="AB5640">
        <v>25</v>
      </c>
      <c r="AC5640">
        <v>-6.6732999999999798</v>
      </c>
      <c r="AD5640">
        <v>1.705978</v>
      </c>
      <c r="AE5640">
        <v>-83.129076999999995</v>
      </c>
      <c r="AF5640">
        <v>20.203489050052401</v>
      </c>
      <c r="AG5640">
        <v>1.705978</v>
      </c>
      <c r="AH5640">
        <v>80.876315047371193</v>
      </c>
      <c r="AI5640">
        <v>88.827617553864201</v>
      </c>
      <c r="AJ5640">
        <v>75.974151666693601</v>
      </c>
      <c r="AK5640">
        <v>83.379072112693393</v>
      </c>
      <c r="AL5640">
        <v>89.277075378787103</v>
      </c>
      <c r="AM5640">
        <v>86.490682709521096</v>
      </c>
      <c r="AN5640">
        <v>0.99999999157832298</v>
      </c>
    </row>
    <row r="5641" spans="1:40" x14ac:dyDescent="0.3">
      <c r="A5641" t="str">
        <f>"20200111160614215"</f>
        <v>20200111160614215</v>
      </c>
      <c r="B5641" t="str">
        <f>"1578729974207802"</f>
        <v>1578729974207802</v>
      </c>
      <c r="C5641" t="s">
        <v>40</v>
      </c>
      <c r="D5641">
        <v>4.9416460000000004</v>
      </c>
      <c r="E5641">
        <v>0.60668180000000005</v>
      </c>
      <c r="F5641" t="s">
        <v>41</v>
      </c>
      <c r="G5641">
        <v>-304.9511</v>
      </c>
      <c r="H5641" s="1">
        <v>-5.0656890000000004E-6</v>
      </c>
      <c r="I5641">
        <v>-20.708220000000001</v>
      </c>
      <c r="J5641">
        <v>-302.43299999999999</v>
      </c>
      <c r="K5641">
        <v>1.1071850000000001</v>
      </c>
      <c r="L5641">
        <v>-8.6814579999999992</v>
      </c>
      <c r="M5641">
        <v>0.1614043</v>
      </c>
      <c r="N5641">
        <v>0</v>
      </c>
      <c r="O5641">
        <v>-0.98688120000000001</v>
      </c>
      <c r="P5641">
        <v>9.9826079999999998E-2</v>
      </c>
      <c r="Q5641">
        <v>9.1043579999999999E-3</v>
      </c>
      <c r="R5641">
        <v>-0.99496320000000005</v>
      </c>
      <c r="S5641">
        <v>-0.62316890000000003</v>
      </c>
      <c r="T5641">
        <v>-0.278196</v>
      </c>
      <c r="U5641">
        <v>-3.0835880000000002</v>
      </c>
      <c r="V5641">
        <v>6.2132060000000003E-2</v>
      </c>
      <c r="W5641">
        <v>1.2596100000000001E-2</v>
      </c>
      <c r="X5641">
        <v>0.99798849999999995</v>
      </c>
      <c r="Y5641">
        <v>0.35296230000000001</v>
      </c>
      <c r="Z5641">
        <v>8.4338689999999994E-2</v>
      </c>
      <c r="AA5641">
        <v>0.93182860000000001</v>
      </c>
      <c r="AB5641">
        <v>25</v>
      </c>
      <c r="AC5641">
        <v>-2.5181</v>
      </c>
      <c r="AD5641">
        <v>-1.1071900656889999</v>
      </c>
      <c r="AE5641">
        <v>-12.026762</v>
      </c>
      <c r="AF5641">
        <v>4.3906195911500401</v>
      </c>
      <c r="AG5641">
        <v>-1.1071900656889999</v>
      </c>
      <c r="AH5641">
        <v>11.370316224049899</v>
      </c>
      <c r="AI5641">
        <v>95.190404353850795</v>
      </c>
      <c r="AJ5641">
        <v>68.886055063590902</v>
      </c>
      <c r="AK5641">
        <v>12.2387704149822</v>
      </c>
      <c r="AL5641">
        <v>89.278277582218806</v>
      </c>
      <c r="AM5641">
        <v>86.437517951920697</v>
      </c>
      <c r="AN5641">
        <v>1.0000000503736499</v>
      </c>
    </row>
    <row r="5642" spans="1:40" x14ac:dyDescent="0.3">
      <c r="A5642" t="str">
        <f>"20200111160614240"</f>
        <v>20200111160614240</v>
      </c>
      <c r="B5642" t="str">
        <f>"1578729974228298"</f>
        <v>1578729974228298</v>
      </c>
      <c r="C5642" t="s">
        <v>40</v>
      </c>
      <c r="D5642">
        <v>5.1719929999999996</v>
      </c>
      <c r="E5642">
        <v>0.59709119999999904</v>
      </c>
      <c r="F5642" t="s">
        <v>93</v>
      </c>
      <c r="G5642">
        <v>-315.78719999999998</v>
      </c>
      <c r="H5642">
        <v>11.42257</v>
      </c>
      <c r="I5642">
        <v>-80.916469999999904</v>
      </c>
      <c r="J5642">
        <v>-302.39159999999998</v>
      </c>
      <c r="K5642">
        <v>1.1071979999999999</v>
      </c>
      <c r="L5642">
        <v>-8.9543759999999999</v>
      </c>
      <c r="M5642">
        <v>0.15851879999999999</v>
      </c>
      <c r="N5642">
        <v>0</v>
      </c>
      <c r="O5642">
        <v>-0.987348</v>
      </c>
      <c r="P5642">
        <v>9.5724139999999999E-2</v>
      </c>
      <c r="Q5642">
        <v>1.0022059999999999E-2</v>
      </c>
      <c r="R5642">
        <v>-0.99535739999999995</v>
      </c>
      <c r="S5642">
        <v>-0.56719969999999997</v>
      </c>
      <c r="T5642">
        <v>0.43813289999999999</v>
      </c>
      <c r="U5642">
        <v>-3.068085</v>
      </c>
      <c r="V5642">
        <v>6.3333760000000003E-2</v>
      </c>
      <c r="W5642">
        <v>1.3691299999999899E-2</v>
      </c>
      <c r="X5642">
        <v>0.99789850000000002</v>
      </c>
      <c r="Y5642">
        <v>0.33367790000000003</v>
      </c>
      <c r="Z5642">
        <v>-0.13351370000000001</v>
      </c>
      <c r="AA5642">
        <v>0.93318440000000002</v>
      </c>
      <c r="AB5642">
        <v>25</v>
      </c>
      <c r="AC5642">
        <v>-13.3956</v>
      </c>
      <c r="AD5642">
        <v>10.315372</v>
      </c>
      <c r="AE5642">
        <v>-71.962093999999993</v>
      </c>
      <c r="AF5642">
        <v>24.153971465237898</v>
      </c>
      <c r="AG5642">
        <v>10.315372</v>
      </c>
      <c r="AH5642">
        <v>67.586483127843593</v>
      </c>
      <c r="AI5642">
        <v>81.821318927680693</v>
      </c>
      <c r="AJ5642">
        <v>70.334191140256394</v>
      </c>
      <c r="AK5642">
        <v>72.510371248754396</v>
      </c>
      <c r="AL5642">
        <v>89.215521797026994</v>
      </c>
      <c r="AM5642">
        <v>86.368471757724294</v>
      </c>
      <c r="AN5642">
        <v>1.0000000165768299</v>
      </c>
    </row>
    <row r="5643" spans="1:40" x14ac:dyDescent="0.3">
      <c r="A5643" t="str">
        <f>"20200111160614261"</f>
        <v>20200111160614261</v>
      </c>
      <c r="B5643" t="str">
        <f>"1578729974257578"</f>
        <v>1578729974257578</v>
      </c>
      <c r="C5643" t="s">
        <v>40</v>
      </c>
      <c r="D5643">
        <v>5.2502649999999997</v>
      </c>
      <c r="E5643">
        <v>0.59615369999999901</v>
      </c>
      <c r="F5643" t="s">
        <v>41</v>
      </c>
      <c r="G5643">
        <v>-304.02719999999999</v>
      </c>
      <c r="H5643" s="1">
        <v>-1.3930609999999901E-6</v>
      </c>
      <c r="I5643">
        <v>-19.6614</v>
      </c>
      <c r="J5643">
        <v>-302.35480000000001</v>
      </c>
      <c r="K5643">
        <v>1.107221</v>
      </c>
      <c r="L5643">
        <v>-9.2017209999999992</v>
      </c>
      <c r="M5643">
        <v>0.1558736</v>
      </c>
      <c r="N5643">
        <v>0</v>
      </c>
      <c r="O5643">
        <v>-0.9877686</v>
      </c>
      <c r="P5643">
        <v>9.2594339999999997E-2</v>
      </c>
      <c r="Q5643">
        <v>1.070901E-2</v>
      </c>
      <c r="R5643">
        <v>-0.99564640000000004</v>
      </c>
      <c r="S5643">
        <v>-0.46777340000000001</v>
      </c>
      <c r="T5643">
        <v>-0.31665460000000001</v>
      </c>
      <c r="U5643">
        <v>-3.0621640000000001</v>
      </c>
      <c r="V5643">
        <v>6.38021E-2</v>
      </c>
      <c r="W5643">
        <v>1.453903E-2</v>
      </c>
      <c r="X5643">
        <v>0.99785670000000004</v>
      </c>
      <c r="Y5643">
        <v>0.30249429999999999</v>
      </c>
      <c r="Z5643">
        <v>9.7995109999999996E-2</v>
      </c>
      <c r="AA5643">
        <v>0.94810030000000001</v>
      </c>
      <c r="AB5643">
        <v>25</v>
      </c>
      <c r="AC5643">
        <v>-1.6723999999999799</v>
      </c>
      <c r="AD5643">
        <v>-1.1072223930609999</v>
      </c>
      <c r="AE5643">
        <v>-10.459679</v>
      </c>
      <c r="AF5643">
        <v>3.2468831395024398</v>
      </c>
      <c r="AG5643">
        <v>-1.1072223930609999</v>
      </c>
      <c r="AH5643">
        <v>9.9622929462249594</v>
      </c>
      <c r="AI5643">
        <v>96.032096926055999</v>
      </c>
      <c r="AJ5643">
        <v>71.9483173238078</v>
      </c>
      <c r="AK5643">
        <v>10.5363880099246</v>
      </c>
      <c r="AL5643">
        <v>89.166945627495906</v>
      </c>
      <c r="AM5643">
        <v>86.341537191124004</v>
      </c>
      <c r="AN5643">
        <v>1.00000004254631</v>
      </c>
    </row>
    <row r="5644" spans="1:40" x14ac:dyDescent="0.3">
      <c r="A5644" t="str">
        <f>"20200111160614285"</f>
        <v>20200111160614285</v>
      </c>
      <c r="B5644" t="str">
        <f>"1578729974278074"</f>
        <v>1578729974278074</v>
      </c>
      <c r="C5644" t="s">
        <v>40</v>
      </c>
      <c r="D5644">
        <v>5.4244490000000001</v>
      </c>
      <c r="E5644">
        <v>0.59659280000000003</v>
      </c>
      <c r="F5644" t="s">
        <v>41</v>
      </c>
      <c r="G5644">
        <v>-303.92140000000001</v>
      </c>
      <c r="H5644" s="1">
        <v>-1.4677609999999999E-6</v>
      </c>
      <c r="I5644">
        <v>-19.42164</v>
      </c>
      <c r="J5644">
        <v>-302.31380000000001</v>
      </c>
      <c r="K5644">
        <v>1.1072420000000001</v>
      </c>
      <c r="L5644">
        <v>-9.4825130000000009</v>
      </c>
      <c r="M5644">
        <v>0.15285560000000001</v>
      </c>
      <c r="N5644">
        <v>0</v>
      </c>
      <c r="O5644">
        <v>-0.98823919999999998</v>
      </c>
      <c r="P5644">
        <v>8.9211750000000006E-2</v>
      </c>
      <c r="Q5644">
        <v>1.072501E-2</v>
      </c>
      <c r="R5644">
        <v>-0.99595529999999999</v>
      </c>
      <c r="S5644">
        <v>-0.46911619999999998</v>
      </c>
      <c r="T5644">
        <v>-0.33155190000000001</v>
      </c>
      <c r="U5644">
        <v>-3.0603030000000002</v>
      </c>
      <c r="V5644">
        <v>6.4145289999999994E-2</v>
      </c>
      <c r="W5644">
        <v>1.4730699999999999E-2</v>
      </c>
      <c r="X5644">
        <v>0.99783180000000005</v>
      </c>
      <c r="Y5644">
        <v>0.30000130000000003</v>
      </c>
      <c r="Z5644">
        <v>0.1027296</v>
      </c>
      <c r="AA5644">
        <v>0.94839119999999999</v>
      </c>
      <c r="AB5644">
        <v>26</v>
      </c>
      <c r="AC5644">
        <v>-1.6075999999999899</v>
      </c>
      <c r="AD5644">
        <v>-1.1072434677609999</v>
      </c>
      <c r="AE5644">
        <v>-9.9391269999999992</v>
      </c>
      <c r="AF5644">
        <v>3.07083420314417</v>
      </c>
      <c r="AG5644">
        <v>-1.1072434677609999</v>
      </c>
      <c r="AH5644">
        <v>9.4621561766649798</v>
      </c>
      <c r="AI5644">
        <v>96.3510677923245</v>
      </c>
      <c r="AJ5644">
        <v>72.019756259842097</v>
      </c>
      <c r="AK5644">
        <v>10.0094160824545</v>
      </c>
      <c r="AL5644">
        <v>89.155962496954601</v>
      </c>
      <c r="AM5644">
        <v>86.321820749325497</v>
      </c>
      <c r="AN5644">
        <v>0.999999956421456</v>
      </c>
    </row>
    <row r="5645" spans="1:40" x14ac:dyDescent="0.3">
      <c r="A5645" t="str">
        <f>"20200111160614307"</f>
        <v>20200111160614307</v>
      </c>
      <c r="B5645" t="str">
        <f>"1578729974297594"</f>
        <v>1578729974297594</v>
      </c>
      <c r="C5645" t="s">
        <v>40</v>
      </c>
      <c r="D5645">
        <v>5.2425110000000004</v>
      </c>
      <c r="E5645">
        <v>0.59626420000000002</v>
      </c>
      <c r="F5645" t="s">
        <v>41</v>
      </c>
      <c r="G5645">
        <v>-303.97160000000002</v>
      </c>
      <c r="H5645" s="1">
        <v>-1.2432119999999999E-6</v>
      </c>
      <c r="I5645">
        <v>-19.97625</v>
      </c>
      <c r="J5645">
        <v>-302.27940000000001</v>
      </c>
      <c r="K5645">
        <v>1.107264</v>
      </c>
      <c r="L5645">
        <v>-9.7235110000000002</v>
      </c>
      <c r="M5645">
        <v>0.15026539999999999</v>
      </c>
      <c r="N5645">
        <v>0</v>
      </c>
      <c r="O5645">
        <v>-0.98863579999999995</v>
      </c>
      <c r="P5645">
        <v>8.6401909999999998E-2</v>
      </c>
      <c r="Q5645">
        <v>1.0259610000000001E-2</v>
      </c>
      <c r="R5645">
        <v>-0.99620779999999998</v>
      </c>
      <c r="S5645">
        <v>-0.48327639999999999</v>
      </c>
      <c r="T5645">
        <v>-0.32276510000000003</v>
      </c>
      <c r="U5645">
        <v>-3.0589599999999999</v>
      </c>
      <c r="V5645">
        <v>6.4344890000000002E-2</v>
      </c>
      <c r="W5645">
        <v>1.4407909999999999E-2</v>
      </c>
      <c r="X5645">
        <v>0.99782369999999998</v>
      </c>
      <c r="Y5645">
        <v>0.30189450000000001</v>
      </c>
      <c r="Z5645">
        <v>0.100076</v>
      </c>
      <c r="AA5645">
        <v>0.94807410000000003</v>
      </c>
      <c r="AB5645">
        <v>26</v>
      </c>
      <c r="AC5645">
        <v>-1.6922000000000099</v>
      </c>
      <c r="AD5645">
        <v>-1.107265243212</v>
      </c>
      <c r="AE5645">
        <v>-10.252739</v>
      </c>
      <c r="AF5645">
        <v>3.17755471852358</v>
      </c>
      <c r="AG5645">
        <v>-1.107265243212</v>
      </c>
      <c r="AH5645">
        <v>9.7711007220124202</v>
      </c>
      <c r="AI5645">
        <v>96.150757951386296</v>
      </c>
      <c r="AJ5645">
        <v>71.985512962730297</v>
      </c>
      <c r="AK5645">
        <v>10.334277895806199</v>
      </c>
      <c r="AL5645">
        <v>89.174458997133897</v>
      </c>
      <c r="AM5645">
        <v>86.310377108208201</v>
      </c>
      <c r="AN5645">
        <v>0.999999994510685</v>
      </c>
    </row>
    <row r="5646" spans="1:40" x14ac:dyDescent="0.3">
      <c r="A5646" t="str">
        <f>"20200111160614331"</f>
        <v>20200111160614331</v>
      </c>
      <c r="B5646" t="str">
        <f>"1578729974327850"</f>
        <v>1578729974327850</v>
      </c>
      <c r="C5646" t="s">
        <v>40</v>
      </c>
      <c r="D5646">
        <v>5.2740109999999998</v>
      </c>
      <c r="E5646">
        <v>0.59565809999999997</v>
      </c>
      <c r="F5646" t="s">
        <v>41</v>
      </c>
      <c r="G5646">
        <v>-303.9248</v>
      </c>
      <c r="H5646" s="1">
        <v>-1.217576E-6</v>
      </c>
      <c r="I5646">
        <v>-20.006969999999999</v>
      </c>
      <c r="J5646">
        <v>-302.23899999999998</v>
      </c>
      <c r="K5646">
        <v>1.1072930000000001</v>
      </c>
      <c r="L5646">
        <v>-10.0116</v>
      </c>
      <c r="M5646">
        <v>0.1471779</v>
      </c>
      <c r="N5646">
        <v>0</v>
      </c>
      <c r="O5646">
        <v>-0.98909939999999996</v>
      </c>
      <c r="P5646">
        <v>8.35814E-2</v>
      </c>
      <c r="Q5646">
        <v>9.9145840000000006E-3</v>
      </c>
      <c r="R5646">
        <v>-0.9964518</v>
      </c>
      <c r="S5646">
        <v>-0.48919679999999999</v>
      </c>
      <c r="T5646">
        <v>-0.32918779999999997</v>
      </c>
      <c r="U5646">
        <v>-3.0572509999999999</v>
      </c>
      <c r="V5646">
        <v>6.405429E-2</v>
      </c>
      <c r="W5646">
        <v>1.422197E-2</v>
      </c>
      <c r="X5646">
        <v>0.99784510000000004</v>
      </c>
      <c r="Y5646">
        <v>0.300757</v>
      </c>
      <c r="Z5646">
        <v>0.10217900000000001</v>
      </c>
      <c r="AA5646">
        <v>0.94821129999999998</v>
      </c>
      <c r="AB5646">
        <v>26</v>
      </c>
      <c r="AC5646">
        <v>-1.68579999999997</v>
      </c>
      <c r="AD5646">
        <v>-1.1072942175759899</v>
      </c>
      <c r="AE5646">
        <v>-9.9953699999999994</v>
      </c>
      <c r="AF5646">
        <v>3.1015438581191699</v>
      </c>
      <c r="AG5646">
        <v>-1.1072942175759899</v>
      </c>
      <c r="AH5646">
        <v>9.5247452784037403</v>
      </c>
      <c r="AI5646">
        <v>96.307949687140805</v>
      </c>
      <c r="AJ5646">
        <v>71.963190808890602</v>
      </c>
      <c r="AK5646">
        <v>10.0780180296816</v>
      </c>
      <c r="AL5646">
        <v>89.185113695129701</v>
      </c>
      <c r="AM5646">
        <v>86.327073342506395</v>
      </c>
      <c r="AN5646">
        <v>1.0000000300460401</v>
      </c>
    </row>
    <row r="5647" spans="1:40" x14ac:dyDescent="0.3">
      <c r="A5647" t="str">
        <f>"20200111160614354"</f>
        <v>20200111160614354</v>
      </c>
      <c r="B5647" t="str">
        <f>"1578729974348346"</f>
        <v>1578729974348346</v>
      </c>
      <c r="C5647" t="s">
        <v>40</v>
      </c>
      <c r="D5647">
        <v>5.2700659999999999</v>
      </c>
      <c r="E5647">
        <v>0.59519650000000002</v>
      </c>
      <c r="F5647" t="s">
        <v>41</v>
      </c>
      <c r="G5647">
        <v>-303.8716</v>
      </c>
      <c r="H5647" s="1">
        <v>-1.1496129999999999E-6</v>
      </c>
      <c r="I5647">
        <v>-20.132349999999999</v>
      </c>
      <c r="J5647">
        <v>-302.20330000000001</v>
      </c>
      <c r="K5647">
        <v>1.1073219999999999</v>
      </c>
      <c r="L5647">
        <v>-10.27155</v>
      </c>
      <c r="M5647">
        <v>0.14440210000000001</v>
      </c>
      <c r="N5647">
        <v>0</v>
      </c>
      <c r="O5647">
        <v>-0.98950780000000005</v>
      </c>
      <c r="P5647">
        <v>8.1207180000000004E-2</v>
      </c>
      <c r="Q5647">
        <v>1.058984E-2</v>
      </c>
      <c r="R5647">
        <v>-0.9966412</v>
      </c>
      <c r="S5647">
        <v>-0.49285889999999999</v>
      </c>
      <c r="T5647">
        <v>-0.33428160000000001</v>
      </c>
      <c r="U5647">
        <v>-3.0553590000000002</v>
      </c>
      <c r="V5647">
        <v>6.3635079999999997E-2</v>
      </c>
      <c r="W5647">
        <v>1.502965E-2</v>
      </c>
      <c r="X5647">
        <v>0.99786010000000003</v>
      </c>
      <c r="Y5647">
        <v>0.29925289999999999</v>
      </c>
      <c r="Z5647">
        <v>0.1038869</v>
      </c>
      <c r="AA5647">
        <v>0.94850159999999994</v>
      </c>
      <c r="AB5647">
        <v>26</v>
      </c>
      <c r="AC5647">
        <v>-1.6682999999999799</v>
      </c>
      <c r="AD5647">
        <v>-1.1073231496129901</v>
      </c>
      <c r="AE5647">
        <v>-9.8607999999999993</v>
      </c>
      <c r="AF5647">
        <v>3.03751247219191</v>
      </c>
      <c r="AG5647">
        <v>-1.1073231496129901</v>
      </c>
      <c r="AH5647">
        <v>9.4012850395105101</v>
      </c>
      <c r="AI5647">
        <v>96.394988149162103</v>
      </c>
      <c r="AJ5647">
        <v>72.094591026210693</v>
      </c>
      <c r="AK5647">
        <v>9.9416702304247906</v>
      </c>
      <c r="AL5647">
        <v>89.138832103803097</v>
      </c>
      <c r="AM5647">
        <v>86.351100740968505</v>
      </c>
      <c r="AN5647">
        <v>1.0000000464788601</v>
      </c>
    </row>
    <row r="5648" spans="1:40" x14ac:dyDescent="0.3">
      <c r="A5648" t="str">
        <f>"20200111160614376"</f>
        <v>20200111160614376</v>
      </c>
      <c r="B5648" t="str">
        <f>"1578729974367868"</f>
        <v>1578729974367868</v>
      </c>
      <c r="C5648" t="s">
        <v>40</v>
      </c>
      <c r="D5648">
        <v>5.3682400000000001</v>
      </c>
      <c r="E5648">
        <v>0.59464839999999997</v>
      </c>
      <c r="F5648" t="s">
        <v>41</v>
      </c>
      <c r="G5648">
        <v>-303.84320000000002</v>
      </c>
      <c r="H5648" s="1">
        <v>-1.041034E-6</v>
      </c>
      <c r="I5648">
        <v>-20.36787</v>
      </c>
      <c r="J5648">
        <v>-302.16759999999999</v>
      </c>
      <c r="K5648">
        <v>1.1073409999999999</v>
      </c>
      <c r="L5648">
        <v>-10.53769</v>
      </c>
      <c r="M5648">
        <v>0.14156859999999999</v>
      </c>
      <c r="N5648">
        <v>0</v>
      </c>
      <c r="O5648">
        <v>-0.98991649999999998</v>
      </c>
      <c r="P5648">
        <v>7.9053490000000004E-2</v>
      </c>
      <c r="Q5648">
        <v>1.1721850000000001E-2</v>
      </c>
      <c r="R5648">
        <v>-0.99680150000000001</v>
      </c>
      <c r="S5648">
        <v>-0.49606319999999998</v>
      </c>
      <c r="T5648">
        <v>-0.33495839999999999</v>
      </c>
      <c r="U5648">
        <v>-3.0540769999999999</v>
      </c>
      <c r="V5648">
        <v>6.2939040000000002E-2</v>
      </c>
      <c r="W5648">
        <v>1.6286910000000002E-2</v>
      </c>
      <c r="X5648">
        <v>0.99788449999999995</v>
      </c>
      <c r="Y5648">
        <v>0.29754899999999901</v>
      </c>
      <c r="Z5648">
        <v>0.10422439999999999</v>
      </c>
      <c r="AA5648">
        <v>0.94900050000000002</v>
      </c>
      <c r="AB5648">
        <v>26</v>
      </c>
      <c r="AC5648">
        <v>-1.67560000000003</v>
      </c>
      <c r="AD5648">
        <v>-1.10734204103399</v>
      </c>
      <c r="AE5648">
        <v>-9.8301800000000004</v>
      </c>
      <c r="AF5648">
        <v>3.0132285360793198</v>
      </c>
      <c r="AG5648">
        <v>-1.10734204103399</v>
      </c>
      <c r="AH5648">
        <v>9.3783123302150102</v>
      </c>
      <c r="AI5648">
        <v>96.413968430878995</v>
      </c>
      <c r="AJ5648">
        <v>72.187916676922299</v>
      </c>
      <c r="AK5648">
        <v>9.9125422959777101</v>
      </c>
      <c r="AL5648">
        <v>89.066787563446098</v>
      </c>
      <c r="AM5648">
        <v>86.390994315812804</v>
      </c>
      <c r="AN5648">
        <v>1.00000003076685</v>
      </c>
    </row>
    <row r="5649" spans="1:40" x14ac:dyDescent="0.3">
      <c r="A5649" t="str">
        <f>"20200111160614397"</f>
        <v>20200111160614397</v>
      </c>
      <c r="B5649" t="str">
        <f>"1578729974387386"</f>
        <v>1578729974387386</v>
      </c>
      <c r="C5649" t="s">
        <v>40</v>
      </c>
      <c r="D5649">
        <v>5.3684589999999996</v>
      </c>
      <c r="E5649">
        <v>0.59410750000000001</v>
      </c>
      <c r="F5649" t="s">
        <v>41</v>
      </c>
      <c r="G5649">
        <v>-303.81610000000001</v>
      </c>
      <c r="H5649" s="1">
        <v>-4.886926E-6</v>
      </c>
      <c r="I5649">
        <v>-20.641870000000001</v>
      </c>
      <c r="J5649">
        <v>-302.13510000000002</v>
      </c>
      <c r="K5649">
        <v>1.1073550000000001</v>
      </c>
      <c r="L5649">
        <v>-10.78415</v>
      </c>
      <c r="M5649">
        <v>0.13895089999999999</v>
      </c>
      <c r="N5649">
        <v>0</v>
      </c>
      <c r="O5649">
        <v>-0.99028669999999996</v>
      </c>
      <c r="P5649">
        <v>7.6494569999999998E-2</v>
      </c>
      <c r="Q5649">
        <v>1.2644010000000001E-2</v>
      </c>
      <c r="R5649">
        <v>-0.99698989999999998</v>
      </c>
      <c r="S5649">
        <v>-0.49810789999999999</v>
      </c>
      <c r="T5649">
        <v>-0.33459470000000002</v>
      </c>
      <c r="U5649">
        <v>-3.05307</v>
      </c>
      <c r="V5649">
        <v>6.2866199999999997E-2</v>
      </c>
      <c r="W5649">
        <v>1.7311960000000001E-2</v>
      </c>
      <c r="X5649">
        <v>0.99787179999999998</v>
      </c>
      <c r="Y5649">
        <v>0.29569469999999998</v>
      </c>
      <c r="Z5649">
        <v>0.104232199999999</v>
      </c>
      <c r="AA5649">
        <v>0.94957899999999995</v>
      </c>
      <c r="AB5649">
        <v>26</v>
      </c>
      <c r="AC5649">
        <v>-1.6809999999999801</v>
      </c>
      <c r="AD5649">
        <v>-1.107359886926</v>
      </c>
      <c r="AE5649">
        <v>-9.8577200000000005</v>
      </c>
      <c r="AF5649">
        <v>2.99768988538204</v>
      </c>
      <c r="AG5649">
        <v>-1.107359886926</v>
      </c>
      <c r="AH5649">
        <v>9.4130840798965707</v>
      </c>
      <c r="AI5649">
        <v>96.395794647225003</v>
      </c>
      <c r="AJ5649">
        <v>72.335408390002797</v>
      </c>
      <c r="AK5649">
        <v>9.9407516045466604</v>
      </c>
      <c r="AL5649">
        <v>89.008048200224806</v>
      </c>
      <c r="AM5649">
        <v>86.395114277232807</v>
      </c>
      <c r="AN5649">
        <v>0.99999999614835999</v>
      </c>
    </row>
    <row r="5650" spans="1:40" x14ac:dyDescent="0.3">
      <c r="A5650" t="str">
        <f>"20200111160614419"</f>
        <v>20200111160614419</v>
      </c>
      <c r="B5650" t="str">
        <f>"1578729974407882"</f>
        <v>1578729974407882</v>
      </c>
      <c r="C5650" t="s">
        <v>40</v>
      </c>
      <c r="D5650">
        <v>5.4097439999999999</v>
      </c>
      <c r="E5650">
        <v>0.59355360000000001</v>
      </c>
      <c r="F5650" t="s">
        <v>41</v>
      </c>
      <c r="G5650">
        <v>-303.79719999999998</v>
      </c>
      <c r="H5650" s="1">
        <v>-4.7945950000000003E-6</v>
      </c>
      <c r="I5650">
        <v>-20.903359999999999</v>
      </c>
      <c r="J5650">
        <v>-302.10160000000002</v>
      </c>
      <c r="K5650">
        <v>1.107362</v>
      </c>
      <c r="L5650">
        <v>-11.043850000000001</v>
      </c>
      <c r="M5650">
        <v>0.13619690000000001</v>
      </c>
      <c r="N5650">
        <v>0</v>
      </c>
      <c r="O5650">
        <v>-0.99066900000000002</v>
      </c>
      <c r="P5650">
        <v>7.3370379999999999E-2</v>
      </c>
      <c r="Q5650">
        <v>1.3668049999999999E-2</v>
      </c>
      <c r="R5650">
        <v>-0.99721150000000003</v>
      </c>
      <c r="S5650">
        <v>-0.50125120000000001</v>
      </c>
      <c r="T5650">
        <v>-0.33395839999999999</v>
      </c>
      <c r="U5650">
        <v>-3.051758</v>
      </c>
      <c r="V5650">
        <v>6.3222479999999998E-2</v>
      </c>
      <c r="W5650">
        <v>1.843235E-2</v>
      </c>
      <c r="X5650">
        <v>0.99782919999999997</v>
      </c>
      <c r="Y5650">
        <v>0.2940585</v>
      </c>
      <c r="Z5650">
        <v>0.104161</v>
      </c>
      <c r="AA5650">
        <v>0.95009480000000002</v>
      </c>
      <c r="AB5650">
        <v>26</v>
      </c>
      <c r="AC5650">
        <v>-1.69559999999995</v>
      </c>
      <c r="AD5650">
        <v>-1.1073667945950001</v>
      </c>
      <c r="AE5650">
        <v>-9.8595099999999896</v>
      </c>
      <c r="AF5650">
        <v>2.9860654803158</v>
      </c>
      <c r="AG5650">
        <v>-1.1073667945950001</v>
      </c>
      <c r="AH5650">
        <v>9.4212650575371502</v>
      </c>
      <c r="AI5650">
        <v>96.393089181160306</v>
      </c>
      <c r="AJ5650">
        <v>72.414012903393001</v>
      </c>
      <c r="AK5650">
        <v>9.9450029439350001</v>
      </c>
      <c r="AL5650">
        <v>88.943844299065702</v>
      </c>
      <c r="AM5650">
        <v>86.374584371686495</v>
      </c>
      <c r="AN5650">
        <v>0.99999997293825604</v>
      </c>
    </row>
    <row r="5651" spans="1:40" x14ac:dyDescent="0.3">
      <c r="A5651" t="str">
        <f>"20200111160614443"</f>
        <v>20200111160614443</v>
      </c>
      <c r="B5651" t="str">
        <f>"1578729974438138"</f>
        <v>1578729974438138</v>
      </c>
      <c r="C5651" t="s">
        <v>40</v>
      </c>
      <c r="D5651">
        <v>5.4118890000000004</v>
      </c>
      <c r="E5651">
        <v>0.59310229999999997</v>
      </c>
      <c r="F5651" t="s">
        <v>41</v>
      </c>
      <c r="G5651">
        <v>-303.78059999999999</v>
      </c>
      <c r="H5651" s="1">
        <v>-4.7039230000000004E-6</v>
      </c>
      <c r="I5651">
        <v>-21.161159999999999</v>
      </c>
      <c r="J5651">
        <v>-302.06760000000003</v>
      </c>
      <c r="K5651">
        <v>1.1073630000000001</v>
      </c>
      <c r="L5651">
        <v>-11.31366</v>
      </c>
      <c r="M5651">
        <v>0.1333346</v>
      </c>
      <c r="N5651">
        <v>0</v>
      </c>
      <c r="O5651">
        <v>-0.99105779999999999</v>
      </c>
      <c r="P5651">
        <v>6.9918480000000005E-2</v>
      </c>
      <c r="Q5651">
        <v>1.4093929999999999E-2</v>
      </c>
      <c r="R5651">
        <v>-0.99745349999999999</v>
      </c>
      <c r="S5651">
        <v>-0.50619510000000001</v>
      </c>
      <c r="T5651">
        <v>-0.3338527</v>
      </c>
      <c r="U5651">
        <v>-3.0502009999999999</v>
      </c>
      <c r="V5651">
        <v>6.3796270000000002E-2</v>
      </c>
      <c r="W5651">
        <v>1.8948199999999998E-2</v>
      </c>
      <c r="X5651">
        <v>0.99778310000000003</v>
      </c>
      <c r="Y5651">
        <v>0.29287410000000003</v>
      </c>
      <c r="Z5651">
        <v>0.1042496</v>
      </c>
      <c r="AA5651">
        <v>0.95045080000000004</v>
      </c>
      <c r="AB5651">
        <v>26</v>
      </c>
      <c r="AC5651">
        <v>-1.7129999999999601</v>
      </c>
      <c r="AD5651">
        <v>-1.1073677039230001</v>
      </c>
      <c r="AE5651">
        <v>-9.8474999999999895</v>
      </c>
      <c r="AF5651">
        <v>2.9742285160142998</v>
      </c>
      <c r="AG5651">
        <v>-1.1073677039230001</v>
      </c>
      <c r="AH5651">
        <v>9.4155981807619291</v>
      </c>
      <c r="AI5651">
        <v>96.398856337393596</v>
      </c>
      <c r="AJ5651">
        <v>72.469552843824601</v>
      </c>
      <c r="AK5651">
        <v>9.9360851243702495</v>
      </c>
      <c r="AL5651">
        <v>88.914283197104794</v>
      </c>
      <c r="AM5651">
        <v>86.341601476409593</v>
      </c>
      <c r="AN5651">
        <v>1.0000000564973699</v>
      </c>
    </row>
    <row r="5652" spans="1:40" x14ac:dyDescent="0.3">
      <c r="A5652" t="str">
        <f>"20200111160614463"</f>
        <v>20200111160614463</v>
      </c>
      <c r="B5652" t="str">
        <f>"1578729974457658"</f>
        <v>1578729974457658</v>
      </c>
      <c r="C5652" t="s">
        <v>40</v>
      </c>
      <c r="D5652">
        <v>5.5211069999999998</v>
      </c>
      <c r="E5652">
        <v>0.59308329999999998</v>
      </c>
      <c r="F5652" t="s">
        <v>41</v>
      </c>
      <c r="G5652">
        <v>-303.75990000000002</v>
      </c>
      <c r="H5652" s="1">
        <v>-4.6280520000000002E-6</v>
      </c>
      <c r="I5652">
        <v>-21.373329999999999</v>
      </c>
      <c r="J5652">
        <v>-302.03620000000001</v>
      </c>
      <c r="K5652">
        <v>1.1073539999999999</v>
      </c>
      <c r="L5652">
        <v>-11.568390000000001</v>
      </c>
      <c r="M5652">
        <v>0.1306254</v>
      </c>
      <c r="N5652">
        <v>0</v>
      </c>
      <c r="O5652">
        <v>-0.99141800000000002</v>
      </c>
      <c r="P5652">
        <v>6.7025870000000001E-2</v>
      </c>
      <c r="Q5652">
        <v>1.466453E-2</v>
      </c>
      <c r="R5652">
        <v>-0.99764359999999996</v>
      </c>
      <c r="S5652">
        <v>-0.51281739999999998</v>
      </c>
      <c r="T5652">
        <v>-0.335561</v>
      </c>
      <c r="U5652">
        <v>-3.04834</v>
      </c>
      <c r="V5652">
        <v>6.3965610000000006E-2</v>
      </c>
      <c r="W5652">
        <v>1.96004E-2</v>
      </c>
      <c r="X5652">
        <v>0.99775959999999997</v>
      </c>
      <c r="Y5652">
        <v>0.29235329999999998</v>
      </c>
      <c r="Z5652">
        <v>0.1048883</v>
      </c>
      <c r="AA5652">
        <v>0.95054090000000002</v>
      </c>
      <c r="AB5652">
        <v>26</v>
      </c>
      <c r="AC5652">
        <v>-1.7237</v>
      </c>
      <c r="AD5652">
        <v>-1.107358628052</v>
      </c>
      <c r="AE5652">
        <v>-9.8049400000000002</v>
      </c>
      <c r="AF5652">
        <v>2.9531831685246299</v>
      </c>
      <c r="AG5652">
        <v>-1.107358628052</v>
      </c>
      <c r="AH5652">
        <v>9.3797116021618194</v>
      </c>
      <c r="AI5652">
        <v>96.424973279163794</v>
      </c>
      <c r="AJ5652">
        <v>72.523497339319505</v>
      </c>
      <c r="AK5652">
        <v>9.8957831270550596</v>
      </c>
      <c r="AL5652">
        <v>88.876907881441596</v>
      </c>
      <c r="AM5652">
        <v>86.331830989681393</v>
      </c>
      <c r="AN5652">
        <v>0.99999999716749599</v>
      </c>
    </row>
    <row r="5653" spans="1:40" x14ac:dyDescent="0.3">
      <c r="A5653" t="str">
        <f>"20200111160614487"</f>
        <v>20200111160614487</v>
      </c>
      <c r="B5653" t="str">
        <f>"1578729974478156"</f>
        <v>1578729974478156</v>
      </c>
      <c r="C5653" t="s">
        <v>40</v>
      </c>
      <c r="D5653">
        <v>5.1934339999999999</v>
      </c>
      <c r="E5653">
        <v>0.59322109999999995</v>
      </c>
      <c r="F5653" t="s">
        <v>41</v>
      </c>
      <c r="G5653">
        <v>-303.78250000000003</v>
      </c>
      <c r="H5653" s="1">
        <v>-4.4977460000000002E-6</v>
      </c>
      <c r="I5653">
        <v>-21.767969999999998</v>
      </c>
      <c r="J5653">
        <v>-302.00200000000001</v>
      </c>
      <c r="K5653">
        <v>1.1073360000000001</v>
      </c>
      <c r="L5653">
        <v>-11.85263</v>
      </c>
      <c r="M5653">
        <v>0.1275839</v>
      </c>
      <c r="N5653">
        <v>0</v>
      </c>
      <c r="O5653">
        <v>-0.99181330000000001</v>
      </c>
      <c r="P5653">
        <v>6.4093440000000002E-2</v>
      </c>
      <c r="Q5653">
        <v>1.348996E-2</v>
      </c>
      <c r="R5653">
        <v>-0.99785279999999998</v>
      </c>
      <c r="S5653">
        <v>-0.52166749999999995</v>
      </c>
      <c r="T5653">
        <v>-0.33080939999999998</v>
      </c>
      <c r="U5653">
        <v>-3.0469970000000002</v>
      </c>
      <c r="V5653">
        <v>6.3835790000000003E-2</v>
      </c>
      <c r="W5653">
        <v>1.8513870000000002E-2</v>
      </c>
      <c r="X5653">
        <v>0.99778869999999997</v>
      </c>
      <c r="Y5653">
        <v>0.29219899999999999</v>
      </c>
      <c r="Z5653">
        <v>0.103506399999999</v>
      </c>
      <c r="AA5653">
        <v>0.95073980000000002</v>
      </c>
      <c r="AB5653">
        <v>27</v>
      </c>
      <c r="AC5653">
        <v>-1.78050000000001</v>
      </c>
      <c r="AD5653">
        <v>-1.107340497746</v>
      </c>
      <c r="AE5653">
        <v>-9.9153400000000005</v>
      </c>
      <c r="AF5653">
        <v>2.9948193454034899</v>
      </c>
      <c r="AG5653">
        <v>-1.107340497746</v>
      </c>
      <c r="AH5653">
        <v>9.4924465150711601</v>
      </c>
      <c r="AI5653">
        <v>96.34802424339</v>
      </c>
      <c r="AJ5653">
        <v>72.489775431526397</v>
      </c>
      <c r="AK5653">
        <v>10.015072976820299</v>
      </c>
      <c r="AL5653">
        <v>88.939172811064495</v>
      </c>
      <c r="AM5653">
        <v>86.339361850746499</v>
      </c>
      <c r="AN5653">
        <v>1.0000000306574901</v>
      </c>
    </row>
    <row r="5654" spans="1:40" x14ac:dyDescent="0.3">
      <c r="A5654" t="str">
        <f>"20200111160614509"</f>
        <v>20200111160614509</v>
      </c>
      <c r="B5654" t="str">
        <f>"1578729974497674"</f>
        <v>1578729974497674</v>
      </c>
      <c r="C5654" t="s">
        <v>40</v>
      </c>
      <c r="D5654">
        <v>5.2175449999999897</v>
      </c>
      <c r="E5654">
        <v>0.59388289999999999</v>
      </c>
      <c r="F5654" t="s">
        <v>41</v>
      </c>
      <c r="G5654">
        <v>-303.77629999999999</v>
      </c>
      <c r="H5654" s="1">
        <v>-4.4164699999999996E-6</v>
      </c>
      <c r="I5654">
        <v>-22.003589999999999</v>
      </c>
      <c r="J5654">
        <v>-301.97210000000001</v>
      </c>
      <c r="K5654">
        <v>1.1073059999999999</v>
      </c>
      <c r="L5654">
        <v>-12.10849</v>
      </c>
      <c r="M5654">
        <v>0.1248264</v>
      </c>
      <c r="N5654">
        <v>0</v>
      </c>
      <c r="O5654">
        <v>-0.99216389999999999</v>
      </c>
      <c r="P5654">
        <v>6.2754270000000001E-2</v>
      </c>
      <c r="Q5654">
        <v>1.295028E-2</v>
      </c>
      <c r="R5654">
        <v>-0.99794510000000003</v>
      </c>
      <c r="S5654">
        <v>-0.53225710000000004</v>
      </c>
      <c r="T5654">
        <v>-0.33218540000000002</v>
      </c>
      <c r="U5654">
        <v>-3.0451350000000001</v>
      </c>
      <c r="V5654">
        <v>6.2401030000000003E-2</v>
      </c>
      <c r="W5654">
        <v>1.8055709999999999E-2</v>
      </c>
      <c r="X5654">
        <v>0.99788779999999999</v>
      </c>
      <c r="Y5654">
        <v>0.29283940000000003</v>
      </c>
      <c r="Z5654">
        <v>0.1040098</v>
      </c>
      <c r="AA5654">
        <v>0.95048779999999999</v>
      </c>
      <c r="AB5654">
        <v>27</v>
      </c>
      <c r="AC5654">
        <v>-1.80419999999998</v>
      </c>
      <c r="AD5654">
        <v>-1.1073104164699901</v>
      </c>
      <c r="AE5654">
        <v>-9.8950999999999993</v>
      </c>
      <c r="AF5654">
        <v>2.9890492943533902</v>
      </c>
      <c r="AG5654">
        <v>-1.1073104164699901</v>
      </c>
      <c r="AH5654">
        <v>9.4776223346064992</v>
      </c>
      <c r="AI5654">
        <v>96.357909446752501</v>
      </c>
      <c r="AJ5654">
        <v>72.495785593284893</v>
      </c>
      <c r="AK5654">
        <v>9.9992938330628807</v>
      </c>
      <c r="AL5654">
        <v>88.965427781025397</v>
      </c>
      <c r="AM5654">
        <v>86.421775807945295</v>
      </c>
      <c r="AN5654">
        <v>0.99999997929875195</v>
      </c>
    </row>
    <row r="5655" spans="1:40" x14ac:dyDescent="0.3">
      <c r="A5655" t="str">
        <f>"20200111160614532"</f>
        <v>20200111160614532</v>
      </c>
      <c r="B5655" t="str">
        <f>"1578729974527932"</f>
        <v>1578729974527932</v>
      </c>
      <c r="C5655" t="s">
        <v>40</v>
      </c>
      <c r="D5655">
        <v>5.2405010000000001</v>
      </c>
      <c r="E5655">
        <v>0.59467389999999998</v>
      </c>
      <c r="F5655" t="s">
        <v>41</v>
      </c>
      <c r="G5655">
        <v>-303.7987</v>
      </c>
      <c r="H5655" s="1">
        <v>-4.2984220000000004E-6</v>
      </c>
      <c r="I5655">
        <v>-22.36214</v>
      </c>
      <c r="J5655">
        <v>-301.93970000000002</v>
      </c>
      <c r="K5655">
        <v>1.1072820000000001</v>
      </c>
      <c r="L5655">
        <v>-12.39218</v>
      </c>
      <c r="M5655">
        <v>0.121744699999999</v>
      </c>
      <c r="N5655">
        <v>0</v>
      </c>
      <c r="O5655">
        <v>-0.99254609999999999</v>
      </c>
      <c r="P5655">
        <v>6.1368350000000002E-2</v>
      </c>
      <c r="Q5655">
        <v>1.295835E-2</v>
      </c>
      <c r="R5655">
        <v>-0.99803140000000001</v>
      </c>
      <c r="S5655">
        <v>-0.54235840000000002</v>
      </c>
      <c r="T5655">
        <v>-0.328787</v>
      </c>
      <c r="U5655">
        <v>-3.044556</v>
      </c>
      <c r="V5655">
        <v>6.0689859999999998E-2</v>
      </c>
      <c r="W5655">
        <v>1.8150110000000001E-2</v>
      </c>
      <c r="X5655">
        <v>0.99799159999999998</v>
      </c>
      <c r="Y5655">
        <v>0.29297960000000001</v>
      </c>
      <c r="Z5655">
        <v>0.1030069</v>
      </c>
      <c r="AA5655">
        <v>0.9505538</v>
      </c>
      <c r="AB5655">
        <v>27</v>
      </c>
      <c r="AC5655">
        <v>-1.85899999999998</v>
      </c>
      <c r="AD5655">
        <v>-1.10728629842199</v>
      </c>
      <c r="AE5655">
        <v>-9.9699600000000004</v>
      </c>
      <c r="AF5655">
        <v>3.0229449210130301</v>
      </c>
      <c r="AG5655">
        <v>-1.10728629842199</v>
      </c>
      <c r="AH5655">
        <v>9.5555628305968092</v>
      </c>
      <c r="AI5655">
        <v>96.304582926026697</v>
      </c>
      <c r="AJ5655">
        <v>72.445000498418807</v>
      </c>
      <c r="AK5655">
        <v>10.0833060030743</v>
      </c>
      <c r="AL5655">
        <v>88.960018152394895</v>
      </c>
      <c r="AM5655">
        <v>86.520014907495295</v>
      </c>
      <c r="AN5655">
        <v>0.99999995963519495</v>
      </c>
    </row>
    <row r="5656" spans="1:40" x14ac:dyDescent="0.3">
      <c r="A5656" t="str">
        <f>"20200111160614554"</f>
        <v>20200111160614554</v>
      </c>
      <c r="B5656" t="str">
        <f>"1578729974547450"</f>
        <v>1578729974547450</v>
      </c>
      <c r="C5656" t="s">
        <v>40</v>
      </c>
      <c r="D5656">
        <v>5.2591299999999999</v>
      </c>
      <c r="E5656">
        <v>0.59508260000000002</v>
      </c>
      <c r="F5656" t="s">
        <v>41</v>
      </c>
      <c r="G5656">
        <v>-303.84410000000003</v>
      </c>
      <c r="H5656" s="1">
        <v>-4.1355319999999997E-6</v>
      </c>
      <c r="I5656">
        <v>-22.8645</v>
      </c>
      <c r="J5656">
        <v>-301.911</v>
      </c>
      <c r="K5656">
        <v>1.1072550000000001</v>
      </c>
      <c r="L5656">
        <v>-12.6503</v>
      </c>
      <c r="M5656">
        <v>0.1189147</v>
      </c>
      <c r="N5656">
        <v>0</v>
      </c>
      <c r="O5656">
        <v>-0.99288889999999996</v>
      </c>
      <c r="P5656">
        <v>6.1085130000000001E-2</v>
      </c>
      <c r="Q5656">
        <v>1.33645E-2</v>
      </c>
      <c r="R5656">
        <v>-0.99804360000000003</v>
      </c>
      <c r="S5656">
        <v>-0.55358890000000005</v>
      </c>
      <c r="T5656">
        <v>-0.32186959999999998</v>
      </c>
      <c r="U5656">
        <v>-3.0441280000000002</v>
      </c>
      <c r="V5656">
        <v>5.813111E-2</v>
      </c>
      <c r="W5656">
        <v>1.8635929999999998E-2</v>
      </c>
      <c r="X5656">
        <v>0.99813499999999999</v>
      </c>
      <c r="Y5656">
        <v>0.293714799999999</v>
      </c>
      <c r="Z5656">
        <v>0.10088709999999999</v>
      </c>
      <c r="AA5656">
        <v>0.95055429999999996</v>
      </c>
      <c r="AB5656">
        <v>27</v>
      </c>
      <c r="AC5656">
        <v>-1.93310000000002</v>
      </c>
      <c r="AD5656">
        <v>-1.1072591355319901</v>
      </c>
      <c r="AE5656">
        <v>-10.2142</v>
      </c>
      <c r="AF5656">
        <v>3.0988637585485601</v>
      </c>
      <c r="AG5656">
        <v>-1.1072591355319901</v>
      </c>
      <c r="AH5656">
        <v>9.8006561293030998</v>
      </c>
      <c r="AI5656">
        <v>96.148281509012094</v>
      </c>
      <c r="AJ5656">
        <v>72.453596838805296</v>
      </c>
      <c r="AK5656">
        <v>10.338367373628699</v>
      </c>
      <c r="AL5656">
        <v>88.932178049998697</v>
      </c>
      <c r="AM5656">
        <v>86.666874539894593</v>
      </c>
      <c r="AN5656">
        <v>1.00000000103089</v>
      </c>
    </row>
    <row r="5657" spans="1:40" x14ac:dyDescent="0.3">
      <c r="A5657" t="str">
        <f>"20200111160614575"</f>
        <v>20200111160614575</v>
      </c>
      <c r="B5657" t="str">
        <f>"1578729974567948"</f>
        <v>1578729974567948</v>
      </c>
      <c r="C5657" t="s">
        <v>40</v>
      </c>
      <c r="D5657">
        <v>5.2752160000000003</v>
      </c>
      <c r="E5657">
        <v>0.59540519999999997</v>
      </c>
      <c r="F5657" t="s">
        <v>41</v>
      </c>
      <c r="G5657">
        <v>-303.86900000000003</v>
      </c>
      <c r="H5657" s="1">
        <v>-3.9855829999999998E-6</v>
      </c>
      <c r="I5657">
        <v>-23.31812</v>
      </c>
      <c r="J5657">
        <v>-301.88200000000001</v>
      </c>
      <c r="K5657">
        <v>1.1072379999999999</v>
      </c>
      <c r="L5657">
        <v>-12.91818</v>
      </c>
      <c r="M5657">
        <v>0.115943</v>
      </c>
      <c r="N5657">
        <v>0</v>
      </c>
      <c r="O5657">
        <v>-0.99323980000000001</v>
      </c>
      <c r="P5657">
        <v>6.0899059999999998E-2</v>
      </c>
      <c r="Q5657">
        <v>1.4411469999999999E-2</v>
      </c>
      <c r="R5657">
        <v>-0.99804009999999999</v>
      </c>
      <c r="S5657">
        <v>-0.55877690000000002</v>
      </c>
      <c r="T5657">
        <v>-0.31598209999999999</v>
      </c>
      <c r="U5657">
        <v>-3.0443120000000001</v>
      </c>
      <c r="V5657">
        <v>5.5336049999999998E-2</v>
      </c>
      <c r="W5657">
        <v>1.9761529999999999E-2</v>
      </c>
      <c r="X5657">
        <v>0.99827220000000005</v>
      </c>
      <c r="Y5657">
        <v>0.29244619999999999</v>
      </c>
      <c r="Z5657">
        <v>9.9114649999999999E-2</v>
      </c>
      <c r="AA5657">
        <v>0.95113170000000002</v>
      </c>
      <c r="AB5657">
        <v>27</v>
      </c>
      <c r="AC5657">
        <v>-1.9870000000000201</v>
      </c>
      <c r="AD5657">
        <v>-1.107241985583</v>
      </c>
      <c r="AE5657">
        <v>-10.3999399999999</v>
      </c>
      <c r="AF5657">
        <v>3.14502494005293</v>
      </c>
      <c r="AG5657">
        <v>-1.107241985583</v>
      </c>
      <c r="AH5657">
        <v>9.9901657897667206</v>
      </c>
      <c r="AI5657">
        <v>96.034793379958998</v>
      </c>
      <c r="AJ5657">
        <v>72.525367951874102</v>
      </c>
      <c r="AK5657">
        <v>10.5318839338087</v>
      </c>
      <c r="AL5657">
        <v>88.867674016853101</v>
      </c>
      <c r="AM5657">
        <v>86.827237347983996</v>
      </c>
      <c r="AN5657">
        <v>0.99999999089519098</v>
      </c>
    </row>
    <row r="5658" spans="1:40" x14ac:dyDescent="0.3">
      <c r="A5658" t="str">
        <f>"20200111160614597"</f>
        <v>20200111160614597</v>
      </c>
      <c r="B5658" t="str">
        <f>"1578729974587467"</f>
        <v>1578729974587467</v>
      </c>
      <c r="C5658" t="s">
        <v>40</v>
      </c>
      <c r="D5658">
        <v>5.2895120000000002</v>
      </c>
      <c r="E5658">
        <v>0.59595730000000002</v>
      </c>
      <c r="F5658" t="s">
        <v>41</v>
      </c>
      <c r="G5658">
        <v>-303.89620000000002</v>
      </c>
      <c r="H5658" s="1">
        <v>-3.8174530000000001E-6</v>
      </c>
      <c r="I5658">
        <v>-23.826319999999999</v>
      </c>
      <c r="J5658">
        <v>-301.85449999999997</v>
      </c>
      <c r="K5658">
        <v>1.1072029999999999</v>
      </c>
      <c r="L5658">
        <v>-13.180389999999999</v>
      </c>
      <c r="M5658">
        <v>0.1129993</v>
      </c>
      <c r="N5658">
        <v>0</v>
      </c>
      <c r="O5658">
        <v>-0.99357870000000004</v>
      </c>
      <c r="P5658">
        <v>6.0360370000000003E-2</v>
      </c>
      <c r="Q5658">
        <v>1.5930179999999999E-2</v>
      </c>
      <c r="R5658">
        <v>-0.99804959999999998</v>
      </c>
      <c r="S5658">
        <v>-0.56219479999999999</v>
      </c>
      <c r="T5658">
        <v>-0.30905009999999999</v>
      </c>
      <c r="U5658">
        <v>-3.0446469999999999</v>
      </c>
      <c r="V5658">
        <v>5.2924499999999999E-2</v>
      </c>
      <c r="W5658">
        <v>2.135335E-2</v>
      </c>
      <c r="X5658">
        <v>0.99837019999999999</v>
      </c>
      <c r="Y5658">
        <v>0.29066599999999998</v>
      </c>
      <c r="Z5658">
        <v>9.7020620000000002E-2</v>
      </c>
      <c r="AA5658">
        <v>0.95189299999999999</v>
      </c>
      <c r="AB5658">
        <v>27</v>
      </c>
      <c r="AC5658">
        <v>-2.04170000000004</v>
      </c>
      <c r="AD5658">
        <v>-1.1072068174529901</v>
      </c>
      <c r="AE5658">
        <v>-10.64593</v>
      </c>
      <c r="AF5658">
        <v>3.1982578386570499</v>
      </c>
      <c r="AG5658">
        <v>-1.1072068174529901</v>
      </c>
      <c r="AH5658">
        <v>10.2401923652503</v>
      </c>
      <c r="AI5658">
        <v>95.892463877720999</v>
      </c>
      <c r="AJ5658">
        <v>72.6551627313859</v>
      </c>
      <c r="AK5658">
        <v>10.7850034685426</v>
      </c>
      <c r="AL5658">
        <v>88.7764501867495</v>
      </c>
      <c r="AM5658">
        <v>86.965539632477999</v>
      </c>
      <c r="AN5658">
        <v>1.0000000122522501</v>
      </c>
    </row>
    <row r="5659" spans="1:40" x14ac:dyDescent="0.3">
      <c r="A5659" t="str">
        <f>"20200111160614620"</f>
        <v>20200111160614620</v>
      </c>
      <c r="B5659" t="str">
        <f>"1578729974617723"</f>
        <v>1578729974617723</v>
      </c>
      <c r="C5659" t="s">
        <v>40</v>
      </c>
      <c r="D5659">
        <v>5.2609870000000001</v>
      </c>
      <c r="E5659">
        <v>0.61943510000000002</v>
      </c>
      <c r="F5659" t="s">
        <v>41</v>
      </c>
      <c r="G5659">
        <v>-303.94119999999998</v>
      </c>
      <c r="H5659" s="1">
        <v>-3.6446950000000001E-6</v>
      </c>
      <c r="I5659">
        <v>-24.35745</v>
      </c>
      <c r="J5659">
        <v>-301.8252</v>
      </c>
      <c r="K5659">
        <v>1.1071709999999999</v>
      </c>
      <c r="L5659">
        <v>-13.46777</v>
      </c>
      <c r="M5659">
        <v>0.1097376</v>
      </c>
      <c r="N5659">
        <v>0</v>
      </c>
      <c r="O5659">
        <v>-0.99394400000000005</v>
      </c>
      <c r="P5659">
        <v>5.9092400000000003E-2</v>
      </c>
      <c r="Q5659">
        <v>1.667542E-2</v>
      </c>
      <c r="R5659">
        <v>-0.99811360000000005</v>
      </c>
      <c r="S5659">
        <v>-0.56851200000000002</v>
      </c>
      <c r="T5659">
        <v>-0.301647099999999</v>
      </c>
      <c r="U5659">
        <v>-3.0450740000000001</v>
      </c>
      <c r="V5659">
        <v>5.092141E-2</v>
      </c>
      <c r="W5659">
        <v>2.2175230000000001E-2</v>
      </c>
      <c r="X5659">
        <v>0.99845640000000002</v>
      </c>
      <c r="Y5659">
        <v>0.28945290000000001</v>
      </c>
      <c r="Z5659">
        <v>9.4760330000000004E-2</v>
      </c>
      <c r="AA5659">
        <v>0.95249019999999995</v>
      </c>
      <c r="AB5659">
        <v>27</v>
      </c>
      <c r="AC5659">
        <v>-2.1159999999999801</v>
      </c>
      <c r="AD5659">
        <v>-1.1071746446949999</v>
      </c>
      <c r="AE5659">
        <v>-10.889679999999901</v>
      </c>
      <c r="AF5659">
        <v>3.26571719218509</v>
      </c>
      <c r="AG5659">
        <v>-1.1071746446949999</v>
      </c>
      <c r="AH5659">
        <v>10.487237849988</v>
      </c>
      <c r="AI5659">
        <v>95.755935679928896</v>
      </c>
      <c r="AJ5659">
        <v>72.703454652617197</v>
      </c>
      <c r="AK5659">
        <v>11.039606070662501</v>
      </c>
      <c r="AL5659">
        <v>88.729348703289901</v>
      </c>
      <c r="AM5659">
        <v>87.080437099286698</v>
      </c>
      <c r="AN5659">
        <v>0.99999995676144904</v>
      </c>
    </row>
    <row r="5660" spans="1:40" x14ac:dyDescent="0.3">
      <c r="A5660" t="str">
        <f>"20200111160614644"</f>
        <v>20200111160614644</v>
      </c>
      <c r="B5660" t="str">
        <f>"1578729974638218"</f>
        <v>1578729974638218</v>
      </c>
      <c r="C5660" t="s">
        <v>40</v>
      </c>
      <c r="D5660">
        <v>5.3039110000000003</v>
      </c>
      <c r="E5660">
        <v>0.61870480000000005</v>
      </c>
      <c r="F5660" t="s">
        <v>41</v>
      </c>
      <c r="G5660">
        <v>-305.43270000000001</v>
      </c>
      <c r="H5660" s="1">
        <v>-2.5131339999999998E-6</v>
      </c>
      <c r="I5660">
        <v>-27.92221</v>
      </c>
      <c r="J5660">
        <v>-301.7971</v>
      </c>
      <c r="K5660">
        <v>1.1071359999999999</v>
      </c>
      <c r="L5660">
        <v>-13.7536</v>
      </c>
      <c r="M5660">
        <v>0.10646369999999999</v>
      </c>
      <c r="N5660">
        <v>0</v>
      </c>
      <c r="O5660">
        <v>-0.99429940000000006</v>
      </c>
      <c r="P5660">
        <v>5.733166E-2</v>
      </c>
      <c r="Q5660">
        <v>1.7376490000000001E-2</v>
      </c>
      <c r="R5660">
        <v>-0.99820410000000004</v>
      </c>
      <c r="S5660">
        <v>-0.76239009999999996</v>
      </c>
      <c r="T5660">
        <v>-0.23398369999999999</v>
      </c>
      <c r="U5660">
        <v>-3.0547179999999998</v>
      </c>
      <c r="V5660">
        <v>4.9399560000000002E-2</v>
      </c>
      <c r="W5660">
        <v>2.2949890000000001E-2</v>
      </c>
      <c r="X5660">
        <v>0.99851540000000005</v>
      </c>
      <c r="Y5660">
        <v>0.34342489999999998</v>
      </c>
      <c r="Z5660">
        <v>7.2294029999999995E-2</v>
      </c>
      <c r="AA5660">
        <v>0.93639360000000005</v>
      </c>
      <c r="AB5660">
        <v>27</v>
      </c>
      <c r="AC5660">
        <v>-3.6356000000000099</v>
      </c>
      <c r="AD5660">
        <v>-1.1071385131339999</v>
      </c>
      <c r="AE5660">
        <v>-14.1686099999999</v>
      </c>
      <c r="AF5660">
        <v>5.09422178739639</v>
      </c>
      <c r="AG5660">
        <v>-1.1071385131339999</v>
      </c>
      <c r="AH5660">
        <v>13.622973094572499</v>
      </c>
      <c r="AI5660">
        <v>94.353065443082997</v>
      </c>
      <c r="AJ5660">
        <v>69.497044892447406</v>
      </c>
      <c r="AK5660">
        <v>14.586371969818099</v>
      </c>
      <c r="AL5660">
        <v>88.684952718650806</v>
      </c>
      <c r="AM5660">
        <v>87.167714703732301</v>
      </c>
      <c r="AN5660">
        <v>1.00000000900818</v>
      </c>
    </row>
    <row r="5661" spans="1:40" x14ac:dyDescent="0.3">
      <c r="A5661" t="str">
        <f>"20200111160614664"</f>
        <v>20200111160614664</v>
      </c>
      <c r="B5661" t="str">
        <f>"1578729974657738"</f>
        <v>1578729974657738</v>
      </c>
      <c r="C5661" t="s">
        <v>40</v>
      </c>
      <c r="D5661">
        <v>5.3312790000000003</v>
      </c>
      <c r="E5661">
        <v>0.61778650000000002</v>
      </c>
      <c r="F5661" t="s">
        <v>41</v>
      </c>
      <c r="G5661">
        <v>-305.34750000000003</v>
      </c>
      <c r="H5661" s="1">
        <v>-2.4629280000000001E-6</v>
      </c>
      <c r="I5661">
        <v>-27.9864</v>
      </c>
      <c r="J5661">
        <v>-301.77280000000002</v>
      </c>
      <c r="K5661">
        <v>1.107113</v>
      </c>
      <c r="L5661">
        <v>-14.00806</v>
      </c>
      <c r="M5661">
        <v>0.1035302</v>
      </c>
      <c r="N5661">
        <v>0</v>
      </c>
      <c r="O5661">
        <v>-0.99460870000000001</v>
      </c>
      <c r="P5661">
        <v>5.6422199999999999E-2</v>
      </c>
      <c r="Q5661">
        <v>1.766529E-2</v>
      </c>
      <c r="R5661">
        <v>-0.99825079999999999</v>
      </c>
      <c r="S5661">
        <v>-0.76165769999999899</v>
      </c>
      <c r="T5661">
        <v>-0.23750830000000001</v>
      </c>
      <c r="U5661">
        <v>-3.0532840000000001</v>
      </c>
      <c r="V5661">
        <v>4.7366749999999999E-2</v>
      </c>
      <c r="W5661">
        <v>2.3306469999999999E-2</v>
      </c>
      <c r="X5661">
        <v>0.99860559999999998</v>
      </c>
      <c r="Y5661">
        <v>0.34052460000000001</v>
      </c>
      <c r="Z5661">
        <v>7.3488070000000003E-2</v>
      </c>
      <c r="AA5661">
        <v>0.93735930000000001</v>
      </c>
      <c r="AB5661">
        <v>27</v>
      </c>
      <c r="AC5661">
        <v>-3.5747</v>
      </c>
      <c r="AD5661">
        <v>-1.107115462928</v>
      </c>
      <c r="AE5661">
        <v>-13.978339999999999</v>
      </c>
      <c r="AF5661">
        <v>4.9734125841721601</v>
      </c>
      <c r="AG5661">
        <v>-1.107115462928</v>
      </c>
      <c r="AH5661">
        <v>13.4539105495017</v>
      </c>
      <c r="AI5661">
        <v>94.413603191174204</v>
      </c>
      <c r="AJ5661">
        <v>69.712513088702195</v>
      </c>
      <c r="AK5661">
        <v>14.3863910156318</v>
      </c>
      <c r="AL5661">
        <v>88.664516674368599</v>
      </c>
      <c r="AM5661">
        <v>87.284330990517901</v>
      </c>
      <c r="AN5661">
        <v>0.99999997245039096</v>
      </c>
    </row>
    <row r="5662" spans="1:40" x14ac:dyDescent="0.3">
      <c r="A5662" t="str">
        <f>"20200111160614705"</f>
        <v>20200111160614705</v>
      </c>
      <c r="B5662" t="str">
        <f>"1578729974697757"</f>
        <v>1578729974697757</v>
      </c>
      <c r="C5662" t="s">
        <v>40</v>
      </c>
      <c r="D5662">
        <v>5.2263999999999999</v>
      </c>
      <c r="E5662">
        <v>0.61892780000000003</v>
      </c>
      <c r="F5662" t="s">
        <v>41</v>
      </c>
      <c r="G5662">
        <v>-305.22770000000003</v>
      </c>
      <c r="H5662" s="1">
        <v>-2.451738E-6</v>
      </c>
      <c r="I5662">
        <v>-27.93816</v>
      </c>
      <c r="J5662">
        <v>-301.72649999999999</v>
      </c>
      <c r="K5662">
        <v>1.1070869999999999</v>
      </c>
      <c r="L5662">
        <v>-14.51923</v>
      </c>
      <c r="M5662">
        <v>9.7608349999999997E-2</v>
      </c>
      <c r="N5662">
        <v>0</v>
      </c>
      <c r="O5662">
        <v>-0.99520690000000001</v>
      </c>
      <c r="P5662">
        <v>5.4643589999999999E-2</v>
      </c>
      <c r="Q5662">
        <v>1.8294129999999999E-2</v>
      </c>
      <c r="R5662">
        <v>-0.99833879999999997</v>
      </c>
      <c r="S5662">
        <v>-0.757019</v>
      </c>
      <c r="T5662">
        <v>-0.242589</v>
      </c>
      <c r="U5662">
        <v>-3.0523380000000002</v>
      </c>
      <c r="V5662">
        <v>4.3207089999999997E-2</v>
      </c>
      <c r="W5662">
        <v>2.4065380000000001E-2</v>
      </c>
      <c r="X5662">
        <v>0.99877629999999995</v>
      </c>
      <c r="Y5662">
        <v>0.33361629999999998</v>
      </c>
      <c r="Z5662">
        <v>7.5253589999999995E-2</v>
      </c>
      <c r="AA5662">
        <v>0.93970050000000005</v>
      </c>
      <c r="AB5662">
        <v>28</v>
      </c>
      <c r="AC5662">
        <v>-3.5012000000000398</v>
      </c>
      <c r="AD5662">
        <v>-1.1070894517380001</v>
      </c>
      <c r="AE5662">
        <v>-13.4189299999999</v>
      </c>
      <c r="AF5662">
        <v>4.7639444679683702</v>
      </c>
      <c r="AG5662">
        <v>-1.1070894517380001</v>
      </c>
      <c r="AH5662">
        <v>12.9306943935254</v>
      </c>
      <c r="AI5662">
        <v>94.593179081332494</v>
      </c>
      <c r="AJ5662">
        <v>69.775123292320004</v>
      </c>
      <c r="AK5662">
        <v>13.8247485129671</v>
      </c>
      <c r="AL5662">
        <v>88.621022231505904</v>
      </c>
      <c r="AM5662">
        <v>87.5229274665529</v>
      </c>
      <c r="AN5662">
        <v>1.0000000462912499</v>
      </c>
    </row>
    <row r="5663" spans="1:40" x14ac:dyDescent="0.3">
      <c r="A5663" t="str">
        <f>"20200111160614728"</f>
        <v>20200111160614728</v>
      </c>
      <c r="B5663" t="str">
        <f>"1578729974718250"</f>
        <v>1578729974718250</v>
      </c>
      <c r="C5663" t="s">
        <v>40</v>
      </c>
      <c r="D5663">
        <v>4.6930399999999999</v>
      </c>
      <c r="E5663">
        <v>0.61852019999999996</v>
      </c>
      <c r="F5663" t="s">
        <v>41</v>
      </c>
      <c r="G5663">
        <v>-305.28989999999999</v>
      </c>
      <c r="H5663" s="1">
        <v>-2.180181E-6</v>
      </c>
      <c r="I5663">
        <v>-28.609749999999998</v>
      </c>
      <c r="J5663">
        <v>-301.70139999999998</v>
      </c>
      <c r="K5663">
        <v>1.107075</v>
      </c>
      <c r="L5663">
        <v>-14.81287</v>
      </c>
      <c r="M5663">
        <v>9.4199240000000004E-2</v>
      </c>
      <c r="N5663">
        <v>0</v>
      </c>
      <c r="O5663">
        <v>-0.99553480000000005</v>
      </c>
      <c r="P5663">
        <v>5.381913E-2</v>
      </c>
      <c r="Q5663">
        <v>1.7492529999999999E-2</v>
      </c>
      <c r="R5663">
        <v>-0.9983976</v>
      </c>
      <c r="S5663">
        <v>-0.77172850000000004</v>
      </c>
      <c r="T5663">
        <v>-0.23976610000000001</v>
      </c>
      <c r="U5663">
        <v>-3.0516359999999998</v>
      </c>
      <c r="V5663">
        <v>4.06088E-2</v>
      </c>
      <c r="W5663">
        <v>2.333555E-2</v>
      </c>
      <c r="X5663">
        <v>0.99890259999999997</v>
      </c>
      <c r="Y5663">
        <v>0.33471770000000001</v>
      </c>
      <c r="Z5663">
        <v>7.4380150000000006E-2</v>
      </c>
      <c r="AA5663">
        <v>0.9393783</v>
      </c>
      <c r="AB5663">
        <v>28</v>
      </c>
      <c r="AC5663">
        <v>-3.58850000000001</v>
      </c>
      <c r="AD5663">
        <v>-1.107077180181</v>
      </c>
      <c r="AE5663">
        <v>-13.7968799999999</v>
      </c>
      <c r="AF5663">
        <v>4.8430156771886201</v>
      </c>
      <c r="AG5663">
        <v>-1.107077180181</v>
      </c>
      <c r="AH5663">
        <v>13.317176364451001</v>
      </c>
      <c r="AI5663">
        <v>94.467198659818493</v>
      </c>
      <c r="AJ5663">
        <v>70.0153503803093</v>
      </c>
      <c r="AK5663">
        <v>14.213641583150499</v>
      </c>
      <c r="AL5663">
        <v>88.662850114560001</v>
      </c>
      <c r="AM5663">
        <v>87.672012932459296</v>
      </c>
      <c r="AN5663">
        <v>1.0000000134089999</v>
      </c>
    </row>
    <row r="5664" spans="1:40" x14ac:dyDescent="0.3">
      <c r="A5664" t="str">
        <f>"20200111160614752"</f>
        <v>20200111160614752</v>
      </c>
      <c r="B5664" t="str">
        <f>"1578729974747530"</f>
        <v>1578729974747530</v>
      </c>
      <c r="C5664" t="s">
        <v>40</v>
      </c>
      <c r="D5664">
        <v>5.3162409999999998</v>
      </c>
      <c r="E5664">
        <v>0.47977399999999998</v>
      </c>
      <c r="F5664" t="s">
        <v>41</v>
      </c>
      <c r="G5664">
        <v>-305.24979999999999</v>
      </c>
      <c r="H5664" s="1">
        <v>-2.068584E-6</v>
      </c>
      <c r="I5664">
        <v>-28.845020000000002</v>
      </c>
      <c r="J5664">
        <v>-301.67759999999998</v>
      </c>
      <c r="K5664">
        <v>1.1070660000000001</v>
      </c>
      <c r="L5664">
        <v>-15.10117</v>
      </c>
      <c r="M5664">
        <v>9.0852760000000005E-2</v>
      </c>
      <c r="N5664">
        <v>0</v>
      </c>
      <c r="O5664">
        <v>-0.9958456</v>
      </c>
      <c r="P5664">
        <v>5.3797970000000001E-2</v>
      </c>
      <c r="Q5664">
        <v>1.7202289999999999E-2</v>
      </c>
      <c r="R5664">
        <v>-0.99840379999999995</v>
      </c>
      <c r="S5664">
        <v>-0.77142330000000003</v>
      </c>
      <c r="T5664">
        <v>-0.24067920000000001</v>
      </c>
      <c r="U5664">
        <v>-3.0505979999999999</v>
      </c>
      <c r="V5664">
        <v>3.7272159999999999E-2</v>
      </c>
      <c r="W5664">
        <v>2.3118650000000001E-2</v>
      </c>
      <c r="X5664">
        <v>0.99903770000000003</v>
      </c>
      <c r="Y5664">
        <v>0.33153050000000001</v>
      </c>
      <c r="Z5664">
        <v>7.4767E-2</v>
      </c>
      <c r="AA5664">
        <v>0.94047720000000001</v>
      </c>
      <c r="AB5664">
        <v>28</v>
      </c>
      <c r="AC5664">
        <v>-3.5722</v>
      </c>
      <c r="AD5664">
        <v>-1.107068068584</v>
      </c>
      <c r="AE5664">
        <v>-13.74385</v>
      </c>
      <c r="AF5664">
        <v>4.7770821943562298</v>
      </c>
      <c r="AG5664">
        <v>-1.107068068584</v>
      </c>
      <c r="AH5664">
        <v>13.2817347828144</v>
      </c>
      <c r="AI5664">
        <v>94.484735580321797</v>
      </c>
      <c r="AJ5664">
        <v>70.217708472910601</v>
      </c>
      <c r="AK5664">
        <v>14.1580575235848</v>
      </c>
      <c r="AL5664">
        <v>88.675280912769495</v>
      </c>
      <c r="AM5664">
        <v>87.863396470563103</v>
      </c>
      <c r="AN5664">
        <v>1.00000000595508</v>
      </c>
    </row>
    <row r="5665" spans="1:40" x14ac:dyDescent="0.3">
      <c r="A5665" t="str">
        <f>"20200111160614775"</f>
        <v>20200111160614775</v>
      </c>
      <c r="B5665" t="str">
        <f>"1578729974768027"</f>
        <v>1578729974768027</v>
      </c>
      <c r="C5665" t="s">
        <v>40</v>
      </c>
      <c r="D5665">
        <v>5.3503439999999998</v>
      </c>
      <c r="E5665">
        <v>0.47630689999999998</v>
      </c>
      <c r="F5665" t="s">
        <v>67</v>
      </c>
      <c r="G5665">
        <v>-298.2561</v>
      </c>
      <c r="H5665" s="1">
        <v>-3.9836170000000001E-6</v>
      </c>
      <c r="I5665">
        <v>-46.227089999999997</v>
      </c>
      <c r="J5665">
        <v>-301.65379999999999</v>
      </c>
      <c r="K5665">
        <v>1.1070519999999999</v>
      </c>
      <c r="L5665">
        <v>-15.4028299999999</v>
      </c>
      <c r="M5665">
        <v>8.7353710000000001E-2</v>
      </c>
      <c r="N5665">
        <v>0</v>
      </c>
      <c r="O5665">
        <v>-0.99615810000000005</v>
      </c>
      <c r="P5665">
        <v>5.3640159999999999E-2</v>
      </c>
      <c r="Q5665">
        <v>1.7403430000000001E-2</v>
      </c>
      <c r="R5665">
        <v>-0.99840859999999998</v>
      </c>
      <c r="S5665">
        <v>0.32855220000000002</v>
      </c>
      <c r="T5665">
        <v>-0.10630829999999999</v>
      </c>
      <c r="U5665">
        <v>-2.9889220000000001</v>
      </c>
      <c r="V5665">
        <v>3.3922029999999999E-2</v>
      </c>
      <c r="W5665">
        <v>2.3390370000000001E-2</v>
      </c>
      <c r="X5665">
        <v>0.99915080000000001</v>
      </c>
      <c r="Y5665">
        <v>-2.1947029999999999E-2</v>
      </c>
      <c r="Z5665">
        <v>3.5231320000000003E-2</v>
      </c>
      <c r="AA5665">
        <v>0.99913819999999998</v>
      </c>
      <c r="AB5665">
        <v>28</v>
      </c>
      <c r="AC5665">
        <v>3.39769999999998</v>
      </c>
      <c r="AD5665">
        <v>-1.107055983617</v>
      </c>
      <c r="AE5665">
        <v>-30.824259999999999</v>
      </c>
      <c r="AF5665">
        <v>-0.69116535667810197</v>
      </c>
      <c r="AG5665">
        <v>-1.107055983617</v>
      </c>
      <c r="AH5665">
        <v>30.963772252107301</v>
      </c>
      <c r="AI5665">
        <v>92.047129538663398</v>
      </c>
      <c r="AJ5665">
        <v>91.278729295301801</v>
      </c>
      <c r="AK5665">
        <v>30.9912644882635</v>
      </c>
      <c r="AL5665">
        <v>88.659708374696393</v>
      </c>
      <c r="AM5665">
        <v>88.055505834452703</v>
      </c>
      <c r="AN5665">
        <v>1.0000000673343401</v>
      </c>
    </row>
    <row r="5666" spans="1:40" x14ac:dyDescent="0.3">
      <c r="A5666" t="str">
        <f>"20200111160614798"</f>
        <v>20200111160614798</v>
      </c>
      <c r="B5666" t="str">
        <f>"1578729974787546"</f>
        <v>1578729974787546</v>
      </c>
      <c r="C5666" t="s">
        <v>40</v>
      </c>
      <c r="D5666">
        <v>5.3641949999999996</v>
      </c>
      <c r="E5666">
        <v>0.47596450000000001</v>
      </c>
      <c r="F5666" t="s">
        <v>41</v>
      </c>
      <c r="G5666">
        <v>-299.74290000000002</v>
      </c>
      <c r="H5666" s="1">
        <v>-3.9270440000000002E-6</v>
      </c>
      <c r="I5666">
        <v>-31.319469999999999</v>
      </c>
      <c r="J5666">
        <v>-301.63229999999999</v>
      </c>
      <c r="K5666">
        <v>1.1070359999999999</v>
      </c>
      <c r="L5666">
        <v>-15.686</v>
      </c>
      <c r="M5666">
        <v>8.4072320000000006E-2</v>
      </c>
      <c r="N5666">
        <v>0</v>
      </c>
      <c r="O5666">
        <v>-0.99644029999999995</v>
      </c>
      <c r="P5666">
        <v>5.3154390000000003E-2</v>
      </c>
      <c r="Q5666">
        <v>1.7556720000000001E-2</v>
      </c>
      <c r="R5666">
        <v>-0.99843230000000005</v>
      </c>
      <c r="S5666">
        <v>0.35885620000000001</v>
      </c>
      <c r="T5666">
        <v>-0.20790449999999999</v>
      </c>
      <c r="U5666">
        <v>-2.9891359999999998</v>
      </c>
      <c r="V5666">
        <v>3.1118839999999998E-2</v>
      </c>
      <c r="W5666">
        <v>2.3601069999999998E-2</v>
      </c>
      <c r="X5666">
        <v>0.99923700000000004</v>
      </c>
      <c r="Y5666">
        <v>-3.501804E-2</v>
      </c>
      <c r="Z5666">
        <v>6.8751640000000003E-2</v>
      </c>
      <c r="AA5666">
        <v>0.99701910000000005</v>
      </c>
      <c r="AB5666">
        <v>28</v>
      </c>
      <c r="AC5666">
        <v>1.88939999999996</v>
      </c>
      <c r="AD5666">
        <v>-1.1070399270439999</v>
      </c>
      <c r="AE5666">
        <v>-15.633470000000001</v>
      </c>
      <c r="AF5666">
        <v>-0.56554813293329698</v>
      </c>
      <c r="AG5666">
        <v>-1.1070399270439999</v>
      </c>
      <c r="AH5666">
        <v>15.6595768965175</v>
      </c>
      <c r="AI5666">
        <v>94.041121117223796</v>
      </c>
      <c r="AJ5666">
        <v>92.068347333679398</v>
      </c>
      <c r="AK5666">
        <v>15.7088424356691</v>
      </c>
      <c r="AL5666">
        <v>88.647632713067395</v>
      </c>
      <c r="AM5666">
        <v>88.2162368722541</v>
      </c>
      <c r="AN5666">
        <v>0.99999998743854501</v>
      </c>
    </row>
    <row r="5667" spans="1:40" x14ac:dyDescent="0.3">
      <c r="A5667" t="str">
        <f>"20200111160614823"</f>
        <v>20200111160614823</v>
      </c>
      <c r="B5667" t="str">
        <f>"1578729974817802"</f>
        <v>1578729974817802</v>
      </c>
      <c r="C5667" t="s">
        <v>40</v>
      </c>
      <c r="D5667">
        <v>5.2485019999999896</v>
      </c>
      <c r="E5667">
        <v>0.4762111</v>
      </c>
      <c r="F5667" t="s">
        <v>41</v>
      </c>
      <c r="G5667">
        <v>-299.98689999999999</v>
      </c>
      <c r="H5667" s="1">
        <v>-4.6974589999999998E-7</v>
      </c>
      <c r="I5667">
        <v>-29.307759999999998</v>
      </c>
      <c r="J5667">
        <v>-301.60919999999999</v>
      </c>
      <c r="K5667">
        <v>1.1070120000000001</v>
      </c>
      <c r="L5667">
        <v>-16.00534</v>
      </c>
      <c r="M5667">
        <v>8.0375240000000001E-2</v>
      </c>
      <c r="N5667">
        <v>0</v>
      </c>
      <c r="O5667">
        <v>-0.9967452</v>
      </c>
      <c r="P5667">
        <v>5.1975229999999997E-2</v>
      </c>
      <c r="Q5667">
        <v>1.7185510000000001E-2</v>
      </c>
      <c r="R5667">
        <v>-0.99850079999999997</v>
      </c>
      <c r="S5667">
        <v>0.36114499999999999</v>
      </c>
      <c r="T5667">
        <v>-0.242976</v>
      </c>
      <c r="U5667">
        <v>-2.9897459999999998</v>
      </c>
      <c r="V5667">
        <v>2.8591229999999999E-2</v>
      </c>
      <c r="W5667">
        <v>2.3279770000000002E-2</v>
      </c>
      <c r="X5667">
        <v>0.99932010000000004</v>
      </c>
      <c r="Y5667">
        <v>-3.9349740000000001E-2</v>
      </c>
      <c r="Z5667">
        <v>8.029E-2</v>
      </c>
      <c r="AA5667">
        <v>0.9959945</v>
      </c>
      <c r="AB5667">
        <v>28</v>
      </c>
      <c r="AC5667">
        <v>1.6222999999999901</v>
      </c>
      <c r="AD5667">
        <v>-1.1070124697458901</v>
      </c>
      <c r="AE5667">
        <v>-13.3024199999999</v>
      </c>
      <c r="AF5667">
        <v>-0.54413207648014705</v>
      </c>
      <c r="AG5667">
        <v>-1.1070124697458901</v>
      </c>
      <c r="AH5667">
        <v>13.299024905442799</v>
      </c>
      <c r="AI5667">
        <v>94.754378308628802</v>
      </c>
      <c r="AJ5667">
        <v>92.342960641006002</v>
      </c>
      <c r="AK5667">
        <v>13.356107957051499</v>
      </c>
      <c r="AL5667">
        <v>88.666046969281496</v>
      </c>
      <c r="AM5667">
        <v>88.361175716511099</v>
      </c>
      <c r="AN5667">
        <v>1.00000003419408</v>
      </c>
    </row>
    <row r="5668" spans="1:40" x14ac:dyDescent="0.3">
      <c r="A5668" t="str">
        <f>"20200111160614845"</f>
        <v>20200111160614845</v>
      </c>
      <c r="B5668" t="str">
        <f>"1578729974838300"</f>
        <v>1578729974838300</v>
      </c>
      <c r="C5668" t="s">
        <v>40</v>
      </c>
      <c r="D5668">
        <v>5.2312320000000003</v>
      </c>
      <c r="E5668">
        <v>0.47651480000000002</v>
      </c>
      <c r="F5668" t="s">
        <v>41</v>
      </c>
      <c r="G5668">
        <v>-300.12810000000002</v>
      </c>
      <c r="H5668" s="1">
        <v>-8.8702399999999996E-7</v>
      </c>
      <c r="I5668">
        <v>-28.42268</v>
      </c>
      <c r="J5668">
        <v>-301.59010000000001</v>
      </c>
      <c r="K5668">
        <v>1.106997</v>
      </c>
      <c r="L5668">
        <v>-16.28314</v>
      </c>
      <c r="M5668">
        <v>7.716191E-2</v>
      </c>
      <c r="N5668">
        <v>0</v>
      </c>
      <c r="O5668">
        <v>-0.99699870000000002</v>
      </c>
      <c r="P5668">
        <v>5.0779629999999999E-2</v>
      </c>
      <c r="Q5668">
        <v>1.6982730000000001E-2</v>
      </c>
      <c r="R5668">
        <v>-0.99856520000000004</v>
      </c>
      <c r="S5668">
        <v>0.35668949999999999</v>
      </c>
      <c r="T5668">
        <v>-0.26660830000000002</v>
      </c>
      <c r="U5668">
        <v>-2.9905400000000002</v>
      </c>
      <c r="V5668">
        <v>2.6566389999999999E-2</v>
      </c>
      <c r="W5668">
        <v>2.311436E-2</v>
      </c>
      <c r="X5668">
        <v>0.99937980000000004</v>
      </c>
      <c r="Y5668">
        <v>-4.0998399999999997E-2</v>
      </c>
      <c r="Z5668">
        <v>8.8056239999999994E-2</v>
      </c>
      <c r="AA5668">
        <v>0.99527140000000003</v>
      </c>
      <c r="AB5668">
        <v>28</v>
      </c>
      <c r="AC5668">
        <v>1.46199999999998</v>
      </c>
      <c r="AD5668">
        <v>-1.106997887024</v>
      </c>
      <c r="AE5668">
        <v>-12.13954</v>
      </c>
      <c r="AF5668">
        <v>-0.51667731622331803</v>
      </c>
      <c r="AG5668">
        <v>-1.106997887024</v>
      </c>
      <c r="AH5668">
        <v>12.116841126133901</v>
      </c>
      <c r="AI5668">
        <v>95.215353524259399</v>
      </c>
      <c r="AJ5668">
        <v>92.441684794131902</v>
      </c>
      <c r="AK5668">
        <v>12.1782691153934</v>
      </c>
      <c r="AL5668">
        <v>88.675526790247901</v>
      </c>
      <c r="AM5668">
        <v>88.477271968451205</v>
      </c>
      <c r="AN5668">
        <v>1.00000001568194</v>
      </c>
    </row>
    <row r="5669" spans="1:40" x14ac:dyDescent="0.3">
      <c r="A5669" t="str">
        <f>"20200111160614865"</f>
        <v>20200111160614865</v>
      </c>
      <c r="B5669" t="str">
        <f>"1578729974858078"</f>
        <v>1578729974858078</v>
      </c>
      <c r="C5669" t="s">
        <v>40</v>
      </c>
      <c r="D5669">
        <v>5.2311909999999999</v>
      </c>
      <c r="E5669">
        <v>0.476941</v>
      </c>
      <c r="F5669" t="s">
        <v>42</v>
      </c>
      <c r="G5669">
        <v>-301.47719999999998</v>
      </c>
      <c r="H5669">
        <v>1.018907</v>
      </c>
      <c r="I5669">
        <v>-17.246089999999999</v>
      </c>
      <c r="J5669">
        <v>-301.57279999999997</v>
      </c>
      <c r="K5669">
        <v>1.1069869999999999</v>
      </c>
      <c r="L5669">
        <v>-16.545649999999998</v>
      </c>
      <c r="M5669">
        <v>7.4127650000000003E-2</v>
      </c>
      <c r="N5669">
        <v>0</v>
      </c>
      <c r="O5669">
        <v>-0.99722869999999997</v>
      </c>
      <c r="P5669">
        <v>4.9211810000000002E-2</v>
      </c>
      <c r="Q5669">
        <v>1.7244559999999999E-2</v>
      </c>
      <c r="R5669">
        <v>-0.99863959999999996</v>
      </c>
      <c r="S5669">
        <v>0.35083009999999998</v>
      </c>
      <c r="T5669">
        <v>-0.2734722</v>
      </c>
      <c r="U5669">
        <v>-2.9911189999999999</v>
      </c>
      <c r="V5669">
        <v>2.5096360000000002E-2</v>
      </c>
      <c r="W5669">
        <v>2.3405619999999999E-2</v>
      </c>
      <c r="X5669">
        <v>0.99941100000000005</v>
      </c>
      <c r="Y5669">
        <v>-4.206969E-2</v>
      </c>
      <c r="Z5669">
        <v>9.0327080000000004E-2</v>
      </c>
      <c r="AA5669">
        <v>0.9950232</v>
      </c>
      <c r="AB5669">
        <v>29</v>
      </c>
      <c r="AC5669">
        <v>9.5599999999990304E-2</v>
      </c>
      <c r="AD5669">
        <v>-8.8080000000000103E-2</v>
      </c>
      <c r="AE5669">
        <v>-0.70043999999999995</v>
      </c>
      <c r="AF5669">
        <v>-4.2750315357437799E-2</v>
      </c>
      <c r="AG5669">
        <v>-8.8080000000000103E-2</v>
      </c>
      <c r="AH5669">
        <v>0.69481347098795099</v>
      </c>
      <c r="AI5669">
        <v>97.211232977728201</v>
      </c>
      <c r="AJ5669">
        <v>93.520842443919193</v>
      </c>
      <c r="AK5669">
        <v>0.70167758645227096</v>
      </c>
      <c r="AL5669">
        <v>88.658834282677304</v>
      </c>
      <c r="AM5669">
        <v>88.561539358646698</v>
      </c>
      <c r="AN5669">
        <v>0.99999999862691702</v>
      </c>
    </row>
    <row r="5670" spans="1:40" x14ac:dyDescent="0.3">
      <c r="A5670" t="str">
        <f>"20200111160614888"</f>
        <v>20200111160614888</v>
      </c>
      <c r="B5670" t="str">
        <f>"1578729974877577"</f>
        <v>1578729974877577</v>
      </c>
      <c r="C5670" t="s">
        <v>40</v>
      </c>
      <c r="D5670">
        <v>5.2086860000000001</v>
      </c>
      <c r="E5670">
        <v>0.4771416</v>
      </c>
      <c r="F5670" t="s">
        <v>42</v>
      </c>
      <c r="G5670">
        <v>-301.4633</v>
      </c>
      <c r="H5670">
        <v>1.0181690000000001</v>
      </c>
      <c r="I5670">
        <v>-17.50311</v>
      </c>
      <c r="J5670">
        <v>-301.55470000000003</v>
      </c>
      <c r="K5670">
        <v>1.106973</v>
      </c>
      <c r="L5670">
        <v>-16.837160000000001</v>
      </c>
      <c r="M5670">
        <v>7.0761169999999998E-2</v>
      </c>
      <c r="N5670">
        <v>0</v>
      </c>
      <c r="O5670">
        <v>-0.99747339999999995</v>
      </c>
      <c r="P5670">
        <v>4.6271680000000003E-2</v>
      </c>
      <c r="Q5670">
        <v>1.8130259999999999E-2</v>
      </c>
      <c r="R5670">
        <v>-0.99876480000000001</v>
      </c>
      <c r="S5670">
        <v>0.34265139999999999</v>
      </c>
      <c r="T5670">
        <v>-0.27747270000000002</v>
      </c>
      <c r="U5670">
        <v>-2.9920040000000001</v>
      </c>
      <c r="V5670">
        <v>2.4670560000000001E-2</v>
      </c>
      <c r="W5670">
        <v>2.4315639999999999E-2</v>
      </c>
      <c r="X5670">
        <v>0.99939990000000001</v>
      </c>
      <c r="Y5670">
        <v>-4.2710379999999999E-2</v>
      </c>
      <c r="Z5670">
        <v>9.1657210000000003E-2</v>
      </c>
      <c r="AA5670">
        <v>0.99487420000000004</v>
      </c>
      <c r="AB5670">
        <v>29</v>
      </c>
      <c r="AC5670">
        <v>9.1400000000021395E-2</v>
      </c>
      <c r="AD5670">
        <v>-8.88039999999998E-2</v>
      </c>
      <c r="AE5670">
        <v>-0.66594999999999804</v>
      </c>
      <c r="AF5670">
        <v>-4.32909717255721E-2</v>
      </c>
      <c r="AG5670">
        <v>-8.88039999999998E-2</v>
      </c>
      <c r="AH5670">
        <v>0.65924234345618604</v>
      </c>
      <c r="AI5670">
        <v>97.6556197197377</v>
      </c>
      <c r="AJ5670">
        <v>93.757091506053698</v>
      </c>
      <c r="AK5670">
        <v>0.66660387491714201</v>
      </c>
      <c r="AL5670">
        <v>88.606679161339997</v>
      </c>
      <c r="AM5670">
        <v>88.5859194566996</v>
      </c>
      <c r="AN5670">
        <v>1.00000002349966</v>
      </c>
    </row>
    <row r="5671" spans="1:40" x14ac:dyDescent="0.3">
      <c r="A5671" t="str">
        <f>"20200111160614913"</f>
        <v>20200111160614913</v>
      </c>
      <c r="B5671" t="str">
        <f>"1578729974907833"</f>
        <v>1578729974907833</v>
      </c>
      <c r="C5671" t="s">
        <v>40</v>
      </c>
      <c r="D5671">
        <v>5.2562509999999998</v>
      </c>
      <c r="E5671">
        <v>0.47761670000000001</v>
      </c>
      <c r="F5671" t="s">
        <v>42</v>
      </c>
      <c r="G5671">
        <v>-301.45190000000002</v>
      </c>
      <c r="H5671">
        <v>1.020634</v>
      </c>
      <c r="I5671">
        <v>-17.763110000000001</v>
      </c>
      <c r="J5671">
        <v>-301.53590000000003</v>
      </c>
      <c r="K5671">
        <v>1.1069599999999999</v>
      </c>
      <c r="L5671">
        <v>-17.155460000000001</v>
      </c>
      <c r="M5671">
        <v>6.7087010000000002E-2</v>
      </c>
      <c r="N5671">
        <v>0</v>
      </c>
      <c r="O5671">
        <v>-0.99772700000000003</v>
      </c>
      <c r="P5671">
        <v>4.2268500000000001E-2</v>
      </c>
      <c r="Q5671">
        <v>1.8475180000000001E-2</v>
      </c>
      <c r="R5671">
        <v>-0.99893589999999999</v>
      </c>
      <c r="S5671">
        <v>0.33288570000000001</v>
      </c>
      <c r="T5671">
        <v>-0.27892850000000002</v>
      </c>
      <c r="U5671">
        <v>-2.993347</v>
      </c>
      <c r="V5671">
        <v>2.499819E-2</v>
      </c>
      <c r="W5671">
        <v>2.4681270000000002E-2</v>
      </c>
      <c r="X5671">
        <v>0.99938280000000002</v>
      </c>
      <c r="Y5671">
        <v>-4.3129689999999998E-2</v>
      </c>
      <c r="Z5671">
        <v>9.2144149999999994E-2</v>
      </c>
      <c r="AA5671">
        <v>0.99481120000000001</v>
      </c>
      <c r="AB5671">
        <v>29</v>
      </c>
      <c r="AC5671">
        <v>8.40000000000031E-2</v>
      </c>
      <c r="AD5671">
        <v>-8.6325999999999903E-2</v>
      </c>
      <c r="AE5671">
        <v>-0.60764999999999902</v>
      </c>
      <c r="AF5671">
        <v>-4.2208606944332899E-2</v>
      </c>
      <c r="AG5671">
        <v>-8.6325999999999903E-2</v>
      </c>
      <c r="AH5671">
        <v>0.60003328437941605</v>
      </c>
      <c r="AI5671">
        <v>98.1669843377408</v>
      </c>
      <c r="AJ5671">
        <v>94.023773339774195</v>
      </c>
      <c r="AK5671">
        <v>0.60767893425667696</v>
      </c>
      <c r="AL5671">
        <v>88.5857238225109</v>
      </c>
      <c r="AM5671">
        <v>88.567123453369902</v>
      </c>
      <c r="AN5671">
        <v>1.00000002776396</v>
      </c>
    </row>
    <row r="5672" spans="1:40" x14ac:dyDescent="0.3">
      <c r="A5672" t="str">
        <f>"20200111160614934"</f>
        <v>20200111160614934</v>
      </c>
      <c r="B5672" t="str">
        <f>"1578729974927354"</f>
        <v>1578729974927354</v>
      </c>
      <c r="C5672" t="s">
        <v>40</v>
      </c>
      <c r="D5672">
        <v>5.1890210000000003</v>
      </c>
      <c r="E5672">
        <v>0.47782079999999999</v>
      </c>
      <c r="F5672" t="s">
        <v>42</v>
      </c>
      <c r="G5672">
        <v>-301.44389999999999</v>
      </c>
      <c r="H5672">
        <v>1.025228</v>
      </c>
      <c r="I5672">
        <v>-18.026070000000001</v>
      </c>
      <c r="J5672">
        <v>-301.52050000000003</v>
      </c>
      <c r="K5672">
        <v>1.106946</v>
      </c>
      <c r="L5672">
        <v>-17.43402</v>
      </c>
      <c r="M5672">
        <v>6.3873810000000003E-2</v>
      </c>
      <c r="N5672">
        <v>0</v>
      </c>
      <c r="O5672">
        <v>-0.99793759999999998</v>
      </c>
      <c r="P5672">
        <v>3.8145199999999997E-2</v>
      </c>
      <c r="Q5672">
        <v>1.9286569999999999E-2</v>
      </c>
      <c r="R5672">
        <v>-0.99908609999999998</v>
      </c>
      <c r="S5672">
        <v>0.31726070000000001</v>
      </c>
      <c r="T5672">
        <v>-0.28099079999999999</v>
      </c>
      <c r="U5672">
        <v>-2.9949650000000001</v>
      </c>
      <c r="V5672">
        <v>2.591013E-2</v>
      </c>
      <c r="W5672">
        <v>2.5507849999999999E-2</v>
      </c>
      <c r="X5672">
        <v>0.99933879999999997</v>
      </c>
      <c r="Y5672">
        <v>-4.1151479999999997E-2</v>
      </c>
      <c r="Z5672">
        <v>9.2829159999999994E-2</v>
      </c>
      <c r="AA5672">
        <v>0.99483129999999997</v>
      </c>
      <c r="AB5672">
        <v>29</v>
      </c>
      <c r="AC5672">
        <v>7.6600000000041704E-2</v>
      </c>
      <c r="AD5672">
        <v>-8.1717999999999902E-2</v>
      </c>
      <c r="AE5672">
        <v>-0.59204999999999997</v>
      </c>
      <c r="AF5672">
        <v>-3.7915872312270602E-2</v>
      </c>
      <c r="AG5672">
        <v>-8.1717999999999902E-2</v>
      </c>
      <c r="AH5672">
        <v>0.58477662244672601</v>
      </c>
      <c r="AI5672">
        <v>97.9386693191028</v>
      </c>
      <c r="AJ5672">
        <v>93.709763272223498</v>
      </c>
      <c r="AK5672">
        <v>0.59167486262084901</v>
      </c>
      <c r="AL5672">
        <v>88.538349333779294</v>
      </c>
      <c r="AM5672">
        <v>88.514809410042105</v>
      </c>
      <c r="AN5672">
        <v>1.0000000112168299</v>
      </c>
    </row>
    <row r="5673" spans="1:40" x14ac:dyDescent="0.3">
      <c r="A5673" t="str">
        <f>"20200111160614955"</f>
        <v>20200111160614955</v>
      </c>
      <c r="B5673" t="str">
        <f>"1578729974947850"</f>
        <v>1578729974947850</v>
      </c>
      <c r="C5673" t="s">
        <v>40</v>
      </c>
      <c r="D5673">
        <v>5.259233</v>
      </c>
      <c r="E5673">
        <v>0.4775394</v>
      </c>
      <c r="F5673" t="s">
        <v>42</v>
      </c>
      <c r="G5673">
        <v>-301.43439999999998</v>
      </c>
      <c r="H5673">
        <v>1.0268839999999999</v>
      </c>
      <c r="I5673">
        <v>-18.2866</v>
      </c>
      <c r="J5673">
        <v>-301.5059</v>
      </c>
      <c r="K5673">
        <v>1.1069290000000001</v>
      </c>
      <c r="L5673">
        <v>-17.714779999999902</v>
      </c>
      <c r="M5673">
        <v>6.0636700000000002E-2</v>
      </c>
      <c r="N5673">
        <v>0</v>
      </c>
      <c r="O5673">
        <v>-0.99813940000000001</v>
      </c>
      <c r="P5673">
        <v>3.4173099999999998E-2</v>
      </c>
      <c r="Q5673">
        <v>1.9356870000000002E-2</v>
      </c>
      <c r="R5673">
        <v>-0.99922829999999996</v>
      </c>
      <c r="S5673">
        <v>0.30346679999999998</v>
      </c>
      <c r="T5673">
        <v>-0.28115820000000002</v>
      </c>
      <c r="U5673">
        <v>-2.9965820000000001</v>
      </c>
      <c r="V5673">
        <v>2.6643259999999998E-2</v>
      </c>
      <c r="W5673">
        <v>2.559461E-2</v>
      </c>
      <c r="X5673">
        <v>0.99931729999999996</v>
      </c>
      <c r="Y5673">
        <v>-3.9804560000000003E-2</v>
      </c>
      <c r="Z5673">
        <v>9.2886919999999998E-2</v>
      </c>
      <c r="AA5673">
        <v>0.99488069999999895</v>
      </c>
      <c r="AB5673">
        <v>29</v>
      </c>
      <c r="AC5673">
        <v>7.1500000000014496E-2</v>
      </c>
      <c r="AD5673">
        <v>-8.0045000000000102E-2</v>
      </c>
      <c r="AE5673">
        <v>-0.57182000000000199</v>
      </c>
      <c r="AF5673">
        <v>-3.59998748560535E-2</v>
      </c>
      <c r="AG5673">
        <v>-8.0045000000000102E-2</v>
      </c>
      <c r="AH5673">
        <v>0.564217604433219</v>
      </c>
      <c r="AI5673">
        <v>98.058441178785401</v>
      </c>
      <c r="AJ5673">
        <v>93.650805364043606</v>
      </c>
      <c r="AK5673">
        <v>0.57100323831569599</v>
      </c>
      <c r="AL5673">
        <v>88.533376721923304</v>
      </c>
      <c r="AM5673">
        <v>88.472772563954194</v>
      </c>
      <c r="AN5673">
        <v>1.0000000067218799</v>
      </c>
    </row>
    <row r="5674" spans="1:40" x14ac:dyDescent="0.3">
      <c r="A5674" t="str">
        <f>"20200111160615129"</f>
        <v>20200111160615129</v>
      </c>
      <c r="B5674" t="str">
        <f>"1578729975117627"</f>
        <v>1578729975117627</v>
      </c>
      <c r="C5674" t="s">
        <v>40</v>
      </c>
      <c r="D5674">
        <v>4.9405549999999998</v>
      </c>
      <c r="E5674">
        <v>0.59641980000000006</v>
      </c>
      <c r="F5674" t="s">
        <v>67</v>
      </c>
      <c r="G5674">
        <v>-310.48790000000002</v>
      </c>
      <c r="H5674">
        <v>7.9987059999999999E-2</v>
      </c>
      <c r="I5674">
        <v>-59.371839999999999</v>
      </c>
      <c r="J5674">
        <v>-301.41989999999998</v>
      </c>
      <c r="K5674">
        <v>1.1067880000000001</v>
      </c>
      <c r="L5674">
        <v>-20.004359999999998</v>
      </c>
      <c r="M5674">
        <v>3.4295829999999999E-2</v>
      </c>
      <c r="N5674">
        <v>0</v>
      </c>
      <c r="O5674">
        <v>-0.99939</v>
      </c>
      <c r="P5674">
        <v>5.9840800000000001E-3</v>
      </c>
      <c r="Q5674">
        <v>1.4311000000000001E-2</v>
      </c>
      <c r="R5674">
        <v>-0.9998802</v>
      </c>
      <c r="S5674">
        <v>-0.68264769999999997</v>
      </c>
      <c r="T5674">
        <v>-7.7428940000000002E-2</v>
      </c>
      <c r="U5674">
        <v>-3.0095519999999998</v>
      </c>
      <c r="V5674">
        <v>2.845021E-2</v>
      </c>
      <c r="W5674">
        <v>2.07379E-2</v>
      </c>
      <c r="X5674">
        <v>0.99938009999999999</v>
      </c>
      <c r="Y5674">
        <v>0.2544554</v>
      </c>
      <c r="Z5674">
        <v>2.4956430000000002E-2</v>
      </c>
      <c r="AA5674">
        <v>0.96676240000000002</v>
      </c>
      <c r="AB5674">
        <v>30</v>
      </c>
      <c r="AC5674">
        <v>-9.0680000000000298</v>
      </c>
      <c r="AD5674">
        <v>-1.02680093999999</v>
      </c>
      <c r="AE5674">
        <v>-39.36748</v>
      </c>
      <c r="AF5674">
        <v>10.406112463101699</v>
      </c>
      <c r="AG5674">
        <v>-1.02680093999999</v>
      </c>
      <c r="AH5674">
        <v>39.008118772739998</v>
      </c>
      <c r="AI5674">
        <v>91.456907780539495</v>
      </c>
      <c r="AJ5674">
        <v>75.063169802619896</v>
      </c>
      <c r="AK5674">
        <v>40.385329353037399</v>
      </c>
      <c r="AL5674">
        <v>88.811720706846302</v>
      </c>
      <c r="AM5674">
        <v>88.369352336645804</v>
      </c>
      <c r="AN5674">
        <v>1.0000000296107301</v>
      </c>
    </row>
    <row r="5675" spans="1:40" x14ac:dyDescent="0.3">
      <c r="A5675" t="str">
        <f>"20200111160615155"</f>
        <v>20200111160615155</v>
      </c>
      <c r="B5675" t="str">
        <f>"1578729975147883"</f>
        <v>1578729975147883</v>
      </c>
      <c r="C5675" t="s">
        <v>40</v>
      </c>
      <c r="D5675">
        <v>4.9212109999999996</v>
      </c>
      <c r="E5675">
        <v>0.59660459999999904</v>
      </c>
      <c r="F5675" t="s">
        <v>41</v>
      </c>
      <c r="G5675">
        <v>-305.32499999999999</v>
      </c>
      <c r="H5675" s="1">
        <v>-3.3869039999999998E-6</v>
      </c>
      <c r="I5675">
        <v>-35.818629999999999</v>
      </c>
      <c r="J5675">
        <v>-301.4117</v>
      </c>
      <c r="K5675">
        <v>1.1067709999999999</v>
      </c>
      <c r="L5675">
        <v>-20.369599999999998</v>
      </c>
      <c r="M5675">
        <v>3.010732E-2</v>
      </c>
      <c r="N5675">
        <v>0</v>
      </c>
      <c r="O5675">
        <v>-0.99952450000000004</v>
      </c>
      <c r="P5675">
        <v>2.4211929999999999E-3</v>
      </c>
      <c r="Q5675">
        <v>1.4828549999999999E-2</v>
      </c>
      <c r="R5675">
        <v>-0.99988750000000004</v>
      </c>
      <c r="S5675">
        <v>-0.74273679999999997</v>
      </c>
      <c r="T5675">
        <v>-0.21050740000000001</v>
      </c>
      <c r="U5675">
        <v>-3.0078130000000001</v>
      </c>
      <c r="V5675">
        <v>2.7827520000000001E-2</v>
      </c>
      <c r="W5675">
        <v>2.129996E-2</v>
      </c>
      <c r="X5675">
        <v>0.99938579999999999</v>
      </c>
      <c r="Y5675">
        <v>0.2683082</v>
      </c>
      <c r="Z5675">
        <v>6.7479720000000007E-2</v>
      </c>
      <c r="AA5675">
        <v>0.96096680000000001</v>
      </c>
      <c r="AB5675">
        <v>30</v>
      </c>
      <c r="AC5675">
        <v>-3.9132999999999898</v>
      </c>
      <c r="AD5675">
        <v>-1.1067743869040001</v>
      </c>
      <c r="AE5675">
        <v>-15.449029999999899</v>
      </c>
      <c r="AF5675">
        <v>4.3556582354156497</v>
      </c>
      <c r="AG5675">
        <v>-1.1067743869040001</v>
      </c>
      <c r="AH5675">
        <v>15.2506523531169</v>
      </c>
      <c r="AI5675">
        <v>93.991742621329806</v>
      </c>
      <c r="AJ5675">
        <v>74.060408342333403</v>
      </c>
      <c r="AK5675">
        <v>15.8990284421055</v>
      </c>
      <c r="AL5675">
        <v>88.779509911544096</v>
      </c>
      <c r="AM5675">
        <v>88.405032787420893</v>
      </c>
      <c r="AN5675">
        <v>1.00000001820349</v>
      </c>
    </row>
    <row r="5676" spans="1:40" x14ac:dyDescent="0.3">
      <c r="A5676" t="str">
        <f>"20200111160615178"</f>
        <v>20200111160615178</v>
      </c>
      <c r="B5676" t="str">
        <f>"1578729975167989"</f>
        <v>1578729975167989</v>
      </c>
      <c r="C5676" t="s">
        <v>40</v>
      </c>
      <c r="D5676">
        <v>4.8452440000000001</v>
      </c>
      <c r="E5676">
        <v>0.59740930000000003</v>
      </c>
      <c r="F5676" t="s">
        <v>41</v>
      </c>
      <c r="G5676">
        <v>-305.44990000000001</v>
      </c>
      <c r="H5676" s="1">
        <v>-3.15143E-6</v>
      </c>
      <c r="I5676">
        <v>-36.444989999999997</v>
      </c>
      <c r="J5676">
        <v>-301.40620000000001</v>
      </c>
      <c r="K5676">
        <v>1.106757</v>
      </c>
      <c r="L5676">
        <v>-20.667719999999999</v>
      </c>
      <c r="M5676">
        <v>2.6691699999999999E-2</v>
      </c>
      <c r="N5676">
        <v>0</v>
      </c>
      <c r="O5676">
        <v>-0.99962150000000005</v>
      </c>
      <c r="P5676" s="1">
        <v>2.611699E-5</v>
      </c>
      <c r="Q5676">
        <v>1.488303E-2</v>
      </c>
      <c r="R5676">
        <v>-0.99988969999999999</v>
      </c>
      <c r="S5676">
        <v>-0.75491330000000001</v>
      </c>
      <c r="T5676">
        <v>-0.20690620000000001</v>
      </c>
      <c r="U5676">
        <v>-3.0052189999999999</v>
      </c>
      <c r="V5676">
        <v>2.68077E-2</v>
      </c>
      <c r="W5676">
        <v>2.139864E-2</v>
      </c>
      <c r="X5676">
        <v>0.99941150000000001</v>
      </c>
      <c r="Y5676">
        <v>0.26889449999999998</v>
      </c>
      <c r="Z5676">
        <v>6.6358459999999994E-2</v>
      </c>
      <c r="AA5676">
        <v>0.96088099999999999</v>
      </c>
      <c r="AB5676">
        <v>30</v>
      </c>
      <c r="AC5676">
        <v>-4.0437000000000003</v>
      </c>
      <c r="AD5676">
        <v>-1.1067601514299901</v>
      </c>
      <c r="AE5676">
        <v>-15.77727</v>
      </c>
      <c r="AF5676">
        <v>4.4428754745785701</v>
      </c>
      <c r="AG5676">
        <v>-1.1067601514299901</v>
      </c>
      <c r="AH5676">
        <v>15.591717170636899</v>
      </c>
      <c r="AI5676">
        <v>93.905318669952095</v>
      </c>
      <c r="AJ5676">
        <v>74.095044433336597</v>
      </c>
      <c r="AK5676">
        <v>16.250098610302</v>
      </c>
      <c r="AL5676">
        <v>88.773854592083097</v>
      </c>
      <c r="AM5676">
        <v>88.463495915972302</v>
      </c>
      <c r="AN5676">
        <v>0.99999995045269297</v>
      </c>
    </row>
    <row r="5677" spans="1:40" x14ac:dyDescent="0.3">
      <c r="A5677" t="str">
        <f>"20200111160615200"</f>
        <v>20200111160615200</v>
      </c>
      <c r="B5677" t="str">
        <f>"1578729975198245"</f>
        <v>1578729975198245</v>
      </c>
      <c r="C5677" t="s">
        <v>40</v>
      </c>
      <c r="D5677">
        <v>4.882771</v>
      </c>
      <c r="E5677">
        <v>0.59797529999999999</v>
      </c>
      <c r="F5677" t="s">
        <v>41</v>
      </c>
      <c r="G5677">
        <v>-305.46080000000001</v>
      </c>
      <c r="H5677" s="1">
        <v>-3.125155E-6</v>
      </c>
      <c r="I5677">
        <v>-36.513010000000001</v>
      </c>
      <c r="J5677">
        <v>-301.40159999999997</v>
      </c>
      <c r="K5677">
        <v>1.1067450000000001</v>
      </c>
      <c r="L5677">
        <v>-20.969670000000001</v>
      </c>
      <c r="M5677">
        <v>2.3234299999999999E-2</v>
      </c>
      <c r="N5677">
        <v>0</v>
      </c>
      <c r="O5677">
        <v>-0.99970749999999997</v>
      </c>
      <c r="P5677">
        <v>-1.976036E-3</v>
      </c>
      <c r="Q5677">
        <v>1.528156E-2</v>
      </c>
      <c r="R5677">
        <v>-0.99988149999999998</v>
      </c>
      <c r="S5677">
        <v>-0.76855469999999904</v>
      </c>
      <c r="T5677">
        <v>-0.20978669999999999</v>
      </c>
      <c r="U5677">
        <v>-3.003479</v>
      </c>
      <c r="V5677">
        <v>2.5355849999999999E-2</v>
      </c>
      <c r="W5677">
        <v>2.1847720000000001E-2</v>
      </c>
      <c r="X5677">
        <v>0.99943970000000004</v>
      </c>
      <c r="Y5677">
        <v>0.26978049999999998</v>
      </c>
      <c r="Z5677">
        <v>6.7279220000000001E-2</v>
      </c>
      <c r="AA5677">
        <v>0.96056850000000005</v>
      </c>
      <c r="AB5677">
        <v>30</v>
      </c>
      <c r="AC5677">
        <v>-4.0592000000000299</v>
      </c>
      <c r="AD5677">
        <v>-1.106748125155</v>
      </c>
      <c r="AE5677">
        <v>-15.543339999999899</v>
      </c>
      <c r="AF5677">
        <v>4.3983748861189103</v>
      </c>
      <c r="AG5677">
        <v>-1.106748125155</v>
      </c>
      <c r="AH5677">
        <v>15.3718694354367</v>
      </c>
      <c r="AI5677">
        <v>93.959722596784999</v>
      </c>
      <c r="AJ5677">
        <v>74.032510082039295</v>
      </c>
      <c r="AK5677">
        <v>16.027007299913802</v>
      </c>
      <c r="AL5677">
        <v>88.748118218992303</v>
      </c>
      <c r="AM5677">
        <v>88.546714102513604</v>
      </c>
      <c r="AN5677">
        <v>0.99999997796725504</v>
      </c>
    </row>
    <row r="5678" spans="1:40" x14ac:dyDescent="0.3">
      <c r="A5678" t="str">
        <f>"20200111160615221"</f>
        <v>20200111160615221</v>
      </c>
      <c r="B5678" t="str">
        <f>"1578729975217764"</f>
        <v>1578729975217764</v>
      </c>
      <c r="C5678" t="s">
        <v>40</v>
      </c>
      <c r="D5678">
        <v>4.7888580000000003</v>
      </c>
      <c r="E5678">
        <v>0.59864479999999998</v>
      </c>
      <c r="F5678" t="s">
        <v>41</v>
      </c>
      <c r="G5678">
        <v>-305.55849999999998</v>
      </c>
      <c r="H5678" s="1">
        <v>-2.9454970000000001E-6</v>
      </c>
      <c r="I5678">
        <v>-36.99241</v>
      </c>
      <c r="J5678">
        <v>-301.3981</v>
      </c>
      <c r="K5678">
        <v>1.106732</v>
      </c>
      <c r="L5678">
        <v>-21.257259999999999</v>
      </c>
      <c r="M5678">
        <v>1.9950289999999999E-2</v>
      </c>
      <c r="N5678">
        <v>0</v>
      </c>
      <c r="O5678">
        <v>-0.9997779</v>
      </c>
      <c r="P5678">
        <v>-4.3925029999999999E-3</v>
      </c>
      <c r="Q5678">
        <v>1.577742E-2</v>
      </c>
      <c r="R5678">
        <v>-0.99986580000000003</v>
      </c>
      <c r="S5678">
        <v>-0.77883910000000001</v>
      </c>
      <c r="T5678">
        <v>-0.2073576</v>
      </c>
      <c r="U5678">
        <v>-3.0019840000000002</v>
      </c>
      <c r="V5678">
        <v>2.4492320000000001E-2</v>
      </c>
      <c r="W5678">
        <v>2.2395000000000002E-2</v>
      </c>
      <c r="X5678">
        <v>0.99944909999999998</v>
      </c>
      <c r="Y5678">
        <v>0.26983180000000001</v>
      </c>
      <c r="Z5678">
        <v>6.6514660000000003E-2</v>
      </c>
      <c r="AA5678">
        <v>0.9606074</v>
      </c>
      <c r="AB5678">
        <v>30</v>
      </c>
      <c r="AC5678">
        <v>-4.1603999999999797</v>
      </c>
      <c r="AD5678">
        <v>-1.1067349454969999</v>
      </c>
      <c r="AE5678">
        <v>-15.7351499999999</v>
      </c>
      <c r="AF5678">
        <v>4.4529106148841597</v>
      </c>
      <c r="AG5678">
        <v>-1.1067349454969999</v>
      </c>
      <c r="AH5678">
        <v>15.5769901670199</v>
      </c>
      <c r="AI5678">
        <v>93.9079712281995</v>
      </c>
      <c r="AJ5678">
        <v>74.046640156011705</v>
      </c>
      <c r="AK5678">
        <v>16.238716015965199</v>
      </c>
      <c r="AL5678">
        <v>88.716753681185907</v>
      </c>
      <c r="AM5678">
        <v>88.596200891087506</v>
      </c>
      <c r="AN5678">
        <v>0.99999995662739505</v>
      </c>
    </row>
    <row r="5679" spans="1:40" x14ac:dyDescent="0.3">
      <c r="A5679" t="str">
        <f>"20200111160615247"</f>
        <v>20200111160615247</v>
      </c>
      <c r="B5679" t="str">
        <f>"1578729975238261"</f>
        <v>1578729975238261</v>
      </c>
      <c r="C5679" t="s">
        <v>40</v>
      </c>
      <c r="D5679">
        <v>5.1078049999999999</v>
      </c>
      <c r="E5679">
        <v>0.59947479999999997</v>
      </c>
      <c r="F5679" t="s">
        <v>41</v>
      </c>
      <c r="G5679">
        <v>-305.68380000000002</v>
      </c>
      <c r="H5679" s="1">
        <v>-2.7587060000000001E-6</v>
      </c>
      <c r="I5679">
        <v>-37.505490000000002</v>
      </c>
      <c r="J5679">
        <v>-301.39530000000002</v>
      </c>
      <c r="K5679">
        <v>1.1067389999999999</v>
      </c>
      <c r="L5679">
        <v>-21.5946</v>
      </c>
      <c r="M5679">
        <v>1.6129109999999999E-2</v>
      </c>
      <c r="N5679">
        <v>0</v>
      </c>
      <c r="O5679">
        <v>-0.99984660000000003</v>
      </c>
      <c r="P5679">
        <v>-7.2120459999999997E-3</v>
      </c>
      <c r="Q5679">
        <v>1.519972E-2</v>
      </c>
      <c r="R5679">
        <v>-0.99985880000000005</v>
      </c>
      <c r="S5679">
        <v>-0.79132080000000005</v>
      </c>
      <c r="T5679">
        <v>-0.20435300000000001</v>
      </c>
      <c r="U5679">
        <v>-3.0001530000000001</v>
      </c>
      <c r="V5679">
        <v>2.3487750000000002E-2</v>
      </c>
      <c r="W5679">
        <v>2.189062E-2</v>
      </c>
      <c r="X5679">
        <v>0.99948440000000005</v>
      </c>
      <c r="Y5679">
        <v>0.2700514</v>
      </c>
      <c r="Z5679">
        <v>6.5564810000000001E-2</v>
      </c>
      <c r="AA5679">
        <v>0.96061099999999999</v>
      </c>
      <c r="AB5679">
        <v>30</v>
      </c>
      <c r="AC5679">
        <v>-4.2884999999999902</v>
      </c>
      <c r="AD5679">
        <v>-1.106741758706</v>
      </c>
      <c r="AE5679">
        <v>-15.91089</v>
      </c>
      <c r="AF5679">
        <v>4.5241693007681603</v>
      </c>
      <c r="AG5679">
        <v>-1.106741758706</v>
      </c>
      <c r="AH5679">
        <v>15.7685213787171</v>
      </c>
      <c r="AI5679">
        <v>93.859605160722893</v>
      </c>
      <c r="AJ5679">
        <v>73.991208609852507</v>
      </c>
      <c r="AK5679">
        <v>16.441996583552001</v>
      </c>
      <c r="AL5679">
        <v>88.745659631689406</v>
      </c>
      <c r="AM5679">
        <v>88.653804601480701</v>
      </c>
      <c r="AN5679">
        <v>0.99999996974370298</v>
      </c>
    </row>
    <row r="5680" spans="1:40" x14ac:dyDescent="0.3">
      <c r="A5680" t="str">
        <f>"20200111160615270"</f>
        <v>20200111160615270</v>
      </c>
      <c r="B5680" t="str">
        <f>"1578729975267545"</f>
        <v>1578729975267545</v>
      </c>
      <c r="C5680" t="s">
        <v>40</v>
      </c>
      <c r="D5680">
        <v>4.9137149999999998</v>
      </c>
      <c r="E5680">
        <v>0.59992429999999997</v>
      </c>
      <c r="F5680" t="s">
        <v>41</v>
      </c>
      <c r="G5680">
        <v>-305.74939999999998</v>
      </c>
      <c r="H5680" s="1">
        <v>-2.6640319999999999E-6</v>
      </c>
      <c r="I5680">
        <v>-37.766860000000001</v>
      </c>
      <c r="J5680">
        <v>-301.39389999999997</v>
      </c>
      <c r="K5680">
        <v>1.10676</v>
      </c>
      <c r="L5680">
        <v>-21.921299999999999</v>
      </c>
      <c r="M5680">
        <v>1.247815E-2</v>
      </c>
      <c r="N5680">
        <v>0</v>
      </c>
      <c r="O5680">
        <v>-0.99989830000000002</v>
      </c>
      <c r="P5680">
        <v>-1.05536E-2</v>
      </c>
      <c r="Q5680">
        <v>1.4383190000000001E-2</v>
      </c>
      <c r="R5680">
        <v>-0.99984119999999999</v>
      </c>
      <c r="S5680">
        <v>-0.80706789999999995</v>
      </c>
      <c r="T5680">
        <v>-0.2051471</v>
      </c>
      <c r="U5680">
        <v>-2.9977109999999998</v>
      </c>
      <c r="V5680">
        <v>2.317307E-2</v>
      </c>
      <c r="W5680">
        <v>2.115504E-2</v>
      </c>
      <c r="X5680">
        <v>0.99950760000000005</v>
      </c>
      <c r="Y5680">
        <v>0.27143590000000001</v>
      </c>
      <c r="Z5680">
        <v>6.5818699999999994E-2</v>
      </c>
      <c r="AA5680">
        <v>0.96020329999999998</v>
      </c>
      <c r="AB5680">
        <v>30</v>
      </c>
      <c r="AC5680">
        <v>-4.3555000000000001</v>
      </c>
      <c r="AD5680">
        <v>-1.1067626640320001</v>
      </c>
      <c r="AE5680">
        <v>-15.845560000000001</v>
      </c>
      <c r="AF5680">
        <v>4.5323307755788198</v>
      </c>
      <c r="AG5680">
        <v>-1.1067626640320001</v>
      </c>
      <c r="AH5680">
        <v>15.7186783982704</v>
      </c>
      <c r="AI5680">
        <v>93.870414414681605</v>
      </c>
      <c r="AJ5680">
        <v>73.915588854391601</v>
      </c>
      <c r="AK5680">
        <v>16.396456825851399</v>
      </c>
      <c r="AL5680">
        <v>88.787815046512407</v>
      </c>
      <c r="AM5680">
        <v>88.671864732171699</v>
      </c>
      <c r="AN5680">
        <v>0.99999998467419304</v>
      </c>
    </row>
    <row r="5681" spans="1:40" x14ac:dyDescent="0.3">
      <c r="A5681" t="str">
        <f>"20200111160615291"</f>
        <v>20200111160615291</v>
      </c>
      <c r="B5681" t="str">
        <f>"1578729975288041"</f>
        <v>1578729975288041</v>
      </c>
      <c r="C5681" t="s">
        <v>40</v>
      </c>
      <c r="D5681">
        <v>5.1429650000000002</v>
      </c>
      <c r="E5681">
        <v>0.60031069999999997</v>
      </c>
      <c r="F5681" t="s">
        <v>41</v>
      </c>
      <c r="G5681">
        <v>-306.22000000000003</v>
      </c>
      <c r="H5681" s="1">
        <v>-2.0326939999999999E-6</v>
      </c>
      <c r="I5681">
        <v>-39.530410000000003</v>
      </c>
      <c r="J5681">
        <v>-301.39350000000002</v>
      </c>
      <c r="K5681">
        <v>1.1067910000000001</v>
      </c>
      <c r="L5681">
        <v>-22.21115</v>
      </c>
      <c r="M5681">
        <v>9.2823439999999997E-3</v>
      </c>
      <c r="N5681">
        <v>0</v>
      </c>
      <c r="O5681">
        <v>-0.9999325</v>
      </c>
      <c r="P5681">
        <v>-1.2917039999999999E-2</v>
      </c>
      <c r="Q5681">
        <v>1.26704E-2</v>
      </c>
      <c r="R5681">
        <v>-0.99983639999999996</v>
      </c>
      <c r="S5681">
        <v>-0.82070919999999903</v>
      </c>
      <c r="T5681">
        <v>-0.18821160000000001</v>
      </c>
      <c r="U5681">
        <v>-2.9945369999999998</v>
      </c>
      <c r="V5681">
        <v>2.2329430000000001E-2</v>
      </c>
      <c r="W5681">
        <v>1.9527449999999998E-2</v>
      </c>
      <c r="X5681">
        <v>0.99955989999999995</v>
      </c>
      <c r="Y5681">
        <v>0.2727792</v>
      </c>
      <c r="Z5681">
        <v>6.0424480000000003E-2</v>
      </c>
      <c r="AA5681">
        <v>0.96017730000000001</v>
      </c>
      <c r="AB5681">
        <v>30</v>
      </c>
      <c r="AC5681">
        <v>-4.8265000000000002</v>
      </c>
      <c r="AD5681">
        <v>-1.1067930326940001</v>
      </c>
      <c r="AE5681">
        <v>-17.3192599999999</v>
      </c>
      <c r="AF5681">
        <v>4.9682317672858201</v>
      </c>
      <c r="AG5681">
        <v>-1.1067930326940001</v>
      </c>
      <c r="AH5681">
        <v>17.2084984021892</v>
      </c>
      <c r="AI5681">
        <v>93.535976420087806</v>
      </c>
      <c r="AJ5681">
        <v>73.896146187614207</v>
      </c>
      <c r="AK5681">
        <v>17.945493444562501</v>
      </c>
      <c r="AL5681">
        <v>88.881088366221206</v>
      </c>
      <c r="AM5681">
        <v>88.720267450128503</v>
      </c>
      <c r="AN5681">
        <v>0.99999995921781704</v>
      </c>
    </row>
    <row r="5682" spans="1:40" x14ac:dyDescent="0.3">
      <c r="A5682" t="str">
        <f>"20200111160615315"</f>
        <v>20200111160615315</v>
      </c>
      <c r="B5682" t="str">
        <f>"1578729975307562"</f>
        <v>1578729975307562</v>
      </c>
      <c r="C5682" t="s">
        <v>40</v>
      </c>
      <c r="D5682">
        <v>4.860106</v>
      </c>
      <c r="E5682">
        <v>0.60037649999999998</v>
      </c>
      <c r="F5682" t="s">
        <v>41</v>
      </c>
      <c r="G5682">
        <v>-306.06180000000001</v>
      </c>
      <c r="H5682" s="1">
        <v>-2.2084490000000002E-6</v>
      </c>
      <c r="I5682">
        <v>-39.02261</v>
      </c>
      <c r="J5682">
        <v>-301.39400000000001</v>
      </c>
      <c r="K5682">
        <v>1.1068420000000001</v>
      </c>
      <c r="L5682">
        <v>-22.539549999999998</v>
      </c>
      <c r="M5682">
        <v>5.7412749999999997E-3</v>
      </c>
      <c r="N5682">
        <v>0</v>
      </c>
      <c r="O5682">
        <v>-0.99995829999999997</v>
      </c>
      <c r="P5682">
        <v>-1.5310270000000001E-2</v>
      </c>
      <c r="Q5682">
        <v>1.0767229999999999E-2</v>
      </c>
      <c r="R5682">
        <v>-0.99982510000000002</v>
      </c>
      <c r="S5682">
        <v>-0.83090209999999998</v>
      </c>
      <c r="T5682">
        <v>-0.1969967</v>
      </c>
      <c r="U5682">
        <v>-2.9922490000000002</v>
      </c>
      <c r="V5682">
        <v>2.1168650000000001E-2</v>
      </c>
      <c r="W5682">
        <v>1.7741050000000001E-2</v>
      </c>
      <c r="X5682">
        <v>0.99961849999999997</v>
      </c>
      <c r="Y5682">
        <v>0.27255230000000003</v>
      </c>
      <c r="Z5682">
        <v>6.325654E-2</v>
      </c>
      <c r="AA5682">
        <v>0.96005929999999995</v>
      </c>
      <c r="AB5682">
        <v>30</v>
      </c>
      <c r="AC5682">
        <v>-4.6677999999999997</v>
      </c>
      <c r="AD5682">
        <v>-1.106844208449</v>
      </c>
      <c r="AE5682">
        <v>-16.483059999999998</v>
      </c>
      <c r="AF5682">
        <v>4.7425618370481901</v>
      </c>
      <c r="AG5682">
        <v>-1.106844208449</v>
      </c>
      <c r="AH5682">
        <v>16.3875800571737</v>
      </c>
      <c r="AI5682">
        <v>93.712111796496302</v>
      </c>
      <c r="AJ5682">
        <v>73.859569037961506</v>
      </c>
      <c r="AK5682">
        <v>17.095899420921999</v>
      </c>
      <c r="AL5682">
        <v>88.983459382046107</v>
      </c>
      <c r="AM5682">
        <v>88.786844135328593</v>
      </c>
      <c r="AN5682">
        <v>1.00000000107008</v>
      </c>
    </row>
    <row r="5683" spans="1:40" x14ac:dyDescent="0.3">
      <c r="A5683" t="str">
        <f>"20200111160615338"</f>
        <v>20200111160615338</v>
      </c>
      <c r="B5683" t="str">
        <f>"1578729975328058"</f>
        <v>1578729975328058</v>
      </c>
      <c r="C5683" t="s">
        <v>40</v>
      </c>
      <c r="D5683">
        <v>4.909503</v>
      </c>
      <c r="E5683">
        <v>0.60032869999999905</v>
      </c>
      <c r="F5683" t="s">
        <v>41</v>
      </c>
      <c r="G5683">
        <v>-305.90609999999998</v>
      </c>
      <c r="H5683" s="1">
        <v>-2.3318330000000001E-6</v>
      </c>
      <c r="I5683">
        <v>-38.638440000000003</v>
      </c>
      <c r="J5683">
        <v>-301.39550000000003</v>
      </c>
      <c r="K5683">
        <v>1.1069209999999901</v>
      </c>
      <c r="L5683">
        <v>-22.847750000000001</v>
      </c>
      <c r="M5683">
        <v>2.528668E-3</v>
      </c>
      <c r="N5683">
        <v>0</v>
      </c>
      <c r="O5683">
        <v>-0.99997060000000004</v>
      </c>
      <c r="P5683">
        <v>-1.7454810000000001E-2</v>
      </c>
      <c r="Q5683">
        <v>1.033595E-2</v>
      </c>
      <c r="R5683">
        <v>-0.99979459999999998</v>
      </c>
      <c r="S5683">
        <v>-0.83798220000000001</v>
      </c>
      <c r="T5683">
        <v>-0.2055641</v>
      </c>
      <c r="U5683">
        <v>-2.9898989999999999</v>
      </c>
      <c r="V5683">
        <v>2.009679E-2</v>
      </c>
      <c r="W5683">
        <v>1.7454520000000001E-2</v>
      </c>
      <c r="X5683">
        <v>0.99964569999999997</v>
      </c>
      <c r="Y5683">
        <v>0.27171689999999998</v>
      </c>
      <c r="Z5683">
        <v>6.6033910000000001E-2</v>
      </c>
      <c r="AA5683">
        <v>0.96010910000000005</v>
      </c>
      <c r="AB5683">
        <v>30</v>
      </c>
      <c r="AC5683">
        <v>-4.5105999999999504</v>
      </c>
      <c r="AD5683">
        <v>-1.1069233318329901</v>
      </c>
      <c r="AE5683">
        <v>-15.79069</v>
      </c>
      <c r="AF5683">
        <v>4.5299353447492399</v>
      </c>
      <c r="AG5683">
        <v>-1.1069233318329901</v>
      </c>
      <c r="AH5683">
        <v>15.707868410174999</v>
      </c>
      <c r="AI5683">
        <v>93.873583202069497</v>
      </c>
      <c r="AJ5683">
        <v>73.913159072100598</v>
      </c>
      <c r="AK5683">
        <v>16.385442425566001</v>
      </c>
      <c r="AL5683">
        <v>88.999878916717705</v>
      </c>
      <c r="AM5683">
        <v>88.848285788951998</v>
      </c>
      <c r="AN5683">
        <v>1.00000003338261</v>
      </c>
    </row>
    <row r="5684" spans="1:40" x14ac:dyDescent="0.3">
      <c r="A5684" t="str">
        <f>"20200111160615375"</f>
        <v>20200111160615375</v>
      </c>
      <c r="B5684" t="str">
        <f>"1578729975368076"</f>
        <v>1578729975368076</v>
      </c>
      <c r="C5684" t="s">
        <v>40</v>
      </c>
      <c r="D5684">
        <v>4.9404729999999999</v>
      </c>
      <c r="E5684">
        <v>0.60030680000000003</v>
      </c>
      <c r="F5684" t="s">
        <v>41</v>
      </c>
      <c r="G5684">
        <v>-305.85719999999998</v>
      </c>
      <c r="H5684" s="1">
        <v>-2.3150779999999999E-6</v>
      </c>
      <c r="I5684">
        <v>-38.647179999999999</v>
      </c>
      <c r="J5684">
        <v>-301.3999</v>
      </c>
      <c r="K5684">
        <v>1.1071279999999999</v>
      </c>
      <c r="L5684">
        <v>-23.358090000000001</v>
      </c>
      <c r="M5684">
        <v>-2.4661610000000001E-3</v>
      </c>
      <c r="N5684">
        <v>0</v>
      </c>
      <c r="O5684">
        <v>-0.99996819999999997</v>
      </c>
      <c r="P5684">
        <v>-2.2013109999999999E-2</v>
      </c>
      <c r="Q5684">
        <v>9.9239900000000006E-3</v>
      </c>
      <c r="R5684">
        <v>-0.99970859999999995</v>
      </c>
      <c r="S5684">
        <v>-0.84381099999999998</v>
      </c>
      <c r="T5684">
        <v>-0.20934469999999999</v>
      </c>
      <c r="U5684">
        <v>-2.9880369999999998</v>
      </c>
      <c r="V5684">
        <v>1.9654609999999999E-2</v>
      </c>
      <c r="W5684">
        <v>1.7404940000000001E-2</v>
      </c>
      <c r="X5684">
        <v>0.99965530000000002</v>
      </c>
      <c r="Y5684">
        <v>0.26877770000000001</v>
      </c>
      <c r="Z5684">
        <v>6.7293850000000002E-2</v>
      </c>
      <c r="AA5684">
        <v>0.96084860000000005</v>
      </c>
      <c r="AB5684">
        <v>31</v>
      </c>
      <c r="AC5684">
        <v>-4.4572999999999698</v>
      </c>
      <c r="AD5684">
        <v>-1.1071303150780001</v>
      </c>
      <c r="AE5684">
        <v>-15.2890899999999</v>
      </c>
      <c r="AF5684">
        <v>4.3983233615994699</v>
      </c>
      <c r="AG5684">
        <v>-1.1071303150780001</v>
      </c>
      <c r="AH5684">
        <v>15.226448391320099</v>
      </c>
      <c r="AI5684">
        <v>93.995906312436603</v>
      </c>
      <c r="AJ5684">
        <v>73.888069623177103</v>
      </c>
      <c r="AK5684">
        <v>15.887596310999699</v>
      </c>
      <c r="AL5684">
        <v>89.002720016958307</v>
      </c>
      <c r="AM5684">
        <v>88.873630614774399</v>
      </c>
      <c r="AN5684">
        <v>0.99999997722437195</v>
      </c>
    </row>
    <row r="5685" spans="1:40" x14ac:dyDescent="0.3">
      <c r="A5685" t="str">
        <f>"20200111160615400"</f>
        <v>20200111160615400</v>
      </c>
      <c r="B5685" t="str">
        <f>"1578729975398330"</f>
        <v>1578729975398330</v>
      </c>
      <c r="C5685" t="s">
        <v>40</v>
      </c>
      <c r="D5685">
        <v>5.0091150000000004</v>
      </c>
      <c r="E5685">
        <v>0.60022200000000003</v>
      </c>
      <c r="F5685" t="s">
        <v>41</v>
      </c>
      <c r="G5685">
        <v>-305.79450000000003</v>
      </c>
      <c r="H5685" s="1">
        <v>-2.2869460000000001E-6</v>
      </c>
      <c r="I5685">
        <v>-38.673859999999998</v>
      </c>
      <c r="J5685">
        <v>-301.404</v>
      </c>
      <c r="K5685">
        <v>1.1073109999999999</v>
      </c>
      <c r="L5685">
        <v>-23.701080000000001</v>
      </c>
      <c r="M5685">
        <v>-5.6006399999999996E-3</v>
      </c>
      <c r="N5685">
        <v>0</v>
      </c>
      <c r="O5685">
        <v>-0.99995279999999998</v>
      </c>
      <c r="P5685">
        <v>-2.3753549999999998E-2</v>
      </c>
      <c r="Q5685">
        <v>9.3109149999999995E-3</v>
      </c>
      <c r="R5685">
        <v>-0.99967459999999997</v>
      </c>
      <c r="S5685">
        <v>-0.85626219999999997</v>
      </c>
      <c r="T5685">
        <v>-0.21571589999999999</v>
      </c>
      <c r="U5685">
        <v>-2.9841609999999998</v>
      </c>
      <c r="V5685">
        <v>1.8254659999999999E-2</v>
      </c>
      <c r="W5685">
        <v>1.71451E-2</v>
      </c>
      <c r="X5685">
        <v>0.99968639999999998</v>
      </c>
      <c r="Y5685">
        <v>0.269754299999999</v>
      </c>
      <c r="Z5685">
        <v>6.9368369999999999E-2</v>
      </c>
      <c r="AA5685">
        <v>0.96042729999999998</v>
      </c>
      <c r="AB5685">
        <v>31</v>
      </c>
      <c r="AC5685">
        <v>-4.3905000000000296</v>
      </c>
      <c r="AD5685">
        <v>-1.1073132869460001</v>
      </c>
      <c r="AE5685">
        <v>-14.972779999999901</v>
      </c>
      <c r="AF5685">
        <v>4.2849908095207097</v>
      </c>
      <c r="AG5685">
        <v>-1.1073132869460001</v>
      </c>
      <c r="AH5685">
        <v>14.921983835393799</v>
      </c>
      <c r="AI5685">
        <v>94.079676238778006</v>
      </c>
      <c r="AJ5685">
        <v>73.978073150549704</v>
      </c>
      <c r="AK5685">
        <v>15.5644752734192</v>
      </c>
      <c r="AL5685">
        <v>89.0176100389656</v>
      </c>
      <c r="AM5685">
        <v>88.953873187493599</v>
      </c>
      <c r="AN5685">
        <v>1.0000000427053399</v>
      </c>
    </row>
    <row r="5686" spans="1:40" x14ac:dyDescent="0.3">
      <c r="A5686" t="str">
        <f>"20200111160615423"</f>
        <v>20200111160615423</v>
      </c>
      <c r="B5686" t="str">
        <f>"1578729975417849"</f>
        <v>1578729975417849</v>
      </c>
      <c r="C5686" t="s">
        <v>40</v>
      </c>
      <c r="D5686">
        <v>5.041728</v>
      </c>
      <c r="E5686">
        <v>0.60021309999999894</v>
      </c>
      <c r="F5686" t="s">
        <v>41</v>
      </c>
      <c r="G5686">
        <v>-305.7688</v>
      </c>
      <c r="H5686" s="1">
        <v>-2.2148930000000002E-6</v>
      </c>
      <c r="I5686">
        <v>-38.825859999999999</v>
      </c>
      <c r="J5686">
        <v>-301.40859999999998</v>
      </c>
      <c r="K5686">
        <v>1.107502</v>
      </c>
      <c r="L5686">
        <v>-24.02252</v>
      </c>
      <c r="M5686">
        <v>-8.3597580000000001E-3</v>
      </c>
      <c r="N5686">
        <v>0</v>
      </c>
      <c r="O5686">
        <v>-0.99993010000000004</v>
      </c>
      <c r="P5686">
        <v>-2.4411530000000001E-2</v>
      </c>
      <c r="Q5686">
        <v>8.2036490000000004E-3</v>
      </c>
      <c r="R5686">
        <v>-0.99966849999999996</v>
      </c>
      <c r="S5686">
        <v>-0.86071779999999998</v>
      </c>
      <c r="T5686">
        <v>-0.21835760000000001</v>
      </c>
      <c r="U5686">
        <v>-2.9825439999999999</v>
      </c>
      <c r="V5686">
        <v>1.614523E-2</v>
      </c>
      <c r="W5686">
        <v>1.64738E-2</v>
      </c>
      <c r="X5686">
        <v>0.99973389999999995</v>
      </c>
      <c r="Y5686">
        <v>0.2685438</v>
      </c>
      <c r="Z5686">
        <v>7.0245879999999997E-2</v>
      </c>
      <c r="AA5686">
        <v>0.96070279999999997</v>
      </c>
      <c r="AB5686">
        <v>31</v>
      </c>
      <c r="AC5686">
        <v>-4.3602000000000203</v>
      </c>
      <c r="AD5686">
        <v>-1.1075042148930001</v>
      </c>
      <c r="AE5686">
        <v>-14.80334</v>
      </c>
      <c r="AF5686">
        <v>4.2145842270848997</v>
      </c>
      <c r="AG5686">
        <v>-1.1075042148930001</v>
      </c>
      <c r="AH5686">
        <v>14.7632378007812</v>
      </c>
      <c r="AI5686">
        <v>94.125931084039294</v>
      </c>
      <c r="AJ5686">
        <v>74.067104704144697</v>
      </c>
      <c r="AK5686">
        <v>15.392935917349</v>
      </c>
      <c r="AL5686">
        <v>89.056078054392202</v>
      </c>
      <c r="AM5686">
        <v>89.074780668504204</v>
      </c>
      <c r="AN5686">
        <v>0.99999996267369995</v>
      </c>
    </row>
    <row r="5687" spans="1:40" x14ac:dyDescent="0.3">
      <c r="A5687" t="str">
        <f>"20200111160615447"</f>
        <v>20200111160615447</v>
      </c>
      <c r="B5687" t="str">
        <f>"1578729975438346"</f>
        <v>1578729975438346</v>
      </c>
      <c r="C5687" t="s">
        <v>40</v>
      </c>
      <c r="D5687">
        <v>5.0491330000000003</v>
      </c>
      <c r="E5687">
        <v>0.60010010000000003</v>
      </c>
      <c r="F5687" t="s">
        <v>41</v>
      </c>
      <c r="G5687">
        <v>-305.70670000000001</v>
      </c>
      <c r="H5687" s="1">
        <v>-2.1762130000000002E-6</v>
      </c>
      <c r="I5687">
        <v>-38.87753</v>
      </c>
      <c r="J5687">
        <v>-301.41390000000001</v>
      </c>
      <c r="K5687">
        <v>1.1077490000000001</v>
      </c>
      <c r="L5687">
        <v>-24.340029999999999</v>
      </c>
      <c r="M5687">
        <v>-1.084798E-2</v>
      </c>
      <c r="N5687">
        <v>0</v>
      </c>
      <c r="O5687">
        <v>-0.99990159999999995</v>
      </c>
      <c r="P5687">
        <v>-2.4135770000000001E-2</v>
      </c>
      <c r="Q5687">
        <v>6.9303699999999999E-3</v>
      </c>
      <c r="R5687">
        <v>-0.99968480000000004</v>
      </c>
      <c r="S5687">
        <v>-0.8627319</v>
      </c>
      <c r="T5687">
        <v>-0.22230220000000001</v>
      </c>
      <c r="U5687">
        <v>-2.9817499999999999</v>
      </c>
      <c r="V5687">
        <v>1.337203E-2</v>
      </c>
      <c r="W5687">
        <v>1.5780570000000001E-2</v>
      </c>
      <c r="X5687">
        <v>0.99978610000000001</v>
      </c>
      <c r="Y5687">
        <v>0.26678839999999998</v>
      </c>
      <c r="Z5687">
        <v>7.1535039999999994E-2</v>
      </c>
      <c r="AA5687">
        <v>0.96109659999999997</v>
      </c>
      <c r="AB5687">
        <v>31</v>
      </c>
      <c r="AC5687">
        <v>-4.2927999999999997</v>
      </c>
      <c r="AD5687">
        <v>-1.1077511762129999</v>
      </c>
      <c r="AE5687">
        <v>-14.5375</v>
      </c>
      <c r="AF5687">
        <v>4.11287309240873</v>
      </c>
      <c r="AG5687">
        <v>-1.1077511762129999</v>
      </c>
      <c r="AH5687">
        <v>14.5057440160724</v>
      </c>
      <c r="AI5687">
        <v>94.201986424145801</v>
      </c>
      <c r="AJ5687">
        <v>74.170158283838404</v>
      </c>
      <c r="AK5687">
        <v>15.1181826686437</v>
      </c>
      <c r="AL5687">
        <v>89.095802447540194</v>
      </c>
      <c r="AM5687">
        <v>89.233720891060997</v>
      </c>
      <c r="AN5687">
        <v>1.0000000416645201</v>
      </c>
    </row>
    <row r="5688" spans="1:40" x14ac:dyDescent="0.3">
      <c r="A5688" t="str">
        <f>"20200111160615467"</f>
        <v>20200111160615467</v>
      </c>
      <c r="B5688" t="str">
        <f>"1578729975457865"</f>
        <v>1578729975457865</v>
      </c>
      <c r="C5688" t="s">
        <v>40</v>
      </c>
      <c r="D5688">
        <v>5.0693640000000002</v>
      </c>
      <c r="E5688">
        <v>0.59989749999999997</v>
      </c>
      <c r="F5688" t="s">
        <v>41</v>
      </c>
      <c r="G5688">
        <v>-305.62670000000003</v>
      </c>
      <c r="H5688" s="1">
        <v>-2.1347029999999999E-6</v>
      </c>
      <c r="I5688">
        <v>-38.924660000000003</v>
      </c>
      <c r="J5688">
        <v>-301.41930000000002</v>
      </c>
      <c r="K5688">
        <v>1.108001</v>
      </c>
      <c r="L5688">
        <v>-24.631959999999999</v>
      </c>
      <c r="M5688">
        <v>-1.296338E-2</v>
      </c>
      <c r="N5688">
        <v>0</v>
      </c>
      <c r="O5688">
        <v>-0.99987079999999995</v>
      </c>
      <c r="P5688">
        <v>-2.3288119999999999E-2</v>
      </c>
      <c r="Q5688">
        <v>6.0317000000000001E-3</v>
      </c>
      <c r="R5688">
        <v>-0.99971069999999995</v>
      </c>
      <c r="S5688">
        <v>-0.86126709999999995</v>
      </c>
      <c r="T5688">
        <v>-0.22647139999999999</v>
      </c>
      <c r="U5688">
        <v>-2.9817200000000001</v>
      </c>
      <c r="V5688">
        <v>1.0401850000000001E-2</v>
      </c>
      <c r="W5688">
        <v>1.549117E-2</v>
      </c>
      <c r="X5688">
        <v>0.99982590000000005</v>
      </c>
      <c r="Y5688">
        <v>0.26428849999999998</v>
      </c>
      <c r="Z5688">
        <v>7.2897699999999996E-2</v>
      </c>
      <c r="AA5688">
        <v>0.96168480000000001</v>
      </c>
      <c r="AB5688">
        <v>31</v>
      </c>
      <c r="AC5688">
        <v>-4.2073999999999998</v>
      </c>
      <c r="AD5688">
        <v>-1.1080031347029999</v>
      </c>
      <c r="AE5688">
        <v>-14.2926999999999</v>
      </c>
      <c r="AF5688">
        <v>3.9996365251068702</v>
      </c>
      <c r="AG5688">
        <v>-1.1080031347029999</v>
      </c>
      <c r="AH5688">
        <v>14.2671396367646</v>
      </c>
      <c r="AI5688">
        <v>94.276524611251801</v>
      </c>
      <c r="AJ5688">
        <v>74.339740710601006</v>
      </c>
      <c r="AK5688">
        <v>14.8585341367989</v>
      </c>
      <c r="AL5688">
        <v>89.112385838080897</v>
      </c>
      <c r="AM5688">
        <v>89.403935621940306</v>
      </c>
      <c r="AN5688">
        <v>1.0000000025711</v>
      </c>
    </row>
    <row r="5689" spans="1:40" x14ac:dyDescent="0.3">
      <c r="A5689" t="str">
        <f>"20200111160615493"</f>
        <v>20200111160615493</v>
      </c>
      <c r="B5689" t="str">
        <f>"1578729975488123"</f>
        <v>1578729975488123</v>
      </c>
      <c r="C5689" t="s">
        <v>40</v>
      </c>
      <c r="D5689">
        <v>6.0361960000000003</v>
      </c>
      <c r="E5689">
        <v>0.49677579999999999</v>
      </c>
      <c r="F5689" t="s">
        <v>41</v>
      </c>
      <c r="G5689">
        <v>-305.56400000000002</v>
      </c>
      <c r="H5689" s="1">
        <v>-2.065357E-6</v>
      </c>
      <c r="I5689">
        <v>-39.047449999999998</v>
      </c>
      <c r="J5689">
        <v>-301.42619999999999</v>
      </c>
      <c r="K5689">
        <v>1.108263</v>
      </c>
      <c r="L5689">
        <v>-24.968440000000001</v>
      </c>
      <c r="M5689">
        <v>-1.5238989999999999E-2</v>
      </c>
      <c r="N5689">
        <v>0</v>
      </c>
      <c r="O5689">
        <v>-0.9998321</v>
      </c>
      <c r="P5689">
        <v>-2.1779E-2</v>
      </c>
      <c r="Q5689">
        <v>5.4682330000000003E-3</v>
      </c>
      <c r="R5689">
        <v>-0.99974830000000003</v>
      </c>
      <c r="S5689">
        <v>-0.857452399999999</v>
      </c>
      <c r="T5689">
        <v>-0.22922300000000001</v>
      </c>
      <c r="U5689">
        <v>-2.9822690000000001</v>
      </c>
      <c r="V5689">
        <v>6.6116009999999999E-3</v>
      </c>
      <c r="W5689">
        <v>1.56466E-2</v>
      </c>
      <c r="X5689">
        <v>0.99985570000000001</v>
      </c>
      <c r="Y5689">
        <v>0.26089069999999998</v>
      </c>
      <c r="Z5689">
        <v>7.3809330000000006E-2</v>
      </c>
      <c r="AA5689">
        <v>0.96254260000000003</v>
      </c>
      <c r="AB5689">
        <v>31</v>
      </c>
      <c r="AC5689">
        <v>-4.1378000000000199</v>
      </c>
      <c r="AD5689">
        <v>-1.1082650653569901</v>
      </c>
      <c r="AE5689">
        <v>-14.079009999999901</v>
      </c>
      <c r="AF5689">
        <v>3.9005108119289802</v>
      </c>
      <c r="AG5689">
        <v>-1.1082650653569901</v>
      </c>
      <c r="AH5689">
        <v>14.0602376310029</v>
      </c>
      <c r="AI5689">
        <v>94.343511953243905</v>
      </c>
      <c r="AJ5689">
        <v>74.4952253790117</v>
      </c>
      <c r="AK5689">
        <v>14.633267519229401</v>
      </c>
      <c r="AL5689">
        <v>89.103479250949505</v>
      </c>
      <c r="AM5689">
        <v>89.621134017736594</v>
      </c>
      <c r="AN5689">
        <v>0.99999997509091598</v>
      </c>
    </row>
    <row r="5690" spans="1:40" x14ac:dyDescent="0.3">
      <c r="A5690" t="str">
        <f>"20200111160615514"</f>
        <v>20200111160615514</v>
      </c>
      <c r="B5690" t="str">
        <f>"1578729975507641"</f>
        <v>1578729975507641</v>
      </c>
      <c r="C5690" t="s">
        <v>40</v>
      </c>
      <c r="D5690">
        <v>4.5952979999999997</v>
      </c>
      <c r="E5690">
        <v>0.39917710000000001</v>
      </c>
      <c r="F5690" t="s">
        <v>67</v>
      </c>
      <c r="G5690">
        <v>-301.88639999999998</v>
      </c>
      <c r="H5690" s="1">
        <v>-1.0196950000000001E-5</v>
      </c>
      <c r="I5690">
        <v>-63.746429999999997</v>
      </c>
      <c r="J5690">
        <v>-301.43239999999997</v>
      </c>
      <c r="K5690">
        <v>1.1084459999999901</v>
      </c>
      <c r="L5690">
        <v>-25.253270000000001</v>
      </c>
      <c r="M5690">
        <v>-1.7038069999999999E-2</v>
      </c>
      <c r="N5690">
        <v>0</v>
      </c>
      <c r="O5690">
        <v>-0.99979680000000004</v>
      </c>
      <c r="P5690">
        <v>-1.9523459999999999E-2</v>
      </c>
      <c r="Q5690">
        <v>5.5536229999999997E-3</v>
      </c>
      <c r="R5690">
        <v>-0.99979419999999997</v>
      </c>
      <c r="S5690">
        <v>-3.5614010000000001E-2</v>
      </c>
      <c r="T5690">
        <v>-8.5752960000000003E-2</v>
      </c>
      <c r="U5690">
        <v>-3.0004580000000001</v>
      </c>
      <c r="V5690">
        <v>2.5549140000000001E-3</v>
      </c>
      <c r="W5690">
        <v>1.632076E-2</v>
      </c>
      <c r="X5690">
        <v>0.99986359999999996</v>
      </c>
      <c r="Y5690">
        <v>-5.1757330000000001E-3</v>
      </c>
      <c r="Z5690">
        <v>2.856088E-2</v>
      </c>
      <c r="AA5690">
        <v>0.99957870000000004</v>
      </c>
      <c r="AB5690">
        <v>30</v>
      </c>
      <c r="AC5690">
        <v>-0.45400000000000701</v>
      </c>
      <c r="AD5690">
        <v>-1.10845619694999</v>
      </c>
      <c r="AE5690">
        <v>-38.493159999999897</v>
      </c>
      <c r="AF5690">
        <v>-0.201785825735501</v>
      </c>
      <c r="AG5690">
        <v>-1.10845619694999</v>
      </c>
      <c r="AH5690">
        <v>38.463417265138702</v>
      </c>
      <c r="AI5690">
        <v>91.650696172823899</v>
      </c>
      <c r="AJ5690">
        <v>90.300580939959502</v>
      </c>
      <c r="AK5690">
        <v>38.479915025532399</v>
      </c>
      <c r="AL5690">
        <v>89.064847867801106</v>
      </c>
      <c r="AM5690">
        <v>89.853594559679905</v>
      </c>
      <c r="AN5690">
        <v>1.0000000566987399</v>
      </c>
    </row>
    <row r="5691" spans="1:40" x14ac:dyDescent="0.3">
      <c r="A5691" t="str">
        <f>"20200111160615582"</f>
        <v>20200111160615582</v>
      </c>
      <c r="B5691" t="str">
        <f>"1578729975577481"</f>
        <v>1578729975577481</v>
      </c>
      <c r="C5691" t="s">
        <v>40</v>
      </c>
      <c r="D5691">
        <v>5.3593510000000002</v>
      </c>
      <c r="E5691">
        <v>0.36612729999999999</v>
      </c>
      <c r="F5691" t="s">
        <v>93</v>
      </c>
      <c r="G5691">
        <v>-287.87380000000002</v>
      </c>
      <c r="H5691">
        <v>4.1953069999999997</v>
      </c>
      <c r="I5691">
        <v>-80.464519999999993</v>
      </c>
      <c r="J5691">
        <v>-301.4554</v>
      </c>
      <c r="K5691">
        <v>1.1089119999999999</v>
      </c>
      <c r="L5691">
        <v>-26.171299999999999</v>
      </c>
      <c r="M5691">
        <v>-2.2106939999999999E-2</v>
      </c>
      <c r="N5691">
        <v>0</v>
      </c>
      <c r="O5691">
        <v>-0.9996796</v>
      </c>
      <c r="P5691">
        <v>-1.403392E-2</v>
      </c>
      <c r="Q5691">
        <v>4.7733029999999996E-3</v>
      </c>
      <c r="R5691">
        <v>-0.99989039999999996</v>
      </c>
      <c r="S5691">
        <v>0.74020390000000003</v>
      </c>
      <c r="T5691">
        <v>0.1685207</v>
      </c>
      <c r="U5691">
        <v>-3.0141300000000002</v>
      </c>
      <c r="V5691">
        <v>-8.0146709999999993E-3</v>
      </c>
      <c r="W5691">
        <v>1.7143660000000002E-2</v>
      </c>
      <c r="X5691">
        <v>0.99982090000000001</v>
      </c>
      <c r="Y5691">
        <v>-0.25955489999999998</v>
      </c>
      <c r="Z5691">
        <v>-5.404544E-2</v>
      </c>
      <c r="AA5691">
        <v>0.96421489999999999</v>
      </c>
      <c r="AB5691">
        <v>30</v>
      </c>
      <c r="AC5691">
        <v>13.5815999999999</v>
      </c>
      <c r="AD5691">
        <v>3.086395</v>
      </c>
      <c r="AE5691">
        <v>-54.293219999999899</v>
      </c>
      <c r="AF5691">
        <v>-14.733819308446</v>
      </c>
      <c r="AG5691">
        <v>3.086395</v>
      </c>
      <c r="AH5691">
        <v>53.816011159000197</v>
      </c>
      <c r="AI5691">
        <v>86.833898125647906</v>
      </c>
      <c r="AJ5691">
        <v>105.311315821611</v>
      </c>
      <c r="AK5691">
        <v>55.881788827627901</v>
      </c>
      <c r="AL5691">
        <v>89.017692501357402</v>
      </c>
      <c r="AM5691">
        <v>90.459279243878797</v>
      </c>
      <c r="AN5691">
        <v>0.99999998605312101</v>
      </c>
    </row>
    <row r="5692" spans="1:40" x14ac:dyDescent="0.3">
      <c r="A5692" t="str">
        <f>"20200111160615606"</f>
        <v>20200111160615606</v>
      </c>
      <c r="B5692" t="str">
        <f>"1578729975597977"</f>
        <v>1578729975597977</v>
      </c>
      <c r="C5692" t="s">
        <v>40</v>
      </c>
      <c r="D5692">
        <v>5.2807959999999996</v>
      </c>
      <c r="E5692">
        <v>0.36650899999999997</v>
      </c>
      <c r="F5692" t="s">
        <v>41</v>
      </c>
      <c r="G5692">
        <v>-296.87529999999998</v>
      </c>
      <c r="H5692" s="1">
        <v>-1.1197479999999999E-6</v>
      </c>
      <c r="I5692">
        <v>-39.50459</v>
      </c>
      <c r="J5692">
        <v>-301.46460000000002</v>
      </c>
      <c r="K5692">
        <v>1.1090409999999999</v>
      </c>
      <c r="L5692">
        <v>-26.503779999999999</v>
      </c>
      <c r="M5692">
        <v>-2.3734069999999999E-2</v>
      </c>
      <c r="N5692">
        <v>0</v>
      </c>
      <c r="O5692">
        <v>-0.99963650000000004</v>
      </c>
      <c r="P5692">
        <v>-1.2962670000000001E-2</v>
      </c>
      <c r="Q5692">
        <v>3.8537409999999999E-3</v>
      </c>
      <c r="R5692">
        <v>-0.99990869999999998</v>
      </c>
      <c r="S5692">
        <v>1.036041</v>
      </c>
      <c r="T5692">
        <v>-0.2508437</v>
      </c>
      <c r="U5692">
        <v>-3.0160830000000001</v>
      </c>
      <c r="V5692">
        <v>-1.072029E-2</v>
      </c>
      <c r="W5692">
        <v>1.6679289999999999E-2</v>
      </c>
      <c r="X5692">
        <v>0.99980340000000001</v>
      </c>
      <c r="Y5692">
        <v>-0.3462363</v>
      </c>
      <c r="Z5692">
        <v>7.8060160000000003E-2</v>
      </c>
      <c r="AA5692">
        <v>0.93489409999999895</v>
      </c>
      <c r="AB5692">
        <v>30</v>
      </c>
      <c r="AC5692">
        <v>4.5893000000000299</v>
      </c>
      <c r="AD5692">
        <v>-1.109042119748</v>
      </c>
      <c r="AE5692">
        <v>-13.00081</v>
      </c>
      <c r="AF5692">
        <v>-4.8651135427545098</v>
      </c>
      <c r="AG5692">
        <v>-1.109042119748</v>
      </c>
      <c r="AH5692">
        <v>12.8053554685211</v>
      </c>
      <c r="AI5692">
        <v>94.628649278983204</v>
      </c>
      <c r="AJ5692">
        <v>110.80318791956</v>
      </c>
      <c r="AK5692">
        <v>13.7432322574587</v>
      </c>
      <c r="AL5692">
        <v>89.044302743773798</v>
      </c>
      <c r="AM5692">
        <v>90.614324610795094</v>
      </c>
      <c r="AN5692">
        <v>0.99999998099207299</v>
      </c>
    </row>
    <row r="5693" spans="1:40" x14ac:dyDescent="0.3">
      <c r="A5693" t="str">
        <f>"20200111160615850"</f>
        <v>20200111160615850</v>
      </c>
      <c r="B5693" t="str">
        <f>"1578729975848288"</f>
        <v>1578729975848288</v>
      </c>
      <c r="C5693" t="s">
        <v>40</v>
      </c>
      <c r="D5693">
        <v>5.4141059999999896</v>
      </c>
      <c r="E5693">
        <v>0.3665621</v>
      </c>
      <c r="F5693" t="s">
        <v>41</v>
      </c>
      <c r="G5693">
        <v>-296.98790000000002</v>
      </c>
      <c r="H5693" s="1">
        <v>-1.079338E-6</v>
      </c>
      <c r="I5693">
        <v>-39.535290000000003</v>
      </c>
      <c r="J5693">
        <v>-301.57560000000001</v>
      </c>
      <c r="K5693">
        <v>1.1099239999999999</v>
      </c>
      <c r="L5693">
        <v>-29.75742</v>
      </c>
      <c r="M5693">
        <v>-3.5925980000000003E-2</v>
      </c>
      <c r="N5693">
        <v>0</v>
      </c>
      <c r="O5693">
        <v>-0.99924389999999996</v>
      </c>
      <c r="P5693">
        <v>-3.4906450000000001E-3</v>
      </c>
      <c r="Q5693">
        <v>7.140647E-3</v>
      </c>
      <c r="R5693">
        <v>-0.99996830000000003</v>
      </c>
      <c r="S5693">
        <v>1.035614</v>
      </c>
      <c r="T5693">
        <v>-0.2565634</v>
      </c>
      <c r="U5693">
        <v>-3.0146790000000001</v>
      </c>
      <c r="V5693">
        <v>-3.240738E-2</v>
      </c>
      <c r="W5693">
        <v>2.205176E-2</v>
      </c>
      <c r="X5693">
        <v>0.99923150000000005</v>
      </c>
      <c r="Y5693">
        <v>-0.35762310000000003</v>
      </c>
      <c r="Z5693">
        <v>7.9642909999999997E-2</v>
      </c>
      <c r="AA5693">
        <v>0.9304637</v>
      </c>
      <c r="AB5693">
        <v>30</v>
      </c>
      <c r="AC5693">
        <v>4.5876999999999803</v>
      </c>
      <c r="AD5693">
        <v>-1.109925079338</v>
      </c>
      <c r="AE5693">
        <v>-9.7778700000000001</v>
      </c>
      <c r="AF5693">
        <v>-4.8844731700211597</v>
      </c>
      <c r="AG5693">
        <v>-1.109925079338</v>
      </c>
      <c r="AH5693">
        <v>9.5063281550560301</v>
      </c>
      <c r="AI5693">
        <v>95.928916355572497</v>
      </c>
      <c r="AJ5693">
        <v>117.194679431895</v>
      </c>
      <c r="AK5693">
        <v>10.7452448470014</v>
      </c>
      <c r="AL5693">
        <v>88.736424867337504</v>
      </c>
      <c r="AM5693">
        <v>91.857583032339605</v>
      </c>
      <c r="AN5693">
        <v>1.0000000544948999</v>
      </c>
    </row>
    <row r="5694" spans="1:40" x14ac:dyDescent="0.3">
      <c r="A5694" t="str">
        <f>"20200111160615875"</f>
        <v>20200111160615875</v>
      </c>
      <c r="B5694" t="str">
        <f>"1578729975867809"</f>
        <v>1578729975867809</v>
      </c>
      <c r="C5694" t="s">
        <v>40</v>
      </c>
      <c r="D5694">
        <v>5.094347</v>
      </c>
      <c r="E5694">
        <v>0.45741369999999998</v>
      </c>
      <c r="F5694" t="s">
        <v>67</v>
      </c>
      <c r="G5694">
        <v>-296.8306</v>
      </c>
      <c r="H5694" s="1">
        <v>-2.596576E-6</v>
      </c>
      <c r="I5694">
        <v>-43.162170000000003</v>
      </c>
      <c r="J5694">
        <v>-301.58850000000001</v>
      </c>
      <c r="K5694">
        <v>1.110052</v>
      </c>
      <c r="L5694">
        <v>-30.0975</v>
      </c>
      <c r="M5694">
        <v>-3.6568919999999998E-2</v>
      </c>
      <c r="N5694">
        <v>0</v>
      </c>
      <c r="O5694">
        <v>-0.99921930000000003</v>
      </c>
      <c r="P5694">
        <v>-3.781572E-3</v>
      </c>
      <c r="Q5694">
        <v>7.4092890000000003E-3</v>
      </c>
      <c r="R5694">
        <v>-0.9999654</v>
      </c>
      <c r="S5694">
        <v>1.063904</v>
      </c>
      <c r="T5694">
        <v>-0.24886520000000001</v>
      </c>
      <c r="U5694">
        <v>-3.005585</v>
      </c>
      <c r="V5694">
        <v>-3.2765429999999998E-2</v>
      </c>
      <c r="W5694">
        <v>2.2387839999999999E-2</v>
      </c>
      <c r="X5694">
        <v>0.99921230000000005</v>
      </c>
      <c r="Y5694">
        <v>-0.36693979999999998</v>
      </c>
      <c r="Z5694">
        <v>7.7224589999999996E-2</v>
      </c>
      <c r="AA5694">
        <v>0.92703369999999996</v>
      </c>
      <c r="AB5694">
        <v>29</v>
      </c>
      <c r="AC5694">
        <v>4.7579000000000002</v>
      </c>
      <c r="AD5694">
        <v>-1.110054596576</v>
      </c>
      <c r="AE5694">
        <v>-13.06467</v>
      </c>
      <c r="AF5694">
        <v>-5.1993908063742804</v>
      </c>
      <c r="AG5694">
        <v>-1.110054596576</v>
      </c>
      <c r="AH5694">
        <v>12.8003308910281</v>
      </c>
      <c r="AI5694">
        <v>94.593591988240107</v>
      </c>
      <c r="AJ5694">
        <v>112.106591281508</v>
      </c>
      <c r="AK5694">
        <v>13.8605323449208</v>
      </c>
      <c r="AL5694">
        <v>88.717164083451394</v>
      </c>
      <c r="AM5694">
        <v>91.878127814449002</v>
      </c>
      <c r="AN5694">
        <v>1.00000000462712</v>
      </c>
    </row>
    <row r="5695" spans="1:40" x14ac:dyDescent="0.3">
      <c r="A5695" t="str">
        <f>"20200111160615911"</f>
        <v>20200111160615911</v>
      </c>
      <c r="B5695" t="str">
        <f>"1578729975907824"</f>
        <v>1578729975907824</v>
      </c>
      <c r="C5695" t="s">
        <v>40</v>
      </c>
      <c r="D5695">
        <v>5.0312619999999999</v>
      </c>
      <c r="E5695">
        <v>0.468642</v>
      </c>
      <c r="F5695" t="s">
        <v>67</v>
      </c>
      <c r="G5695">
        <v>-300.27420000000001</v>
      </c>
      <c r="H5695" s="1">
        <v>-9.0314529999999998E-7</v>
      </c>
      <c r="I5695">
        <v>-41.73771</v>
      </c>
      <c r="J5695">
        <v>-301.60599999999999</v>
      </c>
      <c r="K5695">
        <v>1.110222</v>
      </c>
      <c r="L5695">
        <v>-30.554320000000001</v>
      </c>
      <c r="M5695">
        <v>-3.7168859999999998E-2</v>
      </c>
      <c r="N5695">
        <v>0</v>
      </c>
      <c r="O5695">
        <v>-0.99919639999999998</v>
      </c>
      <c r="P5695">
        <v>-7.8039530000000002E-4</v>
      </c>
      <c r="Q5695">
        <v>7.4517619999999998E-3</v>
      </c>
      <c r="R5695">
        <v>-0.99997210000000003</v>
      </c>
      <c r="S5695">
        <v>0.33914179999999999</v>
      </c>
      <c r="T5695">
        <v>-0.28642580000000001</v>
      </c>
      <c r="U5695">
        <v>-3.0035099999999999</v>
      </c>
      <c r="V5695">
        <v>-3.6372889999999998E-2</v>
      </c>
      <c r="W5695">
        <v>2.2501779999999999E-2</v>
      </c>
      <c r="X5695">
        <v>0.99908490000000005</v>
      </c>
      <c r="Y5695">
        <v>-0.14856469999999999</v>
      </c>
      <c r="Z5695">
        <v>9.4011440000000002E-2</v>
      </c>
      <c r="AA5695">
        <v>0.98442390000000002</v>
      </c>
      <c r="AB5695">
        <v>29</v>
      </c>
      <c r="AC5695">
        <v>1.3317999999999801</v>
      </c>
      <c r="AD5695">
        <v>-1.1102229031452999</v>
      </c>
      <c r="AE5695">
        <v>-11.183389999999999</v>
      </c>
      <c r="AF5695">
        <v>-1.72979079191351</v>
      </c>
      <c r="AG5695">
        <v>-1.1102229031452999</v>
      </c>
      <c r="AH5695">
        <v>11.0190748542755</v>
      </c>
      <c r="AI5695">
        <v>95.684250877136805</v>
      </c>
      <c r="AJ5695">
        <v>98.921567044601304</v>
      </c>
      <c r="AK5695">
        <v>11.209138313116799</v>
      </c>
      <c r="AL5695">
        <v>88.710634122148306</v>
      </c>
      <c r="AM5695">
        <v>92.085001076521806</v>
      </c>
      <c r="AN5695">
        <v>0.99999997731906498</v>
      </c>
    </row>
    <row r="5696" spans="1:40" x14ac:dyDescent="0.3">
      <c r="A5696" t="str">
        <f>"20200111160615936"</f>
        <v>20200111160615936</v>
      </c>
      <c r="B5696" t="str">
        <f>"1578729975928320"</f>
        <v>1578729975928320</v>
      </c>
      <c r="C5696" t="s">
        <v>40</v>
      </c>
      <c r="D5696">
        <v>4.8438059999999998</v>
      </c>
      <c r="E5696">
        <v>0.47098329999999999</v>
      </c>
      <c r="F5696" t="s">
        <v>67</v>
      </c>
      <c r="G5696">
        <v>-300.75360000000001</v>
      </c>
      <c r="H5696" s="1">
        <v>-2.6161919999999999E-7</v>
      </c>
      <c r="I5696">
        <v>-40.518349999999998</v>
      </c>
      <c r="J5696">
        <v>-301.61869999999999</v>
      </c>
      <c r="K5696">
        <v>1.110322</v>
      </c>
      <c r="L5696">
        <v>-30.88739</v>
      </c>
      <c r="M5696">
        <v>-3.7456650000000001E-2</v>
      </c>
      <c r="N5696">
        <v>0</v>
      </c>
      <c r="O5696">
        <v>-0.99918450000000003</v>
      </c>
      <c r="P5696">
        <v>1.5229969999999999E-3</v>
      </c>
      <c r="Q5696">
        <v>7.9953219999999992E-3</v>
      </c>
      <c r="R5696">
        <v>-0.99996700000000005</v>
      </c>
      <c r="S5696">
        <v>0.2568665</v>
      </c>
      <c r="T5696">
        <v>-0.3345785</v>
      </c>
      <c r="U5696">
        <v>-3.002777</v>
      </c>
      <c r="V5696">
        <v>-3.8966250000000001E-2</v>
      </c>
      <c r="W5696">
        <v>2.308528E-2</v>
      </c>
      <c r="X5696">
        <v>0.99897380000000002</v>
      </c>
      <c r="Y5696">
        <v>-0.1219779</v>
      </c>
      <c r="Z5696">
        <v>0.11000890000000001</v>
      </c>
      <c r="AA5696">
        <v>0.98641749999999995</v>
      </c>
      <c r="AB5696">
        <v>29</v>
      </c>
      <c r="AC5696">
        <v>0.86509999999998399</v>
      </c>
      <c r="AD5696">
        <v>-1.1103222616191999</v>
      </c>
      <c r="AE5696">
        <v>-9.6309599999999893</v>
      </c>
      <c r="AF5696">
        <v>-1.2093326524541499</v>
      </c>
      <c r="AG5696">
        <v>-1.1103222616191999</v>
      </c>
      <c r="AH5696">
        <v>9.4669737220443899</v>
      </c>
      <c r="AI5696">
        <v>96.635868039892898</v>
      </c>
      <c r="AJ5696">
        <v>97.279666673650397</v>
      </c>
      <c r="AK5696">
        <v>9.6082720841375995</v>
      </c>
      <c r="AL5696">
        <v>88.677193343619805</v>
      </c>
      <c r="AM5696">
        <v>92.233762694758298</v>
      </c>
      <c r="AN5696">
        <v>0.99999997593908996</v>
      </c>
    </row>
    <row r="5697" spans="1:40" x14ac:dyDescent="0.3">
      <c r="A5697" t="str">
        <f>"20200111160615961"</f>
        <v>20200111160615961</v>
      </c>
      <c r="B5697" t="str">
        <f>"1578729975957601"</f>
        <v>1578729975957601</v>
      </c>
      <c r="C5697" t="s">
        <v>40</v>
      </c>
      <c r="D5697">
        <v>4.8185180000000001</v>
      </c>
      <c r="E5697">
        <v>0.47307179999999999</v>
      </c>
      <c r="F5697" t="s">
        <v>67</v>
      </c>
      <c r="G5697">
        <v>-300.83730000000003</v>
      </c>
      <c r="H5697" s="1">
        <v>-2.7642939999999999E-7</v>
      </c>
      <c r="I5697">
        <v>-40.498809999999999</v>
      </c>
      <c r="J5697">
        <v>-301.63060000000002</v>
      </c>
      <c r="K5697">
        <v>1.110395</v>
      </c>
      <c r="L5697">
        <v>-31.199680000000001</v>
      </c>
      <c r="M5697">
        <v>-3.7659350000000001E-2</v>
      </c>
      <c r="N5697">
        <v>0</v>
      </c>
      <c r="O5697">
        <v>-0.99917639999999996</v>
      </c>
      <c r="P5697">
        <v>4.7940559999999997E-3</v>
      </c>
      <c r="Q5697">
        <v>8.0613560000000004E-3</v>
      </c>
      <c r="R5697">
        <v>-0.99995590000000001</v>
      </c>
      <c r="S5697">
        <v>0.24407960000000001</v>
      </c>
      <c r="T5697">
        <v>-0.34685250000000001</v>
      </c>
      <c r="U5697">
        <v>-3.0025019999999998</v>
      </c>
      <c r="V5697">
        <v>-4.2440869999999999E-2</v>
      </c>
      <c r="W5697">
        <v>2.3182049999999999E-2</v>
      </c>
      <c r="X5697">
        <v>0.99883</v>
      </c>
      <c r="Y5697">
        <v>-0.1179772</v>
      </c>
      <c r="Z5697">
        <v>0.1140491</v>
      </c>
      <c r="AA5697">
        <v>0.98644520000000002</v>
      </c>
      <c r="AB5697">
        <v>29</v>
      </c>
      <c r="AC5697">
        <v>0.79329999999998702</v>
      </c>
      <c r="AD5697">
        <v>-1.1103952764293901</v>
      </c>
      <c r="AE5697">
        <v>-9.2991299999999999</v>
      </c>
      <c r="AF5697">
        <v>-1.1270228733355301</v>
      </c>
      <c r="AG5697">
        <v>-1.1103952764293901</v>
      </c>
      <c r="AH5697">
        <v>9.1333672048235002</v>
      </c>
      <c r="AI5697">
        <v>96.880078191629494</v>
      </c>
      <c r="AJ5697">
        <v>97.034521711662407</v>
      </c>
      <c r="AK5697">
        <v>9.2693880448001398</v>
      </c>
      <c r="AL5697">
        <v>88.671647381170104</v>
      </c>
      <c r="AM5697">
        <v>92.433067575197299</v>
      </c>
      <c r="AN5697">
        <v>1.0000000018942701</v>
      </c>
    </row>
    <row r="5698" spans="1:40" x14ac:dyDescent="0.3">
      <c r="A5698" t="str">
        <f>"20200111160615983"</f>
        <v>20200111160615983</v>
      </c>
      <c r="B5698" t="str">
        <f>"1578729975977629"</f>
        <v>1578729975977629</v>
      </c>
      <c r="C5698" t="s">
        <v>40</v>
      </c>
      <c r="D5698">
        <v>4.8054940000000004</v>
      </c>
      <c r="E5698">
        <v>0.47385630000000001</v>
      </c>
      <c r="F5698" t="s">
        <v>67</v>
      </c>
      <c r="G5698">
        <v>-300.89420000000001</v>
      </c>
      <c r="H5698" s="1">
        <v>-3.1278480000000002E-7</v>
      </c>
      <c r="I5698">
        <v>-40.554360000000003</v>
      </c>
      <c r="J5698">
        <v>-301.642</v>
      </c>
      <c r="K5698">
        <v>1.11043799999999</v>
      </c>
      <c r="L5698">
        <v>-31.497409999999999</v>
      </c>
      <c r="M5698">
        <v>-3.7813779999999998E-2</v>
      </c>
      <c r="N5698">
        <v>0</v>
      </c>
      <c r="O5698">
        <v>-0.99916990000000006</v>
      </c>
      <c r="P5698">
        <v>8.9734269999999904E-3</v>
      </c>
      <c r="Q5698">
        <v>7.475621E-3</v>
      </c>
      <c r="R5698">
        <v>-0.99993180000000004</v>
      </c>
      <c r="S5698">
        <v>0.2362976</v>
      </c>
      <c r="T5698">
        <v>-0.3563192</v>
      </c>
      <c r="U5698">
        <v>-3.001862</v>
      </c>
      <c r="V5698">
        <v>-4.677282E-2</v>
      </c>
      <c r="W5698">
        <v>2.2620479999999998E-2</v>
      </c>
      <c r="X5698">
        <v>0.99864940000000002</v>
      </c>
      <c r="Y5698">
        <v>-0.11557779999999999</v>
      </c>
      <c r="Z5698">
        <v>0.1171714</v>
      </c>
      <c r="AA5698">
        <v>0.9863634</v>
      </c>
      <c r="AB5698">
        <v>29</v>
      </c>
      <c r="AC5698">
        <v>0.74779999999998303</v>
      </c>
      <c r="AD5698">
        <v>-1.1104383127848001</v>
      </c>
      <c r="AE5698">
        <v>-9.0569499999999898</v>
      </c>
      <c r="AF5698">
        <v>-1.0737502693622401</v>
      </c>
      <c r="AG5698">
        <v>-1.1104383127848001</v>
      </c>
      <c r="AH5698">
        <v>8.8894664550656106</v>
      </c>
      <c r="AI5698">
        <v>97.069429236179303</v>
      </c>
      <c r="AJ5698">
        <v>96.887337096463398</v>
      </c>
      <c r="AK5698">
        <v>9.0226729267547192</v>
      </c>
      <c r="AL5698">
        <v>88.703831415321403</v>
      </c>
      <c r="AM5698">
        <v>92.681549910094404</v>
      </c>
      <c r="AN5698">
        <v>1.0000000034632699</v>
      </c>
    </row>
    <row r="5699" spans="1:40" x14ac:dyDescent="0.3">
      <c r="A5699" t="str">
        <f>"20200111160616008"</f>
        <v>20200111160616008</v>
      </c>
      <c r="B5699" t="str">
        <f>"1578729975998126"</f>
        <v>1578729975998126</v>
      </c>
      <c r="C5699" t="s">
        <v>40</v>
      </c>
      <c r="D5699">
        <v>4.7863049999999996</v>
      </c>
      <c r="E5699">
        <v>0.47448119999999999</v>
      </c>
      <c r="F5699" t="s">
        <v>67</v>
      </c>
      <c r="G5699">
        <v>-300.89850000000001</v>
      </c>
      <c r="H5699" s="1">
        <v>-3.778278E-7</v>
      </c>
      <c r="I5699">
        <v>-40.721649999999997</v>
      </c>
      <c r="J5699">
        <v>-301.65440000000001</v>
      </c>
      <c r="K5699">
        <v>1.110463</v>
      </c>
      <c r="L5699">
        <v>-31.823029999999999</v>
      </c>
      <c r="M5699">
        <v>-3.7958899999999997E-2</v>
      </c>
      <c r="N5699">
        <v>0</v>
      </c>
      <c r="O5699">
        <v>-0.99916450000000001</v>
      </c>
      <c r="P5699">
        <v>1.3748990000000001E-2</v>
      </c>
      <c r="Q5699">
        <v>5.2672769999999999E-3</v>
      </c>
      <c r="R5699">
        <v>-0.99989170000000005</v>
      </c>
      <c r="S5699">
        <v>0.24185180000000001</v>
      </c>
      <c r="T5699">
        <v>-0.36123569999999999</v>
      </c>
      <c r="U5699">
        <v>-3.0007320000000002</v>
      </c>
      <c r="V5699">
        <v>-5.1690399999999997E-2</v>
      </c>
      <c r="W5699">
        <v>2.0434210000000001E-2</v>
      </c>
      <c r="X5699">
        <v>0.99845410000000001</v>
      </c>
      <c r="Y5699">
        <v>-0.1175496</v>
      </c>
      <c r="Z5699">
        <v>0.1187858</v>
      </c>
      <c r="AA5699">
        <v>0.98593710000000001</v>
      </c>
      <c r="AB5699">
        <v>29</v>
      </c>
      <c r="AC5699">
        <v>0.75589999999999602</v>
      </c>
      <c r="AD5699">
        <v>-1.1104633778277999</v>
      </c>
      <c r="AE5699">
        <v>-8.8986199999999904</v>
      </c>
      <c r="AF5699">
        <v>-1.0765313120070501</v>
      </c>
      <c r="AG5699">
        <v>-1.1104633778277999</v>
      </c>
      <c r="AH5699">
        <v>8.7285557291794191</v>
      </c>
      <c r="AI5699">
        <v>97.196379630972601</v>
      </c>
      <c r="AJ5699">
        <v>97.0310343283859</v>
      </c>
      <c r="AK5699">
        <v>8.8645210641421102</v>
      </c>
      <c r="AL5699">
        <v>88.8291245410215</v>
      </c>
      <c r="AM5699">
        <v>92.963581500102407</v>
      </c>
      <c r="AN5699">
        <v>1.00000002209864</v>
      </c>
    </row>
    <row r="5700" spans="1:40" x14ac:dyDescent="0.3">
      <c r="A5700" t="str">
        <f>"20200111160616045"</f>
        <v>20200111160616045</v>
      </c>
      <c r="B5700" t="str">
        <f>"1578729976038140"</f>
        <v>1578729976038140</v>
      </c>
      <c r="C5700" t="s">
        <v>40</v>
      </c>
      <c r="D5700">
        <v>4.8369339999999896</v>
      </c>
      <c r="E5700">
        <v>0.4752499</v>
      </c>
      <c r="F5700" t="s">
        <v>67</v>
      </c>
      <c r="G5700">
        <v>-300.90559999999999</v>
      </c>
      <c r="H5700" s="1">
        <v>-4.1004640000000001E-7</v>
      </c>
      <c r="I5700">
        <v>-40.801049999999996</v>
      </c>
      <c r="J5700">
        <v>-301.6728</v>
      </c>
      <c r="K5700">
        <v>1.1104700000000001</v>
      </c>
      <c r="L5700">
        <v>-32.301569999999998</v>
      </c>
      <c r="M5700">
        <v>-3.8164570000000002E-2</v>
      </c>
      <c r="N5700">
        <v>0</v>
      </c>
      <c r="O5700">
        <v>-0.99915589999999999</v>
      </c>
      <c r="P5700">
        <v>2.4062340000000002E-2</v>
      </c>
      <c r="Q5700">
        <v>-1.1008189999999901E-3</v>
      </c>
      <c r="R5700">
        <v>-0.99970979999999998</v>
      </c>
      <c r="S5700">
        <v>0.25012210000000001</v>
      </c>
      <c r="T5700">
        <v>-0.3709171</v>
      </c>
      <c r="U5700">
        <v>-2.99884</v>
      </c>
      <c r="V5700">
        <v>-6.2197410000000002E-2</v>
      </c>
      <c r="W5700">
        <v>1.4088939999999999E-2</v>
      </c>
      <c r="X5700">
        <v>0.99796439999999997</v>
      </c>
      <c r="Y5700">
        <v>-0.120472</v>
      </c>
      <c r="Z5700">
        <v>0.12196129999999999</v>
      </c>
      <c r="AA5700">
        <v>0.98519639999999997</v>
      </c>
      <c r="AB5700">
        <v>29</v>
      </c>
      <c r="AC5700">
        <v>0.76720000000000199</v>
      </c>
      <c r="AD5700">
        <v>-1.11047041004639</v>
      </c>
      <c r="AE5700">
        <v>-8.4994799999999895</v>
      </c>
      <c r="AF5700">
        <v>-1.07289133965026</v>
      </c>
      <c r="AG5700">
        <v>-1.11047041004639</v>
      </c>
      <c r="AH5700">
        <v>8.3230778440391298</v>
      </c>
      <c r="AI5700">
        <v>97.537915046709202</v>
      </c>
      <c r="AJ5700">
        <v>97.345241092702594</v>
      </c>
      <c r="AK5700">
        <v>8.4650968781355491</v>
      </c>
      <c r="AL5700">
        <v>89.192736475691106</v>
      </c>
      <c r="AM5700">
        <v>93.566305271998004</v>
      </c>
      <c r="AN5700">
        <v>0.99999997985419498</v>
      </c>
    </row>
    <row r="5701" spans="1:40" x14ac:dyDescent="0.3">
      <c r="A5701" t="str">
        <f>"20200111160616070"</f>
        <v>20200111160616070</v>
      </c>
      <c r="B5701" t="str">
        <f>"1578729976067801"</f>
        <v>1578729976067801</v>
      </c>
      <c r="C5701" t="s">
        <v>40</v>
      </c>
      <c r="D5701">
        <v>4.8832300000000002</v>
      </c>
      <c r="E5701">
        <v>0.47612470000000001</v>
      </c>
      <c r="F5701" t="s">
        <v>67</v>
      </c>
      <c r="G5701">
        <v>-300.89830000000001</v>
      </c>
      <c r="H5701" s="1">
        <v>-3.9877480000000001E-7</v>
      </c>
      <c r="I5701">
        <v>-40.77664</v>
      </c>
      <c r="J5701">
        <v>-301.68520000000001</v>
      </c>
      <c r="K5701">
        <v>1.1104719999999999</v>
      </c>
      <c r="L5701">
        <v>-32.622860000000003</v>
      </c>
      <c r="M5701">
        <v>-3.8308700000000001E-2</v>
      </c>
      <c r="N5701">
        <v>0</v>
      </c>
      <c r="O5701">
        <v>-0.99915039999999999</v>
      </c>
      <c r="P5701">
        <v>2.9375499999999999E-2</v>
      </c>
      <c r="Q5701">
        <v>-3.9237409999999997E-3</v>
      </c>
      <c r="R5701">
        <v>-0.99956109999999998</v>
      </c>
      <c r="S5701">
        <v>0.2735901</v>
      </c>
      <c r="T5701">
        <v>-0.39228020000000002</v>
      </c>
      <c r="U5701">
        <v>-2.9938660000000001</v>
      </c>
      <c r="V5701">
        <v>-6.7646579999999998E-2</v>
      </c>
      <c r="W5701">
        <v>1.1276309999999999E-2</v>
      </c>
      <c r="X5701">
        <v>0.99764560000000002</v>
      </c>
      <c r="Y5701">
        <v>-0.12832969999999999</v>
      </c>
      <c r="Z5701">
        <v>0.12897249999999999</v>
      </c>
      <c r="AA5701">
        <v>0.98330949999999995</v>
      </c>
      <c r="AB5701">
        <v>29</v>
      </c>
      <c r="AC5701">
        <v>0.78690000000000204</v>
      </c>
      <c r="AD5701">
        <v>-1.1104723987748</v>
      </c>
      <c r="AE5701">
        <v>-8.1537799999999994</v>
      </c>
      <c r="AF5701">
        <v>-1.07889236969149</v>
      </c>
      <c r="AG5701">
        <v>-1.1104723987748</v>
      </c>
      <c r="AH5701">
        <v>7.9711598367883498</v>
      </c>
      <c r="AI5701">
        <v>97.860141802049895</v>
      </c>
      <c r="AJ5701">
        <v>97.708112403687693</v>
      </c>
      <c r="AK5701">
        <v>8.1201321933480095</v>
      </c>
      <c r="AL5701">
        <v>89.353901322042006</v>
      </c>
      <c r="AM5701">
        <v>93.879072755489204</v>
      </c>
      <c r="AN5701">
        <v>0.99999997907613603</v>
      </c>
    </row>
    <row r="5702" spans="1:40" x14ac:dyDescent="0.3">
      <c r="A5702" t="str">
        <f>"20200111160616093"</f>
        <v>20200111160616093</v>
      </c>
      <c r="B5702" t="str">
        <f>"1578729976088299"</f>
        <v>1578729976088299</v>
      </c>
      <c r="C5702" t="s">
        <v>40</v>
      </c>
      <c r="D5702">
        <v>4.809882</v>
      </c>
      <c r="E5702">
        <v>0.4768849</v>
      </c>
      <c r="F5702" t="s">
        <v>67</v>
      </c>
      <c r="G5702">
        <v>-300.90370000000001</v>
      </c>
      <c r="H5702" s="1">
        <v>-4.690626E-7</v>
      </c>
      <c r="I5702">
        <v>-40.916890000000002</v>
      </c>
      <c r="J5702">
        <v>-301.69670000000002</v>
      </c>
      <c r="K5702">
        <v>1.1104799999999999</v>
      </c>
      <c r="L5702">
        <v>-32.919709999999903</v>
      </c>
      <c r="M5702">
        <v>-3.8435039999999997E-2</v>
      </c>
      <c r="N5702">
        <v>0</v>
      </c>
      <c r="O5702">
        <v>-0.99914539999999996</v>
      </c>
      <c r="P5702">
        <v>3.4440980000000003E-2</v>
      </c>
      <c r="Q5702">
        <v>-6.7294750000000004E-3</v>
      </c>
      <c r="R5702">
        <v>-0.99938419999999895</v>
      </c>
      <c r="S5702">
        <v>0.2818909</v>
      </c>
      <c r="T5702">
        <v>-0.4005204</v>
      </c>
      <c r="U5702">
        <v>-2.9914550000000002</v>
      </c>
      <c r="V5702">
        <v>-7.2829149999999995E-2</v>
      </c>
      <c r="W5702">
        <v>8.4750280000000008E-3</v>
      </c>
      <c r="X5702">
        <v>0.99730839999999998</v>
      </c>
      <c r="Y5702">
        <v>-0.131197799999999</v>
      </c>
      <c r="Z5702">
        <v>0.13169610000000001</v>
      </c>
      <c r="AA5702">
        <v>0.98256980000000005</v>
      </c>
      <c r="AB5702">
        <v>29</v>
      </c>
      <c r="AC5702">
        <v>0.79300000000000603</v>
      </c>
      <c r="AD5702">
        <v>-1.1104804690626</v>
      </c>
      <c r="AE5702">
        <v>-7.9971800000000002</v>
      </c>
      <c r="AF5702">
        <v>-1.07921478107521</v>
      </c>
      <c r="AG5702">
        <v>-1.1104804690626</v>
      </c>
      <c r="AH5702">
        <v>7.8116311232422699</v>
      </c>
      <c r="AI5702">
        <v>98.015671409322906</v>
      </c>
      <c r="AJ5702">
        <v>97.865897585498203</v>
      </c>
      <c r="AK5702">
        <v>7.9636331043982702</v>
      </c>
      <c r="AL5702">
        <v>89.514410840523198</v>
      </c>
      <c r="AM5702">
        <v>94.176650927463996</v>
      </c>
      <c r="AN5702">
        <v>0.999999977949941</v>
      </c>
    </row>
    <row r="5703" spans="1:40" x14ac:dyDescent="0.3">
      <c r="A5703" t="str">
        <f>"20200111160616116"</f>
        <v>20200111160616116</v>
      </c>
      <c r="B5703" t="str">
        <f>"1578729976107818"</f>
        <v>1578729976107818</v>
      </c>
      <c r="C5703" t="s">
        <v>40</v>
      </c>
      <c r="D5703">
        <v>4.7718790000000002</v>
      </c>
      <c r="E5703">
        <v>0.47743679999999999</v>
      </c>
      <c r="F5703" t="s">
        <v>67</v>
      </c>
      <c r="G5703">
        <v>-300.90800000000002</v>
      </c>
      <c r="H5703" s="1">
        <v>-5.431647E-7</v>
      </c>
      <c r="I5703">
        <v>-41.032519999999998</v>
      </c>
      <c r="J5703">
        <v>-301.7081</v>
      </c>
      <c r="K5703">
        <v>1.1105039999999999</v>
      </c>
      <c r="L5703">
        <v>-33.214080000000003</v>
      </c>
      <c r="M5703">
        <v>-3.8519409999999997E-2</v>
      </c>
      <c r="N5703">
        <v>0</v>
      </c>
      <c r="O5703">
        <v>-0.99914179999999997</v>
      </c>
      <c r="P5703">
        <v>3.8699650000000002E-2</v>
      </c>
      <c r="Q5703">
        <v>-9.2070699999999995E-3</v>
      </c>
      <c r="R5703">
        <v>-0.9992086</v>
      </c>
      <c r="S5703">
        <v>0.29058840000000002</v>
      </c>
      <c r="T5703">
        <v>-0.4091439</v>
      </c>
      <c r="U5703">
        <v>-2.9890750000000001</v>
      </c>
      <c r="V5703">
        <v>-7.7163090000000004E-2</v>
      </c>
      <c r="W5703">
        <v>5.9964939999999998E-3</v>
      </c>
      <c r="X5703">
        <v>0.99700049999999996</v>
      </c>
      <c r="Y5703">
        <v>-0.13414989999999999</v>
      </c>
      <c r="Z5703">
        <v>0.1345392</v>
      </c>
      <c r="AA5703">
        <v>0.98178560000000004</v>
      </c>
      <c r="AB5703">
        <v>29</v>
      </c>
      <c r="AC5703">
        <v>0.80009999999998604</v>
      </c>
      <c r="AD5703">
        <v>-1.1105045431647</v>
      </c>
      <c r="AE5703">
        <v>-7.8184399999999998</v>
      </c>
      <c r="AF5703">
        <v>-1.07915699381009</v>
      </c>
      <c r="AG5703">
        <v>-1.1105045431647</v>
      </c>
      <c r="AH5703">
        <v>7.6294881888120996</v>
      </c>
      <c r="AI5703">
        <v>98.200983013652007</v>
      </c>
      <c r="AJ5703">
        <v>98.050824818401694</v>
      </c>
      <c r="AK5703">
        <v>7.7850427218418004</v>
      </c>
      <c r="AL5703">
        <v>89.656424159588894</v>
      </c>
      <c r="AM5703">
        <v>94.425598028452796</v>
      </c>
      <c r="AN5703">
        <v>1.00000004869944</v>
      </c>
    </row>
    <row r="5704" spans="1:40" x14ac:dyDescent="0.3">
      <c r="A5704" t="str">
        <f>"20200111160616141"</f>
        <v>20200111160616141</v>
      </c>
      <c r="B5704" t="str">
        <f>"1578729976138074"</f>
        <v>1578729976138074</v>
      </c>
      <c r="C5704" t="s">
        <v>40</v>
      </c>
      <c r="D5704">
        <v>4.7382379999999999</v>
      </c>
      <c r="E5704">
        <v>0.47839589999999999</v>
      </c>
      <c r="F5704" t="s">
        <v>67</v>
      </c>
      <c r="G5704">
        <v>-300.91500000000002</v>
      </c>
      <c r="H5704" s="1">
        <v>-6.2735850000000004E-7</v>
      </c>
      <c r="I5704">
        <v>-41.163449999999997</v>
      </c>
      <c r="J5704">
        <v>-301.7208</v>
      </c>
      <c r="K5704">
        <v>1.1105659999999999</v>
      </c>
      <c r="L5704">
        <v>-33.542110000000001</v>
      </c>
      <c r="M5704">
        <v>-3.8511530000000002E-2</v>
      </c>
      <c r="N5704">
        <v>0</v>
      </c>
      <c r="O5704">
        <v>-0.99914230000000004</v>
      </c>
      <c r="P5704">
        <v>4.2760609999999998E-2</v>
      </c>
      <c r="Q5704">
        <v>-1.1123829999999999E-2</v>
      </c>
      <c r="R5704">
        <v>-0.99902389999999996</v>
      </c>
      <c r="S5704">
        <v>0.2980042</v>
      </c>
      <c r="T5704">
        <v>-0.41727570000000003</v>
      </c>
      <c r="U5704">
        <v>-2.9870000000000001</v>
      </c>
      <c r="V5704">
        <v>-8.1207020000000005E-2</v>
      </c>
      <c r="W5704">
        <v>4.0686659999999899E-3</v>
      </c>
      <c r="X5704">
        <v>0.99668900000000005</v>
      </c>
      <c r="Y5704">
        <v>-0.13658480000000001</v>
      </c>
      <c r="Z5704">
        <v>0.13721649999999999</v>
      </c>
      <c r="AA5704">
        <v>0.98107909999999998</v>
      </c>
      <c r="AB5704">
        <v>29</v>
      </c>
      <c r="AC5704">
        <v>0.80579999999997598</v>
      </c>
      <c r="AD5704">
        <v>-1.1105666273585</v>
      </c>
      <c r="AE5704">
        <v>-7.6213399999999902</v>
      </c>
      <c r="AF5704">
        <v>-1.07614750788555</v>
      </c>
      <c r="AG5704">
        <v>-1.1105666273585</v>
      </c>
      <c r="AH5704">
        <v>7.4286543360542598</v>
      </c>
      <c r="AI5704">
        <v>98.416044189912697</v>
      </c>
      <c r="AJ5704">
        <v>98.242777418383696</v>
      </c>
      <c r="AK5704">
        <v>7.5879086009985999</v>
      </c>
      <c r="AL5704">
        <v>89.766881978064404</v>
      </c>
      <c r="AM5704">
        <v>94.657987060463597</v>
      </c>
      <c r="AN5704">
        <v>1.0000000484306399</v>
      </c>
    </row>
    <row r="5705" spans="1:40" x14ac:dyDescent="0.3">
      <c r="A5705" t="str">
        <f>"20200111160616179"</f>
        <v>20200111160616179</v>
      </c>
      <c r="B5705" t="str">
        <f>"1578729976168330"</f>
        <v>1578729976168330</v>
      </c>
      <c r="C5705" t="s">
        <v>40</v>
      </c>
      <c r="D5705">
        <v>4.7418389999999997</v>
      </c>
      <c r="E5705">
        <v>0.47899370000000002</v>
      </c>
      <c r="F5705" t="s">
        <v>67</v>
      </c>
      <c r="G5705">
        <v>-300.92880000000002</v>
      </c>
      <c r="H5705" s="1">
        <v>-7.6263970000000003E-7</v>
      </c>
      <c r="I5705">
        <v>-41.373269999999998</v>
      </c>
      <c r="J5705">
        <v>-301.73849999999999</v>
      </c>
      <c r="K5705">
        <v>1.110784</v>
      </c>
      <c r="L5705">
        <v>-34.011690000000002</v>
      </c>
      <c r="M5705">
        <v>-3.8035390000000002E-2</v>
      </c>
      <c r="N5705">
        <v>0</v>
      </c>
      <c r="O5705">
        <v>-0.99916050000000001</v>
      </c>
      <c r="P5705">
        <v>4.8948520000000002E-2</v>
      </c>
      <c r="Q5705">
        <v>-1.318156E-2</v>
      </c>
      <c r="R5705">
        <v>-0.99871460000000001</v>
      </c>
      <c r="S5705">
        <v>0.30194090000000001</v>
      </c>
      <c r="T5705">
        <v>-0.4233556</v>
      </c>
      <c r="U5705">
        <v>-2.9852910000000001</v>
      </c>
      <c r="V5705">
        <v>-8.6905040000000003E-2</v>
      </c>
      <c r="W5705">
        <v>1.960102E-3</v>
      </c>
      <c r="X5705">
        <v>0.99621470000000001</v>
      </c>
      <c r="Y5705">
        <v>-0.1374206</v>
      </c>
      <c r="Z5705">
        <v>0.13924139999999999</v>
      </c>
      <c r="AA5705">
        <v>0.98067700000000002</v>
      </c>
      <c r="AB5705">
        <v>29</v>
      </c>
      <c r="AC5705">
        <v>0.809699999999963</v>
      </c>
      <c r="AD5705">
        <v>-1.1107847626397001</v>
      </c>
      <c r="AE5705">
        <v>-7.3615799999999902</v>
      </c>
      <c r="AF5705">
        <v>-1.06518510514931</v>
      </c>
      <c r="AG5705">
        <v>-1.1107847626397001</v>
      </c>
      <c r="AH5705">
        <v>7.1642869717493101</v>
      </c>
      <c r="AI5705">
        <v>98.71888917311</v>
      </c>
      <c r="AJ5705">
        <v>98.456776670989498</v>
      </c>
      <c r="AK5705">
        <v>7.32771928438319</v>
      </c>
      <c r="AL5705">
        <v>89.887694359242801</v>
      </c>
      <c r="AM5705">
        <v>94.985590540720906</v>
      </c>
      <c r="AN5705">
        <v>1.0000000282366699</v>
      </c>
    </row>
    <row r="5706" spans="1:40" x14ac:dyDescent="0.3">
      <c r="A5706" t="str">
        <f>"20200111160616273"</f>
        <v>20200111160616273</v>
      </c>
      <c r="B5706" t="str">
        <f>"1578729976267883"</f>
        <v>1578729976267883</v>
      </c>
      <c r="C5706" t="s">
        <v>40</v>
      </c>
      <c r="D5706">
        <v>4.7091519999999996</v>
      </c>
      <c r="E5706">
        <v>0.4794137</v>
      </c>
      <c r="F5706" t="s">
        <v>67</v>
      </c>
      <c r="G5706">
        <v>-300.92</v>
      </c>
      <c r="H5706" s="1">
        <v>-9.9048909999999994E-7</v>
      </c>
      <c r="I5706">
        <v>-41.733640000000001</v>
      </c>
      <c r="J5706">
        <v>-301.77710000000002</v>
      </c>
      <c r="K5706">
        <v>1.1118699999999999</v>
      </c>
      <c r="L5706">
        <v>-35.21313</v>
      </c>
      <c r="M5706">
        <v>-3.2906419999999999E-2</v>
      </c>
      <c r="N5706">
        <v>0</v>
      </c>
      <c r="O5706">
        <v>-0.99934199999999995</v>
      </c>
      <c r="P5706">
        <v>6.2908759999999994E-2</v>
      </c>
      <c r="Q5706">
        <v>-2.12788E-2</v>
      </c>
      <c r="R5706">
        <v>-0.99779249999999997</v>
      </c>
      <c r="S5706">
        <v>0.31613160000000001</v>
      </c>
      <c r="T5706">
        <v>-0.42905369999999998</v>
      </c>
      <c r="U5706">
        <v>-2.9826969999999999</v>
      </c>
      <c r="V5706">
        <v>-9.5692630000000001E-2</v>
      </c>
      <c r="W5706">
        <v>-6.3902869999999997E-3</v>
      </c>
      <c r="X5706">
        <v>0.99539040000000001</v>
      </c>
      <c r="Y5706">
        <v>-0.13700979999999999</v>
      </c>
      <c r="Z5706">
        <v>0.14120659999999999</v>
      </c>
      <c r="AA5706">
        <v>0.98045349999999998</v>
      </c>
      <c r="AB5706">
        <v>28</v>
      </c>
      <c r="AC5706">
        <v>0.85710000000000197</v>
      </c>
      <c r="AD5706">
        <v>-1.1118709904891</v>
      </c>
      <c r="AE5706">
        <v>-6.5205099999999998</v>
      </c>
      <c r="AF5706">
        <v>-1.0414594275028799</v>
      </c>
      <c r="AG5706">
        <v>-1.1118709904891</v>
      </c>
      <c r="AH5706">
        <v>6.3084567080247798</v>
      </c>
      <c r="AI5706">
        <v>99.864918113119501</v>
      </c>
      <c r="AJ5706">
        <v>99.374372347318598</v>
      </c>
      <c r="AK5706">
        <v>6.4898012970851902</v>
      </c>
      <c r="AL5706">
        <v>90.366138973594602</v>
      </c>
      <c r="AM5706">
        <v>95.491298780467005</v>
      </c>
      <c r="AN5706">
        <v>0.99999998180820904</v>
      </c>
    </row>
    <row r="5707" spans="1:40" x14ac:dyDescent="0.3">
      <c r="A5707" t="str">
        <f>"20200111160616296"</f>
        <v>20200111160616296</v>
      </c>
      <c r="B5707" t="str">
        <f>"1578729976288378"</f>
        <v>1578729976288378</v>
      </c>
      <c r="C5707" t="s">
        <v>40</v>
      </c>
      <c r="D5707">
        <v>4.7801839999999904</v>
      </c>
      <c r="E5707">
        <v>0.33585799999999999</v>
      </c>
      <c r="F5707" t="s">
        <v>67</v>
      </c>
      <c r="G5707">
        <v>-300.91030000000001</v>
      </c>
      <c r="H5707" s="1">
        <v>-1.4752279999999901E-6</v>
      </c>
      <c r="I5707">
        <v>-42.498390000000001</v>
      </c>
      <c r="J5707">
        <v>-301.78429999999997</v>
      </c>
      <c r="K5707">
        <v>1.112201</v>
      </c>
      <c r="L5707">
        <v>-35.507199999999997</v>
      </c>
      <c r="M5707">
        <v>-3.0516939999999999E-2</v>
      </c>
      <c r="N5707">
        <v>0</v>
      </c>
      <c r="O5707">
        <v>-0.99941769999999996</v>
      </c>
      <c r="P5707">
        <v>6.998559E-2</v>
      </c>
      <c r="Q5707">
        <v>-2.3901809999999999E-2</v>
      </c>
      <c r="R5707">
        <v>-0.99726179999999998</v>
      </c>
      <c r="S5707">
        <v>0.3539429</v>
      </c>
      <c r="T5707">
        <v>-0.45398769999999999</v>
      </c>
      <c r="U5707">
        <v>-2.97464</v>
      </c>
      <c r="V5707">
        <v>-0.10035470000000001</v>
      </c>
      <c r="W5707">
        <v>-9.1092599999999992E-3</v>
      </c>
      <c r="X5707">
        <v>0.99490999999999996</v>
      </c>
      <c r="Y5707">
        <v>-0.14707590000000001</v>
      </c>
      <c r="Z5707">
        <v>0.14943029999999999</v>
      </c>
      <c r="AA5707">
        <v>0.97777259999999999</v>
      </c>
      <c r="AB5707">
        <v>28</v>
      </c>
      <c r="AC5707">
        <v>0.87399999999996603</v>
      </c>
      <c r="AD5707">
        <v>-1.112202475228</v>
      </c>
      <c r="AE5707">
        <v>-6.9911899999999996</v>
      </c>
      <c r="AF5707">
        <v>-1.0605398324557</v>
      </c>
      <c r="AG5707">
        <v>-1.112202475228</v>
      </c>
      <c r="AH5707">
        <v>6.7920081427357699</v>
      </c>
      <c r="AI5707">
        <v>99.190313984771805</v>
      </c>
      <c r="AJ5707">
        <v>98.874800548111594</v>
      </c>
      <c r="AK5707">
        <v>6.9636997130201896</v>
      </c>
      <c r="AL5707">
        <v>90.521929383208303</v>
      </c>
      <c r="AM5707">
        <v>95.759835961173394</v>
      </c>
      <c r="AN5707">
        <v>0.99999997626491799</v>
      </c>
    </row>
    <row r="5708" spans="1:40" x14ac:dyDescent="0.3">
      <c r="A5708" t="str">
        <f>"20200111160616318"</f>
        <v>20200111160616318</v>
      </c>
      <c r="B5708" t="str">
        <f>"1578729976307898"</f>
        <v>1578729976307898</v>
      </c>
      <c r="C5708" t="s">
        <v>40</v>
      </c>
      <c r="D5708">
        <v>4.7531610000000004</v>
      </c>
      <c r="E5708">
        <v>0.335072599999999</v>
      </c>
      <c r="F5708" t="s">
        <v>42</v>
      </c>
      <c r="G5708">
        <v>-301.3501</v>
      </c>
      <c r="H5708">
        <v>1.0391269999999999</v>
      </c>
      <c r="I5708">
        <v>-36.337179999999996</v>
      </c>
      <c r="J5708">
        <v>-301.78989999999999</v>
      </c>
      <c r="K5708">
        <v>1.1125210000000001</v>
      </c>
      <c r="L5708">
        <v>-35.780819999999999</v>
      </c>
      <c r="M5708">
        <v>-2.7851029999999999E-2</v>
      </c>
      <c r="N5708">
        <v>0</v>
      </c>
      <c r="O5708">
        <v>-0.99949529999999998</v>
      </c>
      <c r="P5708">
        <v>7.8250749999999994E-2</v>
      </c>
      <c r="Q5708">
        <v>-2.5972519999999999E-2</v>
      </c>
      <c r="R5708">
        <v>-0.99659549999999997</v>
      </c>
      <c r="S5708">
        <v>1.5152589999999999</v>
      </c>
      <c r="T5708">
        <v>-0.25495790000000002</v>
      </c>
      <c r="U5708">
        <v>-2.8957820000000001</v>
      </c>
      <c r="V5708">
        <v>-0.1059274</v>
      </c>
      <c r="W5708">
        <v>-1.128469E-2</v>
      </c>
      <c r="X5708">
        <v>0.99430980000000002</v>
      </c>
      <c r="Y5708">
        <v>-0.48673899999999998</v>
      </c>
      <c r="Z5708">
        <v>7.7179929999999994E-2</v>
      </c>
      <c r="AA5708">
        <v>0.87013130000000005</v>
      </c>
      <c r="AB5708">
        <v>28</v>
      </c>
      <c r="AC5708">
        <v>0.43979999999999098</v>
      </c>
      <c r="AD5708">
        <v>-7.3393999999999696E-2</v>
      </c>
      <c r="AE5708">
        <v>-0.55635999999999797</v>
      </c>
      <c r="AF5708">
        <v>-0.45030363599832601</v>
      </c>
      <c r="AG5708">
        <v>-7.3393999999999696E-2</v>
      </c>
      <c r="AH5708">
        <v>0.53813046823863697</v>
      </c>
      <c r="AI5708">
        <v>95.971266325174497</v>
      </c>
      <c r="AJ5708">
        <v>129.92234622566599</v>
      </c>
      <c r="AK5708">
        <v>0.70551005993964999</v>
      </c>
      <c r="AL5708">
        <v>90.646578854095495</v>
      </c>
      <c r="AM5708">
        <v>96.080989517184193</v>
      </c>
      <c r="AN5708">
        <v>0.99999996833759697</v>
      </c>
    </row>
    <row r="5709" spans="1:40" x14ac:dyDescent="0.3">
      <c r="A5709" t="str">
        <f>"20200111160616364"</f>
        <v>20200111160616364</v>
      </c>
      <c r="B5709" t="str">
        <f>"1578729976357674"</f>
        <v>1578729976357674</v>
      </c>
      <c r="C5709" t="s">
        <v>40</v>
      </c>
      <c r="D5709">
        <v>4.7896049999999999</v>
      </c>
      <c r="E5709">
        <v>0.33566780000000002</v>
      </c>
      <c r="F5709" t="s">
        <v>42</v>
      </c>
      <c r="G5709">
        <v>-301.35739999999998</v>
      </c>
      <c r="H5709">
        <v>1.04294</v>
      </c>
      <c r="I5709">
        <v>-36.587829999999997</v>
      </c>
      <c r="J5709">
        <v>-301.79739999999998</v>
      </c>
      <c r="K5709">
        <v>1.113154</v>
      </c>
      <c r="L5709">
        <v>-36.345149999999997</v>
      </c>
      <c r="M5709">
        <v>-2.1048509999999999E-2</v>
      </c>
      <c r="N5709">
        <v>0</v>
      </c>
      <c r="O5709">
        <v>-0.99966140000000003</v>
      </c>
      <c r="P5709">
        <v>9.7426440000000003E-2</v>
      </c>
      <c r="Q5709">
        <v>-2.7651040000000002E-2</v>
      </c>
      <c r="R5709">
        <v>-0.99485869999999998</v>
      </c>
      <c r="S5709">
        <v>1.544556</v>
      </c>
      <c r="T5709">
        <v>-0.2485291</v>
      </c>
      <c r="U5709">
        <v>-2.8825069999999999</v>
      </c>
      <c r="V5709">
        <v>-0.1182666</v>
      </c>
      <c r="W5709">
        <v>-1.320413E-2</v>
      </c>
      <c r="X5709">
        <v>0.9928941</v>
      </c>
      <c r="Y5709">
        <v>-0.48940990000000001</v>
      </c>
      <c r="Z5709">
        <v>7.5344099999999997E-2</v>
      </c>
      <c r="AA5709">
        <v>0.86879300000000004</v>
      </c>
      <c r="AB5709">
        <v>28</v>
      </c>
      <c r="AC5709">
        <v>0.439999999999997</v>
      </c>
      <c r="AD5709">
        <v>-7.0213999999999999E-2</v>
      </c>
      <c r="AE5709">
        <v>-0.24268000000000001</v>
      </c>
      <c r="AF5709">
        <v>-0.43648858959871001</v>
      </c>
      <c r="AG5709">
        <v>-7.0213999999999999E-2</v>
      </c>
      <c r="AH5709">
        <v>0.22889456604200401</v>
      </c>
      <c r="AI5709">
        <v>98.107867880242296</v>
      </c>
      <c r="AJ5709">
        <v>152.32748853872499</v>
      </c>
      <c r="AK5709">
        <v>0.49784035293397899</v>
      </c>
      <c r="AL5709">
        <v>90.756562894633902</v>
      </c>
      <c r="AM5709">
        <v>96.792668538589993</v>
      </c>
      <c r="AN5709">
        <v>1.00000001576971</v>
      </c>
    </row>
    <row r="5710" spans="1:40" x14ac:dyDescent="0.3">
      <c r="A5710" t="str">
        <f>"20200111160616386"</f>
        <v>20200111160616386</v>
      </c>
      <c r="B5710" t="str">
        <f>"1578729976378171"</f>
        <v>1578729976378171</v>
      </c>
      <c r="C5710" t="s">
        <v>40</v>
      </c>
      <c r="D5710">
        <v>4.8408069999999999</v>
      </c>
      <c r="E5710">
        <v>0.33617039999999998</v>
      </c>
      <c r="F5710" t="s">
        <v>42</v>
      </c>
      <c r="G5710">
        <v>-301.38150000000002</v>
      </c>
      <c r="H5710">
        <v>1.0455449999999999</v>
      </c>
      <c r="I5710">
        <v>-37.08943</v>
      </c>
      <c r="J5710">
        <v>-301.79899999999998</v>
      </c>
      <c r="K5710">
        <v>1.11344</v>
      </c>
      <c r="L5710">
        <v>-36.631160000000001</v>
      </c>
      <c r="M5710">
        <v>-1.6925160000000002E-2</v>
      </c>
      <c r="N5710">
        <v>0</v>
      </c>
      <c r="O5710">
        <v>-0.99973939999999994</v>
      </c>
      <c r="P5710">
        <v>0.1079903</v>
      </c>
      <c r="Q5710">
        <v>-2.8118379999999998E-2</v>
      </c>
      <c r="R5710">
        <v>-0.99375409999999997</v>
      </c>
      <c r="S5710">
        <v>1.594177</v>
      </c>
      <c r="T5710">
        <v>-0.25908920000000002</v>
      </c>
      <c r="U5710">
        <v>-2.8521730000000001</v>
      </c>
      <c r="V5710">
        <v>-0.1247024</v>
      </c>
      <c r="W5710">
        <v>-1.380003E-2</v>
      </c>
      <c r="X5710">
        <v>0.99209820000000004</v>
      </c>
      <c r="Y5710">
        <v>-0.50108520000000001</v>
      </c>
      <c r="Z5710">
        <v>7.8674289999999994E-2</v>
      </c>
      <c r="AA5710">
        <v>0.86181439999999998</v>
      </c>
      <c r="AB5710">
        <v>28</v>
      </c>
      <c r="AC5710">
        <v>0.41750000000001802</v>
      </c>
      <c r="AD5710">
        <v>-6.7894999999999803E-2</v>
      </c>
      <c r="AE5710">
        <v>-0.45827000000000601</v>
      </c>
      <c r="AF5710">
        <v>-0.42015776777277702</v>
      </c>
      <c r="AG5710">
        <v>-6.7894999999999803E-2</v>
      </c>
      <c r="AH5710">
        <v>0.44579018929979503</v>
      </c>
      <c r="AI5710">
        <v>96.324476014499695</v>
      </c>
      <c r="AJ5710">
        <v>133.30451604477801</v>
      </c>
      <c r="AK5710">
        <v>0.61633689952878101</v>
      </c>
      <c r="AL5710">
        <v>90.790708587424106</v>
      </c>
      <c r="AM5710">
        <v>97.164255996623794</v>
      </c>
      <c r="AN5710">
        <v>0.99999998391849998</v>
      </c>
    </row>
    <row r="5711" spans="1:40" x14ac:dyDescent="0.3">
      <c r="A5711" t="str">
        <f>"20200111160616412"</f>
        <v>20200111160616412</v>
      </c>
      <c r="B5711" t="str">
        <f>"1578729976407450"</f>
        <v>1578729976407450</v>
      </c>
      <c r="C5711" t="s">
        <v>40</v>
      </c>
      <c r="D5711">
        <v>4.8358549999999996</v>
      </c>
      <c r="E5711">
        <v>0.33729490000000001</v>
      </c>
      <c r="F5711" t="s">
        <v>42</v>
      </c>
      <c r="G5711">
        <v>-301.26729999999998</v>
      </c>
      <c r="H5711">
        <v>1.028268</v>
      </c>
      <c r="I5711">
        <v>-37.561669999999999</v>
      </c>
      <c r="J5711">
        <v>-301.7987</v>
      </c>
      <c r="K5711">
        <v>1.113729</v>
      </c>
      <c r="L5711">
        <v>-36.938110000000002</v>
      </c>
      <c r="M5711">
        <v>-1.207015E-2</v>
      </c>
      <c r="N5711">
        <v>0</v>
      </c>
      <c r="O5711">
        <v>-0.99980939999999996</v>
      </c>
      <c r="P5711">
        <v>0.1191396</v>
      </c>
      <c r="Q5711">
        <v>-2.8921599999999999E-2</v>
      </c>
      <c r="R5711">
        <v>-0.99245620000000001</v>
      </c>
      <c r="S5711">
        <v>1.6203000000000001</v>
      </c>
      <c r="T5711">
        <v>-0.25954159999999998</v>
      </c>
      <c r="U5711">
        <v>-2.8354490000000001</v>
      </c>
      <c r="V5711">
        <v>-0.13100129999999999</v>
      </c>
      <c r="W5711">
        <v>-1.473524E-2</v>
      </c>
      <c r="X5711">
        <v>0.99127270000000001</v>
      </c>
      <c r="Y5711">
        <v>-0.50504229999999894</v>
      </c>
      <c r="Z5711">
        <v>7.8958440000000005E-2</v>
      </c>
      <c r="AA5711">
        <v>0.85947530000000005</v>
      </c>
      <c r="AB5711">
        <v>28</v>
      </c>
      <c r="AC5711">
        <v>0.53140000000001897</v>
      </c>
      <c r="AD5711">
        <v>-8.5461000000000203E-2</v>
      </c>
      <c r="AE5711">
        <v>-0.623560000000004</v>
      </c>
      <c r="AF5711">
        <v>-0.53308800830629999</v>
      </c>
      <c r="AG5711">
        <v>-8.5461000000000203E-2</v>
      </c>
      <c r="AH5711">
        <v>0.61045724336420504</v>
      </c>
      <c r="AI5711">
        <v>96.019474026963394</v>
      </c>
      <c r="AJ5711">
        <v>131.12941839787899</v>
      </c>
      <c r="AK5711">
        <v>0.81495058322379399</v>
      </c>
      <c r="AL5711">
        <v>90.844297603122897</v>
      </c>
      <c r="AM5711">
        <v>97.528279382428906</v>
      </c>
      <c r="AN5711">
        <v>1.0000000168324099</v>
      </c>
    </row>
    <row r="5712" spans="1:40" x14ac:dyDescent="0.3">
      <c r="A5712" t="str">
        <f>"20200111160616434"</f>
        <v>20200111160616434</v>
      </c>
      <c r="B5712" t="str">
        <f>"1578729976427946"</f>
        <v>1578729976427946</v>
      </c>
      <c r="C5712" t="s">
        <v>40</v>
      </c>
      <c r="D5712">
        <v>4.861923</v>
      </c>
      <c r="E5712">
        <v>0.33759299999999998</v>
      </c>
      <c r="F5712" t="s">
        <v>42</v>
      </c>
      <c r="G5712">
        <v>-301.28899999999999</v>
      </c>
      <c r="H5712">
        <v>1.0331360000000001</v>
      </c>
      <c r="I5712">
        <v>-37.812649999999998</v>
      </c>
      <c r="J5712">
        <v>-301.79700000000003</v>
      </c>
      <c r="K5712">
        <v>1.113955</v>
      </c>
      <c r="L5712">
        <v>-37.219700000000003</v>
      </c>
      <c r="M5712">
        <v>-7.3176329999999996E-3</v>
      </c>
      <c r="N5712">
        <v>0</v>
      </c>
      <c r="O5712">
        <v>-0.99985550000000001</v>
      </c>
      <c r="P5712">
        <v>0.12871759999999999</v>
      </c>
      <c r="Q5712">
        <v>-2.9581440000000001E-2</v>
      </c>
      <c r="R5712">
        <v>-0.99124020000000002</v>
      </c>
      <c r="S5712">
        <v>1.6431880000000001</v>
      </c>
      <c r="T5712">
        <v>-0.2597005</v>
      </c>
      <c r="U5712">
        <v>-2.8179630000000002</v>
      </c>
      <c r="V5712">
        <v>-0.13584489999999999</v>
      </c>
      <c r="W5712">
        <v>-1.55012E-2</v>
      </c>
      <c r="X5712">
        <v>0.99060879999999996</v>
      </c>
      <c r="Y5712">
        <v>-0.5084533</v>
      </c>
      <c r="Z5712">
        <v>7.9200419999999994E-2</v>
      </c>
      <c r="AA5712">
        <v>0.85743950000000002</v>
      </c>
      <c r="AB5712">
        <v>28</v>
      </c>
      <c r="AC5712">
        <v>0.50800000000003798</v>
      </c>
      <c r="AD5712">
        <v>-8.0818999999999905E-2</v>
      </c>
      <c r="AE5712">
        <v>-0.59294999999999398</v>
      </c>
      <c r="AF5712">
        <v>-0.50689512144795901</v>
      </c>
      <c r="AG5712">
        <v>-8.0818999999999905E-2</v>
      </c>
      <c r="AH5712">
        <v>0.58297049318125804</v>
      </c>
      <c r="AI5712">
        <v>95.972357067153894</v>
      </c>
      <c r="AJ5712">
        <v>131.007086531559</v>
      </c>
      <c r="AK5712">
        <v>0.77674253831545803</v>
      </c>
      <c r="AL5712">
        <v>90.888188945991402</v>
      </c>
      <c r="AM5712">
        <v>97.808423547267495</v>
      </c>
      <c r="AN5712">
        <v>0.99999995934744401</v>
      </c>
    </row>
    <row r="5713" spans="1:40" x14ac:dyDescent="0.3">
      <c r="A5713" t="str">
        <f>"20200111160616457"</f>
        <v>20200111160616457</v>
      </c>
      <c r="B5713" t="str">
        <f>"1578729976448442"</f>
        <v>1578729976448442</v>
      </c>
      <c r="C5713" t="s">
        <v>40</v>
      </c>
      <c r="D5713">
        <v>4.9001739999999998</v>
      </c>
      <c r="E5713">
        <v>0.33810869999999998</v>
      </c>
      <c r="F5713" t="s">
        <v>42</v>
      </c>
      <c r="G5713">
        <v>-301.29640000000001</v>
      </c>
      <c r="H5713">
        <v>1.0363610000000001</v>
      </c>
      <c r="I5713">
        <v>-38.060470000000002</v>
      </c>
      <c r="J5713">
        <v>-301.79360000000003</v>
      </c>
      <c r="K5713">
        <v>1.1141509999999999</v>
      </c>
      <c r="L5713">
        <v>-37.498049999999999</v>
      </c>
      <c r="M5713">
        <v>-2.350792E-3</v>
      </c>
      <c r="N5713">
        <v>0</v>
      </c>
      <c r="O5713">
        <v>-0.99987919999999997</v>
      </c>
      <c r="P5713">
        <v>0.13778750000000001</v>
      </c>
      <c r="Q5713">
        <v>-2.945687E-2</v>
      </c>
      <c r="R5713">
        <v>-0.99002389999999996</v>
      </c>
      <c r="S5713">
        <v>1.6682129999999999</v>
      </c>
      <c r="T5713">
        <v>-0.25861129999999999</v>
      </c>
      <c r="U5713">
        <v>-2.8021850000000001</v>
      </c>
      <c r="V5713">
        <v>-0.139985</v>
      </c>
      <c r="W5713">
        <v>-1.5471240000000001E-2</v>
      </c>
      <c r="X5713">
        <v>0.99003269999999999</v>
      </c>
      <c r="Y5713">
        <v>-0.51195900000000005</v>
      </c>
      <c r="Z5713">
        <v>7.9000699999999993E-2</v>
      </c>
      <c r="AA5713">
        <v>0.85536939999999995</v>
      </c>
      <c r="AB5713">
        <v>28</v>
      </c>
      <c r="AC5713">
        <v>0.49720000000002001</v>
      </c>
      <c r="AD5713">
        <v>-7.7789999999999998E-2</v>
      </c>
      <c r="AE5713">
        <v>-0.56242000000000203</v>
      </c>
      <c r="AF5713">
        <v>-0.49322452729626098</v>
      </c>
      <c r="AG5713">
        <v>-7.7789999999999998E-2</v>
      </c>
      <c r="AH5713">
        <v>0.55528666564497897</v>
      </c>
      <c r="AI5713">
        <v>95.979271630762</v>
      </c>
      <c r="AJ5713">
        <v>131.61257354240601</v>
      </c>
      <c r="AK5713">
        <v>0.74676970979662705</v>
      </c>
      <c r="AL5713">
        <v>90.886472163870806</v>
      </c>
      <c r="AM5713">
        <v>98.0479482589447</v>
      </c>
      <c r="AN5713">
        <v>0.99999995328071201</v>
      </c>
    </row>
    <row r="5714" spans="1:40" x14ac:dyDescent="0.3">
      <c r="A5714" t="str">
        <f>"20200111160616805"</f>
        <v>20200111160616805</v>
      </c>
      <c r="B5714" t="str">
        <f>"1578729976797850"</f>
        <v>1578729976797850</v>
      </c>
      <c r="C5714" t="s">
        <v>40</v>
      </c>
      <c r="D5714">
        <v>5.2400640000000003</v>
      </c>
      <c r="E5714">
        <v>0.30423060000000002</v>
      </c>
      <c r="F5714" t="s">
        <v>42</v>
      </c>
      <c r="G5714">
        <v>-300.92930000000001</v>
      </c>
      <c r="H5714">
        <v>1.03857</v>
      </c>
      <c r="I5714">
        <v>-42.107810000000001</v>
      </c>
      <c r="J5714">
        <v>-301.50869999999998</v>
      </c>
      <c r="K5714">
        <v>1.115729</v>
      </c>
      <c r="L5714">
        <v>-41.700380000000003</v>
      </c>
      <c r="M5714">
        <v>9.7546400000000005E-2</v>
      </c>
      <c r="N5714">
        <v>0</v>
      </c>
      <c r="O5714">
        <v>-0.99511059999999996</v>
      </c>
      <c r="P5714">
        <v>0.2471747</v>
      </c>
      <c r="Q5714">
        <v>-3.1525919999999999E-2</v>
      </c>
      <c r="R5714">
        <v>-0.96845829999999999</v>
      </c>
      <c r="S5714">
        <v>1.939362</v>
      </c>
      <c r="T5714">
        <v>-0.23654539999999999</v>
      </c>
      <c r="U5714">
        <v>-2.621521</v>
      </c>
      <c r="V5714">
        <v>-0.1513004</v>
      </c>
      <c r="W5714">
        <v>-1.8103600000000001E-2</v>
      </c>
      <c r="X5714">
        <v>0.98832200000000003</v>
      </c>
      <c r="Y5714">
        <v>-0.51184549999999995</v>
      </c>
      <c r="Z5714">
        <v>7.3952320000000002E-2</v>
      </c>
      <c r="AA5714">
        <v>0.8558886</v>
      </c>
      <c r="AB5714">
        <v>27</v>
      </c>
      <c r="AC5714">
        <v>0.57939999999996405</v>
      </c>
      <c r="AD5714">
        <v>-7.71590000000002E-2</v>
      </c>
      <c r="AE5714">
        <v>-0.40743000000000501</v>
      </c>
      <c r="AF5714">
        <v>-0.53059175755432697</v>
      </c>
      <c r="AG5714">
        <v>-7.71590000000002E-2</v>
      </c>
      <c r="AH5714">
        <v>0.45659343891246801</v>
      </c>
      <c r="AI5714">
        <v>96.290123916630805</v>
      </c>
      <c r="AJ5714">
        <v>139.28681176511699</v>
      </c>
      <c r="AK5714">
        <v>0.70424334780209596</v>
      </c>
      <c r="AL5714">
        <v>91.037316578836794</v>
      </c>
      <c r="AM5714">
        <v>98.7037319468634</v>
      </c>
      <c r="AN5714">
        <v>0.99999996352855902</v>
      </c>
    </row>
    <row r="5715" spans="1:40" x14ac:dyDescent="0.3">
      <c r="A5715" t="str">
        <f>"20200111160616832"</f>
        <v>20200111160616832</v>
      </c>
      <c r="B5715" t="str">
        <f>"1578729976828106"</f>
        <v>1578729976828106</v>
      </c>
      <c r="C5715" t="s">
        <v>40</v>
      </c>
      <c r="D5715">
        <v>5.2772500000000004</v>
      </c>
      <c r="E5715">
        <v>0.3050252</v>
      </c>
      <c r="F5715" t="s">
        <v>41</v>
      </c>
      <c r="G5715">
        <v>-276.40750000000003</v>
      </c>
      <c r="H5715" s="1">
        <v>-3.4700950000000001E-6</v>
      </c>
      <c r="I5715">
        <v>-69.75085</v>
      </c>
      <c r="J5715">
        <v>-301.46809999999999</v>
      </c>
      <c r="K5715">
        <v>1.1158060000000001</v>
      </c>
      <c r="L5715">
        <v>-42.013849999999998</v>
      </c>
      <c r="M5715">
        <v>0.10602399999999999</v>
      </c>
      <c r="N5715">
        <v>0</v>
      </c>
      <c r="O5715">
        <v>-0.99424279999999998</v>
      </c>
      <c r="P5715">
        <v>0.25871529999999998</v>
      </c>
      <c r="Q5715">
        <v>-3.2003509999999999E-2</v>
      </c>
      <c r="R5715">
        <v>-0.96542349999999999</v>
      </c>
      <c r="S5715">
        <v>2.2542420000000001</v>
      </c>
      <c r="T5715">
        <v>-0.1001996</v>
      </c>
      <c r="U5715">
        <v>-2.519104</v>
      </c>
      <c r="V5715">
        <v>-0.154662299999999</v>
      </c>
      <c r="W5715">
        <v>-1.8654589999999999E-2</v>
      </c>
      <c r="X5715">
        <v>0.98779119999999998</v>
      </c>
      <c r="Y5715">
        <v>-0.58376019999999995</v>
      </c>
      <c r="Z5715">
        <v>3.0473360000000001E-2</v>
      </c>
      <c r="AA5715">
        <v>0.81135409999999997</v>
      </c>
      <c r="AB5715">
        <v>27</v>
      </c>
      <c r="AC5715">
        <v>25.060599999999901</v>
      </c>
      <c r="AD5715">
        <v>-1.1158094700950001</v>
      </c>
      <c r="AE5715">
        <v>-27.736999999999998</v>
      </c>
      <c r="AF5715">
        <v>-21.9586081447471</v>
      </c>
      <c r="AG5715">
        <v>-1.1158094700950001</v>
      </c>
      <c r="AH5715">
        <v>30.211051489410401</v>
      </c>
      <c r="AI5715">
        <v>91.711251445152996</v>
      </c>
      <c r="AJ5715">
        <v>126.01116307521799</v>
      </c>
      <c r="AK5715">
        <v>37.364864973982101</v>
      </c>
      <c r="AL5715">
        <v>91.068891342747705</v>
      </c>
      <c r="AM5715">
        <v>98.898772912577599</v>
      </c>
      <c r="AN5715">
        <v>0.99999993778339702</v>
      </c>
    </row>
    <row r="5716" spans="1:40" x14ac:dyDescent="0.3">
      <c r="A5716" t="str">
        <f>"20200111160616856"</f>
        <v>20200111160616856</v>
      </c>
      <c r="B5716" t="str">
        <f>"1578729976847626"</f>
        <v>1578729976847626</v>
      </c>
      <c r="C5716" t="s">
        <v>40</v>
      </c>
      <c r="D5716">
        <v>5.2325119999999998</v>
      </c>
      <c r="E5716">
        <v>0.3055525</v>
      </c>
      <c r="F5716" t="s">
        <v>41</v>
      </c>
      <c r="G5716">
        <v>-275.03640000000001</v>
      </c>
      <c r="H5716">
        <v>7.9988169999999997E-2</v>
      </c>
      <c r="I5716">
        <v>-70.9465</v>
      </c>
      <c r="J5716">
        <v>-301.428</v>
      </c>
      <c r="K5716">
        <v>1.1158680000000001</v>
      </c>
      <c r="L5716">
        <v>-42.304690000000001</v>
      </c>
      <c r="M5716">
        <v>0.113987</v>
      </c>
      <c r="N5716">
        <v>0</v>
      </c>
      <c r="O5716">
        <v>-0.9933613</v>
      </c>
      <c r="P5716">
        <v>0.26977400000000001</v>
      </c>
      <c r="Q5716">
        <v>-2.901461E-2</v>
      </c>
      <c r="R5716">
        <v>-0.96248630000000002</v>
      </c>
      <c r="S5716">
        <v>2.2783509999999998</v>
      </c>
      <c r="T5716">
        <v>-8.9285139999999999E-2</v>
      </c>
      <c r="U5716">
        <v>-2.4939269999999998</v>
      </c>
      <c r="V5716">
        <v>-0.15810299999999999</v>
      </c>
      <c r="W5716">
        <v>-1.5732619999999999E-2</v>
      </c>
      <c r="X5716">
        <v>0.98729730000000004</v>
      </c>
      <c r="Y5716">
        <v>-0.58566560000000001</v>
      </c>
      <c r="Z5716">
        <v>2.722494E-2</v>
      </c>
      <c r="AA5716">
        <v>0.81009540000000002</v>
      </c>
      <c r="AB5716">
        <v>27</v>
      </c>
      <c r="AC5716">
        <v>26.391599999999901</v>
      </c>
      <c r="AD5716">
        <v>-1.0358798300000001</v>
      </c>
      <c r="AE5716">
        <v>-28.6418099999999</v>
      </c>
      <c r="AF5716">
        <v>-22.938131487400899</v>
      </c>
      <c r="AG5716">
        <v>-1.0358798300000001</v>
      </c>
      <c r="AH5716">
        <v>31.441503392188402</v>
      </c>
      <c r="AI5716">
        <v>91.524622926431206</v>
      </c>
      <c r="AJ5716">
        <v>126.112600129698</v>
      </c>
      <c r="AK5716">
        <v>38.933264167245099</v>
      </c>
      <c r="AL5716">
        <v>90.901449901741302</v>
      </c>
      <c r="AM5716">
        <v>99.097940094464093</v>
      </c>
      <c r="AN5716">
        <v>1.00000001626417</v>
      </c>
    </row>
    <row r="5717" spans="1:40" x14ac:dyDescent="0.3">
      <c r="A5717" t="str">
        <f>"20200111160616879"</f>
        <v>20200111160616879</v>
      </c>
      <c r="B5717" t="str">
        <f>"1578729976877882"</f>
        <v>1578729976877882</v>
      </c>
      <c r="C5717" t="s">
        <v>40</v>
      </c>
      <c r="D5717">
        <v>5.3380179999999999</v>
      </c>
      <c r="E5717">
        <v>0.30667939999999999</v>
      </c>
      <c r="F5717" t="s">
        <v>41</v>
      </c>
      <c r="G5717">
        <v>-271.46109999999999</v>
      </c>
      <c r="H5717">
        <v>7.9988030000000002E-2</v>
      </c>
      <c r="I5717">
        <v>-74.437290000000004</v>
      </c>
      <c r="J5717">
        <v>-301.38720000000001</v>
      </c>
      <c r="K5717">
        <v>1.115909</v>
      </c>
      <c r="L5717">
        <v>-42.584719999999997</v>
      </c>
      <c r="M5717">
        <v>0.1217353</v>
      </c>
      <c r="N5717">
        <v>0</v>
      </c>
      <c r="O5717">
        <v>-0.99244149999999998</v>
      </c>
      <c r="P5717">
        <v>0.28050190000000003</v>
      </c>
      <c r="Q5717">
        <v>-2.5226040000000002E-2</v>
      </c>
      <c r="R5717">
        <v>-0.95952210000000004</v>
      </c>
      <c r="S5717">
        <v>2.3027039999999999</v>
      </c>
      <c r="T5717">
        <v>-7.9598550000000004E-2</v>
      </c>
      <c r="U5717">
        <v>-2.4691160000000001</v>
      </c>
      <c r="V5717">
        <v>-0.16145199999999901</v>
      </c>
      <c r="W5717">
        <v>-1.200265E-2</v>
      </c>
      <c r="X5717">
        <v>0.98680760000000001</v>
      </c>
      <c r="Y5717">
        <v>-0.58771989999999996</v>
      </c>
      <c r="Z5717">
        <v>2.4326730000000001E-2</v>
      </c>
      <c r="AA5717">
        <v>0.80869869999999899</v>
      </c>
      <c r="AB5717">
        <v>27</v>
      </c>
      <c r="AC5717">
        <v>29.926100000000002</v>
      </c>
      <c r="AD5717">
        <v>-1.0359209700000001</v>
      </c>
      <c r="AE5717">
        <v>-31.85257</v>
      </c>
      <c r="AF5717">
        <v>-25.810924973633501</v>
      </c>
      <c r="AG5717">
        <v>-1.0359209700000001</v>
      </c>
      <c r="AH5717">
        <v>35.239315708750397</v>
      </c>
      <c r="AI5717">
        <v>91.358554816029596</v>
      </c>
      <c r="AJ5717">
        <v>126.220793591944</v>
      </c>
      <c r="AK5717">
        <v>43.693092724956102</v>
      </c>
      <c r="AL5717">
        <v>90.687717683511494</v>
      </c>
      <c r="AM5717">
        <v>99.291860563936595</v>
      </c>
      <c r="AN5717">
        <v>1.0000000256643899</v>
      </c>
    </row>
    <row r="5718" spans="1:40" x14ac:dyDescent="0.3">
      <c r="A5718" t="str">
        <f>"20200111160616905"</f>
        <v>20200111160616905</v>
      </c>
      <c r="B5718" t="str">
        <f>"1578729976898378"</f>
        <v>1578729976898378</v>
      </c>
      <c r="C5718" t="s">
        <v>40</v>
      </c>
      <c r="D5718">
        <v>5.4497519999999904</v>
      </c>
      <c r="E5718">
        <v>0.30784650000000002</v>
      </c>
      <c r="F5718" t="s">
        <v>44</v>
      </c>
      <c r="G5718">
        <v>-260.4615</v>
      </c>
      <c r="H5718">
        <v>-0.05</v>
      </c>
      <c r="I5718">
        <v>-85.708709999999996</v>
      </c>
      <c r="J5718">
        <v>-301.34379999999999</v>
      </c>
      <c r="K5718">
        <v>1.1159330000000001</v>
      </c>
      <c r="L5718">
        <v>-42.865749999999998</v>
      </c>
      <c r="M5718">
        <v>0.129582</v>
      </c>
      <c r="N5718">
        <v>0</v>
      </c>
      <c r="O5718">
        <v>-0.99144770000000004</v>
      </c>
      <c r="P5718">
        <v>0.29042089999999998</v>
      </c>
      <c r="Q5718">
        <v>-2.1316180000000001E-2</v>
      </c>
      <c r="R5718">
        <v>-0.95666180000000001</v>
      </c>
      <c r="S5718">
        <v>2.321472</v>
      </c>
      <c r="T5718">
        <v>-6.6135050000000001E-2</v>
      </c>
      <c r="U5718">
        <v>-2.446167</v>
      </c>
      <c r="V5718">
        <v>-0.16389960000000001</v>
      </c>
      <c r="W5718">
        <v>-8.1331110000000002E-3</v>
      </c>
      <c r="X5718">
        <v>0.98644350000000003</v>
      </c>
      <c r="Y5718">
        <v>-0.588427699999999</v>
      </c>
      <c r="Z5718">
        <v>2.026855E-2</v>
      </c>
      <c r="AA5718">
        <v>0.80829569999999995</v>
      </c>
      <c r="AB5718">
        <v>27</v>
      </c>
      <c r="AC5718">
        <v>40.882300000000001</v>
      </c>
      <c r="AD5718">
        <v>-1.1659329999999899</v>
      </c>
      <c r="AE5718">
        <v>-42.842959999999998</v>
      </c>
      <c r="AF5718">
        <v>-34.971627374030298</v>
      </c>
      <c r="AG5718">
        <v>-1.1659329999999899</v>
      </c>
      <c r="AH5718">
        <v>47.761383294351397</v>
      </c>
      <c r="AI5718">
        <v>91.128360401114506</v>
      </c>
      <c r="AJ5718">
        <v>126.212168121508</v>
      </c>
      <c r="AK5718">
        <v>59.207464522123097</v>
      </c>
      <c r="AL5718">
        <v>90.465998070961206</v>
      </c>
      <c r="AM5718">
        <v>99.433630804567699</v>
      </c>
      <c r="AN5718">
        <v>1.0000000025334701</v>
      </c>
    </row>
    <row r="5719" spans="1:40" x14ac:dyDescent="0.3">
      <c r="A5719" t="str">
        <f>"20200111160616938"</f>
        <v>20200111160616938</v>
      </c>
      <c r="B5719" t="str">
        <f>"1578729976927658"</f>
        <v>1578729976927658</v>
      </c>
      <c r="C5719" t="s">
        <v>40</v>
      </c>
      <c r="D5719">
        <v>5.355308</v>
      </c>
      <c r="E5719">
        <v>0.30896780000000001</v>
      </c>
      <c r="F5719" t="s">
        <v>44</v>
      </c>
      <c r="G5719">
        <v>-254.93729999999999</v>
      </c>
      <c r="H5719">
        <v>-0.05</v>
      </c>
      <c r="I5719">
        <v>-91.003770000000003</v>
      </c>
      <c r="J5719">
        <v>-301.27929999999998</v>
      </c>
      <c r="K5719">
        <v>1.115955</v>
      </c>
      <c r="L5719">
        <v>-43.25732</v>
      </c>
      <c r="M5719">
        <v>0.14062520000000001</v>
      </c>
      <c r="N5719">
        <v>0</v>
      </c>
      <c r="O5719">
        <v>-0.98994159999999998</v>
      </c>
      <c r="P5719">
        <v>0.30505019999999999</v>
      </c>
      <c r="Q5719">
        <v>-1.320637E-2</v>
      </c>
      <c r="R5719">
        <v>-0.95224450000000005</v>
      </c>
      <c r="S5719">
        <v>2.3377080000000001</v>
      </c>
      <c r="T5719">
        <v>-5.8733220000000003E-2</v>
      </c>
      <c r="U5719">
        <v>-2.4249269999999998</v>
      </c>
      <c r="V5719">
        <v>-0.16810549999999999</v>
      </c>
      <c r="W5719" s="1">
        <v>-8.9417679999999995E-5</v>
      </c>
      <c r="X5719">
        <v>0.98576900000000001</v>
      </c>
      <c r="Y5719">
        <v>-0.58577699999999999</v>
      </c>
      <c r="Z5719">
        <v>1.8054819999999999E-2</v>
      </c>
      <c r="AA5719">
        <v>0.81027109999999902</v>
      </c>
      <c r="AB5719">
        <v>27</v>
      </c>
      <c r="AC5719">
        <v>46.341999999999899</v>
      </c>
      <c r="AD5719">
        <v>-1.1659549999999901</v>
      </c>
      <c r="AE5719">
        <v>-47.746449999999903</v>
      </c>
      <c r="AF5719">
        <v>-39.154200619457001</v>
      </c>
      <c r="AG5719">
        <v>-1.1659549999999901</v>
      </c>
      <c r="AH5719">
        <v>53.772998569161899</v>
      </c>
      <c r="AI5719">
        <v>91.004207796553999</v>
      </c>
      <c r="AJ5719">
        <v>126.059811491115</v>
      </c>
      <c r="AK5719">
        <v>66.527785566106203</v>
      </c>
      <c r="AL5719">
        <v>90.005123255714096</v>
      </c>
      <c r="AM5719">
        <v>99.677687150164104</v>
      </c>
      <c r="AN5719">
        <v>0.99999999424338504</v>
      </c>
    </row>
    <row r="5720" spans="1:40" x14ac:dyDescent="0.3">
      <c r="A5720" t="str">
        <f>"20200111160617147"</f>
        <v>20200111160617147</v>
      </c>
      <c r="B5720" t="str">
        <f>"1578729977137498"</f>
        <v>1578729977137498</v>
      </c>
      <c r="C5720" t="s">
        <v>40</v>
      </c>
      <c r="D5720">
        <v>5.667319</v>
      </c>
      <c r="E5720">
        <v>0.30942530000000001</v>
      </c>
      <c r="F5720" t="s">
        <v>92</v>
      </c>
      <c r="G5720">
        <v>-253.48750000000001</v>
      </c>
      <c r="H5720">
        <v>0.1992874</v>
      </c>
      <c r="I5720">
        <v>-91.564989999999995</v>
      </c>
      <c r="J5720">
        <v>-300.78539999999998</v>
      </c>
      <c r="K5720">
        <v>1.1164719999999999</v>
      </c>
      <c r="L5720">
        <v>-45.625889999999998</v>
      </c>
      <c r="M5720">
        <v>0.21203540000000001</v>
      </c>
      <c r="N5720">
        <v>0</v>
      </c>
      <c r="O5720">
        <v>-0.97713819999999996</v>
      </c>
      <c r="P5720">
        <v>0.36508390000000002</v>
      </c>
      <c r="Q5720">
        <v>-3.8071359999999999E-2</v>
      </c>
      <c r="R5720">
        <v>-0.93019589999999996</v>
      </c>
      <c r="S5720">
        <v>2.3662719999999999</v>
      </c>
      <c r="T5720">
        <v>-4.5385479999999999E-2</v>
      </c>
      <c r="U5720">
        <v>-2.3918149999999998</v>
      </c>
      <c r="V5720">
        <v>-0.15917619999999999</v>
      </c>
      <c r="W5720">
        <v>-2.5034359999999999E-2</v>
      </c>
      <c r="X5720">
        <v>0.98693280000000005</v>
      </c>
      <c r="Y5720">
        <v>-0.53648319999999905</v>
      </c>
      <c r="Z5720">
        <v>1.401372E-2</v>
      </c>
      <c r="AA5720">
        <v>0.84379459999999995</v>
      </c>
      <c r="AB5720">
        <v>26</v>
      </c>
      <c r="AC5720">
        <v>47.297899999999899</v>
      </c>
      <c r="AD5720">
        <v>-0.91718460000000002</v>
      </c>
      <c r="AE5720">
        <v>-45.939100000000003</v>
      </c>
      <c r="AF5720">
        <v>-36.473225012712099</v>
      </c>
      <c r="AG5720">
        <v>-0.91718460000000002</v>
      </c>
      <c r="AH5720">
        <v>54.9136972294773</v>
      </c>
      <c r="AI5720">
        <v>90.797105828350496</v>
      </c>
      <c r="AJ5720">
        <v>123.59178480170399</v>
      </c>
      <c r="AK5720">
        <v>65.929140096235997</v>
      </c>
      <c r="AL5720">
        <v>91.434512941094695</v>
      </c>
      <c r="AM5720">
        <v>99.161978712034198</v>
      </c>
      <c r="AN5720">
        <v>1.0000000667714399</v>
      </c>
    </row>
    <row r="5721" spans="1:40" x14ac:dyDescent="0.3">
      <c r="A5721" t="str">
        <f>"20200111160617167"</f>
        <v>20200111160617167</v>
      </c>
      <c r="B5721" t="str">
        <f>"1578729977157994"</f>
        <v>1578729977157994</v>
      </c>
      <c r="C5721" t="s">
        <v>40</v>
      </c>
      <c r="D5721">
        <v>5.4482439999999999</v>
      </c>
      <c r="E5721">
        <v>0.31050329999999998</v>
      </c>
      <c r="F5721" t="s">
        <v>41</v>
      </c>
      <c r="G5721">
        <v>-270.44510000000002</v>
      </c>
      <c r="H5721">
        <v>7.9988199999999995E-2</v>
      </c>
      <c r="I5721">
        <v>-72.657119999999907</v>
      </c>
      <c r="J5721">
        <v>-300.72460000000001</v>
      </c>
      <c r="K5721">
        <v>1.1166339999999999</v>
      </c>
      <c r="L5721">
        <v>-45.862609999999997</v>
      </c>
      <c r="M5721">
        <v>0.22018119999999999</v>
      </c>
      <c r="N5721">
        <v>0</v>
      </c>
      <c r="O5721">
        <v>-0.9753347</v>
      </c>
      <c r="P5721">
        <v>0.37282939999999998</v>
      </c>
      <c r="Q5721">
        <v>-3.8961290000000003E-2</v>
      </c>
      <c r="R5721">
        <v>-0.92708159999999895</v>
      </c>
      <c r="S5721">
        <v>2.5101930000000001</v>
      </c>
      <c r="T5721">
        <v>-8.5753079999999995E-2</v>
      </c>
      <c r="U5721">
        <v>-2.2364199999999999</v>
      </c>
      <c r="V5721">
        <v>-0.159157299999999</v>
      </c>
      <c r="W5721">
        <v>-2.5969200000000001E-2</v>
      </c>
      <c r="X5721">
        <v>0.9869116</v>
      </c>
      <c r="Y5721">
        <v>-0.58156980000000003</v>
      </c>
      <c r="Z5721">
        <v>2.6674179999999999E-2</v>
      </c>
      <c r="AA5721">
        <v>0.81305909999999904</v>
      </c>
      <c r="AB5721">
        <v>26</v>
      </c>
      <c r="AC5721">
        <v>30.279499999999899</v>
      </c>
      <c r="AD5721">
        <v>-1.0366457999999901</v>
      </c>
      <c r="AE5721">
        <v>-26.794509999999899</v>
      </c>
      <c r="AF5721">
        <v>-23.620338389188401</v>
      </c>
      <c r="AG5721">
        <v>-1.0366457999999901</v>
      </c>
      <c r="AH5721">
        <v>32.783019219155399</v>
      </c>
      <c r="AI5721">
        <v>91.469642333465202</v>
      </c>
      <c r="AJ5721">
        <v>125.77294901937</v>
      </c>
      <c r="AK5721">
        <v>40.419319257725498</v>
      </c>
      <c r="AL5721">
        <v>91.488092886718107</v>
      </c>
      <c r="AM5721">
        <v>99.161102748954406</v>
      </c>
      <c r="AN5721">
        <v>0.99999997585324396</v>
      </c>
    </row>
    <row r="5722" spans="1:40" x14ac:dyDescent="0.3">
      <c r="A5722" t="str">
        <f>"20200111160617211"</f>
        <v>20200111160617211</v>
      </c>
      <c r="B5722" t="str">
        <f>"1578729977207770"</f>
        <v>1578729977207770</v>
      </c>
      <c r="C5722" t="s">
        <v>40</v>
      </c>
      <c r="D5722">
        <v>5.5321069999999999</v>
      </c>
      <c r="E5722">
        <v>0.31225039999999998</v>
      </c>
      <c r="F5722" t="s">
        <v>41</v>
      </c>
      <c r="G5722">
        <v>-271.55099999999999</v>
      </c>
      <c r="H5722">
        <v>7.9987760000000005E-2</v>
      </c>
      <c r="I5722">
        <v>-71.537859999999995</v>
      </c>
      <c r="J5722">
        <v>-300.59289999999999</v>
      </c>
      <c r="K5722">
        <v>1.1169979999999999</v>
      </c>
      <c r="L5722">
        <v>-46.34619</v>
      </c>
      <c r="M5722">
        <v>0.23760139999999999</v>
      </c>
      <c r="N5722">
        <v>0</v>
      </c>
      <c r="O5722">
        <v>-0.97123720000000002</v>
      </c>
      <c r="P5722">
        <v>0.39031139999999998</v>
      </c>
      <c r="Q5722">
        <v>-3.799495E-2</v>
      </c>
      <c r="R5722">
        <v>-0.91989849999999995</v>
      </c>
      <c r="S5722">
        <v>2.520721</v>
      </c>
      <c r="T5722">
        <v>-8.9570399999999994E-2</v>
      </c>
      <c r="U5722">
        <v>-2.218445</v>
      </c>
      <c r="V5722">
        <v>-0.16016079999999999</v>
      </c>
      <c r="W5722">
        <v>-2.5099920000000001E-2</v>
      </c>
      <c r="X5722">
        <v>0.98677179999999998</v>
      </c>
      <c r="Y5722">
        <v>-0.57189239999999997</v>
      </c>
      <c r="Z5722">
        <v>2.7892759999999999E-2</v>
      </c>
      <c r="AA5722">
        <v>0.81985429999999904</v>
      </c>
      <c r="AB5722">
        <v>26</v>
      </c>
      <c r="AC5722">
        <v>29.041899999999998</v>
      </c>
      <c r="AD5722">
        <v>-1.0370102400000001</v>
      </c>
      <c r="AE5722">
        <v>-25.191669999999899</v>
      </c>
      <c r="AF5722">
        <v>-22.207550054304999</v>
      </c>
      <c r="AG5722">
        <v>-1.0370102400000001</v>
      </c>
      <c r="AH5722">
        <v>31.348500412412399</v>
      </c>
      <c r="AI5722">
        <v>91.546219731719702</v>
      </c>
      <c r="AJ5722">
        <v>125.3140883539</v>
      </c>
      <c r="AK5722">
        <v>38.431486411006098</v>
      </c>
      <c r="AL5722">
        <v>91.4382704763307</v>
      </c>
      <c r="AM5722">
        <v>99.219159244764597</v>
      </c>
      <c r="AN5722">
        <v>1.00000003655794</v>
      </c>
    </row>
    <row r="5723" spans="1:40" x14ac:dyDescent="0.3">
      <c r="A5723" t="str">
        <f>"20200111160617304"</f>
        <v>20200111160617304</v>
      </c>
      <c r="B5723" t="str">
        <f>"1578729977297562"</f>
        <v>1578729977297562</v>
      </c>
      <c r="C5723" t="s">
        <v>40</v>
      </c>
      <c r="D5723">
        <v>5.4064170000000003</v>
      </c>
      <c r="E5723">
        <v>0.25264019999999998</v>
      </c>
      <c r="F5723" t="s">
        <v>41</v>
      </c>
      <c r="G5723">
        <v>-268.06990000000002</v>
      </c>
      <c r="H5723">
        <v>7.9987100000000005E-2</v>
      </c>
      <c r="I5723">
        <v>-74.102940000000004</v>
      </c>
      <c r="J5723">
        <v>-300.28699999999998</v>
      </c>
      <c r="K5723">
        <v>1.117785</v>
      </c>
      <c r="L5723">
        <v>-47.34158</v>
      </c>
      <c r="M5723">
        <v>0.27724159999999998</v>
      </c>
      <c r="N5723">
        <v>0</v>
      </c>
      <c r="O5723">
        <v>-0.9606711</v>
      </c>
      <c r="P5723">
        <v>0.43573460000000003</v>
      </c>
      <c r="Q5723">
        <v>-3.2645399999999998E-2</v>
      </c>
      <c r="R5723">
        <v>-0.89948309999999998</v>
      </c>
      <c r="S5723">
        <v>2.5496829999999999</v>
      </c>
      <c r="T5723">
        <v>-8.1297640000000004E-2</v>
      </c>
      <c r="U5723">
        <v>-2.1760250000000001</v>
      </c>
      <c r="V5723">
        <v>-0.16891789999999901</v>
      </c>
      <c r="W5723">
        <v>-2.008159E-2</v>
      </c>
      <c r="X5723">
        <v>0.98542549999999995</v>
      </c>
      <c r="Y5723">
        <v>-0.5505717</v>
      </c>
      <c r="Z5723">
        <v>2.531371E-2</v>
      </c>
      <c r="AA5723">
        <v>0.83440400000000003</v>
      </c>
      <c r="AB5723">
        <v>26</v>
      </c>
      <c r="AC5723">
        <v>32.217100000000002</v>
      </c>
      <c r="AD5723">
        <v>-1.0377978999999999</v>
      </c>
      <c r="AE5723">
        <v>-26.76136</v>
      </c>
      <c r="AF5723">
        <v>-23.519153784143299</v>
      </c>
      <c r="AG5723">
        <v>-1.0377978999999999</v>
      </c>
      <c r="AH5723">
        <v>34.623825034659099</v>
      </c>
      <c r="AI5723">
        <v>91.420314019102307</v>
      </c>
      <c r="AJ5723">
        <v>124.18734989397301</v>
      </c>
      <c r="AK5723">
        <v>41.869283242421503</v>
      </c>
      <c r="AL5723">
        <v>91.150667732749696</v>
      </c>
      <c r="AM5723">
        <v>99.726890260983495</v>
      </c>
      <c r="AN5723">
        <v>0.99999997162379295</v>
      </c>
    </row>
    <row r="5724" spans="1:40" x14ac:dyDescent="0.3">
      <c r="A5724" t="str">
        <f>"20200111160617325"</f>
        <v>20200111160617325</v>
      </c>
      <c r="B5724" t="str">
        <f>"1578729977318058"</f>
        <v>1578729977318058</v>
      </c>
      <c r="C5724" t="s">
        <v>40</v>
      </c>
      <c r="D5724">
        <v>5.4214120000000001</v>
      </c>
      <c r="E5724">
        <v>0.25384889999999999</v>
      </c>
      <c r="F5724" t="s">
        <v>92</v>
      </c>
      <c r="G5724">
        <v>-245.071</v>
      </c>
      <c r="H5724">
        <v>3.7336649999999998</v>
      </c>
      <c r="I5724">
        <v>-80.464519999999993</v>
      </c>
      <c r="J5724">
        <v>-300.20800000000003</v>
      </c>
      <c r="K5724">
        <v>1.117955</v>
      </c>
      <c r="L5724">
        <v>-47.573520000000002</v>
      </c>
      <c r="M5724">
        <v>0.28724309999999997</v>
      </c>
      <c r="N5724">
        <v>0</v>
      </c>
      <c r="O5724">
        <v>-0.95772740000000001</v>
      </c>
      <c r="P5724">
        <v>0.4466311</v>
      </c>
      <c r="Q5724">
        <v>-3.184095E-2</v>
      </c>
      <c r="R5724">
        <v>-0.89415149999999999</v>
      </c>
      <c r="S5724">
        <v>3.0808110000000002</v>
      </c>
      <c r="T5724">
        <v>0.14595529999999901</v>
      </c>
      <c r="U5724">
        <v>-1.848114</v>
      </c>
      <c r="V5724">
        <v>-0.1706136</v>
      </c>
      <c r="W5724">
        <v>-1.934373E-2</v>
      </c>
      <c r="X5724">
        <v>0.98514809999999997</v>
      </c>
      <c r="Y5724">
        <v>-0.67279290000000003</v>
      </c>
      <c r="Z5724">
        <v>-4.3396589999999999E-2</v>
      </c>
      <c r="AA5724">
        <v>0.73855700000000002</v>
      </c>
      <c r="AB5724">
        <v>26</v>
      </c>
      <c r="AC5724">
        <v>55.136999999999901</v>
      </c>
      <c r="AD5724">
        <v>2.61571</v>
      </c>
      <c r="AE5724">
        <v>-32.890999999999899</v>
      </c>
      <c r="AF5724">
        <v>-43.292055295367597</v>
      </c>
      <c r="AG5724">
        <v>2.61571</v>
      </c>
      <c r="AH5724">
        <v>47.265788009704202</v>
      </c>
      <c r="AI5724">
        <v>87.663087152262705</v>
      </c>
      <c r="AJ5724">
        <v>132.48743850580399</v>
      </c>
      <c r="AK5724">
        <v>64.149035118850904</v>
      </c>
      <c r="AL5724">
        <v>91.108383241364393</v>
      </c>
      <c r="AM5724">
        <v>99.825353791707201</v>
      </c>
      <c r="AN5724">
        <v>0.99999997966444099</v>
      </c>
    </row>
    <row r="5725" spans="1:40" x14ac:dyDescent="0.3">
      <c r="A5725" t="str">
        <f>"20200111160617347"</f>
        <v>20200111160617347</v>
      </c>
      <c r="B5725" t="str">
        <f>"1578729977337578"</f>
        <v>1578729977337578</v>
      </c>
      <c r="C5725" t="s">
        <v>40</v>
      </c>
      <c r="D5725">
        <v>5.4241769999999896</v>
      </c>
      <c r="E5725">
        <v>0.25489400000000001</v>
      </c>
      <c r="F5725" t="s">
        <v>49</v>
      </c>
      <c r="G5725">
        <v>-233.52500000000001</v>
      </c>
      <c r="H5725">
        <v>3.6224020000000001</v>
      </c>
      <c r="I5725">
        <v>-86.641900000000007</v>
      </c>
      <c r="J5725">
        <v>-300.12959999999998</v>
      </c>
      <c r="K5725">
        <v>1.1181049999999999</v>
      </c>
      <c r="L5725">
        <v>-47.79562</v>
      </c>
      <c r="M5725">
        <v>0.29702539999999999</v>
      </c>
      <c r="N5725">
        <v>0</v>
      </c>
      <c r="O5725">
        <v>-0.95473859999999999</v>
      </c>
      <c r="P5725">
        <v>0.45852850000000001</v>
      </c>
      <c r="Q5725">
        <v>-3.0675540000000001E-2</v>
      </c>
      <c r="R5725">
        <v>-0.8881502</v>
      </c>
      <c r="S5725">
        <v>3.0950319999999998</v>
      </c>
      <c r="T5725">
        <v>0.11624180000000001</v>
      </c>
      <c r="U5725">
        <v>-1.8133239999999999</v>
      </c>
      <c r="V5725">
        <v>-0.1736885</v>
      </c>
      <c r="W5725">
        <v>-1.8264240000000001E-2</v>
      </c>
      <c r="X5725">
        <v>0.98463120000000004</v>
      </c>
      <c r="Y5725">
        <v>-0.67317780000000005</v>
      </c>
      <c r="Z5725">
        <v>-3.4652599999999999E-2</v>
      </c>
      <c r="AA5725">
        <v>0.73866830000000006</v>
      </c>
      <c r="AB5725">
        <v>26</v>
      </c>
      <c r="AC5725">
        <v>66.604599999999905</v>
      </c>
      <c r="AD5725">
        <v>2.5042970000000002</v>
      </c>
      <c r="AE5725">
        <v>-38.84628</v>
      </c>
      <c r="AF5725">
        <v>-52.003303977654099</v>
      </c>
      <c r="AG5725">
        <v>2.5042970000000002</v>
      </c>
      <c r="AH5725">
        <v>56.818477617118099</v>
      </c>
      <c r="AI5725">
        <v>88.137784527599095</v>
      </c>
      <c r="AJ5725">
        <v>132.46641454324001</v>
      </c>
      <c r="AK5725">
        <v>77.064612675231501</v>
      </c>
      <c r="AL5725">
        <v>91.046522121183799</v>
      </c>
      <c r="AM5725">
        <v>100.004032453992</v>
      </c>
      <c r="AN5725">
        <v>0.99999993875423199</v>
      </c>
    </row>
    <row r="5726" spans="1:40" x14ac:dyDescent="0.3">
      <c r="A5726" t="str">
        <f>"20200111160617369"</f>
        <v>20200111160617369</v>
      </c>
      <c r="B5726" t="str">
        <f>"1578729977358073"</f>
        <v>1578729977358073</v>
      </c>
      <c r="C5726" t="s">
        <v>40</v>
      </c>
      <c r="D5726">
        <v>5.5500339999999904</v>
      </c>
      <c r="E5726">
        <v>0.25374390000000002</v>
      </c>
      <c r="F5726" t="s">
        <v>49</v>
      </c>
      <c r="G5726">
        <v>-233.52500000000001</v>
      </c>
      <c r="H5726">
        <v>3.7089850000000002</v>
      </c>
      <c r="I5726">
        <v>-85.793930000000003</v>
      </c>
      <c r="J5726">
        <v>-300.0462</v>
      </c>
      <c r="K5726">
        <v>1.1182319999999999</v>
      </c>
      <c r="L5726">
        <v>-48.023769999999999</v>
      </c>
      <c r="M5726">
        <v>0.30726300000000001</v>
      </c>
      <c r="N5726">
        <v>0</v>
      </c>
      <c r="O5726">
        <v>-0.95149240000000002</v>
      </c>
      <c r="P5726">
        <v>0.47319139999999998</v>
      </c>
      <c r="Q5726">
        <v>-2.9728770000000002E-2</v>
      </c>
      <c r="R5726">
        <v>-0.88045810000000002</v>
      </c>
      <c r="S5726">
        <v>3.1119080000000001</v>
      </c>
      <c r="T5726">
        <v>0.12105150000000001</v>
      </c>
      <c r="U5726">
        <v>-1.7753599999999901</v>
      </c>
      <c r="V5726">
        <v>-0.17943539999999999</v>
      </c>
      <c r="W5726">
        <v>-1.7453400000000001E-2</v>
      </c>
      <c r="X5726">
        <v>0.98361489999999996</v>
      </c>
      <c r="Y5726">
        <v>-0.67370430000000003</v>
      </c>
      <c r="Z5726">
        <v>-3.6157880000000003E-2</v>
      </c>
      <c r="AA5726">
        <v>0.73811590000000005</v>
      </c>
      <c r="AB5726">
        <v>25</v>
      </c>
      <c r="AC5726">
        <v>66.521199999999993</v>
      </c>
      <c r="AD5726">
        <v>2.5907529999999999</v>
      </c>
      <c r="AE5726">
        <v>-37.770159999999997</v>
      </c>
      <c r="AF5726">
        <v>-51.636320659718599</v>
      </c>
      <c r="AG5726">
        <v>2.5907529999999999</v>
      </c>
      <c r="AH5726">
        <v>56.320018498108901</v>
      </c>
      <c r="AI5726">
        <v>88.058037682279107</v>
      </c>
      <c r="AJ5726">
        <v>132.51577408107599</v>
      </c>
      <c r="AK5726">
        <v>76.4523779617587</v>
      </c>
      <c r="AL5726">
        <v>91.000056957902501</v>
      </c>
      <c r="AM5726">
        <v>100.33846751124899</v>
      </c>
      <c r="AN5726">
        <v>0.99999997772336402</v>
      </c>
    </row>
    <row r="5727" spans="1:40" x14ac:dyDescent="0.3">
      <c r="A5727" t="str">
        <f>"20200111160617393"</f>
        <v>20200111160617393</v>
      </c>
      <c r="B5727" t="str">
        <f>"1578729977387851"</f>
        <v>1578729977387851</v>
      </c>
      <c r="C5727" t="s">
        <v>40</v>
      </c>
      <c r="D5727">
        <v>5.3570599999999997</v>
      </c>
      <c r="E5727">
        <v>0.25593349999999998</v>
      </c>
      <c r="F5727" t="s">
        <v>49</v>
      </c>
      <c r="G5727">
        <v>-234.75040000000001</v>
      </c>
      <c r="H5727">
        <v>4.6168149999999999</v>
      </c>
      <c r="I5727">
        <v>-83.695490000000007</v>
      </c>
      <c r="J5727">
        <v>-299.9504</v>
      </c>
      <c r="K5727">
        <v>1.1183320000000001</v>
      </c>
      <c r="L5727">
        <v>-48.275880000000001</v>
      </c>
      <c r="M5727">
        <v>0.31876259999999901</v>
      </c>
      <c r="N5727">
        <v>0</v>
      </c>
      <c r="O5727">
        <v>-0.94770120000000002</v>
      </c>
      <c r="P5727">
        <v>0.49161899999999997</v>
      </c>
      <c r="Q5727">
        <v>-2.8860920000000002E-2</v>
      </c>
      <c r="R5727">
        <v>-0.87033209999999905</v>
      </c>
      <c r="S5727">
        <v>3.149292</v>
      </c>
      <c r="T5727">
        <v>0.168741</v>
      </c>
      <c r="U5727">
        <v>-1.7204900000000001</v>
      </c>
      <c r="V5727">
        <v>-0.18822120000000001</v>
      </c>
      <c r="W5727">
        <v>-1.67817E-2</v>
      </c>
      <c r="X5727">
        <v>0.9819833</v>
      </c>
      <c r="Y5727">
        <v>-0.67781089999999999</v>
      </c>
      <c r="Z5727">
        <v>-5.037722E-2</v>
      </c>
      <c r="AA5727">
        <v>0.7335083</v>
      </c>
      <c r="AB5727">
        <v>25</v>
      </c>
      <c r="AC5727">
        <v>65.199999999999903</v>
      </c>
      <c r="AD5727">
        <v>3.4984829999999998</v>
      </c>
      <c r="AE5727">
        <v>-35.419609999999999</v>
      </c>
      <c r="AF5727">
        <v>-50.394026527307403</v>
      </c>
      <c r="AG5727">
        <v>3.4984829999999998</v>
      </c>
      <c r="AH5727">
        <v>54.236827733041103</v>
      </c>
      <c r="AI5727">
        <v>87.2945346731547</v>
      </c>
      <c r="AJ5727">
        <v>132.89663025895601</v>
      </c>
      <c r="AK5727">
        <v>74.117681935418304</v>
      </c>
      <c r="AL5727">
        <v>90.961565697591098</v>
      </c>
      <c r="AM5727">
        <v>100.85053990426999</v>
      </c>
      <c r="AN5727">
        <v>1.0000000235316</v>
      </c>
    </row>
    <row r="5728" spans="1:40" x14ac:dyDescent="0.3">
      <c r="A5728" t="str">
        <f>"20200111160617429"</f>
        <v>20200111160617429</v>
      </c>
      <c r="B5728" t="str">
        <f>"1578729977418120"</f>
        <v>1578729977418120</v>
      </c>
      <c r="C5728" t="s">
        <v>40</v>
      </c>
      <c r="D5728">
        <v>5.4825470000000003</v>
      </c>
      <c r="E5728">
        <v>0.25889600000000002</v>
      </c>
      <c r="F5728" t="s">
        <v>49</v>
      </c>
      <c r="G5728">
        <v>-234.75040000000001</v>
      </c>
      <c r="H5728">
        <v>4.1081669999999999</v>
      </c>
      <c r="I5728">
        <v>-82.448350000000005</v>
      </c>
      <c r="J5728">
        <v>-299.80130000000003</v>
      </c>
      <c r="K5728">
        <v>1.1184289999999999</v>
      </c>
      <c r="L5728">
        <v>-48.650730000000003</v>
      </c>
      <c r="M5728">
        <v>0.33612720000000001</v>
      </c>
      <c r="N5728">
        <v>0</v>
      </c>
      <c r="O5728">
        <v>-0.94168189999999996</v>
      </c>
      <c r="P5728">
        <v>0.53023330000000002</v>
      </c>
      <c r="Q5728">
        <v>-2.6287749999999999E-2</v>
      </c>
      <c r="R5728">
        <v>-0.84744439999999999</v>
      </c>
      <c r="S5728">
        <v>3.1697389999999999</v>
      </c>
      <c r="T5728">
        <v>0.14535279999999901</v>
      </c>
      <c r="U5728">
        <v>-1.661316</v>
      </c>
      <c r="V5728">
        <v>-0.2142482</v>
      </c>
      <c r="W5728">
        <v>-1.4778039999999999E-2</v>
      </c>
      <c r="X5728">
        <v>0.97666750000000002</v>
      </c>
      <c r="Y5728">
        <v>-0.6772553</v>
      </c>
      <c r="Z5728">
        <v>-4.355034E-2</v>
      </c>
      <c r="AA5728">
        <v>0.7344581</v>
      </c>
      <c r="AB5728">
        <v>25</v>
      </c>
      <c r="AC5728">
        <v>65.050899999999999</v>
      </c>
      <c r="AD5728">
        <v>2.989738</v>
      </c>
      <c r="AE5728">
        <v>-33.797620000000002</v>
      </c>
      <c r="AF5728">
        <v>-49.820418994738397</v>
      </c>
      <c r="AG5728">
        <v>2.989738</v>
      </c>
      <c r="AH5728">
        <v>53.609625976647699</v>
      </c>
      <c r="AI5728">
        <v>87.660670594321402</v>
      </c>
      <c r="AJ5728">
        <v>132.901881256368</v>
      </c>
      <c r="AK5728">
        <v>73.246192252403105</v>
      </c>
      <c r="AL5728">
        <v>90.846750106810703</v>
      </c>
      <c r="AM5728">
        <v>102.372796573076</v>
      </c>
      <c r="AN5728">
        <v>1.00000004361286</v>
      </c>
    </row>
    <row r="5729" spans="1:40" x14ac:dyDescent="0.3">
      <c r="A5729" t="str">
        <f>"20200111160617454"</f>
        <v>20200111160617454</v>
      </c>
      <c r="B5729" t="str">
        <f>"1578729977448363"</f>
        <v>1578729977448363</v>
      </c>
      <c r="C5729" t="s">
        <v>40</v>
      </c>
      <c r="D5729">
        <v>5.5053340000000004</v>
      </c>
      <c r="E5729">
        <v>0.26091150000000002</v>
      </c>
      <c r="F5729" t="s">
        <v>49</v>
      </c>
      <c r="G5729">
        <v>-231.7456</v>
      </c>
      <c r="H5729">
        <v>3.806521</v>
      </c>
      <c r="I5729">
        <v>-80.9499</v>
      </c>
      <c r="J5729">
        <v>-299.69260000000003</v>
      </c>
      <c r="K5729">
        <v>1.118449</v>
      </c>
      <c r="L5729">
        <v>-48.911320000000003</v>
      </c>
      <c r="M5729">
        <v>0.34832570000000002</v>
      </c>
      <c r="N5729">
        <v>0</v>
      </c>
      <c r="O5729">
        <v>-0.93723800000000002</v>
      </c>
      <c r="P5729">
        <v>0.55379750000000005</v>
      </c>
      <c r="Q5729">
        <v>-2.3543120000000001E-2</v>
      </c>
      <c r="R5729">
        <v>-0.83231869999999997</v>
      </c>
      <c r="S5729">
        <v>3.2210079999999999</v>
      </c>
      <c r="T5729">
        <v>0.1272249</v>
      </c>
      <c r="U5729">
        <v>-1.5286869999999999</v>
      </c>
      <c r="V5729">
        <v>-0.22895889999999999</v>
      </c>
      <c r="W5729">
        <v>-1.235149E-2</v>
      </c>
      <c r="X5729">
        <v>0.97335769999999999</v>
      </c>
      <c r="Y5729">
        <v>-0.69677219999999995</v>
      </c>
      <c r="Z5729">
        <v>-3.8472659999999999E-2</v>
      </c>
      <c r="AA5729">
        <v>0.71626000000000001</v>
      </c>
      <c r="AB5729">
        <v>25</v>
      </c>
      <c r="AC5729">
        <v>67.947000000000003</v>
      </c>
      <c r="AD5729">
        <v>2.688072</v>
      </c>
      <c r="AE5729">
        <v>-32.038580000000003</v>
      </c>
      <c r="AF5729">
        <v>-52.462151442482998</v>
      </c>
      <c r="AG5729">
        <v>2.688072</v>
      </c>
      <c r="AH5729">
        <v>53.633611940813601</v>
      </c>
      <c r="AI5729">
        <v>87.948042873730799</v>
      </c>
      <c r="AJ5729">
        <v>134.36739212922001</v>
      </c>
      <c r="AK5729">
        <v>75.0737463756072</v>
      </c>
      <c r="AL5729">
        <v>90.707706260930493</v>
      </c>
      <c r="AM5729">
        <v>103.236814028895</v>
      </c>
      <c r="AN5729">
        <v>0.99999997467185897</v>
      </c>
    </row>
    <row r="5730" spans="1:40" x14ac:dyDescent="0.3">
      <c r="A5730" t="str">
        <f>"20200111160617476"</f>
        <v>20200111160617476</v>
      </c>
      <c r="B5730" t="str">
        <f>"1578729977467883"</f>
        <v>1578729977467883</v>
      </c>
      <c r="C5730" t="s">
        <v>40</v>
      </c>
      <c r="D5730">
        <v>5.5471059999999897</v>
      </c>
      <c r="E5730">
        <v>0.2800551</v>
      </c>
      <c r="F5730" t="s">
        <v>49</v>
      </c>
      <c r="G5730">
        <v>-225.7706</v>
      </c>
      <c r="H5730">
        <v>3.898933</v>
      </c>
      <c r="I5730">
        <v>-81.816450000000003</v>
      </c>
      <c r="J5730">
        <v>-299.59809999999999</v>
      </c>
      <c r="K5730">
        <v>1.1184540000000001</v>
      </c>
      <c r="L5730">
        <v>-49.130549999999999</v>
      </c>
      <c r="M5730">
        <v>0.35863040000000002</v>
      </c>
      <c r="N5730">
        <v>0</v>
      </c>
      <c r="O5730">
        <v>-0.93334320000000004</v>
      </c>
      <c r="P5730">
        <v>0.57472009999999996</v>
      </c>
      <c r="Q5730">
        <v>-2.1580800000000001E-2</v>
      </c>
      <c r="R5730">
        <v>-0.81806519999999905</v>
      </c>
      <c r="S5730">
        <v>3.24884</v>
      </c>
      <c r="T5730">
        <v>0.1222012</v>
      </c>
      <c r="U5730">
        <v>-1.446167</v>
      </c>
      <c r="V5730">
        <v>-0.2429007</v>
      </c>
      <c r="W5730">
        <v>-1.069165E-2</v>
      </c>
      <c r="X5730">
        <v>0.96999219999999997</v>
      </c>
      <c r="Y5730">
        <v>-0.70628139999999995</v>
      </c>
      <c r="Z5730">
        <v>-3.7156460000000002E-2</v>
      </c>
      <c r="AA5730">
        <v>0.70695540000000001</v>
      </c>
      <c r="AB5730">
        <v>25</v>
      </c>
      <c r="AC5730">
        <v>73.827499999999901</v>
      </c>
      <c r="AD5730">
        <v>2.7804790000000001</v>
      </c>
      <c r="AE5730">
        <v>-32.685899999999997</v>
      </c>
      <c r="AF5730">
        <v>-57.123775668424699</v>
      </c>
      <c r="AG5730">
        <v>2.7804790000000001</v>
      </c>
      <c r="AH5730">
        <v>56.923698088600098</v>
      </c>
      <c r="AI5730">
        <v>88.025310083356501</v>
      </c>
      <c r="AJ5730">
        <v>135.10051594095799</v>
      </c>
      <c r="AK5730">
        <v>80.691785295456498</v>
      </c>
      <c r="AL5730">
        <v>90.612598114159198</v>
      </c>
      <c r="AM5730">
        <v>104.058626077366</v>
      </c>
      <c r="AN5730">
        <v>0.99999996475052499</v>
      </c>
    </row>
    <row r="5731" spans="1:40" x14ac:dyDescent="0.3">
      <c r="A5731" t="str">
        <f>"20200111160617566"</f>
        <v>20200111160617566</v>
      </c>
      <c r="B5731" t="str">
        <f>"1578729977557677"</f>
        <v>1578729977557677</v>
      </c>
      <c r="C5731" t="s">
        <v>40</v>
      </c>
      <c r="D5731">
        <v>5.5615550000000002</v>
      </c>
      <c r="E5731">
        <v>0.28931489999999999</v>
      </c>
      <c r="F5731" t="s">
        <v>94</v>
      </c>
      <c r="G5731">
        <v>-246.97559999999999</v>
      </c>
      <c r="H5731">
        <v>7.9987390000000005E-2</v>
      </c>
      <c r="I5731">
        <v>-73.211479999999995</v>
      </c>
      <c r="J5731">
        <v>-299.1859</v>
      </c>
      <c r="K5731">
        <v>1.1182939999999999</v>
      </c>
      <c r="L5731">
        <v>-50.017359999999996</v>
      </c>
      <c r="M5731">
        <v>0.40042610000000001</v>
      </c>
      <c r="N5731">
        <v>0</v>
      </c>
      <c r="O5731">
        <v>-0.91619030000000001</v>
      </c>
      <c r="P5731">
        <v>0.63793929999999999</v>
      </c>
      <c r="Q5731">
        <v>-2.2088139999999999E-2</v>
      </c>
      <c r="R5731">
        <v>-0.76976999999999995</v>
      </c>
      <c r="S5731">
        <v>3.1595460000000002</v>
      </c>
      <c r="T5731">
        <v>-6.2351230000000001E-2</v>
      </c>
      <c r="U5731">
        <v>-1.445862</v>
      </c>
      <c r="V5731">
        <v>-0.2760997</v>
      </c>
      <c r="W5731">
        <v>-1.1886020000000001E-2</v>
      </c>
      <c r="X5731">
        <v>0.96105549999999995</v>
      </c>
      <c r="Y5731">
        <v>-0.66638819999999999</v>
      </c>
      <c r="Z5731">
        <v>1.9183769999999999E-2</v>
      </c>
      <c r="AA5731">
        <v>0.74535819999999997</v>
      </c>
      <c r="AB5731">
        <v>25</v>
      </c>
      <c r="AC5731">
        <v>52.210299999999997</v>
      </c>
      <c r="AD5731">
        <v>-1.03830661</v>
      </c>
      <c r="AE5731">
        <v>-23.194120000000002</v>
      </c>
      <c r="AF5731">
        <v>-38.539211328957201</v>
      </c>
      <c r="AG5731">
        <v>-1.03830661</v>
      </c>
      <c r="AH5731">
        <v>42.148033470061499</v>
      </c>
      <c r="AI5731">
        <v>91.041541477914507</v>
      </c>
      <c r="AJ5731">
        <v>132.43909253979101</v>
      </c>
      <c r="AK5731">
        <v>57.120973519958703</v>
      </c>
      <c r="AL5731">
        <v>90.681034819061793</v>
      </c>
      <c r="AM5731">
        <v>106.028722631612</v>
      </c>
      <c r="AN5731">
        <v>0.99999999794589001</v>
      </c>
    </row>
    <row r="5732" spans="1:40" x14ac:dyDescent="0.3">
      <c r="A5732" t="str">
        <f>"20200111160617591"</f>
        <v>20200111160617591</v>
      </c>
      <c r="B5732" t="str">
        <f>"1578729977588503"</f>
        <v>1578729977588503</v>
      </c>
      <c r="C5732" t="s">
        <v>40</v>
      </c>
      <c r="D5732">
        <v>5.5054879999999997</v>
      </c>
      <c r="E5732">
        <v>0.289637799999999</v>
      </c>
      <c r="F5732" t="s">
        <v>41</v>
      </c>
      <c r="G5732">
        <v>-271.46339999999998</v>
      </c>
      <c r="H5732" s="1">
        <v>1.501484E-7</v>
      </c>
      <c r="I5732">
        <v>-60.688420000000001</v>
      </c>
      <c r="J5732">
        <v>-299.06299999999999</v>
      </c>
      <c r="K5732">
        <v>1.1182190000000001</v>
      </c>
      <c r="L5732">
        <v>-50.262270000000001</v>
      </c>
      <c r="M5732">
        <v>0.41196339999999998</v>
      </c>
      <c r="N5732">
        <v>0</v>
      </c>
      <c r="O5732">
        <v>-0.9110608</v>
      </c>
      <c r="P5732">
        <v>0.64948609999999996</v>
      </c>
      <c r="Q5732">
        <v>-2.4610219999999999E-2</v>
      </c>
      <c r="R5732">
        <v>-0.75997510000000001</v>
      </c>
      <c r="S5732">
        <v>3.2080690000000001</v>
      </c>
      <c r="T5732">
        <v>-0.12941</v>
      </c>
      <c r="U5732">
        <v>-1.2348629999999901</v>
      </c>
      <c r="V5732">
        <v>-0.27845550000000002</v>
      </c>
      <c r="W5732">
        <v>-1.443974E-2</v>
      </c>
      <c r="X5732">
        <v>0.96034059999999999</v>
      </c>
      <c r="Y5732">
        <v>-0.70153859999999901</v>
      </c>
      <c r="Z5732">
        <v>4.0634900000000002E-2</v>
      </c>
      <c r="AA5732">
        <v>0.71147199999999999</v>
      </c>
      <c r="AB5732">
        <v>25</v>
      </c>
      <c r="AC5732">
        <v>27.599599999999999</v>
      </c>
      <c r="AD5732">
        <v>-1.1182188498515999</v>
      </c>
      <c r="AE5732">
        <v>-10.4261499999999</v>
      </c>
      <c r="AF5732">
        <v>-20.822461781087</v>
      </c>
      <c r="AG5732">
        <v>-1.1182188498515999</v>
      </c>
      <c r="AH5732">
        <v>20.841596892196101</v>
      </c>
      <c r="AI5732">
        <v>92.173673911152903</v>
      </c>
      <c r="AJ5732">
        <v>134.97368568821901</v>
      </c>
      <c r="AK5732">
        <v>29.482155434055201</v>
      </c>
      <c r="AL5732">
        <v>90.827364896361004</v>
      </c>
      <c r="AM5732">
        <v>106.169777462657</v>
      </c>
      <c r="AN5732">
        <v>1.0000000197899299</v>
      </c>
    </row>
    <row r="5733" spans="1:40" x14ac:dyDescent="0.3">
      <c r="A5733" t="str">
        <f>"20200111160617609"</f>
        <v>20200111160617609</v>
      </c>
      <c r="B5733" t="str">
        <f>"1578729977598263"</f>
        <v>1578729977598263</v>
      </c>
      <c r="C5733" t="s">
        <v>40</v>
      </c>
      <c r="D5733">
        <v>5.4780959999999999</v>
      </c>
      <c r="E5733">
        <v>0.28747600000000001</v>
      </c>
      <c r="F5733" t="s">
        <v>41</v>
      </c>
      <c r="G5733">
        <v>-272.63729999999998</v>
      </c>
      <c r="H5733" s="1">
        <v>-3.7168019999999999E-7</v>
      </c>
      <c r="I5733">
        <v>-59.9946699999999</v>
      </c>
      <c r="J5733">
        <v>-298.96640000000002</v>
      </c>
      <c r="K5733">
        <v>1.1181650000000001</v>
      </c>
      <c r="L5733">
        <v>-50.449979999999996</v>
      </c>
      <c r="M5733">
        <v>0.4208018</v>
      </c>
      <c r="N5733">
        <v>0</v>
      </c>
      <c r="O5733">
        <v>-0.90701270000000001</v>
      </c>
      <c r="P5733">
        <v>0.65846169999999904</v>
      </c>
      <c r="Q5733">
        <v>-2.7240199999999999E-2</v>
      </c>
      <c r="R5733">
        <v>-0.75212139999999905</v>
      </c>
      <c r="S5733">
        <v>3.224335</v>
      </c>
      <c r="T5733">
        <v>-0.13643959999999999</v>
      </c>
      <c r="U5733">
        <v>-1.1875</v>
      </c>
      <c r="V5733">
        <v>-0.28050740000000002</v>
      </c>
      <c r="W5733">
        <v>-1.710124E-2</v>
      </c>
      <c r="X5733">
        <v>0.95969950000000004</v>
      </c>
      <c r="Y5733">
        <v>-0.70487739999999999</v>
      </c>
      <c r="Z5733">
        <v>4.2887219999999997E-2</v>
      </c>
      <c r="AA5733">
        <v>0.70803139999999998</v>
      </c>
      <c r="AB5733">
        <v>25</v>
      </c>
      <c r="AC5733">
        <v>26.3291</v>
      </c>
      <c r="AD5733">
        <v>-1.11816537168019</v>
      </c>
      <c r="AE5733">
        <v>-9.5446899999999903</v>
      </c>
      <c r="AF5733">
        <v>-19.835307098682399</v>
      </c>
      <c r="AG5733">
        <v>-1.11816537168019</v>
      </c>
      <c r="AH5733">
        <v>19.707576850824001</v>
      </c>
      <c r="AI5733">
        <v>92.290032871197695</v>
      </c>
      <c r="AJ5733">
        <v>135.18507447950799</v>
      </c>
      <c r="AK5733">
        <v>27.983535995806498</v>
      </c>
      <c r="AL5733">
        <v>90.979876649371704</v>
      </c>
      <c r="AM5733">
        <v>106.292939367638</v>
      </c>
      <c r="AN5733">
        <v>0.99999999208227297</v>
      </c>
    </row>
    <row r="5734" spans="1:40" x14ac:dyDescent="0.3">
      <c r="A5734" t="str">
        <f>"20200111160617633"</f>
        <v>20200111160617633</v>
      </c>
      <c r="B5734" t="str">
        <f>"1578729977627544"</f>
        <v>1578729977627544</v>
      </c>
      <c r="C5734" t="s">
        <v>40</v>
      </c>
      <c r="D5734">
        <v>5.5397470000000002</v>
      </c>
      <c r="E5734">
        <v>0.28396850000000001</v>
      </c>
      <c r="F5734" t="s">
        <v>41</v>
      </c>
      <c r="G5734">
        <v>-269.93340000000001</v>
      </c>
      <c r="H5734" s="1">
        <v>-3.3093490000000001E-6</v>
      </c>
      <c r="I5734">
        <v>-60.612130000000001</v>
      </c>
      <c r="J5734">
        <v>-298.8492</v>
      </c>
      <c r="K5734">
        <v>1.1181080000000001</v>
      </c>
      <c r="L5734">
        <v>-50.671689999999998</v>
      </c>
      <c r="M5734">
        <v>0.43124620000000002</v>
      </c>
      <c r="N5734">
        <v>0</v>
      </c>
      <c r="O5734">
        <v>-0.90209360000000005</v>
      </c>
      <c r="P5734">
        <v>0.66846879999999997</v>
      </c>
      <c r="Q5734">
        <v>-2.9696819999999999E-2</v>
      </c>
      <c r="R5734">
        <v>-0.74314720000000001</v>
      </c>
      <c r="S5734">
        <v>3.2511290000000002</v>
      </c>
      <c r="T5734">
        <v>-0.12521309999999999</v>
      </c>
      <c r="U5734">
        <v>-1.1379699999999999</v>
      </c>
      <c r="V5734">
        <v>-0.28226689999999999</v>
      </c>
      <c r="W5734">
        <v>-1.9582829999999999E-2</v>
      </c>
      <c r="X5734">
        <v>0.95913599999999999</v>
      </c>
      <c r="Y5734">
        <v>-0.70829259999999905</v>
      </c>
      <c r="Z5734">
        <v>3.9287530000000001E-2</v>
      </c>
      <c r="AA5734">
        <v>0.70482489999999998</v>
      </c>
      <c r="AB5734">
        <v>25</v>
      </c>
      <c r="AC5734">
        <v>28.915799999999901</v>
      </c>
      <c r="AD5734">
        <v>-1.118111309349</v>
      </c>
      <c r="AE5734">
        <v>-9.9404400000000006</v>
      </c>
      <c r="AF5734">
        <v>-21.7716359091322</v>
      </c>
      <c r="AG5734">
        <v>-1.118111309349</v>
      </c>
      <c r="AH5734">
        <v>21.4111271830145</v>
      </c>
      <c r="AI5734">
        <v>92.097022680778096</v>
      </c>
      <c r="AJ5734">
        <v>135.47831929108901</v>
      </c>
      <c r="AK5734">
        <v>30.5563523724141</v>
      </c>
      <c r="AL5734">
        <v>91.122085259649495</v>
      </c>
      <c r="AM5734">
        <v>106.39878086549599</v>
      </c>
      <c r="AN5734">
        <v>0.99999997828120901</v>
      </c>
    </row>
    <row r="5735" spans="1:40" x14ac:dyDescent="0.3">
      <c r="A5735" t="str">
        <f>"20200111160617654"</f>
        <v>20200111160617654</v>
      </c>
      <c r="B5735" t="str">
        <f>"1578729977648039"</f>
        <v>1578729977648039</v>
      </c>
      <c r="C5735" t="s">
        <v>40</v>
      </c>
      <c r="D5735">
        <v>5.6177599999999996</v>
      </c>
      <c r="E5735">
        <v>0.28302119999999997</v>
      </c>
      <c r="F5735" t="s">
        <v>95</v>
      </c>
      <c r="G5735">
        <v>-258.69839999999999</v>
      </c>
      <c r="H5735" s="1">
        <v>-3.443018E-6</v>
      </c>
      <c r="I5735">
        <v>-63.823659999999997</v>
      </c>
      <c r="J5735">
        <v>-298.74</v>
      </c>
      <c r="K5735">
        <v>1.118072</v>
      </c>
      <c r="L5735">
        <v>-50.872860000000003</v>
      </c>
      <c r="M5735">
        <v>0.44073689999999999</v>
      </c>
      <c r="N5735">
        <v>0</v>
      </c>
      <c r="O5735">
        <v>-0.8974953</v>
      </c>
      <c r="P5735">
        <v>0.67658359999999995</v>
      </c>
      <c r="Q5735">
        <v>-3.2098700000000001E-2</v>
      </c>
      <c r="R5735">
        <v>-0.73566589999999998</v>
      </c>
      <c r="S5735">
        <v>3.2868650000000001</v>
      </c>
      <c r="T5735">
        <v>-9.1531989999999994E-2</v>
      </c>
      <c r="U5735">
        <v>-1.07666</v>
      </c>
      <c r="V5735">
        <v>-0.28267720000000002</v>
      </c>
      <c r="W5735">
        <v>-2.198553E-2</v>
      </c>
      <c r="X5735">
        <v>0.95896309999999996</v>
      </c>
      <c r="Y5735">
        <v>-0.71538380000000001</v>
      </c>
      <c r="Z5735">
        <v>2.8660069999999999E-2</v>
      </c>
      <c r="AA5735">
        <v>0.69814379999999998</v>
      </c>
      <c r="AB5735">
        <v>25</v>
      </c>
      <c r="AC5735">
        <v>40.041600000000003</v>
      </c>
      <c r="AD5735">
        <v>-1.118075443018</v>
      </c>
      <c r="AE5735">
        <v>-12.950799999999999</v>
      </c>
      <c r="AF5735">
        <v>-30.2117547972924</v>
      </c>
      <c r="AG5735">
        <v>-1.118075443018</v>
      </c>
      <c r="AH5735">
        <v>29.2541498339939</v>
      </c>
      <c r="AI5735">
        <v>91.522937606081896</v>
      </c>
      <c r="AJ5735">
        <v>135.92257876557201</v>
      </c>
      <c r="AK5735">
        <v>42.069056361389499</v>
      </c>
      <c r="AL5735">
        <v>91.259779588087696</v>
      </c>
      <c r="AM5735">
        <v>106.42413592543799</v>
      </c>
      <c r="AN5735">
        <v>0.99999999504541504</v>
      </c>
    </row>
    <row r="5736" spans="1:40" x14ac:dyDescent="0.3">
      <c r="A5736" t="str">
        <f>"20200111160617677"</f>
        <v>20200111160617677</v>
      </c>
      <c r="B5736" t="str">
        <f>"1578729977667559"</f>
        <v>1578729977667559</v>
      </c>
      <c r="C5736" t="s">
        <v>40</v>
      </c>
      <c r="D5736">
        <v>5.5403200000000004</v>
      </c>
      <c r="E5736">
        <v>0.28316599999999997</v>
      </c>
      <c r="F5736" t="s">
        <v>95</v>
      </c>
      <c r="G5736">
        <v>-258.18110000000001</v>
      </c>
      <c r="H5736" s="1">
        <v>-3.2347009999999999E-6</v>
      </c>
      <c r="I5736">
        <v>-63.582329999999999</v>
      </c>
      <c r="J5736">
        <v>-298.61790000000002</v>
      </c>
      <c r="K5736">
        <v>1.1180570000000001</v>
      </c>
      <c r="L5736">
        <v>-51.091920000000002</v>
      </c>
      <c r="M5736">
        <v>0.45111210000000002</v>
      </c>
      <c r="N5736">
        <v>0</v>
      </c>
      <c r="O5736">
        <v>-0.89232540000000005</v>
      </c>
      <c r="P5736">
        <v>0.68465819999999999</v>
      </c>
      <c r="Q5736">
        <v>-3.3948619999999999E-2</v>
      </c>
      <c r="R5736">
        <v>-0.72807339999999998</v>
      </c>
      <c r="S5736">
        <v>3.3040159999999998</v>
      </c>
      <c r="T5736">
        <v>-9.108078E-2</v>
      </c>
      <c r="U5736">
        <v>-1.035339</v>
      </c>
      <c r="V5736">
        <v>-0.28214400000000001</v>
      </c>
      <c r="W5736">
        <v>-2.3821950000000001E-2</v>
      </c>
      <c r="X5736">
        <v>0.95907629999999999</v>
      </c>
      <c r="Y5736">
        <v>-0.71628559999999997</v>
      </c>
      <c r="Z5736">
        <v>2.847628E-2</v>
      </c>
      <c r="AA5736">
        <v>0.69722600000000001</v>
      </c>
      <c r="AB5736">
        <v>25</v>
      </c>
      <c r="AC5736">
        <v>40.436799999999998</v>
      </c>
      <c r="AD5736">
        <v>-1.118060234701</v>
      </c>
      <c r="AE5736">
        <v>-12.490410000000001</v>
      </c>
      <c r="AF5736">
        <v>-30.430826955323599</v>
      </c>
      <c r="AG5736">
        <v>-1.118060234701</v>
      </c>
      <c r="AH5736">
        <v>29.3702639501184</v>
      </c>
      <c r="AI5736">
        <v>91.514343139623705</v>
      </c>
      <c r="AJ5736">
        <v>136.01602518630199</v>
      </c>
      <c r="AK5736">
        <v>42.307182515181701</v>
      </c>
      <c r="AL5736">
        <v>91.365026272287096</v>
      </c>
      <c r="AM5736">
        <v>106.392989720983</v>
      </c>
      <c r="AN5736">
        <v>1.00000003562974</v>
      </c>
    </row>
    <row r="5737" spans="1:40" x14ac:dyDescent="0.3">
      <c r="A5737" t="str">
        <f>"20200111160617701"</f>
        <v>20200111160617701</v>
      </c>
      <c r="B5737" t="str">
        <f>"1578729977697815"</f>
        <v>1578729977697815</v>
      </c>
      <c r="C5737" t="s">
        <v>40</v>
      </c>
      <c r="D5737">
        <v>5.4915279999999997</v>
      </c>
      <c r="E5737">
        <v>0.2839872</v>
      </c>
      <c r="F5737" t="s">
        <v>95</v>
      </c>
      <c r="G5737">
        <v>-259.18439999999998</v>
      </c>
      <c r="H5737" s="1">
        <v>-3.4959720000000001E-6</v>
      </c>
      <c r="I5737">
        <v>-62.982529999999997</v>
      </c>
      <c r="J5737">
        <v>-298.4932</v>
      </c>
      <c r="K5737">
        <v>1.1180680000000001</v>
      </c>
      <c r="L5737">
        <v>-51.309690000000003</v>
      </c>
      <c r="M5737">
        <v>0.46149440000000003</v>
      </c>
      <c r="N5737">
        <v>0</v>
      </c>
      <c r="O5737">
        <v>-0.88700040000000002</v>
      </c>
      <c r="P5737">
        <v>0.69306820000000002</v>
      </c>
      <c r="Q5737">
        <v>-3.3453440000000001E-2</v>
      </c>
      <c r="R5737">
        <v>-0.72009579999999995</v>
      </c>
      <c r="S5737">
        <v>3.3143310000000001</v>
      </c>
      <c r="T5737">
        <v>-9.3971490000000005E-2</v>
      </c>
      <c r="U5737">
        <v>-0.99938959999999999</v>
      </c>
      <c r="V5737">
        <v>-0.28208870000000003</v>
      </c>
      <c r="W5737">
        <v>-2.3333799999999998E-2</v>
      </c>
      <c r="X5737">
        <v>0.95910450000000003</v>
      </c>
      <c r="Y5737">
        <v>-0.71564989999999995</v>
      </c>
      <c r="Z5737">
        <v>2.935333E-2</v>
      </c>
      <c r="AA5737">
        <v>0.69784209999999902</v>
      </c>
      <c r="AB5737">
        <v>25</v>
      </c>
      <c r="AC5737">
        <v>39.308799999999998</v>
      </c>
      <c r="AD5737">
        <v>-1.118071495972</v>
      </c>
      <c r="AE5737">
        <v>-11.6728399999999</v>
      </c>
      <c r="AF5737">
        <v>-29.461800321508999</v>
      </c>
      <c r="AG5737">
        <v>-1.118071495972</v>
      </c>
      <c r="AH5737">
        <v>28.477041464797999</v>
      </c>
      <c r="AI5737">
        <v>91.563028595384495</v>
      </c>
      <c r="AJ5737">
        <v>135.973735276421</v>
      </c>
      <c r="AK5737">
        <v>40.990116523894002</v>
      </c>
      <c r="AL5737">
        <v>91.337049646689096</v>
      </c>
      <c r="AM5737">
        <v>106.389493113713</v>
      </c>
      <c r="AN5737">
        <v>0.99999997140518904</v>
      </c>
    </row>
    <row r="5738" spans="1:40" x14ac:dyDescent="0.3">
      <c r="A5738" t="str">
        <f>"20200111160617723"</f>
        <v>20200111160617723</v>
      </c>
      <c r="B5738" t="str">
        <f>"1578729977718311"</f>
        <v>1578729977718311</v>
      </c>
      <c r="C5738" t="s">
        <v>40</v>
      </c>
      <c r="D5738">
        <v>5.4671120000000002</v>
      </c>
      <c r="E5738">
        <v>0.28453139999999999</v>
      </c>
      <c r="F5738" t="s">
        <v>95</v>
      </c>
      <c r="G5738">
        <v>-258.33780000000002</v>
      </c>
      <c r="H5738" s="1">
        <v>-3.2079210000000002E-6</v>
      </c>
      <c r="I5738">
        <v>-62.982909999999997</v>
      </c>
      <c r="J5738">
        <v>-298.37439999999998</v>
      </c>
      <c r="K5738">
        <v>1.1181179999999999</v>
      </c>
      <c r="L5738">
        <v>-51.511539999999997</v>
      </c>
      <c r="M5738">
        <v>0.47120719999999999</v>
      </c>
      <c r="N5738">
        <v>0</v>
      </c>
      <c r="O5738">
        <v>-0.88187890000000002</v>
      </c>
      <c r="P5738">
        <v>0.70075180000000004</v>
      </c>
      <c r="Q5738">
        <v>-2.9675980000000001E-2</v>
      </c>
      <c r="R5738">
        <v>-0.71278759999999997</v>
      </c>
      <c r="S5738">
        <v>3.3210139999999999</v>
      </c>
      <c r="T5738">
        <v>-9.2469099999999999E-2</v>
      </c>
      <c r="U5738">
        <v>-0.96542360000000005</v>
      </c>
      <c r="V5738">
        <v>-0.28183249999999999</v>
      </c>
      <c r="W5738">
        <v>-1.956755E-2</v>
      </c>
      <c r="X5738">
        <v>0.95926409999999995</v>
      </c>
      <c r="Y5738">
        <v>-0.71494789999999997</v>
      </c>
      <c r="Z5738">
        <v>2.8876410000000002E-2</v>
      </c>
      <c r="AA5738">
        <v>0.69858120000000001</v>
      </c>
      <c r="AB5738">
        <v>25</v>
      </c>
      <c r="AC5738">
        <v>40.0365999999999</v>
      </c>
      <c r="AD5738">
        <v>-1.1181212079209999</v>
      </c>
      <c r="AE5738">
        <v>-11.471369999999901</v>
      </c>
      <c r="AF5738">
        <v>-29.884289879505602</v>
      </c>
      <c r="AG5738">
        <v>-1.1181212079209999</v>
      </c>
      <c r="AH5738">
        <v>28.964688817339201</v>
      </c>
      <c r="AI5738">
        <v>91.538969833177106</v>
      </c>
      <c r="AJ5738">
        <v>135.89525719612899</v>
      </c>
      <c r="AK5738">
        <v>41.632609513736</v>
      </c>
      <c r="AL5738">
        <v>91.121209553993097</v>
      </c>
      <c r="AM5738">
        <v>106.372826985667</v>
      </c>
      <c r="AN5738">
        <v>1.00000003030903</v>
      </c>
    </row>
    <row r="5739" spans="1:40" x14ac:dyDescent="0.3">
      <c r="A5739" t="str">
        <f>"20200111160617742"</f>
        <v>20200111160617742</v>
      </c>
      <c r="B5739" t="str">
        <f>"1578729977737830"</f>
        <v>1578729977737830</v>
      </c>
      <c r="C5739" t="s">
        <v>40</v>
      </c>
      <c r="D5739">
        <v>5.4610300000000001</v>
      </c>
      <c r="E5739">
        <v>0.28561760000000003</v>
      </c>
      <c r="F5739" t="s">
        <v>95</v>
      </c>
      <c r="G5739">
        <v>-250.7037</v>
      </c>
      <c r="H5739" s="1">
        <v>-4.3868860000000002E-7</v>
      </c>
      <c r="I5739">
        <v>-64.883700000000005</v>
      </c>
      <c r="J5739">
        <v>-298.262</v>
      </c>
      <c r="K5739">
        <v>1.1181749999999999</v>
      </c>
      <c r="L5739">
        <v>-51.697569999999999</v>
      </c>
      <c r="M5739">
        <v>0.48025909999999999</v>
      </c>
      <c r="N5739">
        <v>0</v>
      </c>
      <c r="O5739">
        <v>-0.87698229999999999</v>
      </c>
      <c r="P5739">
        <v>0.70893909999999905</v>
      </c>
      <c r="Q5739">
        <v>-2.7315559999999999E-2</v>
      </c>
      <c r="R5739">
        <v>-0.70474049999999999</v>
      </c>
      <c r="S5739">
        <v>3.3281860000000001</v>
      </c>
      <c r="T5739">
        <v>-7.8062770000000004E-2</v>
      </c>
      <c r="U5739">
        <v>-0.93359380000000003</v>
      </c>
      <c r="V5739">
        <v>-0.28303499999999998</v>
      </c>
      <c r="W5739">
        <v>-1.7260499999999901E-2</v>
      </c>
      <c r="X5739">
        <v>0.95895430000000004</v>
      </c>
      <c r="Y5739">
        <v>-0.71446069999999995</v>
      </c>
      <c r="Z5739">
        <v>2.4363289999999999E-2</v>
      </c>
      <c r="AA5739">
        <v>0.69925130000000002</v>
      </c>
      <c r="AB5739">
        <v>25</v>
      </c>
      <c r="AC5739">
        <v>47.558300000000003</v>
      </c>
      <c r="AD5739">
        <v>-1.11817543868859</v>
      </c>
      <c r="AE5739">
        <v>-13.18613</v>
      </c>
      <c r="AF5739">
        <v>-35.361356194311803</v>
      </c>
      <c r="AG5739">
        <v>-1.11817543868859</v>
      </c>
      <c r="AH5739">
        <v>34.3910119497029</v>
      </c>
      <c r="AI5739">
        <v>91.298590525934898</v>
      </c>
      <c r="AJ5739">
        <v>135.797005827443</v>
      </c>
      <c r="AK5739">
        <v>49.339816894038897</v>
      </c>
      <c r="AL5739">
        <v>90.9890028722034</v>
      </c>
      <c r="AM5739">
        <v>106.443945346074</v>
      </c>
      <c r="AN5739">
        <v>1.0000000427868601</v>
      </c>
    </row>
    <row r="5740" spans="1:40" x14ac:dyDescent="0.3">
      <c r="A5740" t="str">
        <f>"20200111160617765"</f>
        <v>20200111160617765</v>
      </c>
      <c r="B5740" t="str">
        <f>"1578729977758327"</f>
        <v>1578729977758327</v>
      </c>
      <c r="C5740" t="s">
        <v>40</v>
      </c>
      <c r="D5740">
        <v>5.4252229999999999</v>
      </c>
      <c r="E5740">
        <v>0.28682279999999999</v>
      </c>
      <c r="F5740" t="s">
        <v>94</v>
      </c>
      <c r="G5740">
        <v>-248.5727</v>
      </c>
      <c r="H5740" s="1">
        <v>-3.63471E-6</v>
      </c>
      <c r="I5740">
        <v>-65.137919999999994</v>
      </c>
      <c r="J5740">
        <v>-298.13729999999998</v>
      </c>
      <c r="K5740">
        <v>1.118242</v>
      </c>
      <c r="L5740">
        <v>-51.898769999999999</v>
      </c>
      <c r="M5740">
        <v>0.490178</v>
      </c>
      <c r="N5740">
        <v>0</v>
      </c>
      <c r="O5740">
        <v>-0.8714769</v>
      </c>
      <c r="P5740">
        <v>0.71786609999999995</v>
      </c>
      <c r="Q5740">
        <v>-2.6017100000000001E-2</v>
      </c>
      <c r="R5740">
        <v>-0.69569519999999996</v>
      </c>
      <c r="S5740">
        <v>3.332703</v>
      </c>
      <c r="T5740">
        <v>-7.4997069999999999E-2</v>
      </c>
      <c r="U5740">
        <v>-0.90145869999999995</v>
      </c>
      <c r="V5740">
        <v>-0.28437659999999998</v>
      </c>
      <c r="W5740">
        <v>-1.602839E-2</v>
      </c>
      <c r="X5740">
        <v>0.95857859999999995</v>
      </c>
      <c r="Y5740">
        <v>-0.7130611</v>
      </c>
      <c r="Z5740">
        <v>2.3393649999999998E-2</v>
      </c>
      <c r="AA5740">
        <v>0.70071149999999904</v>
      </c>
      <c r="AB5740">
        <v>24</v>
      </c>
      <c r="AC5740">
        <v>49.564599999999899</v>
      </c>
      <c r="AD5740">
        <v>-1.11824563471</v>
      </c>
      <c r="AE5740">
        <v>-13.239149999999899</v>
      </c>
      <c r="AF5740">
        <v>-36.692084820230797</v>
      </c>
      <c r="AG5740">
        <v>-1.11824563471</v>
      </c>
      <c r="AH5740">
        <v>35.820614345163698</v>
      </c>
      <c r="AI5740">
        <v>91.249282272134295</v>
      </c>
      <c r="AJ5740">
        <v>135.688557687029</v>
      </c>
      <c r="AK5740">
        <v>51.290115751668097</v>
      </c>
      <c r="AL5740">
        <v>90.918398475897007</v>
      </c>
      <c r="AM5740">
        <v>106.523773052864</v>
      </c>
      <c r="AN5740">
        <v>0.99999994614575405</v>
      </c>
    </row>
    <row r="5741" spans="1:40" x14ac:dyDescent="0.3">
      <c r="A5741" t="str">
        <f>"20200111160617788"</f>
        <v>20200111160617788</v>
      </c>
      <c r="B5741" t="str">
        <f>"1578729977777847"</f>
        <v>1578729977777847</v>
      </c>
      <c r="C5741" t="s">
        <v>40</v>
      </c>
      <c r="D5741">
        <v>5.4043789999999996</v>
      </c>
      <c r="E5741">
        <v>0.28812779999999999</v>
      </c>
      <c r="F5741" t="s">
        <v>94</v>
      </c>
      <c r="G5741">
        <v>-249.96799999999999</v>
      </c>
      <c r="H5741" s="1">
        <v>-3.9775350000000004E-6</v>
      </c>
      <c r="I5741">
        <v>-64.393749999999997</v>
      </c>
      <c r="J5741">
        <v>-298.00080000000003</v>
      </c>
      <c r="K5741">
        <v>1.118322</v>
      </c>
      <c r="L5741">
        <v>-52.112639999999999</v>
      </c>
      <c r="M5741">
        <v>0.50088949999999999</v>
      </c>
      <c r="N5741">
        <v>0</v>
      </c>
      <c r="O5741">
        <v>-0.86536460000000004</v>
      </c>
      <c r="P5741">
        <v>0.72706709999999997</v>
      </c>
      <c r="Q5741">
        <v>-2.6032509999999998E-2</v>
      </c>
      <c r="R5741">
        <v>-0.68607289999999999</v>
      </c>
      <c r="S5741">
        <v>3.3373110000000001</v>
      </c>
      <c r="T5741">
        <v>-7.7475310000000006E-2</v>
      </c>
      <c r="U5741">
        <v>-0.86569209999999996</v>
      </c>
      <c r="V5741">
        <v>-0.28531590000000001</v>
      </c>
      <c r="W5741">
        <v>-1.610615E-2</v>
      </c>
      <c r="X5741">
        <v>0.95829819999999999</v>
      </c>
      <c r="Y5741">
        <v>-0.71165659999999997</v>
      </c>
      <c r="Z5741">
        <v>2.4149770000000001E-2</v>
      </c>
      <c r="AA5741">
        <v>0.70211230000000002</v>
      </c>
      <c r="AB5741">
        <v>24</v>
      </c>
      <c r="AC5741">
        <v>48.032800000000002</v>
      </c>
      <c r="AD5741">
        <v>-1.1183259775350001</v>
      </c>
      <c r="AE5741">
        <v>-12.2811099999999</v>
      </c>
      <c r="AF5741">
        <v>-35.400888494862301</v>
      </c>
      <c r="AG5741">
        <v>-1.1183259775350001</v>
      </c>
      <c r="AH5741">
        <v>34.673523533356999</v>
      </c>
      <c r="AI5741">
        <v>91.292853957774994</v>
      </c>
      <c r="AJ5741">
        <v>135.594702754313</v>
      </c>
      <c r="AK5741">
        <v>49.5653789800498</v>
      </c>
      <c r="AL5741">
        <v>90.922854316378206</v>
      </c>
      <c r="AM5741">
        <v>106.579944997265</v>
      </c>
      <c r="AN5741">
        <v>1.00000000549193</v>
      </c>
    </row>
    <row r="5742" spans="1:40" x14ac:dyDescent="0.3">
      <c r="A5742" t="str">
        <f>"20200111160617856"</f>
        <v>20200111160617856</v>
      </c>
      <c r="B5742" t="str">
        <f>"1578729977848119"</f>
        <v>1578729977848119</v>
      </c>
      <c r="C5742" t="s">
        <v>40</v>
      </c>
      <c r="D5742">
        <v>5.2245819999999998</v>
      </c>
      <c r="E5742">
        <v>0.31330629999999998</v>
      </c>
      <c r="F5742" t="s">
        <v>95</v>
      </c>
      <c r="G5742">
        <v>-253.3631</v>
      </c>
      <c r="H5742" s="1">
        <v>-1.2006960000000001E-6</v>
      </c>
      <c r="I5742">
        <v>-63.179940000000002</v>
      </c>
      <c r="J5742">
        <v>-297.59969999999998</v>
      </c>
      <c r="K5742">
        <v>1.118485</v>
      </c>
      <c r="L5742">
        <v>-52.707819999999998</v>
      </c>
      <c r="M5742">
        <v>0.53152869999999997</v>
      </c>
      <c r="N5742">
        <v>0</v>
      </c>
      <c r="O5742">
        <v>-0.84688940000000001</v>
      </c>
      <c r="P5742">
        <v>0.75393100000000002</v>
      </c>
      <c r="Q5742">
        <v>-3.4522909999999997E-2</v>
      </c>
      <c r="R5742">
        <v>-0.65604580000000001</v>
      </c>
      <c r="S5742">
        <v>3.341431</v>
      </c>
      <c r="T5742">
        <v>-8.3713889999999999E-2</v>
      </c>
      <c r="U5742">
        <v>-0.82846070000000005</v>
      </c>
      <c r="V5742">
        <v>-0.2894041</v>
      </c>
      <c r="W5742">
        <v>-2.4787880000000002E-2</v>
      </c>
      <c r="X5742">
        <v>0.95688600000000001</v>
      </c>
      <c r="Y5742">
        <v>-0.69381769999999998</v>
      </c>
      <c r="Z5742">
        <v>2.5805720000000001E-2</v>
      </c>
      <c r="AA5742">
        <v>0.7196882</v>
      </c>
      <c r="AB5742">
        <v>24</v>
      </c>
      <c r="AC5742">
        <v>44.236599999999903</v>
      </c>
      <c r="AD5742">
        <v>-1.1184862006959999</v>
      </c>
      <c r="AE5742">
        <v>-10.47212</v>
      </c>
      <c r="AF5742">
        <v>-31.882052055051599</v>
      </c>
      <c r="AG5742">
        <v>-1.1184862006959999</v>
      </c>
      <c r="AH5742">
        <v>32.366295447156098</v>
      </c>
      <c r="AI5742">
        <v>91.410282915977007</v>
      </c>
      <c r="AJ5742">
        <v>134.56816667903101</v>
      </c>
      <c r="AK5742">
        <v>45.445498518497601</v>
      </c>
      <c r="AL5742">
        <v>91.420386396956403</v>
      </c>
      <c r="AM5742">
        <v>106.827608293599</v>
      </c>
      <c r="AN5742">
        <v>0.99999999454385202</v>
      </c>
    </row>
    <row r="5743" spans="1:40" x14ac:dyDescent="0.3">
      <c r="A5743" t="str">
        <f>"20200111160617877"</f>
        <v>20200111160617877</v>
      </c>
      <c r="B5743" t="str">
        <f>"1578729977867639"</f>
        <v>1578729977867639</v>
      </c>
      <c r="C5743" t="s">
        <v>40</v>
      </c>
      <c r="D5743">
        <v>5.2749360000000003</v>
      </c>
      <c r="E5743">
        <v>0.31534309999999899</v>
      </c>
      <c r="F5743" t="s">
        <v>41</v>
      </c>
      <c r="G5743">
        <v>-279.79509999999999</v>
      </c>
      <c r="H5743" s="1">
        <v>-4.0337040000000001E-6</v>
      </c>
      <c r="I5743">
        <v>-57.320070000000001</v>
      </c>
      <c r="J5743">
        <v>-297.4717</v>
      </c>
      <c r="K5743">
        <v>1.118533</v>
      </c>
      <c r="L5743">
        <v>-52.887970000000003</v>
      </c>
      <c r="M5743">
        <v>0.54109069999999904</v>
      </c>
      <c r="N5743">
        <v>0</v>
      </c>
      <c r="O5743">
        <v>-0.84081229999999996</v>
      </c>
      <c r="P5743">
        <v>0.76199810000000001</v>
      </c>
      <c r="Q5743">
        <v>-3.7496290000000002E-2</v>
      </c>
      <c r="R5743">
        <v>-0.64649319999999999</v>
      </c>
      <c r="S5743">
        <v>3.239563</v>
      </c>
      <c r="T5743">
        <v>-0.2035102</v>
      </c>
      <c r="U5743">
        <v>-0.83920289999999997</v>
      </c>
      <c r="V5743">
        <v>-0.29043940000000001</v>
      </c>
      <c r="W5743">
        <v>-2.781747E-2</v>
      </c>
      <c r="X5743">
        <v>0.95648900000000003</v>
      </c>
      <c r="Y5743">
        <v>-0.67612430000000001</v>
      </c>
      <c r="Z5743">
        <v>6.387582E-2</v>
      </c>
      <c r="AA5743">
        <v>0.73401349999999999</v>
      </c>
      <c r="AB5743">
        <v>24</v>
      </c>
      <c r="AC5743">
        <v>17.676600000000001</v>
      </c>
      <c r="AD5743">
        <v>-1.1185370337039999</v>
      </c>
      <c r="AE5743">
        <v>-4.4320999999999904</v>
      </c>
      <c r="AF5743">
        <v>-12.419340692948399</v>
      </c>
      <c r="AG5743">
        <v>-1.1185370337039999</v>
      </c>
      <c r="AH5743">
        <v>13.2430167915452</v>
      </c>
      <c r="AI5743">
        <v>93.525488302571503</v>
      </c>
      <c r="AJ5743">
        <v>133.16162766396701</v>
      </c>
      <c r="AK5743">
        <v>18.189794998417199</v>
      </c>
      <c r="AL5743">
        <v>91.594029201666302</v>
      </c>
      <c r="AM5743">
        <v>106.890996083074</v>
      </c>
      <c r="AN5743">
        <v>1.00000003191528</v>
      </c>
    </row>
    <row r="5744" spans="1:40" x14ac:dyDescent="0.3">
      <c r="A5744" t="str">
        <f>"20200111160617898"</f>
        <v>20200111160617898</v>
      </c>
      <c r="B5744" t="str">
        <f>"1578729977878375"</f>
        <v>1578729977878375</v>
      </c>
      <c r="C5744" t="s">
        <v>40</v>
      </c>
      <c r="D5744">
        <v>5.142881</v>
      </c>
      <c r="E5744">
        <v>0.31675789999999998</v>
      </c>
      <c r="F5744" t="s">
        <v>67</v>
      </c>
      <c r="G5744">
        <v>-281.33730000000003</v>
      </c>
      <c r="H5744" s="1">
        <v>-6.08938099999999E-6</v>
      </c>
      <c r="I5744">
        <v>-56.922569999999901</v>
      </c>
      <c r="J5744">
        <v>-297.33879999999999</v>
      </c>
      <c r="K5744">
        <v>1.118592</v>
      </c>
      <c r="L5744">
        <v>-53.070279999999997</v>
      </c>
      <c r="M5744">
        <v>0.55091699999999999</v>
      </c>
      <c r="N5744">
        <v>0</v>
      </c>
      <c r="O5744">
        <v>-0.834406599999999</v>
      </c>
      <c r="P5744">
        <v>0.76994910000000005</v>
      </c>
      <c r="Q5744">
        <v>-3.9104659999999999E-2</v>
      </c>
      <c r="R5744">
        <v>-0.63690579999999997</v>
      </c>
      <c r="S5744">
        <v>3.2388309999999998</v>
      </c>
      <c r="T5744">
        <v>-0.2245356</v>
      </c>
      <c r="U5744">
        <v>-0.80990600000000001</v>
      </c>
      <c r="V5744">
        <v>-0.29108579999999901</v>
      </c>
      <c r="W5744">
        <v>-2.9476820000000001E-2</v>
      </c>
      <c r="X5744">
        <v>0.9562427</v>
      </c>
      <c r="Y5744">
        <v>-0.67320360000000001</v>
      </c>
      <c r="Z5744">
        <v>7.0367869999999999E-2</v>
      </c>
      <c r="AA5744">
        <v>0.73610140000000002</v>
      </c>
      <c r="AB5744">
        <v>24</v>
      </c>
      <c r="AC5744">
        <v>16.001499999999901</v>
      </c>
      <c r="AD5744">
        <v>-1.1185980893809999</v>
      </c>
      <c r="AE5744">
        <v>-3.85228999999998</v>
      </c>
      <c r="AF5744">
        <v>-11.1792650478071</v>
      </c>
      <c r="AG5744">
        <v>-1.1185980893809999</v>
      </c>
      <c r="AH5744">
        <v>11.976096320530701</v>
      </c>
      <c r="AI5744">
        <v>93.90597651153</v>
      </c>
      <c r="AJ5744">
        <v>133.02909316712299</v>
      </c>
      <c r="AK5744">
        <v>16.421148308608501</v>
      </c>
      <c r="AL5744">
        <v>91.689142112342594</v>
      </c>
      <c r="AM5744">
        <v>106.930551760653</v>
      </c>
      <c r="AN5744">
        <v>0.99999996359111998</v>
      </c>
    </row>
    <row r="5745" spans="1:40" x14ac:dyDescent="0.3">
      <c r="A5745" t="str">
        <f>"20200111160617921"</f>
        <v>20200111160617921</v>
      </c>
      <c r="B5745" t="str">
        <f>"1578729977918391"</f>
        <v>1578729977918391</v>
      </c>
      <c r="C5745" t="s">
        <v>40</v>
      </c>
      <c r="D5745">
        <v>5.1294919999999999</v>
      </c>
      <c r="E5745">
        <v>0.28490979999999999</v>
      </c>
      <c r="F5745" t="s">
        <v>67</v>
      </c>
      <c r="G5745">
        <v>-281.05329999999998</v>
      </c>
      <c r="H5745" s="1">
        <v>-6.1779029999999996E-6</v>
      </c>
      <c r="I5745">
        <v>-56.9807699999999</v>
      </c>
      <c r="J5745">
        <v>-297.19589999999999</v>
      </c>
      <c r="K5745">
        <v>1.1186750000000001</v>
      </c>
      <c r="L5745">
        <v>-53.26126</v>
      </c>
      <c r="M5745">
        <v>0.56137729999999997</v>
      </c>
      <c r="N5745">
        <v>0</v>
      </c>
      <c r="O5745">
        <v>-0.82740460000000005</v>
      </c>
      <c r="P5745">
        <v>0.77845039999999999</v>
      </c>
      <c r="Q5745">
        <v>-3.9366959999999999E-2</v>
      </c>
      <c r="R5745">
        <v>-0.62647030000000004</v>
      </c>
      <c r="S5745">
        <v>3.241241</v>
      </c>
      <c r="T5745">
        <v>-0.22262999999999999</v>
      </c>
      <c r="U5745">
        <v>-0.77828980000000003</v>
      </c>
      <c r="V5745">
        <v>-0.29191420000000001</v>
      </c>
      <c r="W5745">
        <v>-2.9799659999999999E-2</v>
      </c>
      <c r="X5745">
        <v>0.95598019999999995</v>
      </c>
      <c r="Y5745">
        <v>-0.67086480000000004</v>
      </c>
      <c r="Z5745">
        <v>6.9616910000000004E-2</v>
      </c>
      <c r="AA5745">
        <v>0.73830469999999904</v>
      </c>
      <c r="AB5745">
        <v>24</v>
      </c>
      <c r="AC5745">
        <v>16.142600000000002</v>
      </c>
      <c r="AD5745">
        <v>-1.1186811779029999</v>
      </c>
      <c r="AE5745">
        <v>-3.7195099999999899</v>
      </c>
      <c r="AF5745">
        <v>-11.2187007873423</v>
      </c>
      <c r="AG5745">
        <v>-1.1186811779029999</v>
      </c>
      <c r="AH5745">
        <v>12.0860731648933</v>
      </c>
      <c r="AI5745">
        <v>93.880910125543593</v>
      </c>
      <c r="AJ5745">
        <v>132.8685118969</v>
      </c>
      <c r="AK5745">
        <v>16.528274546390598</v>
      </c>
      <c r="AL5745">
        <v>91.707647496456602</v>
      </c>
      <c r="AM5745">
        <v>106.980360428442</v>
      </c>
      <c r="AN5745">
        <v>1.00000003134489</v>
      </c>
    </row>
    <row r="5746" spans="1:40" x14ac:dyDescent="0.3">
      <c r="A5746" t="str">
        <f>"20200111160617944"</f>
        <v>20200111160617944</v>
      </c>
      <c r="B5746" t="str">
        <f>"1578729977937911"</f>
        <v>1578729977937911</v>
      </c>
      <c r="C5746" t="s">
        <v>40</v>
      </c>
      <c r="D5746">
        <v>4.9724430000000002</v>
      </c>
      <c r="E5746">
        <v>0.27967890000000001</v>
      </c>
      <c r="F5746" t="s">
        <v>46</v>
      </c>
      <c r="G5746">
        <v>0</v>
      </c>
      <c r="H5746">
        <v>0</v>
      </c>
      <c r="I5746">
        <v>0</v>
      </c>
      <c r="J5746">
        <v>-297.04790000000003</v>
      </c>
      <c r="K5746">
        <v>1.1187609999999999</v>
      </c>
      <c r="L5746">
        <v>-53.453279999999999</v>
      </c>
      <c r="M5746">
        <v>0.57207580000000002</v>
      </c>
      <c r="N5746">
        <v>0</v>
      </c>
      <c r="O5746">
        <v>-0.82004339999999998</v>
      </c>
      <c r="P5746">
        <v>0.7872017</v>
      </c>
      <c r="Q5746">
        <v>-3.8567579999999997E-2</v>
      </c>
      <c r="R5746">
        <v>-0.61548840000000005</v>
      </c>
      <c r="S5746">
        <v>3.4126280000000002</v>
      </c>
      <c r="T5746">
        <v>2.2597309999999999E-2</v>
      </c>
      <c r="U5746">
        <v>-0.54962159999999904</v>
      </c>
      <c r="V5746">
        <v>-0.29294959999999998</v>
      </c>
      <c r="W5746">
        <v>-2.9068110000000001E-2</v>
      </c>
      <c r="X5746">
        <v>0.95568589999999998</v>
      </c>
      <c r="Y5746">
        <v>-0.71871240000000003</v>
      </c>
      <c r="Z5746">
        <v>-6.947295E-3</v>
      </c>
      <c r="AA5746">
        <v>0.69527269999999997</v>
      </c>
      <c r="AB5746">
        <v>24</v>
      </c>
      <c r="AC5746">
        <v>3.4126280000000002</v>
      </c>
      <c r="AD5746">
        <v>2.2597309999999999E-2</v>
      </c>
      <c r="AE5746">
        <v>-0.54962159999999904</v>
      </c>
      <c r="AF5746">
        <v>-2.4842923116362599</v>
      </c>
      <c r="AG5746">
        <v>2.2597309999999999E-2</v>
      </c>
      <c r="AH5746">
        <v>2.4032029187199901</v>
      </c>
      <c r="AI5746">
        <v>89.625422165691901</v>
      </c>
      <c r="AJ5746">
        <v>135.95051831734199</v>
      </c>
      <c r="AK5746">
        <v>3.4565305143479601</v>
      </c>
      <c r="AL5746">
        <v>91.665714684406794</v>
      </c>
      <c r="AM5746">
        <v>107.04204880949101</v>
      </c>
      <c r="AN5746">
        <v>0.99999998130897005</v>
      </c>
    </row>
    <row r="5747" spans="1:40" x14ac:dyDescent="0.3">
      <c r="A5747" t="str">
        <f>"20200111160617968"</f>
        <v>20200111160617968</v>
      </c>
      <c r="B5747" t="str">
        <f>"1578729977958408"</f>
        <v>1578729977958408</v>
      </c>
      <c r="C5747" t="s">
        <v>40</v>
      </c>
      <c r="D5747">
        <v>5.0188540000000001</v>
      </c>
      <c r="E5747">
        <v>0.27816249999999998</v>
      </c>
      <c r="F5747" t="s">
        <v>46</v>
      </c>
      <c r="G5747">
        <v>0</v>
      </c>
      <c r="H5747">
        <v>0</v>
      </c>
      <c r="I5747">
        <v>0</v>
      </c>
      <c r="J5747">
        <v>-296.89949999999999</v>
      </c>
      <c r="K5747">
        <v>1.1188579999999999</v>
      </c>
      <c r="L5747">
        <v>-53.640140000000002</v>
      </c>
      <c r="M5747">
        <v>0.58268830000000005</v>
      </c>
      <c r="N5747">
        <v>0</v>
      </c>
      <c r="O5747">
        <v>-0.81253649999999999</v>
      </c>
      <c r="P5747">
        <v>0.79611259999999995</v>
      </c>
      <c r="Q5747">
        <v>-3.8002309999999997E-2</v>
      </c>
      <c r="R5747">
        <v>-0.60395459999999901</v>
      </c>
      <c r="S5747">
        <v>3.4458920000000002</v>
      </c>
      <c r="T5747">
        <v>4.022717E-2</v>
      </c>
      <c r="U5747">
        <v>-0.46945189999999998</v>
      </c>
      <c r="V5747">
        <v>-0.29447499999999999</v>
      </c>
      <c r="W5747">
        <v>-2.8580890000000001E-2</v>
      </c>
      <c r="X5747">
        <v>0.95523170000000002</v>
      </c>
      <c r="Y5747">
        <v>-0.72645130000000002</v>
      </c>
      <c r="Z5747">
        <v>-1.230184E-2</v>
      </c>
      <c r="AA5747">
        <v>0.68710780000000005</v>
      </c>
      <c r="AB5747">
        <v>24</v>
      </c>
      <c r="AC5747">
        <v>3.4458920000000002</v>
      </c>
      <c r="AD5747">
        <v>4.022717E-2</v>
      </c>
      <c r="AE5747">
        <v>-0.46945189999999998</v>
      </c>
      <c r="AF5747">
        <v>-2.5263578262301598</v>
      </c>
      <c r="AG5747">
        <v>4.022717E-2</v>
      </c>
      <c r="AH5747">
        <v>2.3893172863686201</v>
      </c>
      <c r="AI5747">
        <v>89.3371948638124</v>
      </c>
      <c r="AJ5747">
        <v>136.596893850394</v>
      </c>
      <c r="AK5747">
        <v>3.4774903574705198</v>
      </c>
      <c r="AL5747">
        <v>91.637787404433396</v>
      </c>
      <c r="AM5747">
        <v>107.133274270218</v>
      </c>
      <c r="AN5747">
        <v>0.99999999679154095</v>
      </c>
    </row>
    <row r="5748" spans="1:40" x14ac:dyDescent="0.3">
      <c r="A5748" t="str">
        <f>"20200111160617988"</f>
        <v>20200111160617988</v>
      </c>
      <c r="B5748" t="str">
        <f>"1578729977977767"</f>
        <v>1578729977977767</v>
      </c>
      <c r="C5748" t="s">
        <v>40</v>
      </c>
      <c r="D5748">
        <v>7.8338210000000004</v>
      </c>
      <c r="E5748">
        <v>0.27809660000000003</v>
      </c>
      <c r="F5748" t="s">
        <v>69</v>
      </c>
      <c r="G5748">
        <v>-157.9383</v>
      </c>
      <c r="H5748">
        <v>2.8306089999999999</v>
      </c>
      <c r="I5748">
        <v>-70.083340000000007</v>
      </c>
      <c r="J5748">
        <v>-296.762</v>
      </c>
      <c r="K5748">
        <v>1.1189279999999999</v>
      </c>
      <c r="L5748">
        <v>-53.808750000000003</v>
      </c>
      <c r="M5748">
        <v>0.59239379999999997</v>
      </c>
      <c r="N5748">
        <v>0</v>
      </c>
      <c r="O5748">
        <v>-0.80548750000000002</v>
      </c>
      <c r="P5748">
        <v>0.80393610000000004</v>
      </c>
      <c r="Q5748">
        <v>-3.771584E-2</v>
      </c>
      <c r="R5748">
        <v>-0.59351889999999996</v>
      </c>
      <c r="S5748">
        <v>3.459778</v>
      </c>
      <c r="T5748">
        <v>4.2617679999999998E-2</v>
      </c>
      <c r="U5748">
        <v>-0.40939330000000002</v>
      </c>
      <c r="V5748">
        <v>-0.29548659999999999</v>
      </c>
      <c r="W5748">
        <v>-2.8348760000000001E-2</v>
      </c>
      <c r="X5748">
        <v>0.95492619999999895</v>
      </c>
      <c r="Y5748">
        <v>-0.73029259999999996</v>
      </c>
      <c r="Z5748">
        <v>-1.299867E-2</v>
      </c>
      <c r="AA5748">
        <v>0.68301080000000003</v>
      </c>
      <c r="AB5748">
        <v>24</v>
      </c>
      <c r="AC5748">
        <v>138.8237</v>
      </c>
      <c r="AD5748">
        <v>1.71168099999999</v>
      </c>
      <c r="AE5748">
        <v>-16.27459</v>
      </c>
      <c r="AF5748">
        <v>-102.17772477206999</v>
      </c>
      <c r="AG5748">
        <v>1.71168099999999</v>
      </c>
      <c r="AH5748">
        <v>95.345351936700695</v>
      </c>
      <c r="AI5748">
        <v>89.298284215956102</v>
      </c>
      <c r="AJ5748">
        <v>136.981085542957</v>
      </c>
      <c r="AK5748">
        <v>139.76392033488401</v>
      </c>
      <c r="AL5748">
        <v>91.624481913692094</v>
      </c>
      <c r="AM5748">
        <v>107.193843428384</v>
      </c>
      <c r="AN5748">
        <v>1.0000000152097599</v>
      </c>
    </row>
    <row r="5749" spans="1:40" x14ac:dyDescent="0.3">
      <c r="A5749" t="str">
        <f>"20200111160618014"</f>
        <v>20200111160618014</v>
      </c>
      <c r="B5749" t="str">
        <f>"1578729978008024"</f>
        <v>1578729978008024</v>
      </c>
      <c r="C5749" t="s">
        <v>40</v>
      </c>
      <c r="D5749">
        <v>4.9575079999999998</v>
      </c>
      <c r="E5749">
        <v>0.28072429999999998</v>
      </c>
      <c r="F5749" t="s">
        <v>69</v>
      </c>
      <c r="G5749">
        <v>-168.45060000000001</v>
      </c>
      <c r="H5749">
        <v>2.1871269999999998</v>
      </c>
      <c r="I5749">
        <v>-67.24503</v>
      </c>
      <c r="J5749">
        <v>-296.58859999999999</v>
      </c>
      <c r="K5749">
        <v>1.1189960000000001</v>
      </c>
      <c r="L5749">
        <v>-54.015140000000002</v>
      </c>
      <c r="M5749">
        <v>0.60446169999999899</v>
      </c>
      <c r="N5749">
        <v>0</v>
      </c>
      <c r="O5749">
        <v>-0.79647060000000003</v>
      </c>
      <c r="P5749">
        <v>0.8133416</v>
      </c>
      <c r="Q5749">
        <v>-3.8342679999999997E-2</v>
      </c>
      <c r="R5749">
        <v>-0.58052179999999998</v>
      </c>
      <c r="S5749">
        <v>3.4651179999999999</v>
      </c>
      <c r="T5749">
        <v>2.8846739999999999E-2</v>
      </c>
      <c r="U5749">
        <v>-0.36285400000000001</v>
      </c>
      <c r="V5749">
        <v>-0.29640499999999997</v>
      </c>
      <c r="W5749">
        <v>-2.902536E-2</v>
      </c>
      <c r="X5749">
        <v>0.95462119999999995</v>
      </c>
      <c r="Y5749">
        <v>-0.72923700000000002</v>
      </c>
      <c r="Z5749">
        <v>-8.7623649999999994E-3</v>
      </c>
      <c r="AA5749">
        <v>0.68420509999999901</v>
      </c>
      <c r="AB5749">
        <v>24</v>
      </c>
      <c r="AC5749">
        <v>128.13799999999901</v>
      </c>
      <c r="AD5749">
        <v>1.0681309999999999</v>
      </c>
      <c r="AE5749">
        <v>-13.2298899999999</v>
      </c>
      <c r="AF5749">
        <v>-94.066980897870707</v>
      </c>
      <c r="AG5749">
        <v>1.0681309999999999</v>
      </c>
      <c r="AH5749">
        <v>87.997150895944102</v>
      </c>
      <c r="AI5749">
        <v>89.524898305728698</v>
      </c>
      <c r="AJ5749">
        <v>136.90947483491101</v>
      </c>
      <c r="AK5749">
        <v>128.81473659825201</v>
      </c>
      <c r="AL5749">
        <v>91.663264198923599</v>
      </c>
      <c r="AM5749">
        <v>107.249301412435</v>
      </c>
      <c r="AN5749">
        <v>1.00000001551878</v>
      </c>
    </row>
    <row r="5750" spans="1:40" x14ac:dyDescent="0.3">
      <c r="A5750" t="str">
        <f>"20200111160618034"</f>
        <v>20200111160618034</v>
      </c>
      <c r="B5750" t="str">
        <f>"1578729978028519"</f>
        <v>1578729978028519</v>
      </c>
      <c r="C5750" t="s">
        <v>40</v>
      </c>
      <c r="D5750">
        <v>5.0105820000000003</v>
      </c>
      <c r="E5750">
        <v>0.28203260000000002</v>
      </c>
      <c r="F5750" t="s">
        <v>69</v>
      </c>
      <c r="G5750">
        <v>-168.45060000000001</v>
      </c>
      <c r="H5750">
        <v>1.414841</v>
      </c>
      <c r="I5750">
        <v>-65.99136</v>
      </c>
      <c r="J5750">
        <v>-296.45359999999999</v>
      </c>
      <c r="K5750">
        <v>1.1190519999999999</v>
      </c>
      <c r="L5750">
        <v>-54.171419999999998</v>
      </c>
      <c r="M5750">
        <v>0.61372660000000001</v>
      </c>
      <c r="N5750">
        <v>0</v>
      </c>
      <c r="O5750">
        <v>-0.78935349999999904</v>
      </c>
      <c r="P5750">
        <v>0.82052400000000003</v>
      </c>
      <c r="Q5750">
        <v>-3.8592880000000003E-2</v>
      </c>
      <c r="R5750">
        <v>-0.57030809999999998</v>
      </c>
      <c r="S5750">
        <v>3.4581599999999999</v>
      </c>
      <c r="T5750">
        <v>7.9836850000000008E-3</v>
      </c>
      <c r="U5750">
        <v>-0.32321169999999999</v>
      </c>
      <c r="V5750">
        <v>-0.29716769999999998</v>
      </c>
      <c r="W5750">
        <v>-2.9311159999999999E-2</v>
      </c>
      <c r="X5750">
        <v>0.95437530000000004</v>
      </c>
      <c r="Y5750">
        <v>-0.72890769999999905</v>
      </c>
      <c r="Z5750">
        <v>-2.42515E-3</v>
      </c>
      <c r="AA5750">
        <v>0.68460769999999904</v>
      </c>
      <c r="AB5750">
        <v>24</v>
      </c>
      <c r="AC5750">
        <v>128.00299999999999</v>
      </c>
      <c r="AD5750">
        <v>0.29578900000000002</v>
      </c>
      <c r="AE5750">
        <v>-11.819940000000001</v>
      </c>
      <c r="AF5750">
        <v>-93.797135754426506</v>
      </c>
      <c r="AG5750">
        <v>0.29578900000000002</v>
      </c>
      <c r="AH5750">
        <v>87.899950705298593</v>
      </c>
      <c r="AI5750">
        <v>89.868161486741599</v>
      </c>
      <c r="AJ5750">
        <v>136.85894696216701</v>
      </c>
      <c r="AK5750">
        <v>128.54723451269001</v>
      </c>
      <c r="AL5750">
        <v>91.679646329520097</v>
      </c>
      <c r="AM5750">
        <v>107.295233015778</v>
      </c>
      <c r="AN5750">
        <v>0.99999999963696196</v>
      </c>
    </row>
    <row r="5751" spans="1:40" x14ac:dyDescent="0.3">
      <c r="A5751" t="str">
        <f>"20200111160618055"</f>
        <v>20200111160618055</v>
      </c>
      <c r="B5751" t="str">
        <f>"1578729978048039"</f>
        <v>1578729978048039</v>
      </c>
      <c r="C5751" t="s">
        <v>40</v>
      </c>
      <c r="D5751">
        <v>5.1194790000000001</v>
      </c>
      <c r="E5751">
        <v>0.28378399999999998</v>
      </c>
      <c r="F5751" t="s">
        <v>69</v>
      </c>
      <c r="G5751">
        <v>-157.3501</v>
      </c>
      <c r="H5751">
        <v>1.343135</v>
      </c>
      <c r="I5751">
        <v>-65.780270000000002</v>
      </c>
      <c r="J5751">
        <v>-296.30770000000001</v>
      </c>
      <c r="K5751">
        <v>1.1191</v>
      </c>
      <c r="L5751">
        <v>-54.336060000000003</v>
      </c>
      <c r="M5751">
        <v>0.62361069999999996</v>
      </c>
      <c r="N5751">
        <v>0</v>
      </c>
      <c r="O5751">
        <v>-0.78156769999999998</v>
      </c>
      <c r="P5751">
        <v>0.82800790000000002</v>
      </c>
      <c r="Q5751">
        <v>-3.7885420000000003E-2</v>
      </c>
      <c r="R5751">
        <v>-0.55943520000000002</v>
      </c>
      <c r="S5751">
        <v>3.4560240000000002</v>
      </c>
      <c r="T5751">
        <v>5.566835E-3</v>
      </c>
      <c r="U5751">
        <v>-0.2884216</v>
      </c>
      <c r="V5751">
        <v>-0.29778329999999997</v>
      </c>
      <c r="W5751">
        <v>-2.8633869999999999E-2</v>
      </c>
      <c r="X5751">
        <v>0.95420400000000005</v>
      </c>
      <c r="Y5751">
        <v>-0.72709069999999998</v>
      </c>
      <c r="Z5751">
        <v>-1.6863270000000001E-3</v>
      </c>
      <c r="AA5751">
        <v>0.68653940000000002</v>
      </c>
      <c r="AB5751">
        <v>24</v>
      </c>
      <c r="AC5751">
        <v>138.95760000000001</v>
      </c>
      <c r="AD5751">
        <v>0.22403500000000001</v>
      </c>
      <c r="AE5751">
        <v>-11.44421</v>
      </c>
      <c r="AF5751">
        <v>-101.481053912655</v>
      </c>
      <c r="AG5751">
        <v>0.22403500000000001</v>
      </c>
      <c r="AH5751">
        <v>95.612132358226901</v>
      </c>
      <c r="AI5751">
        <v>89.907936165424303</v>
      </c>
      <c r="AJ5751">
        <v>136.70561502792901</v>
      </c>
      <c r="AK5751">
        <v>139.42788225097399</v>
      </c>
      <c r="AL5751">
        <v>91.640824118382596</v>
      </c>
      <c r="AM5751">
        <v>107.331842423418</v>
      </c>
      <c r="AN5751">
        <v>1.0000000329430301</v>
      </c>
    </row>
    <row r="5752" spans="1:40" x14ac:dyDescent="0.3">
      <c r="A5752" t="str">
        <f>"20200111160618077"</f>
        <v>20200111160618077</v>
      </c>
      <c r="B5752" t="str">
        <f>"1578729978067559"</f>
        <v>1578729978067559</v>
      </c>
      <c r="C5752" t="s">
        <v>40</v>
      </c>
      <c r="D5752">
        <v>5.0076489999999998</v>
      </c>
      <c r="E5752">
        <v>0.28561579999999998</v>
      </c>
      <c r="F5752" t="s">
        <v>69</v>
      </c>
      <c r="G5752">
        <v>-157.3501</v>
      </c>
      <c r="H5752">
        <v>1.31701</v>
      </c>
      <c r="I5752">
        <v>-64.565159999999906</v>
      </c>
      <c r="J5752">
        <v>-296.15460000000002</v>
      </c>
      <c r="K5752">
        <v>1.1191549999999999</v>
      </c>
      <c r="L5752">
        <v>-54.504240000000003</v>
      </c>
      <c r="M5752">
        <v>0.63384079999999998</v>
      </c>
      <c r="N5752">
        <v>0</v>
      </c>
      <c r="O5752">
        <v>-0.77329389999999998</v>
      </c>
      <c r="P5752">
        <v>0.83541659999999995</v>
      </c>
      <c r="Q5752">
        <v>-3.6821739999999999E-2</v>
      </c>
      <c r="R5752">
        <v>-0.54838290000000001</v>
      </c>
      <c r="S5752">
        <v>3.4516909999999998</v>
      </c>
      <c r="T5752">
        <v>4.915595E-3</v>
      </c>
      <c r="U5752">
        <v>-0.25408940000000002</v>
      </c>
      <c r="V5752">
        <v>-0.2979636</v>
      </c>
      <c r="W5752">
        <v>-2.7588950000000001E-2</v>
      </c>
      <c r="X5752">
        <v>0.95417850000000004</v>
      </c>
      <c r="Y5752">
        <v>-0.72476799999999997</v>
      </c>
      <c r="Z5752">
        <v>-1.4847770000000001E-3</v>
      </c>
      <c r="AA5752">
        <v>0.68899140000000003</v>
      </c>
      <c r="AB5752">
        <v>24</v>
      </c>
      <c r="AC5752">
        <v>138.80449999999999</v>
      </c>
      <c r="AD5752">
        <v>0.197855</v>
      </c>
      <c r="AE5752">
        <v>-10.0609199999999</v>
      </c>
      <c r="AF5752">
        <v>-100.972695203871</v>
      </c>
      <c r="AG5752">
        <v>0.197855</v>
      </c>
      <c r="AH5752">
        <v>95.772375254024794</v>
      </c>
      <c r="AI5752">
        <v>89.9185429170943</v>
      </c>
      <c r="AJ5752">
        <v>136.514076188568</v>
      </c>
      <c r="AK5752">
        <v>139.16850284864299</v>
      </c>
      <c r="AL5752">
        <v>91.580930940844894</v>
      </c>
      <c r="AM5752">
        <v>107.34214297637</v>
      </c>
      <c r="AN5752">
        <v>1.0000000334746499</v>
      </c>
    </row>
    <row r="5753" spans="1:40" x14ac:dyDescent="0.3">
      <c r="A5753" t="str">
        <f>"20200111160618099"</f>
        <v>20200111160618099</v>
      </c>
      <c r="B5753" t="str">
        <f>"1578729978088139"</f>
        <v>1578729978088139</v>
      </c>
      <c r="C5753" t="s">
        <v>40</v>
      </c>
      <c r="D5753">
        <v>5.0058249999999997</v>
      </c>
      <c r="E5753">
        <v>0.28688730000000001</v>
      </c>
      <c r="F5753" t="s">
        <v>69</v>
      </c>
      <c r="G5753">
        <v>-157.3501</v>
      </c>
      <c r="H5753">
        <v>1.169535</v>
      </c>
      <c r="I5753">
        <v>-63.360340000000001</v>
      </c>
      <c r="J5753">
        <v>-295.99869999999999</v>
      </c>
      <c r="K5753">
        <v>1.119216</v>
      </c>
      <c r="L5753">
        <v>-54.670749999999998</v>
      </c>
      <c r="M5753">
        <v>0.64409569999999905</v>
      </c>
      <c r="N5753">
        <v>0</v>
      </c>
      <c r="O5753">
        <v>-0.76477299999999904</v>
      </c>
      <c r="P5753">
        <v>0.84286679999999903</v>
      </c>
      <c r="Q5753">
        <v>-3.487005E-2</v>
      </c>
      <c r="R5753">
        <v>-0.53699160000000001</v>
      </c>
      <c r="S5753">
        <v>3.4467159999999999</v>
      </c>
      <c r="T5753">
        <v>1.2505050000000001E-3</v>
      </c>
      <c r="U5753">
        <v>-0.21990970000000001</v>
      </c>
      <c r="V5753">
        <v>-0.29829420000000001</v>
      </c>
      <c r="W5753">
        <v>-2.5659810000000002E-2</v>
      </c>
      <c r="X5753">
        <v>0.954129</v>
      </c>
      <c r="Y5753">
        <v>-0.72230450000000002</v>
      </c>
      <c r="Z5753">
        <v>-3.7653550000000001E-4</v>
      </c>
      <c r="AA5753">
        <v>0.6915751</v>
      </c>
      <c r="AB5753">
        <v>24</v>
      </c>
      <c r="AC5753">
        <v>138.64859999999999</v>
      </c>
      <c r="AD5753">
        <v>5.0319000000000003E-2</v>
      </c>
      <c r="AE5753">
        <v>-8.6895900000000008</v>
      </c>
      <c r="AF5753">
        <v>-100.450974591262</v>
      </c>
      <c r="AG5753">
        <v>5.0319000000000003E-2</v>
      </c>
      <c r="AH5753">
        <v>95.961137425476096</v>
      </c>
      <c r="AI5753">
        <v>89.979246664474601</v>
      </c>
      <c r="AJ5753">
        <v>136.30951153466901</v>
      </c>
      <c r="AK5753">
        <v>138.920627425617</v>
      </c>
      <c r="AL5753">
        <v>91.470360196958794</v>
      </c>
      <c r="AM5753">
        <v>107.361075515517</v>
      </c>
      <c r="AN5753">
        <v>1.00000000212193</v>
      </c>
    </row>
    <row r="5754" spans="1:40" x14ac:dyDescent="0.3">
      <c r="A5754" t="str">
        <f>"20200111160618123"</f>
        <v>20200111160618123</v>
      </c>
      <c r="B5754" t="str">
        <f>"1578729978118396"</f>
        <v>1578729978118396</v>
      </c>
      <c r="C5754" t="s">
        <v>40</v>
      </c>
      <c r="D5754">
        <v>5.0845469999999997</v>
      </c>
      <c r="E5754">
        <v>0.28938229999999998</v>
      </c>
      <c r="F5754" t="s">
        <v>69</v>
      </c>
      <c r="G5754">
        <v>-157.3501</v>
      </c>
      <c r="H5754">
        <v>1.216531</v>
      </c>
      <c r="I5754">
        <v>-61.969909999999999</v>
      </c>
      <c r="J5754">
        <v>-295.83269999999999</v>
      </c>
      <c r="K5754">
        <v>1.1192690000000001</v>
      </c>
      <c r="L5754">
        <v>-54.843200000000003</v>
      </c>
      <c r="M5754">
        <v>0.65484500000000001</v>
      </c>
      <c r="N5754">
        <v>0</v>
      </c>
      <c r="O5754">
        <v>-0.75558879999999995</v>
      </c>
      <c r="P5754">
        <v>0.85082530000000001</v>
      </c>
      <c r="Q5754">
        <v>-3.4616330000000001E-2</v>
      </c>
      <c r="R5754">
        <v>-0.52430769999999904</v>
      </c>
      <c r="S5754">
        <v>3.4439090000000001</v>
      </c>
      <c r="T5754">
        <v>2.4167300000000002E-3</v>
      </c>
      <c r="U5754">
        <v>-0.18130489999999999</v>
      </c>
      <c r="V5754">
        <v>-0.2991028</v>
      </c>
      <c r="W5754">
        <v>-2.544428E-2</v>
      </c>
      <c r="X5754">
        <v>0.9538816</v>
      </c>
      <c r="Y5754">
        <v>-0.72021190000000002</v>
      </c>
      <c r="Z5754">
        <v>-7.2471929999999996E-4</v>
      </c>
      <c r="AA5754">
        <v>0.69375379999999998</v>
      </c>
      <c r="AB5754">
        <v>24</v>
      </c>
      <c r="AC5754">
        <v>138.48259999999999</v>
      </c>
      <c r="AD5754">
        <v>9.7261999999999904E-2</v>
      </c>
      <c r="AE5754">
        <v>-7.1267099999999903</v>
      </c>
      <c r="AF5754">
        <v>-99.982140041294201</v>
      </c>
      <c r="AG5754">
        <v>9.7261999999999904E-2</v>
      </c>
      <c r="AH5754">
        <v>96.082117228794303</v>
      </c>
      <c r="AI5754">
        <v>89.959811997211901</v>
      </c>
      <c r="AJ5754">
        <v>136.13955182609001</v>
      </c>
      <c r="AK5754">
        <v>138.665825055423</v>
      </c>
      <c r="AL5754">
        <v>91.458007205048602</v>
      </c>
      <c r="AM5754">
        <v>107.40953967025</v>
      </c>
      <c r="AN5754">
        <v>1.0000000015855499</v>
      </c>
    </row>
    <row r="5755" spans="1:40" x14ac:dyDescent="0.3">
      <c r="A5755" t="str">
        <f>"20200111160618146"</f>
        <v>20200111160618146</v>
      </c>
      <c r="B5755" t="str">
        <f>"1578729978137915"</f>
        <v>1578729978137915</v>
      </c>
      <c r="C5755" t="s">
        <v>40</v>
      </c>
      <c r="D5755">
        <v>5.1257910000000004</v>
      </c>
      <c r="E5755">
        <v>0.31008249999999998</v>
      </c>
      <c r="F5755" t="s">
        <v>69</v>
      </c>
      <c r="G5755">
        <v>-157.3501</v>
      </c>
      <c r="H5755">
        <v>0.86084269999999996</v>
      </c>
      <c r="I5755">
        <v>-60.739080000000001</v>
      </c>
      <c r="J5755">
        <v>-295.66950000000003</v>
      </c>
      <c r="K5755">
        <v>1.119316</v>
      </c>
      <c r="L5755">
        <v>-55.007570000000001</v>
      </c>
      <c r="M5755">
        <v>0.66523920000000003</v>
      </c>
      <c r="N5755">
        <v>0</v>
      </c>
      <c r="O5755">
        <v>-0.74645309999999998</v>
      </c>
      <c r="P5755">
        <v>0.85869329999999999</v>
      </c>
      <c r="Q5755">
        <v>-3.4316819999999998E-2</v>
      </c>
      <c r="R5755">
        <v>-0.5113394</v>
      </c>
      <c r="S5755">
        <v>3.4356080000000002</v>
      </c>
      <c r="T5755">
        <v>-6.411791E-3</v>
      </c>
      <c r="U5755">
        <v>-0.14627079999999901</v>
      </c>
      <c r="V5755">
        <v>-0.30038399999999998</v>
      </c>
      <c r="W5755">
        <v>-2.519453E-2</v>
      </c>
      <c r="X5755">
        <v>0.95348549999999999</v>
      </c>
      <c r="Y5755">
        <v>-0.71757340000000003</v>
      </c>
      <c r="Z5755">
        <v>1.9167380000000001E-3</v>
      </c>
      <c r="AA5755">
        <v>0.69648030000000005</v>
      </c>
      <c r="AB5755">
        <v>23</v>
      </c>
      <c r="AC5755">
        <v>138.3194</v>
      </c>
      <c r="AD5755">
        <v>-0.25847329999999902</v>
      </c>
      <c r="AE5755">
        <v>-5.7315100000000001</v>
      </c>
      <c r="AF5755">
        <v>-99.448929950082501</v>
      </c>
      <c r="AG5755">
        <v>-0.25847329999999902</v>
      </c>
      <c r="AH5755">
        <v>96.3061957447635</v>
      </c>
      <c r="AI5755">
        <v>90.106975348362695</v>
      </c>
      <c r="AJ5755">
        <v>135.91977125796001</v>
      </c>
      <c r="AK5755">
        <v>138.437855427957</v>
      </c>
      <c r="AL5755">
        <v>91.443693062046194</v>
      </c>
      <c r="AM5755">
        <v>107.486398988891</v>
      </c>
      <c r="AN5755">
        <v>0.99999995525408403</v>
      </c>
    </row>
    <row r="5756" spans="1:40" x14ac:dyDescent="0.3">
      <c r="A5756" t="str">
        <f>"20200111160618167"</f>
        <v>20200111160618167</v>
      </c>
      <c r="B5756" t="str">
        <f>"1578729978158412"</f>
        <v>1578729978158412</v>
      </c>
      <c r="C5756" t="s">
        <v>40</v>
      </c>
      <c r="D5756">
        <v>5.1726470000000004</v>
      </c>
      <c r="E5756">
        <v>0.31199159999999998</v>
      </c>
      <c r="F5756" t="s">
        <v>41</v>
      </c>
      <c r="G5756">
        <v>-259.98669999999998</v>
      </c>
      <c r="H5756" s="1">
        <v>2.3050419999999999E-7</v>
      </c>
      <c r="I5756">
        <v>-57.480350000000001</v>
      </c>
      <c r="J5756">
        <v>-295.51420000000002</v>
      </c>
      <c r="K5756">
        <v>1.1193660000000001</v>
      </c>
      <c r="L5756">
        <v>-55.159519999999901</v>
      </c>
      <c r="M5756">
        <v>0.67496480000000003</v>
      </c>
      <c r="N5756">
        <v>0</v>
      </c>
      <c r="O5756">
        <v>-0.73767019999999905</v>
      </c>
      <c r="P5756">
        <v>0.86635790000000001</v>
      </c>
      <c r="Q5756">
        <v>-3.4682150000000002E-2</v>
      </c>
      <c r="R5756">
        <v>-0.49821840000000001</v>
      </c>
      <c r="S5756">
        <v>3.3511660000000001</v>
      </c>
      <c r="T5756">
        <v>-0.1051211</v>
      </c>
      <c r="U5756">
        <v>-0.2322388</v>
      </c>
      <c r="V5756">
        <v>-0.30236859999999999</v>
      </c>
      <c r="W5756">
        <v>-2.562598E-2</v>
      </c>
      <c r="X5756">
        <v>0.95284650000000004</v>
      </c>
      <c r="Y5756">
        <v>-0.68871309999999997</v>
      </c>
      <c r="Z5756">
        <v>3.1513970000000002E-2</v>
      </c>
      <c r="AA5756">
        <v>0.72434880000000001</v>
      </c>
      <c r="AB5756">
        <v>23</v>
      </c>
      <c r="AC5756">
        <v>35.527500000000003</v>
      </c>
      <c r="AD5756">
        <v>-1.1193657694957999</v>
      </c>
      <c r="AE5756">
        <v>-2.3208299999999999</v>
      </c>
      <c r="AF5756">
        <v>-24.620031199811201</v>
      </c>
      <c r="AG5756">
        <v>-1.1193657694957999</v>
      </c>
      <c r="AH5756">
        <v>25.669852417405298</v>
      </c>
      <c r="AI5756">
        <v>91.802565669347601</v>
      </c>
      <c r="AJ5756">
        <v>133.80410163057999</v>
      </c>
      <c r="AK5756">
        <v>35.585674633719698</v>
      </c>
      <c r="AL5756">
        <v>91.468421309657899</v>
      </c>
      <c r="AM5756">
        <v>107.605893984383</v>
      </c>
      <c r="AN5756">
        <v>0.99999995683958398</v>
      </c>
    </row>
    <row r="5757" spans="1:40" x14ac:dyDescent="0.3">
      <c r="A5757" t="str">
        <f>"20200111160618212"</f>
        <v>20200111160618212</v>
      </c>
      <c r="B5757" t="str">
        <f>"1578729978208188"</f>
        <v>1578729978208188</v>
      </c>
      <c r="C5757" t="s">
        <v>40</v>
      </c>
      <c r="D5757">
        <v>5.2944529999999999</v>
      </c>
      <c r="E5757">
        <v>0.3244687</v>
      </c>
      <c r="F5757" t="s">
        <v>96</v>
      </c>
      <c r="G5757">
        <v>-263.77170000000001</v>
      </c>
      <c r="H5757" s="1">
        <v>-1.223582E-6</v>
      </c>
      <c r="I5757">
        <v>-56.999609999999997</v>
      </c>
      <c r="J5757">
        <v>-295.18200000000002</v>
      </c>
      <c r="K5757">
        <v>1.1194249999999999</v>
      </c>
      <c r="L5757">
        <v>-55.470860000000002</v>
      </c>
      <c r="M5757">
        <v>0.69521119999999903</v>
      </c>
      <c r="N5757">
        <v>0</v>
      </c>
      <c r="O5757">
        <v>-0.71862040000000005</v>
      </c>
      <c r="P5757">
        <v>0.88057350000000001</v>
      </c>
      <c r="Q5757">
        <v>-3.5927099999999997E-2</v>
      </c>
      <c r="R5757">
        <v>-0.47254620000000003</v>
      </c>
      <c r="S5757">
        <v>3.3464659999999999</v>
      </c>
      <c r="T5757">
        <v>-0.1180098</v>
      </c>
      <c r="U5757">
        <v>-0.19400020000000001</v>
      </c>
      <c r="V5757">
        <v>-0.303811</v>
      </c>
      <c r="W5757">
        <v>-2.692023E-2</v>
      </c>
      <c r="X5757">
        <v>0.95235190000000003</v>
      </c>
      <c r="Y5757">
        <v>-0.67649519999999996</v>
      </c>
      <c r="Z5757">
        <v>3.4828520000000002E-2</v>
      </c>
      <c r="AA5757">
        <v>0.73562309999999997</v>
      </c>
      <c r="AB5757">
        <v>23</v>
      </c>
      <c r="AC5757">
        <v>31.410299999999999</v>
      </c>
      <c r="AD5757">
        <v>-1.1194262235819901</v>
      </c>
      <c r="AE5757">
        <v>-1.5287500000000001</v>
      </c>
      <c r="AF5757">
        <v>-21.484916634570901</v>
      </c>
      <c r="AG5757">
        <v>-1.1194262235819901</v>
      </c>
      <c r="AH5757">
        <v>22.909406479447998</v>
      </c>
      <c r="AI5757">
        <v>92.041260405614395</v>
      </c>
      <c r="AJ5757">
        <v>133.16216901397999</v>
      </c>
      <c r="AK5757">
        <v>31.427625794912998</v>
      </c>
      <c r="AL5757">
        <v>91.542601948903794</v>
      </c>
      <c r="AM5757">
        <v>107.693269549072</v>
      </c>
      <c r="AN5757">
        <v>0.99999998196893103</v>
      </c>
    </row>
    <row r="5758" spans="1:40" x14ac:dyDescent="0.3">
      <c r="A5758" t="str">
        <f>"20200111160618234"</f>
        <v>20200111160618234</v>
      </c>
      <c r="B5758" t="str">
        <f>"1578729978227707"</f>
        <v>1578729978227707</v>
      </c>
      <c r="C5758" t="s">
        <v>40</v>
      </c>
      <c r="D5758">
        <v>5.2440340000000001</v>
      </c>
      <c r="E5758">
        <v>0.32550699999999999</v>
      </c>
      <c r="F5758" t="s">
        <v>41</v>
      </c>
      <c r="G5758">
        <v>-275.84050000000002</v>
      </c>
      <c r="H5758" s="1">
        <v>-2.511882E-6</v>
      </c>
      <c r="I5758">
        <v>-56.529969999999999</v>
      </c>
      <c r="J5758">
        <v>-295.01080000000002</v>
      </c>
      <c r="K5758">
        <v>1.1194390000000001</v>
      </c>
      <c r="L5758">
        <v>-55.624569999999999</v>
      </c>
      <c r="M5758">
        <v>0.70535749999999997</v>
      </c>
      <c r="N5758">
        <v>0</v>
      </c>
      <c r="O5758">
        <v>-0.7086635</v>
      </c>
      <c r="P5758">
        <v>0.88690789999999997</v>
      </c>
      <c r="Q5758">
        <v>-3.6815100000000003E-2</v>
      </c>
      <c r="R5758">
        <v>-0.46047680000000002</v>
      </c>
      <c r="S5758">
        <v>3.3020629999999902</v>
      </c>
      <c r="T5758">
        <v>-0.1911137</v>
      </c>
      <c r="U5758">
        <v>-0.1808167</v>
      </c>
      <c r="V5758">
        <v>-0.30323099999999997</v>
      </c>
      <c r="W5758">
        <v>-2.7793459999999999E-2</v>
      </c>
      <c r="X5758">
        <v>0.95251169999999996</v>
      </c>
      <c r="Y5758">
        <v>-0.66705599999999998</v>
      </c>
      <c r="Z5758">
        <v>5.649962E-2</v>
      </c>
      <c r="AA5758">
        <v>0.74286209999999997</v>
      </c>
      <c r="AB5758">
        <v>23</v>
      </c>
      <c r="AC5758">
        <v>19.170300000000001</v>
      </c>
      <c r="AD5758">
        <v>-1.11944151188199</v>
      </c>
      <c r="AE5758">
        <v>-0.90539999999999998</v>
      </c>
      <c r="AF5758">
        <v>-12.904483506681601</v>
      </c>
      <c r="AG5758">
        <v>-1.11944151188199</v>
      </c>
      <c r="AH5758">
        <v>14.117396757478801</v>
      </c>
      <c r="AI5758">
        <v>93.349586879352699</v>
      </c>
      <c r="AJ5758">
        <v>132.42992739519099</v>
      </c>
      <c r="AK5758">
        <v>19.159325016315599</v>
      </c>
      <c r="AL5758">
        <v>91.592653005437896</v>
      </c>
      <c r="AM5758">
        <v>107.65881396981101</v>
      </c>
      <c r="AN5758">
        <v>1.00000002720833</v>
      </c>
    </row>
    <row r="5759" spans="1:40" x14ac:dyDescent="0.3">
      <c r="A5759" t="str">
        <f>"20200111160618256"</f>
        <v>20200111160618256</v>
      </c>
      <c r="B5759" t="str">
        <f>"1578729978248203"</f>
        <v>1578729978248203</v>
      </c>
      <c r="C5759" t="s">
        <v>40</v>
      </c>
      <c r="D5759">
        <v>5.4286430000000001</v>
      </c>
      <c r="E5759">
        <v>0.32595239999999998</v>
      </c>
      <c r="F5759" t="s">
        <v>41</v>
      </c>
      <c r="G5759">
        <v>-277.61070000000001</v>
      </c>
      <c r="H5759" s="1">
        <v>-3.3055119999999999E-6</v>
      </c>
      <c r="I5759">
        <v>-56.375100000000003</v>
      </c>
      <c r="J5759">
        <v>-294.84469999999999</v>
      </c>
      <c r="K5759">
        <v>1.1194470000000001</v>
      </c>
      <c r="L5759">
        <v>-55.769530000000003</v>
      </c>
      <c r="M5759">
        <v>0.71502580000000004</v>
      </c>
      <c r="N5759">
        <v>0</v>
      </c>
      <c r="O5759">
        <v>-0.69890669999999899</v>
      </c>
      <c r="P5759">
        <v>0.89238759999999995</v>
      </c>
      <c r="Q5759">
        <v>-3.6949990000000002E-2</v>
      </c>
      <c r="R5759">
        <v>-0.4497545</v>
      </c>
      <c r="S5759">
        <v>3.2998349999999999</v>
      </c>
      <c r="T5759">
        <v>-0.2122956</v>
      </c>
      <c r="U5759">
        <v>-0.14233399999999999</v>
      </c>
      <c r="V5759">
        <v>-0.30161830000000001</v>
      </c>
      <c r="W5759">
        <v>-2.7885460000000001E-2</v>
      </c>
      <c r="X5759">
        <v>0.95302089999999995</v>
      </c>
      <c r="Y5759">
        <v>-0.66497919999999999</v>
      </c>
      <c r="Z5759">
        <v>6.2366709999999999E-2</v>
      </c>
      <c r="AA5759">
        <v>0.74425339999999995</v>
      </c>
      <c r="AB5759">
        <v>23</v>
      </c>
      <c r="AC5759">
        <v>17.233999999999899</v>
      </c>
      <c r="AD5759">
        <v>-1.11945030551199</v>
      </c>
      <c r="AE5759">
        <v>-0.60557000000000005</v>
      </c>
      <c r="AF5759">
        <v>-11.5647787119487</v>
      </c>
      <c r="AG5759">
        <v>-1.11945030551199</v>
      </c>
      <c r="AH5759">
        <v>12.6942026399604</v>
      </c>
      <c r="AI5759">
        <v>93.729800901978294</v>
      </c>
      <c r="AJ5759">
        <v>132.33440867850399</v>
      </c>
      <c r="AK5759">
        <v>17.2087203564713</v>
      </c>
      <c r="AL5759">
        <v>91.597926277514901</v>
      </c>
      <c r="AM5759">
        <v>107.561879090161</v>
      </c>
      <c r="AN5759">
        <v>1.0000000168055501</v>
      </c>
    </row>
    <row r="5760" spans="1:40" x14ac:dyDescent="0.3">
      <c r="A5760" t="str">
        <f>"20200111160618278"</f>
        <v>20200111160618278</v>
      </c>
      <c r="B5760" t="str">
        <f>"1578729978267723"</f>
        <v>1578729978267723</v>
      </c>
      <c r="C5760" t="s">
        <v>40</v>
      </c>
      <c r="D5760">
        <v>5.2532240000000003</v>
      </c>
      <c r="E5760">
        <v>0.32804450000000002</v>
      </c>
      <c r="F5760" t="s">
        <v>41</v>
      </c>
      <c r="G5760">
        <v>-276.12610000000001</v>
      </c>
      <c r="H5760" s="1">
        <v>-2.66927E-6</v>
      </c>
      <c r="I5760">
        <v>-56.372280000000003</v>
      </c>
      <c r="J5760">
        <v>-294.67340000000002</v>
      </c>
      <c r="K5760">
        <v>1.1194660000000001</v>
      </c>
      <c r="L5760">
        <v>-55.914670000000001</v>
      </c>
      <c r="M5760">
        <v>0.72480019999999901</v>
      </c>
      <c r="N5760">
        <v>0</v>
      </c>
      <c r="O5760">
        <v>-0.68876490000000001</v>
      </c>
      <c r="P5760">
        <v>0.89779869999999995</v>
      </c>
      <c r="Q5760">
        <v>-3.699947E-2</v>
      </c>
      <c r="R5760">
        <v>-0.43884980000000001</v>
      </c>
      <c r="S5760">
        <v>3.2999879999999999</v>
      </c>
      <c r="T5760">
        <v>-0.19735369999999999</v>
      </c>
      <c r="U5760">
        <v>-0.1062622</v>
      </c>
      <c r="V5760">
        <v>-0.2998014</v>
      </c>
      <c r="W5760">
        <v>-2.788713E-2</v>
      </c>
      <c r="X5760">
        <v>0.95359400000000005</v>
      </c>
      <c r="Y5760">
        <v>-0.66296650000000001</v>
      </c>
      <c r="Z5760">
        <v>5.7556400000000001E-2</v>
      </c>
      <c r="AA5760">
        <v>0.74643329999999997</v>
      </c>
      <c r="AB5760">
        <v>23</v>
      </c>
      <c r="AC5760">
        <v>18.5473</v>
      </c>
      <c r="AD5760">
        <v>-1.11946866927</v>
      </c>
      <c r="AE5760">
        <v>-0.45761000000000901</v>
      </c>
      <c r="AF5760">
        <v>-12.399574004240399</v>
      </c>
      <c r="AG5760">
        <v>-1.11946866927</v>
      </c>
      <c r="AH5760">
        <v>13.710197317010699</v>
      </c>
      <c r="AI5760">
        <v>93.465532549881601</v>
      </c>
      <c r="AJ5760">
        <v>132.12635519751299</v>
      </c>
      <c r="AK5760">
        <v>18.519507446459802</v>
      </c>
      <c r="AL5760">
        <v>91.598021954984503</v>
      </c>
      <c r="AM5760">
        <v>107.452679965828</v>
      </c>
      <c r="AN5760">
        <v>1.00000004414879</v>
      </c>
    </row>
    <row r="5761" spans="1:40" x14ac:dyDescent="0.3">
      <c r="A5761" t="str">
        <f>"20200111160618301"</f>
        <v>20200111160618301</v>
      </c>
      <c r="B5761" t="str">
        <f>"1578729978297980"</f>
        <v>1578729978297980</v>
      </c>
      <c r="C5761" t="s">
        <v>40</v>
      </c>
      <c r="D5761">
        <v>5.5560999999999998</v>
      </c>
      <c r="E5761">
        <v>0.3290517</v>
      </c>
      <c r="F5761" t="s">
        <v>41</v>
      </c>
      <c r="G5761">
        <v>-275.85300000000001</v>
      </c>
      <c r="H5761" s="1">
        <v>-2.550868E-6</v>
      </c>
      <c r="I5761">
        <v>-56.377809999999997</v>
      </c>
      <c r="J5761">
        <v>-294.49779999999998</v>
      </c>
      <c r="K5761">
        <v>1.1194869999999999</v>
      </c>
      <c r="L5761">
        <v>-56.059139999999999</v>
      </c>
      <c r="M5761">
        <v>0.7346241</v>
      </c>
      <c r="N5761">
        <v>0</v>
      </c>
      <c r="O5761">
        <v>-0.67827669999999995</v>
      </c>
      <c r="P5761">
        <v>0.9034721</v>
      </c>
      <c r="Q5761">
        <v>-3.6554910000000003E-2</v>
      </c>
      <c r="R5761">
        <v>-0.4270851</v>
      </c>
      <c r="S5761">
        <v>3.2938230000000002</v>
      </c>
      <c r="T5761">
        <v>-0.19592190000000001</v>
      </c>
      <c r="U5761">
        <v>-8.1054689999999999E-2</v>
      </c>
      <c r="V5761">
        <v>-0.29857329999999999</v>
      </c>
      <c r="W5761">
        <v>-2.7410219999999999E-2</v>
      </c>
      <c r="X5761">
        <v>0.95399299999999998</v>
      </c>
      <c r="Y5761">
        <v>-0.65792019999999996</v>
      </c>
      <c r="Z5761">
        <v>5.6689549999999998E-2</v>
      </c>
      <c r="AA5761">
        <v>0.75095089999999998</v>
      </c>
      <c r="AB5761">
        <v>23</v>
      </c>
      <c r="AC5761">
        <v>18.644799999999901</v>
      </c>
      <c r="AD5761">
        <v>-1.1194895508679901</v>
      </c>
      <c r="AE5761">
        <v>-0.31866999999999701</v>
      </c>
      <c r="AF5761">
        <v>-12.3693149131557</v>
      </c>
      <c r="AG5761">
        <v>-1.1194895508679901</v>
      </c>
      <c r="AH5761">
        <v>13.8649608103548</v>
      </c>
      <c r="AI5761">
        <v>93.447936527626396</v>
      </c>
      <c r="AJ5761">
        <v>131.737034556986</v>
      </c>
      <c r="AK5761">
        <v>18.614251168069899</v>
      </c>
      <c r="AL5761">
        <v>91.570686660793598</v>
      </c>
      <c r="AM5761">
        <v>107.378670011002</v>
      </c>
      <c r="AN5761">
        <v>0.999999989841169</v>
      </c>
    </row>
    <row r="5762" spans="1:40" x14ac:dyDescent="0.3">
      <c r="A5762" t="str">
        <f>"20200111160618324"</f>
        <v>20200111160618324</v>
      </c>
      <c r="B5762" t="str">
        <f>"1578729978318475"</f>
        <v>1578729978318475</v>
      </c>
      <c r="C5762" t="s">
        <v>40</v>
      </c>
      <c r="D5762">
        <v>5.4637129999999896</v>
      </c>
      <c r="E5762">
        <v>0.32967150000000001</v>
      </c>
      <c r="F5762" t="s">
        <v>41</v>
      </c>
      <c r="G5762">
        <v>-275.13819999999998</v>
      </c>
      <c r="H5762" s="1">
        <v>-2.2555989999999998E-6</v>
      </c>
      <c r="I5762">
        <v>-56.326430000000002</v>
      </c>
      <c r="J5762">
        <v>-294.32029999999997</v>
      </c>
      <c r="K5762">
        <v>1.1195090000000001</v>
      </c>
      <c r="L5762">
        <v>-56.200870000000002</v>
      </c>
      <c r="M5762">
        <v>0.74434889999999998</v>
      </c>
      <c r="N5762">
        <v>0</v>
      </c>
      <c r="O5762">
        <v>-0.66758989999999996</v>
      </c>
      <c r="P5762">
        <v>0.90887890000000005</v>
      </c>
      <c r="Q5762">
        <v>-3.6380490000000001E-2</v>
      </c>
      <c r="R5762">
        <v>-0.41547070000000003</v>
      </c>
      <c r="S5762">
        <v>3.2913510000000001</v>
      </c>
      <c r="T5762">
        <v>-0.1903261</v>
      </c>
      <c r="U5762">
        <v>-4.5440670000000002E-2</v>
      </c>
      <c r="V5762">
        <v>-0.29702299999999998</v>
      </c>
      <c r="W5762">
        <v>-2.7194389999999999E-2</v>
      </c>
      <c r="X5762">
        <v>0.95448299999999997</v>
      </c>
      <c r="Y5762">
        <v>-0.65529780000000004</v>
      </c>
      <c r="Z5762">
        <v>5.463436E-2</v>
      </c>
      <c r="AA5762">
        <v>0.75339219999999996</v>
      </c>
      <c r="AB5762">
        <v>23</v>
      </c>
      <c r="AC5762">
        <v>19.182099999999899</v>
      </c>
      <c r="AD5762">
        <v>-1.1195112555990001</v>
      </c>
      <c r="AE5762">
        <v>-0.125560000000007</v>
      </c>
      <c r="AF5762">
        <v>-12.670865262774299</v>
      </c>
      <c r="AG5762">
        <v>-1.1195112555990001</v>
      </c>
      <c r="AH5762">
        <v>14.3151680645999</v>
      </c>
      <c r="AI5762">
        <v>93.351402904469793</v>
      </c>
      <c r="AJ5762">
        <v>131.513186035838</v>
      </c>
      <c r="AK5762">
        <v>19.150148006648301</v>
      </c>
      <c r="AL5762">
        <v>91.558315889334594</v>
      </c>
      <c r="AM5762">
        <v>107.28547903110599</v>
      </c>
      <c r="AN5762">
        <v>0.99999999733273603</v>
      </c>
    </row>
    <row r="5763" spans="1:40" x14ac:dyDescent="0.3">
      <c r="A5763" t="str">
        <f>"20200111160618337"</f>
        <v>20200111160618337</v>
      </c>
      <c r="B5763" t="str">
        <f>"1578729978328236"</f>
        <v>1578729978328236</v>
      </c>
      <c r="C5763" t="s">
        <v>40</v>
      </c>
      <c r="D5763">
        <v>5.260853</v>
      </c>
      <c r="E5763">
        <v>0.33053329999999997</v>
      </c>
      <c r="F5763" t="s">
        <v>41</v>
      </c>
      <c r="G5763">
        <v>-275.13670000000002</v>
      </c>
      <c r="H5763" s="1">
        <v>-2.2728309999999999E-6</v>
      </c>
      <c r="I5763">
        <v>-56.245539999999998</v>
      </c>
      <c r="J5763">
        <v>-294.2115</v>
      </c>
      <c r="K5763">
        <v>1.1195200000000001</v>
      </c>
      <c r="L5763">
        <v>-56.2851</v>
      </c>
      <c r="M5763">
        <v>0.75019799999999903</v>
      </c>
      <c r="N5763">
        <v>0</v>
      </c>
      <c r="O5763">
        <v>-0.66101009999999905</v>
      </c>
      <c r="P5763">
        <v>0.91202919999999998</v>
      </c>
      <c r="Q5763">
        <v>-3.6368400000000002E-2</v>
      </c>
      <c r="R5763">
        <v>-0.40851009999999999</v>
      </c>
      <c r="S5763">
        <v>3.2895509999999999</v>
      </c>
      <c r="T5763">
        <v>-0.1919709</v>
      </c>
      <c r="U5763">
        <v>-7.6599119999999996E-3</v>
      </c>
      <c r="V5763">
        <v>-0.29591669999999998</v>
      </c>
      <c r="W5763">
        <v>-2.715132E-2</v>
      </c>
      <c r="X5763">
        <v>0.9548278</v>
      </c>
      <c r="Y5763">
        <v>-0.65726850000000003</v>
      </c>
      <c r="Z5763">
        <v>5.4950590000000001E-2</v>
      </c>
      <c r="AA5763">
        <v>0.75165059999999995</v>
      </c>
      <c r="AB5763">
        <v>23</v>
      </c>
      <c r="AC5763">
        <v>19.0747999999999</v>
      </c>
      <c r="AD5763">
        <v>-1.1195222728309999</v>
      </c>
      <c r="AE5763">
        <v>3.9559999999994398E-2</v>
      </c>
      <c r="AF5763">
        <v>-12.5966202094755</v>
      </c>
      <c r="AG5763">
        <v>-1.1195222728309999</v>
      </c>
      <c r="AH5763">
        <v>14.236606044600199</v>
      </c>
      <c r="AI5763">
        <v>93.370439295983402</v>
      </c>
      <c r="AJ5763">
        <v>131.502562527024</v>
      </c>
      <c r="AK5763">
        <v>19.042298246017399</v>
      </c>
      <c r="AL5763">
        <v>91.555847232603597</v>
      </c>
      <c r="AM5763">
        <v>107.219060947047</v>
      </c>
      <c r="AN5763">
        <v>1.00000000758473</v>
      </c>
    </row>
    <row r="5764" spans="1:40" x14ac:dyDescent="0.3">
      <c r="A5764" t="str">
        <f>"20200111160618368"</f>
        <v>20200111160618368</v>
      </c>
      <c r="B5764" t="str">
        <f>"1578729978358492"</f>
        <v>1578729978358492</v>
      </c>
      <c r="C5764" t="s">
        <v>40</v>
      </c>
      <c r="D5764">
        <v>5.3000889999999998</v>
      </c>
      <c r="E5764">
        <v>0.33207799999999998</v>
      </c>
      <c r="F5764" t="s">
        <v>41</v>
      </c>
      <c r="G5764">
        <v>-275.14089999999999</v>
      </c>
      <c r="H5764" s="1">
        <v>-2.280369E-6</v>
      </c>
      <c r="I5764">
        <v>-56.219580000000001</v>
      </c>
      <c r="J5764">
        <v>-293.97199999999998</v>
      </c>
      <c r="K5764">
        <v>1.1195310000000001</v>
      </c>
      <c r="L5764">
        <v>-56.465940000000003</v>
      </c>
      <c r="M5764">
        <v>0.76280409999999998</v>
      </c>
      <c r="N5764">
        <v>0</v>
      </c>
      <c r="O5764">
        <v>-0.64642129999999998</v>
      </c>
      <c r="P5764">
        <v>0.9188636</v>
      </c>
      <c r="Q5764">
        <v>-3.7332730000000001E-2</v>
      </c>
      <c r="R5764">
        <v>-0.39280549999999997</v>
      </c>
      <c r="S5764">
        <v>3.286743</v>
      </c>
      <c r="T5764">
        <v>-0.1929457</v>
      </c>
      <c r="U5764">
        <v>1.1291499999999999E-2</v>
      </c>
      <c r="V5764">
        <v>-0.29383890000000001</v>
      </c>
      <c r="W5764">
        <v>-2.805208E-2</v>
      </c>
      <c r="X5764">
        <v>0.95544320000000005</v>
      </c>
      <c r="Y5764">
        <v>-0.64704719999999905</v>
      </c>
      <c r="Z5764">
        <v>5.4354340000000001E-2</v>
      </c>
      <c r="AA5764">
        <v>0.76051009999999997</v>
      </c>
      <c r="AB5764">
        <v>23</v>
      </c>
      <c r="AC5764">
        <v>18.8310999999999</v>
      </c>
      <c r="AD5764">
        <v>-1.1195332803689999</v>
      </c>
      <c r="AE5764">
        <v>0.246359999999995</v>
      </c>
      <c r="AF5764">
        <v>-12.318880841636901</v>
      </c>
      <c r="AG5764">
        <v>-1.1195332803689999</v>
      </c>
      <c r="AH5764">
        <v>14.1570728229421</v>
      </c>
      <c r="AI5764">
        <v>93.414007011709103</v>
      </c>
      <c r="AJ5764">
        <v>131.028399802716</v>
      </c>
      <c r="AK5764">
        <v>18.799757734353602</v>
      </c>
      <c r="AL5764">
        <v>91.607476722166197</v>
      </c>
      <c r="AM5764">
        <v>107.09486077053</v>
      </c>
      <c r="AN5764">
        <v>0.99999996338588704</v>
      </c>
    </row>
    <row r="5765" spans="1:40" x14ac:dyDescent="0.3">
      <c r="A5765" t="str">
        <f>"20200111160618390"</f>
        <v>20200111160618390</v>
      </c>
      <c r="B5765" t="str">
        <f>"1578729978387772"</f>
        <v>1578729978387772</v>
      </c>
      <c r="C5765" t="s">
        <v>40</v>
      </c>
      <c r="D5765">
        <v>5.2672460000000001</v>
      </c>
      <c r="E5765">
        <v>0.33243099999999998</v>
      </c>
      <c r="F5765" t="s">
        <v>41</v>
      </c>
      <c r="G5765">
        <v>-274.8544</v>
      </c>
      <c r="H5765" s="1">
        <v>-2.1756360000000001E-6</v>
      </c>
      <c r="I5765">
        <v>-56.137360000000001</v>
      </c>
      <c r="J5765">
        <v>-293.79079999999999</v>
      </c>
      <c r="K5765">
        <v>1.1195189999999999</v>
      </c>
      <c r="L5765">
        <v>-56.59769</v>
      </c>
      <c r="M5765">
        <v>0.77207950000000003</v>
      </c>
      <c r="N5765">
        <v>0</v>
      </c>
      <c r="O5765">
        <v>-0.63531389999999999</v>
      </c>
      <c r="P5765">
        <v>0.92383579999999998</v>
      </c>
      <c r="Q5765">
        <v>-3.7992890000000001E-2</v>
      </c>
      <c r="R5765">
        <v>-0.38089919999999999</v>
      </c>
      <c r="S5765">
        <v>3.2812190000000001</v>
      </c>
      <c r="T5765">
        <v>-0.1921494</v>
      </c>
      <c r="U5765">
        <v>5.6396479999999999E-2</v>
      </c>
      <c r="V5765">
        <v>-0.2923269</v>
      </c>
      <c r="W5765">
        <v>-2.866028E-2</v>
      </c>
      <c r="X5765">
        <v>0.95588890000000004</v>
      </c>
      <c r="Y5765">
        <v>-0.64651440000000004</v>
      </c>
      <c r="Z5765">
        <v>5.3745899999999999E-2</v>
      </c>
      <c r="AA5765">
        <v>0.76100630000000002</v>
      </c>
      <c r="AB5765">
        <v>23</v>
      </c>
      <c r="AC5765">
        <v>18.9363999999999</v>
      </c>
      <c r="AD5765">
        <v>-1.119521175636</v>
      </c>
      <c r="AE5765">
        <v>0.46032999999999802</v>
      </c>
      <c r="AF5765">
        <v>-12.3445179484024</v>
      </c>
      <c r="AG5765">
        <v>-1.119521175636</v>
      </c>
      <c r="AH5765">
        <v>14.2800015098905</v>
      </c>
      <c r="AI5765">
        <v>93.3941825499478</v>
      </c>
      <c r="AJ5765">
        <v>130.84216684752201</v>
      </c>
      <c r="AK5765">
        <v>18.909227751645499</v>
      </c>
      <c r="AL5765">
        <v>91.642337961096104</v>
      </c>
      <c r="AM5765">
        <v>107.00451318309101</v>
      </c>
      <c r="AN5765">
        <v>1.0000000086282399</v>
      </c>
    </row>
    <row r="5766" spans="1:40" x14ac:dyDescent="0.3">
      <c r="A5766" t="str">
        <f>"20200111160618404"</f>
        <v>20200111160618404</v>
      </c>
      <c r="B5766" t="str">
        <f>"1578729978398508"</f>
        <v>1578729978398508</v>
      </c>
      <c r="C5766" t="s">
        <v>40</v>
      </c>
      <c r="D5766">
        <v>5.4662439999999997</v>
      </c>
      <c r="E5766">
        <v>0.33199630000000002</v>
      </c>
      <c r="F5766" t="s">
        <v>69</v>
      </c>
      <c r="G5766">
        <v>-157.93819999999999</v>
      </c>
      <c r="H5766">
        <v>1.532527</v>
      </c>
      <c r="I5766">
        <v>-52.935569999999998</v>
      </c>
      <c r="J5766">
        <v>-293.67649999999998</v>
      </c>
      <c r="K5766">
        <v>1.1195109999999999</v>
      </c>
      <c r="L5766">
        <v>-56.679200000000002</v>
      </c>
      <c r="M5766">
        <v>0.7778273</v>
      </c>
      <c r="N5766">
        <v>0</v>
      </c>
      <c r="O5766">
        <v>-0.62826359999999903</v>
      </c>
      <c r="P5766">
        <v>0.92702569999999995</v>
      </c>
      <c r="Q5766">
        <v>-3.863991E-2</v>
      </c>
      <c r="R5766">
        <v>-0.3730021</v>
      </c>
      <c r="S5766">
        <v>3.2842410000000002</v>
      </c>
      <c r="T5766">
        <v>9.9840160000000001E-3</v>
      </c>
      <c r="U5766">
        <v>8.8531490000000004E-2</v>
      </c>
      <c r="V5766">
        <v>-0.29175820000000002</v>
      </c>
      <c r="W5766">
        <v>-2.928308E-2</v>
      </c>
      <c r="X5766">
        <v>0.9560438</v>
      </c>
      <c r="Y5766">
        <v>-0.64907720000000002</v>
      </c>
      <c r="Z5766">
        <v>-2.7809499999999999E-3</v>
      </c>
      <c r="AA5766">
        <v>0.76071750000000005</v>
      </c>
      <c r="AB5766">
        <v>23</v>
      </c>
      <c r="AC5766">
        <v>135.73829999999899</v>
      </c>
      <c r="AD5766">
        <v>0.413015999999999</v>
      </c>
      <c r="AE5766">
        <v>3.74363</v>
      </c>
      <c r="AF5766">
        <v>-88.202402613357293</v>
      </c>
      <c r="AG5766">
        <v>0.413015999999999</v>
      </c>
      <c r="AH5766">
        <v>103.241928817703</v>
      </c>
      <c r="AI5766">
        <v>89.825729180829697</v>
      </c>
      <c r="AJ5766">
        <v>130.50817058422001</v>
      </c>
      <c r="AK5766">
        <v>135.78928630412901</v>
      </c>
      <c r="AL5766">
        <v>91.678036693993903</v>
      </c>
      <c r="AM5766">
        <v>106.97074361085799</v>
      </c>
      <c r="AN5766">
        <v>1.0000000467799799</v>
      </c>
    </row>
    <row r="5767" spans="1:40" x14ac:dyDescent="0.3">
      <c r="A5767" t="str">
        <f>"20200111160618419"</f>
        <v>20200111160618419</v>
      </c>
      <c r="B5767" t="str">
        <f>"1578729978408268"</f>
        <v>1578729978408268</v>
      </c>
      <c r="C5767" t="s">
        <v>40</v>
      </c>
      <c r="D5767">
        <v>7.2037039999999903</v>
      </c>
      <c r="E5767">
        <v>0.33199630000000002</v>
      </c>
      <c r="F5767" t="s">
        <v>69</v>
      </c>
      <c r="G5767">
        <v>-157.9383</v>
      </c>
      <c r="H5767">
        <v>1.542467</v>
      </c>
      <c r="I5767">
        <v>-51.738120000000002</v>
      </c>
      <c r="J5767">
        <v>-293.5573</v>
      </c>
      <c r="K5767">
        <v>1.1194930000000001</v>
      </c>
      <c r="L5767">
        <v>-56.761809999999997</v>
      </c>
      <c r="M5767">
        <v>0.7837094</v>
      </c>
      <c r="N5767">
        <v>0</v>
      </c>
      <c r="O5767">
        <v>-0.62091049999999903</v>
      </c>
      <c r="P5767">
        <v>0.93028549999999999</v>
      </c>
      <c r="Q5767">
        <v>-3.9215449999999999E-2</v>
      </c>
      <c r="R5767">
        <v>-0.36473450000000002</v>
      </c>
      <c r="S5767">
        <v>3.2846980000000001</v>
      </c>
      <c r="T5767">
        <v>1.023459E-2</v>
      </c>
      <c r="U5767">
        <v>0.1195679</v>
      </c>
      <c r="V5767">
        <v>-0.29123969999999999</v>
      </c>
      <c r="W5767">
        <v>-2.9833559999999999E-2</v>
      </c>
      <c r="X5767">
        <v>0.95618479999999995</v>
      </c>
      <c r="Y5767">
        <v>-0.64909059999999996</v>
      </c>
      <c r="Z5767">
        <v>-2.833375E-3</v>
      </c>
      <c r="AA5767">
        <v>0.76070590000000005</v>
      </c>
      <c r="AB5767">
        <v>23</v>
      </c>
      <c r="AC5767">
        <v>135.619</v>
      </c>
      <c r="AD5767">
        <v>0.42297400000000002</v>
      </c>
      <c r="AE5767">
        <v>5.0236899999999904</v>
      </c>
      <c r="AF5767">
        <v>-88.155407727209194</v>
      </c>
      <c r="AG5767">
        <v>0.42297400000000002</v>
      </c>
      <c r="AH5767">
        <v>103.179537224537</v>
      </c>
      <c r="AI5767">
        <v>89.821424932483893</v>
      </c>
      <c r="AJ5767">
        <v>130.51019542066399</v>
      </c>
      <c r="AK5767">
        <v>135.71135442705199</v>
      </c>
      <c r="AL5767">
        <v>91.709590761492507</v>
      </c>
      <c r="AM5767">
        <v>106.939957665234</v>
      </c>
      <c r="AN5767">
        <v>0.99999998795470102</v>
      </c>
    </row>
    <row r="5768" spans="1:40" x14ac:dyDescent="0.3">
      <c r="A5768" t="str">
        <f>"20200111160618432"</f>
        <v>20200111160618432</v>
      </c>
      <c r="B5768" t="str">
        <f>"1578729978427788"</f>
        <v>1578729978427788</v>
      </c>
      <c r="C5768" t="s">
        <v>40</v>
      </c>
      <c r="D5768">
        <v>5.4160349999999999</v>
      </c>
      <c r="E5768">
        <v>0.33521820000000002</v>
      </c>
      <c r="F5768" t="s">
        <v>69</v>
      </c>
      <c r="G5768">
        <v>-157.3501</v>
      </c>
      <c r="H5768">
        <v>1.4736739999999999</v>
      </c>
      <c r="I5768">
        <v>-50.590359999999997</v>
      </c>
      <c r="J5768">
        <v>-293.44659999999999</v>
      </c>
      <c r="K5768">
        <v>1.119475</v>
      </c>
      <c r="L5768">
        <v>-56.83719</v>
      </c>
      <c r="M5768">
        <v>0.78908780000000001</v>
      </c>
      <c r="N5768">
        <v>0</v>
      </c>
      <c r="O5768">
        <v>-0.61406090000000002</v>
      </c>
      <c r="P5768">
        <v>0.93330270000000004</v>
      </c>
      <c r="Q5768">
        <v>-3.9573869999999997E-2</v>
      </c>
      <c r="R5768">
        <v>-0.35690349999999998</v>
      </c>
      <c r="S5768">
        <v>3.2835079999999999</v>
      </c>
      <c r="T5768">
        <v>8.5376500000000008E-3</v>
      </c>
      <c r="U5768">
        <v>0.14877319999999999</v>
      </c>
      <c r="V5768">
        <v>-0.2909312</v>
      </c>
      <c r="W5768">
        <v>-3.017222E-2</v>
      </c>
      <c r="X5768">
        <v>0.95626809999999995</v>
      </c>
      <c r="Y5768">
        <v>-0.64923140000000001</v>
      </c>
      <c r="Z5768">
        <v>-2.3511600000000001E-3</v>
      </c>
      <c r="AA5768">
        <v>0.76058729999999997</v>
      </c>
      <c r="AB5768">
        <v>23</v>
      </c>
      <c r="AC5768">
        <v>136.09649999999999</v>
      </c>
      <c r="AD5768">
        <v>0.35419899999999899</v>
      </c>
      <c r="AE5768">
        <v>6.2468300000000001</v>
      </c>
      <c r="AF5768">
        <v>-88.512173118361602</v>
      </c>
      <c r="AG5768">
        <v>0.35419899999999899</v>
      </c>
      <c r="AH5768">
        <v>103.569418728912</v>
      </c>
      <c r="AI5768">
        <v>89.851040585480703</v>
      </c>
      <c r="AJ5768">
        <v>130.51775898272999</v>
      </c>
      <c r="AK5768">
        <v>136.23932891390399</v>
      </c>
      <c r="AL5768">
        <v>91.729003264579703</v>
      </c>
      <c r="AM5768">
        <v>106.921649891596</v>
      </c>
      <c r="AN5768">
        <v>1.0000000025353799</v>
      </c>
    </row>
    <row r="5769" spans="1:40" x14ac:dyDescent="0.3">
      <c r="A5769" t="str">
        <f>"20200111160618446"</f>
        <v>20200111160618446</v>
      </c>
      <c r="B5769" t="str">
        <f>"1578729978438524"</f>
        <v>1578729978438524</v>
      </c>
      <c r="C5769" t="s">
        <v>40</v>
      </c>
      <c r="D5769">
        <v>5.4520099999999996</v>
      </c>
      <c r="E5769">
        <v>0.33824460000000001</v>
      </c>
      <c r="F5769" t="s">
        <v>69</v>
      </c>
      <c r="G5769">
        <v>-157.3501</v>
      </c>
      <c r="H5769">
        <v>2.5691410000000001</v>
      </c>
      <c r="I5769">
        <v>-50.54954</v>
      </c>
      <c r="J5769">
        <v>-293.33139999999997</v>
      </c>
      <c r="K5769">
        <v>1.1194500000000001</v>
      </c>
      <c r="L5769">
        <v>-56.914490000000001</v>
      </c>
      <c r="M5769">
        <v>0.79460259999999905</v>
      </c>
      <c r="N5769">
        <v>0</v>
      </c>
      <c r="O5769">
        <v>-0.60690769999999905</v>
      </c>
      <c r="P5769">
        <v>0.93603329999999996</v>
      </c>
      <c r="Q5769">
        <v>-4.0449199999999998E-2</v>
      </c>
      <c r="R5769">
        <v>-0.34957969999999999</v>
      </c>
      <c r="S5769">
        <v>3.2737120000000002</v>
      </c>
      <c r="T5769">
        <v>3.4870270000000002E-2</v>
      </c>
      <c r="U5769">
        <v>0.15124509999999999</v>
      </c>
      <c r="V5769">
        <v>-0.28974620000000001</v>
      </c>
      <c r="W5769">
        <v>-3.100371E-2</v>
      </c>
      <c r="X5769">
        <v>0.95660129999999999</v>
      </c>
      <c r="Y5769">
        <v>-0.64295179999999996</v>
      </c>
      <c r="Z5769">
        <v>-9.5370290000000007E-3</v>
      </c>
      <c r="AA5769">
        <v>0.76584719999999995</v>
      </c>
      <c r="AB5769">
        <v>23</v>
      </c>
      <c r="AC5769">
        <v>135.98129999999901</v>
      </c>
      <c r="AD5769">
        <v>1.4496910000000001</v>
      </c>
      <c r="AE5769">
        <v>6.3649500000000003</v>
      </c>
      <c r="AF5769">
        <v>-87.587586338946906</v>
      </c>
      <c r="AG5769">
        <v>1.4496910000000001</v>
      </c>
      <c r="AH5769">
        <v>104.19039669962</v>
      </c>
      <c r="AI5769">
        <v>89.389793993717404</v>
      </c>
      <c r="AJ5769">
        <v>130.05206480186399</v>
      </c>
      <c r="AK5769">
        <v>136.12246562967499</v>
      </c>
      <c r="AL5769">
        <v>91.7766663183791</v>
      </c>
      <c r="AM5769">
        <v>106.851103408008</v>
      </c>
      <c r="AN5769">
        <v>1.00000006880494</v>
      </c>
    </row>
    <row r="5770" spans="1:40" x14ac:dyDescent="0.3">
      <c r="A5770" t="str">
        <f>"20200111160618687"</f>
        <v>20200111160618687</v>
      </c>
      <c r="B5770" t="str">
        <f>"1578729978677644"</f>
        <v>1578729978677644</v>
      </c>
      <c r="C5770" t="s">
        <v>40</v>
      </c>
      <c r="D5770">
        <v>5.1488239999999896</v>
      </c>
      <c r="E5770">
        <v>0.33824460000000001</v>
      </c>
      <c r="F5770" t="s">
        <v>69</v>
      </c>
      <c r="G5770">
        <v>-157.3501</v>
      </c>
      <c r="H5770">
        <v>1.3403750000000001</v>
      </c>
      <c r="I5770">
        <v>-50.449109999999997</v>
      </c>
      <c r="J5770">
        <v>-291.28559999999999</v>
      </c>
      <c r="K5770">
        <v>1.119049</v>
      </c>
      <c r="L5770">
        <v>-58.05301</v>
      </c>
      <c r="M5770">
        <v>0.87786390000000003</v>
      </c>
      <c r="N5770">
        <v>0</v>
      </c>
      <c r="O5770">
        <v>-0.47863159999999999</v>
      </c>
      <c r="P5770">
        <v>0.97271529999999995</v>
      </c>
      <c r="Q5770">
        <v>-4.4760830000000001E-2</v>
      </c>
      <c r="R5770">
        <v>-0.2276436</v>
      </c>
      <c r="S5770">
        <v>3.2631839999999999</v>
      </c>
      <c r="T5770">
        <v>5.3011179999999996E-3</v>
      </c>
      <c r="U5770">
        <v>0.15515139999999999</v>
      </c>
      <c r="V5770">
        <v>-0.2651155</v>
      </c>
      <c r="W5770">
        <v>-3.4483510000000002E-2</v>
      </c>
      <c r="X5770">
        <v>0.96359989999999995</v>
      </c>
      <c r="Y5770">
        <v>-0.51985139999999996</v>
      </c>
      <c r="Z5770">
        <v>-1.176194E-3</v>
      </c>
      <c r="AA5770">
        <v>0.85425589999999996</v>
      </c>
      <c r="AB5770">
        <v>22</v>
      </c>
      <c r="AC5770">
        <v>133.93549999999999</v>
      </c>
      <c r="AD5770">
        <v>0.22132599999999999</v>
      </c>
      <c r="AE5770">
        <v>7.6039000000000003</v>
      </c>
      <c r="AF5770">
        <v>-70.790202099485001</v>
      </c>
      <c r="AG5770">
        <v>0.22132599999999999</v>
      </c>
      <c r="AH5770">
        <v>113.95256369286901</v>
      </c>
      <c r="AI5770">
        <v>89.905471802145598</v>
      </c>
      <c r="AJ5770">
        <v>121.849591265057</v>
      </c>
      <c r="AK5770">
        <v>134.150991314495</v>
      </c>
      <c r="AL5770">
        <v>91.9761512553616</v>
      </c>
      <c r="AM5770">
        <v>105.383190129383</v>
      </c>
      <c r="AN5770">
        <v>1.0000000540410801</v>
      </c>
    </row>
    <row r="5771" spans="1:40" x14ac:dyDescent="0.3">
      <c r="A5771" t="str">
        <f>"20200111160618698"</f>
        <v>20200111160618698</v>
      </c>
      <c r="B5771" t="str">
        <f>"1578729978688382"</f>
        <v>1578729978688382</v>
      </c>
      <c r="C5771" t="s">
        <v>40</v>
      </c>
      <c r="D5771">
        <v>5.0542569999999998</v>
      </c>
      <c r="E5771">
        <v>0.41848879999999999</v>
      </c>
      <c r="F5771" t="s">
        <v>46</v>
      </c>
      <c r="G5771">
        <v>0</v>
      </c>
      <c r="H5771">
        <v>0</v>
      </c>
      <c r="I5771">
        <v>0</v>
      </c>
      <c r="J5771">
        <v>-291.18709999999999</v>
      </c>
      <c r="K5771">
        <v>1.11903</v>
      </c>
      <c r="L5771">
        <v>-58.097810000000003</v>
      </c>
      <c r="M5771">
        <v>0.88123069999999903</v>
      </c>
      <c r="N5771">
        <v>0</v>
      </c>
      <c r="O5771">
        <v>-0.47240490000000002</v>
      </c>
      <c r="P5771">
        <v>0.97352150000000004</v>
      </c>
      <c r="Q5771">
        <v>-4.5712679999999999E-2</v>
      </c>
      <c r="R5771">
        <v>-0.2239795</v>
      </c>
      <c r="S5771">
        <v>3.2171630000000002</v>
      </c>
      <c r="T5771">
        <v>3.4856800000000001E-3</v>
      </c>
      <c r="U5771">
        <v>0.56771850000000001</v>
      </c>
      <c r="V5771">
        <v>-0.26188420000000001</v>
      </c>
      <c r="W5771">
        <v>-3.5348690000000002E-2</v>
      </c>
      <c r="X5771">
        <v>0.96445170000000002</v>
      </c>
      <c r="Y5771">
        <v>-0.61843950000000003</v>
      </c>
      <c r="Z5771">
        <v>-8.2976909999999998E-4</v>
      </c>
      <c r="AA5771">
        <v>0.78583199999999997</v>
      </c>
      <c r="AB5771">
        <v>22</v>
      </c>
      <c r="AC5771">
        <v>3.2171630000000002</v>
      </c>
      <c r="AD5771">
        <v>3.4856800000000001E-3</v>
      </c>
      <c r="AE5771">
        <v>0.56771850000000001</v>
      </c>
      <c r="AF5771">
        <v>-2.0203610270771399</v>
      </c>
      <c r="AG5771">
        <v>3.4856800000000001E-3</v>
      </c>
      <c r="AH5771">
        <v>2.5672084224290002</v>
      </c>
      <c r="AI5771">
        <v>89.938866596703505</v>
      </c>
      <c r="AJ5771">
        <v>128.20230453081601</v>
      </c>
      <c r="AK5771">
        <v>3.26686851799818</v>
      </c>
      <c r="AL5771">
        <v>92.025752825868295</v>
      </c>
      <c r="AM5771">
        <v>105.19161660372799</v>
      </c>
      <c r="AN5771">
        <v>0.99999997286362197</v>
      </c>
    </row>
    <row r="5772" spans="1:40" x14ac:dyDescent="0.3">
      <c r="A5772" t="str">
        <f>"20200111160618709"</f>
        <v>20200111160618709</v>
      </c>
      <c r="B5772" t="str">
        <f>"1578729978707900"</f>
        <v>1578729978707900</v>
      </c>
      <c r="C5772" t="s">
        <v>40</v>
      </c>
      <c r="D5772">
        <v>5.0535959999999998</v>
      </c>
      <c r="E5772">
        <v>0.4167207</v>
      </c>
      <c r="F5772" t="s">
        <v>42</v>
      </c>
      <c r="G5772">
        <v>-290.23869999999999</v>
      </c>
      <c r="H5772">
        <v>1.028931</v>
      </c>
      <c r="I5772">
        <v>-58.107559999999999</v>
      </c>
      <c r="J5772">
        <v>-291.08800000000002</v>
      </c>
      <c r="K5772">
        <v>1.1190100000000001</v>
      </c>
      <c r="L5772">
        <v>-58.142060000000001</v>
      </c>
      <c r="M5772">
        <v>0.88456199999999996</v>
      </c>
      <c r="N5772">
        <v>0</v>
      </c>
      <c r="O5772">
        <v>-0.46613739999999998</v>
      </c>
      <c r="P5772">
        <v>0.97440000000000004</v>
      </c>
      <c r="Q5772">
        <v>-4.6226080000000003E-2</v>
      </c>
      <c r="R5772">
        <v>-0.2200183</v>
      </c>
      <c r="S5772">
        <v>3.0607600000000001</v>
      </c>
      <c r="T5772">
        <v>-0.29076010000000002</v>
      </c>
      <c r="U5772">
        <v>-3.091431E-2</v>
      </c>
      <c r="V5772">
        <v>-0.25894119999999998</v>
      </c>
      <c r="W5772">
        <v>-3.578278E-2</v>
      </c>
      <c r="X5772">
        <v>0.96523000000000003</v>
      </c>
      <c r="Y5772">
        <v>-0.45323530000000001</v>
      </c>
      <c r="Z5772">
        <v>6.4284889999999997E-2</v>
      </c>
      <c r="AA5772">
        <v>0.88906989999999997</v>
      </c>
      <c r="AB5772">
        <v>22</v>
      </c>
      <c r="AC5772">
        <v>0.84929999999997097</v>
      </c>
      <c r="AD5772">
        <v>-9.0079000000000006E-2</v>
      </c>
      <c r="AE5772">
        <v>3.45000000000013E-2</v>
      </c>
      <c r="AF5772">
        <v>-0.42172827929187101</v>
      </c>
      <c r="AG5772">
        <v>-9.0079000000000006E-2</v>
      </c>
      <c r="AH5772">
        <v>0.72710858574333403</v>
      </c>
      <c r="AI5772">
        <v>96.116781728622001</v>
      </c>
      <c r="AJ5772">
        <v>120.114045633261</v>
      </c>
      <c r="AK5772">
        <v>0.84537320945080496</v>
      </c>
      <c r="AL5772">
        <v>92.050640138338593</v>
      </c>
      <c r="AM5772">
        <v>105.01708999623899</v>
      </c>
      <c r="AN5772">
        <v>0.99999995265098296</v>
      </c>
    </row>
    <row r="5773" spans="1:40" x14ac:dyDescent="0.3">
      <c r="A5773" t="str">
        <f>"20200111160618721"</f>
        <v>20200111160618721</v>
      </c>
      <c r="B5773" t="str">
        <f>"1578729978717660"</f>
        <v>1578729978717660</v>
      </c>
      <c r="C5773" t="s">
        <v>40</v>
      </c>
      <c r="D5773">
        <v>5.2865310000000001</v>
      </c>
      <c r="E5773">
        <v>0.41764129999999999</v>
      </c>
      <c r="F5773" t="s">
        <v>42</v>
      </c>
      <c r="G5773">
        <v>-290.11959999999999</v>
      </c>
      <c r="H5773">
        <v>1.0305439999999999</v>
      </c>
      <c r="I5773">
        <v>-58.143669999999901</v>
      </c>
      <c r="J5773">
        <v>-290.98660000000001</v>
      </c>
      <c r="K5773">
        <v>1.1189899999999999</v>
      </c>
      <c r="L5773">
        <v>-58.186610000000002</v>
      </c>
      <c r="M5773">
        <v>0.88791580000000003</v>
      </c>
      <c r="N5773">
        <v>0</v>
      </c>
      <c r="O5773">
        <v>-0.45971689999999998</v>
      </c>
      <c r="P5773">
        <v>0.97507299999999997</v>
      </c>
      <c r="Q5773">
        <v>-4.7759919999999997E-2</v>
      </c>
      <c r="R5773">
        <v>-0.2166835</v>
      </c>
      <c r="S5773">
        <v>3.0643310000000001</v>
      </c>
      <c r="T5773">
        <v>-0.27993790000000002</v>
      </c>
      <c r="U5773">
        <v>-5.1879880000000001E-3</v>
      </c>
      <c r="V5773">
        <v>-0.2551891</v>
      </c>
      <c r="W5773">
        <v>-3.7218599999999998E-2</v>
      </c>
      <c r="X5773">
        <v>0.96617459999999999</v>
      </c>
      <c r="Y5773">
        <v>-0.45458110000000002</v>
      </c>
      <c r="Z5773">
        <v>6.1386469999999999E-2</v>
      </c>
      <c r="AA5773">
        <v>0.88858749999999997</v>
      </c>
      <c r="AB5773">
        <v>22</v>
      </c>
      <c r="AC5773">
        <v>0.86700000000001798</v>
      </c>
      <c r="AD5773">
        <v>-8.8445999999999803E-2</v>
      </c>
      <c r="AE5773">
        <v>4.2940000000001498E-2</v>
      </c>
      <c r="AF5773">
        <v>-0.43227215627408</v>
      </c>
      <c r="AG5773">
        <v>-8.8445999999999803E-2</v>
      </c>
      <c r="AH5773">
        <v>0.74247460442956503</v>
      </c>
      <c r="AI5773">
        <v>95.8777057472672</v>
      </c>
      <c r="AJ5773">
        <v>120.20816254081799</v>
      </c>
      <c r="AK5773">
        <v>0.86368423062406396</v>
      </c>
      <c r="AL5773">
        <v>92.132961268509604</v>
      </c>
      <c r="AM5773">
        <v>104.795274832224</v>
      </c>
      <c r="AN5773">
        <v>1.00000002931496</v>
      </c>
    </row>
    <row r="5774" spans="1:40" x14ac:dyDescent="0.3">
      <c r="A5774" t="str">
        <f>"20200111160618733"</f>
        <v>20200111160618733</v>
      </c>
      <c r="B5774" t="str">
        <f>"1578729978728396"</f>
        <v>1578729978728396</v>
      </c>
      <c r="C5774" t="s">
        <v>40</v>
      </c>
      <c r="D5774">
        <v>5.5671530000000002</v>
      </c>
      <c r="E5774">
        <v>0.42003020000000002</v>
      </c>
      <c r="F5774" t="s">
        <v>41</v>
      </c>
      <c r="G5774">
        <v>-278.22840000000002</v>
      </c>
      <c r="H5774" s="1">
        <v>-3.1677740000000001E-6</v>
      </c>
      <c r="I5774">
        <v>-58.196660000000001</v>
      </c>
      <c r="J5774">
        <v>-290.87920000000003</v>
      </c>
      <c r="K5774">
        <v>1.1189690000000001</v>
      </c>
      <c r="L5774">
        <v>-58.23254</v>
      </c>
      <c r="M5774">
        <v>0.89140450000000004</v>
      </c>
      <c r="N5774">
        <v>0</v>
      </c>
      <c r="O5774">
        <v>-0.45291540000000002</v>
      </c>
      <c r="P5774">
        <v>0.9758829</v>
      </c>
      <c r="Q5774">
        <v>-4.883299E-2</v>
      </c>
      <c r="R5774">
        <v>-0.21276329999999999</v>
      </c>
      <c r="S5774">
        <v>3.0629580000000001</v>
      </c>
      <c r="T5774">
        <v>-0.26864529999999998</v>
      </c>
      <c r="U5774">
        <v>-2.4108889999999998E-3</v>
      </c>
      <c r="V5774">
        <v>-0.25164259999999999</v>
      </c>
      <c r="W5774">
        <v>-3.8198889999999999E-2</v>
      </c>
      <c r="X5774">
        <v>0.96706610000000004</v>
      </c>
      <c r="Y5774">
        <v>-0.44891160000000002</v>
      </c>
      <c r="Z5774">
        <v>5.8161320000000002E-2</v>
      </c>
      <c r="AA5774">
        <v>0.89168139999999996</v>
      </c>
      <c r="AB5774">
        <v>22</v>
      </c>
      <c r="AC5774">
        <v>12.6508</v>
      </c>
      <c r="AD5774">
        <v>-1.1189721677740001</v>
      </c>
      <c r="AE5774">
        <v>3.58800000000059E-2</v>
      </c>
      <c r="AF5774">
        <v>-5.7177585332720096</v>
      </c>
      <c r="AG5774">
        <v>-1.1189721677740001</v>
      </c>
      <c r="AH5774">
        <v>11.174799846812901</v>
      </c>
      <c r="AI5774">
        <v>95.094015178608799</v>
      </c>
      <c r="AJ5774">
        <v>117.09725540505499</v>
      </c>
      <c r="AK5774">
        <v>12.602420917164601</v>
      </c>
      <c r="AL5774">
        <v>92.1891677939781</v>
      </c>
      <c r="AM5774">
        <v>104.58561516451201</v>
      </c>
      <c r="AN5774">
        <v>0.99999999755060098</v>
      </c>
    </row>
    <row r="5775" spans="1:40" x14ac:dyDescent="0.3">
      <c r="A5775" t="str">
        <f>"20200111160618747"</f>
        <v>20200111160618747</v>
      </c>
      <c r="B5775" t="str">
        <f>"1578729978738155"</f>
        <v>1578729978738155</v>
      </c>
      <c r="C5775" t="s">
        <v>40</v>
      </c>
      <c r="D5775">
        <v>5.3557620000000004</v>
      </c>
      <c r="E5775">
        <v>0.42081819999999998</v>
      </c>
      <c r="F5775" t="s">
        <v>42</v>
      </c>
      <c r="G5775">
        <v>-289.89269999999999</v>
      </c>
      <c r="H5775">
        <v>1.032778</v>
      </c>
      <c r="I5775">
        <v>-58.235610000000001</v>
      </c>
      <c r="J5775">
        <v>-290.75369999999998</v>
      </c>
      <c r="K5775">
        <v>1.1189370000000001</v>
      </c>
      <c r="L5775">
        <v>-58.285220000000002</v>
      </c>
      <c r="M5775">
        <v>0.89540239999999904</v>
      </c>
      <c r="N5775">
        <v>0</v>
      </c>
      <c r="O5775">
        <v>-0.4449594</v>
      </c>
      <c r="P5775">
        <v>0.97675239999999997</v>
      </c>
      <c r="Q5775">
        <v>-5.0144750000000002E-2</v>
      </c>
      <c r="R5775">
        <v>-0.20842369999999999</v>
      </c>
      <c r="S5775">
        <v>3.0588679999999999</v>
      </c>
      <c r="T5775">
        <v>-0.2672504</v>
      </c>
      <c r="U5775">
        <v>-8.8195800000000005E-3</v>
      </c>
      <c r="V5775">
        <v>-0.24727640000000001</v>
      </c>
      <c r="W5775">
        <v>-3.9397670000000003E-2</v>
      </c>
      <c r="X5775">
        <v>0.96814370000000005</v>
      </c>
      <c r="Y5775">
        <v>-0.43916110000000003</v>
      </c>
      <c r="Z5775">
        <v>5.6877270000000001E-2</v>
      </c>
      <c r="AA5775">
        <v>0.89660609999999996</v>
      </c>
      <c r="AB5775">
        <v>22</v>
      </c>
      <c r="AC5775">
        <v>0.86099999999999</v>
      </c>
      <c r="AD5775">
        <v>-8.6159000000000097E-2</v>
      </c>
      <c r="AE5775">
        <v>4.9609999999994103E-2</v>
      </c>
      <c r="AF5775">
        <v>-0.42336236017013301</v>
      </c>
      <c r="AG5775">
        <v>-8.6159000000000097E-2</v>
      </c>
      <c r="AH5775">
        <v>0.74156528017573398</v>
      </c>
      <c r="AI5775">
        <v>95.761639317843304</v>
      </c>
      <c r="AJ5775">
        <v>119.72220569709501</v>
      </c>
      <c r="AK5775">
        <v>0.85824129826753304</v>
      </c>
      <c r="AL5775">
        <v>92.257904561159407</v>
      </c>
      <c r="AM5775">
        <v>104.327763228802</v>
      </c>
      <c r="AN5775">
        <v>1.00000000912403</v>
      </c>
    </row>
    <row r="5776" spans="1:40" x14ac:dyDescent="0.3">
      <c r="A5776" t="str">
        <f>"20200111160618758"</f>
        <v>20200111160618758</v>
      </c>
      <c r="B5776" t="str">
        <f>"1578729978747916"</f>
        <v>1578729978747916</v>
      </c>
      <c r="C5776" t="s">
        <v>40</v>
      </c>
      <c r="D5776">
        <v>5.5192540000000001</v>
      </c>
      <c r="E5776">
        <v>0.42081819999999998</v>
      </c>
      <c r="F5776" t="s">
        <v>42</v>
      </c>
      <c r="G5776">
        <v>-289.76150000000001</v>
      </c>
      <c r="H5776">
        <v>1.03396</v>
      </c>
      <c r="I5776">
        <v>-58.285730000000001</v>
      </c>
      <c r="J5776">
        <v>-290.6549</v>
      </c>
      <c r="K5776">
        <v>1.118916</v>
      </c>
      <c r="L5776">
        <v>-58.325740000000003</v>
      </c>
      <c r="M5776">
        <v>0.89849069999999998</v>
      </c>
      <c r="N5776">
        <v>0</v>
      </c>
      <c r="O5776">
        <v>-0.43869010000000003</v>
      </c>
      <c r="P5776">
        <v>0.97734759999999998</v>
      </c>
      <c r="Q5776">
        <v>-5.0901950000000001E-2</v>
      </c>
      <c r="R5776">
        <v>-0.20542820000000001</v>
      </c>
      <c r="S5776">
        <v>3.0576479999999999</v>
      </c>
      <c r="T5776">
        <v>-0.26186479999999901</v>
      </c>
      <c r="U5776">
        <v>-1.586914E-3</v>
      </c>
      <c r="V5776">
        <v>-0.24344840000000001</v>
      </c>
      <c r="W5776">
        <v>-4.0056880000000003E-2</v>
      </c>
      <c r="X5776">
        <v>0.96908629999999996</v>
      </c>
      <c r="Y5776">
        <v>-0.43516899999999997</v>
      </c>
      <c r="Z5776">
        <v>5.5103060000000002E-2</v>
      </c>
      <c r="AA5776">
        <v>0.89866100000000004</v>
      </c>
      <c r="AB5776">
        <v>22</v>
      </c>
      <c r="AC5776">
        <v>0.89339999999998498</v>
      </c>
      <c r="AD5776">
        <v>-8.4956000000000004E-2</v>
      </c>
      <c r="AE5776">
        <v>4.0009999999995202E-2</v>
      </c>
      <c r="AF5776">
        <v>-0.42410380047873902</v>
      </c>
      <c r="AG5776">
        <v>-8.4956000000000004E-2</v>
      </c>
      <c r="AH5776">
        <v>0.77824055569063999</v>
      </c>
      <c r="AI5776">
        <v>95.475358294714496</v>
      </c>
      <c r="AJ5776">
        <v>118.588266647525</v>
      </c>
      <c r="AK5776">
        <v>0.89035943193644396</v>
      </c>
      <c r="AL5776">
        <v>92.295704449793902</v>
      </c>
      <c r="AM5776">
        <v>104.101709928559</v>
      </c>
      <c r="AN5776">
        <v>0.99999996697279103</v>
      </c>
    </row>
    <row r="5777" spans="1:40" x14ac:dyDescent="0.3">
      <c r="A5777" t="str">
        <f>"20200111160618771"</f>
        <v>20200111160618771</v>
      </c>
      <c r="B5777" t="str">
        <f>"1578729978768411"</f>
        <v>1578729978768411</v>
      </c>
      <c r="C5777" t="s">
        <v>40</v>
      </c>
      <c r="D5777">
        <v>5.3635640000000002</v>
      </c>
      <c r="E5777">
        <v>0.42328579999999999</v>
      </c>
      <c r="F5777" t="s">
        <v>41</v>
      </c>
      <c r="G5777">
        <v>-277.6694</v>
      </c>
      <c r="H5777" s="1">
        <v>-2.9068510000000002E-6</v>
      </c>
      <c r="I5777">
        <v>-58.292169999999999</v>
      </c>
      <c r="J5777">
        <v>-290.5539</v>
      </c>
      <c r="K5777">
        <v>1.1188940000000001</v>
      </c>
      <c r="L5777">
        <v>-58.366269999999901</v>
      </c>
      <c r="M5777">
        <v>0.90159250000000002</v>
      </c>
      <c r="N5777">
        <v>0</v>
      </c>
      <c r="O5777">
        <v>-0.43227989999999999</v>
      </c>
      <c r="P5777">
        <v>0.97794840000000005</v>
      </c>
      <c r="Q5777">
        <v>-5.1589330000000003E-2</v>
      </c>
      <c r="R5777">
        <v>-0.2023749</v>
      </c>
      <c r="S5777">
        <v>3.0574650000000001</v>
      </c>
      <c r="T5777">
        <v>-0.26345190000000002</v>
      </c>
      <c r="U5777">
        <v>7.9040529999999994E-3</v>
      </c>
      <c r="V5777">
        <v>-0.2395476</v>
      </c>
      <c r="W5777">
        <v>-4.0644760000000002E-2</v>
      </c>
      <c r="X5777">
        <v>0.97003349999999999</v>
      </c>
      <c r="Y5777">
        <v>-0.43154769999999998</v>
      </c>
      <c r="Z5777">
        <v>5.4784859999999998E-2</v>
      </c>
      <c r="AA5777">
        <v>0.90042500000000003</v>
      </c>
      <c r="AB5777">
        <v>22</v>
      </c>
      <c r="AC5777">
        <v>12.884499999999999</v>
      </c>
      <c r="AD5777">
        <v>-1.118896906851</v>
      </c>
      <c r="AE5777">
        <v>7.4099999999994198E-2</v>
      </c>
      <c r="AF5777">
        <v>-5.5950728994769703</v>
      </c>
      <c r="AG5777">
        <v>-1.118896906851</v>
      </c>
      <c r="AH5777">
        <v>11.4993552057797</v>
      </c>
      <c r="AI5777">
        <v>95.0003010322325</v>
      </c>
      <c r="AJ5777">
        <v>115.945486313308</v>
      </c>
      <c r="AK5777">
        <v>12.837131345721801</v>
      </c>
      <c r="AL5777">
        <v>92.329414825018802</v>
      </c>
      <c r="AM5777">
        <v>103.8715322492</v>
      </c>
      <c r="AN5777">
        <v>1.0000000201517301</v>
      </c>
    </row>
    <row r="5778" spans="1:40" x14ac:dyDescent="0.3">
      <c r="A5778" t="str">
        <f>"20200111160618781"</f>
        <v>20200111160618781</v>
      </c>
      <c r="B5778" t="str">
        <f>"1578729978778173"</f>
        <v>1578729978778173</v>
      </c>
      <c r="C5778" t="s">
        <v>40</v>
      </c>
      <c r="D5778">
        <v>5.3271660000000001</v>
      </c>
      <c r="E5778">
        <v>0.42386590000000002</v>
      </c>
      <c r="F5778" t="s">
        <v>41</v>
      </c>
      <c r="G5778">
        <v>-277.64870000000002</v>
      </c>
      <c r="H5778" s="1">
        <v>-2.8799889999999999E-6</v>
      </c>
      <c r="I5778">
        <v>-58.373489999999997</v>
      </c>
      <c r="J5778">
        <v>-290.4547</v>
      </c>
      <c r="K5778">
        <v>1.118879</v>
      </c>
      <c r="L5778">
        <v>-58.40549</v>
      </c>
      <c r="M5778">
        <v>0.90459020000000001</v>
      </c>
      <c r="N5778">
        <v>0</v>
      </c>
      <c r="O5778">
        <v>-0.42597160000000001</v>
      </c>
      <c r="P5778">
        <v>0.9784718</v>
      </c>
      <c r="Q5778">
        <v>-5.210265E-2</v>
      </c>
      <c r="R5778">
        <v>-0.1996956</v>
      </c>
      <c r="S5778">
        <v>3.0533139999999999</v>
      </c>
      <c r="T5778">
        <v>-0.26472590000000001</v>
      </c>
      <c r="U5778">
        <v>-1.708984E-3</v>
      </c>
      <c r="V5778">
        <v>-0.23541000000000001</v>
      </c>
      <c r="W5778">
        <v>-4.1053239999999998E-2</v>
      </c>
      <c r="X5778">
        <v>0.97102869999999997</v>
      </c>
      <c r="Y5778">
        <v>-0.42241889999999999</v>
      </c>
      <c r="Z5778">
        <v>5.4220810000000001E-2</v>
      </c>
      <c r="AA5778">
        <v>0.90477750000000001</v>
      </c>
      <c r="AB5778">
        <v>22</v>
      </c>
      <c r="AC5778">
        <v>12.8059999999999</v>
      </c>
      <c r="AD5778">
        <v>-1.1188818799889999</v>
      </c>
      <c r="AE5778">
        <v>3.1999999999996399E-2</v>
      </c>
      <c r="AF5778">
        <v>-5.4431138696631098</v>
      </c>
      <c r="AG5778">
        <v>-1.1188818799889999</v>
      </c>
      <c r="AH5778">
        <v>11.484413745526799</v>
      </c>
      <c r="AI5778">
        <v>95.031256340525104</v>
      </c>
      <c r="AJ5778">
        <v>115.358922026657</v>
      </c>
      <c r="AK5778">
        <v>12.758179507199699</v>
      </c>
      <c r="AL5778">
        <v>92.352838635193606</v>
      </c>
      <c r="AM5778">
        <v>103.62750217079299</v>
      </c>
      <c r="AN5778">
        <v>0.99999998641909305</v>
      </c>
    </row>
    <row r="5779" spans="1:40" x14ac:dyDescent="0.3">
      <c r="A5779" t="str">
        <f>"20200111160618793"</f>
        <v>20200111160618793</v>
      </c>
      <c r="B5779" t="str">
        <f>"1578729978787931"</f>
        <v>1578729978787931</v>
      </c>
      <c r="C5779" t="s">
        <v>40</v>
      </c>
      <c r="D5779">
        <v>5.300827</v>
      </c>
      <c r="E5779">
        <v>0.42431249999999998</v>
      </c>
      <c r="F5779" t="s">
        <v>41</v>
      </c>
      <c r="G5779">
        <v>-277.45359999999999</v>
      </c>
      <c r="H5779" s="1">
        <v>-2.791212E-6</v>
      </c>
      <c r="I5779">
        <v>-58.396520000000002</v>
      </c>
      <c r="J5779">
        <v>-290.35309999999998</v>
      </c>
      <c r="K5779">
        <v>1.1188610000000001</v>
      </c>
      <c r="L5779">
        <v>-58.444400000000002</v>
      </c>
      <c r="M5779">
        <v>0.90759970000000001</v>
      </c>
      <c r="N5779">
        <v>0</v>
      </c>
      <c r="O5779">
        <v>-0.41952149999999999</v>
      </c>
      <c r="P5779">
        <v>0.97910209999999998</v>
      </c>
      <c r="Q5779">
        <v>-5.2028669999999999E-2</v>
      </c>
      <c r="R5779">
        <v>-0.1966029</v>
      </c>
      <c r="S5779">
        <v>3.0524290000000001</v>
      </c>
      <c r="T5779">
        <v>-0.26269540000000002</v>
      </c>
      <c r="U5779">
        <v>2.1057129999999999E-3</v>
      </c>
      <c r="V5779">
        <v>-0.23157320000000001</v>
      </c>
      <c r="W5779">
        <v>-4.0881540000000001E-2</v>
      </c>
      <c r="X5779">
        <v>0.97195810000000005</v>
      </c>
      <c r="Y5779">
        <v>-0.41718490000000003</v>
      </c>
      <c r="Z5779">
        <v>5.3089249999999998E-2</v>
      </c>
      <c r="AA5779">
        <v>0.90726969999999996</v>
      </c>
      <c r="AB5779">
        <v>22</v>
      </c>
      <c r="AC5779">
        <v>12.8994999999999</v>
      </c>
      <c r="AD5779">
        <v>-1.1188637912119901</v>
      </c>
      <c r="AE5779">
        <v>4.7880000000006299E-2</v>
      </c>
      <c r="AF5779">
        <v>-5.4150564658365301</v>
      </c>
      <c r="AG5779">
        <v>-1.1188637912119901</v>
      </c>
      <c r="AH5779">
        <v>11.601759219075401</v>
      </c>
      <c r="AI5779">
        <v>94.994328876556096</v>
      </c>
      <c r="AJ5779">
        <v>115.02055197843301</v>
      </c>
      <c r="AK5779">
        <v>12.8520624682921</v>
      </c>
      <c r="AL5779">
        <v>92.3429926573953</v>
      </c>
      <c r="AM5779">
        <v>103.401122276251</v>
      </c>
      <c r="AN5779">
        <v>0.99999999771331005</v>
      </c>
    </row>
    <row r="5780" spans="1:40" x14ac:dyDescent="0.3">
      <c r="A5780" t="str">
        <f>"20200111160618805"</f>
        <v>20200111160618805</v>
      </c>
      <c r="B5780" t="str">
        <f>"1578729978797692"</f>
        <v>1578729978797692</v>
      </c>
      <c r="C5780" t="s">
        <v>40</v>
      </c>
      <c r="D5780">
        <v>5.3212719999999996</v>
      </c>
      <c r="E5780">
        <v>0.42473290000000002</v>
      </c>
      <c r="F5780" t="s">
        <v>41</v>
      </c>
      <c r="G5780">
        <v>-277.27030000000002</v>
      </c>
      <c r="H5780" s="1">
        <v>-2.7097990000000001E-6</v>
      </c>
      <c r="I5780">
        <v>-58.408940000000001</v>
      </c>
      <c r="J5780">
        <v>-290.24889999999999</v>
      </c>
      <c r="K5780">
        <v>1.1188439999999999</v>
      </c>
      <c r="L5780">
        <v>-58.483919999999998</v>
      </c>
      <c r="M5780">
        <v>0.91063400000000005</v>
      </c>
      <c r="N5780">
        <v>0</v>
      </c>
      <c r="O5780">
        <v>-0.41289379999999998</v>
      </c>
      <c r="P5780">
        <v>0.97967269999999895</v>
      </c>
      <c r="Q5780">
        <v>-5.184793E-2</v>
      </c>
      <c r="R5780">
        <v>-0.1937873</v>
      </c>
      <c r="S5780">
        <v>3.0518190000000001</v>
      </c>
      <c r="T5780">
        <v>-0.26099689999999998</v>
      </c>
      <c r="U5780">
        <v>8.2702639999999994E-3</v>
      </c>
      <c r="V5780">
        <v>-0.22729360000000001</v>
      </c>
      <c r="W5780">
        <v>-4.0592620000000003E-2</v>
      </c>
      <c r="X5780">
        <v>0.97297990000000001</v>
      </c>
      <c r="Y5780">
        <v>-0.41247159999999999</v>
      </c>
      <c r="Z5780">
        <v>5.2037390000000003E-2</v>
      </c>
      <c r="AA5780">
        <v>0.90948300000000004</v>
      </c>
      <c r="AB5780">
        <v>22</v>
      </c>
      <c r="AC5780">
        <v>12.978599999999901</v>
      </c>
      <c r="AD5780">
        <v>-1.118846709799</v>
      </c>
      <c r="AE5780">
        <v>7.4979999999996494E-2</v>
      </c>
      <c r="AF5780">
        <v>-5.3877419878616202</v>
      </c>
      <c r="AG5780">
        <v>-1.118846709799</v>
      </c>
      <c r="AH5780">
        <v>11.7023892701664</v>
      </c>
      <c r="AI5780">
        <v>94.9634689447944</v>
      </c>
      <c r="AJ5780">
        <v>114.721189454579</v>
      </c>
      <c r="AK5780">
        <v>12.931569754608301</v>
      </c>
      <c r="AL5780">
        <v>92.326424970903503</v>
      </c>
      <c r="AM5780">
        <v>103.14881828631</v>
      </c>
      <c r="AN5780">
        <v>1.00000001360171</v>
      </c>
    </row>
    <row r="5781" spans="1:40" x14ac:dyDescent="0.3">
      <c r="A5781" t="str">
        <f>"20200111160618816"</f>
        <v>20200111160618816</v>
      </c>
      <c r="B5781" t="str">
        <f>"1578729978808428"</f>
        <v>1578729978808428</v>
      </c>
      <c r="C5781" t="s">
        <v>40</v>
      </c>
      <c r="D5781">
        <v>5.3824839999999998</v>
      </c>
      <c r="E5781">
        <v>0.42509209999999897</v>
      </c>
      <c r="F5781" t="s">
        <v>41</v>
      </c>
      <c r="G5781">
        <v>-277.10980000000001</v>
      </c>
      <c r="H5781" s="1">
        <v>-2.6373999999999999E-6</v>
      </c>
      <c r="I5781">
        <v>-58.425049999999999</v>
      </c>
      <c r="J5781">
        <v>-290.14229999999998</v>
      </c>
      <c r="K5781">
        <v>1.118825</v>
      </c>
      <c r="L5781">
        <v>-58.523009999999999</v>
      </c>
      <c r="M5781">
        <v>0.91367600000000004</v>
      </c>
      <c r="N5781">
        <v>0</v>
      </c>
      <c r="O5781">
        <v>-0.40611839999999999</v>
      </c>
      <c r="P5781">
        <v>0.98034330000000003</v>
      </c>
      <c r="Q5781">
        <v>-5.1450709999999997E-2</v>
      </c>
      <c r="R5781">
        <v>-0.19047310000000001</v>
      </c>
      <c r="S5781">
        <v>3.0512079999999999</v>
      </c>
      <c r="T5781">
        <v>-0.25982179999999999</v>
      </c>
      <c r="U5781">
        <v>1.3671880000000001E-2</v>
      </c>
      <c r="V5781">
        <v>-0.22337760000000001</v>
      </c>
      <c r="W5781">
        <v>-4.0095859999999997E-2</v>
      </c>
      <c r="X5781">
        <v>0.97390690000000002</v>
      </c>
      <c r="Y5781">
        <v>-0.4073832</v>
      </c>
      <c r="Z5781">
        <v>5.1067059999999997E-2</v>
      </c>
      <c r="AA5781">
        <v>0.91182839999999998</v>
      </c>
      <c r="AB5781">
        <v>22</v>
      </c>
      <c r="AC5781">
        <v>13.032499999999899</v>
      </c>
      <c r="AD5781">
        <v>-1.1188276373999999</v>
      </c>
      <c r="AE5781">
        <v>9.7960000000000394E-2</v>
      </c>
      <c r="AF5781">
        <v>-5.3435721666927698</v>
      </c>
      <c r="AG5781">
        <v>-1.1188276373999999</v>
      </c>
      <c r="AH5781">
        <v>11.7824337168322</v>
      </c>
      <c r="AI5781">
        <v>94.942600627375398</v>
      </c>
      <c r="AJ5781">
        <v>114.39525381440301</v>
      </c>
      <c r="AK5781">
        <v>12.9858108362323</v>
      </c>
      <c r="AL5781">
        <v>92.297939697028298</v>
      </c>
      <c r="AM5781">
        <v>102.918061993267</v>
      </c>
      <c r="AN5781">
        <v>0.99999994001925296</v>
      </c>
    </row>
    <row r="5782" spans="1:40" x14ac:dyDescent="0.3">
      <c r="A5782" t="str">
        <f>"20200111160618826"</f>
        <v>20200111160618826</v>
      </c>
      <c r="B5782" t="str">
        <f>"1578729978818189"</f>
        <v>1578729978818189</v>
      </c>
      <c r="C5782" t="s">
        <v>40</v>
      </c>
      <c r="D5782">
        <v>5.3711599999999997</v>
      </c>
      <c r="E5782">
        <v>0.42545250000000001</v>
      </c>
      <c r="F5782" t="s">
        <v>41</v>
      </c>
      <c r="G5782">
        <v>-276.77359999999999</v>
      </c>
      <c r="H5782" s="1">
        <v>-2.4919280000000002E-6</v>
      </c>
      <c r="I5782">
        <v>-58.43074</v>
      </c>
      <c r="J5782">
        <v>-290.0532</v>
      </c>
      <c r="K5782">
        <v>1.118806</v>
      </c>
      <c r="L5782">
        <v>-58.555300000000003</v>
      </c>
      <c r="M5782">
        <v>0.91617360000000003</v>
      </c>
      <c r="N5782">
        <v>0</v>
      </c>
      <c r="O5782">
        <v>-0.40045209999999998</v>
      </c>
      <c r="P5782">
        <v>0.98075489999999999</v>
      </c>
      <c r="Q5782">
        <v>-5.0903980000000001E-2</v>
      </c>
      <c r="R5782">
        <v>-0.18849109999999999</v>
      </c>
      <c r="S5782">
        <v>3.0508120000000001</v>
      </c>
      <c r="T5782">
        <v>-0.25532379999999999</v>
      </c>
      <c r="U5782">
        <v>2.105713E-2</v>
      </c>
      <c r="V5782">
        <v>-0.21934020000000001</v>
      </c>
      <c r="W5782">
        <v>-3.9447910000000003E-2</v>
      </c>
      <c r="X5782">
        <v>0.97485060000000001</v>
      </c>
      <c r="Y5782">
        <v>-0.40406629999999999</v>
      </c>
      <c r="Z5782">
        <v>4.9617620000000001E-2</v>
      </c>
      <c r="AA5782">
        <v>0.91338299999999994</v>
      </c>
      <c r="AB5782">
        <v>22</v>
      </c>
      <c r="AC5782">
        <v>13.2796</v>
      </c>
      <c r="AD5782">
        <v>-1.1188084919279999</v>
      </c>
      <c r="AE5782">
        <v>0.124560000000002</v>
      </c>
      <c r="AF5782">
        <v>-5.3943930676793999</v>
      </c>
      <c r="AG5782">
        <v>-1.1188084919279999</v>
      </c>
      <c r="AH5782">
        <v>12.032736691466599</v>
      </c>
      <c r="AI5782">
        <v>94.849611272918494</v>
      </c>
      <c r="AJ5782">
        <v>114.147158250614</v>
      </c>
      <c r="AK5782">
        <v>13.2339699748943</v>
      </c>
      <c r="AL5782">
        <v>92.260785414057906</v>
      </c>
      <c r="AM5782">
        <v>102.680317200708</v>
      </c>
      <c r="AN5782">
        <v>0.99999997662988305</v>
      </c>
    </row>
    <row r="5783" spans="1:40" x14ac:dyDescent="0.3">
      <c r="A5783" t="str">
        <f>"20200111160618837"</f>
        <v>20200111160618837</v>
      </c>
      <c r="B5783" t="str">
        <f>"1578729978827948"</f>
        <v>1578729978827948</v>
      </c>
      <c r="C5783" t="s">
        <v>40</v>
      </c>
      <c r="D5783">
        <v>5.3804239999999997</v>
      </c>
      <c r="E5783">
        <v>0.4244967</v>
      </c>
      <c r="F5783" t="s">
        <v>41</v>
      </c>
      <c r="G5783">
        <v>-276.50349999999997</v>
      </c>
      <c r="H5783" s="1">
        <v>-2.3723749999999999E-6</v>
      </c>
      <c r="I5783">
        <v>-58.447400000000002</v>
      </c>
      <c r="J5783">
        <v>-289.95429999999999</v>
      </c>
      <c r="K5783">
        <v>1.118787</v>
      </c>
      <c r="L5783">
        <v>-58.590150000000001</v>
      </c>
      <c r="M5783">
        <v>0.91889600000000005</v>
      </c>
      <c r="N5783">
        <v>0</v>
      </c>
      <c r="O5783">
        <v>-0.39416580000000001</v>
      </c>
      <c r="P5783">
        <v>0.98130919999999999</v>
      </c>
      <c r="Q5783">
        <v>-5.0641699999999998E-2</v>
      </c>
      <c r="R5783">
        <v>-0.18565499999999999</v>
      </c>
      <c r="S5783">
        <v>3.0504760000000002</v>
      </c>
      <c r="T5783">
        <v>-0.2518803</v>
      </c>
      <c r="U5783">
        <v>2.4291989999999999E-2</v>
      </c>
      <c r="V5783">
        <v>-0.21549499999999999</v>
      </c>
      <c r="W5783">
        <v>-3.9089079999999998E-2</v>
      </c>
      <c r="X5783">
        <v>0.97572230000000004</v>
      </c>
      <c r="Y5783">
        <v>-0.39887909999999999</v>
      </c>
      <c r="Z5783">
        <v>4.8260669999999999E-2</v>
      </c>
      <c r="AA5783">
        <v>0.91573269999999996</v>
      </c>
      <c r="AB5783">
        <v>22</v>
      </c>
      <c r="AC5783">
        <v>13.450799999999999</v>
      </c>
      <c r="AD5783">
        <v>-1.118789372375</v>
      </c>
      <c r="AE5783">
        <v>0.14274999999999899</v>
      </c>
      <c r="AF5783">
        <v>-5.3964037630795296</v>
      </c>
      <c r="AG5783">
        <v>-1.118789372375</v>
      </c>
      <c r="AH5783">
        <v>12.220703073427799</v>
      </c>
      <c r="AI5783">
        <v>94.787183250508505</v>
      </c>
      <c r="AJ5783">
        <v>113.82523813911</v>
      </c>
      <c r="AK5783">
        <v>13.4059108919463</v>
      </c>
      <c r="AL5783">
        <v>92.240209981776303</v>
      </c>
      <c r="AM5783">
        <v>102.45424013426</v>
      </c>
      <c r="AN5783">
        <v>1.0000000289587601</v>
      </c>
    </row>
    <row r="5784" spans="1:40" x14ac:dyDescent="0.3">
      <c r="A5784" t="str">
        <f>"20200111160618848"</f>
        <v>20200111160618848</v>
      </c>
      <c r="B5784" t="str">
        <f>"1578729978837708"</f>
        <v>1578729978837708</v>
      </c>
      <c r="C5784" t="s">
        <v>40</v>
      </c>
      <c r="D5784">
        <v>5.3245719999999999</v>
      </c>
      <c r="E5784">
        <v>0.4247976</v>
      </c>
      <c r="F5784" t="s">
        <v>41</v>
      </c>
      <c r="G5784">
        <v>-276.22800000000001</v>
      </c>
      <c r="H5784" s="1">
        <v>-2.2627080000000002E-6</v>
      </c>
      <c r="I5784">
        <v>-58.408700000000003</v>
      </c>
      <c r="J5784">
        <v>-289.858</v>
      </c>
      <c r="K5784">
        <v>1.11877</v>
      </c>
      <c r="L5784">
        <v>-58.6235</v>
      </c>
      <c r="M5784">
        <v>0.9214987</v>
      </c>
      <c r="N5784">
        <v>0</v>
      </c>
      <c r="O5784">
        <v>-0.38804169999999999</v>
      </c>
      <c r="P5784">
        <v>0.98184190000000005</v>
      </c>
      <c r="Q5784">
        <v>-5.0418079999999997E-2</v>
      </c>
      <c r="R5784">
        <v>-0.1828777</v>
      </c>
      <c r="S5784">
        <v>3.0519409999999998</v>
      </c>
      <c r="T5784">
        <v>-0.24875340000000001</v>
      </c>
      <c r="U5784">
        <v>4.0344240000000003E-2</v>
      </c>
      <c r="V5784">
        <v>-0.2117753</v>
      </c>
      <c r="W5784">
        <v>-3.8772109999999999E-2</v>
      </c>
      <c r="X5784">
        <v>0.976549</v>
      </c>
      <c r="Y5784">
        <v>-0.39768500000000001</v>
      </c>
      <c r="Z5784">
        <v>4.7133040000000001E-2</v>
      </c>
      <c r="AA5784">
        <v>0.91631059999999998</v>
      </c>
      <c r="AB5784">
        <v>22</v>
      </c>
      <c r="AC5784">
        <v>13.6299999999999</v>
      </c>
      <c r="AD5784">
        <v>-1.1187722627079999</v>
      </c>
      <c r="AE5784">
        <v>0.21479999999999599</v>
      </c>
      <c r="AF5784">
        <v>-5.4509540389303002</v>
      </c>
      <c r="AG5784">
        <v>-1.1187722627079999</v>
      </c>
      <c r="AH5784">
        <v>12.3948337386887</v>
      </c>
      <c r="AI5784">
        <v>94.723290496403607</v>
      </c>
      <c r="AJ5784">
        <v>113.738755132218</v>
      </c>
      <c r="AK5784">
        <v>13.5866277905914</v>
      </c>
      <c r="AL5784">
        <v>92.222035221344797</v>
      </c>
      <c r="AM5784">
        <v>102.235752269486</v>
      </c>
      <c r="AN5784">
        <v>1.00000000180247</v>
      </c>
    </row>
    <row r="5785" spans="1:40" x14ac:dyDescent="0.3">
      <c r="A5785" t="str">
        <f>"20200111160618860"</f>
        <v>20200111160618860</v>
      </c>
      <c r="B5785" t="str">
        <f>"1578729978848445"</f>
        <v>1578729978848445</v>
      </c>
      <c r="C5785" t="s">
        <v>40</v>
      </c>
      <c r="D5785">
        <v>5.3641189999999996</v>
      </c>
      <c r="E5785">
        <v>0.42508499999999999</v>
      </c>
      <c r="F5785" t="s">
        <v>41</v>
      </c>
      <c r="G5785">
        <v>-276.13959999999997</v>
      </c>
      <c r="H5785" s="1">
        <v>-2.2235789999999998E-6</v>
      </c>
      <c r="I5785">
        <v>-58.414270000000002</v>
      </c>
      <c r="J5785">
        <v>-289.75850000000003</v>
      </c>
      <c r="K5785">
        <v>1.118746</v>
      </c>
      <c r="L5785">
        <v>-58.657200000000003</v>
      </c>
      <c r="M5785">
        <v>0.92413429999999996</v>
      </c>
      <c r="N5785">
        <v>0</v>
      </c>
      <c r="O5785">
        <v>-0.38172339999999999</v>
      </c>
      <c r="P5785">
        <v>0.98242039999999997</v>
      </c>
      <c r="Q5785">
        <v>-4.9630460000000001E-2</v>
      </c>
      <c r="R5785">
        <v>-0.1799634</v>
      </c>
      <c r="S5785">
        <v>3.0513309999999998</v>
      </c>
      <c r="T5785">
        <v>-0.24884439999999999</v>
      </c>
      <c r="U5785">
        <v>4.653931E-2</v>
      </c>
      <c r="V5785">
        <v>-0.20802209999999999</v>
      </c>
      <c r="W5785">
        <v>-3.7889560000000003E-2</v>
      </c>
      <c r="X5785">
        <v>0.97738999999999998</v>
      </c>
      <c r="Y5785">
        <v>-0.39329809999999998</v>
      </c>
      <c r="Z5785">
        <v>4.6500949999999999E-2</v>
      </c>
      <c r="AA5785">
        <v>0.91823429999999995</v>
      </c>
      <c r="AB5785">
        <v>22</v>
      </c>
      <c r="AC5785">
        <v>13.6189</v>
      </c>
      <c r="AD5785">
        <v>-1.1187482235789901</v>
      </c>
      <c r="AE5785">
        <v>0.242930000000008</v>
      </c>
      <c r="AF5785">
        <v>-5.3875222521504096</v>
      </c>
      <c r="AG5785">
        <v>-1.1187482235789901</v>
      </c>
      <c r="AH5785">
        <v>12.410880898874799</v>
      </c>
      <c r="AI5785">
        <v>94.726905179509203</v>
      </c>
      <c r="AJ5785">
        <v>113.46550493664</v>
      </c>
      <c r="AK5785">
        <v>13.5759698839984</v>
      </c>
      <c r="AL5785">
        <v>92.171431618001705</v>
      </c>
      <c r="AM5785">
        <v>102.0152235641</v>
      </c>
      <c r="AN5785">
        <v>1.0000000124727</v>
      </c>
    </row>
    <row r="5786" spans="1:40" x14ac:dyDescent="0.3">
      <c r="A5786" t="str">
        <f>"20200111160618870"</f>
        <v>20200111160618870</v>
      </c>
      <c r="B5786" t="str">
        <f>"1578729978867963"</f>
        <v>1578729978867963</v>
      </c>
      <c r="C5786" t="s">
        <v>40</v>
      </c>
      <c r="D5786">
        <v>5.3605369999999999</v>
      </c>
      <c r="E5786">
        <v>0.4255794</v>
      </c>
      <c r="F5786" t="s">
        <v>41</v>
      </c>
      <c r="G5786">
        <v>-275.9366</v>
      </c>
      <c r="H5786" s="1">
        <v>-2.1361030000000001E-6</v>
      </c>
      <c r="I5786">
        <v>-58.415939999999999</v>
      </c>
      <c r="J5786">
        <v>-289.661</v>
      </c>
      <c r="K5786">
        <v>1.118716</v>
      </c>
      <c r="L5786">
        <v>-58.689419999999998</v>
      </c>
      <c r="M5786">
        <v>0.92666230000000005</v>
      </c>
      <c r="N5786">
        <v>0</v>
      </c>
      <c r="O5786">
        <v>-0.37554500000000002</v>
      </c>
      <c r="P5786">
        <v>0.98297440000000003</v>
      </c>
      <c r="Q5786">
        <v>-4.8984140000000002E-2</v>
      </c>
      <c r="R5786">
        <v>-0.177093</v>
      </c>
      <c r="S5786">
        <v>3.0509339999999998</v>
      </c>
      <c r="T5786">
        <v>-0.24694240000000001</v>
      </c>
      <c r="U5786">
        <v>5.3253170000000002E-2</v>
      </c>
      <c r="V5786">
        <v>-0.20438129999999999</v>
      </c>
      <c r="W5786">
        <v>-3.7150549999999997E-2</v>
      </c>
      <c r="X5786">
        <v>0.97818609999999995</v>
      </c>
      <c r="Y5786">
        <v>-0.38925359999999998</v>
      </c>
      <c r="Z5786">
        <v>4.5522149999999997E-2</v>
      </c>
      <c r="AA5786">
        <v>0.92000510000000002</v>
      </c>
      <c r="AB5786">
        <v>22</v>
      </c>
      <c r="AC5786">
        <v>13.724399999999999</v>
      </c>
      <c r="AD5786">
        <v>-1.1187181361030001</v>
      </c>
      <c r="AE5786">
        <v>0.273479999999999</v>
      </c>
      <c r="AF5786">
        <v>-5.3725811455938697</v>
      </c>
      <c r="AG5786">
        <v>-1.1187181361030001</v>
      </c>
      <c r="AH5786">
        <v>12.5335938975578</v>
      </c>
      <c r="AI5786">
        <v>94.689939062488804</v>
      </c>
      <c r="AJ5786">
        <v>113.202610389377</v>
      </c>
      <c r="AK5786">
        <v>13.682365819657599</v>
      </c>
      <c r="AL5786">
        <v>92.129059734390097</v>
      </c>
      <c r="AM5786">
        <v>101.801547712247</v>
      </c>
      <c r="AN5786">
        <v>0.99999996269409996</v>
      </c>
    </row>
    <row r="5787" spans="1:40" x14ac:dyDescent="0.3">
      <c r="A5787" t="str">
        <f>"20200111160618882"</f>
        <v>20200111160618882</v>
      </c>
      <c r="B5787" t="str">
        <f>"1578729978877723"</f>
        <v>1578729978877723</v>
      </c>
      <c r="C5787" t="s">
        <v>40</v>
      </c>
      <c r="D5787">
        <v>5.6145509999999996</v>
      </c>
      <c r="E5787">
        <v>0.42557329999999999</v>
      </c>
      <c r="F5787" t="s">
        <v>41</v>
      </c>
      <c r="G5787">
        <v>-275.73739999999998</v>
      </c>
      <c r="H5787" s="1">
        <v>-2.048994E-6</v>
      </c>
      <c r="I5787">
        <v>-58.423490000000001</v>
      </c>
      <c r="J5787">
        <v>-289.55810000000002</v>
      </c>
      <c r="K5787">
        <v>1.118684</v>
      </c>
      <c r="L5787">
        <v>-58.722869999999901</v>
      </c>
      <c r="M5787">
        <v>0.92927919999999997</v>
      </c>
      <c r="N5787">
        <v>0</v>
      </c>
      <c r="O5787">
        <v>-0.36902220000000002</v>
      </c>
      <c r="P5787">
        <v>0.98358089999999998</v>
      </c>
      <c r="Q5787">
        <v>-4.8355259999999997E-2</v>
      </c>
      <c r="R5787">
        <v>-0.17386879999999999</v>
      </c>
      <c r="S5787">
        <v>3.0502319999999998</v>
      </c>
      <c r="T5787">
        <v>-0.2450765</v>
      </c>
      <c r="U5787">
        <v>5.825806E-2</v>
      </c>
      <c r="V5787">
        <v>-0.20074239999999999</v>
      </c>
      <c r="W5787">
        <v>-3.6428299999999997E-2</v>
      </c>
      <c r="X5787">
        <v>0.97896649999999996</v>
      </c>
      <c r="Y5787">
        <v>-0.38436350000000002</v>
      </c>
      <c r="Z5787">
        <v>4.4501829999999999E-2</v>
      </c>
      <c r="AA5787">
        <v>0.9221087</v>
      </c>
      <c r="AB5787">
        <v>22</v>
      </c>
      <c r="AC5787">
        <v>13.8207</v>
      </c>
      <c r="AD5787">
        <v>-1.118686048994</v>
      </c>
      <c r="AE5787">
        <v>0.29937999999999199</v>
      </c>
      <c r="AF5787">
        <v>-5.3440630722198703</v>
      </c>
      <c r="AG5787">
        <v>-1.118686048994</v>
      </c>
      <c r="AH5787">
        <v>12.651633215093799</v>
      </c>
      <c r="AI5787">
        <v>94.656675762428094</v>
      </c>
      <c r="AJ5787">
        <v>112.89924663686899</v>
      </c>
      <c r="AK5787">
        <v>13.779488074864799</v>
      </c>
      <c r="AL5787">
        <v>92.087649806737105</v>
      </c>
      <c r="AM5787">
        <v>101.588174202248</v>
      </c>
      <c r="AN5787">
        <v>0.99999997016044895</v>
      </c>
    </row>
    <row r="5788" spans="1:40" x14ac:dyDescent="0.3">
      <c r="A5788" t="str">
        <f>"20200111160618894"</f>
        <v>20200111160618894</v>
      </c>
      <c r="B5788" t="str">
        <f>"1578729978888459"</f>
        <v>1578729978888459</v>
      </c>
      <c r="C5788" t="s">
        <v>40</v>
      </c>
      <c r="D5788">
        <v>5.4712509999999996</v>
      </c>
      <c r="E5788">
        <v>0.4259674</v>
      </c>
      <c r="F5788" t="s">
        <v>41</v>
      </c>
      <c r="G5788">
        <v>-275.55900000000003</v>
      </c>
      <c r="H5788" s="1">
        <v>-1.9756109999999999E-6</v>
      </c>
      <c r="I5788">
        <v>-58.409260000000003</v>
      </c>
      <c r="J5788">
        <v>-289.4504</v>
      </c>
      <c r="K5788">
        <v>1.118638</v>
      </c>
      <c r="L5788">
        <v>-58.756680000000003</v>
      </c>
      <c r="M5788">
        <v>0.93194390000000005</v>
      </c>
      <c r="N5788">
        <v>0</v>
      </c>
      <c r="O5788">
        <v>-0.36224099999999998</v>
      </c>
      <c r="P5788">
        <v>0.98422100000000001</v>
      </c>
      <c r="Q5788">
        <v>-4.7739829999999997E-2</v>
      </c>
      <c r="R5788">
        <v>-0.17038310000000001</v>
      </c>
      <c r="S5788">
        <v>3.0501399999999999</v>
      </c>
      <c r="T5788">
        <v>-0.24374129999999999</v>
      </c>
      <c r="U5788">
        <v>6.8328860000000005E-2</v>
      </c>
      <c r="V5788">
        <v>-0.1971059</v>
      </c>
      <c r="W5788">
        <v>-3.5717690000000003E-2</v>
      </c>
      <c r="X5788">
        <v>0.97973129999999997</v>
      </c>
      <c r="Y5788">
        <v>-0.38074079999999999</v>
      </c>
      <c r="Z5788">
        <v>4.3608420000000002E-2</v>
      </c>
      <c r="AA5788">
        <v>0.9236529</v>
      </c>
      <c r="AB5788">
        <v>22</v>
      </c>
      <c r="AC5788">
        <v>13.8913999999999</v>
      </c>
      <c r="AD5788">
        <v>-1.1186399756109999</v>
      </c>
      <c r="AE5788">
        <v>0.347420000000006</v>
      </c>
      <c r="AF5788">
        <v>-5.3220223479235997</v>
      </c>
      <c r="AG5788">
        <v>-1.1186399756109999</v>
      </c>
      <c r="AH5788">
        <v>12.7392771431296</v>
      </c>
      <c r="AI5788">
        <v>94.632217227106693</v>
      </c>
      <c r="AJ5788">
        <v>112.673457975324</v>
      </c>
      <c r="AK5788">
        <v>13.851514696822701</v>
      </c>
      <c r="AL5788">
        <v>92.046908366173298</v>
      </c>
      <c r="AM5788">
        <v>101.37512629965801</v>
      </c>
      <c r="AN5788">
        <v>0.99999995469671699</v>
      </c>
    </row>
    <row r="5789" spans="1:40" x14ac:dyDescent="0.3">
      <c r="A5789" t="str">
        <f>"20200111160618905"</f>
        <v>20200111160618905</v>
      </c>
      <c r="B5789" t="str">
        <f>"1578729978898219"</f>
        <v>1578729978898219</v>
      </c>
      <c r="C5789" t="s">
        <v>40</v>
      </c>
      <c r="D5789">
        <v>5.3866160000000001</v>
      </c>
      <c r="E5789">
        <v>0.42625669999999999</v>
      </c>
      <c r="F5789" t="s">
        <v>41</v>
      </c>
      <c r="G5789">
        <v>-275.3535</v>
      </c>
      <c r="H5789" s="1">
        <v>-1.8882490000000001E-6</v>
      </c>
      <c r="I5789">
        <v>-58.405549999999998</v>
      </c>
      <c r="J5789">
        <v>-289.35169999999999</v>
      </c>
      <c r="K5789">
        <v>1.1185909999999999</v>
      </c>
      <c r="L5789">
        <v>-58.787350000000004</v>
      </c>
      <c r="M5789">
        <v>0.93433560000000004</v>
      </c>
      <c r="N5789">
        <v>0</v>
      </c>
      <c r="O5789">
        <v>-0.35602699999999998</v>
      </c>
      <c r="P5789">
        <v>0.98469439999999997</v>
      </c>
      <c r="Q5789">
        <v>-4.7251849999999998E-2</v>
      </c>
      <c r="R5789">
        <v>-0.16776289999999999</v>
      </c>
      <c r="S5789">
        <v>3.0495000000000001</v>
      </c>
      <c r="T5789">
        <v>-0.24198790000000001</v>
      </c>
      <c r="U5789">
        <v>7.5958250000000005E-2</v>
      </c>
      <c r="V5789">
        <v>-0.1932131</v>
      </c>
      <c r="W5789">
        <v>-3.5129639999999997E-2</v>
      </c>
      <c r="X5789">
        <v>0.9805277</v>
      </c>
      <c r="Y5789">
        <v>-0.37696170000000001</v>
      </c>
      <c r="Z5789">
        <v>4.2690409999999998E-2</v>
      </c>
      <c r="AA5789">
        <v>0.92524450000000003</v>
      </c>
      <c r="AB5789">
        <v>22</v>
      </c>
      <c r="AC5789">
        <v>13.998199999999899</v>
      </c>
      <c r="AD5789">
        <v>-1.1185928882489999</v>
      </c>
      <c r="AE5789">
        <v>0.38180000000000502</v>
      </c>
      <c r="AF5789">
        <v>-5.30730063523845</v>
      </c>
      <c r="AG5789">
        <v>-1.1185928882489999</v>
      </c>
      <c r="AH5789">
        <v>12.8627051665413</v>
      </c>
      <c r="AI5789">
        <v>94.596110159535598</v>
      </c>
      <c r="AJ5789">
        <v>112.421608915224</v>
      </c>
      <c r="AK5789">
        <v>13.959508382597599</v>
      </c>
      <c r="AL5789">
        <v>92.013194366562601</v>
      </c>
      <c r="AM5789">
        <v>101.14732554139501</v>
      </c>
      <c r="AN5789">
        <v>0.99999998204271401</v>
      </c>
    </row>
    <row r="5790" spans="1:40" x14ac:dyDescent="0.3">
      <c r="A5790" t="str">
        <f>"20200111160618914"</f>
        <v>20200111160618914</v>
      </c>
      <c r="B5790" t="str">
        <f>"1578729978907980"</f>
        <v>1578729978907980</v>
      </c>
      <c r="C5790" t="s">
        <v>40</v>
      </c>
      <c r="D5790">
        <v>5.3703629999999896</v>
      </c>
      <c r="E5790">
        <v>0.42656300000000003</v>
      </c>
      <c r="F5790" t="s">
        <v>41</v>
      </c>
      <c r="G5790">
        <v>-275.24619999999999</v>
      </c>
      <c r="H5790" s="1">
        <v>-1.841543E-6</v>
      </c>
      <c r="I5790">
        <v>-58.408700000000003</v>
      </c>
      <c r="J5790">
        <v>-289.25709999999998</v>
      </c>
      <c r="K5790">
        <v>1.118536</v>
      </c>
      <c r="L5790">
        <v>-58.8157</v>
      </c>
      <c r="M5790">
        <v>0.93656450000000002</v>
      </c>
      <c r="N5790">
        <v>0</v>
      </c>
      <c r="O5790">
        <v>-0.35012209999999899</v>
      </c>
      <c r="P5790">
        <v>0.98515260000000004</v>
      </c>
      <c r="Q5790">
        <v>-4.6620710000000003E-2</v>
      </c>
      <c r="R5790">
        <v>-0.16523119999999999</v>
      </c>
      <c r="S5790">
        <v>3.0489809999999999</v>
      </c>
      <c r="T5790">
        <v>-0.2417899</v>
      </c>
      <c r="U5790">
        <v>8.184814E-2</v>
      </c>
      <c r="V5790">
        <v>-0.1895734</v>
      </c>
      <c r="W5790">
        <v>-3.4402929999999998E-2</v>
      </c>
      <c r="X5790">
        <v>0.98126360000000001</v>
      </c>
      <c r="Y5790">
        <v>-0.37293959999999998</v>
      </c>
      <c r="Z5790">
        <v>4.206083E-2</v>
      </c>
      <c r="AA5790">
        <v>0.9269018</v>
      </c>
      <c r="AB5790">
        <v>22</v>
      </c>
      <c r="AC5790">
        <v>14.0108999999999</v>
      </c>
      <c r="AD5790">
        <v>-1.1185378415430001</v>
      </c>
      <c r="AE5790">
        <v>0.40699999999999598</v>
      </c>
      <c r="AF5790">
        <v>-5.25394163475596</v>
      </c>
      <c r="AG5790">
        <v>-1.1185378415430001</v>
      </c>
      <c r="AH5790">
        <v>12.8991670851303</v>
      </c>
      <c r="AI5790">
        <v>94.5914504140095</v>
      </c>
      <c r="AJ5790">
        <v>112.161490104698</v>
      </c>
      <c r="AK5790">
        <v>13.9729574927606</v>
      </c>
      <c r="AL5790">
        <v>91.9715318374394</v>
      </c>
      <c r="AM5790">
        <v>100.934442361335</v>
      </c>
      <c r="AN5790">
        <v>0.99999994413255</v>
      </c>
    </row>
    <row r="5791" spans="1:40" x14ac:dyDescent="0.3">
      <c r="A5791" t="str">
        <f>"20200111160618926"</f>
        <v>20200111160618926</v>
      </c>
      <c r="B5791" t="str">
        <f>"1578729978917739"</f>
        <v>1578729978917739</v>
      </c>
      <c r="C5791" t="s">
        <v>40</v>
      </c>
      <c r="D5791">
        <v>5.3783510000000003</v>
      </c>
      <c r="E5791">
        <v>0.42689280000000002</v>
      </c>
      <c r="F5791" t="s">
        <v>41</v>
      </c>
      <c r="G5791">
        <v>-275.07049999999998</v>
      </c>
      <c r="H5791" s="1">
        <v>-1.7660009999999999E-6</v>
      </c>
      <c r="I5791">
        <v>-58.409390000000002</v>
      </c>
      <c r="J5791">
        <v>-289.15809999999999</v>
      </c>
      <c r="K5791">
        <v>1.1184730000000001</v>
      </c>
      <c r="L5791">
        <v>-58.844999999999999</v>
      </c>
      <c r="M5791">
        <v>0.93884749999999995</v>
      </c>
      <c r="N5791">
        <v>0</v>
      </c>
      <c r="O5791">
        <v>-0.34395399999999998</v>
      </c>
      <c r="P5791">
        <v>0.98567139999999998</v>
      </c>
      <c r="Q5791">
        <v>-4.6586599999999999E-2</v>
      </c>
      <c r="R5791">
        <v>-0.1621157</v>
      </c>
      <c r="S5791">
        <v>3.048492</v>
      </c>
      <c r="T5791">
        <v>-0.24035719999999999</v>
      </c>
      <c r="U5791">
        <v>8.7310789999999999E-2</v>
      </c>
      <c r="V5791">
        <v>-0.18622939999999999</v>
      </c>
      <c r="W5791">
        <v>-3.427989E-2</v>
      </c>
      <c r="X5791">
        <v>0.98190809999999995</v>
      </c>
      <c r="Y5791">
        <v>-0.3685582</v>
      </c>
      <c r="Z5791">
        <v>4.1185449999999998E-2</v>
      </c>
      <c r="AA5791">
        <v>0.92869190000000001</v>
      </c>
      <c r="AB5791">
        <v>22</v>
      </c>
      <c r="AC5791">
        <v>14.0876</v>
      </c>
      <c r="AD5791">
        <v>-1.1184747660009999</v>
      </c>
      <c r="AE5791">
        <v>0.435609999999996</v>
      </c>
      <c r="AF5791">
        <v>-5.2222568234223301</v>
      </c>
      <c r="AG5791">
        <v>-1.1184747660009999</v>
      </c>
      <c r="AH5791">
        <v>12.9961428504106</v>
      </c>
      <c r="AI5791">
        <v>94.565727912131806</v>
      </c>
      <c r="AJ5791">
        <v>111.891804988692</v>
      </c>
      <c r="AK5791">
        <v>14.0507181709776</v>
      </c>
      <c r="AL5791">
        <v>91.964477877070706</v>
      </c>
      <c r="AM5791">
        <v>100.73920407452501</v>
      </c>
      <c r="AN5791">
        <v>1.00000000856419</v>
      </c>
    </row>
    <row r="5792" spans="1:40" x14ac:dyDescent="0.3">
      <c r="A5792" t="str">
        <f>"20200111160618937"</f>
        <v>20200111160618937</v>
      </c>
      <c r="B5792" t="str">
        <f>"1578729978928476"</f>
        <v>1578729978928476</v>
      </c>
      <c r="C5792" t="s">
        <v>40</v>
      </c>
      <c r="D5792">
        <v>5.3633850000000001</v>
      </c>
      <c r="E5792">
        <v>0.42722710000000003</v>
      </c>
      <c r="F5792" t="s">
        <v>41</v>
      </c>
      <c r="G5792">
        <v>-275.08330000000001</v>
      </c>
      <c r="H5792" s="1">
        <v>-1.771773E-6</v>
      </c>
      <c r="I5792">
        <v>-58.408250000000002</v>
      </c>
      <c r="J5792">
        <v>-289.05759999999998</v>
      </c>
      <c r="K5792">
        <v>1.1183920000000001</v>
      </c>
      <c r="L5792">
        <v>-58.873869999999997</v>
      </c>
      <c r="M5792">
        <v>0.94109869999999995</v>
      </c>
      <c r="N5792">
        <v>0</v>
      </c>
      <c r="O5792">
        <v>-0.33774720000000003</v>
      </c>
      <c r="P5792">
        <v>0.98617600000000005</v>
      </c>
      <c r="Q5792">
        <v>-4.7065790000000003E-2</v>
      </c>
      <c r="R5792">
        <v>-0.1588772</v>
      </c>
      <c r="S5792">
        <v>3.0476990000000002</v>
      </c>
      <c r="T5792">
        <v>-0.24219089999999999</v>
      </c>
      <c r="U5792">
        <v>9.4573969999999993E-2</v>
      </c>
      <c r="V5792">
        <v>-0.18296200000000001</v>
      </c>
      <c r="W5792">
        <v>-3.4671769999999998E-2</v>
      </c>
      <c r="X5792">
        <v>0.98250839999999995</v>
      </c>
      <c r="Y5792">
        <v>-0.36463610000000002</v>
      </c>
      <c r="Z5792">
        <v>4.0885310000000001E-2</v>
      </c>
      <c r="AA5792">
        <v>0.93025210000000003</v>
      </c>
      <c r="AB5792">
        <v>22</v>
      </c>
      <c r="AC5792">
        <v>13.9742999999999</v>
      </c>
      <c r="AD5792">
        <v>-1.1183937717729999</v>
      </c>
      <c r="AE5792">
        <v>0.46561999999999398</v>
      </c>
      <c r="AF5792">
        <v>-5.1258504755274803</v>
      </c>
      <c r="AG5792">
        <v>-1.1183937717729999</v>
      </c>
      <c r="AH5792">
        <v>12.9130056555686</v>
      </c>
      <c r="AI5792">
        <v>94.602360916503898</v>
      </c>
      <c r="AJ5792">
        <v>111.650728875246</v>
      </c>
      <c r="AK5792">
        <v>13.938108292984101</v>
      </c>
      <c r="AL5792">
        <v>91.986944338430305</v>
      </c>
      <c r="AM5792">
        <v>100.54875077355599</v>
      </c>
      <c r="AN5792">
        <v>0.99999999057474598</v>
      </c>
    </row>
    <row r="5793" spans="1:40" x14ac:dyDescent="0.3">
      <c r="A5793" t="str">
        <f>"20200111160618948"</f>
        <v>20200111160618948</v>
      </c>
      <c r="B5793" t="str">
        <f>"1578729978938237"</f>
        <v>1578729978938237</v>
      </c>
      <c r="C5793" t="s">
        <v>40</v>
      </c>
      <c r="D5793">
        <v>5.4270290000000001</v>
      </c>
      <c r="E5793">
        <v>0.42756749999999999</v>
      </c>
      <c r="F5793" t="s">
        <v>41</v>
      </c>
      <c r="G5793">
        <v>-275.18549999999999</v>
      </c>
      <c r="H5793" s="1">
        <v>-1.8153400000000001E-6</v>
      </c>
      <c r="I5793">
        <v>-58.409500000000001</v>
      </c>
      <c r="J5793">
        <v>-288.95659999999998</v>
      </c>
      <c r="K5793">
        <v>1.1183069999999999</v>
      </c>
      <c r="L5793">
        <v>-58.902340000000002</v>
      </c>
      <c r="M5793">
        <v>0.9433011</v>
      </c>
      <c r="N5793">
        <v>0</v>
      </c>
      <c r="O5793">
        <v>-0.33154709999999898</v>
      </c>
      <c r="P5793">
        <v>0.98670519999999995</v>
      </c>
      <c r="Q5793">
        <v>-4.7085349999999998E-2</v>
      </c>
      <c r="R5793">
        <v>-0.1555513</v>
      </c>
      <c r="S5793">
        <v>3.0467529999999998</v>
      </c>
      <c r="T5793">
        <v>-0.2456363</v>
      </c>
      <c r="U5793">
        <v>0.1019897</v>
      </c>
      <c r="V5793">
        <v>-0.17981749999999999</v>
      </c>
      <c r="W5793">
        <v>-3.4605860000000002E-2</v>
      </c>
      <c r="X5793">
        <v>0.9830911</v>
      </c>
      <c r="Y5793">
        <v>-0.36074889999999998</v>
      </c>
      <c r="Z5793">
        <v>4.084546E-2</v>
      </c>
      <c r="AA5793">
        <v>0.93176809999999999</v>
      </c>
      <c r="AB5793">
        <v>22</v>
      </c>
      <c r="AC5793">
        <v>13.771099999999899</v>
      </c>
      <c r="AD5793">
        <v>-1.11830881534</v>
      </c>
      <c r="AE5793">
        <v>0.492840000000001</v>
      </c>
      <c r="AF5793">
        <v>-4.9983976767157703</v>
      </c>
      <c r="AG5793">
        <v>-1.11830881534</v>
      </c>
      <c r="AH5793">
        <v>12.744621329896599</v>
      </c>
      <c r="AI5793">
        <v>94.670092608463804</v>
      </c>
      <c r="AJ5793">
        <v>111.414944793285</v>
      </c>
      <c r="AK5793">
        <v>13.735354628968301</v>
      </c>
      <c r="AL5793">
        <v>91.983165677621699</v>
      </c>
      <c r="AM5793">
        <v>100.36540688313499</v>
      </c>
      <c r="AN5793">
        <v>1.0000000048758899</v>
      </c>
    </row>
    <row r="5794" spans="1:40" x14ac:dyDescent="0.3">
      <c r="A5794" t="str">
        <f>"20200111160618960"</f>
        <v>20200111160618960</v>
      </c>
      <c r="B5794" t="str">
        <f>"1578729978957756"</f>
        <v>1578729978957756</v>
      </c>
      <c r="C5794" t="s">
        <v>40</v>
      </c>
      <c r="D5794">
        <v>5.3965139999999998</v>
      </c>
      <c r="E5794">
        <v>0.4283402</v>
      </c>
      <c r="F5794" t="s">
        <v>41</v>
      </c>
      <c r="G5794">
        <v>-275.13350000000003</v>
      </c>
      <c r="H5794" s="1">
        <v>-1.794056E-6</v>
      </c>
      <c r="I5794">
        <v>-58.404870000000003</v>
      </c>
      <c r="J5794">
        <v>-288.85199999999998</v>
      </c>
      <c r="K5794">
        <v>1.118209</v>
      </c>
      <c r="L5794">
        <v>-58.931150000000002</v>
      </c>
      <c r="M5794">
        <v>0.94551759999999996</v>
      </c>
      <c r="N5794">
        <v>0</v>
      </c>
      <c r="O5794">
        <v>-0.3251732</v>
      </c>
      <c r="P5794">
        <v>0.98727719999999997</v>
      </c>
      <c r="Q5794">
        <v>-4.7613509999999998E-2</v>
      </c>
      <c r="R5794">
        <v>-0.15171209999999999</v>
      </c>
      <c r="S5794">
        <v>3.0459290000000001</v>
      </c>
      <c r="T5794">
        <v>-0.24642120000000001</v>
      </c>
      <c r="U5794">
        <v>0.1096191</v>
      </c>
      <c r="V5794">
        <v>-0.17699709999999999</v>
      </c>
      <c r="W5794">
        <v>-3.505482E-2</v>
      </c>
      <c r="X5794">
        <v>0.98358690000000004</v>
      </c>
      <c r="Y5794">
        <v>-0.35681299999999999</v>
      </c>
      <c r="Z5794">
        <v>4.0335389999999999E-2</v>
      </c>
      <c r="AA5794">
        <v>0.93330469999999999</v>
      </c>
      <c r="AB5794">
        <v>21</v>
      </c>
      <c r="AC5794">
        <v>13.718500000000001</v>
      </c>
      <c r="AD5794">
        <v>-1.118210794056</v>
      </c>
      <c r="AE5794">
        <v>0.52628000000000696</v>
      </c>
      <c r="AF5794">
        <v>-4.9264538481645097</v>
      </c>
      <c r="AG5794">
        <v>-1.118210794056</v>
      </c>
      <c r="AH5794">
        <v>12.717238017521</v>
      </c>
      <c r="AI5794">
        <v>94.687288595576703</v>
      </c>
      <c r="AJ5794">
        <v>111.175567979593</v>
      </c>
      <c r="AK5794">
        <v>13.6838768516938</v>
      </c>
      <c r="AL5794">
        <v>92.008904814484097</v>
      </c>
      <c r="AM5794">
        <v>100.201234776783</v>
      </c>
      <c r="AN5794">
        <v>1.0000000018326201</v>
      </c>
    </row>
    <row r="5795" spans="1:40" x14ac:dyDescent="0.3">
      <c r="A5795" t="str">
        <f>"20200111160618972"</f>
        <v>20200111160618972</v>
      </c>
      <c r="B5795" t="str">
        <f>"1578729978968491"</f>
        <v>1578729978968491</v>
      </c>
      <c r="C5795" t="s">
        <v>40</v>
      </c>
      <c r="D5795">
        <v>5.3938610000000002</v>
      </c>
      <c r="E5795">
        <v>0.42873450000000002</v>
      </c>
      <c r="F5795" t="s">
        <v>41</v>
      </c>
      <c r="G5795">
        <v>-275.37180000000001</v>
      </c>
      <c r="H5795" s="1">
        <v>-1.8930299999999999E-6</v>
      </c>
      <c r="I5795">
        <v>-58.419530000000002</v>
      </c>
      <c r="J5795">
        <v>-288.74619999999999</v>
      </c>
      <c r="K5795">
        <v>1.118099</v>
      </c>
      <c r="L5795">
        <v>-58.959440000000001</v>
      </c>
      <c r="M5795">
        <v>0.94767539999999995</v>
      </c>
      <c r="N5795">
        <v>0</v>
      </c>
      <c r="O5795">
        <v>-0.31883099999999998</v>
      </c>
      <c r="P5795">
        <v>0.98784070000000002</v>
      </c>
      <c r="Q5795">
        <v>-4.8244889999999999E-2</v>
      </c>
      <c r="R5795">
        <v>-0.1477955</v>
      </c>
      <c r="S5795">
        <v>3.0442200000000001</v>
      </c>
      <c r="T5795">
        <v>-0.25252540000000001</v>
      </c>
      <c r="U5795">
        <v>0.11553960000000001</v>
      </c>
      <c r="V5795">
        <v>-0.17429710000000001</v>
      </c>
      <c r="W5795">
        <v>-3.5607899999999998E-2</v>
      </c>
      <c r="X5795">
        <v>0.98404910000000001</v>
      </c>
      <c r="Y5795">
        <v>-0.35230980000000001</v>
      </c>
      <c r="Z5795">
        <v>4.0664260000000001E-2</v>
      </c>
      <c r="AA5795">
        <v>0.93499960000000004</v>
      </c>
      <c r="AB5795">
        <v>21</v>
      </c>
      <c r="AC5795">
        <v>13.3743999999999</v>
      </c>
      <c r="AD5795">
        <v>-1.1181008930299901</v>
      </c>
      <c r="AE5795">
        <v>0.539909999999999</v>
      </c>
      <c r="AF5795">
        <v>-4.7433520397943303</v>
      </c>
      <c r="AG5795">
        <v>-1.1181008930299901</v>
      </c>
      <c r="AH5795">
        <v>12.4174199478957</v>
      </c>
      <c r="AI5795">
        <v>94.808110209166401</v>
      </c>
      <c r="AJ5795">
        <v>110.906444649397</v>
      </c>
      <c r="AK5795">
        <v>13.339484860473901</v>
      </c>
      <c r="AL5795">
        <v>92.040613732202999</v>
      </c>
      <c r="AM5795">
        <v>100.044191756069</v>
      </c>
      <c r="AN5795">
        <v>1.00000001641081</v>
      </c>
    </row>
    <row r="5796" spans="1:40" x14ac:dyDescent="0.3">
      <c r="A5796" t="str">
        <f>"20200111160618985"</f>
        <v>20200111160618985</v>
      </c>
      <c r="B5796" t="str">
        <f>"1578729978978252"</f>
        <v>1578729978978252</v>
      </c>
      <c r="C5796" t="s">
        <v>40</v>
      </c>
      <c r="D5796">
        <v>5.5474870000000003</v>
      </c>
      <c r="E5796">
        <v>0.42907339999999999</v>
      </c>
      <c r="F5796" t="s">
        <v>41</v>
      </c>
      <c r="G5796">
        <v>-275.50790000000001</v>
      </c>
      <c r="H5796" s="1">
        <v>-1.9518690000000001E-6</v>
      </c>
      <c r="I5796">
        <v>-58.417499999999997</v>
      </c>
      <c r="J5796">
        <v>-288.63600000000002</v>
      </c>
      <c r="K5796">
        <v>1.1179730000000001</v>
      </c>
      <c r="L5796">
        <v>-58.988529999999997</v>
      </c>
      <c r="M5796">
        <v>0.94986190000000004</v>
      </c>
      <c r="N5796">
        <v>0</v>
      </c>
      <c r="O5796">
        <v>-0.31225839999999999</v>
      </c>
      <c r="P5796">
        <v>0.98842059999999998</v>
      </c>
      <c r="Q5796">
        <v>-4.8762130000000001E-2</v>
      </c>
      <c r="R5796">
        <v>-0.14369109999999999</v>
      </c>
      <c r="S5796">
        <v>3.042999</v>
      </c>
      <c r="T5796">
        <v>-0.25700990000000001</v>
      </c>
      <c r="U5796">
        <v>0.1245728</v>
      </c>
      <c r="V5796">
        <v>-0.17156189999999999</v>
      </c>
      <c r="W5796">
        <v>-3.6044109999999997E-2</v>
      </c>
      <c r="X5796">
        <v>0.98451379999999999</v>
      </c>
      <c r="Y5796">
        <v>-0.34856659999999901</v>
      </c>
      <c r="Z5796">
        <v>4.0710259999999998E-2</v>
      </c>
      <c r="AA5796">
        <v>0.93639950000000005</v>
      </c>
      <c r="AB5796">
        <v>21</v>
      </c>
      <c r="AC5796">
        <v>13.1280999999999</v>
      </c>
      <c r="AD5796">
        <v>-1.1179749518690001</v>
      </c>
      <c r="AE5796">
        <v>0.57103000000000703</v>
      </c>
      <c r="AF5796">
        <v>-4.6089943599225602</v>
      </c>
      <c r="AG5796">
        <v>-1.1179749518690001</v>
      </c>
      <c r="AH5796">
        <v>12.2048105771803</v>
      </c>
      <c r="AI5796">
        <v>94.897956448766905</v>
      </c>
      <c r="AJ5796">
        <v>110.688417725172</v>
      </c>
      <c r="AK5796">
        <v>13.093895456572801</v>
      </c>
      <c r="AL5796">
        <v>92.065622723986905</v>
      </c>
      <c r="AM5796">
        <v>99.885131013720397</v>
      </c>
      <c r="AN5796">
        <v>1.00000004289387</v>
      </c>
    </row>
    <row r="5797" spans="1:40" x14ac:dyDescent="0.3">
      <c r="A5797" t="str">
        <f>"20200111160618995"</f>
        <v>20200111160618995</v>
      </c>
      <c r="B5797" t="str">
        <f>"1578729978988012"</f>
        <v>1578729978988012</v>
      </c>
      <c r="C5797" t="s">
        <v>40</v>
      </c>
      <c r="D5797">
        <v>5.4320680000000001</v>
      </c>
      <c r="E5797">
        <v>0.4295081</v>
      </c>
      <c r="F5797" t="s">
        <v>41</v>
      </c>
      <c r="G5797">
        <v>-275.6019</v>
      </c>
      <c r="H5797" s="1">
        <v>-1.9934319999999999E-6</v>
      </c>
      <c r="I5797">
        <v>-58.411839999999998</v>
      </c>
      <c r="J5797">
        <v>-288.52760000000001</v>
      </c>
      <c r="K5797">
        <v>1.1178170000000001</v>
      </c>
      <c r="L5797">
        <v>-59.01605</v>
      </c>
      <c r="M5797">
        <v>0.95190609999999998</v>
      </c>
      <c r="N5797">
        <v>0</v>
      </c>
      <c r="O5797">
        <v>-0.30597229999999997</v>
      </c>
      <c r="P5797">
        <v>0.98897449999999998</v>
      </c>
      <c r="Q5797">
        <v>-4.8765179999999998E-2</v>
      </c>
      <c r="R5797">
        <v>-0.13982709999999901</v>
      </c>
      <c r="S5797">
        <v>3.0418090000000002</v>
      </c>
      <c r="T5797">
        <v>-0.26090400000000002</v>
      </c>
      <c r="U5797">
        <v>0.13458249999999999</v>
      </c>
      <c r="V5797">
        <v>-0.1689155</v>
      </c>
      <c r="W5797">
        <v>-3.5965089999999998E-2</v>
      </c>
      <c r="X5797">
        <v>0.98497409999999996</v>
      </c>
      <c r="Y5797">
        <v>-0.34542519999999999</v>
      </c>
      <c r="Z5797">
        <v>4.0688240000000001E-2</v>
      </c>
      <c r="AA5797">
        <v>0.93756379999999995</v>
      </c>
      <c r="AB5797">
        <v>21</v>
      </c>
      <c r="AC5797">
        <v>12.925700000000001</v>
      </c>
      <c r="AD5797">
        <v>-1.117818993432</v>
      </c>
      <c r="AE5797">
        <v>0.60420999999999403</v>
      </c>
      <c r="AF5797">
        <v>-4.4970770517317096</v>
      </c>
      <c r="AG5797">
        <v>-1.117818993432</v>
      </c>
      <c r="AH5797">
        <v>12.0309495722846</v>
      </c>
      <c r="AI5797">
        <v>94.9739575150831</v>
      </c>
      <c r="AJ5797">
        <v>110.495359152015</v>
      </c>
      <c r="AK5797">
        <v>12.892516004339299</v>
      </c>
      <c r="AL5797">
        <v>92.061092453928097</v>
      </c>
      <c r="AM5797">
        <v>99.731127127285404</v>
      </c>
      <c r="AN5797">
        <v>0.99999995575488299</v>
      </c>
    </row>
    <row r="5798" spans="1:40" x14ac:dyDescent="0.3">
      <c r="A5798" t="str">
        <f>"20200111160619009"</f>
        <v>20200111160619009</v>
      </c>
      <c r="B5798" t="str">
        <f>"1578729978997772"</f>
        <v>1578729978997772</v>
      </c>
      <c r="C5798" t="s">
        <v>40</v>
      </c>
      <c r="D5798">
        <v>5.4616809999999996</v>
      </c>
      <c r="E5798">
        <v>0.42996580000000001</v>
      </c>
      <c r="F5798" t="s">
        <v>41</v>
      </c>
      <c r="G5798">
        <v>-275.63650000000001</v>
      </c>
      <c r="H5798" s="1">
        <v>-2.0087949999999998E-6</v>
      </c>
      <c r="I5798">
        <v>-58.409509999999997</v>
      </c>
      <c r="J5798">
        <v>-288.41269999999997</v>
      </c>
      <c r="K5798">
        <v>1.11764</v>
      </c>
      <c r="L5798">
        <v>-59.044829999999997</v>
      </c>
      <c r="M5798">
        <v>0.95399869999999998</v>
      </c>
      <c r="N5798">
        <v>0</v>
      </c>
      <c r="O5798">
        <v>-0.29938540000000002</v>
      </c>
      <c r="P5798">
        <v>0.98957799999999996</v>
      </c>
      <c r="Q5798">
        <v>-4.9081390000000003E-2</v>
      </c>
      <c r="R5798">
        <v>-0.1353753</v>
      </c>
      <c r="S5798">
        <v>3.0406490000000002</v>
      </c>
      <c r="T5798">
        <v>-0.26366109999999998</v>
      </c>
      <c r="U5798">
        <v>0.14306640000000001</v>
      </c>
      <c r="V5798">
        <v>-0.166545</v>
      </c>
      <c r="W5798">
        <v>-3.6203039999999999E-2</v>
      </c>
      <c r="X5798">
        <v>0.98536900000000005</v>
      </c>
      <c r="Y5798">
        <v>-0.34155350000000001</v>
      </c>
      <c r="Z5798">
        <v>4.0414360000000003E-2</v>
      </c>
      <c r="AA5798">
        <v>0.93899299999999997</v>
      </c>
      <c r="AB5798">
        <v>21</v>
      </c>
      <c r="AC5798">
        <v>12.7761999999999</v>
      </c>
      <c r="AD5798">
        <v>-1.1176420087950001</v>
      </c>
      <c r="AE5798">
        <v>0.63532000000000699</v>
      </c>
      <c r="AF5798">
        <v>-4.3980936788343099</v>
      </c>
      <c r="AG5798">
        <v>-1.1176420087950001</v>
      </c>
      <c r="AH5798">
        <v>11.9088941613999</v>
      </c>
      <c r="AI5798">
        <v>95.031201800837806</v>
      </c>
      <c r="AJ5798">
        <v>110.269776893052</v>
      </c>
      <c r="AK5798">
        <v>12.7441795269468</v>
      </c>
      <c r="AL5798">
        <v>92.074734816072905</v>
      </c>
      <c r="AM5798">
        <v>99.593346853455898</v>
      </c>
      <c r="AN5798">
        <v>0.99999998164561998</v>
      </c>
    </row>
    <row r="5799" spans="1:40" x14ac:dyDescent="0.3">
      <c r="A5799" t="str">
        <f>"20200111160619022"</f>
        <v>20200111160619022</v>
      </c>
      <c r="B5799" t="str">
        <f>"1578729979018268"</f>
        <v>1578729979018268</v>
      </c>
      <c r="C5799" t="s">
        <v>40</v>
      </c>
      <c r="D5799">
        <v>5.5346440000000001</v>
      </c>
      <c r="E5799">
        <v>0.43072460000000001</v>
      </c>
      <c r="F5799" t="s">
        <v>41</v>
      </c>
      <c r="G5799">
        <v>-275.69200000000001</v>
      </c>
      <c r="H5799" s="1">
        <v>-2.0338439999999999E-6</v>
      </c>
      <c r="I5799">
        <v>-58.404020000000003</v>
      </c>
      <c r="J5799">
        <v>-288.29300000000001</v>
      </c>
      <c r="K5799">
        <v>1.1174409999999999</v>
      </c>
      <c r="L5799">
        <v>-59.074129999999997</v>
      </c>
      <c r="M5799">
        <v>0.95608539999999997</v>
      </c>
      <c r="N5799">
        <v>0</v>
      </c>
      <c r="O5799">
        <v>-0.29265560000000002</v>
      </c>
      <c r="P5799">
        <v>0.99021079999999995</v>
      </c>
      <c r="Q5799">
        <v>-4.8670489999999997E-2</v>
      </c>
      <c r="R5799">
        <v>-0.1308203</v>
      </c>
      <c r="S5799">
        <v>3.039307</v>
      </c>
      <c r="T5799">
        <v>-0.26703579999999999</v>
      </c>
      <c r="U5799">
        <v>0.15310670000000001</v>
      </c>
      <c r="V5799">
        <v>-0.1641657</v>
      </c>
      <c r="W5799">
        <v>-3.5711220000000002E-2</v>
      </c>
      <c r="X5799">
        <v>0.9857861</v>
      </c>
      <c r="Y5799">
        <v>-0.33802310000000002</v>
      </c>
      <c r="Z5799">
        <v>4.0221840000000002E-2</v>
      </c>
      <c r="AA5799">
        <v>0.9402779</v>
      </c>
      <c r="AB5799">
        <v>21</v>
      </c>
      <c r="AC5799">
        <v>12.601000000000001</v>
      </c>
      <c r="AD5799">
        <v>-1.117443033844</v>
      </c>
      <c r="AE5799">
        <v>0.67011000000000798</v>
      </c>
      <c r="AF5799">
        <v>-4.2953013556901496</v>
      </c>
      <c r="AG5799">
        <v>-1.117443033844</v>
      </c>
      <c r="AH5799">
        <v>11.7607970912394</v>
      </c>
      <c r="AI5799">
        <v>95.100033310714394</v>
      </c>
      <c r="AJ5799">
        <v>110.063303587074</v>
      </c>
      <c r="AK5799">
        <v>12.5703874598751</v>
      </c>
      <c r="AL5799">
        <v>92.046537432111805</v>
      </c>
      <c r="AM5799">
        <v>99.454858249142902</v>
      </c>
      <c r="AN5799">
        <v>0.999999951621793</v>
      </c>
    </row>
    <row r="5800" spans="1:40" x14ac:dyDescent="0.3">
      <c r="A5800" t="str">
        <f>"20200111160619038"</f>
        <v>20200111160619038</v>
      </c>
      <c r="B5800" t="str">
        <f>"1578729979028027"</f>
        <v>1578729979028027</v>
      </c>
      <c r="C5800" t="s">
        <v>40</v>
      </c>
      <c r="D5800">
        <v>5.6018119999999998</v>
      </c>
      <c r="E5800">
        <v>0.43113370000000001</v>
      </c>
      <c r="F5800" t="s">
        <v>41</v>
      </c>
      <c r="G5800">
        <v>-275.68459999999999</v>
      </c>
      <c r="H5800" s="1">
        <v>-2.0303400000000001E-6</v>
      </c>
      <c r="I5800">
        <v>-58.405329999999999</v>
      </c>
      <c r="J5800">
        <v>-288.14729999999997</v>
      </c>
      <c r="K5800">
        <v>1.1171660000000001</v>
      </c>
      <c r="L5800">
        <v>-59.108640000000001</v>
      </c>
      <c r="M5800">
        <v>0.95846379999999998</v>
      </c>
      <c r="N5800">
        <v>0</v>
      </c>
      <c r="O5800">
        <v>-0.2847729</v>
      </c>
      <c r="P5800">
        <v>0.99071589999999998</v>
      </c>
      <c r="Q5800">
        <v>-4.7850999999999998E-2</v>
      </c>
      <c r="R5800">
        <v>-0.127249</v>
      </c>
      <c r="S5800">
        <v>3.0377200000000002</v>
      </c>
      <c r="T5800">
        <v>-0.26922269999999998</v>
      </c>
      <c r="U5800">
        <v>0.16113279999999999</v>
      </c>
      <c r="V5800">
        <v>-0.15965209999999999</v>
      </c>
      <c r="W5800">
        <v>-3.4760569999999998E-2</v>
      </c>
      <c r="X5800">
        <v>0.98656120000000003</v>
      </c>
      <c r="Y5800">
        <v>-0.332785099999999</v>
      </c>
      <c r="Z5800">
        <v>3.9663230000000001E-2</v>
      </c>
      <c r="AA5800">
        <v>0.94216820000000001</v>
      </c>
      <c r="AB5800">
        <v>21</v>
      </c>
      <c r="AC5800">
        <v>12.4626999999999</v>
      </c>
      <c r="AD5800">
        <v>-1.11716803033999</v>
      </c>
      <c r="AE5800">
        <v>0.703309999999994</v>
      </c>
      <c r="AF5800">
        <v>-4.1901049526508301</v>
      </c>
      <c r="AG5800">
        <v>-1.11716803033999</v>
      </c>
      <c r="AH5800">
        <v>11.6529010005604</v>
      </c>
      <c r="AI5800">
        <v>95.155007413828798</v>
      </c>
      <c r="AJ5800">
        <v>109.777373436217</v>
      </c>
      <c r="AK5800">
        <v>12.433629624977</v>
      </c>
      <c r="AL5800">
        <v>91.992035162392696</v>
      </c>
      <c r="AM5800">
        <v>99.192306332732898</v>
      </c>
      <c r="AN5800">
        <v>1.0000000458032801</v>
      </c>
    </row>
    <row r="5801" spans="1:40" x14ac:dyDescent="0.3">
      <c r="A5801" t="str">
        <f>"20200111160619049"</f>
        <v>20200111160619049</v>
      </c>
      <c r="B5801" t="str">
        <f>"1578729979037788"</f>
        <v>1578729979037788</v>
      </c>
      <c r="C5801" t="s">
        <v>40</v>
      </c>
      <c r="D5801">
        <v>5.4826899999999998</v>
      </c>
      <c r="E5801">
        <v>0.43113370000000001</v>
      </c>
      <c r="F5801" t="s">
        <v>41</v>
      </c>
      <c r="G5801">
        <v>-275.55759999999998</v>
      </c>
      <c r="H5801" s="1">
        <v>-1.9750269999999998E-6</v>
      </c>
      <c r="I5801">
        <v>-58.409120000000001</v>
      </c>
      <c r="J5801">
        <v>-288.04820000000001</v>
      </c>
      <c r="K5801">
        <v>1.116949</v>
      </c>
      <c r="L5801">
        <v>-59.13165</v>
      </c>
      <c r="M5801">
        <v>0.95999520000000005</v>
      </c>
      <c r="N5801">
        <v>0</v>
      </c>
      <c r="O5801">
        <v>-0.27956999999999999</v>
      </c>
      <c r="P5801">
        <v>0.99114150000000001</v>
      </c>
      <c r="Q5801">
        <v>-4.7177469999999999E-2</v>
      </c>
      <c r="R5801">
        <v>-0.1241492</v>
      </c>
      <c r="S5801">
        <v>3.0367739999999999</v>
      </c>
      <c r="T5801">
        <v>-0.26947189999999999</v>
      </c>
      <c r="U5801">
        <v>0.16873170000000001</v>
      </c>
      <c r="V5801">
        <v>-0.15742449999999999</v>
      </c>
      <c r="W5801">
        <v>-3.4011449999999999E-2</v>
      </c>
      <c r="X5801">
        <v>0.98694519999999997</v>
      </c>
      <c r="Y5801">
        <v>-0.33006360000000001</v>
      </c>
      <c r="Z5801">
        <v>3.914372E-2</v>
      </c>
      <c r="AA5801">
        <v>0.9431467</v>
      </c>
      <c r="AB5801">
        <v>21</v>
      </c>
      <c r="AC5801">
        <v>12.490600000000001</v>
      </c>
      <c r="AD5801">
        <v>-1.1169509750269999</v>
      </c>
      <c r="AE5801">
        <v>0.722530000000006</v>
      </c>
      <c r="AF5801">
        <v>-4.15304611423461</v>
      </c>
      <c r="AG5801">
        <v>-1.1169509750269999</v>
      </c>
      <c r="AH5801">
        <v>11.6971664189747</v>
      </c>
      <c r="AI5801">
        <v>95.141945508839996</v>
      </c>
      <c r="AJ5801">
        <v>109.54726367116</v>
      </c>
      <c r="AK5801">
        <v>12.4627073198709</v>
      </c>
      <c r="AL5801">
        <v>91.949088362963494</v>
      </c>
      <c r="AM5801">
        <v>99.062723542068895</v>
      </c>
      <c r="AN5801">
        <v>1.00000003986719</v>
      </c>
    </row>
    <row r="5802" spans="1:40" x14ac:dyDescent="0.3">
      <c r="A5802" t="str">
        <f>"20200111160619095"</f>
        <v>20200111160619095</v>
      </c>
      <c r="B5802" t="str">
        <f>"1578729979087567"</f>
        <v>1578729979087567</v>
      </c>
      <c r="C5802" t="s">
        <v>40</v>
      </c>
      <c r="D5802">
        <v>5.631888</v>
      </c>
      <c r="E5802">
        <v>0.4521637</v>
      </c>
      <c r="F5802" t="s">
        <v>41</v>
      </c>
      <c r="G5802">
        <v>-275.38560000000001</v>
      </c>
      <c r="H5802" s="1">
        <v>-1.9057189999999999E-6</v>
      </c>
      <c r="I5802">
        <v>-58.388919999999999</v>
      </c>
      <c r="J5802">
        <v>-287.62950000000001</v>
      </c>
      <c r="K5802">
        <v>1.115839</v>
      </c>
      <c r="L5802">
        <v>-59.22513</v>
      </c>
      <c r="M5802">
        <v>0.96560559999999995</v>
      </c>
      <c r="N5802">
        <v>0</v>
      </c>
      <c r="O5802">
        <v>-0.25954440000000001</v>
      </c>
      <c r="P5802">
        <v>0.99274989999999996</v>
      </c>
      <c r="Q5802">
        <v>-4.4496260000000003E-2</v>
      </c>
      <c r="R5802">
        <v>-0.1116601</v>
      </c>
      <c r="S5802">
        <v>3.036346</v>
      </c>
      <c r="T5802">
        <v>-0.26783319999999999</v>
      </c>
      <c r="U5802">
        <v>0.1781006</v>
      </c>
      <c r="V5802">
        <v>-0.14947589999999999</v>
      </c>
      <c r="W5802">
        <v>-3.1017880000000001E-2</v>
      </c>
      <c r="X5802">
        <v>0.98827869999999995</v>
      </c>
      <c r="Y5802">
        <v>-0.31347049999999999</v>
      </c>
      <c r="Z5802">
        <v>3.646398E-2</v>
      </c>
      <c r="AA5802">
        <v>0.94889760000000001</v>
      </c>
      <c r="AB5802">
        <v>21</v>
      </c>
      <c r="AC5802">
        <v>12.243899999999901</v>
      </c>
      <c r="AD5802">
        <v>-1.115840905719</v>
      </c>
      <c r="AE5802">
        <v>0.836210000000008</v>
      </c>
      <c r="AF5802">
        <v>-3.95308821554331</v>
      </c>
      <c r="AG5802">
        <v>-1.115840905719</v>
      </c>
      <c r="AH5802">
        <v>11.5119836979326</v>
      </c>
      <c r="AI5802">
        <v>95.237908902939793</v>
      </c>
      <c r="AJ5802">
        <v>108.95190619776</v>
      </c>
      <c r="AK5802">
        <v>12.2228382967382</v>
      </c>
      <c r="AL5802">
        <v>91.777478763697303</v>
      </c>
      <c r="AM5802">
        <v>98.600725433764794</v>
      </c>
      <c r="AN5802">
        <v>0.99999997121709605</v>
      </c>
    </row>
    <row r="5803" spans="1:40" x14ac:dyDescent="0.3">
      <c r="A5803" t="str">
        <f>"20200111160619106"</f>
        <v>20200111160619106</v>
      </c>
      <c r="B5803" t="str">
        <f>"1578729979098300"</f>
        <v>1578729979098300</v>
      </c>
      <c r="C5803" t="s">
        <v>40</v>
      </c>
      <c r="D5803">
        <v>5.5723989999999999</v>
      </c>
      <c r="E5803">
        <v>0.45404610000000001</v>
      </c>
      <c r="F5803" t="s">
        <v>41</v>
      </c>
      <c r="G5803">
        <v>-278.09350000000001</v>
      </c>
      <c r="H5803" s="1">
        <v>-2.9195569999999998E-6</v>
      </c>
      <c r="I5803">
        <v>-59.057589999999998</v>
      </c>
      <c r="J5803">
        <v>-287.5299</v>
      </c>
      <c r="K5803">
        <v>1.11554</v>
      </c>
      <c r="L5803">
        <v>-59.246729999999999</v>
      </c>
      <c r="M5803">
        <v>0.96675409999999995</v>
      </c>
      <c r="N5803">
        <v>0</v>
      </c>
      <c r="O5803">
        <v>-0.25523610000000002</v>
      </c>
      <c r="P5803">
        <v>0.99305770000000004</v>
      </c>
      <c r="Q5803">
        <v>-4.424931E-2</v>
      </c>
      <c r="R5803">
        <v>-0.10898869999999999</v>
      </c>
      <c r="S5803">
        <v>3.012054</v>
      </c>
      <c r="T5803">
        <v>-0.35245140000000003</v>
      </c>
      <c r="U5803">
        <v>5.2917480000000003E-2</v>
      </c>
      <c r="V5803">
        <v>-0.1477562</v>
      </c>
      <c r="W5803">
        <v>-3.0697599999999998E-2</v>
      </c>
      <c r="X5803">
        <v>0.98854730000000002</v>
      </c>
      <c r="Y5803">
        <v>-0.26866329999999999</v>
      </c>
      <c r="Z5803">
        <v>4.5194999999999999E-2</v>
      </c>
      <c r="AA5803">
        <v>0.96217330000000001</v>
      </c>
      <c r="AB5803">
        <v>21</v>
      </c>
      <c r="AC5803">
        <v>9.4363999999999901</v>
      </c>
      <c r="AD5803">
        <v>-1.1155429195569999</v>
      </c>
      <c r="AE5803">
        <v>0.189140000000001</v>
      </c>
      <c r="AF5803">
        <v>-2.55596820194453</v>
      </c>
      <c r="AG5803">
        <v>-1.1155429195569999</v>
      </c>
      <c r="AH5803">
        <v>8.9504620946043403</v>
      </c>
      <c r="AI5803">
        <v>96.833983500242297</v>
      </c>
      <c r="AJ5803">
        <v>105.937662258014</v>
      </c>
      <c r="AK5803">
        <v>9.3748696610499298</v>
      </c>
      <c r="AL5803">
        <v>91.759119275741995</v>
      </c>
      <c r="AM5803">
        <v>98.500953359663797</v>
      </c>
      <c r="AN5803">
        <v>1.0000000008107399</v>
      </c>
    </row>
    <row r="5804" spans="1:40" x14ac:dyDescent="0.3">
      <c r="A5804" t="str">
        <f>"20200111160619117"</f>
        <v>20200111160619117</v>
      </c>
      <c r="B5804" t="str">
        <f>"1578729979108060"</f>
        <v>1578729979108060</v>
      </c>
      <c r="C5804" t="s">
        <v>40</v>
      </c>
      <c r="D5804">
        <v>5.5543420000000001</v>
      </c>
      <c r="E5804">
        <v>0.4549628</v>
      </c>
      <c r="F5804" t="s">
        <v>41</v>
      </c>
      <c r="G5804">
        <v>-278.26949999999999</v>
      </c>
      <c r="H5804" s="1">
        <v>-2.984569E-6</v>
      </c>
      <c r="I5804">
        <v>-59.105049999999999</v>
      </c>
      <c r="J5804">
        <v>-287.42320000000001</v>
      </c>
      <c r="K5804">
        <v>1.115219</v>
      </c>
      <c r="L5804">
        <v>-59.269530000000003</v>
      </c>
      <c r="M5804">
        <v>0.96788269999999998</v>
      </c>
      <c r="N5804">
        <v>0</v>
      </c>
      <c r="O5804">
        <v>-0.2509267</v>
      </c>
      <c r="P5804">
        <v>0.99329469999999997</v>
      </c>
      <c r="Q5804">
        <v>-4.5097669999999999E-2</v>
      </c>
      <c r="R5804">
        <v>-0.1064527</v>
      </c>
      <c r="S5804">
        <v>3.0099179999999999</v>
      </c>
      <c r="T5804">
        <v>-0.3625854</v>
      </c>
      <c r="U5804">
        <v>4.605103E-2</v>
      </c>
      <c r="V5804">
        <v>-0.1458806</v>
      </c>
      <c r="W5804">
        <v>-3.1470379999999999E-2</v>
      </c>
      <c r="X5804">
        <v>0.9888015</v>
      </c>
      <c r="Y5804">
        <v>-0.26205389999999901</v>
      </c>
      <c r="Z5804">
        <v>4.5615360000000001E-2</v>
      </c>
      <c r="AA5804">
        <v>0.96397460000000001</v>
      </c>
      <c r="AB5804">
        <v>21</v>
      </c>
      <c r="AC5804">
        <v>9.1537000000000095</v>
      </c>
      <c r="AD5804">
        <v>-1.1152219845689999</v>
      </c>
      <c r="AE5804">
        <v>0.16448000000000401</v>
      </c>
      <c r="AF5804">
        <v>-2.42048222750216</v>
      </c>
      <c r="AG5804">
        <v>-1.1152219845689999</v>
      </c>
      <c r="AH5804">
        <v>8.6905346379798907</v>
      </c>
      <c r="AI5804">
        <v>97.0471952768779</v>
      </c>
      <c r="AJ5804">
        <v>105.56354981931401</v>
      </c>
      <c r="AK5804">
        <v>9.0899860606300198</v>
      </c>
      <c r="AL5804">
        <v>91.803417770345405</v>
      </c>
      <c r="AM5804">
        <v>98.392463231244093</v>
      </c>
      <c r="AN5804">
        <v>0.99999997033797605</v>
      </c>
    </row>
    <row r="5805" spans="1:40" x14ac:dyDescent="0.3">
      <c r="A5805" t="str">
        <f>"20200111160619130"</f>
        <v>20200111160619130</v>
      </c>
      <c r="B5805" t="str">
        <f>"1578729979117823"</f>
        <v>1578729979117823</v>
      </c>
      <c r="C5805" t="s">
        <v>40</v>
      </c>
      <c r="D5805">
        <v>5.5640989999999997</v>
      </c>
      <c r="E5805">
        <v>0.45586719999999997</v>
      </c>
      <c r="F5805" t="s">
        <v>41</v>
      </c>
      <c r="G5805">
        <v>-278.39600000000002</v>
      </c>
      <c r="H5805" s="1">
        <v>-3.0329939999999998E-6</v>
      </c>
      <c r="I5805">
        <v>-59.131439999999998</v>
      </c>
      <c r="J5805">
        <v>-287.31360000000001</v>
      </c>
      <c r="K5805">
        <v>1.1148800000000001</v>
      </c>
      <c r="L5805">
        <v>-59.292819999999899</v>
      </c>
      <c r="M5805">
        <v>0.96896150000000003</v>
      </c>
      <c r="N5805">
        <v>0</v>
      </c>
      <c r="O5805">
        <v>-0.2467318</v>
      </c>
      <c r="P5805">
        <v>0.99351089999999997</v>
      </c>
      <c r="Q5805">
        <v>-4.6490169999999997E-2</v>
      </c>
      <c r="R5805">
        <v>-0.10380010000000001</v>
      </c>
      <c r="S5805">
        <v>3.00827</v>
      </c>
      <c r="T5805">
        <v>-0.37164009999999997</v>
      </c>
      <c r="U5805">
        <v>4.6020510000000001E-2</v>
      </c>
      <c r="V5805">
        <v>-0.144232</v>
      </c>
      <c r="W5805">
        <v>-3.278938E-2</v>
      </c>
      <c r="X5805">
        <v>0.98900049999999995</v>
      </c>
      <c r="Y5805">
        <v>-0.2577469</v>
      </c>
      <c r="Z5805">
        <v>4.6002220000000003E-2</v>
      </c>
      <c r="AA5805">
        <v>0.96511670000000005</v>
      </c>
      <c r="AB5805">
        <v>21</v>
      </c>
      <c r="AC5805">
        <v>8.9176000000000499</v>
      </c>
      <c r="AD5805">
        <v>-1.1148830329939901</v>
      </c>
      <c r="AE5805">
        <v>0.16137999999998601</v>
      </c>
      <c r="AF5805">
        <v>-2.32064572897468</v>
      </c>
      <c r="AG5805">
        <v>-1.1148830329939901</v>
      </c>
      <c r="AH5805">
        <v>8.4696742409165697</v>
      </c>
      <c r="AI5805">
        <v>97.235177360037795</v>
      </c>
      <c r="AJ5805">
        <v>105.32268697125799</v>
      </c>
      <c r="AK5805">
        <v>8.8523297794372695</v>
      </c>
      <c r="AL5805">
        <v>91.879029891791006</v>
      </c>
      <c r="AM5805">
        <v>98.297301558795695</v>
      </c>
      <c r="AN5805">
        <v>1.0000000011325101</v>
      </c>
    </row>
    <row r="5806" spans="1:40" x14ac:dyDescent="0.3">
      <c r="A5806" t="str">
        <f>"20200111160619141"</f>
        <v>20200111160619141</v>
      </c>
      <c r="B5806" t="str">
        <f>"1578729979138316"</f>
        <v>1578729979138316</v>
      </c>
      <c r="C5806" t="s">
        <v>40</v>
      </c>
      <c r="D5806">
        <v>5.63408</v>
      </c>
      <c r="E5806">
        <v>0.45646890000000001</v>
      </c>
      <c r="F5806" t="s">
        <v>41</v>
      </c>
      <c r="G5806">
        <v>-278.5369</v>
      </c>
      <c r="H5806" s="1">
        <v>-3.0877379999999999E-6</v>
      </c>
      <c r="I5806">
        <v>-59.157319999999999</v>
      </c>
      <c r="J5806">
        <v>-287.21159999999998</v>
      </c>
      <c r="K5806">
        <v>1.11456</v>
      </c>
      <c r="L5806">
        <v>-59.314300000000003</v>
      </c>
      <c r="M5806">
        <v>0.96989599999999998</v>
      </c>
      <c r="N5806">
        <v>0</v>
      </c>
      <c r="O5806">
        <v>-0.2430369</v>
      </c>
      <c r="P5806">
        <v>0.99366540000000003</v>
      </c>
      <c r="Q5806">
        <v>-4.8054430000000002E-2</v>
      </c>
      <c r="R5806">
        <v>-0.1015877</v>
      </c>
      <c r="S5806">
        <v>3.0065309999999998</v>
      </c>
      <c r="T5806">
        <v>-0.38191550000000002</v>
      </c>
      <c r="U5806">
        <v>4.6417239999999999E-2</v>
      </c>
      <c r="V5806">
        <v>-0.14265659999999999</v>
      </c>
      <c r="W5806">
        <v>-3.4284960000000003E-2</v>
      </c>
      <c r="X5806">
        <v>0.98917820000000001</v>
      </c>
      <c r="Y5806">
        <v>-0.25404290000000002</v>
      </c>
      <c r="Z5806">
        <v>4.6600129999999997E-2</v>
      </c>
      <c r="AA5806">
        <v>0.96606970000000003</v>
      </c>
      <c r="AB5806">
        <v>21</v>
      </c>
      <c r="AC5806">
        <v>8.6746999999999694</v>
      </c>
      <c r="AD5806">
        <v>-1.1145630877379999</v>
      </c>
      <c r="AE5806">
        <v>0.15698000000000401</v>
      </c>
      <c r="AF5806">
        <v>-2.2240881903921799</v>
      </c>
      <c r="AG5806">
        <v>-1.1145630877379999</v>
      </c>
      <c r="AH5806">
        <v>8.2403985831720892</v>
      </c>
      <c r="AI5806">
        <v>97.439775579394507</v>
      </c>
      <c r="AJ5806">
        <v>105.104264611018</v>
      </c>
      <c r="AK5806">
        <v>8.6077283858596907</v>
      </c>
      <c r="AL5806">
        <v>91.964768676849602</v>
      </c>
      <c r="AM5806">
        <v>98.206459883845397</v>
      </c>
      <c r="AN5806">
        <v>0.999999937680498</v>
      </c>
    </row>
    <row r="5807" spans="1:40" x14ac:dyDescent="0.3">
      <c r="A5807" t="str">
        <f>"20200111160619150"</f>
        <v>20200111160619150</v>
      </c>
      <c r="B5807" t="str">
        <f>"1578729979148075"</f>
        <v>1578729979148075</v>
      </c>
      <c r="C5807" t="s">
        <v>40</v>
      </c>
      <c r="D5807">
        <v>5.598255</v>
      </c>
      <c r="E5807">
        <v>0.45673950000000002</v>
      </c>
      <c r="F5807" t="s">
        <v>41</v>
      </c>
      <c r="G5807">
        <v>-278.55189999999999</v>
      </c>
      <c r="H5807" s="1">
        <v>-3.0898110000000001E-6</v>
      </c>
      <c r="I5807">
        <v>-59.177039999999998</v>
      </c>
      <c r="J5807">
        <v>-287.12889999999999</v>
      </c>
      <c r="K5807">
        <v>1.1142879999999999</v>
      </c>
      <c r="L5807">
        <v>-59.331629999999997</v>
      </c>
      <c r="M5807">
        <v>0.97057550000000004</v>
      </c>
      <c r="N5807">
        <v>0</v>
      </c>
      <c r="O5807">
        <v>-0.2403111</v>
      </c>
      <c r="P5807">
        <v>0.99370049999999999</v>
      </c>
      <c r="Q5807">
        <v>-4.9596660000000001E-2</v>
      </c>
      <c r="R5807">
        <v>-0.1004951</v>
      </c>
      <c r="S5807">
        <v>3.00528</v>
      </c>
      <c r="T5807">
        <v>-0.3868026</v>
      </c>
      <c r="U5807">
        <v>4.7637939999999997E-2</v>
      </c>
      <c r="V5807">
        <v>-0.14095529999999901</v>
      </c>
      <c r="W5807">
        <v>-3.5767090000000001E-2</v>
      </c>
      <c r="X5807">
        <v>0.98936959999999996</v>
      </c>
      <c r="Y5807">
        <v>-0.2516622</v>
      </c>
      <c r="Z5807">
        <v>4.6717059999999998E-2</v>
      </c>
      <c r="AA5807">
        <v>0.96668699999999996</v>
      </c>
      <c r="AB5807">
        <v>21</v>
      </c>
      <c r="AC5807">
        <v>8.5769999999999893</v>
      </c>
      <c r="AD5807">
        <v>-1.1142910898109999</v>
      </c>
      <c r="AE5807">
        <v>0.15458999999999801</v>
      </c>
      <c r="AF5807">
        <v>-2.1747540317283001</v>
      </c>
      <c r="AG5807">
        <v>-1.1142910898109999</v>
      </c>
      <c r="AH5807">
        <v>8.1509169924137108</v>
      </c>
      <c r="AI5807">
        <v>97.524456671343103</v>
      </c>
      <c r="AJ5807">
        <v>104.939135716279</v>
      </c>
      <c r="AK5807">
        <v>8.5093270914079397</v>
      </c>
      <c r="AL5807">
        <v>92.049740610733295</v>
      </c>
      <c r="AM5807">
        <v>98.108352549189604</v>
      </c>
      <c r="AN5807">
        <v>0.99999994336465703</v>
      </c>
    </row>
    <row r="5808" spans="1:40" x14ac:dyDescent="0.3">
      <c r="A5808" t="str">
        <f>"20200111160619161"</f>
        <v>20200111160619161</v>
      </c>
      <c r="B5808" t="str">
        <f>"1578729979157836"</f>
        <v>1578729979157836</v>
      </c>
      <c r="C5808" t="s">
        <v>40</v>
      </c>
      <c r="D5808">
        <v>5.7478809999999996</v>
      </c>
      <c r="E5808">
        <v>0.4572059</v>
      </c>
      <c r="F5808" t="s">
        <v>41</v>
      </c>
      <c r="G5808">
        <v>-278.66219999999998</v>
      </c>
      <c r="H5808" s="1">
        <v>-3.133202E-6</v>
      </c>
      <c r="I5808">
        <v>-59.194710000000001</v>
      </c>
      <c r="J5808">
        <v>-287.02789999999999</v>
      </c>
      <c r="K5808">
        <v>1.1139559999999999</v>
      </c>
      <c r="L5808">
        <v>-59.352719999999998</v>
      </c>
      <c r="M5808">
        <v>0.97136279999999997</v>
      </c>
      <c r="N5808">
        <v>0</v>
      </c>
      <c r="O5808">
        <v>-0.23711299999999999</v>
      </c>
      <c r="P5808">
        <v>0.9937859</v>
      </c>
      <c r="Q5808">
        <v>-5.1300499999999999E-2</v>
      </c>
      <c r="R5808">
        <v>-9.8781439999999998E-2</v>
      </c>
      <c r="S5808">
        <v>3.0042420000000001</v>
      </c>
      <c r="T5808">
        <v>-0.3953836</v>
      </c>
      <c r="U5808">
        <v>4.8583979999999999E-2</v>
      </c>
      <c r="V5808">
        <v>-0.13939560000000001</v>
      </c>
      <c r="W5808">
        <v>-3.7403749999999999E-2</v>
      </c>
      <c r="X5808">
        <v>0.98953009999999997</v>
      </c>
      <c r="Y5808">
        <v>-0.2486555</v>
      </c>
      <c r="Z5808">
        <v>4.7154069999999999E-2</v>
      </c>
      <c r="AA5808">
        <v>0.96744350000000001</v>
      </c>
      <c r="AB5808">
        <v>21</v>
      </c>
      <c r="AC5808">
        <v>8.3657000000000004</v>
      </c>
      <c r="AD5808">
        <v>-1.113959133202</v>
      </c>
      <c r="AE5808">
        <v>0.15800999999999699</v>
      </c>
      <c r="AF5808">
        <v>-2.1001248299214899</v>
      </c>
      <c r="AG5808">
        <v>-1.113959133202</v>
      </c>
      <c r="AH5808">
        <v>7.9487123426999604</v>
      </c>
      <c r="AI5808">
        <v>97.716239449820307</v>
      </c>
      <c r="AJ5808">
        <v>104.79989515465201</v>
      </c>
      <c r="AK5808">
        <v>8.2965931055275703</v>
      </c>
      <c r="AL5808">
        <v>92.143577044333696</v>
      </c>
      <c r="AM5808">
        <v>98.018521737888605</v>
      </c>
      <c r="AN5808">
        <v>0.99999999630971603</v>
      </c>
    </row>
    <row r="5809" spans="1:40" x14ac:dyDescent="0.3">
      <c r="A5809" t="str">
        <f>"20200111160619174"</f>
        <v>20200111160619174</v>
      </c>
      <c r="B5809" t="str">
        <f>"1578729979167595"</f>
        <v>1578729979167595</v>
      </c>
      <c r="C5809" t="s">
        <v>40</v>
      </c>
      <c r="D5809">
        <v>5.6428459999999996</v>
      </c>
      <c r="E5809">
        <v>0.45757599999999998</v>
      </c>
      <c r="F5809" t="s">
        <v>41</v>
      </c>
      <c r="G5809">
        <v>-278.59870000000001</v>
      </c>
      <c r="H5809" s="1">
        <v>-3.1017950000000002E-6</v>
      </c>
      <c r="I5809">
        <v>-59.213540000000002</v>
      </c>
      <c r="J5809">
        <v>-286.92020000000002</v>
      </c>
      <c r="K5809">
        <v>1.1135900000000001</v>
      </c>
      <c r="L5809">
        <v>-59.37518</v>
      </c>
      <c r="M5809">
        <v>0.97209020000000002</v>
      </c>
      <c r="N5809">
        <v>0</v>
      </c>
      <c r="O5809">
        <v>-0.2341172</v>
      </c>
      <c r="P5809">
        <v>0.99384680000000003</v>
      </c>
      <c r="Q5809">
        <v>-5.2877460000000001E-2</v>
      </c>
      <c r="R5809">
        <v>-9.7326270000000006E-2</v>
      </c>
      <c r="S5809">
        <v>3.0032350000000001</v>
      </c>
      <c r="T5809">
        <v>-0.39689140000000001</v>
      </c>
      <c r="U5809">
        <v>4.9591059999999999E-2</v>
      </c>
      <c r="V5809">
        <v>-0.13779549999999999</v>
      </c>
      <c r="W5809">
        <v>-3.8908289999999998E-2</v>
      </c>
      <c r="X5809">
        <v>0.98969620000000003</v>
      </c>
      <c r="Y5809">
        <v>-0.2460146</v>
      </c>
      <c r="Z5809">
        <v>4.6788540000000003E-2</v>
      </c>
      <c r="AA5809">
        <v>0.9681362</v>
      </c>
      <c r="AB5809">
        <v>21</v>
      </c>
      <c r="AC5809">
        <v>8.3215000000000092</v>
      </c>
      <c r="AD5809">
        <v>-1.11359310179499</v>
      </c>
      <c r="AE5809">
        <v>0.161640000000005</v>
      </c>
      <c r="AF5809">
        <v>-2.06854705991532</v>
      </c>
      <c r="AG5809">
        <v>-1.11359310179499</v>
      </c>
      <c r="AH5809">
        <v>7.91071846963652</v>
      </c>
      <c r="AI5809">
        <v>97.755460044724998</v>
      </c>
      <c r="AJ5809">
        <v>104.653971119841</v>
      </c>
      <c r="AK5809">
        <v>8.2521780907405393</v>
      </c>
      <c r="AL5809">
        <v>92.229843630764606</v>
      </c>
      <c r="AM5809">
        <v>97.926341732225893</v>
      </c>
      <c r="AN5809">
        <v>1.0000000115726999</v>
      </c>
    </row>
    <row r="5810" spans="1:40" x14ac:dyDescent="0.3">
      <c r="A5810" t="str">
        <f>"20200111160619184"</f>
        <v>20200111160619184</v>
      </c>
      <c r="B5810" t="str">
        <f>"1578729979178331"</f>
        <v>1578729979178331</v>
      </c>
      <c r="C5810" t="s">
        <v>40</v>
      </c>
      <c r="D5810">
        <v>6.106249</v>
      </c>
      <c r="E5810">
        <v>0.45757599999999998</v>
      </c>
      <c r="F5810" t="s">
        <v>41</v>
      </c>
      <c r="G5810">
        <v>-278.61619999999999</v>
      </c>
      <c r="H5810" s="1">
        <v>-3.1046549999999999E-6</v>
      </c>
      <c r="I5810">
        <v>-59.234549999999999</v>
      </c>
      <c r="J5810">
        <v>-286.8211</v>
      </c>
      <c r="K5810">
        <v>1.113251</v>
      </c>
      <c r="L5810">
        <v>-59.395809999999997</v>
      </c>
      <c r="M5810">
        <v>0.97272519999999996</v>
      </c>
      <c r="N5810">
        <v>0</v>
      </c>
      <c r="O5810">
        <v>-0.23146849999999999</v>
      </c>
      <c r="P5810">
        <v>0.99388920000000003</v>
      </c>
      <c r="Q5810">
        <v>-5.4296240000000003E-2</v>
      </c>
      <c r="R5810">
        <v>-9.6107010000000007E-2</v>
      </c>
      <c r="S5810">
        <v>3.0021360000000001</v>
      </c>
      <c r="T5810">
        <v>-0.40259519999999999</v>
      </c>
      <c r="U5810">
        <v>5.0842289999999998E-2</v>
      </c>
      <c r="V5810">
        <v>-0.13631760000000001</v>
      </c>
      <c r="W5810">
        <v>-4.0260240000000003E-2</v>
      </c>
      <c r="X5810">
        <v>0.98984680000000003</v>
      </c>
      <c r="Y5810">
        <v>-0.24370649999999999</v>
      </c>
      <c r="Z5810">
        <v>4.697192E-2</v>
      </c>
      <c r="AA5810">
        <v>0.96871090000000004</v>
      </c>
      <c r="AB5810">
        <v>21</v>
      </c>
      <c r="AC5810">
        <v>8.2049000000000092</v>
      </c>
      <c r="AD5810">
        <v>-1.113254104655</v>
      </c>
      <c r="AE5810">
        <v>0.16125999999999799</v>
      </c>
      <c r="AF5810">
        <v>-2.0191154533797699</v>
      </c>
      <c r="AG5810">
        <v>-1.113254104655</v>
      </c>
      <c r="AH5810">
        <v>7.8011326960725196</v>
      </c>
      <c r="AI5810">
        <v>97.865725920574803</v>
      </c>
      <c r="AJ5810">
        <v>104.511050934243</v>
      </c>
      <c r="AK5810">
        <v>8.1347300666549494</v>
      </c>
      <c r="AL5810">
        <v>92.307365378332094</v>
      </c>
      <c r="AM5810">
        <v>97.841214342917098</v>
      </c>
      <c r="AN5810">
        <v>1.00000003123242</v>
      </c>
    </row>
    <row r="5811" spans="1:40" x14ac:dyDescent="0.3">
      <c r="A5811" t="str">
        <f>"20200111160619194"</f>
        <v>20200111160619194</v>
      </c>
      <c r="B5811" t="str">
        <f>"1578729979188092"</f>
        <v>1578729979188092</v>
      </c>
      <c r="C5811" t="s">
        <v>40</v>
      </c>
      <c r="D5811">
        <v>5.5489620000000004</v>
      </c>
      <c r="E5811">
        <v>0.45841660000000001</v>
      </c>
      <c r="F5811" t="s">
        <v>41</v>
      </c>
      <c r="G5811">
        <v>-278.61250000000001</v>
      </c>
      <c r="H5811" s="1">
        <v>-3.100308E-6</v>
      </c>
      <c r="I5811">
        <v>-59.247</v>
      </c>
      <c r="J5811">
        <v>-286.71480000000003</v>
      </c>
      <c r="K5811">
        <v>1.112878</v>
      </c>
      <c r="L5811">
        <v>-59.417999999999999</v>
      </c>
      <c r="M5811">
        <v>0.97327719999999995</v>
      </c>
      <c r="N5811">
        <v>0</v>
      </c>
      <c r="O5811">
        <v>-0.22914039999999999</v>
      </c>
      <c r="P5811">
        <v>0.9939405</v>
      </c>
      <c r="Q5811">
        <v>-5.5345079999999998E-2</v>
      </c>
      <c r="R5811">
        <v>-9.4970680000000002E-2</v>
      </c>
      <c r="S5811">
        <v>3.0014949999999998</v>
      </c>
      <c r="T5811">
        <v>-0.40706219999999999</v>
      </c>
      <c r="U5811">
        <v>5.4412839999999997E-2</v>
      </c>
      <c r="V5811">
        <v>-0.13509760000000001</v>
      </c>
      <c r="W5811">
        <v>-4.123798E-2</v>
      </c>
      <c r="X5811">
        <v>0.98997380000000001</v>
      </c>
      <c r="Y5811">
        <v>-0.24247959999999999</v>
      </c>
      <c r="Z5811">
        <v>4.7108110000000002E-2</v>
      </c>
      <c r="AA5811">
        <v>0.96901210000000004</v>
      </c>
      <c r="AB5811">
        <v>21</v>
      </c>
      <c r="AC5811">
        <v>8.1023000000000103</v>
      </c>
      <c r="AD5811">
        <v>-1.1128811003079999</v>
      </c>
      <c r="AE5811">
        <v>0.17099999999999899</v>
      </c>
      <c r="AF5811">
        <v>-1.98577640275559</v>
      </c>
      <c r="AG5811">
        <v>-1.1128811003079999</v>
      </c>
      <c r="AH5811">
        <v>7.7022421682372197</v>
      </c>
      <c r="AI5811">
        <v>97.964706695383498</v>
      </c>
      <c r="AJ5811">
        <v>104.457049012892</v>
      </c>
      <c r="AK5811">
        <v>8.0315843196305501</v>
      </c>
      <c r="AL5811">
        <v>92.363432329143293</v>
      </c>
      <c r="AM5811">
        <v>97.770914523085594</v>
      </c>
      <c r="AN5811">
        <v>1.0000000286033399</v>
      </c>
    </row>
    <row r="5812" spans="1:40" x14ac:dyDescent="0.3">
      <c r="A5812" t="str">
        <f>"20200111160619205"</f>
        <v>20200111160619205</v>
      </c>
      <c r="B5812" t="str">
        <f>"1578729979197851"</f>
        <v>1578729979197851</v>
      </c>
      <c r="C5812" t="s">
        <v>40</v>
      </c>
      <c r="D5812">
        <v>6.2124420000000002</v>
      </c>
      <c r="E5812">
        <v>0.45841660000000001</v>
      </c>
      <c r="F5812" t="s">
        <v>41</v>
      </c>
      <c r="G5812">
        <v>-278.60500000000002</v>
      </c>
      <c r="H5812" s="1">
        <v>-3.089821E-6</v>
      </c>
      <c r="I5812">
        <v>-59.279989999999998</v>
      </c>
      <c r="J5812">
        <v>-286.61849999999998</v>
      </c>
      <c r="K5812">
        <v>1.1125430000000001</v>
      </c>
      <c r="L5812">
        <v>-59.438110000000002</v>
      </c>
      <c r="M5812">
        <v>0.97375020000000001</v>
      </c>
      <c r="N5812">
        <v>0</v>
      </c>
      <c r="O5812">
        <v>-0.22712489999999999</v>
      </c>
      <c r="P5812">
        <v>0.9939983</v>
      </c>
      <c r="Q5812">
        <v>-5.6130670000000001E-2</v>
      </c>
      <c r="R5812">
        <v>-9.3898679999999998E-2</v>
      </c>
      <c r="S5812">
        <v>3.0002439999999999</v>
      </c>
      <c r="T5812">
        <v>-0.41171229999999998</v>
      </c>
      <c r="U5812">
        <v>5.1055910000000003E-2</v>
      </c>
      <c r="V5812">
        <v>-0.13413429999999901</v>
      </c>
      <c r="W5812">
        <v>-4.1960400000000002E-2</v>
      </c>
      <c r="X5812">
        <v>0.99007440000000002</v>
      </c>
      <c r="Y5812">
        <v>-0.2393412</v>
      </c>
      <c r="Z5812">
        <v>4.7176170000000003E-2</v>
      </c>
      <c r="AA5812">
        <v>0.96978869999999895</v>
      </c>
      <c r="AB5812">
        <v>21</v>
      </c>
      <c r="AC5812">
        <v>8.0134999999999597</v>
      </c>
      <c r="AD5812">
        <v>-1.112546089821</v>
      </c>
      <c r="AE5812">
        <v>0.15811999999998899</v>
      </c>
      <c r="AF5812">
        <v>-1.93693702763583</v>
      </c>
      <c r="AG5812">
        <v>-1.112546089821</v>
      </c>
      <c r="AH5812">
        <v>7.6212657671980697</v>
      </c>
      <c r="AI5812">
        <v>98.052840044096101</v>
      </c>
      <c r="AJ5812">
        <v>104.25976045245299</v>
      </c>
      <c r="AK5812">
        <v>7.9418622340901797</v>
      </c>
      <c r="AL5812">
        <v>92.404859871441502</v>
      </c>
      <c r="AM5812">
        <v>97.7154000968698</v>
      </c>
      <c r="AN5812">
        <v>1.0000000015699999</v>
      </c>
    </row>
    <row r="5813" spans="1:40" x14ac:dyDescent="0.3">
      <c r="A5813" t="str">
        <f>"20200111160619216"</f>
        <v>20200111160619216</v>
      </c>
      <c r="B5813" t="str">
        <f>"1578729979207612"</f>
        <v>1578729979207612</v>
      </c>
      <c r="C5813" t="s">
        <v>40</v>
      </c>
      <c r="D5813">
        <v>5.8751759999999997</v>
      </c>
      <c r="E5813">
        <v>0.43656919999999999</v>
      </c>
      <c r="F5813" t="s">
        <v>41</v>
      </c>
      <c r="G5813">
        <v>-278.56150000000002</v>
      </c>
      <c r="H5813" s="1">
        <v>-3.0683680000000001E-6</v>
      </c>
      <c r="I5813">
        <v>-59.292540000000002</v>
      </c>
      <c r="J5813">
        <v>-286.51650000000001</v>
      </c>
      <c r="K5813">
        <v>1.112204</v>
      </c>
      <c r="L5813">
        <v>-59.459560000000003</v>
      </c>
      <c r="M5813">
        <v>0.97416449999999999</v>
      </c>
      <c r="N5813">
        <v>0</v>
      </c>
      <c r="O5813">
        <v>-0.2253444</v>
      </c>
      <c r="P5813">
        <v>0.99413899999999999</v>
      </c>
      <c r="Q5813">
        <v>-5.6429449999999999E-2</v>
      </c>
      <c r="R5813">
        <v>-9.2210749999999994E-2</v>
      </c>
      <c r="S5813">
        <v>2.9998469999999999</v>
      </c>
      <c r="T5813">
        <v>-0.41423120000000002</v>
      </c>
      <c r="U5813">
        <v>5.4199219999999999E-2</v>
      </c>
      <c r="V5813">
        <v>-0.13403380000000001</v>
      </c>
      <c r="W5813">
        <v>-4.2198779999999998E-2</v>
      </c>
      <c r="X5813">
        <v>0.99007789999999996</v>
      </c>
      <c r="Y5813">
        <v>-0.2385553</v>
      </c>
      <c r="Z5813">
        <v>4.717474E-2</v>
      </c>
      <c r="AA5813">
        <v>0.96998240000000002</v>
      </c>
      <c r="AB5813">
        <v>21</v>
      </c>
      <c r="AC5813">
        <v>7.9549999999999796</v>
      </c>
      <c r="AD5813">
        <v>-1.1122070683679901</v>
      </c>
      <c r="AE5813">
        <v>0.16701999999999301</v>
      </c>
      <c r="AF5813">
        <v>-1.9180613708582299</v>
      </c>
      <c r="AG5813">
        <v>-1.1122070683679901</v>
      </c>
      <c r="AH5813">
        <v>7.5648937366214701</v>
      </c>
      <c r="AI5813">
        <v>98.110760773859198</v>
      </c>
      <c r="AJ5813">
        <v>104.22739421420501</v>
      </c>
      <c r="AK5813">
        <v>7.8831200188555499</v>
      </c>
      <c r="AL5813">
        <v>92.418530097439401</v>
      </c>
      <c r="AM5813">
        <v>97.709661965806305</v>
      </c>
      <c r="AN5813">
        <v>1.0000000223221599</v>
      </c>
    </row>
    <row r="5814" spans="1:40" x14ac:dyDescent="0.3">
      <c r="A5814" t="str">
        <f>"20200111160619228"</f>
        <v>20200111160619228</v>
      </c>
      <c r="B5814" t="str">
        <f>"1578729979218348"</f>
        <v>1578729979218348</v>
      </c>
      <c r="C5814" t="s">
        <v>40</v>
      </c>
      <c r="D5814">
        <v>5.6185900000000002</v>
      </c>
      <c r="E5814">
        <v>0.43656919999999999</v>
      </c>
      <c r="F5814" t="s">
        <v>94</v>
      </c>
      <c r="G5814">
        <v>-247.87610000000001</v>
      </c>
      <c r="H5814" s="1">
        <v>-3.0390259999999999E-6</v>
      </c>
      <c r="I5814">
        <v>-56.58925</v>
      </c>
      <c r="J5814">
        <v>-286.41829999999999</v>
      </c>
      <c r="K5814">
        <v>1.1118889999999999</v>
      </c>
      <c r="L5814">
        <v>-59.480260000000001</v>
      </c>
      <c r="M5814">
        <v>0.97452079999999996</v>
      </c>
      <c r="N5814">
        <v>0</v>
      </c>
      <c r="O5814">
        <v>-0.2238019</v>
      </c>
      <c r="P5814">
        <v>0.99424990000000002</v>
      </c>
      <c r="Q5814">
        <v>-5.6646210000000002E-2</v>
      </c>
      <c r="R5814">
        <v>-9.0876589999999993E-2</v>
      </c>
      <c r="S5814">
        <v>3.03363</v>
      </c>
      <c r="T5814">
        <v>-8.7318660000000006E-2</v>
      </c>
      <c r="U5814">
        <v>0.22534179999999901</v>
      </c>
      <c r="V5814">
        <v>-0.1338242</v>
      </c>
      <c r="W5814">
        <v>-4.2356199999999997E-2</v>
      </c>
      <c r="X5814">
        <v>0.99009950000000002</v>
      </c>
      <c r="Y5814">
        <v>-0.29519600000000001</v>
      </c>
      <c r="Z5814">
        <v>1.064609E-2</v>
      </c>
      <c r="AA5814">
        <v>0.95537740000000004</v>
      </c>
      <c r="AB5814">
        <v>21</v>
      </c>
      <c r="AC5814">
        <v>38.542199999999902</v>
      </c>
      <c r="AD5814">
        <v>-1.1118920390260001</v>
      </c>
      <c r="AE5814">
        <v>2.8910099999999899</v>
      </c>
      <c r="AF5814">
        <v>-11.434973435324</v>
      </c>
      <c r="AG5814">
        <v>-1.1118920390260001</v>
      </c>
      <c r="AH5814">
        <v>36.8867314959993</v>
      </c>
      <c r="AI5814">
        <v>91.649186381727802</v>
      </c>
      <c r="AJ5814">
        <v>107.223559013827</v>
      </c>
      <c r="AK5814">
        <v>38.634516715379803</v>
      </c>
      <c r="AL5814">
        <v>92.427557743896202</v>
      </c>
      <c r="AM5814">
        <v>97.697584460967207</v>
      </c>
      <c r="AN5814">
        <v>0.99999999204216505</v>
      </c>
    </row>
    <row r="5815" spans="1:40" x14ac:dyDescent="0.3">
      <c r="A5815" t="str">
        <f>"20200111160619238"</f>
        <v>20200111160619238</v>
      </c>
      <c r="B5815" t="str">
        <f>"1578729979228108"</f>
        <v>1578729979228108</v>
      </c>
      <c r="C5815" t="s">
        <v>40</v>
      </c>
      <c r="D5815">
        <v>5.7833880000000004</v>
      </c>
      <c r="E5815">
        <v>0.45664909999999997</v>
      </c>
      <c r="F5815" t="s">
        <v>94</v>
      </c>
      <c r="G5815">
        <v>-248.5326</v>
      </c>
      <c r="H5815" s="1">
        <v>-3.316504E-6</v>
      </c>
      <c r="I5815">
        <v>-56.612690000000001</v>
      </c>
      <c r="J5815">
        <v>-286.31700000000001</v>
      </c>
      <c r="K5815">
        <v>1.1115740000000001</v>
      </c>
      <c r="L5815">
        <v>-59.501710000000003</v>
      </c>
      <c r="M5815">
        <v>0.97482460000000004</v>
      </c>
      <c r="N5815">
        <v>0</v>
      </c>
      <c r="O5815">
        <v>-0.22247720000000001</v>
      </c>
      <c r="P5815">
        <v>0.99436690000000005</v>
      </c>
      <c r="Q5815">
        <v>-5.6834719999999998E-2</v>
      </c>
      <c r="R5815">
        <v>-8.9465390000000006E-2</v>
      </c>
      <c r="S5815">
        <v>3.0332949999999999</v>
      </c>
      <c r="T5815">
        <v>-8.9022870000000004E-2</v>
      </c>
      <c r="U5815">
        <v>0.2295837</v>
      </c>
      <c r="V5815">
        <v>-0.13391229999999901</v>
      </c>
      <c r="W5815">
        <v>-4.2485240000000001E-2</v>
      </c>
      <c r="X5815">
        <v>0.99008209999999996</v>
      </c>
      <c r="Y5815">
        <v>-0.29522589999999999</v>
      </c>
      <c r="Z5815">
        <v>1.0816879999999999E-2</v>
      </c>
      <c r="AA5815">
        <v>0.9553663</v>
      </c>
      <c r="AB5815">
        <v>21</v>
      </c>
      <c r="AC5815">
        <v>37.784399999999998</v>
      </c>
      <c r="AD5815">
        <v>-1.1115773165039999</v>
      </c>
      <c r="AE5815">
        <v>2.8890199999999902</v>
      </c>
      <c r="AF5815">
        <v>-11.2140459170248</v>
      </c>
      <c r="AG5815">
        <v>-1.1115773165039999</v>
      </c>
      <c r="AH5815">
        <v>36.1633028314615</v>
      </c>
      <c r="AI5815">
        <v>91.681639023389593</v>
      </c>
      <c r="AJ5815">
        <v>107.228382460136</v>
      </c>
      <c r="AK5815">
        <v>37.878422639277098</v>
      </c>
      <c r="AL5815">
        <v>92.434957754757505</v>
      </c>
      <c r="AM5815">
        <v>97.702724909619704</v>
      </c>
      <c r="AN5815">
        <v>1.00000003222477</v>
      </c>
    </row>
    <row r="5816" spans="1:40" x14ac:dyDescent="0.3">
      <c r="A5816" t="str">
        <f>"20200111160619250"</f>
        <v>20200111160619250</v>
      </c>
      <c r="B5816" t="str">
        <f>"1578729979247628"</f>
        <v>1578729979247628</v>
      </c>
      <c r="C5816" t="s">
        <v>40</v>
      </c>
      <c r="D5816">
        <v>5.5289489999999999</v>
      </c>
      <c r="E5816">
        <v>0.46484009999999998</v>
      </c>
      <c r="F5816" t="s">
        <v>41</v>
      </c>
      <c r="G5816">
        <v>-277.87490000000003</v>
      </c>
      <c r="H5816" s="1">
        <v>-2.7772069999999998E-6</v>
      </c>
      <c r="I5816">
        <v>-59.277340000000002</v>
      </c>
      <c r="J5816">
        <v>-286.21519999999998</v>
      </c>
      <c r="K5816">
        <v>1.111275</v>
      </c>
      <c r="L5816">
        <v>-59.523470000000003</v>
      </c>
      <c r="M5816">
        <v>0.97506780000000004</v>
      </c>
      <c r="N5816">
        <v>0</v>
      </c>
      <c r="O5816">
        <v>-0.22141189999999999</v>
      </c>
      <c r="P5816">
        <v>0.99448360000000002</v>
      </c>
      <c r="Q5816">
        <v>-5.716069E-2</v>
      </c>
      <c r="R5816">
        <v>-8.7951210000000002E-2</v>
      </c>
      <c r="S5816">
        <v>3.001617</v>
      </c>
      <c r="T5816">
        <v>-0.39522629999999997</v>
      </c>
      <c r="U5816">
        <v>7.9772949999999995E-2</v>
      </c>
      <c r="V5816">
        <v>-0.13436439999999999</v>
      </c>
      <c r="W5816">
        <v>-4.2752449999999997E-2</v>
      </c>
      <c r="X5816">
        <v>0.99000929999999998</v>
      </c>
      <c r="Y5816">
        <v>-0.24327570000000001</v>
      </c>
      <c r="Z5816">
        <v>4.4809099999999998E-2</v>
      </c>
      <c r="AA5816">
        <v>0.96892160000000005</v>
      </c>
      <c r="AB5816">
        <v>21</v>
      </c>
      <c r="AC5816">
        <v>8.3402999999999494</v>
      </c>
      <c r="AD5816">
        <v>-1.1112777772069999</v>
      </c>
      <c r="AE5816">
        <v>0.24612999999999299</v>
      </c>
      <c r="AF5816">
        <v>-2.0504926397397898</v>
      </c>
      <c r="AG5816">
        <v>-1.1112777772069999</v>
      </c>
      <c r="AH5816">
        <v>7.9379457551514196</v>
      </c>
      <c r="AI5816">
        <v>97.719190130956306</v>
      </c>
      <c r="AJ5816">
        <v>104.48376361324399</v>
      </c>
      <c r="AK5816">
        <v>8.2734781788234297</v>
      </c>
      <c r="AL5816">
        <v>92.450281788718897</v>
      </c>
      <c r="AM5816">
        <v>97.728977675428496</v>
      </c>
      <c r="AN5816">
        <v>0.99999998902742604</v>
      </c>
    </row>
    <row r="5817" spans="1:40" x14ac:dyDescent="0.3">
      <c r="A5817" t="str">
        <f>"20200111160619631"</f>
        <v>20200111160619631</v>
      </c>
      <c r="B5817" t="str">
        <f>"1578729979628124"</f>
        <v>1578729979628124</v>
      </c>
      <c r="C5817" t="s">
        <v>40</v>
      </c>
      <c r="D5817">
        <v>5.3071270000000004</v>
      </c>
      <c r="E5817">
        <v>0.43025439999999998</v>
      </c>
      <c r="F5817" t="s">
        <v>41</v>
      </c>
      <c r="G5817">
        <v>-277.82659999999998</v>
      </c>
      <c r="H5817" s="1">
        <v>-2.71358E-6</v>
      </c>
      <c r="I5817">
        <v>-59.471249999999998</v>
      </c>
      <c r="J5817">
        <v>-282.8184</v>
      </c>
      <c r="K5817">
        <v>1.107469</v>
      </c>
      <c r="L5817">
        <v>-60.421050000000001</v>
      </c>
      <c r="M5817">
        <v>0.96086000000000005</v>
      </c>
      <c r="N5817">
        <v>0</v>
      </c>
      <c r="O5817">
        <v>-0.27664879999999997</v>
      </c>
      <c r="P5817">
        <v>0.98934849999999996</v>
      </c>
      <c r="Q5817">
        <v>-6.0187650000000002E-2</v>
      </c>
      <c r="R5817">
        <v>-0.13254089999999999</v>
      </c>
      <c r="S5817">
        <v>2.9954529999999999</v>
      </c>
      <c r="T5817">
        <v>-0.39681959999999999</v>
      </c>
      <c r="U5817">
        <v>1.8646240000000001E-2</v>
      </c>
      <c r="V5817">
        <v>-0.1467108</v>
      </c>
      <c r="W5817">
        <v>-4.462667E-2</v>
      </c>
      <c r="X5817">
        <v>0.98817219999999995</v>
      </c>
      <c r="Y5817">
        <v>-0.2778564</v>
      </c>
      <c r="Z5817">
        <v>5.4460109999999999E-2</v>
      </c>
      <c r="AA5817">
        <v>0.95907770000000003</v>
      </c>
      <c r="AB5817">
        <v>20</v>
      </c>
      <c r="AC5817">
        <v>4.9918000000000102</v>
      </c>
      <c r="AD5817">
        <v>-1.1074717135799901</v>
      </c>
      <c r="AE5817">
        <v>0.94980000000000298</v>
      </c>
      <c r="AF5817">
        <v>-2.18982553512198</v>
      </c>
      <c r="AG5817">
        <v>-1.1074717135799901</v>
      </c>
      <c r="AH5817">
        <v>4.3285328405015404</v>
      </c>
      <c r="AI5817">
        <v>102.86026767776799</v>
      </c>
      <c r="AJ5817">
        <v>116.835067449889</v>
      </c>
      <c r="AK5817">
        <v>4.9757437657050296</v>
      </c>
      <c r="AL5817">
        <v>92.5577694413508</v>
      </c>
      <c r="AM5817">
        <v>98.444835517142707</v>
      </c>
      <c r="AN5817">
        <v>0.99999994768238298</v>
      </c>
    </row>
    <row r="5818" spans="1:40" x14ac:dyDescent="0.3">
      <c r="A5818" t="str">
        <f>"20200111160619641"</f>
        <v>20200111160619641</v>
      </c>
      <c r="B5818" t="str">
        <f>"1578729979637884"</f>
        <v>1578729979637884</v>
      </c>
      <c r="C5818" t="s">
        <v>40</v>
      </c>
      <c r="D5818">
        <v>5.471069</v>
      </c>
      <c r="E5818">
        <v>0.427506</v>
      </c>
      <c r="F5818" t="s">
        <v>69</v>
      </c>
      <c r="G5818">
        <v>-157.9383</v>
      </c>
      <c r="H5818">
        <v>2.254178</v>
      </c>
      <c r="I5818">
        <v>-54.289149999999999</v>
      </c>
      <c r="J5818">
        <v>-282.7217</v>
      </c>
      <c r="K5818">
        <v>1.1075159999999999</v>
      </c>
      <c r="L5818">
        <v>-60.452030000000001</v>
      </c>
      <c r="M5818">
        <v>0.96012200000000003</v>
      </c>
      <c r="N5818">
        <v>0</v>
      </c>
      <c r="O5818">
        <v>-0.27919880000000002</v>
      </c>
      <c r="P5818">
        <v>0.98893980000000004</v>
      </c>
      <c r="Q5818">
        <v>-6.0271890000000002E-2</v>
      </c>
      <c r="R5818">
        <v>-0.13551779999999999</v>
      </c>
      <c r="S5818">
        <v>3.0541079999999998</v>
      </c>
      <c r="T5818">
        <v>2.8043749999999999E-2</v>
      </c>
      <c r="U5818">
        <v>0.1499634</v>
      </c>
      <c r="V5818">
        <v>-0.14635529999999999</v>
      </c>
      <c r="W5818">
        <v>-4.4731350000000003E-2</v>
      </c>
      <c r="X5818">
        <v>0.98822019999999999</v>
      </c>
      <c r="Y5818">
        <v>-0.32595980000000002</v>
      </c>
      <c r="Z5818">
        <v>-4.0363689999999997E-3</v>
      </c>
      <c r="AA5818">
        <v>0.94537499999999997</v>
      </c>
      <c r="AB5818">
        <v>20</v>
      </c>
      <c r="AC5818">
        <v>124.7834</v>
      </c>
      <c r="AD5818">
        <v>1.1466620000000001</v>
      </c>
      <c r="AE5818">
        <v>6.1628800000000004</v>
      </c>
      <c r="AF5818">
        <v>-40.757416020482502</v>
      </c>
      <c r="AG5818">
        <v>1.1466620000000001</v>
      </c>
      <c r="AH5818">
        <v>118.089295490895</v>
      </c>
      <c r="AI5818">
        <v>89.474107962330805</v>
      </c>
      <c r="AJ5818">
        <v>109.04163545668</v>
      </c>
      <c r="AK5818">
        <v>124.930234546905</v>
      </c>
      <c r="AL5818">
        <v>92.563773113247507</v>
      </c>
      <c r="AM5818">
        <v>98.424263231211</v>
      </c>
      <c r="AN5818">
        <v>0.99999996559947502</v>
      </c>
    </row>
    <row r="5819" spans="1:40" x14ac:dyDescent="0.3">
      <c r="A5819" t="str">
        <f>"20200111160619854"</f>
        <v>20200111160619854</v>
      </c>
      <c r="B5819" t="str">
        <f>"1578729979848447"</f>
        <v>1578729979848447</v>
      </c>
      <c r="C5819" t="s">
        <v>40</v>
      </c>
      <c r="D5819">
        <v>5.3152489999999997</v>
      </c>
      <c r="E5819">
        <v>0.42516799999999999</v>
      </c>
      <c r="F5819" t="s">
        <v>69</v>
      </c>
      <c r="G5819">
        <v>-157.9383</v>
      </c>
      <c r="H5819">
        <v>2.1445340000000002</v>
      </c>
      <c r="I5819">
        <v>-53.830640000000002</v>
      </c>
      <c r="J5819">
        <v>-280.91059999999999</v>
      </c>
      <c r="K5819">
        <v>1.1100190000000001</v>
      </c>
      <c r="L5819">
        <v>-61.063420000000001</v>
      </c>
      <c r="M5819">
        <v>0.9494804</v>
      </c>
      <c r="N5819">
        <v>0</v>
      </c>
      <c r="O5819">
        <v>-0.313496</v>
      </c>
      <c r="P5819">
        <v>0.98157479999999997</v>
      </c>
      <c r="Q5819">
        <v>-4.8928199999999998E-2</v>
      </c>
      <c r="R5819">
        <v>-0.1847086</v>
      </c>
      <c r="S5819">
        <v>3.0573429999999999</v>
      </c>
      <c r="T5819">
        <v>2.540767E-2</v>
      </c>
      <c r="U5819">
        <v>0.1622314</v>
      </c>
      <c r="V5819">
        <v>-0.13240539999999901</v>
      </c>
      <c r="W5819">
        <v>-3.4479580000000003E-2</v>
      </c>
      <c r="X5819">
        <v>0.99059580000000003</v>
      </c>
      <c r="Y5819">
        <v>-0.36338150000000002</v>
      </c>
      <c r="Z5819">
        <v>-4.0842559999999997E-3</v>
      </c>
      <c r="AA5819">
        <v>0.93163149999999995</v>
      </c>
      <c r="AB5819">
        <v>20</v>
      </c>
      <c r="AC5819">
        <v>122.9723</v>
      </c>
      <c r="AD5819">
        <v>1.0345150000000001</v>
      </c>
      <c r="AE5819">
        <v>7.2327799999999902</v>
      </c>
      <c r="AF5819">
        <v>-45.420210374602298</v>
      </c>
      <c r="AG5819">
        <v>1.0345150000000001</v>
      </c>
      <c r="AH5819">
        <v>114.496130708395</v>
      </c>
      <c r="AI5819">
        <v>89.518803287246399</v>
      </c>
      <c r="AJ5819">
        <v>111.638052651142</v>
      </c>
      <c r="AK5819">
        <v>123.180476046134</v>
      </c>
      <c r="AL5819">
        <v>91.975925986257593</v>
      </c>
      <c r="AM5819">
        <v>97.613166685582399</v>
      </c>
      <c r="AN5819">
        <v>1.0000000351818801</v>
      </c>
    </row>
    <row r="5820" spans="1:40" x14ac:dyDescent="0.3">
      <c r="A5820" t="str">
        <f>"20200111160619866"</f>
        <v>20200111160619866</v>
      </c>
      <c r="B5820" t="str">
        <f>"1578729979858207"</f>
        <v>1578729979858207</v>
      </c>
      <c r="C5820" t="s">
        <v>40</v>
      </c>
      <c r="D5820">
        <v>5.3896629999999996</v>
      </c>
      <c r="E5820">
        <v>0.42401070000000002</v>
      </c>
      <c r="F5820" t="s">
        <v>69</v>
      </c>
      <c r="G5820">
        <v>-157.3501</v>
      </c>
      <c r="H5820">
        <v>1.0553049999999999</v>
      </c>
      <c r="I5820">
        <v>-60.02375</v>
      </c>
      <c r="J5820">
        <v>-280.81799999999998</v>
      </c>
      <c r="K5820">
        <v>1.1101939999999999</v>
      </c>
      <c r="L5820">
        <v>-61.094880000000003</v>
      </c>
      <c r="M5820">
        <v>0.94927589999999995</v>
      </c>
      <c r="N5820">
        <v>0</v>
      </c>
      <c r="O5820">
        <v>-0.31411539999999999</v>
      </c>
      <c r="P5820">
        <v>0.98136990000000002</v>
      </c>
      <c r="Q5820">
        <v>-4.9734569999999999E-2</v>
      </c>
      <c r="R5820">
        <v>-0.18557979999999999</v>
      </c>
      <c r="S5820">
        <v>3.0611269999999999</v>
      </c>
      <c r="T5820">
        <v>-1.3560060000000001E-3</v>
      </c>
      <c r="U5820">
        <v>2.575684E-2</v>
      </c>
      <c r="V5820">
        <v>-0.13214579999999901</v>
      </c>
      <c r="W5820">
        <v>-3.5354089999999998E-2</v>
      </c>
      <c r="X5820">
        <v>0.99059960000000002</v>
      </c>
      <c r="Y5820">
        <v>-0.32212459999999998</v>
      </c>
      <c r="Z5820">
        <v>2.0874199999999999E-4</v>
      </c>
      <c r="AA5820">
        <v>0.94669720000000002</v>
      </c>
      <c r="AB5820">
        <v>20</v>
      </c>
      <c r="AC5820">
        <v>123.4679</v>
      </c>
      <c r="AD5820">
        <v>-5.4889000000000097E-2</v>
      </c>
      <c r="AE5820">
        <v>1.0711299999999999</v>
      </c>
      <c r="AF5820">
        <v>-39.804074404324901</v>
      </c>
      <c r="AG5820">
        <v>-5.4889000000000097E-2</v>
      </c>
      <c r="AH5820">
        <v>116.880705358493</v>
      </c>
      <c r="AI5820">
        <v>90.025470507852802</v>
      </c>
      <c r="AJ5820">
        <v>108.806429605554</v>
      </c>
      <c r="AK5820">
        <v>123.472533938064</v>
      </c>
      <c r="AL5820">
        <v>92.026062370049402</v>
      </c>
      <c r="AM5820">
        <v>97.5983857280508</v>
      </c>
      <c r="AN5820">
        <v>0.99999999582876398</v>
      </c>
    </row>
    <row r="5821" spans="1:40" x14ac:dyDescent="0.3">
      <c r="A5821" t="str">
        <f>"20200111160619875"</f>
        <v>20200111160619875</v>
      </c>
      <c r="B5821" t="str">
        <f>"1578729979867968"</f>
        <v>1578729979867968</v>
      </c>
      <c r="C5821" t="s">
        <v>40</v>
      </c>
      <c r="D5821">
        <v>5.3780919999999997</v>
      </c>
      <c r="E5821">
        <v>0.42283480000000001</v>
      </c>
      <c r="F5821" t="s">
        <v>97</v>
      </c>
      <c r="G5821">
        <v>-211.70330000000001</v>
      </c>
      <c r="H5821" s="1">
        <v>2.8864410000000002E-7</v>
      </c>
      <c r="I5821">
        <v>-60.31823</v>
      </c>
      <c r="J5821">
        <v>-280.72989999999999</v>
      </c>
      <c r="K5821">
        <v>1.1103590000000001</v>
      </c>
      <c r="L5821">
        <v>-61.12473</v>
      </c>
      <c r="M5821">
        <v>0.94915070000000001</v>
      </c>
      <c r="N5821">
        <v>0</v>
      </c>
      <c r="O5821">
        <v>-0.314494</v>
      </c>
      <c r="P5821">
        <v>0.98128349999999998</v>
      </c>
      <c r="Q5821">
        <v>-5.1044930000000002E-2</v>
      </c>
      <c r="R5821">
        <v>-0.1856804</v>
      </c>
      <c r="S5821">
        <v>3.0609440000000001</v>
      </c>
      <c r="T5821">
        <v>-4.9168110000000001E-2</v>
      </c>
      <c r="U5821">
        <v>3.4393310000000003E-2</v>
      </c>
      <c r="V5821">
        <v>-0.13240469999999999</v>
      </c>
      <c r="W5821">
        <v>-3.6729810000000002E-2</v>
      </c>
      <c r="X5821">
        <v>0.99051500000000003</v>
      </c>
      <c r="Y5821">
        <v>-0.3250904</v>
      </c>
      <c r="Z5821">
        <v>7.5989559999999996E-3</v>
      </c>
      <c r="AA5821">
        <v>0.94565239999999995</v>
      </c>
      <c r="AB5821">
        <v>20</v>
      </c>
      <c r="AC5821">
        <v>69.026599999999902</v>
      </c>
      <c r="AD5821">
        <v>-1.1103587113558999</v>
      </c>
      <c r="AE5821">
        <v>0.806499999999999</v>
      </c>
      <c r="AF5821">
        <v>-22.470448453702499</v>
      </c>
      <c r="AG5821">
        <v>-1.1103587113558999</v>
      </c>
      <c r="AH5821">
        <v>65.252862464172793</v>
      </c>
      <c r="AI5821">
        <v>90.921753278717503</v>
      </c>
      <c r="AJ5821">
        <v>109.001637517481</v>
      </c>
      <c r="AK5821">
        <v>69.022387744460403</v>
      </c>
      <c r="AL5821">
        <v>92.104936512620299</v>
      </c>
      <c r="AM5821">
        <v>97.613740654687902</v>
      </c>
      <c r="AN5821">
        <v>1.0000000243748599</v>
      </c>
    </row>
    <row r="5822" spans="1:40" x14ac:dyDescent="0.3">
      <c r="A5822" t="str">
        <f>"20200111160619887"</f>
        <v>20200111160619887</v>
      </c>
      <c r="B5822" t="str">
        <f>"1578729979877727"</f>
        <v>1578729979877727</v>
      </c>
      <c r="C5822" t="s">
        <v>40</v>
      </c>
      <c r="D5822">
        <v>5.3311609999999998</v>
      </c>
      <c r="E5822">
        <v>0.42162450000000001</v>
      </c>
      <c r="F5822" t="s">
        <v>94</v>
      </c>
      <c r="G5822">
        <v>-241.69300000000001</v>
      </c>
      <c r="H5822" s="1">
        <v>2.417183E-7</v>
      </c>
      <c r="I5822">
        <v>-60.552199999999999</v>
      </c>
      <c r="J5822">
        <v>-280.63810000000001</v>
      </c>
      <c r="K5822">
        <v>1.110528</v>
      </c>
      <c r="L5822">
        <v>-61.155729999999998</v>
      </c>
      <c r="M5822">
        <v>0.94904330000000003</v>
      </c>
      <c r="N5822">
        <v>0</v>
      </c>
      <c r="O5822">
        <v>-0.31481809999999899</v>
      </c>
      <c r="P5822">
        <v>0.9812573</v>
      </c>
      <c r="Q5822">
        <v>-5.2335029999999998E-2</v>
      </c>
      <c r="R5822">
        <v>-0.1854595</v>
      </c>
      <c r="S5822">
        <v>3.061188</v>
      </c>
      <c r="T5822">
        <v>-8.7071780000000001E-2</v>
      </c>
      <c r="U5822">
        <v>4.4891359999999998E-2</v>
      </c>
      <c r="V5822">
        <v>-0.13292880000000001</v>
      </c>
      <c r="W5822">
        <v>-3.8086920000000003E-2</v>
      </c>
      <c r="X5822">
        <v>0.99039350000000004</v>
      </c>
      <c r="Y5822">
        <v>-0.32847700000000002</v>
      </c>
      <c r="Z5822">
        <v>1.351196E-2</v>
      </c>
      <c r="AA5822">
        <v>0.94441529999999996</v>
      </c>
      <c r="AB5822">
        <v>20</v>
      </c>
      <c r="AC5822">
        <v>38.945099999999996</v>
      </c>
      <c r="AD5822">
        <v>-1.1105277582816999</v>
      </c>
      <c r="AE5822">
        <v>0.60353000000000601</v>
      </c>
      <c r="AF5822">
        <v>-12.824297809327801</v>
      </c>
      <c r="AG5822">
        <v>-1.1105277582816999</v>
      </c>
      <c r="AH5822">
        <v>36.744508552569201</v>
      </c>
      <c r="AI5822">
        <v>91.634489581028504</v>
      </c>
      <c r="AJ5822">
        <v>109.23963270946901</v>
      </c>
      <c r="AK5822">
        <v>38.933979952916197</v>
      </c>
      <c r="AL5822">
        <v>92.182747747355407</v>
      </c>
      <c r="AM5822">
        <v>97.644449265987902</v>
      </c>
      <c r="AN5822">
        <v>0.99999998209338803</v>
      </c>
    </row>
    <row r="5823" spans="1:40" x14ac:dyDescent="0.3">
      <c r="A5823" t="str">
        <f>"20200111160619898"</f>
        <v>20200111160619898</v>
      </c>
      <c r="B5823" t="str">
        <f>"1578729979888463"</f>
        <v>1578729979888463</v>
      </c>
      <c r="C5823" t="s">
        <v>40</v>
      </c>
      <c r="D5823">
        <v>5.3632530000000003</v>
      </c>
      <c r="E5823">
        <v>0.42100900000000002</v>
      </c>
      <c r="F5823" t="s">
        <v>95</v>
      </c>
      <c r="G5823">
        <v>-250.97470000000001</v>
      </c>
      <c r="H5823" s="1">
        <v>3.9523900000000001E-7</v>
      </c>
      <c r="I5823">
        <v>-60.610529999999997</v>
      </c>
      <c r="J5823">
        <v>-280.54340000000002</v>
      </c>
      <c r="K5823">
        <v>1.110697</v>
      </c>
      <c r="L5823">
        <v>-61.187530000000002</v>
      </c>
      <c r="M5823">
        <v>0.94898720000000003</v>
      </c>
      <c r="N5823">
        <v>0</v>
      </c>
      <c r="O5823">
        <v>-0.31498789999999999</v>
      </c>
      <c r="P5823">
        <v>0.98134699999999997</v>
      </c>
      <c r="Q5823">
        <v>-5.3130289999999997E-2</v>
      </c>
      <c r="R5823">
        <v>-0.18475849999999999</v>
      </c>
      <c r="S5823">
        <v>3.061798</v>
      </c>
      <c r="T5823">
        <v>-0.11462650000000001</v>
      </c>
      <c r="U5823">
        <v>5.6274409999999997E-2</v>
      </c>
      <c r="V5823">
        <v>-0.13378329999999999</v>
      </c>
      <c r="W5823">
        <v>-3.8948370000000003E-2</v>
      </c>
      <c r="X5823">
        <v>0.99024489999999998</v>
      </c>
      <c r="Y5823">
        <v>-0.33195989999999997</v>
      </c>
      <c r="Z5823">
        <v>1.7854200000000001E-2</v>
      </c>
      <c r="AA5823">
        <v>0.94312450000000003</v>
      </c>
      <c r="AB5823">
        <v>20</v>
      </c>
      <c r="AC5823">
        <v>29.5687</v>
      </c>
      <c r="AD5823">
        <v>-1.1106966047610001</v>
      </c>
      <c r="AE5823">
        <v>0.57699999999999796</v>
      </c>
      <c r="AF5823">
        <v>-9.8484729130727704</v>
      </c>
      <c r="AG5823">
        <v>-1.1106966047610001</v>
      </c>
      <c r="AH5823">
        <v>27.842170287316801</v>
      </c>
      <c r="AI5823">
        <v>92.153826228429395</v>
      </c>
      <c r="AJ5823">
        <v>109.47996240479701</v>
      </c>
      <c r="AK5823">
        <v>29.5535532884847</v>
      </c>
      <c r="AL5823">
        <v>92.232141915186403</v>
      </c>
      <c r="AM5823">
        <v>97.694143704465404</v>
      </c>
      <c r="AN5823">
        <v>0.999999954430277</v>
      </c>
    </row>
    <row r="5824" spans="1:40" x14ac:dyDescent="0.3">
      <c r="A5824" t="str">
        <f>"20200111160619910"</f>
        <v>20200111160619910</v>
      </c>
      <c r="B5824" t="str">
        <f>"1578729979907987"</f>
        <v>1578729979907987</v>
      </c>
      <c r="C5824" t="s">
        <v>40</v>
      </c>
      <c r="D5824">
        <v>5.3108240000000002</v>
      </c>
      <c r="E5824">
        <v>0.41968169999999999</v>
      </c>
      <c r="F5824" t="s">
        <v>95</v>
      </c>
      <c r="G5824">
        <v>-255.3339</v>
      </c>
      <c r="H5824" s="1">
        <v>-1.485754E-6</v>
      </c>
      <c r="I5824">
        <v>-60.659619999999997</v>
      </c>
      <c r="J5824">
        <v>-280.44459999999998</v>
      </c>
      <c r="K5824">
        <v>1.110868</v>
      </c>
      <c r="L5824">
        <v>-61.220550000000003</v>
      </c>
      <c r="M5824">
        <v>0.94897209999999999</v>
      </c>
      <c r="N5824">
        <v>0</v>
      </c>
      <c r="O5824">
        <v>-0.31503389999999998</v>
      </c>
      <c r="P5824">
        <v>0.98144600000000004</v>
      </c>
      <c r="Q5824">
        <v>-5.3643749999999997E-2</v>
      </c>
      <c r="R5824">
        <v>-0.18408289999999999</v>
      </c>
      <c r="S5824">
        <v>3.0618289999999999</v>
      </c>
      <c r="T5824">
        <v>-0.1349003</v>
      </c>
      <c r="U5824">
        <v>6.4117430000000003E-2</v>
      </c>
      <c r="V5824">
        <v>-0.1344871</v>
      </c>
      <c r="W5824">
        <v>-3.9527600000000003E-2</v>
      </c>
      <c r="X5824">
        <v>0.99012670000000003</v>
      </c>
      <c r="Y5824">
        <v>-0.3342445</v>
      </c>
      <c r="Z5824">
        <v>2.1062089999999999E-2</v>
      </c>
      <c r="AA5824">
        <v>0.94225099999999995</v>
      </c>
      <c r="AB5824">
        <v>20</v>
      </c>
      <c r="AC5824">
        <v>25.110699999999898</v>
      </c>
      <c r="AD5824">
        <v>-1.110869485754</v>
      </c>
      <c r="AE5824">
        <v>0.56093000000000603</v>
      </c>
      <c r="AF5824">
        <v>-8.4274118422333508</v>
      </c>
      <c r="AG5824">
        <v>-1.110869485754</v>
      </c>
      <c r="AH5824">
        <v>23.608892125692499</v>
      </c>
      <c r="AI5824">
        <v>92.537366337137001</v>
      </c>
      <c r="AJ5824">
        <v>109.64449237897701</v>
      </c>
      <c r="AK5824">
        <v>25.092530537504199</v>
      </c>
      <c r="AL5824">
        <v>92.265354720087501</v>
      </c>
      <c r="AM5824">
        <v>97.735044108672597</v>
      </c>
      <c r="AN5824">
        <v>1.0000000466405199</v>
      </c>
    </row>
    <row r="5825" spans="1:40" x14ac:dyDescent="0.3">
      <c r="A5825" t="str">
        <f>"20200111160619922"</f>
        <v>20200111160619922</v>
      </c>
      <c r="B5825" t="str">
        <f>"1578729979917743"</f>
        <v>1578729979917743</v>
      </c>
      <c r="C5825" t="s">
        <v>40</v>
      </c>
      <c r="D5825">
        <v>5.3335599999999896</v>
      </c>
      <c r="E5825">
        <v>0.41900389999999998</v>
      </c>
      <c r="F5825" t="s">
        <v>95</v>
      </c>
      <c r="G5825">
        <v>-258.70870000000002</v>
      </c>
      <c r="H5825" s="1">
        <v>-2.9359769999999999E-6</v>
      </c>
      <c r="I5825">
        <v>-60.670650000000002</v>
      </c>
      <c r="J5825">
        <v>-280.35199999999998</v>
      </c>
      <c r="K5825">
        <v>1.111022</v>
      </c>
      <c r="L5825">
        <v>-61.251399999999997</v>
      </c>
      <c r="M5825">
        <v>0.94899029999999995</v>
      </c>
      <c r="N5825">
        <v>0</v>
      </c>
      <c r="O5825">
        <v>-0.31497900000000001</v>
      </c>
      <c r="P5825">
        <v>0.98164989999999996</v>
      </c>
      <c r="Q5825">
        <v>-5.2992669999999999E-2</v>
      </c>
      <c r="R5825">
        <v>-0.18318139999999999</v>
      </c>
      <c r="S5825">
        <v>3.0627140000000002</v>
      </c>
      <c r="T5825">
        <v>-0.15652820000000001</v>
      </c>
      <c r="U5825">
        <v>7.7484129999999998E-2</v>
      </c>
      <c r="V5825">
        <v>-0.1353357</v>
      </c>
      <c r="W5825">
        <v>-3.893609E-2</v>
      </c>
      <c r="X5825">
        <v>0.99003450000000004</v>
      </c>
      <c r="Y5825">
        <v>-0.33807130000000002</v>
      </c>
      <c r="Z5825">
        <v>2.4524239999999999E-2</v>
      </c>
      <c r="AA5825">
        <v>0.94080090000000005</v>
      </c>
      <c r="AB5825">
        <v>20</v>
      </c>
      <c r="AC5825">
        <v>21.6433</v>
      </c>
      <c r="AD5825">
        <v>-1.1110249359769999</v>
      </c>
      <c r="AE5825">
        <v>0.58074999999999399</v>
      </c>
      <c r="AF5825">
        <v>-7.34971537529439</v>
      </c>
      <c r="AG5825">
        <v>-1.1110249359769999</v>
      </c>
      <c r="AH5825">
        <v>20.304983466849698</v>
      </c>
      <c r="AI5825">
        <v>92.945275960471903</v>
      </c>
      <c r="AJ5825">
        <v>109.898537942928</v>
      </c>
      <c r="AK5825">
        <v>21.622789970196699</v>
      </c>
      <c r="AL5825">
        <v>92.231437595615802</v>
      </c>
      <c r="AM5825">
        <v>97.783971017764799</v>
      </c>
      <c r="AN5825">
        <v>1.0000000409946099</v>
      </c>
    </row>
    <row r="5826" spans="1:40" x14ac:dyDescent="0.3">
      <c r="A5826" t="str">
        <f>"20200111160619933"</f>
        <v>20200111160619933</v>
      </c>
      <c r="B5826" t="str">
        <f>"1578729979928479"</f>
        <v>1578729979928479</v>
      </c>
      <c r="C5826" t="s">
        <v>40</v>
      </c>
      <c r="D5826">
        <v>5.3241209999999999</v>
      </c>
      <c r="E5826">
        <v>0.41847079999999998</v>
      </c>
      <c r="F5826" t="s">
        <v>95</v>
      </c>
      <c r="G5826">
        <v>-259.11329999999998</v>
      </c>
      <c r="H5826" s="1">
        <v>-3.106398E-6</v>
      </c>
      <c r="I5826">
        <v>-60.656460000000003</v>
      </c>
      <c r="J5826">
        <v>-280.25959999999998</v>
      </c>
      <c r="K5826">
        <v>1.1111789999999999</v>
      </c>
      <c r="L5826">
        <v>-61.281889999999997</v>
      </c>
      <c r="M5826">
        <v>0.94906829999999998</v>
      </c>
      <c r="N5826">
        <v>0</v>
      </c>
      <c r="O5826">
        <v>-0.31474449999999998</v>
      </c>
      <c r="P5826">
        <v>0.98186980000000001</v>
      </c>
      <c r="Q5826">
        <v>-5.2486690000000003E-2</v>
      </c>
      <c r="R5826">
        <v>-0.18214449999999999</v>
      </c>
      <c r="S5826">
        <v>3.0634769999999998</v>
      </c>
      <c r="T5826">
        <v>-0.1602547</v>
      </c>
      <c r="U5826">
        <v>8.5815429999999998E-2</v>
      </c>
      <c r="V5826">
        <v>-0.13613120000000001</v>
      </c>
      <c r="W5826">
        <v>-3.8487229999999997E-2</v>
      </c>
      <c r="X5826">
        <v>0.98994300000000002</v>
      </c>
      <c r="Y5826">
        <v>-0.34034560000000003</v>
      </c>
      <c r="Z5826">
        <v>2.514957E-2</v>
      </c>
      <c r="AA5826">
        <v>0.93996409999999997</v>
      </c>
      <c r="AB5826">
        <v>20</v>
      </c>
      <c r="AC5826">
        <v>21.1463</v>
      </c>
      <c r="AD5826">
        <v>-1.1111821063980001</v>
      </c>
      <c r="AE5826">
        <v>0.62543000000000804</v>
      </c>
      <c r="AF5826">
        <v>-7.23005516270283</v>
      </c>
      <c r="AG5826">
        <v>-1.1111821063980001</v>
      </c>
      <c r="AH5826">
        <v>19.819793112837399</v>
      </c>
      <c r="AI5826">
        <v>93.014942244957098</v>
      </c>
      <c r="AJ5826">
        <v>110.041445557003</v>
      </c>
      <c r="AK5826">
        <v>21.126585676937498</v>
      </c>
      <c r="AL5826">
        <v>92.205700485908096</v>
      </c>
      <c r="AM5826">
        <v>97.829873893395501</v>
      </c>
      <c r="AN5826">
        <v>1.0000000568677501</v>
      </c>
    </row>
    <row r="5827" spans="1:40" x14ac:dyDescent="0.3">
      <c r="A5827" t="str">
        <f>"20200111160619943"</f>
        <v>20200111160619943</v>
      </c>
      <c r="B5827" t="str">
        <f>"1578729979938239"</f>
        <v>1578729979938239</v>
      </c>
      <c r="C5827" t="s">
        <v>40</v>
      </c>
      <c r="D5827">
        <v>5.3537509999999999</v>
      </c>
      <c r="E5827">
        <v>0.41798960000000002</v>
      </c>
      <c r="F5827" t="s">
        <v>95</v>
      </c>
      <c r="G5827">
        <v>-259.36739999999998</v>
      </c>
      <c r="H5827" s="1">
        <v>-3.2129289999999999E-6</v>
      </c>
      <c r="I5827">
        <v>-60.645350000000001</v>
      </c>
      <c r="J5827">
        <v>-280.16980000000001</v>
      </c>
      <c r="K5827">
        <v>1.1113280000000001</v>
      </c>
      <c r="L5827">
        <v>-61.311520000000002</v>
      </c>
      <c r="M5827">
        <v>0.94915870000000002</v>
      </c>
      <c r="N5827">
        <v>0</v>
      </c>
      <c r="O5827">
        <v>-0.31447209999999998</v>
      </c>
      <c r="P5827">
        <v>0.98214420000000002</v>
      </c>
      <c r="Q5827">
        <v>-5.1097099999999999E-2</v>
      </c>
      <c r="R5827">
        <v>-0.181059</v>
      </c>
      <c r="S5827">
        <v>3.0639949999999998</v>
      </c>
      <c r="T5827">
        <v>-0.16296260000000001</v>
      </c>
      <c r="U5827">
        <v>9.3353270000000002E-2</v>
      </c>
      <c r="V5827">
        <v>-0.1369533</v>
      </c>
      <c r="W5827">
        <v>-3.7152770000000002E-2</v>
      </c>
      <c r="X5827">
        <v>0.9898806</v>
      </c>
      <c r="Y5827">
        <v>-0.34234870000000001</v>
      </c>
      <c r="Z5827">
        <v>2.56096E-2</v>
      </c>
      <c r="AA5827">
        <v>0.9392239</v>
      </c>
      <c r="AB5827">
        <v>20</v>
      </c>
      <c r="AC5827">
        <v>20.802399999999999</v>
      </c>
      <c r="AD5827">
        <v>-1.1113312129290001</v>
      </c>
      <c r="AE5827">
        <v>0.66616999999999305</v>
      </c>
      <c r="AF5827">
        <v>-7.1544130708532503</v>
      </c>
      <c r="AG5827">
        <v>-1.1113312129290001</v>
      </c>
      <c r="AH5827">
        <v>19.4817455986467</v>
      </c>
      <c r="AI5827">
        <v>93.065151931927304</v>
      </c>
      <c r="AJ5827">
        <v>110.165090857774</v>
      </c>
      <c r="AK5827">
        <v>20.783625646734901</v>
      </c>
      <c r="AL5827">
        <v>92.129186793560294</v>
      </c>
      <c r="AM5827">
        <v>97.877057253553303</v>
      </c>
      <c r="AN5827">
        <v>1.00000006847795</v>
      </c>
    </row>
    <row r="5828" spans="1:40" x14ac:dyDescent="0.3">
      <c r="A5828" t="str">
        <f>"20200111160619988"</f>
        <v>20200111160619988</v>
      </c>
      <c r="B5828" t="str">
        <f>"1578729979978256"</f>
        <v>1578729979978256</v>
      </c>
      <c r="C5828" t="s">
        <v>40</v>
      </c>
      <c r="D5828">
        <v>5.3172240000000004</v>
      </c>
      <c r="E5828">
        <v>0.41736319999999999</v>
      </c>
      <c r="F5828" t="s">
        <v>95</v>
      </c>
      <c r="G5828">
        <v>-258.6891</v>
      </c>
      <c r="H5828" s="1">
        <v>-2.9132950000000002E-6</v>
      </c>
      <c r="I5828">
        <v>-60.606540000000003</v>
      </c>
      <c r="J5828">
        <v>-279.79500000000002</v>
      </c>
      <c r="K5828">
        <v>1.1119460000000001</v>
      </c>
      <c r="L5828">
        <v>-61.432650000000002</v>
      </c>
      <c r="M5828">
        <v>0.95004670000000002</v>
      </c>
      <c r="N5828">
        <v>0</v>
      </c>
      <c r="O5828">
        <v>-0.31177939999999998</v>
      </c>
      <c r="P5828">
        <v>0.9835161</v>
      </c>
      <c r="Q5828">
        <v>-4.8940650000000002E-2</v>
      </c>
      <c r="R5828">
        <v>-0.174072799999999</v>
      </c>
      <c r="S5828">
        <v>3.064819</v>
      </c>
      <c r="T5828">
        <v>-0.15856199999999901</v>
      </c>
      <c r="U5828">
        <v>0.10058590000000001</v>
      </c>
      <c r="V5828">
        <v>-0.14116609999999999</v>
      </c>
      <c r="W5828">
        <v>-3.5225099999999898E-2</v>
      </c>
      <c r="X5828">
        <v>0.98935899999999999</v>
      </c>
      <c r="Y5828">
        <v>-0.341945099999999</v>
      </c>
      <c r="Z5828">
        <v>2.4768479999999999E-2</v>
      </c>
      <c r="AA5828">
        <v>0.93939349999999999</v>
      </c>
      <c r="AB5828">
        <v>20</v>
      </c>
      <c r="AC5828">
        <v>21.105899999999998</v>
      </c>
      <c r="AD5828">
        <v>-1.11194891329499</v>
      </c>
      <c r="AE5828">
        <v>0.82610999999999901</v>
      </c>
      <c r="AF5828">
        <v>-7.34562493929156</v>
      </c>
      <c r="AG5828">
        <v>-1.11194891329499</v>
      </c>
      <c r="AH5828">
        <v>19.741343623112499</v>
      </c>
      <c r="AI5828">
        <v>93.021830931006804</v>
      </c>
      <c r="AJ5828">
        <v>110.409905032167</v>
      </c>
      <c r="AK5828">
        <v>21.093015056656199</v>
      </c>
      <c r="AL5828">
        <v>92.018667267309098</v>
      </c>
      <c r="AM5828">
        <v>98.120402898526706</v>
      </c>
      <c r="AN5828">
        <v>0.99999995317010804</v>
      </c>
    </row>
    <row r="5829" spans="1:40" x14ac:dyDescent="0.3">
      <c r="A5829" t="str">
        <f>"20200111160620000"</f>
        <v>20200111160620000</v>
      </c>
      <c r="B5829" t="str">
        <f>"1578729979987889"</f>
        <v>1578729979987889</v>
      </c>
      <c r="C5829" t="s">
        <v>40</v>
      </c>
      <c r="D5829">
        <v>5.3862449999999997</v>
      </c>
      <c r="E5829">
        <v>0.41694560000000003</v>
      </c>
      <c r="F5829" t="s">
        <v>95</v>
      </c>
      <c r="G5829">
        <v>-257.69279999999998</v>
      </c>
      <c r="H5829" s="1">
        <v>-2.4654609999999999E-6</v>
      </c>
      <c r="I5829">
        <v>-60.514580000000002</v>
      </c>
      <c r="J5829">
        <v>-279.69850000000002</v>
      </c>
      <c r="K5829">
        <v>1.1120939999999999</v>
      </c>
      <c r="L5829">
        <v>-61.463230000000003</v>
      </c>
      <c r="M5829">
        <v>0.95036949999999998</v>
      </c>
      <c r="N5829">
        <v>0</v>
      </c>
      <c r="O5829">
        <v>-0.31079420000000002</v>
      </c>
      <c r="P5829">
        <v>0.98391360000000005</v>
      </c>
      <c r="Q5829">
        <v>-4.8863730000000001E-2</v>
      </c>
      <c r="R5829">
        <v>-0.1718335</v>
      </c>
      <c r="S5829">
        <v>3.0651549999999999</v>
      </c>
      <c r="T5829">
        <v>-0.15420629999999999</v>
      </c>
      <c r="U5829">
        <v>0.1273193</v>
      </c>
      <c r="V5829">
        <v>-0.14238039999999999</v>
      </c>
      <c r="W5829">
        <v>-3.5203989999999998E-2</v>
      </c>
      <c r="X5829">
        <v>0.9891858</v>
      </c>
      <c r="Y5829">
        <v>-0.3491784</v>
      </c>
      <c r="Z5829">
        <v>2.4221820000000002E-2</v>
      </c>
      <c r="AA5829">
        <v>0.9367432</v>
      </c>
      <c r="AB5829">
        <v>19</v>
      </c>
      <c r="AC5829">
        <v>22.005700000000001</v>
      </c>
      <c r="AD5829">
        <v>-1.1120964654609999</v>
      </c>
      <c r="AE5829">
        <v>0.94864999999999999</v>
      </c>
      <c r="AF5829">
        <v>-7.7219197395307404</v>
      </c>
      <c r="AG5829">
        <v>-1.1120964654609999</v>
      </c>
      <c r="AH5829">
        <v>20.5683891939399</v>
      </c>
      <c r="AI5829">
        <v>92.897756745480393</v>
      </c>
      <c r="AJ5829">
        <v>110.577469481427</v>
      </c>
      <c r="AK5829">
        <v>21.998259864035301</v>
      </c>
      <c r="AL5829">
        <v>92.017456861635097</v>
      </c>
      <c r="AM5829">
        <v>98.190724926981105</v>
      </c>
      <c r="AN5829">
        <v>1.0000000230688499</v>
      </c>
    </row>
    <row r="5830" spans="1:40" x14ac:dyDescent="0.3">
      <c r="A5830" t="str">
        <f>"20200111160620013"</f>
        <v>20200111160620013</v>
      </c>
      <c r="B5830" t="str">
        <f>"1578729980008385"</f>
        <v>1578729980008385</v>
      </c>
      <c r="C5830" t="s">
        <v>40</v>
      </c>
      <c r="D5830">
        <v>5.4377870000000001</v>
      </c>
      <c r="E5830">
        <v>0.41640300000000002</v>
      </c>
      <c r="F5830" t="s">
        <v>95</v>
      </c>
      <c r="G5830">
        <v>-258.01080000000002</v>
      </c>
      <c r="H5830" s="1">
        <v>-2.596247E-6</v>
      </c>
      <c r="I5830">
        <v>-60.48921</v>
      </c>
      <c r="J5830">
        <v>-279.59859999999998</v>
      </c>
      <c r="K5830">
        <v>1.1122350000000001</v>
      </c>
      <c r="L5830">
        <v>-61.494570000000003</v>
      </c>
      <c r="M5830">
        <v>0.95074959999999997</v>
      </c>
      <c r="N5830">
        <v>0</v>
      </c>
      <c r="O5830">
        <v>-0.3096296</v>
      </c>
      <c r="P5830">
        <v>0.98426290000000005</v>
      </c>
      <c r="Q5830">
        <v>-4.8683780000000003E-2</v>
      </c>
      <c r="R5830">
        <v>-0.1698733</v>
      </c>
      <c r="S5830">
        <v>3.065277</v>
      </c>
      <c r="T5830">
        <v>-0.1571803</v>
      </c>
      <c r="U5830">
        <v>0.1376648</v>
      </c>
      <c r="V5830">
        <v>-0.14313010000000001</v>
      </c>
      <c r="W5830">
        <v>-3.507449E-2</v>
      </c>
      <c r="X5830">
        <v>0.98908220000000002</v>
      </c>
      <c r="Y5830">
        <v>-0.35115069999999998</v>
      </c>
      <c r="Z5830">
        <v>2.468066E-2</v>
      </c>
      <c r="AA5830">
        <v>0.93599359999999998</v>
      </c>
      <c r="AB5830">
        <v>19</v>
      </c>
      <c r="AC5830">
        <v>21.587799999999898</v>
      </c>
      <c r="AD5830">
        <v>-1.1122375962469999</v>
      </c>
      <c r="AE5830">
        <v>1.00535999999999</v>
      </c>
      <c r="AF5830">
        <v>-7.6206645388479002</v>
      </c>
      <c r="AG5830">
        <v>-1.1122375962469999</v>
      </c>
      <c r="AH5830">
        <v>20.161968654413499</v>
      </c>
      <c r="AI5830">
        <v>92.953963644896305</v>
      </c>
      <c r="AJ5830">
        <v>110.705200650648</v>
      </c>
      <c r="AK5830">
        <v>21.582784354798001</v>
      </c>
      <c r="AL5830">
        <v>92.010032475665795</v>
      </c>
      <c r="AM5830">
        <v>98.234113777877198</v>
      </c>
      <c r="AN5830">
        <v>1.0000000218658001</v>
      </c>
    </row>
    <row r="5831" spans="1:40" x14ac:dyDescent="0.3">
      <c r="A5831" t="str">
        <f>"20200111160620025"</f>
        <v>20200111160620025</v>
      </c>
      <c r="B5831" t="str">
        <f>"1578729980018146"</f>
        <v>1578729980018146</v>
      </c>
      <c r="C5831" t="s">
        <v>40</v>
      </c>
      <c r="D5831">
        <v>5.3862759999999996</v>
      </c>
      <c r="E5831">
        <v>0.4161975</v>
      </c>
      <c r="F5831" t="s">
        <v>95</v>
      </c>
      <c r="G5831">
        <v>-258.87459999999999</v>
      </c>
      <c r="H5831" s="1">
        <v>-2.9673890000000001E-6</v>
      </c>
      <c r="I5831">
        <v>-60.491889999999998</v>
      </c>
      <c r="J5831">
        <v>-279.49810000000002</v>
      </c>
      <c r="K5831">
        <v>1.112374</v>
      </c>
      <c r="L5831">
        <v>-61.525880000000001</v>
      </c>
      <c r="M5831">
        <v>0.95115209999999994</v>
      </c>
      <c r="N5831">
        <v>0</v>
      </c>
      <c r="O5831">
        <v>-0.30838989999999999</v>
      </c>
      <c r="P5831">
        <v>0.98464719999999994</v>
      </c>
      <c r="Q5831">
        <v>-4.8277E-2</v>
      </c>
      <c r="R5831">
        <v>-0.167747799999999</v>
      </c>
      <c r="S5831">
        <v>3.0654599999999999</v>
      </c>
      <c r="T5831">
        <v>-0.16452049999999999</v>
      </c>
      <c r="U5831">
        <v>0.14831539999999999</v>
      </c>
      <c r="V5831">
        <v>-0.14397179999999901</v>
      </c>
      <c r="W5831">
        <v>-3.4717070000000003E-2</v>
      </c>
      <c r="X5831">
        <v>0.98897259999999998</v>
      </c>
      <c r="Y5831">
        <v>-0.35308919999999999</v>
      </c>
      <c r="Z5831">
        <v>2.5818049999999999E-2</v>
      </c>
      <c r="AA5831">
        <v>0.93523339999999999</v>
      </c>
      <c r="AB5831">
        <v>19</v>
      </c>
      <c r="AC5831">
        <v>20.6235</v>
      </c>
      <c r="AD5831">
        <v>-1.112376967389</v>
      </c>
      <c r="AE5831">
        <v>1.03399</v>
      </c>
      <c r="AF5831">
        <v>-7.3230638704693298</v>
      </c>
      <c r="AG5831">
        <v>-1.112376967389</v>
      </c>
      <c r="AH5831">
        <v>19.243351812904699</v>
      </c>
      <c r="AI5831">
        <v>93.092456243528801</v>
      </c>
      <c r="AJ5831">
        <v>110.83433888628601</v>
      </c>
      <c r="AK5831">
        <v>20.619680791995101</v>
      </c>
      <c r="AL5831">
        <v>91.989541424124099</v>
      </c>
      <c r="AM5831">
        <v>98.282771175726594</v>
      </c>
      <c r="AN5831">
        <v>0.99999997884769198</v>
      </c>
    </row>
    <row r="5832" spans="1:40" x14ac:dyDescent="0.3">
      <c r="A5832" t="str">
        <f>"20200111160620037"</f>
        <v>20200111160620037</v>
      </c>
      <c r="B5832" t="str">
        <f>"1578729980027904"</f>
        <v>1578729980027904</v>
      </c>
      <c r="C5832" t="s">
        <v>40</v>
      </c>
      <c r="D5832">
        <v>5.3951880000000001</v>
      </c>
      <c r="E5832">
        <v>0.41602270000000002</v>
      </c>
      <c r="F5832" t="s">
        <v>95</v>
      </c>
      <c r="G5832">
        <v>-259.11970000000002</v>
      </c>
      <c r="H5832" s="1">
        <v>-3.0708669999999998E-6</v>
      </c>
      <c r="I5832">
        <v>-60.484270000000002</v>
      </c>
      <c r="J5832">
        <v>-279.39120000000003</v>
      </c>
      <c r="K5832">
        <v>1.112503</v>
      </c>
      <c r="L5832">
        <v>-61.558720000000001</v>
      </c>
      <c r="M5832">
        <v>0.95163850000000005</v>
      </c>
      <c r="N5832">
        <v>0</v>
      </c>
      <c r="O5832">
        <v>-0.30688589999999999</v>
      </c>
      <c r="P5832">
        <v>0.98504170000000002</v>
      </c>
      <c r="Q5832">
        <v>-4.8150859999999997E-2</v>
      </c>
      <c r="R5832">
        <v>-0.16545199999999999</v>
      </c>
      <c r="S5832">
        <v>3.065277</v>
      </c>
      <c r="T5832">
        <v>-0.16732139999999901</v>
      </c>
      <c r="U5832">
        <v>0.15667719999999999</v>
      </c>
      <c r="V5832">
        <v>-0.14470539999999901</v>
      </c>
      <c r="W5832">
        <v>-3.4636720000000003E-2</v>
      </c>
      <c r="X5832">
        <v>0.98886839999999998</v>
      </c>
      <c r="Y5832">
        <v>-0.3541263</v>
      </c>
      <c r="Z5832">
        <v>2.6207620000000001E-2</v>
      </c>
      <c r="AA5832">
        <v>0.9348303</v>
      </c>
      <c r="AB5832">
        <v>19</v>
      </c>
      <c r="AC5832">
        <v>20.2715</v>
      </c>
      <c r="AD5832">
        <v>-1.112506070867</v>
      </c>
      <c r="AE5832">
        <v>1.0744499999999899</v>
      </c>
      <c r="AF5832">
        <v>-7.2225764837280098</v>
      </c>
      <c r="AG5832">
        <v>-1.112506070867</v>
      </c>
      <c r="AH5832">
        <v>18.906567950666901</v>
      </c>
      <c r="AI5832">
        <v>93.146266699857506</v>
      </c>
      <c r="AJ5832">
        <v>110.907564380032</v>
      </c>
      <c r="AK5832">
        <v>20.269721075885599</v>
      </c>
      <c r="AL5832">
        <v>91.984934828488306</v>
      </c>
      <c r="AM5832">
        <v>98.325250481457104</v>
      </c>
      <c r="AN5832">
        <v>1.0000000338400299</v>
      </c>
    </row>
    <row r="5833" spans="1:40" x14ac:dyDescent="0.3">
      <c r="A5833" t="str">
        <f>"20200111160620049"</f>
        <v>20200111160620049</v>
      </c>
      <c r="B5833" t="str">
        <f>"1578729980037664"</f>
        <v>1578729980037664</v>
      </c>
      <c r="C5833" t="s">
        <v>40</v>
      </c>
      <c r="D5833">
        <v>5.4107789999999998</v>
      </c>
      <c r="E5833">
        <v>0.41596630000000001</v>
      </c>
      <c r="F5833" t="s">
        <v>95</v>
      </c>
      <c r="G5833">
        <v>-259.33769999999998</v>
      </c>
      <c r="H5833" s="1">
        <v>-3.1629799999999999E-6</v>
      </c>
      <c r="I5833">
        <v>-60.477910000000001</v>
      </c>
      <c r="J5833">
        <v>-279.29820000000001</v>
      </c>
      <c r="K5833">
        <v>1.112608</v>
      </c>
      <c r="L5833">
        <v>-61.587040000000002</v>
      </c>
      <c r="M5833">
        <v>0.95208269999999995</v>
      </c>
      <c r="N5833">
        <v>0</v>
      </c>
      <c r="O5833">
        <v>-0.30550470000000002</v>
      </c>
      <c r="P5833">
        <v>0.98535790000000001</v>
      </c>
      <c r="Q5833">
        <v>-4.8009360000000001E-2</v>
      </c>
      <c r="R5833">
        <v>-0.16359960000000001</v>
      </c>
      <c r="S5833">
        <v>3.064972</v>
      </c>
      <c r="T5833">
        <v>-0.17003579999999999</v>
      </c>
      <c r="U5833">
        <v>0.1651917</v>
      </c>
      <c r="V5833">
        <v>-0.14512369999999999</v>
      </c>
      <c r="W5833">
        <v>-3.4530320000000003E-2</v>
      </c>
      <c r="X5833">
        <v>0.98881079999999999</v>
      </c>
      <c r="Y5833">
        <v>-0.35533219999999999</v>
      </c>
      <c r="Z5833">
        <v>2.6594159999999999E-2</v>
      </c>
      <c r="AA5833">
        <v>0.93436169999999996</v>
      </c>
      <c r="AB5833">
        <v>19</v>
      </c>
      <c r="AC5833">
        <v>19.9605</v>
      </c>
      <c r="AD5833">
        <v>-1.11261116298</v>
      </c>
      <c r="AE5833">
        <v>1.1091299999999999</v>
      </c>
      <c r="AF5833">
        <v>-7.1326518431073502</v>
      </c>
      <c r="AG5833">
        <v>-1.11261116298</v>
      </c>
      <c r="AH5833">
        <v>18.6094775806204</v>
      </c>
      <c r="AI5833">
        <v>93.195344953458502</v>
      </c>
      <c r="AJ5833">
        <v>110.970859369574</v>
      </c>
      <c r="AK5833">
        <v>19.960593221109001</v>
      </c>
      <c r="AL5833">
        <v>91.9788349466413</v>
      </c>
      <c r="AM5833">
        <v>98.349457030148301</v>
      </c>
      <c r="AN5833">
        <v>1.00000001474881</v>
      </c>
    </row>
    <row r="5834" spans="1:40" x14ac:dyDescent="0.3">
      <c r="A5834" t="str">
        <f>"20200111160620061"</f>
        <v>20200111160620061</v>
      </c>
      <c r="B5834" t="str">
        <f>"1578729980058160"</f>
        <v>1578729980058160</v>
      </c>
      <c r="C5834" t="s">
        <v>40</v>
      </c>
      <c r="D5834">
        <v>5.3068860000000004</v>
      </c>
      <c r="E5834">
        <v>0.41559430000000003</v>
      </c>
      <c r="F5834" t="s">
        <v>95</v>
      </c>
      <c r="G5834">
        <v>-259.55990000000003</v>
      </c>
      <c r="H5834" s="1">
        <v>-3.2592090000000001E-6</v>
      </c>
      <c r="I5834">
        <v>-60.481999999999999</v>
      </c>
      <c r="J5834">
        <v>-279.19560000000001</v>
      </c>
      <c r="K5834">
        <v>1.112711</v>
      </c>
      <c r="L5834">
        <v>-61.618009999999998</v>
      </c>
      <c r="M5834">
        <v>0.95259899999999997</v>
      </c>
      <c r="N5834">
        <v>0</v>
      </c>
      <c r="O5834">
        <v>-0.30389110000000003</v>
      </c>
      <c r="P5834">
        <v>0.98565349999999996</v>
      </c>
      <c r="Q5834">
        <v>-4.7843400000000001E-2</v>
      </c>
      <c r="R5834">
        <v>-0.1618598</v>
      </c>
      <c r="S5834">
        <v>3.0646059999999999</v>
      </c>
      <c r="T5834">
        <v>-0.1727466</v>
      </c>
      <c r="U5834">
        <v>0.17156979999999999</v>
      </c>
      <c r="V5834">
        <v>-0.14518900000000001</v>
      </c>
      <c r="W5834">
        <v>-3.4395990000000001E-2</v>
      </c>
      <c r="X5834">
        <v>0.98880590000000002</v>
      </c>
      <c r="Y5834">
        <v>-0.35566320000000001</v>
      </c>
      <c r="Z5834">
        <v>2.6942049999999999E-2</v>
      </c>
      <c r="AA5834">
        <v>0.9342258</v>
      </c>
      <c r="AB5834">
        <v>19</v>
      </c>
      <c r="AC5834">
        <v>19.6356999999999</v>
      </c>
      <c r="AD5834">
        <v>-1.112714259209</v>
      </c>
      <c r="AE5834">
        <v>1.13600999999999</v>
      </c>
      <c r="AF5834">
        <v>-7.0275085136521298</v>
      </c>
      <c r="AG5834">
        <v>-1.112714259209</v>
      </c>
      <c r="AH5834">
        <v>18.303030590887399</v>
      </c>
      <c r="AI5834">
        <v>93.248302032560801</v>
      </c>
      <c r="AJ5834">
        <v>111.004456214733</v>
      </c>
      <c r="AK5834">
        <v>19.637335301487902</v>
      </c>
      <c r="AL5834">
        <v>91.971133821874702</v>
      </c>
      <c r="AM5834">
        <v>98.353201772054106</v>
      </c>
      <c r="AN5834">
        <v>1.00000001886194</v>
      </c>
    </row>
    <row r="5835" spans="1:40" x14ac:dyDescent="0.3">
      <c r="A5835" t="str">
        <f>"20200111160620071"</f>
        <v>20200111160620071</v>
      </c>
      <c r="B5835" t="str">
        <f>"1578729980067920"</f>
        <v>1578729980067920</v>
      </c>
      <c r="C5835" t="s">
        <v>40</v>
      </c>
      <c r="D5835">
        <v>5.443886</v>
      </c>
      <c r="E5835">
        <v>0.41551510000000003</v>
      </c>
      <c r="F5835" t="s">
        <v>96</v>
      </c>
      <c r="G5835">
        <v>-260.08769999999998</v>
      </c>
      <c r="H5835" s="1">
        <v>9.2733399999999998E-7</v>
      </c>
      <c r="I5835">
        <v>-60.495460000000001</v>
      </c>
      <c r="J5835">
        <v>-279.11169999999998</v>
      </c>
      <c r="K5835">
        <v>1.112781</v>
      </c>
      <c r="L5835">
        <v>-61.643039999999999</v>
      </c>
      <c r="M5835">
        <v>0.95305249999999997</v>
      </c>
      <c r="N5835">
        <v>0</v>
      </c>
      <c r="O5835">
        <v>-0.30246590000000001</v>
      </c>
      <c r="P5835">
        <v>0.98588109999999995</v>
      </c>
      <c r="Q5835">
        <v>-4.8199430000000001E-2</v>
      </c>
      <c r="R5835">
        <v>-0.16036010000000001</v>
      </c>
      <c r="S5835">
        <v>3.064514</v>
      </c>
      <c r="T5835">
        <v>-0.17845569999999999</v>
      </c>
      <c r="U5835">
        <v>0.18002319999999999</v>
      </c>
      <c r="V5835">
        <v>-0.14520169999999999</v>
      </c>
      <c r="W5835">
        <v>-3.4772900000000002E-2</v>
      </c>
      <c r="X5835">
        <v>0.98879079999999997</v>
      </c>
      <c r="Y5835">
        <v>-0.35676659999999999</v>
      </c>
      <c r="Z5835">
        <v>2.7783410000000001E-2</v>
      </c>
      <c r="AA5835">
        <v>0.93378030000000001</v>
      </c>
      <c r="AB5835">
        <v>19</v>
      </c>
      <c r="AC5835">
        <v>19.024000000000001</v>
      </c>
      <c r="AD5835">
        <v>-1.112780072666</v>
      </c>
      <c r="AE5835">
        <v>1.14758</v>
      </c>
      <c r="AF5835">
        <v>-6.8252505017034197</v>
      </c>
      <c r="AG5835">
        <v>-1.112780072666</v>
      </c>
      <c r="AH5835">
        <v>17.7251662710669</v>
      </c>
      <c r="AI5835">
        <v>93.352920729378098</v>
      </c>
      <c r="AJ5835">
        <v>111.059693802772</v>
      </c>
      <c r="AK5835">
        <v>19.026398588227099</v>
      </c>
      <c r="AL5835">
        <v>91.9927422033429</v>
      </c>
      <c r="AM5835">
        <v>98.3540479077123</v>
      </c>
      <c r="AN5835">
        <v>0.99999996721096895</v>
      </c>
    </row>
    <row r="5836" spans="1:40" x14ac:dyDescent="0.3">
      <c r="A5836" t="str">
        <f>"20200111160620082"</f>
        <v>20200111160620082</v>
      </c>
      <c r="B5836" t="str">
        <f>"1578729980077680"</f>
        <v>1578729980077680</v>
      </c>
      <c r="C5836" t="s">
        <v>40</v>
      </c>
      <c r="D5836">
        <v>5.4474049999999998</v>
      </c>
      <c r="E5836">
        <v>0.4155044</v>
      </c>
      <c r="F5836" t="s">
        <v>41</v>
      </c>
      <c r="G5836">
        <v>-260.31380000000001</v>
      </c>
      <c r="H5836" s="1">
        <v>8.2766430000000002E-7</v>
      </c>
      <c r="I5836">
        <v>-60.505659999999999</v>
      </c>
      <c r="J5836">
        <v>-279.02080000000001</v>
      </c>
      <c r="K5836">
        <v>1.1128499999999999</v>
      </c>
      <c r="L5836">
        <v>-61.670009999999998</v>
      </c>
      <c r="M5836">
        <v>0.95355020000000001</v>
      </c>
      <c r="N5836">
        <v>0</v>
      </c>
      <c r="O5836">
        <v>-0.30089290000000002</v>
      </c>
      <c r="P5836">
        <v>0.9861799</v>
      </c>
      <c r="Q5836">
        <v>-4.8778139999999998E-2</v>
      </c>
      <c r="R5836">
        <v>-0.15833539999999999</v>
      </c>
      <c r="S5836">
        <v>3.06427</v>
      </c>
      <c r="T5836">
        <v>-0.18139540000000001</v>
      </c>
      <c r="U5836">
        <v>0.18539430000000001</v>
      </c>
      <c r="V5836">
        <v>-0.14558289999999999</v>
      </c>
      <c r="W5836">
        <v>-3.5375740000000003E-2</v>
      </c>
      <c r="X5836">
        <v>0.98871339999999996</v>
      </c>
      <c r="Y5836">
        <v>-0.3568268</v>
      </c>
      <c r="Z5836">
        <v>2.8154080000000001E-2</v>
      </c>
      <c r="AA5836">
        <v>0.93374619999999997</v>
      </c>
      <c r="AB5836">
        <v>19</v>
      </c>
      <c r="AC5836">
        <v>18.706999999999901</v>
      </c>
      <c r="AD5836">
        <v>-1.1128491723356999</v>
      </c>
      <c r="AE5836">
        <v>1.16434999999999</v>
      </c>
      <c r="AF5836">
        <v>-6.7160865082479599</v>
      </c>
      <c r="AG5836">
        <v>-1.1128491723356999</v>
      </c>
      <c r="AH5836">
        <v>17.428078244630001</v>
      </c>
      <c r="AI5836">
        <v>93.409811233596201</v>
      </c>
      <c r="AJ5836">
        <v>111.074673733533</v>
      </c>
      <c r="AK5836">
        <v>18.710482691998699</v>
      </c>
      <c r="AL5836">
        <v>92.027303580404407</v>
      </c>
      <c r="AM5836">
        <v>98.376315559077995</v>
      </c>
      <c r="AN5836">
        <v>1.0000000055462499</v>
      </c>
    </row>
    <row r="5837" spans="1:40" x14ac:dyDescent="0.3">
      <c r="A5837" t="str">
        <f>"20200111160620104"</f>
        <v>20200111160620104</v>
      </c>
      <c r="B5837" t="str">
        <f>"1578729980098056"</f>
        <v>1578729980098056</v>
      </c>
      <c r="C5837" t="s">
        <v>40</v>
      </c>
      <c r="D5837">
        <v>5.3885709999999998</v>
      </c>
      <c r="E5837">
        <v>0.41545130000000002</v>
      </c>
      <c r="F5837" t="s">
        <v>41</v>
      </c>
      <c r="G5837">
        <v>-260.64729999999997</v>
      </c>
      <c r="H5837" s="1">
        <v>6.8094950000000001E-7</v>
      </c>
      <c r="I5837">
        <v>-60.519280000000002</v>
      </c>
      <c r="J5837">
        <v>-278.8399</v>
      </c>
      <c r="K5837">
        <v>1.112957</v>
      </c>
      <c r="L5837">
        <v>-61.722810000000003</v>
      </c>
      <c r="M5837">
        <v>0.95461649999999998</v>
      </c>
      <c r="N5837">
        <v>0</v>
      </c>
      <c r="O5837">
        <v>-0.29749130000000001</v>
      </c>
      <c r="P5837">
        <v>0.98671540000000002</v>
      </c>
      <c r="Q5837">
        <v>-5.0463960000000002E-2</v>
      </c>
      <c r="R5837">
        <v>-0.15442259999999999</v>
      </c>
      <c r="S5837">
        <v>3.0636290000000002</v>
      </c>
      <c r="T5837">
        <v>-0.185558</v>
      </c>
      <c r="U5837">
        <v>0.19186400000000001</v>
      </c>
      <c r="V5837">
        <v>-0.14593539999999999</v>
      </c>
      <c r="W5837">
        <v>-3.7097320000000003E-2</v>
      </c>
      <c r="X5837">
        <v>0.98859830000000004</v>
      </c>
      <c r="Y5837">
        <v>-0.35542879999999999</v>
      </c>
      <c r="Z5837">
        <v>2.8563169999999999E-2</v>
      </c>
      <c r="AA5837">
        <v>0.93426690000000001</v>
      </c>
      <c r="AB5837">
        <v>19</v>
      </c>
      <c r="AC5837">
        <v>18.192599999999999</v>
      </c>
      <c r="AD5837">
        <v>-1.1129563190504901</v>
      </c>
      <c r="AE5837">
        <v>1.20352999999999</v>
      </c>
      <c r="AF5837">
        <v>-6.53736681978625</v>
      </c>
      <c r="AG5837">
        <v>-1.1129563190504901</v>
      </c>
      <c r="AH5837">
        <v>16.9475204385833</v>
      </c>
      <c r="AI5837">
        <v>93.506149400392999</v>
      </c>
      <c r="AJ5837">
        <v>111.09371113590301</v>
      </c>
      <c r="AK5837">
        <v>18.198744069873499</v>
      </c>
      <c r="AL5837">
        <v>92.126007749005296</v>
      </c>
      <c r="AM5837">
        <v>98.397271984592805</v>
      </c>
      <c r="AN5837">
        <v>0.99999997544361496</v>
      </c>
    </row>
    <row r="5838" spans="1:40" x14ac:dyDescent="0.3">
      <c r="A5838" t="str">
        <f>"20200111160620115"</f>
        <v>20200111160620115</v>
      </c>
      <c r="B5838" t="str">
        <f>"1578729980107816"</f>
        <v>1578729980107816</v>
      </c>
      <c r="C5838" t="s">
        <v>40</v>
      </c>
      <c r="D5838">
        <v>5.4118879999999896</v>
      </c>
      <c r="E5838">
        <v>0.4154157</v>
      </c>
      <c r="F5838" t="s">
        <v>41</v>
      </c>
      <c r="G5838">
        <v>-261.11219999999997</v>
      </c>
      <c r="H5838" s="1">
        <v>4.7612320000000002E-7</v>
      </c>
      <c r="I5838">
        <v>-60.53951</v>
      </c>
      <c r="J5838">
        <v>-278.75069999999999</v>
      </c>
      <c r="K5838">
        <v>1.113003</v>
      </c>
      <c r="L5838">
        <v>-61.748379999999997</v>
      </c>
      <c r="M5838">
        <v>0.95517289999999999</v>
      </c>
      <c r="N5838">
        <v>0</v>
      </c>
      <c r="O5838">
        <v>-0.29570039999999997</v>
      </c>
      <c r="P5838">
        <v>0.98702409999999996</v>
      </c>
      <c r="Q5838">
        <v>-5.112593E-2</v>
      </c>
      <c r="R5838">
        <v>-0.15221589999999999</v>
      </c>
      <c r="S5838">
        <v>3.0625</v>
      </c>
      <c r="T5838">
        <v>-0.19226589999999999</v>
      </c>
      <c r="U5838">
        <v>0.2044067</v>
      </c>
      <c r="V5838">
        <v>-0.14627290000000001</v>
      </c>
      <c r="W5838">
        <v>-3.7774830000000002E-2</v>
      </c>
      <c r="X5838">
        <v>0.98852280000000003</v>
      </c>
      <c r="Y5838">
        <v>-0.35741919999999999</v>
      </c>
      <c r="Z5838">
        <v>2.9557139999999999E-2</v>
      </c>
      <c r="AA5838">
        <v>0.93347630000000004</v>
      </c>
      <c r="AB5838">
        <v>19</v>
      </c>
      <c r="AC5838">
        <v>17.638500000000001</v>
      </c>
      <c r="AD5838">
        <v>-1.1130025238768</v>
      </c>
      <c r="AE5838">
        <v>1.2088699999999999</v>
      </c>
      <c r="AF5838">
        <v>-6.3458982757440099</v>
      </c>
      <c r="AG5838">
        <v>-1.1130025238768</v>
      </c>
      <c r="AH5838">
        <v>16.426951191415299</v>
      </c>
      <c r="AI5838">
        <v>93.616429605816506</v>
      </c>
      <c r="AJ5838">
        <v>111.12205350270099</v>
      </c>
      <c r="AK5838">
        <v>17.645223857729501</v>
      </c>
      <c r="AL5838">
        <v>92.164853363716304</v>
      </c>
      <c r="AM5838">
        <v>98.417047841693702</v>
      </c>
      <c r="AN5838">
        <v>1.0000000125878801</v>
      </c>
    </row>
    <row r="5839" spans="1:40" x14ac:dyDescent="0.3">
      <c r="A5839" t="str">
        <f>"20200111160620128"</f>
        <v>20200111160620128</v>
      </c>
      <c r="B5839" t="str">
        <f>"1578729980118552"</f>
        <v>1578729980118552</v>
      </c>
      <c r="C5839" t="s">
        <v>40</v>
      </c>
      <c r="D5839">
        <v>5.444159</v>
      </c>
      <c r="E5839">
        <v>0.41541410000000001</v>
      </c>
      <c r="F5839" t="s">
        <v>96</v>
      </c>
      <c r="G5839">
        <v>-261.33879999999999</v>
      </c>
      <c r="H5839" s="1">
        <v>3.7733099999999998E-7</v>
      </c>
      <c r="I5839">
        <v>-60.545520000000003</v>
      </c>
      <c r="J5839">
        <v>-278.65230000000003</v>
      </c>
      <c r="K5839">
        <v>1.1130500000000001</v>
      </c>
      <c r="L5839">
        <v>-61.776429999999998</v>
      </c>
      <c r="M5839">
        <v>0.95579340000000002</v>
      </c>
      <c r="N5839">
        <v>0</v>
      </c>
      <c r="O5839">
        <v>-0.29368860000000002</v>
      </c>
      <c r="P5839">
        <v>0.98733190000000004</v>
      </c>
      <c r="Q5839">
        <v>-5.1562040000000003E-2</v>
      </c>
      <c r="R5839">
        <v>-0.15005869999999999</v>
      </c>
      <c r="S5839">
        <v>3.0619809999999998</v>
      </c>
      <c r="T5839">
        <v>-0.19572690000000001</v>
      </c>
      <c r="U5839">
        <v>0.21151729999999999</v>
      </c>
      <c r="V5839">
        <v>-0.14633829999999901</v>
      </c>
      <c r="W5839">
        <v>-3.8224580000000001E-2</v>
      </c>
      <c r="X5839">
        <v>0.98849580000000004</v>
      </c>
      <c r="Y5839">
        <v>-0.35757899999999998</v>
      </c>
      <c r="Z5839">
        <v>2.9973110000000001E-2</v>
      </c>
      <c r="AA5839">
        <v>0.93340179999999995</v>
      </c>
      <c r="AB5839">
        <v>19</v>
      </c>
      <c r="AC5839">
        <v>17.313500000000001</v>
      </c>
      <c r="AD5839">
        <v>-1.1130496226690001</v>
      </c>
      <c r="AE5839">
        <v>1.2309099999999999</v>
      </c>
      <c r="AF5839">
        <v>-6.2362736512409001</v>
      </c>
      <c r="AG5839">
        <v>-1.1130496226690001</v>
      </c>
      <c r="AH5839">
        <v>16.1219959599192</v>
      </c>
      <c r="AI5839">
        <v>93.684177696537603</v>
      </c>
      <c r="AJ5839">
        <v>111.14735325932099</v>
      </c>
      <c r="AK5839">
        <v>17.321915086021399</v>
      </c>
      <c r="AL5839">
        <v>92.190640833324395</v>
      </c>
      <c r="AM5839">
        <v>98.420983944958806</v>
      </c>
      <c r="AN5839">
        <v>0.99999998159035297</v>
      </c>
    </row>
    <row r="5840" spans="1:40" x14ac:dyDescent="0.3">
      <c r="A5840" t="str">
        <f>"20200111160620524"</f>
        <v>20200111160620524</v>
      </c>
      <c r="B5840" t="str">
        <f>"1578729980517736"</f>
        <v>1578729980517736</v>
      </c>
      <c r="C5840" t="s">
        <v>40</v>
      </c>
      <c r="D5840">
        <v>5.5531920000000001</v>
      </c>
      <c r="E5840">
        <v>0.41546240000000001</v>
      </c>
      <c r="F5840" t="s">
        <v>41</v>
      </c>
      <c r="G5840">
        <v>-261.55410000000001</v>
      </c>
      <c r="H5840" s="1">
        <v>2.8196509999999999E-7</v>
      </c>
      <c r="I5840">
        <v>-60.556800000000003</v>
      </c>
      <c r="J5840">
        <v>-275.44439999999997</v>
      </c>
      <c r="K5840">
        <v>1.114365</v>
      </c>
      <c r="L5840">
        <v>-62.493099999999998</v>
      </c>
      <c r="M5840">
        <v>0.98046900000000003</v>
      </c>
      <c r="N5840">
        <v>0</v>
      </c>
      <c r="O5840">
        <v>-0.196133</v>
      </c>
      <c r="P5840">
        <v>0.99648080000000006</v>
      </c>
      <c r="Q5840">
        <v>-4.2942569999999999E-2</v>
      </c>
      <c r="R5840">
        <v>-7.1986149999999999E-2</v>
      </c>
      <c r="S5840">
        <v>3.0613100000000002</v>
      </c>
      <c r="T5840">
        <v>-0.19928280000000001</v>
      </c>
      <c r="U5840">
        <v>0.2183533</v>
      </c>
      <c r="V5840">
        <v>-0.12461609999999999</v>
      </c>
      <c r="W5840">
        <v>-2.9612570000000001E-2</v>
      </c>
      <c r="X5840">
        <v>0.99176310000000001</v>
      </c>
      <c r="Y5840">
        <v>-0.2644513</v>
      </c>
      <c r="Z5840">
        <v>2.128675E-2</v>
      </c>
      <c r="AA5840">
        <v>0.96416409999999997</v>
      </c>
      <c r="AB5840">
        <v>18</v>
      </c>
      <c r="AC5840">
        <v>13.8902999999999</v>
      </c>
      <c r="AD5840">
        <v>-1.1143647180348999</v>
      </c>
      <c r="AE5840">
        <v>1.9362999999999899</v>
      </c>
      <c r="AF5840">
        <v>-4.5943129357347301</v>
      </c>
      <c r="AG5840">
        <v>-1.1143647180348999</v>
      </c>
      <c r="AH5840">
        <v>13.1575714768393</v>
      </c>
      <c r="AI5840">
        <v>94.571613444541001</v>
      </c>
      <c r="AJ5840">
        <v>109.247994443442</v>
      </c>
      <c r="AK5840">
        <v>13.9811017893583</v>
      </c>
      <c r="AL5840">
        <v>91.696923245183001</v>
      </c>
      <c r="AM5840">
        <v>97.161743364437598</v>
      </c>
      <c r="AN5840">
        <v>1.00000006160141</v>
      </c>
    </row>
    <row r="5841" spans="1:40" x14ac:dyDescent="0.3">
      <c r="A5841" t="str">
        <f>"20200111160620535"</f>
        <v>20200111160620535</v>
      </c>
      <c r="B5841" t="str">
        <f>"1578729980528471"</f>
        <v>1578729980528471</v>
      </c>
      <c r="C5841" t="s">
        <v>40</v>
      </c>
      <c r="D5841">
        <v>9.2446029999999997</v>
      </c>
      <c r="E5841">
        <v>0.41546240000000001</v>
      </c>
      <c r="F5841" t="s">
        <v>95</v>
      </c>
      <c r="G5841">
        <v>-255.14340000000001</v>
      </c>
      <c r="H5841" s="1">
        <v>-1.553967E-6</v>
      </c>
      <c r="I5841">
        <v>-59.427999999999997</v>
      </c>
      <c r="J5841">
        <v>-275.35669999999999</v>
      </c>
      <c r="K5841">
        <v>1.1143590000000001</v>
      </c>
      <c r="L5841">
        <v>-62.506469999999901</v>
      </c>
      <c r="M5841">
        <v>0.98114089999999998</v>
      </c>
      <c r="N5841">
        <v>0</v>
      </c>
      <c r="O5841">
        <v>-0.19274440000000001</v>
      </c>
      <c r="P5841">
        <v>0.99664649999999999</v>
      </c>
      <c r="Q5841">
        <v>-4.2350369999999998E-2</v>
      </c>
      <c r="R5841">
        <v>-7.0014720000000003E-2</v>
      </c>
      <c r="S5841">
        <v>3.03653</v>
      </c>
      <c r="T5841">
        <v>-0.16668229999999901</v>
      </c>
      <c r="U5841">
        <v>0.45846559999999997</v>
      </c>
      <c r="V5841">
        <v>-0.1231635</v>
      </c>
      <c r="W5841">
        <v>-2.8999670000000002E-2</v>
      </c>
      <c r="X5841">
        <v>0.99196260000000003</v>
      </c>
      <c r="Y5841">
        <v>-0.33631420000000001</v>
      </c>
      <c r="Z5841">
        <v>1.967414E-2</v>
      </c>
      <c r="AA5841">
        <v>0.9415443</v>
      </c>
      <c r="AB5841">
        <v>18</v>
      </c>
      <c r="AC5841">
        <v>20.213299999999901</v>
      </c>
      <c r="AD5841">
        <v>-1.1143605539669901</v>
      </c>
      <c r="AE5841">
        <v>3.0784699999999798</v>
      </c>
      <c r="AF5841">
        <v>-6.8966609015111304</v>
      </c>
      <c r="AG5841">
        <v>-1.1143605539669901</v>
      </c>
      <c r="AH5841">
        <v>19.183794366668799</v>
      </c>
      <c r="AI5841">
        <v>93.128873748568793</v>
      </c>
      <c r="AJ5841">
        <v>109.773740865714</v>
      </c>
      <c r="AK5841">
        <v>20.416260611025301</v>
      </c>
      <c r="AL5841">
        <v>91.661791652698597</v>
      </c>
      <c r="AM5841">
        <v>97.077704420881403</v>
      </c>
      <c r="AN5841">
        <v>1.0000000141955501</v>
      </c>
    </row>
    <row r="5842" spans="1:40" x14ac:dyDescent="0.3">
      <c r="A5842" t="str">
        <f>"20200111160620546"</f>
        <v>20200111160620546</v>
      </c>
      <c r="B5842" t="str">
        <f>"1578729980538232"</f>
        <v>1578729980538232</v>
      </c>
      <c r="C5842" t="s">
        <v>40</v>
      </c>
      <c r="D5842">
        <v>5.5046759999999999</v>
      </c>
      <c r="E5842">
        <v>0.41548659999999998</v>
      </c>
      <c r="F5842" t="s">
        <v>95</v>
      </c>
      <c r="G5842">
        <v>-254.88929999999999</v>
      </c>
      <c r="H5842" s="1">
        <v>-1.4566130000000001E-6</v>
      </c>
      <c r="I5842">
        <v>-59.375269999999901</v>
      </c>
      <c r="J5842">
        <v>-275.27109999999999</v>
      </c>
      <c r="K5842">
        <v>1.114344</v>
      </c>
      <c r="L5842">
        <v>-62.519440000000003</v>
      </c>
      <c r="M5842">
        <v>0.98178580000000004</v>
      </c>
      <c r="N5842">
        <v>0</v>
      </c>
      <c r="O5842">
        <v>-0.18943209999999999</v>
      </c>
      <c r="P5842">
        <v>0.99680409999999997</v>
      </c>
      <c r="Q5842">
        <v>-4.2092709999999998E-2</v>
      </c>
      <c r="R5842">
        <v>-6.7898440000000004E-2</v>
      </c>
      <c r="S5842">
        <v>3.0357059999999998</v>
      </c>
      <c r="T5842">
        <v>-0.16528109999999999</v>
      </c>
      <c r="U5842">
        <v>0.46441650000000001</v>
      </c>
      <c r="V5842">
        <v>-0.12192749999999999</v>
      </c>
      <c r="W5842">
        <v>-2.872357E-2</v>
      </c>
      <c r="X5842">
        <v>0.99212330000000004</v>
      </c>
      <c r="Y5842">
        <v>-0.33499790000000002</v>
      </c>
      <c r="Z5842">
        <v>1.9298289999999999E-2</v>
      </c>
      <c r="AA5842">
        <v>0.94202129999999995</v>
      </c>
      <c r="AB5842">
        <v>18</v>
      </c>
      <c r="AC5842">
        <v>20.381799999999998</v>
      </c>
      <c r="AD5842">
        <v>-1.114345456613</v>
      </c>
      <c r="AE5842">
        <v>3.1441699999999999</v>
      </c>
      <c r="AF5842">
        <v>-6.9283767563786203</v>
      </c>
      <c r="AG5842">
        <v>-1.114345456613</v>
      </c>
      <c r="AH5842">
        <v>19.360487462352399</v>
      </c>
      <c r="AI5842">
        <v>93.101948099274793</v>
      </c>
      <c r="AJ5842">
        <v>109.690342751356</v>
      </c>
      <c r="AK5842">
        <v>20.5930241842937</v>
      </c>
      <c r="AL5842">
        <v>91.645965717758799</v>
      </c>
      <c r="AM5842">
        <v>97.006262477673602</v>
      </c>
      <c r="AN5842">
        <v>1.0000000005663401</v>
      </c>
    </row>
    <row r="5843" spans="1:40" x14ac:dyDescent="0.3">
      <c r="A5843" t="str">
        <f>"20200111160620557"</f>
        <v>20200111160620557</v>
      </c>
      <c r="B5843" t="str">
        <f>"1578729980547992"</f>
        <v>1578729980547992</v>
      </c>
      <c r="C5843" t="s">
        <v>40</v>
      </c>
      <c r="D5843">
        <v>5.5506359999999999</v>
      </c>
      <c r="E5843">
        <v>0.41551969999999999</v>
      </c>
      <c r="F5843" t="s">
        <v>95</v>
      </c>
      <c r="G5843">
        <v>-254.90459999999999</v>
      </c>
      <c r="H5843" s="1">
        <v>-1.4664080000000001E-6</v>
      </c>
      <c r="I5843">
        <v>-59.360669999999899</v>
      </c>
      <c r="J5843">
        <v>-275.17660000000001</v>
      </c>
      <c r="K5843">
        <v>1.114317</v>
      </c>
      <c r="L5843">
        <v>-62.533230000000003</v>
      </c>
      <c r="M5843">
        <v>0.98248369999999996</v>
      </c>
      <c r="N5843">
        <v>0</v>
      </c>
      <c r="O5843">
        <v>-0.18577859999999999</v>
      </c>
      <c r="P5843">
        <v>0.9969597</v>
      </c>
      <c r="Q5843">
        <v>-4.2942210000000001E-2</v>
      </c>
      <c r="R5843">
        <v>-6.5019060000000004E-2</v>
      </c>
      <c r="S5843">
        <v>3.0346980000000001</v>
      </c>
      <c r="T5843">
        <v>-0.166043</v>
      </c>
      <c r="U5843">
        <v>0.4706726</v>
      </c>
      <c r="V5843">
        <v>-0.1210905</v>
      </c>
      <c r="W5843">
        <v>-2.9557659999999999E-2</v>
      </c>
      <c r="X5843">
        <v>0.99220129999999995</v>
      </c>
      <c r="Y5843">
        <v>-0.3334375</v>
      </c>
      <c r="Z5843">
        <v>1.9151230000000002E-2</v>
      </c>
      <c r="AA5843">
        <v>0.94257769999999996</v>
      </c>
      <c r="AB5843">
        <v>18</v>
      </c>
      <c r="AC5843">
        <v>20.271999999999998</v>
      </c>
      <c r="AD5843">
        <v>-1.1143184664079999</v>
      </c>
      <c r="AE5843">
        <v>3.17256000000001</v>
      </c>
      <c r="AF5843">
        <v>-6.8635796467749604</v>
      </c>
      <c r="AG5843">
        <v>-1.1143184664079999</v>
      </c>
      <c r="AH5843">
        <v>19.272724962665301</v>
      </c>
      <c r="AI5843">
        <v>93.117676859899007</v>
      </c>
      <c r="AJ5843">
        <v>109.60229793772</v>
      </c>
      <c r="AK5843">
        <v>20.488737362237401</v>
      </c>
      <c r="AL5843">
        <v>91.693775874130495</v>
      </c>
      <c r="AM5843">
        <v>96.958097832438796</v>
      </c>
      <c r="AN5843">
        <v>0.99999999208830703</v>
      </c>
    </row>
    <row r="5844" spans="1:40" x14ac:dyDescent="0.3">
      <c r="A5844" t="str">
        <f>"20200111160620568"</f>
        <v>20200111160620568</v>
      </c>
      <c r="B5844" t="str">
        <f>"1578729980557753"</f>
        <v>1578729980557753</v>
      </c>
      <c r="C5844" t="s">
        <v>40</v>
      </c>
      <c r="D5844">
        <v>5.542268</v>
      </c>
      <c r="E5844">
        <v>0.41556929999999997</v>
      </c>
      <c r="F5844" t="s">
        <v>95</v>
      </c>
      <c r="G5844">
        <v>-255.42570000000001</v>
      </c>
      <c r="H5844" s="1">
        <v>-1.678533E-6</v>
      </c>
      <c r="I5844">
        <v>-59.412219999999998</v>
      </c>
      <c r="J5844">
        <v>-275.0951</v>
      </c>
      <c r="K5844">
        <v>1.11429</v>
      </c>
      <c r="L5844">
        <v>-62.544919999999998</v>
      </c>
      <c r="M5844">
        <v>0.98307420000000001</v>
      </c>
      <c r="N5844">
        <v>0</v>
      </c>
      <c r="O5844">
        <v>-0.18262709999999999</v>
      </c>
      <c r="P5844">
        <v>0.9970987</v>
      </c>
      <c r="Q5844">
        <v>-4.3522159999999997E-2</v>
      </c>
      <c r="R5844">
        <v>-6.24491E-2</v>
      </c>
      <c r="S5844">
        <v>3.0330509999999999</v>
      </c>
      <c r="T5844">
        <v>-0.17111989999999999</v>
      </c>
      <c r="U5844">
        <v>0.4792786</v>
      </c>
      <c r="V5844">
        <v>-0.1204587</v>
      </c>
      <c r="W5844">
        <v>-3.0124740000000001E-2</v>
      </c>
      <c r="X5844">
        <v>0.99226119999999995</v>
      </c>
      <c r="Y5844">
        <v>-0.33306089999999999</v>
      </c>
      <c r="Z5844">
        <v>1.9556770000000001E-2</v>
      </c>
      <c r="AA5844">
        <v>0.9427025</v>
      </c>
      <c r="AB5844">
        <v>18</v>
      </c>
      <c r="AC5844">
        <v>19.6694</v>
      </c>
      <c r="AD5844">
        <v>-1.1142916785329999</v>
      </c>
      <c r="AE5844">
        <v>3.1326999999999998</v>
      </c>
      <c r="AF5844">
        <v>-6.6517313426893399</v>
      </c>
      <c r="AG5844">
        <v>-1.1142916785329999</v>
      </c>
      <c r="AH5844">
        <v>18.707803032042499</v>
      </c>
      <c r="AI5844">
        <v>93.212127517713299</v>
      </c>
      <c r="AJ5844">
        <v>109.573310833405</v>
      </c>
      <c r="AK5844">
        <v>19.886404151727898</v>
      </c>
      <c r="AL5844">
        <v>91.726281552726604</v>
      </c>
      <c r="AM5844">
        <v>96.921732695978903</v>
      </c>
      <c r="AN5844">
        <v>1.00000004369559</v>
      </c>
    </row>
    <row r="5845" spans="1:40" x14ac:dyDescent="0.3">
      <c r="A5845" t="str">
        <f>"20200111160620579"</f>
        <v>20200111160620579</v>
      </c>
      <c r="B5845" t="str">
        <f>"1578729980568488"</f>
        <v>1578729980568488</v>
      </c>
      <c r="C5845" t="s">
        <v>40</v>
      </c>
      <c r="D5845">
        <v>5.5330680000000001</v>
      </c>
      <c r="E5845">
        <v>0.41560360000000002</v>
      </c>
      <c r="F5845" t="s">
        <v>95</v>
      </c>
      <c r="G5845">
        <v>-255.80080000000001</v>
      </c>
      <c r="H5845" s="1">
        <v>-1.831779E-6</v>
      </c>
      <c r="I5845">
        <v>-59.447009999999999</v>
      </c>
      <c r="J5845">
        <v>-275.00580000000002</v>
      </c>
      <c r="K5845">
        <v>1.1142529999999999</v>
      </c>
      <c r="L5845">
        <v>-62.557400000000001</v>
      </c>
      <c r="M5845">
        <v>0.98370840000000004</v>
      </c>
      <c r="N5845">
        <v>0</v>
      </c>
      <c r="O5845">
        <v>-0.1791799</v>
      </c>
      <c r="P5845">
        <v>0.9972801</v>
      </c>
      <c r="Q5845">
        <v>-4.4029180000000001E-2</v>
      </c>
      <c r="R5845">
        <v>-5.911143E-2</v>
      </c>
      <c r="S5845">
        <v>3.0315859999999999</v>
      </c>
      <c r="T5845">
        <v>-0.1750814</v>
      </c>
      <c r="U5845">
        <v>0.4867554</v>
      </c>
      <c r="V5845">
        <v>-0.1202955</v>
      </c>
      <c r="W5845">
        <v>-3.0622529999999999E-2</v>
      </c>
      <c r="X5845">
        <v>0.99226570000000003</v>
      </c>
      <c r="Y5845">
        <v>-0.33206330000000001</v>
      </c>
      <c r="Z5845">
        <v>1.978984E-2</v>
      </c>
      <c r="AA5845">
        <v>0.94304949999999999</v>
      </c>
      <c r="AB5845">
        <v>18</v>
      </c>
      <c r="AC5845">
        <v>19.204999999999998</v>
      </c>
      <c r="AD5845">
        <v>-1.114254831779</v>
      </c>
      <c r="AE5845">
        <v>3.1103900000000002</v>
      </c>
      <c r="AF5845">
        <v>-6.4803006267513696</v>
      </c>
      <c r="AG5845">
        <v>-1.114254831779</v>
      </c>
      <c r="AH5845">
        <v>18.276796531783599</v>
      </c>
      <c r="AI5845">
        <v>93.288632875992704</v>
      </c>
      <c r="AJ5845">
        <v>109.522692409322</v>
      </c>
      <c r="AK5845">
        <v>19.423623542156999</v>
      </c>
      <c r="AL5845">
        <v>91.754816089715007</v>
      </c>
      <c r="AM5845">
        <v>96.912414733019901</v>
      </c>
      <c r="AN5845">
        <v>0.99999998303017001</v>
      </c>
    </row>
    <row r="5846" spans="1:40" x14ac:dyDescent="0.3">
      <c r="A5846" t="str">
        <f>"20200111160620590"</f>
        <v>20200111160620590</v>
      </c>
      <c r="B5846" t="str">
        <f>"1578729980588008"</f>
        <v>1578729980588008</v>
      </c>
      <c r="C5846" t="s">
        <v>40</v>
      </c>
      <c r="D5846">
        <v>5.5596180000000004</v>
      </c>
      <c r="E5846">
        <v>0.4157131</v>
      </c>
      <c r="F5846" t="s">
        <v>95</v>
      </c>
      <c r="G5846">
        <v>-256.16759999999999</v>
      </c>
      <c r="H5846" s="1">
        <v>-1.9842579999999999E-6</v>
      </c>
      <c r="I5846">
        <v>-59.469009999999997</v>
      </c>
      <c r="J5846">
        <v>-274.9171</v>
      </c>
      <c r="K5846">
        <v>1.1142129999999999</v>
      </c>
      <c r="L5846">
        <v>-62.569490000000002</v>
      </c>
      <c r="M5846">
        <v>0.98432240000000004</v>
      </c>
      <c r="N5846">
        <v>0</v>
      </c>
      <c r="O5846">
        <v>-0.17577679999999901</v>
      </c>
      <c r="P5846">
        <v>0.99747739999999996</v>
      </c>
      <c r="Q5846">
        <v>-4.4509590000000002E-2</v>
      </c>
      <c r="R5846">
        <v>-5.5299729999999998E-2</v>
      </c>
      <c r="S5846">
        <v>3.0297239999999999</v>
      </c>
      <c r="T5846">
        <v>-0.17920429999999901</v>
      </c>
      <c r="U5846">
        <v>0.49670409999999998</v>
      </c>
      <c r="V5846">
        <v>-0.12065049999999999</v>
      </c>
      <c r="W5846">
        <v>-3.1098480000000001E-2</v>
      </c>
      <c r="X5846">
        <v>0.99220779999999997</v>
      </c>
      <c r="Y5846">
        <v>-0.3318759</v>
      </c>
      <c r="Z5846">
        <v>2.005852E-2</v>
      </c>
      <c r="AA5846">
        <v>0.9431098</v>
      </c>
      <c r="AB5846">
        <v>18</v>
      </c>
      <c r="AC5846">
        <v>18.749500000000001</v>
      </c>
      <c r="AD5846">
        <v>-1.11421498425799</v>
      </c>
      <c r="AE5846">
        <v>3.1004800000000001</v>
      </c>
      <c r="AF5846">
        <v>-6.3265243486904499</v>
      </c>
      <c r="AG5846">
        <v>-1.11421498425799</v>
      </c>
      <c r="AH5846">
        <v>17.851095494517299</v>
      </c>
      <c r="AI5846">
        <v>93.366927719433605</v>
      </c>
      <c r="AJ5846">
        <v>109.514600664965</v>
      </c>
      <c r="AK5846">
        <v>18.971768386739601</v>
      </c>
      <c r="AL5846">
        <v>91.782099001777695</v>
      </c>
      <c r="AM5846">
        <v>96.933016112798001</v>
      </c>
      <c r="AN5846">
        <v>0.99999998849469995</v>
      </c>
    </row>
    <row r="5847" spans="1:40" x14ac:dyDescent="0.3">
      <c r="A5847" t="str">
        <f>"20200111160620626"</f>
        <v>20200111160620626</v>
      </c>
      <c r="B5847" t="str">
        <f>"1578729980618264"</f>
        <v>1578729980618264</v>
      </c>
      <c r="C5847" t="s">
        <v>40</v>
      </c>
      <c r="D5847">
        <v>5.5633540000000004</v>
      </c>
      <c r="E5847">
        <v>0.41584660000000001</v>
      </c>
      <c r="F5847" t="s">
        <v>95</v>
      </c>
      <c r="G5847">
        <v>-256.56</v>
      </c>
      <c r="H5847" s="1">
        <v>-2.1476220000000002E-6</v>
      </c>
      <c r="I5847">
        <v>-59.491520000000001</v>
      </c>
      <c r="J5847">
        <v>-274.64080000000001</v>
      </c>
      <c r="K5847">
        <v>1.1140490000000001</v>
      </c>
      <c r="L5847">
        <v>-62.605409999999999</v>
      </c>
      <c r="M5847">
        <v>0.98613470000000003</v>
      </c>
      <c r="N5847">
        <v>0</v>
      </c>
      <c r="O5847">
        <v>-0.1653076</v>
      </c>
      <c r="P5847">
        <v>0.99807349999999995</v>
      </c>
      <c r="Q5847">
        <v>-4.5446500000000001E-2</v>
      </c>
      <c r="R5847">
        <v>-4.2238919999999999E-2</v>
      </c>
      <c r="S5847">
        <v>3.0275270000000001</v>
      </c>
      <c r="T5847">
        <v>-0.18376020000000001</v>
      </c>
      <c r="U5847">
        <v>0.50762940000000001</v>
      </c>
      <c r="V5847">
        <v>-0.1230897</v>
      </c>
      <c r="W5847">
        <v>-3.203023E-2</v>
      </c>
      <c r="X5847">
        <v>0.9918785</v>
      </c>
      <c r="Y5847">
        <v>-0.32525419999999999</v>
      </c>
      <c r="Z5847">
        <v>1.9749719999999998E-2</v>
      </c>
      <c r="AA5847">
        <v>0.94542029999999999</v>
      </c>
      <c r="AB5847">
        <v>18</v>
      </c>
      <c r="AC5847">
        <v>18.0808</v>
      </c>
      <c r="AD5847">
        <v>-1.1140511476220001</v>
      </c>
      <c r="AE5847">
        <v>3.11389</v>
      </c>
      <c r="AF5847">
        <v>-6.0379878296725504</v>
      </c>
      <c r="AG5847">
        <v>-1.1140511476220001</v>
      </c>
      <c r="AH5847">
        <v>17.253573067990501</v>
      </c>
      <c r="AI5847">
        <v>93.487584100534306</v>
      </c>
      <c r="AJ5847">
        <v>109.28778968409399</v>
      </c>
      <c r="AK5847">
        <v>18.313497497836899</v>
      </c>
      <c r="AL5847">
        <v>91.835510968581204</v>
      </c>
      <c r="AM5847">
        <v>97.074100085974493</v>
      </c>
      <c r="AN5847">
        <v>0.99999998432109605</v>
      </c>
    </row>
    <row r="5848" spans="1:40" x14ac:dyDescent="0.3">
      <c r="A5848" t="str">
        <f>"20200111160620635"</f>
        <v>20200111160620635</v>
      </c>
      <c r="B5848" t="str">
        <f>"1578729980628024"</f>
        <v>1578729980628024</v>
      </c>
      <c r="C5848" t="s">
        <v>40</v>
      </c>
      <c r="D5848">
        <v>5.6198139999999999</v>
      </c>
      <c r="E5848">
        <v>0.416024</v>
      </c>
      <c r="F5848" t="s">
        <v>95</v>
      </c>
      <c r="G5848">
        <v>-256.63709999999998</v>
      </c>
      <c r="H5848" s="1">
        <v>-2.2122440000000001E-6</v>
      </c>
      <c r="I5848">
        <v>-59.348939999999999</v>
      </c>
      <c r="J5848">
        <v>-274.55369999999999</v>
      </c>
      <c r="K5848">
        <v>1.113993</v>
      </c>
      <c r="L5848">
        <v>-62.61609</v>
      </c>
      <c r="M5848">
        <v>0.98666949999999998</v>
      </c>
      <c r="N5848">
        <v>0</v>
      </c>
      <c r="O5848">
        <v>-0.1620867</v>
      </c>
      <c r="P5848">
        <v>0.99823459999999997</v>
      </c>
      <c r="Q5848">
        <v>-4.5711069999999999E-2</v>
      </c>
      <c r="R5848">
        <v>-3.7925050000000002E-2</v>
      </c>
      <c r="S5848">
        <v>3.020416</v>
      </c>
      <c r="T5848">
        <v>-0.1869005</v>
      </c>
      <c r="U5848">
        <v>0.54632569999999903</v>
      </c>
      <c r="V5848">
        <v>-0.1241371</v>
      </c>
      <c r="W5848">
        <v>-3.2294389999999999E-2</v>
      </c>
      <c r="X5848">
        <v>0.99173940000000005</v>
      </c>
      <c r="Y5848">
        <v>-0.33422659999999998</v>
      </c>
      <c r="Z5848">
        <v>2.0192089999999999E-2</v>
      </c>
      <c r="AA5848">
        <v>0.94227640000000001</v>
      </c>
      <c r="AB5848">
        <v>18</v>
      </c>
      <c r="AC5848">
        <v>17.916599999999999</v>
      </c>
      <c r="AD5848">
        <v>-1.113995212244</v>
      </c>
      <c r="AE5848">
        <v>3.26715</v>
      </c>
      <c r="AF5848">
        <v>-6.1054433236936401</v>
      </c>
      <c r="AG5848">
        <v>-1.113995212244</v>
      </c>
      <c r="AH5848">
        <v>17.0860842855252</v>
      </c>
      <c r="AI5848">
        <v>93.513372221554206</v>
      </c>
      <c r="AJ5848">
        <v>109.663549598019</v>
      </c>
      <c r="AK5848">
        <v>18.1783304988057</v>
      </c>
      <c r="AL5848">
        <v>91.850654041222299</v>
      </c>
      <c r="AM5848">
        <v>97.1346679728277</v>
      </c>
      <c r="AN5848">
        <v>0.999999992367121</v>
      </c>
    </row>
    <row r="5849" spans="1:40" x14ac:dyDescent="0.3">
      <c r="A5849" t="str">
        <f>"20200111160620647"</f>
        <v>20200111160620647</v>
      </c>
      <c r="B5849" t="str">
        <f>"1578729980637784"</f>
        <v>1578729980637784</v>
      </c>
      <c r="C5849" t="s">
        <v>40</v>
      </c>
      <c r="D5849">
        <v>5.5530860000000004</v>
      </c>
      <c r="E5849">
        <v>0.41618179999999999</v>
      </c>
      <c r="F5849" t="s">
        <v>95</v>
      </c>
      <c r="G5849">
        <v>-256.88690000000003</v>
      </c>
      <c r="H5849" s="1">
        <v>-2.319394E-6</v>
      </c>
      <c r="I5849">
        <v>-59.34901</v>
      </c>
      <c r="J5849">
        <v>-274.46589999999998</v>
      </c>
      <c r="K5849">
        <v>1.1139289999999999</v>
      </c>
      <c r="L5849">
        <v>-62.626739999999998</v>
      </c>
      <c r="M5849">
        <v>0.98719369999999995</v>
      </c>
      <c r="N5849">
        <v>0</v>
      </c>
      <c r="O5849">
        <v>-0.158863</v>
      </c>
      <c r="P5849">
        <v>0.99836279999999999</v>
      </c>
      <c r="Q5849">
        <v>-4.6050359999999999E-2</v>
      </c>
      <c r="R5849">
        <v>-3.392999E-2</v>
      </c>
      <c r="S5849">
        <v>3.017792</v>
      </c>
      <c r="T5849">
        <v>-0.19028970000000001</v>
      </c>
      <c r="U5849">
        <v>0.55807499999999999</v>
      </c>
      <c r="V5849">
        <v>-0.1248659</v>
      </c>
      <c r="W5849">
        <v>-3.2629680000000001E-2</v>
      </c>
      <c r="X5849">
        <v>0.99163690000000004</v>
      </c>
      <c r="Y5849">
        <v>-0.33481270000000002</v>
      </c>
      <c r="Z5849">
        <v>2.038622E-2</v>
      </c>
      <c r="AA5849">
        <v>0.94206409999999996</v>
      </c>
      <c r="AB5849">
        <v>18</v>
      </c>
      <c r="AC5849">
        <v>17.578999999999901</v>
      </c>
      <c r="AD5849">
        <v>-1.1139313193939999</v>
      </c>
      <c r="AE5849">
        <v>3.27773</v>
      </c>
      <c r="AF5849">
        <v>-6.00573843077047</v>
      </c>
      <c r="AG5849">
        <v>-1.1139313193939999</v>
      </c>
      <c r="AH5849">
        <v>16.769870176367998</v>
      </c>
      <c r="AI5849">
        <v>93.578348164001497</v>
      </c>
      <c r="AJ5849">
        <v>109.703802312653</v>
      </c>
      <c r="AK5849">
        <v>17.8476408193183</v>
      </c>
      <c r="AL5849">
        <v>91.869874924120197</v>
      </c>
      <c r="AM5849">
        <v>97.176853693638407</v>
      </c>
      <c r="AN5849">
        <v>0.99999996522066004</v>
      </c>
    </row>
    <row r="5850" spans="1:40" x14ac:dyDescent="0.3">
      <c r="A5850" t="str">
        <f>"20200111160620658"</f>
        <v>20200111160620658</v>
      </c>
      <c r="B5850" t="str">
        <f>"1578729980648521"</f>
        <v>1578729980648521</v>
      </c>
      <c r="C5850" t="s">
        <v>40</v>
      </c>
      <c r="D5850">
        <v>5.660323</v>
      </c>
      <c r="E5850">
        <v>0.41642089999999998</v>
      </c>
      <c r="F5850" t="s">
        <v>95</v>
      </c>
      <c r="G5850">
        <v>-257.09460000000001</v>
      </c>
      <c r="H5850" s="1">
        <v>-2.4085049999999998E-6</v>
      </c>
      <c r="I5850">
        <v>-59.348979999999997</v>
      </c>
      <c r="J5850">
        <v>-274.37670000000003</v>
      </c>
      <c r="K5850">
        <v>1.1138600000000001</v>
      </c>
      <c r="L5850">
        <v>-62.637210000000003</v>
      </c>
      <c r="M5850">
        <v>0.98770720000000001</v>
      </c>
      <c r="N5850">
        <v>0</v>
      </c>
      <c r="O5850">
        <v>-0.15563949999999999</v>
      </c>
      <c r="P5850">
        <v>0.99846460000000004</v>
      </c>
      <c r="Q5850">
        <v>-4.6609640000000001E-2</v>
      </c>
      <c r="R5850">
        <v>-2.9931559999999999E-2</v>
      </c>
      <c r="S5850">
        <v>3.0153810000000001</v>
      </c>
      <c r="T5850">
        <v>-0.19336149999999999</v>
      </c>
      <c r="U5850">
        <v>0.56896969999999902</v>
      </c>
      <c r="V5850">
        <v>-0.12559600000000001</v>
      </c>
      <c r="W5850">
        <v>-3.3184949999999998E-2</v>
      </c>
      <c r="X5850">
        <v>0.99152629999999997</v>
      </c>
      <c r="Y5850">
        <v>-0.33513540000000003</v>
      </c>
      <c r="Z5850">
        <v>2.0530799999999998E-2</v>
      </c>
      <c r="AA5850">
        <v>0.94194630000000001</v>
      </c>
      <c r="AB5850">
        <v>18</v>
      </c>
      <c r="AC5850">
        <v>17.2821</v>
      </c>
      <c r="AD5850">
        <v>-1.113862408505</v>
      </c>
      <c r="AE5850">
        <v>3.2882299999999902</v>
      </c>
      <c r="AF5850">
        <v>-5.9145011990535403</v>
      </c>
      <c r="AG5850">
        <v>-1.113862408505</v>
      </c>
      <c r="AH5850">
        <v>16.493501012055098</v>
      </c>
      <c r="AI5850">
        <v>93.637383141955496</v>
      </c>
      <c r="AJ5850">
        <v>109.72762351707399</v>
      </c>
      <c r="AK5850">
        <v>17.5572660039468</v>
      </c>
      <c r="AL5850">
        <v>91.901706727132805</v>
      </c>
      <c r="AM5850">
        <v>97.219172599741199</v>
      </c>
      <c r="AN5850">
        <v>0.99999999985709598</v>
      </c>
    </row>
    <row r="5851" spans="1:40" x14ac:dyDescent="0.3">
      <c r="A5851" t="str">
        <f>"20200111160620669"</f>
        <v>20200111160620669</v>
      </c>
      <c r="B5851" t="str">
        <f>"1578729980658281"</f>
        <v>1578729980658281</v>
      </c>
      <c r="C5851" t="s">
        <v>40</v>
      </c>
      <c r="D5851">
        <v>5.5724499999999999</v>
      </c>
      <c r="E5851">
        <v>0.41654390000000002</v>
      </c>
      <c r="F5851" t="s">
        <v>95</v>
      </c>
      <c r="G5851">
        <v>-257.351</v>
      </c>
      <c r="H5851" s="1">
        <v>-2.5151229999999999E-6</v>
      </c>
      <c r="I5851">
        <v>-59.364089999999997</v>
      </c>
      <c r="J5851">
        <v>-274.29349999999999</v>
      </c>
      <c r="K5851">
        <v>1.113794</v>
      </c>
      <c r="L5851">
        <v>-62.646790000000003</v>
      </c>
      <c r="M5851">
        <v>0.98817089999999996</v>
      </c>
      <c r="N5851">
        <v>0</v>
      </c>
      <c r="O5851">
        <v>-0.15266759999999999</v>
      </c>
      <c r="P5851">
        <v>0.99853890000000001</v>
      </c>
      <c r="Q5851">
        <v>-4.7093500000000003E-2</v>
      </c>
      <c r="R5851">
        <v>-2.6496619999999999E-2</v>
      </c>
      <c r="S5851">
        <v>3.0127869999999999</v>
      </c>
      <c r="T5851">
        <v>-0.197103</v>
      </c>
      <c r="U5851">
        <v>0.57919309999999902</v>
      </c>
      <c r="V5851">
        <v>-0.1260223</v>
      </c>
      <c r="W5851">
        <v>-3.3662419999999998E-2</v>
      </c>
      <c r="X5851">
        <v>0.99145609999999995</v>
      </c>
      <c r="Y5851">
        <v>-0.33550049999999998</v>
      </c>
      <c r="Z5851">
        <v>2.075869E-2</v>
      </c>
      <c r="AA5851">
        <v>0.94181130000000002</v>
      </c>
      <c r="AB5851">
        <v>18</v>
      </c>
      <c r="AC5851">
        <v>16.9424999999999</v>
      </c>
      <c r="AD5851">
        <v>-1.113796515123</v>
      </c>
      <c r="AE5851">
        <v>3.28269999999999</v>
      </c>
      <c r="AF5851">
        <v>-5.8068666481670697</v>
      </c>
      <c r="AG5851">
        <v>-1.113796515123</v>
      </c>
      <c r="AH5851">
        <v>16.175260620700001</v>
      </c>
      <c r="AI5851">
        <v>93.708058999661802</v>
      </c>
      <c r="AJ5851">
        <v>109.747975115998</v>
      </c>
      <c r="AK5851">
        <v>17.222058503392201</v>
      </c>
      <c r="AL5851">
        <v>91.929079058969506</v>
      </c>
      <c r="AM5851">
        <v>97.243923639399696</v>
      </c>
      <c r="AN5851">
        <v>0.99999998842237803</v>
      </c>
    </row>
    <row r="5852" spans="1:40" x14ac:dyDescent="0.3">
      <c r="A5852" t="str">
        <f>"20200111160620679"</f>
        <v>20200111160620679</v>
      </c>
      <c r="B5852" t="str">
        <f>"1578729980668040"</f>
        <v>1578729980668040</v>
      </c>
      <c r="C5852" t="s">
        <v>40</v>
      </c>
      <c r="D5852">
        <v>5.6090140000000002</v>
      </c>
      <c r="E5852">
        <v>0.41678870000000001</v>
      </c>
      <c r="F5852" t="s">
        <v>95</v>
      </c>
      <c r="G5852">
        <v>-257.49869999999999</v>
      </c>
      <c r="H5852" s="1">
        <v>-2.5786179999999998E-6</v>
      </c>
      <c r="I5852">
        <v>-59.36345</v>
      </c>
      <c r="J5852">
        <v>-274.20580000000001</v>
      </c>
      <c r="K5852">
        <v>1.11372</v>
      </c>
      <c r="L5852">
        <v>-62.656709999999997</v>
      </c>
      <c r="M5852">
        <v>0.9886431</v>
      </c>
      <c r="N5852">
        <v>0</v>
      </c>
      <c r="O5852">
        <v>-0.14958050000000001</v>
      </c>
      <c r="P5852">
        <v>0.99858089999999999</v>
      </c>
      <c r="Q5852">
        <v>-4.7835540000000003E-2</v>
      </c>
      <c r="R5852">
        <v>-2.3409550000000001E-2</v>
      </c>
      <c r="S5852">
        <v>3.0105900000000001</v>
      </c>
      <c r="T5852">
        <v>-0.1996559</v>
      </c>
      <c r="U5852">
        <v>0.58856200000000003</v>
      </c>
      <c r="V5852">
        <v>-0.12598609999999999</v>
      </c>
      <c r="W5852">
        <v>-3.4393180000000002E-2</v>
      </c>
      <c r="X5852">
        <v>0.99143559999999997</v>
      </c>
      <c r="Y5852">
        <v>-0.33549089999999998</v>
      </c>
      <c r="Z5852">
        <v>2.0833830000000001E-2</v>
      </c>
      <c r="AA5852">
        <v>0.94181309999999996</v>
      </c>
      <c r="AB5852">
        <v>18</v>
      </c>
      <c r="AC5852">
        <v>16.707100000000001</v>
      </c>
      <c r="AD5852">
        <v>-1.1137225786180001</v>
      </c>
      <c r="AE5852">
        <v>3.2932599999999899</v>
      </c>
      <c r="AF5852">
        <v>-5.7310061676779904</v>
      </c>
      <c r="AG5852">
        <v>-1.1137225786180001</v>
      </c>
      <c r="AH5852">
        <v>15.9581763143477</v>
      </c>
      <c r="AI5852">
        <v>93.757953810011003</v>
      </c>
      <c r="AJ5852">
        <v>109.75456507201601</v>
      </c>
      <c r="AK5852">
        <v>16.992592531920899</v>
      </c>
      <c r="AL5852">
        <v>91.970972824554096</v>
      </c>
      <c r="AM5852">
        <v>97.242013061758101</v>
      </c>
      <c r="AN5852">
        <v>0.99999996858553997</v>
      </c>
    </row>
    <row r="5853" spans="1:40" x14ac:dyDescent="0.3">
      <c r="A5853" t="str">
        <f>"20200111160620803"</f>
        <v>20200111160620803</v>
      </c>
      <c r="B5853" t="str">
        <f>"1578729980797851"</f>
        <v>1578729980797851</v>
      </c>
      <c r="C5853" t="s">
        <v>40</v>
      </c>
      <c r="D5853">
        <v>6.0048769999999996</v>
      </c>
      <c r="E5853">
        <v>0.41678870000000001</v>
      </c>
      <c r="F5853" t="s">
        <v>95</v>
      </c>
      <c r="G5853">
        <v>-257.7441</v>
      </c>
      <c r="H5853" s="1">
        <v>-2.6768459999999999E-6</v>
      </c>
      <c r="I5853">
        <v>-59.395499999999998</v>
      </c>
      <c r="J5853">
        <v>-273.23180000000002</v>
      </c>
      <c r="K5853">
        <v>1.112859</v>
      </c>
      <c r="L5853">
        <v>-62.753230000000002</v>
      </c>
      <c r="M5853">
        <v>0.99277800000000005</v>
      </c>
      <c r="N5853">
        <v>0</v>
      </c>
      <c r="O5853">
        <v>-0.119103399999999</v>
      </c>
      <c r="P5853">
        <v>0.99887479999999995</v>
      </c>
      <c r="Q5853">
        <v>-4.7344860000000002E-2</v>
      </c>
      <c r="R5853">
        <v>-2.7963670000000001E-3</v>
      </c>
      <c r="S5853">
        <v>3.0084840000000002</v>
      </c>
      <c r="T5853">
        <v>-0.20354040000000001</v>
      </c>
      <c r="U5853">
        <v>0.59600830000000005</v>
      </c>
      <c r="V5853">
        <v>-0.1160264</v>
      </c>
      <c r="W5853">
        <v>-3.371495E-2</v>
      </c>
      <c r="X5853">
        <v>0.99267380000000005</v>
      </c>
      <c r="Y5853">
        <v>-0.308847599999999</v>
      </c>
      <c r="Z5853">
        <v>1.8317150000000001E-2</v>
      </c>
      <c r="AA5853">
        <v>0.95093510000000003</v>
      </c>
      <c r="AB5853">
        <v>18</v>
      </c>
      <c r="AC5853">
        <v>15.4877</v>
      </c>
      <c r="AD5853">
        <v>-1.112861676846</v>
      </c>
      <c r="AE5853">
        <v>3.3577300000000001</v>
      </c>
      <c r="AF5853">
        <v>-5.1532400629874697</v>
      </c>
      <c r="AG5853">
        <v>-1.112861676846</v>
      </c>
      <c r="AH5853">
        <v>14.9039792872411</v>
      </c>
      <c r="AI5853">
        <v>94.036640671885493</v>
      </c>
      <c r="AJ5853">
        <v>109.073476373931</v>
      </c>
      <c r="AK5853">
        <v>15.8089513521006</v>
      </c>
      <c r="AL5853">
        <v>91.932090399988994</v>
      </c>
      <c r="AM5853">
        <v>96.666636670913107</v>
      </c>
      <c r="AN5853">
        <v>1.0000000482784499</v>
      </c>
    </row>
    <row r="5854" spans="1:40" x14ac:dyDescent="0.3">
      <c r="A5854" t="str">
        <f>"20200111160620815"</f>
        <v>20200111160620815</v>
      </c>
      <c r="B5854" t="str">
        <f>"1578729980808584"</f>
        <v>1578729980808584</v>
      </c>
      <c r="C5854" t="s">
        <v>40</v>
      </c>
      <c r="D5854">
        <v>5.9084940000000001</v>
      </c>
      <c r="E5854">
        <v>0.53039389999999997</v>
      </c>
      <c r="F5854" t="s">
        <v>95</v>
      </c>
      <c r="G5854">
        <v>-256.76979999999998</v>
      </c>
      <c r="H5854" s="1">
        <v>-2.3159160000000002E-6</v>
      </c>
      <c r="I5854">
        <v>-59.137520000000002</v>
      </c>
      <c r="J5854">
        <v>-273.14159999999998</v>
      </c>
      <c r="K5854">
        <v>1.1127750000000001</v>
      </c>
      <c r="L5854">
        <v>-62.761049999999997</v>
      </c>
      <c r="M5854">
        <v>0.99306470000000002</v>
      </c>
      <c r="N5854">
        <v>0</v>
      </c>
      <c r="O5854">
        <v>-0.1166914</v>
      </c>
      <c r="P5854">
        <v>0.99886520000000001</v>
      </c>
      <c r="Q5854">
        <v>-4.7610380000000001E-2</v>
      </c>
      <c r="R5854">
        <v>-1.4639189999999999E-3</v>
      </c>
      <c r="S5854">
        <v>2.9956049999999999</v>
      </c>
      <c r="T5854">
        <v>-0.20250950000000001</v>
      </c>
      <c r="U5854">
        <v>0.65795899999999996</v>
      </c>
      <c r="V5854">
        <v>-0.1149433</v>
      </c>
      <c r="W5854">
        <v>-3.3964999999999898E-2</v>
      </c>
      <c r="X5854">
        <v>0.99279119999999998</v>
      </c>
      <c r="Y5854">
        <v>-0.32607849999999999</v>
      </c>
      <c r="Z5854">
        <v>1.8679339999999999E-2</v>
      </c>
      <c r="AA5854">
        <v>0.9451581</v>
      </c>
      <c r="AB5854">
        <v>18</v>
      </c>
      <c r="AC5854">
        <v>16.3718</v>
      </c>
      <c r="AD5854">
        <v>-1.1127773159159999</v>
      </c>
      <c r="AE5854">
        <v>3.6235300000000001</v>
      </c>
      <c r="AF5854">
        <v>-5.4852569981512698</v>
      </c>
      <c r="AG5854">
        <v>-1.1127773159159999</v>
      </c>
      <c r="AH5854">
        <v>15.7676085261169</v>
      </c>
      <c r="AI5854">
        <v>93.813433361163106</v>
      </c>
      <c r="AJ5854">
        <v>109.181832774242</v>
      </c>
      <c r="AK5854">
        <v>16.731521040343601</v>
      </c>
      <c r="AL5854">
        <v>91.946425561637199</v>
      </c>
      <c r="AM5854">
        <v>96.604182268973801</v>
      </c>
      <c r="AN5854">
        <v>0.99999997511866401</v>
      </c>
    </row>
    <row r="5855" spans="1:40" x14ac:dyDescent="0.3">
      <c r="A5855" t="str">
        <f>"20200111160620826"</f>
        <v>20200111160620826</v>
      </c>
      <c r="B5855" t="str">
        <f>"1578729980818344"</f>
        <v>1578729980818344</v>
      </c>
      <c r="C5855" t="s">
        <v>40</v>
      </c>
      <c r="D5855">
        <v>5.9433069999999999</v>
      </c>
      <c r="E5855">
        <v>0.53240399999999999</v>
      </c>
      <c r="F5855" t="s">
        <v>95</v>
      </c>
      <c r="G5855">
        <v>-254.94370000000001</v>
      </c>
      <c r="H5855" s="1">
        <v>-2.1172650000000001E-6</v>
      </c>
      <c r="I5855">
        <v>-64.252399999999994</v>
      </c>
      <c r="J5855">
        <v>-273.05720000000002</v>
      </c>
      <c r="K5855">
        <v>1.1126959999999999</v>
      </c>
      <c r="L5855">
        <v>-62.768369999999997</v>
      </c>
      <c r="M5855">
        <v>0.99332450000000005</v>
      </c>
      <c r="N5855">
        <v>0</v>
      </c>
      <c r="O5855">
        <v>-0.1144608</v>
      </c>
      <c r="P5855">
        <v>0.99885570000000001</v>
      </c>
      <c r="Q5855">
        <v>-4.7828009999999997E-2</v>
      </c>
      <c r="R5855">
        <v>-2.6236180000000002E-4</v>
      </c>
      <c r="S5855">
        <v>2.9943240000000002</v>
      </c>
      <c r="T5855">
        <v>-0.18309919999999999</v>
      </c>
      <c r="U5855">
        <v>-0.24539179999999999</v>
      </c>
      <c r="V5855">
        <v>-0.11391229999999999</v>
      </c>
      <c r="W5855">
        <v>-3.4167889999999999E-2</v>
      </c>
      <c r="X5855">
        <v>0.99290310000000004</v>
      </c>
      <c r="Y5855">
        <v>-3.2676829999999997E-2</v>
      </c>
      <c r="Z5855">
        <v>7.9584649999999996E-3</v>
      </c>
      <c r="AA5855">
        <v>0.9994343</v>
      </c>
      <c r="AB5855">
        <v>18</v>
      </c>
      <c r="AC5855">
        <v>18.113499999999998</v>
      </c>
      <c r="AD5855">
        <v>-1.1126981172649999</v>
      </c>
      <c r="AE5855">
        <v>-1.48402999999999</v>
      </c>
      <c r="AF5855">
        <v>-0.59698608012828203</v>
      </c>
      <c r="AG5855">
        <v>-1.1126981172649999</v>
      </c>
      <c r="AH5855">
        <v>18.096477393583601</v>
      </c>
      <c r="AI5855">
        <v>93.516607799072204</v>
      </c>
      <c r="AJ5855">
        <v>91.8894496455801</v>
      </c>
      <c r="AK5855">
        <v>18.1404791429695</v>
      </c>
      <c r="AL5855">
        <v>91.958056982860001</v>
      </c>
      <c r="AM5855">
        <v>96.544730203405706</v>
      </c>
      <c r="AN5855">
        <v>1.00000001139397</v>
      </c>
    </row>
    <row r="5856" spans="1:40" x14ac:dyDescent="0.3">
      <c r="A5856" t="str">
        <f>"20200111160620836"</f>
        <v>20200111160620836</v>
      </c>
      <c r="B5856" t="str">
        <f>"1578729980828104"</f>
        <v>1578729980828104</v>
      </c>
      <c r="C5856" t="s">
        <v>40</v>
      </c>
      <c r="D5856">
        <v>5.8569639999999996</v>
      </c>
      <c r="E5856">
        <v>0.53240399999999999</v>
      </c>
      <c r="F5856" t="s">
        <v>94</v>
      </c>
      <c r="G5856">
        <v>-249.42850000000001</v>
      </c>
      <c r="H5856" s="1">
        <v>-3.8685100000000002E-6</v>
      </c>
      <c r="I5856">
        <v>-64.814189999999996</v>
      </c>
      <c r="J5856">
        <v>-272.96629999999999</v>
      </c>
      <c r="K5856">
        <v>1.112606</v>
      </c>
      <c r="L5856">
        <v>-62.776029999999999</v>
      </c>
      <c r="M5856">
        <v>0.99358559999999996</v>
      </c>
      <c r="N5856">
        <v>0</v>
      </c>
      <c r="O5856">
        <v>-0.11217249999999999</v>
      </c>
      <c r="P5856">
        <v>0.99887159999999997</v>
      </c>
      <c r="Q5856">
        <v>-4.748608E-2</v>
      </c>
      <c r="R5856">
        <v>9.0599889999999996E-4</v>
      </c>
      <c r="S5856">
        <v>2.996613</v>
      </c>
      <c r="T5856">
        <v>-0.1411135</v>
      </c>
      <c r="U5856">
        <v>-0.25946039999999998</v>
      </c>
      <c r="V5856">
        <v>-0.1127977</v>
      </c>
      <c r="W5856">
        <v>-3.3809060000000002E-2</v>
      </c>
      <c r="X5856">
        <v>0.9930426</v>
      </c>
      <c r="Y5856">
        <v>-2.5897440000000001E-2</v>
      </c>
      <c r="Z5856">
        <v>5.8636690000000002E-3</v>
      </c>
      <c r="AA5856">
        <v>0.99964739999999996</v>
      </c>
      <c r="AB5856">
        <v>18</v>
      </c>
      <c r="AC5856">
        <v>23.537799999999901</v>
      </c>
      <c r="AD5856">
        <v>-1.1126098685100001</v>
      </c>
      <c r="AE5856">
        <v>-2.03815999999998</v>
      </c>
      <c r="AF5856">
        <v>-0.61390901979610202</v>
      </c>
      <c r="AG5856">
        <v>-1.1126098685100001</v>
      </c>
      <c r="AH5856">
        <v>23.565603133113399</v>
      </c>
      <c r="AI5856">
        <v>92.7022000455745</v>
      </c>
      <c r="AJ5856">
        <v>91.492278459923199</v>
      </c>
      <c r="AK5856">
        <v>23.599839745886001</v>
      </c>
      <c r="AL5856">
        <v>91.937485695177898</v>
      </c>
      <c r="AM5856">
        <v>96.480336671066098</v>
      </c>
      <c r="AN5856">
        <v>0.99999998953906599</v>
      </c>
    </row>
    <row r="5857" spans="1:40" x14ac:dyDescent="0.3">
      <c r="A5857" t="str">
        <f>"20200111160620849"</f>
        <v>20200111160620849</v>
      </c>
      <c r="B5857" t="str">
        <f>"1578729980837864"</f>
        <v>1578729980837864</v>
      </c>
      <c r="C5857" t="s">
        <v>40</v>
      </c>
      <c r="D5857">
        <v>5.9239610000000003</v>
      </c>
      <c r="E5857">
        <v>0.52650739999999996</v>
      </c>
      <c r="F5857" t="s">
        <v>94</v>
      </c>
      <c r="G5857">
        <v>-249.1686</v>
      </c>
      <c r="H5857" s="1">
        <v>-3.7790959999999998E-6</v>
      </c>
      <c r="I5857">
        <v>-64.80865</v>
      </c>
      <c r="J5857">
        <v>-272.87490000000003</v>
      </c>
      <c r="K5857">
        <v>1.112517</v>
      </c>
      <c r="L5857">
        <v>-62.783659999999998</v>
      </c>
      <c r="M5857">
        <v>0.99383679999999996</v>
      </c>
      <c r="N5857">
        <v>0</v>
      </c>
      <c r="O5857">
        <v>-0.109926</v>
      </c>
      <c r="P5857">
        <v>0.99890919999999905</v>
      </c>
      <c r="Q5857">
        <v>-4.6650509999999999E-2</v>
      </c>
      <c r="R5857">
        <v>2.002541E-3</v>
      </c>
      <c r="S5857">
        <v>2.996918</v>
      </c>
      <c r="T5857">
        <v>-0.14011419999999999</v>
      </c>
      <c r="U5857">
        <v>-0.25598140000000003</v>
      </c>
      <c r="V5857">
        <v>-0.1116592</v>
      </c>
      <c r="W5857">
        <v>-3.2956630000000001E-2</v>
      </c>
      <c r="X5857">
        <v>0.99319990000000002</v>
      </c>
      <c r="Y5857">
        <v>-2.4803789999999999E-2</v>
      </c>
      <c r="Z5857">
        <v>5.6924119999999896E-3</v>
      </c>
      <c r="AA5857">
        <v>0.99967609999999996</v>
      </c>
      <c r="AB5857">
        <v>18</v>
      </c>
      <c r="AC5857">
        <v>23.706299999999999</v>
      </c>
      <c r="AD5857">
        <v>-1.1125207790959999</v>
      </c>
      <c r="AE5857">
        <v>-2.0249899999999998</v>
      </c>
      <c r="AF5857">
        <v>-0.59219511525935598</v>
      </c>
      <c r="AG5857">
        <v>-1.1125207790959999</v>
      </c>
      <c r="AH5857">
        <v>23.733336026276099</v>
      </c>
      <c r="AI5857">
        <v>92.682991039208702</v>
      </c>
      <c r="AJ5857">
        <v>91.429349908177201</v>
      </c>
      <c r="AK5857">
        <v>23.7667758956614</v>
      </c>
      <c r="AL5857">
        <v>91.888617834859801</v>
      </c>
      <c r="AM5857">
        <v>96.414469230272502</v>
      </c>
      <c r="AN5857">
        <v>0.99999997888280301</v>
      </c>
    </row>
    <row r="5858" spans="1:40" x14ac:dyDescent="0.3">
      <c r="A5858" t="str">
        <f>"20200111160620858"</f>
        <v>20200111160620858</v>
      </c>
      <c r="B5858" t="str">
        <f>"1578729980848600"</f>
        <v>1578729980848600</v>
      </c>
      <c r="C5858" t="s">
        <v>40</v>
      </c>
      <c r="D5858">
        <v>6.0773979999999996</v>
      </c>
      <c r="E5858">
        <v>0.52650739999999996</v>
      </c>
      <c r="F5858" t="s">
        <v>42</v>
      </c>
      <c r="G5858">
        <v>-272.04610000000002</v>
      </c>
      <c r="H5858">
        <v>1.0065230000000001</v>
      </c>
      <c r="I5858">
        <v>-62.838279999999997</v>
      </c>
      <c r="J5858">
        <v>-272.79660000000001</v>
      </c>
      <c r="K5858">
        <v>1.1124430000000001</v>
      </c>
      <c r="L5858">
        <v>-62.790069999999901</v>
      </c>
      <c r="M5858">
        <v>0.99404110000000001</v>
      </c>
      <c r="N5858">
        <v>0</v>
      </c>
      <c r="O5858">
        <v>-0.1080658</v>
      </c>
      <c r="P5858">
        <v>0.99892349999999996</v>
      </c>
      <c r="Q5858">
        <v>-4.6330070000000001E-2</v>
      </c>
      <c r="R5858">
        <v>2.3642559999999999E-3</v>
      </c>
      <c r="S5858">
        <v>2.9858699999999998</v>
      </c>
      <c r="T5858">
        <v>-0.38207400000000002</v>
      </c>
      <c r="U5858">
        <v>-0.1961975</v>
      </c>
      <c r="V5858">
        <v>-0.1101699</v>
      </c>
      <c r="W5858">
        <v>-3.2619549999999997E-2</v>
      </c>
      <c r="X5858">
        <v>0.99337730000000002</v>
      </c>
      <c r="Y5858">
        <v>-4.1451759999999997E-2</v>
      </c>
      <c r="Z5858">
        <v>1.636487E-2</v>
      </c>
      <c r="AA5858">
        <v>0.99900650000000002</v>
      </c>
      <c r="AB5858">
        <v>18</v>
      </c>
      <c r="AC5858">
        <v>0.75049999999998795</v>
      </c>
      <c r="AD5858">
        <v>-0.10592</v>
      </c>
      <c r="AE5858">
        <v>-4.8210000000011598E-2</v>
      </c>
      <c r="AF5858">
        <v>-3.2538594171917297E-2</v>
      </c>
      <c r="AG5858">
        <v>-0.10592</v>
      </c>
      <c r="AH5858">
        <v>0.73670076159166498</v>
      </c>
      <c r="AI5858">
        <v>98.173836803220198</v>
      </c>
      <c r="AJ5858">
        <v>92.528995918628894</v>
      </c>
      <c r="AK5858">
        <v>0.74498712649308496</v>
      </c>
      <c r="AL5858">
        <v>91.8692942352572</v>
      </c>
      <c r="AM5858">
        <v>96.328491476235698</v>
      </c>
      <c r="AN5858">
        <v>0.99999995103174999</v>
      </c>
    </row>
    <row r="5859" spans="1:40" x14ac:dyDescent="0.3">
      <c r="A5859" t="str">
        <f>"20200111160620870"</f>
        <v>20200111160620870</v>
      </c>
      <c r="B5859" t="str">
        <f>"1578729980868120"</f>
        <v>1578729980868120</v>
      </c>
      <c r="C5859" t="s">
        <v>40</v>
      </c>
      <c r="D5859">
        <v>5.8986029999999996</v>
      </c>
      <c r="E5859">
        <v>0.53083829999999999</v>
      </c>
      <c r="F5859" t="s">
        <v>42</v>
      </c>
      <c r="G5859">
        <v>-272.041</v>
      </c>
      <c r="H5859">
        <v>1.0160049999999901</v>
      </c>
      <c r="I5859">
        <v>-62.83954</v>
      </c>
      <c r="J5859">
        <v>-272.70949999999999</v>
      </c>
      <c r="K5859">
        <v>1.112358</v>
      </c>
      <c r="L5859">
        <v>-62.797179999999997</v>
      </c>
      <c r="M5859">
        <v>0.99425669999999999</v>
      </c>
      <c r="N5859">
        <v>0</v>
      </c>
      <c r="O5859">
        <v>-0.1060657</v>
      </c>
      <c r="P5859">
        <v>0.99892130000000001</v>
      </c>
      <c r="Q5859">
        <v>-4.6362519999999997E-2</v>
      </c>
      <c r="R5859">
        <v>2.613134E-3</v>
      </c>
      <c r="S5859">
        <v>2.9860530000000001</v>
      </c>
      <c r="T5859">
        <v>-0.38131140000000002</v>
      </c>
      <c r="U5859">
        <v>-0.19485469999999999</v>
      </c>
      <c r="V5859">
        <v>-0.10842599999999999</v>
      </c>
      <c r="W5859">
        <v>-3.263858E-2</v>
      </c>
      <c r="X5859">
        <v>0.99356860000000002</v>
      </c>
      <c r="Y5859">
        <v>-3.9926219999999998E-2</v>
      </c>
      <c r="Z5859">
        <v>1.598231E-2</v>
      </c>
      <c r="AA5859">
        <v>0.99907480000000004</v>
      </c>
      <c r="AB5859">
        <v>18</v>
      </c>
      <c r="AC5859">
        <v>0.66849999999999399</v>
      </c>
      <c r="AD5859">
        <v>-9.6353000000000105E-2</v>
      </c>
      <c r="AE5859">
        <v>-4.2359999999994999E-2</v>
      </c>
      <c r="AF5859">
        <v>-2.8207489824393899E-2</v>
      </c>
      <c r="AG5859">
        <v>-9.6353000000000105E-2</v>
      </c>
      <c r="AH5859">
        <v>0.65565535586708301</v>
      </c>
      <c r="AI5859">
        <v>98.352546102403295</v>
      </c>
      <c r="AJ5859">
        <v>92.463449887323705</v>
      </c>
      <c r="AK5859">
        <v>0.66329745119997596</v>
      </c>
      <c r="AL5859">
        <v>91.870385028372098</v>
      </c>
      <c r="AM5859">
        <v>96.227920428495096</v>
      </c>
      <c r="AN5859">
        <v>1.0000000186431801</v>
      </c>
    </row>
    <row r="5860" spans="1:40" x14ac:dyDescent="0.3">
      <c r="A5860" t="str">
        <f>"20200111160620881"</f>
        <v>20200111160620881</v>
      </c>
      <c r="B5860" t="str">
        <f>"1578729980877880"</f>
        <v>1578729980877880</v>
      </c>
      <c r="C5860" t="s">
        <v>40</v>
      </c>
      <c r="D5860">
        <v>5.8466189999999996</v>
      </c>
      <c r="E5860">
        <v>0.53046759999999904</v>
      </c>
      <c r="F5860" t="s">
        <v>95</v>
      </c>
      <c r="G5860">
        <v>-256.5643</v>
      </c>
      <c r="H5860" s="1">
        <v>-2.7493219999999998E-6</v>
      </c>
      <c r="I5860">
        <v>-64.067179999999993</v>
      </c>
      <c r="J5860">
        <v>-272.61880000000002</v>
      </c>
      <c r="K5860">
        <v>1.112266</v>
      </c>
      <c r="L5860">
        <v>-62.804470000000002</v>
      </c>
      <c r="M5860">
        <v>0.99447090000000005</v>
      </c>
      <c r="N5860">
        <v>0</v>
      </c>
      <c r="O5860">
        <v>-0.1040416</v>
      </c>
      <c r="P5860">
        <v>0.99889249999999996</v>
      </c>
      <c r="Q5860">
        <v>-4.6971579999999999E-2</v>
      </c>
      <c r="R5860">
        <v>2.7179880000000002E-3</v>
      </c>
      <c r="S5860">
        <v>2.9942929999999999</v>
      </c>
      <c r="T5860">
        <v>-0.2062985</v>
      </c>
      <c r="U5860">
        <v>-0.23553470000000001</v>
      </c>
      <c r="V5860">
        <v>-0.1065106</v>
      </c>
      <c r="W5860">
        <v>-3.323802E-2</v>
      </c>
      <c r="X5860">
        <v>0.99375590000000003</v>
      </c>
      <c r="Y5860">
        <v>-2.5434689999999999E-2</v>
      </c>
      <c r="Z5860">
        <v>8.0062060000000001E-3</v>
      </c>
      <c r="AA5860">
        <v>0.99964439999999999</v>
      </c>
      <c r="AB5860">
        <v>18</v>
      </c>
      <c r="AC5860">
        <v>16.054500000000001</v>
      </c>
      <c r="AD5860">
        <v>-1.112268749322</v>
      </c>
      <c r="AE5860">
        <v>-1.26271000000001</v>
      </c>
      <c r="AF5860">
        <v>-0.41268098008472998</v>
      </c>
      <c r="AG5860">
        <v>-1.112268749322</v>
      </c>
      <c r="AH5860">
        <v>16.022309771373799</v>
      </c>
      <c r="AI5860">
        <v>93.969789755431407</v>
      </c>
      <c r="AJ5860">
        <v>91.475420969420298</v>
      </c>
      <c r="AK5860">
        <v>16.0661712231603</v>
      </c>
      <c r="AL5860">
        <v>91.904749032503702</v>
      </c>
      <c r="AM5860">
        <v>96.117598564382902</v>
      </c>
      <c r="AN5860">
        <v>1.0000000313353401</v>
      </c>
    </row>
    <row r="5861" spans="1:40" x14ac:dyDescent="0.3">
      <c r="A5861" t="str">
        <f>"20200111160620893"</f>
        <v>20200111160620893</v>
      </c>
      <c r="B5861" t="str">
        <f>"1578729980888616"</f>
        <v>1578729980888616</v>
      </c>
      <c r="C5861" t="s">
        <v>40</v>
      </c>
      <c r="D5861">
        <v>5.8958719999999998</v>
      </c>
      <c r="E5861">
        <v>0.53020659999999997</v>
      </c>
      <c r="F5861" t="s">
        <v>95</v>
      </c>
      <c r="G5861">
        <v>-259.4479</v>
      </c>
      <c r="H5861" s="1">
        <v>-3.6973740000000001E-6</v>
      </c>
      <c r="I5861">
        <v>-63.818289999999998</v>
      </c>
      <c r="J5861">
        <v>-272.52699999999999</v>
      </c>
      <c r="K5861">
        <v>1.112166</v>
      </c>
      <c r="L5861">
        <v>-62.811709999999998</v>
      </c>
      <c r="M5861">
        <v>0.99467110000000003</v>
      </c>
      <c r="N5861">
        <v>0</v>
      </c>
      <c r="O5861">
        <v>-0.102115</v>
      </c>
      <c r="P5861">
        <v>0.99886779999999997</v>
      </c>
      <c r="Q5861">
        <v>-4.7495370000000002E-2</v>
      </c>
      <c r="R5861">
        <v>2.691396E-3</v>
      </c>
      <c r="S5861">
        <v>2.9920960000000001</v>
      </c>
      <c r="T5861">
        <v>-0.25268099999999999</v>
      </c>
      <c r="U5861">
        <v>-0.2303162</v>
      </c>
      <c r="V5861">
        <v>-0.1045624</v>
      </c>
      <c r="W5861">
        <v>-3.3767419999999999E-2</v>
      </c>
      <c r="X5861">
        <v>0.99394490000000002</v>
      </c>
      <c r="Y5861">
        <v>-2.5029470000000002E-2</v>
      </c>
      <c r="Z5861">
        <v>9.6302130000000003E-3</v>
      </c>
      <c r="AA5861">
        <v>0.99964030000000004</v>
      </c>
      <c r="AB5861">
        <v>18</v>
      </c>
      <c r="AC5861">
        <v>13.079099999999899</v>
      </c>
      <c r="AD5861">
        <v>-1.1121696973739901</v>
      </c>
      <c r="AE5861">
        <v>-1.00658</v>
      </c>
      <c r="AF5861">
        <v>-0.33200350807426598</v>
      </c>
      <c r="AG5861">
        <v>-1.1121696973739901</v>
      </c>
      <c r="AH5861">
        <v>13.0199236304171</v>
      </c>
      <c r="AI5861">
        <v>94.880808945133197</v>
      </c>
      <c r="AJ5861">
        <v>91.4607058345007</v>
      </c>
      <c r="AK5861">
        <v>13.071555343838201</v>
      </c>
      <c r="AL5861">
        <v>91.935098517174495</v>
      </c>
      <c r="AM5861">
        <v>96.005392503209904</v>
      </c>
      <c r="AN5861">
        <v>0.99999999919161298</v>
      </c>
    </row>
    <row r="5862" spans="1:40" x14ac:dyDescent="0.3">
      <c r="A5862" t="str">
        <f>"20200111160620904"</f>
        <v>20200111160620904</v>
      </c>
      <c r="B5862" t="str">
        <f>"1578729980898376"</f>
        <v>1578729980898376</v>
      </c>
      <c r="C5862" t="s">
        <v>40</v>
      </c>
      <c r="D5862">
        <v>5.9052670000000003</v>
      </c>
      <c r="E5862">
        <v>0.52982859999999998</v>
      </c>
      <c r="F5862" t="s">
        <v>96</v>
      </c>
      <c r="G5862">
        <v>-260.5849</v>
      </c>
      <c r="H5862" s="1">
        <v>-1.4349360000000001E-7</v>
      </c>
      <c r="I5862">
        <v>-63.718490000000003</v>
      </c>
      <c r="J5862">
        <v>-272.43950000000001</v>
      </c>
      <c r="K5862">
        <v>1.1120620000000001</v>
      </c>
      <c r="L5862">
        <v>-62.818600000000004</v>
      </c>
      <c r="M5862">
        <v>0.9948553</v>
      </c>
      <c r="N5862">
        <v>0</v>
      </c>
      <c r="O5862">
        <v>-0.1003117</v>
      </c>
      <c r="P5862">
        <v>0.99883239999999995</v>
      </c>
      <c r="Q5862">
        <v>-4.8223799999999997E-2</v>
      </c>
      <c r="R5862">
        <v>2.887676E-3</v>
      </c>
      <c r="S5862">
        <v>2.9907840000000001</v>
      </c>
      <c r="T5862">
        <v>-0.27852949999999999</v>
      </c>
      <c r="U5862">
        <v>-0.2271118</v>
      </c>
      <c r="V5862">
        <v>-0.1029577</v>
      </c>
      <c r="W5862">
        <v>-3.4508070000000002E-2</v>
      </c>
      <c r="X5862">
        <v>0.99408700000000005</v>
      </c>
      <c r="Y5862">
        <v>-2.416304E-2</v>
      </c>
      <c r="Z5862">
        <v>1.04099E-2</v>
      </c>
      <c r="AA5862">
        <v>0.99965380000000004</v>
      </c>
      <c r="AB5862">
        <v>18</v>
      </c>
      <c r="AC5862">
        <v>11.8546</v>
      </c>
      <c r="AD5862">
        <v>-1.1120621434936</v>
      </c>
      <c r="AE5862">
        <v>-0.89988999999999897</v>
      </c>
      <c r="AF5862">
        <v>-0.291374792536294</v>
      </c>
      <c r="AG5862">
        <v>-1.1120621434936</v>
      </c>
      <c r="AH5862">
        <v>11.781984822391101</v>
      </c>
      <c r="AI5862">
        <v>95.390344363618297</v>
      </c>
      <c r="AJ5862">
        <v>91.416666538860696</v>
      </c>
      <c r="AK5862">
        <v>11.8379368065458</v>
      </c>
      <c r="AL5862">
        <v>91.977559326715905</v>
      </c>
      <c r="AM5862">
        <v>95.913047700917701</v>
      </c>
      <c r="AN5862">
        <v>1.0000000292266999</v>
      </c>
    </row>
    <row r="5863" spans="1:40" x14ac:dyDescent="0.3">
      <c r="A5863" t="str">
        <f>"20200111160620914"</f>
        <v>20200111160620914</v>
      </c>
      <c r="B5863" t="str">
        <f>"1578729980908136"</f>
        <v>1578729980908136</v>
      </c>
      <c r="C5863" t="s">
        <v>40</v>
      </c>
      <c r="D5863">
        <v>9.4070400000000003</v>
      </c>
      <c r="E5863">
        <v>0.52982859999999998</v>
      </c>
      <c r="F5863" t="s">
        <v>42</v>
      </c>
      <c r="G5863">
        <v>-271.5668</v>
      </c>
      <c r="H5863">
        <v>1.02519</v>
      </c>
      <c r="I5863">
        <v>-62.883679999999998</v>
      </c>
      <c r="J5863">
        <v>-272.35509999999999</v>
      </c>
      <c r="K5863">
        <v>1.1119540000000001</v>
      </c>
      <c r="L5863">
        <v>-62.825099999999999</v>
      </c>
      <c r="M5863">
        <v>0.99501569999999995</v>
      </c>
      <c r="N5863">
        <v>0</v>
      </c>
      <c r="O5863">
        <v>-9.8717559999999996E-2</v>
      </c>
      <c r="P5863">
        <v>0.99880500000000005</v>
      </c>
      <c r="Q5863">
        <v>-4.8771439999999999E-2</v>
      </c>
      <c r="R5863">
        <v>3.1170299999999998E-3</v>
      </c>
      <c r="S5863">
        <v>2.9897459999999998</v>
      </c>
      <c r="T5863">
        <v>-0.29775580000000001</v>
      </c>
      <c r="U5863">
        <v>-0.22259519999999999</v>
      </c>
      <c r="V5863">
        <v>-0.10159700000000001</v>
      </c>
      <c r="W5863">
        <v>-3.509404E-2</v>
      </c>
      <c r="X5863">
        <v>0.99420640000000005</v>
      </c>
      <c r="Y5863">
        <v>-2.396887E-2</v>
      </c>
      <c r="Z5863">
        <v>1.096278E-2</v>
      </c>
      <c r="AA5863">
        <v>0.9996526</v>
      </c>
      <c r="AB5863">
        <v>18</v>
      </c>
      <c r="AC5863">
        <v>0.78829999999999201</v>
      </c>
      <c r="AD5863">
        <v>-8.6763999999999994E-2</v>
      </c>
      <c r="AE5863">
        <v>-5.8580000000006197E-2</v>
      </c>
      <c r="AF5863">
        <v>-1.9300446440662301E-2</v>
      </c>
      <c r="AG5863">
        <v>-8.6763999999999994E-2</v>
      </c>
      <c r="AH5863">
        <v>0.78082507330530204</v>
      </c>
      <c r="AI5863">
        <v>96.338681552909904</v>
      </c>
      <c r="AJ5863">
        <v>91.415949653517401</v>
      </c>
      <c r="AK5863">
        <v>0.78586786041359302</v>
      </c>
      <c r="AL5863">
        <v>92.011153434848595</v>
      </c>
      <c r="AM5863">
        <v>95.834747116345795</v>
      </c>
      <c r="AN5863">
        <v>0.99999995392673902</v>
      </c>
    </row>
    <row r="5864" spans="1:40" x14ac:dyDescent="0.3">
      <c r="A5864" t="str">
        <f>"20200111160620926"</f>
        <v>20200111160620926</v>
      </c>
      <c r="B5864" t="str">
        <f>"1578729980917896"</f>
        <v>1578729980917896</v>
      </c>
      <c r="C5864" t="s">
        <v>40</v>
      </c>
      <c r="D5864">
        <v>5.8772349999999998</v>
      </c>
      <c r="E5864">
        <v>0.53104849999999904</v>
      </c>
      <c r="F5864" t="s">
        <v>42</v>
      </c>
      <c r="G5864">
        <v>-271.5607</v>
      </c>
      <c r="H5864">
        <v>1.0324120000000001</v>
      </c>
      <c r="I5864">
        <v>-62.884169999999997</v>
      </c>
      <c r="J5864">
        <v>-272.26729999999998</v>
      </c>
      <c r="K5864">
        <v>1.1118429999999999</v>
      </c>
      <c r="L5864">
        <v>-62.831910000000001</v>
      </c>
      <c r="M5864">
        <v>0.99517670000000003</v>
      </c>
      <c r="N5864">
        <v>0</v>
      </c>
      <c r="O5864">
        <v>-9.7092819999999996E-2</v>
      </c>
      <c r="P5864">
        <v>0.99881030000000004</v>
      </c>
      <c r="Q5864">
        <v>-4.8657850000000002E-2</v>
      </c>
      <c r="R5864">
        <v>3.243391E-3</v>
      </c>
      <c r="S5864">
        <v>2.989655</v>
      </c>
      <c r="T5864">
        <v>-0.29947200000000002</v>
      </c>
      <c r="U5864">
        <v>-0.22189329999999999</v>
      </c>
      <c r="V5864">
        <v>-0.1001085</v>
      </c>
      <c r="W5864">
        <v>-3.5027219999999998E-2</v>
      </c>
      <c r="X5864">
        <v>0.99435980000000002</v>
      </c>
      <c r="Y5864">
        <v>-2.2575540000000002E-2</v>
      </c>
      <c r="Z5864">
        <v>1.0795330000000001E-2</v>
      </c>
      <c r="AA5864">
        <v>0.99968679999999999</v>
      </c>
      <c r="AB5864">
        <v>18</v>
      </c>
      <c r="AC5864">
        <v>0.70659999999998002</v>
      </c>
      <c r="AD5864">
        <v>-7.9431000000000002E-2</v>
      </c>
      <c r="AE5864">
        <v>-5.2259999999996802E-2</v>
      </c>
      <c r="AF5864">
        <v>-1.6393450069885199E-2</v>
      </c>
      <c r="AG5864">
        <v>-7.9431000000000002E-2</v>
      </c>
      <c r="AH5864">
        <v>0.69954364706264904</v>
      </c>
      <c r="AI5864">
        <v>96.476249145019196</v>
      </c>
      <c r="AJ5864">
        <v>91.342451781101303</v>
      </c>
      <c r="AK5864">
        <v>0.70422960965292203</v>
      </c>
      <c r="AL5864">
        <v>92.007322453010303</v>
      </c>
      <c r="AM5864">
        <v>95.748958009949206</v>
      </c>
      <c r="AN5864">
        <v>1.0000000148846</v>
      </c>
    </row>
    <row r="5865" spans="1:40" x14ac:dyDescent="0.3">
      <c r="A5865" t="str">
        <f>"20200111160620936"</f>
        <v>20200111160620936</v>
      </c>
      <c r="B5865" t="str">
        <f>"1578729980928633"</f>
        <v>1578729980928633</v>
      </c>
      <c r="C5865" t="s">
        <v>40</v>
      </c>
      <c r="D5865">
        <v>6.5252189999999999</v>
      </c>
      <c r="E5865">
        <v>0.53070099999999998</v>
      </c>
      <c r="F5865" t="s">
        <v>42</v>
      </c>
      <c r="G5865">
        <v>-271.40620000000001</v>
      </c>
      <c r="H5865">
        <v>1.0309710000000001</v>
      </c>
      <c r="I5865">
        <v>-62.899009999999997</v>
      </c>
      <c r="J5865">
        <v>-272.18299999999999</v>
      </c>
      <c r="K5865">
        <v>1.1117349999999999</v>
      </c>
      <c r="L5865">
        <v>-62.838349999999998</v>
      </c>
      <c r="M5865">
        <v>0.99531820000000004</v>
      </c>
      <c r="N5865">
        <v>0</v>
      </c>
      <c r="O5865">
        <v>-9.5645540000000001E-2</v>
      </c>
      <c r="P5865">
        <v>0.99884870000000003</v>
      </c>
      <c r="Q5865">
        <v>-4.7806330000000001E-2</v>
      </c>
      <c r="R5865">
        <v>3.9682720000000001E-3</v>
      </c>
      <c r="S5865">
        <v>2.9906619999999999</v>
      </c>
      <c r="T5865">
        <v>-0.28107700000000002</v>
      </c>
      <c r="U5865">
        <v>-0.23208619999999999</v>
      </c>
      <c r="V5865">
        <v>-9.9399020000000005E-2</v>
      </c>
      <c r="W5865">
        <v>-3.42463E-2</v>
      </c>
      <c r="X5865">
        <v>0.99445810000000001</v>
      </c>
      <c r="Y5865">
        <v>-1.7856500000000001E-2</v>
      </c>
      <c r="Z5865">
        <v>9.7744110000000002E-3</v>
      </c>
      <c r="AA5865">
        <v>0.99979280000000004</v>
      </c>
      <c r="AB5865">
        <v>18</v>
      </c>
      <c r="AC5865">
        <v>0.77679999999997995</v>
      </c>
      <c r="AD5865">
        <v>-8.0764000000000197E-2</v>
      </c>
      <c r="AE5865">
        <v>-6.0659999999998597E-2</v>
      </c>
      <c r="AF5865">
        <v>-1.37748011446336E-2</v>
      </c>
      <c r="AG5865">
        <v>-8.0764000000000197E-2</v>
      </c>
      <c r="AH5865">
        <v>0.77075921011651005</v>
      </c>
      <c r="AI5865">
        <v>95.9809599796924</v>
      </c>
      <c r="AJ5865">
        <v>91.023865751781301</v>
      </c>
      <c r="AK5865">
        <v>0.77510149581974097</v>
      </c>
      <c r="AL5865">
        <v>91.962552309020296</v>
      </c>
      <c r="AM5865">
        <v>95.707924006820207</v>
      </c>
      <c r="AN5865">
        <v>0.99999994344812804</v>
      </c>
    </row>
    <row r="5866" spans="1:40" x14ac:dyDescent="0.3">
      <c r="A5866" t="str">
        <f>"20200111160620948"</f>
        <v>20200111160620948</v>
      </c>
      <c r="B5866" t="str">
        <f>"1578729980938392"</f>
        <v>1578729980938392</v>
      </c>
      <c r="C5866" t="s">
        <v>40</v>
      </c>
      <c r="D5866">
        <v>6.9582329999999999</v>
      </c>
      <c r="E5866">
        <v>0.53070099999999998</v>
      </c>
      <c r="F5866" t="s">
        <v>95</v>
      </c>
      <c r="G5866">
        <v>-258.81299999999999</v>
      </c>
      <c r="H5866" s="1">
        <v>-3.4867879999999999E-6</v>
      </c>
      <c r="I5866">
        <v>-63.85933</v>
      </c>
      <c r="J5866">
        <v>-272.09449999999998</v>
      </c>
      <c r="K5866">
        <v>1.1116280000000001</v>
      </c>
      <c r="L5866">
        <v>-62.845120000000001</v>
      </c>
      <c r="M5866">
        <v>0.99545879999999998</v>
      </c>
      <c r="N5866">
        <v>0</v>
      </c>
      <c r="O5866">
        <v>-9.418704E-2</v>
      </c>
      <c r="P5866">
        <v>0.99890610000000002</v>
      </c>
      <c r="Q5866">
        <v>-4.6536080000000001E-2</v>
      </c>
      <c r="R5866">
        <v>4.5884050000000003E-3</v>
      </c>
      <c r="S5866">
        <v>2.9924620000000002</v>
      </c>
      <c r="T5866">
        <v>-0.24882889999999999</v>
      </c>
      <c r="U5866">
        <v>-0.22851560000000001</v>
      </c>
      <c r="V5866">
        <v>-9.8575469999999998E-2</v>
      </c>
      <c r="W5866">
        <v>-3.306009E-2</v>
      </c>
      <c r="X5866">
        <v>0.99458029999999997</v>
      </c>
      <c r="Y5866">
        <v>-1.7736399999999999E-2</v>
      </c>
      <c r="Z5866">
        <v>8.5271500000000007E-3</v>
      </c>
      <c r="AA5866">
        <v>0.99980630000000004</v>
      </c>
      <c r="AB5866">
        <v>18</v>
      </c>
      <c r="AC5866">
        <v>13.2814999999999</v>
      </c>
      <c r="AD5866">
        <v>-1.1116314867879999</v>
      </c>
      <c r="AE5866">
        <v>-1.01421000000001</v>
      </c>
      <c r="AF5866">
        <v>-0.239694502879402</v>
      </c>
      <c r="AG5866">
        <v>-1.1116314867879999</v>
      </c>
      <c r="AH5866">
        <v>13.2258664459183</v>
      </c>
      <c r="AI5866">
        <v>94.8036218064113</v>
      </c>
      <c r="AJ5866">
        <v>91.038266956431102</v>
      </c>
      <c r="AK5866">
        <v>13.2746646384154</v>
      </c>
      <c r="AL5866">
        <v>91.894548785761401</v>
      </c>
      <c r="AM5866">
        <v>95.660249604243901</v>
      </c>
      <c r="AN5866">
        <v>1.0000000329923</v>
      </c>
    </row>
    <row r="5867" spans="1:40" x14ac:dyDescent="0.3">
      <c r="A5867" t="str">
        <f>"20200111160620959"</f>
        <v>20200111160620959</v>
      </c>
      <c r="B5867" t="str">
        <f>"1578729980948151"</f>
        <v>1578729980948151</v>
      </c>
      <c r="C5867" t="s">
        <v>40</v>
      </c>
      <c r="D5867">
        <v>5.8538129999999997</v>
      </c>
      <c r="E5867">
        <v>0.53088939999999996</v>
      </c>
      <c r="F5867" t="s">
        <v>95</v>
      </c>
      <c r="G5867">
        <v>-258.51819999999998</v>
      </c>
      <c r="H5867" s="1">
        <v>-3.3882789999999999E-6</v>
      </c>
      <c r="I5867">
        <v>-63.872979999999998</v>
      </c>
      <c r="J5867">
        <v>-272.00479999999999</v>
      </c>
      <c r="K5867">
        <v>1.1115159999999999</v>
      </c>
      <c r="L5867">
        <v>-62.851930000000003</v>
      </c>
      <c r="M5867">
        <v>0.99559070000000005</v>
      </c>
      <c r="N5867">
        <v>0</v>
      </c>
      <c r="O5867">
        <v>-9.2800709999999995E-2</v>
      </c>
      <c r="P5867">
        <v>0.99895639999999997</v>
      </c>
      <c r="Q5867">
        <v>-4.5361909999999998E-2</v>
      </c>
      <c r="R5867">
        <v>5.3329700000000002E-3</v>
      </c>
      <c r="S5867">
        <v>2.9929199999999998</v>
      </c>
      <c r="T5867">
        <v>-0.24506159999999999</v>
      </c>
      <c r="U5867">
        <v>-0.22659299999999999</v>
      </c>
      <c r="V5867">
        <v>-9.7947660000000006E-2</v>
      </c>
      <c r="W5867">
        <v>-3.198699E-2</v>
      </c>
      <c r="X5867">
        <v>0.99467740000000004</v>
      </c>
      <c r="Y5867">
        <v>-1.7012630000000001E-2</v>
      </c>
      <c r="Z5867">
        <v>8.2553130000000002E-3</v>
      </c>
      <c r="AA5867">
        <v>0.99982119999999997</v>
      </c>
      <c r="AB5867">
        <v>18</v>
      </c>
      <c r="AC5867">
        <v>13.486599999999999</v>
      </c>
      <c r="AD5867">
        <v>-1.111519388279</v>
      </c>
      <c r="AE5867">
        <v>-1.02105</v>
      </c>
      <c r="AF5867">
        <v>-0.23346340973933299</v>
      </c>
      <c r="AG5867">
        <v>-1.111519388279</v>
      </c>
      <c r="AH5867">
        <v>13.4324337205458</v>
      </c>
      <c r="AI5867">
        <v>94.7296755313115</v>
      </c>
      <c r="AJ5867">
        <v>90.995733284865494</v>
      </c>
      <c r="AK5867">
        <v>13.480365580022699</v>
      </c>
      <c r="AL5867">
        <v>91.833032161931797</v>
      </c>
      <c r="AM5867">
        <v>95.623886800594306</v>
      </c>
      <c r="AN5867">
        <v>1.0000000208497399</v>
      </c>
    </row>
    <row r="5868" spans="1:40" x14ac:dyDescent="0.3">
      <c r="A5868" t="str">
        <f>"20200111160620971"</f>
        <v>20200111160620971</v>
      </c>
      <c r="B5868" t="str">
        <f>"1578729980968648"</f>
        <v>1578729980968648</v>
      </c>
      <c r="C5868" t="s">
        <v>40</v>
      </c>
      <c r="D5868">
        <v>5.9419309999999896</v>
      </c>
      <c r="E5868">
        <v>0.53132619999999997</v>
      </c>
      <c r="F5868" t="s">
        <v>95</v>
      </c>
      <c r="G5868">
        <v>-258.14449999999999</v>
      </c>
      <c r="H5868" s="1">
        <v>-3.2644699999999998E-6</v>
      </c>
      <c r="I5868">
        <v>-63.898000000000003</v>
      </c>
      <c r="J5868">
        <v>-271.91300000000001</v>
      </c>
      <c r="K5868">
        <v>1.1113949999999999</v>
      </c>
      <c r="L5868">
        <v>-62.858890000000002</v>
      </c>
      <c r="M5868">
        <v>0.99571430000000005</v>
      </c>
      <c r="N5868">
        <v>0</v>
      </c>
      <c r="O5868">
        <v>-9.1488349999999996E-2</v>
      </c>
      <c r="P5868">
        <v>0.99898540000000002</v>
      </c>
      <c r="Q5868">
        <v>-4.4652980000000002E-2</v>
      </c>
      <c r="R5868">
        <v>5.8846949999999997E-3</v>
      </c>
      <c r="S5868">
        <v>2.9934080000000001</v>
      </c>
      <c r="T5868">
        <v>-0.24005599999999999</v>
      </c>
      <c r="U5868">
        <v>-0.2259216</v>
      </c>
      <c r="V5868">
        <v>-9.719672E-2</v>
      </c>
      <c r="W5868">
        <v>-3.1397479999999998E-2</v>
      </c>
      <c r="X5868">
        <v>0.99476980000000004</v>
      </c>
      <c r="Y5868">
        <v>-1.5952109999999999E-2</v>
      </c>
      <c r="Z5868">
        <v>7.9391840000000002E-3</v>
      </c>
      <c r="AA5868">
        <v>0.99984119999999999</v>
      </c>
      <c r="AB5868">
        <v>18</v>
      </c>
      <c r="AC5868">
        <v>13.7685</v>
      </c>
      <c r="AD5868">
        <v>-1.11139826447</v>
      </c>
      <c r="AE5868">
        <v>-1.03911</v>
      </c>
      <c r="AF5868">
        <v>-0.22357274175907299</v>
      </c>
      <c r="AG5868">
        <v>-1.11139826447</v>
      </c>
      <c r="AH5868">
        <v>13.7169510961401</v>
      </c>
      <c r="AI5868">
        <v>94.631585255926396</v>
      </c>
      <c r="AJ5868">
        <v>90.9337818782939</v>
      </c>
      <c r="AK5868">
        <v>13.7637181839437</v>
      </c>
      <c r="AL5868">
        <v>91.799238826202199</v>
      </c>
      <c r="AM5868">
        <v>95.580528011468999</v>
      </c>
      <c r="AN5868">
        <v>0.99999997956057396</v>
      </c>
    </row>
    <row r="5869" spans="1:40" x14ac:dyDescent="0.3">
      <c r="A5869" t="str">
        <f>"20200111160620982"</f>
        <v>20200111160620982</v>
      </c>
      <c r="B5869" t="str">
        <f>"1578729980978409"</f>
        <v>1578729980978409</v>
      </c>
      <c r="C5869" t="s">
        <v>40</v>
      </c>
      <c r="D5869">
        <v>5.9506550000000002</v>
      </c>
      <c r="E5869">
        <v>0.53149559999999996</v>
      </c>
      <c r="F5869" t="s">
        <v>95</v>
      </c>
      <c r="G5869">
        <v>-258.63959999999997</v>
      </c>
      <c r="H5869" s="1">
        <v>-3.4287010000000001E-6</v>
      </c>
      <c r="I5869">
        <v>-63.866149999999998</v>
      </c>
      <c r="J5869">
        <v>-271.8254</v>
      </c>
      <c r="K5869">
        <v>1.1112799999999901</v>
      </c>
      <c r="L5869">
        <v>-62.86551</v>
      </c>
      <c r="M5869">
        <v>0.99582579999999998</v>
      </c>
      <c r="N5869">
        <v>0</v>
      </c>
      <c r="O5869">
        <v>-9.0288800000000002E-2</v>
      </c>
      <c r="P5869">
        <v>0.99897659999999999</v>
      </c>
      <c r="Q5869">
        <v>-4.4743369999999998E-2</v>
      </c>
      <c r="R5869">
        <v>6.6355569999999899E-3</v>
      </c>
      <c r="S5869">
        <v>2.9931950000000001</v>
      </c>
      <c r="T5869">
        <v>-0.2506254</v>
      </c>
      <c r="U5869">
        <v>-0.22714229999999999</v>
      </c>
      <c r="V5869">
        <v>-9.6752560000000001E-2</v>
      </c>
      <c r="W5869">
        <v>-3.1611159999999999E-2</v>
      </c>
      <c r="X5869">
        <v>0.99480630000000003</v>
      </c>
      <c r="Y5869">
        <v>-1.4315710000000001E-2</v>
      </c>
      <c r="Z5869">
        <v>8.1200200000000004E-3</v>
      </c>
      <c r="AA5869">
        <v>0.99986459999999999</v>
      </c>
      <c r="AB5869">
        <v>18</v>
      </c>
      <c r="AC5869">
        <v>13.1858</v>
      </c>
      <c r="AD5869">
        <v>-1.1112834287009901</v>
      </c>
      <c r="AE5869">
        <v>-1.00063999999999</v>
      </c>
      <c r="AF5869">
        <v>-0.19272323420641299</v>
      </c>
      <c r="AG5869">
        <v>-1.1112834287009901</v>
      </c>
      <c r="AH5869">
        <v>13.1295650517201</v>
      </c>
      <c r="AI5869">
        <v>94.837452322712807</v>
      </c>
      <c r="AJ5869">
        <v>90.840959692027099</v>
      </c>
      <c r="AK5869">
        <v>13.177919849174099</v>
      </c>
      <c r="AL5869">
        <v>91.811487924413896</v>
      </c>
      <c r="AM5869">
        <v>95.554983995676906</v>
      </c>
      <c r="AN5869">
        <v>0.99999994891139299</v>
      </c>
    </row>
    <row r="5870" spans="1:40" x14ac:dyDescent="0.3">
      <c r="A5870" t="str">
        <f>"20200111160620995"</f>
        <v>20200111160620995</v>
      </c>
      <c r="B5870" t="str">
        <f>"1578729980988168"</f>
        <v>1578729980988168</v>
      </c>
      <c r="C5870" t="s">
        <v>40</v>
      </c>
      <c r="D5870">
        <v>5.8604320000000003</v>
      </c>
      <c r="E5870">
        <v>0.53156939999999997</v>
      </c>
      <c r="F5870" t="s">
        <v>95</v>
      </c>
      <c r="G5870">
        <v>-258.43259999999998</v>
      </c>
      <c r="H5870" s="1">
        <v>-3.3597920000000002E-6</v>
      </c>
      <c r="I5870">
        <v>-63.877659999999999</v>
      </c>
      <c r="J5870">
        <v>-271.73050000000001</v>
      </c>
      <c r="K5870">
        <v>1.1111519999999999</v>
      </c>
      <c r="L5870">
        <v>-62.872709999999998</v>
      </c>
      <c r="M5870">
        <v>0.99593109999999996</v>
      </c>
      <c r="N5870">
        <v>0</v>
      </c>
      <c r="O5870">
        <v>-8.914532E-2</v>
      </c>
      <c r="P5870">
        <v>0.99895270000000003</v>
      </c>
      <c r="Q5870">
        <v>-4.520565E-2</v>
      </c>
      <c r="R5870">
        <v>7.0765519999999998E-3</v>
      </c>
      <c r="S5870">
        <v>2.993439</v>
      </c>
      <c r="T5870">
        <v>-0.2483851</v>
      </c>
      <c r="U5870">
        <v>-0.22622680000000001</v>
      </c>
      <c r="V5870">
        <v>-9.6054260000000002E-2</v>
      </c>
      <c r="W5870">
        <v>-3.2229479999999998E-2</v>
      </c>
      <c r="X5870">
        <v>0.99485420000000002</v>
      </c>
      <c r="Y5870">
        <v>-1.3490790000000001E-2</v>
      </c>
      <c r="Z5870">
        <v>7.9188699999999997E-3</v>
      </c>
      <c r="AA5870">
        <v>0.99987760000000003</v>
      </c>
      <c r="AB5870">
        <v>18</v>
      </c>
      <c r="AC5870">
        <v>13.2979</v>
      </c>
      <c r="AD5870">
        <v>-1.1111553597920001</v>
      </c>
      <c r="AE5870">
        <v>-1.00495</v>
      </c>
      <c r="AF5870">
        <v>-0.183327948135693</v>
      </c>
      <c r="AG5870">
        <v>-1.1111553597920001</v>
      </c>
      <c r="AH5870">
        <v>13.2426057104155</v>
      </c>
      <c r="AI5870">
        <v>94.795859290075001</v>
      </c>
      <c r="AJ5870">
        <v>90.793140487151703</v>
      </c>
      <c r="AK5870">
        <v>13.2904056135127</v>
      </c>
      <c r="AL5870">
        <v>91.846932984574394</v>
      </c>
      <c r="AM5870">
        <v>95.514875741691199</v>
      </c>
      <c r="AN5870">
        <v>1.0000000197514201</v>
      </c>
    </row>
    <row r="5871" spans="1:40" x14ac:dyDescent="0.3">
      <c r="A5871" t="str">
        <f>"20200111160621006"</f>
        <v>20200111160621006</v>
      </c>
      <c r="B5871" t="str">
        <f>"1578729980997928"</f>
        <v>1578729980997928</v>
      </c>
      <c r="C5871" t="s">
        <v>40</v>
      </c>
      <c r="D5871">
        <v>5.7209399999999997</v>
      </c>
      <c r="E5871">
        <v>0.53168509999999902</v>
      </c>
      <c r="F5871" t="s">
        <v>95</v>
      </c>
      <c r="G5871">
        <v>-258.95209999999997</v>
      </c>
      <c r="H5871" s="1">
        <v>-3.5305840000000001E-6</v>
      </c>
      <c r="I5871">
        <v>-63.832729999999998</v>
      </c>
      <c r="J5871">
        <v>-271.64150000000001</v>
      </c>
      <c r="K5871">
        <v>1.111024</v>
      </c>
      <c r="L5871">
        <v>-62.879489999999997</v>
      </c>
      <c r="M5871">
        <v>0.99602489999999999</v>
      </c>
      <c r="N5871">
        <v>0</v>
      </c>
      <c r="O5871">
        <v>-8.8117760000000003E-2</v>
      </c>
      <c r="P5871">
        <v>0.99891750000000001</v>
      </c>
      <c r="Q5871">
        <v>-4.5872889999999999E-2</v>
      </c>
      <c r="R5871">
        <v>7.7336430000000001E-3</v>
      </c>
      <c r="S5871">
        <v>2.9929199999999998</v>
      </c>
      <c r="T5871">
        <v>-0.26025209999999999</v>
      </c>
      <c r="U5871">
        <v>-0.22485350000000001</v>
      </c>
      <c r="V5871">
        <v>-9.568546E-2</v>
      </c>
      <c r="W5871">
        <v>-3.305056E-2</v>
      </c>
      <c r="X5871">
        <v>0.99486280000000005</v>
      </c>
      <c r="Y5871">
        <v>-1.287399E-2</v>
      </c>
      <c r="Z5871">
        <v>8.1820309999999993E-3</v>
      </c>
      <c r="AA5871">
        <v>0.99988370000000004</v>
      </c>
      <c r="AB5871">
        <v>18</v>
      </c>
      <c r="AC5871">
        <v>12.689399999999999</v>
      </c>
      <c r="AD5871">
        <v>-1.1110275305840001</v>
      </c>
      <c r="AE5871">
        <v>-0.95324000000000098</v>
      </c>
      <c r="AF5871">
        <v>-0.167448587876046</v>
      </c>
      <c r="AG5871">
        <v>-1.1110275305840001</v>
      </c>
      <c r="AH5871">
        <v>12.627774158778699</v>
      </c>
      <c r="AI5871">
        <v>95.027658639686805</v>
      </c>
      <c r="AJ5871">
        <v>90.759717031532702</v>
      </c>
      <c r="AK5871">
        <v>12.677661511825301</v>
      </c>
      <c r="AL5871">
        <v>91.894002485339897</v>
      </c>
      <c r="AM5871">
        <v>95.493783988580702</v>
      </c>
      <c r="AN5871">
        <v>1.00000001879778</v>
      </c>
    </row>
    <row r="5872" spans="1:40" x14ac:dyDescent="0.3">
      <c r="A5872" t="str">
        <f>"20200111160621016"</f>
        <v>20200111160621016</v>
      </c>
      <c r="B5872" t="str">
        <f>"1578729981008664"</f>
        <v>1578729981008664</v>
      </c>
      <c r="C5872" t="s">
        <v>40</v>
      </c>
      <c r="D5872">
        <v>6.4619839999999904</v>
      </c>
      <c r="E5872">
        <v>0.53144349999999996</v>
      </c>
      <c r="F5872" t="s">
        <v>42</v>
      </c>
      <c r="G5872">
        <v>-270.7731</v>
      </c>
      <c r="H5872">
        <v>1.032424</v>
      </c>
      <c r="I5872">
        <v>-62.94435</v>
      </c>
      <c r="J5872">
        <v>-271.55349999999999</v>
      </c>
      <c r="K5872">
        <v>1.1109</v>
      </c>
      <c r="L5872">
        <v>-62.8861699999999</v>
      </c>
      <c r="M5872">
        <v>0.99610509999999997</v>
      </c>
      <c r="N5872">
        <v>0</v>
      </c>
      <c r="O5872">
        <v>-8.7236129999999995E-2</v>
      </c>
      <c r="P5872">
        <v>0.99889490000000003</v>
      </c>
      <c r="Q5872">
        <v>-4.6259960000000003E-2</v>
      </c>
      <c r="R5872">
        <v>8.3326059999999993E-3</v>
      </c>
      <c r="S5872">
        <v>2.9925540000000002</v>
      </c>
      <c r="T5872">
        <v>-0.27084150000000001</v>
      </c>
      <c r="U5872">
        <v>-0.22323609999999999</v>
      </c>
      <c r="V5872">
        <v>-9.5406630000000006E-2</v>
      </c>
      <c r="W5872">
        <v>-3.3607289999999998E-2</v>
      </c>
      <c r="X5872">
        <v>0.9948709</v>
      </c>
      <c r="Y5872">
        <v>-1.2490680000000001E-2</v>
      </c>
      <c r="Z5872">
        <v>8.4184040000000009E-3</v>
      </c>
      <c r="AA5872">
        <v>0.99988659999999996</v>
      </c>
      <c r="AB5872">
        <v>18</v>
      </c>
      <c r="AC5872">
        <v>0.78039999999998599</v>
      </c>
      <c r="AD5872">
        <v>-7.8475999999999893E-2</v>
      </c>
      <c r="AE5872">
        <v>-5.8180000000007198E-2</v>
      </c>
      <c r="AF5872">
        <v>-1.0025694043739699E-2</v>
      </c>
      <c r="AG5872">
        <v>-7.8475999999999893E-2</v>
      </c>
      <c r="AH5872">
        <v>0.77470957431531795</v>
      </c>
      <c r="AI5872">
        <v>95.7836973783986</v>
      </c>
      <c r="AJ5872">
        <v>90.741436416988506</v>
      </c>
      <c r="AK5872">
        <v>0.77873867353103698</v>
      </c>
      <c r="AL5872">
        <v>91.9259185487591</v>
      </c>
      <c r="AM5872">
        <v>95.477828144635794</v>
      </c>
      <c r="AN5872">
        <v>0.99999999132795503</v>
      </c>
    </row>
    <row r="5873" spans="1:40" x14ac:dyDescent="0.3">
      <c r="A5873" t="str">
        <f>"20200111160621027"</f>
        <v>20200111160621027</v>
      </c>
      <c r="B5873" t="str">
        <f>"1578729981018424"</f>
        <v>1578729981018424</v>
      </c>
      <c r="C5873" t="s">
        <v>40</v>
      </c>
      <c r="D5873">
        <v>5.7507739999999998</v>
      </c>
      <c r="E5873">
        <v>0.53144349999999996</v>
      </c>
      <c r="F5873" t="s">
        <v>95</v>
      </c>
      <c r="G5873">
        <v>-258.61040000000003</v>
      </c>
      <c r="H5873" s="1">
        <v>-3.4150139999999999E-6</v>
      </c>
      <c r="I5873">
        <v>-63.83813</v>
      </c>
      <c r="J5873">
        <v>-271.47410000000002</v>
      </c>
      <c r="K5873">
        <v>1.110789</v>
      </c>
      <c r="L5873">
        <v>-62.892240000000001</v>
      </c>
      <c r="M5873">
        <v>0.99617310000000003</v>
      </c>
      <c r="N5873">
        <v>0</v>
      </c>
      <c r="O5873">
        <v>-8.6480539999999995E-2</v>
      </c>
      <c r="P5873">
        <v>0.99887349999999997</v>
      </c>
      <c r="Q5873">
        <v>-4.6585960000000003E-2</v>
      </c>
      <c r="R5873">
        <v>9.0247859999999999E-3</v>
      </c>
      <c r="S5873">
        <v>2.9932560000000001</v>
      </c>
      <c r="T5873">
        <v>-0.25691160000000002</v>
      </c>
      <c r="U5873">
        <v>-0.22015380000000001</v>
      </c>
      <c r="V5873">
        <v>-9.5345310000000003E-2</v>
      </c>
      <c r="W5873">
        <v>-3.4090719999999998E-2</v>
      </c>
      <c r="X5873">
        <v>0.99486039999999998</v>
      </c>
      <c r="Y5873">
        <v>-1.281556E-2</v>
      </c>
      <c r="Z5873">
        <v>7.9350949999999996E-3</v>
      </c>
      <c r="AA5873">
        <v>0.99988639999999995</v>
      </c>
      <c r="AB5873">
        <v>18</v>
      </c>
      <c r="AC5873">
        <v>12.8636999999999</v>
      </c>
      <c r="AD5873">
        <v>-1.1107924150139901</v>
      </c>
      <c r="AE5873">
        <v>-0.945890000000005</v>
      </c>
      <c r="AF5873">
        <v>-0.168950189429525</v>
      </c>
      <c r="AG5873">
        <v>-1.1107924150139901</v>
      </c>
      <c r="AH5873">
        <v>12.8023593606153</v>
      </c>
      <c r="AI5873">
        <v>94.958400839865604</v>
      </c>
      <c r="AJ5873">
        <v>90.756077113496403</v>
      </c>
      <c r="AK5873">
        <v>12.851568353866201</v>
      </c>
      <c r="AL5873">
        <v>91.953632794447401</v>
      </c>
      <c r="AM5873">
        <v>95.474386241466206</v>
      </c>
      <c r="AN5873">
        <v>1.0000000604086301</v>
      </c>
    </row>
    <row r="5874" spans="1:40" x14ac:dyDescent="0.3">
      <c r="A5874" t="str">
        <f>"20200111160621036"</f>
        <v>20200111160621036</v>
      </c>
      <c r="B5874" t="str">
        <f>"1578729981028184"</f>
        <v>1578729981028184</v>
      </c>
      <c r="C5874" t="s">
        <v>40</v>
      </c>
      <c r="D5874">
        <v>5.9447850000000004</v>
      </c>
      <c r="E5874">
        <v>0.53167849999999905</v>
      </c>
      <c r="F5874" t="s">
        <v>42</v>
      </c>
      <c r="G5874">
        <v>-270.61040000000003</v>
      </c>
      <c r="H5874">
        <v>1.036286</v>
      </c>
      <c r="I5874">
        <v>-62.955219999999997</v>
      </c>
      <c r="J5874">
        <v>-271.38780000000003</v>
      </c>
      <c r="K5874">
        <v>1.1106799999999999</v>
      </c>
      <c r="L5874">
        <v>-62.898829999999997</v>
      </c>
      <c r="M5874">
        <v>0.99623810000000002</v>
      </c>
      <c r="N5874">
        <v>0</v>
      </c>
      <c r="O5874">
        <v>-8.5759299999999997E-2</v>
      </c>
      <c r="P5874">
        <v>0.99885729999999995</v>
      </c>
      <c r="Q5874">
        <v>-4.6817499999999998E-2</v>
      </c>
      <c r="R5874">
        <v>9.6168710000000008E-3</v>
      </c>
      <c r="S5874">
        <v>2.9933169999999998</v>
      </c>
      <c r="T5874">
        <v>-0.25822440000000002</v>
      </c>
      <c r="U5874">
        <v>-0.21792600000000001</v>
      </c>
      <c r="V5874">
        <v>-9.5220159999999998E-2</v>
      </c>
      <c r="W5874">
        <v>-3.4502539999999998E-2</v>
      </c>
      <c r="X5874">
        <v>0.99485809999999997</v>
      </c>
      <c r="Y5874">
        <v>-1.283197E-2</v>
      </c>
      <c r="Z5874">
        <v>7.9145350000000003E-3</v>
      </c>
      <c r="AA5874">
        <v>0.99988630000000001</v>
      </c>
      <c r="AB5874">
        <v>18</v>
      </c>
      <c r="AC5874">
        <v>0.77739999999999998</v>
      </c>
      <c r="AD5874">
        <v>-7.4393999999999794E-2</v>
      </c>
      <c r="AE5874">
        <v>-5.6389999999993203E-2</v>
      </c>
      <c r="AF5874">
        <v>-1.03975075323811E-2</v>
      </c>
      <c r="AG5874">
        <v>-7.4393999999999794E-2</v>
      </c>
      <c r="AH5874">
        <v>0.77233605784126402</v>
      </c>
      <c r="AI5874">
        <v>95.501452100185006</v>
      </c>
      <c r="AJ5874">
        <v>90.771292894291605</v>
      </c>
      <c r="AK5874">
        <v>0.77598038740722697</v>
      </c>
      <c r="AL5874">
        <v>91.977242406190598</v>
      </c>
      <c r="AM5874">
        <v>95.467256706867204</v>
      </c>
      <c r="AN5874">
        <v>0.99999997163624299</v>
      </c>
    </row>
    <row r="5875" spans="1:40" x14ac:dyDescent="0.3">
      <c r="A5875" t="str">
        <f>"20200111160621049"</f>
        <v>20200111160621049</v>
      </c>
      <c r="B5875" t="str">
        <f>"1578729981037944"</f>
        <v>1578729981037944</v>
      </c>
      <c r="C5875" t="s">
        <v>40</v>
      </c>
      <c r="D5875">
        <v>5.8155359999999998</v>
      </c>
      <c r="E5875">
        <v>0.5320935</v>
      </c>
      <c r="F5875" t="s">
        <v>95</v>
      </c>
      <c r="G5875">
        <v>-258.24439999999998</v>
      </c>
      <c r="H5875" s="1">
        <v>-3.2929829999999998E-6</v>
      </c>
      <c r="I5875">
        <v>-63.856940000000002</v>
      </c>
      <c r="J5875">
        <v>-271.298</v>
      </c>
      <c r="K5875">
        <v>1.110568</v>
      </c>
      <c r="L5875">
        <v>-62.905729999999998</v>
      </c>
      <c r="M5875">
        <v>0.99629970000000001</v>
      </c>
      <c r="N5875">
        <v>0</v>
      </c>
      <c r="O5875">
        <v>-8.5070770000000004E-2</v>
      </c>
      <c r="P5875">
        <v>0.99885489999999999</v>
      </c>
      <c r="Q5875">
        <v>-4.6674260000000002E-2</v>
      </c>
      <c r="R5875">
        <v>1.0532039999999999E-2</v>
      </c>
      <c r="S5875">
        <v>2.9937130000000001</v>
      </c>
      <c r="T5875">
        <v>-0.2529843</v>
      </c>
      <c r="U5875">
        <v>-0.21823119999999999</v>
      </c>
      <c r="V5875">
        <v>-9.5451030000000006E-2</v>
      </c>
      <c r="W5875">
        <v>-3.4551360000000003E-2</v>
      </c>
      <c r="X5875">
        <v>0.99483429999999995</v>
      </c>
      <c r="Y5875">
        <v>-1.206867E-2</v>
      </c>
      <c r="Z5875">
        <v>7.6635180000000002E-3</v>
      </c>
      <c r="AA5875">
        <v>0.99989779999999995</v>
      </c>
      <c r="AB5875">
        <v>18</v>
      </c>
      <c r="AC5875">
        <v>13.053599999999999</v>
      </c>
      <c r="AD5875">
        <v>-1.1105712929830001</v>
      </c>
      <c r="AE5875">
        <v>-0.951209999999996</v>
      </c>
      <c r="AF5875">
        <v>-0.16163797292930601</v>
      </c>
      <c r="AG5875">
        <v>-1.1105712929830001</v>
      </c>
      <c r="AH5875">
        <v>12.9936444724531</v>
      </c>
      <c r="AI5875">
        <v>94.884841289256201</v>
      </c>
      <c r="AJ5875">
        <v>90.712709664027102</v>
      </c>
      <c r="AK5875">
        <v>13.042020246403601</v>
      </c>
      <c r="AL5875">
        <v>91.980041218554604</v>
      </c>
      <c r="AM5875">
        <v>95.480562275383406</v>
      </c>
      <c r="AN5875">
        <v>0.99999999003119999</v>
      </c>
    </row>
    <row r="5876" spans="1:40" x14ac:dyDescent="0.3">
      <c r="A5876" t="str">
        <f>"20200111160621061"</f>
        <v>20200111160621061</v>
      </c>
      <c r="B5876" t="str">
        <f>"1578729981058442"</f>
        <v>1578729981058442</v>
      </c>
      <c r="C5876" t="s">
        <v>40</v>
      </c>
      <c r="D5876">
        <v>6.4661589999999904</v>
      </c>
      <c r="E5876">
        <v>0.53215269999999903</v>
      </c>
      <c r="F5876" t="s">
        <v>95</v>
      </c>
      <c r="G5876">
        <v>-258.00779999999997</v>
      </c>
      <c r="H5876" s="1">
        <v>-3.215127E-6</v>
      </c>
      <c r="I5876">
        <v>-63.877000000000002</v>
      </c>
      <c r="J5876">
        <v>-271.20319999999998</v>
      </c>
      <c r="K5876">
        <v>1.110457</v>
      </c>
      <c r="L5876">
        <v>-62.913020000000003</v>
      </c>
      <c r="M5876">
        <v>0.99635739999999995</v>
      </c>
      <c r="N5876">
        <v>0</v>
      </c>
      <c r="O5876">
        <v>-8.4423499999999999E-2</v>
      </c>
      <c r="P5876">
        <v>0.99886070000000005</v>
      </c>
      <c r="Q5876">
        <v>-4.6346180000000001E-2</v>
      </c>
      <c r="R5876">
        <v>1.138365E-2</v>
      </c>
      <c r="S5876">
        <v>2.9940799999999999</v>
      </c>
      <c r="T5876">
        <v>-0.2501949</v>
      </c>
      <c r="U5876">
        <v>-0.21881100000000001</v>
      </c>
      <c r="V5876">
        <v>-9.5660609999999993E-2</v>
      </c>
      <c r="W5876">
        <v>-3.4430120000000002E-2</v>
      </c>
      <c r="X5876">
        <v>0.99481839999999999</v>
      </c>
      <c r="Y5876">
        <v>-1.1247770000000001E-2</v>
      </c>
      <c r="Z5876">
        <v>7.4904169999999897E-3</v>
      </c>
      <c r="AA5876">
        <v>0.99990869999999998</v>
      </c>
      <c r="AB5876">
        <v>18</v>
      </c>
      <c r="AC5876">
        <v>13.195399999999999</v>
      </c>
      <c r="AD5876">
        <v>-1.110460215127</v>
      </c>
      <c r="AE5876">
        <v>-0.96397999999999895</v>
      </c>
      <c r="AF5876">
        <v>-0.15247027285735101</v>
      </c>
      <c r="AG5876">
        <v>-1.110460215127</v>
      </c>
      <c r="AH5876">
        <v>13.137129257473999</v>
      </c>
      <c r="AI5876">
        <v>94.831309842905696</v>
      </c>
      <c r="AJ5876">
        <v>90.664948235853998</v>
      </c>
      <c r="AK5876">
        <v>13.1848600372193</v>
      </c>
      <c r="AL5876">
        <v>91.973090488967301</v>
      </c>
      <c r="AM5876">
        <v>95.492609582693902</v>
      </c>
      <c r="AN5876">
        <v>1.00000001722367</v>
      </c>
    </row>
    <row r="5877" spans="1:40" x14ac:dyDescent="0.3">
      <c r="A5877" t="str">
        <f>"20200111160621072"</f>
        <v>20200111160621072</v>
      </c>
      <c r="B5877" t="str">
        <f>"1578729981068199"</f>
        <v>1578729981068199</v>
      </c>
      <c r="C5877" t="s">
        <v>40</v>
      </c>
      <c r="D5877">
        <v>5.6738350000000004</v>
      </c>
      <c r="E5877">
        <v>0.53003630000000002</v>
      </c>
      <c r="F5877" t="s">
        <v>95</v>
      </c>
      <c r="G5877">
        <v>-258.25040000000001</v>
      </c>
      <c r="H5877" s="1">
        <v>-3.2938780000000002E-6</v>
      </c>
      <c r="I5877">
        <v>-63.848570000000002</v>
      </c>
      <c r="J5877">
        <v>-271.11500000000001</v>
      </c>
      <c r="K5877">
        <v>1.110366</v>
      </c>
      <c r="L5877">
        <v>-62.919890000000002</v>
      </c>
      <c r="M5877">
        <v>0.99640300000000004</v>
      </c>
      <c r="N5877">
        <v>0</v>
      </c>
      <c r="O5877">
        <v>-8.3915379999999998E-2</v>
      </c>
      <c r="P5877">
        <v>0.99889410000000001</v>
      </c>
      <c r="Q5877">
        <v>-4.5221940000000002E-2</v>
      </c>
      <c r="R5877">
        <v>1.2880610000000001E-2</v>
      </c>
      <c r="S5877">
        <v>2.9939879999999999</v>
      </c>
      <c r="T5877">
        <v>-0.256677299999999</v>
      </c>
      <c r="U5877">
        <v>-0.21624760000000001</v>
      </c>
      <c r="V5877">
        <v>-9.6653610000000001E-2</v>
      </c>
      <c r="W5877">
        <v>-3.350322E-2</v>
      </c>
      <c r="X5877">
        <v>0.99475409999999997</v>
      </c>
      <c r="Y5877">
        <v>-1.15703E-2</v>
      </c>
      <c r="Z5877">
        <v>7.6548409999999999E-3</v>
      </c>
      <c r="AA5877">
        <v>0.99990369999999995</v>
      </c>
      <c r="AB5877">
        <v>18</v>
      </c>
      <c r="AC5877">
        <v>12.8645999999999</v>
      </c>
      <c r="AD5877">
        <v>-1.1103692938780001</v>
      </c>
      <c r="AE5877">
        <v>-0.92867999999999196</v>
      </c>
      <c r="AF5877">
        <v>-0.15307454150153799</v>
      </c>
      <c r="AG5877">
        <v>-1.1103692938780001</v>
      </c>
      <c r="AH5877">
        <v>12.802275250505099</v>
      </c>
      <c r="AI5877">
        <v>94.9566308075009</v>
      </c>
      <c r="AJ5877">
        <v>90.685042860115701</v>
      </c>
      <c r="AK5877">
        <v>12.851249097801301</v>
      </c>
      <c r="AL5877">
        <v>91.919952299173403</v>
      </c>
      <c r="AM5877">
        <v>95.549627712638397</v>
      </c>
      <c r="AN5877">
        <v>1.0000000527716</v>
      </c>
    </row>
    <row r="5878" spans="1:40" x14ac:dyDescent="0.3">
      <c r="A5878" t="str">
        <f>"20200111160621082"</f>
        <v>20200111160621082</v>
      </c>
      <c r="B5878" t="str">
        <f>"1578729981077959"</f>
        <v>1578729981077959</v>
      </c>
      <c r="C5878" t="s">
        <v>40</v>
      </c>
      <c r="D5878">
        <v>5.6225759999999996</v>
      </c>
      <c r="E5878">
        <v>0.53085329999999997</v>
      </c>
      <c r="F5878" t="s">
        <v>69</v>
      </c>
      <c r="G5878">
        <v>-157.9383</v>
      </c>
      <c r="H5878">
        <v>2.281069</v>
      </c>
      <c r="I5878">
        <v>-70.842919999999907</v>
      </c>
      <c r="J5878">
        <v>-271.02379999999999</v>
      </c>
      <c r="K5878">
        <v>1.1102749999999999</v>
      </c>
      <c r="L5878">
        <v>-62.927</v>
      </c>
      <c r="M5878">
        <v>0.99644670000000002</v>
      </c>
      <c r="N5878">
        <v>0</v>
      </c>
      <c r="O5878">
        <v>-8.3426390000000003E-2</v>
      </c>
      <c r="P5878">
        <v>0.99894039999999995</v>
      </c>
      <c r="Q5878">
        <v>-4.383803E-2</v>
      </c>
      <c r="R5878">
        <v>1.4021580000000001E-2</v>
      </c>
      <c r="S5878">
        <v>3.0074770000000002</v>
      </c>
      <c r="T5878">
        <v>3.1108859999999999E-2</v>
      </c>
      <c r="U5878">
        <v>-0.2105408</v>
      </c>
      <c r="V5878">
        <v>-9.7311480000000006E-2</v>
      </c>
      <c r="W5878">
        <v>-3.232384E-2</v>
      </c>
      <c r="X5878">
        <v>0.99472890000000003</v>
      </c>
      <c r="Y5878">
        <v>-1.363175E-2</v>
      </c>
      <c r="Z5878">
        <v>-9.3096330000000003E-4</v>
      </c>
      <c r="AA5878">
        <v>0.99990670000000004</v>
      </c>
      <c r="AB5878">
        <v>18</v>
      </c>
      <c r="AC5878">
        <v>113.0855</v>
      </c>
      <c r="AD5878">
        <v>1.1707939999999999</v>
      </c>
      <c r="AE5878">
        <v>-7.9159199999999901</v>
      </c>
      <c r="AF5878">
        <v>-1.5464613470124799</v>
      </c>
      <c r="AG5878">
        <v>1.1707939999999999</v>
      </c>
      <c r="AH5878">
        <v>113.339575958239</v>
      </c>
      <c r="AI5878">
        <v>89.408212660143803</v>
      </c>
      <c r="AJ5878">
        <v>90.781723502909799</v>
      </c>
      <c r="AK5878">
        <v>113.356172216963</v>
      </c>
      <c r="AL5878">
        <v>91.852342325456902</v>
      </c>
      <c r="AM5878">
        <v>95.587303535383199</v>
      </c>
      <c r="AN5878">
        <v>0.99999996963367199</v>
      </c>
    </row>
    <row r="5879" spans="1:40" x14ac:dyDescent="0.3">
      <c r="A5879" t="str">
        <f>"20200111160621094"</f>
        <v>20200111160621094</v>
      </c>
      <c r="B5879" t="str">
        <f>"1578729981087720"</f>
        <v>1578729981087720</v>
      </c>
      <c r="C5879" t="s">
        <v>40</v>
      </c>
      <c r="D5879">
        <v>5.6785610000000002</v>
      </c>
      <c r="E5879">
        <v>0.53270699999999904</v>
      </c>
      <c r="F5879" t="s">
        <v>69</v>
      </c>
      <c r="G5879">
        <v>-157.9383</v>
      </c>
      <c r="H5879">
        <v>2.321129</v>
      </c>
      <c r="I5879">
        <v>-70.956919999999997</v>
      </c>
      <c r="J5879">
        <v>-270.92930000000001</v>
      </c>
      <c r="K5879">
        <v>1.1101909999999999</v>
      </c>
      <c r="L5879">
        <v>-62.934420000000003</v>
      </c>
      <c r="M5879">
        <v>0.99648139999999996</v>
      </c>
      <c r="N5879">
        <v>0</v>
      </c>
      <c r="O5879">
        <v>-8.3043829999999999E-2</v>
      </c>
      <c r="P5879">
        <v>0.99898640000000005</v>
      </c>
      <c r="Q5879">
        <v>-4.2375469999999998E-2</v>
      </c>
      <c r="R5879">
        <v>1.5187579999999999E-2</v>
      </c>
      <c r="S5879">
        <v>3.0075989999999999</v>
      </c>
      <c r="T5879">
        <v>3.2203080000000002E-2</v>
      </c>
      <c r="U5879">
        <v>-0.213562</v>
      </c>
      <c r="V5879">
        <v>-9.8100329999999999E-2</v>
      </c>
      <c r="W5879">
        <v>-3.107849E-2</v>
      </c>
      <c r="X5879">
        <v>0.99469110000000005</v>
      </c>
      <c r="Y5879">
        <v>-1.225071E-2</v>
      </c>
      <c r="Z5879">
        <v>-9.5216409999999995E-4</v>
      </c>
      <c r="AA5879">
        <v>0.99992449999999999</v>
      </c>
      <c r="AB5879">
        <v>18</v>
      </c>
      <c r="AC5879">
        <v>112.991</v>
      </c>
      <c r="AD5879">
        <v>1.2109379999999901</v>
      </c>
      <c r="AE5879">
        <v>-8.0225000000000009</v>
      </c>
      <c r="AF5879">
        <v>-1.38886392049268</v>
      </c>
      <c r="AG5879">
        <v>1.2109379999999901</v>
      </c>
      <c r="AH5879">
        <v>113.253986266431</v>
      </c>
      <c r="AI5879">
        <v>89.387449579128997</v>
      </c>
      <c r="AJ5879">
        <v>90.702598247166904</v>
      </c>
      <c r="AK5879">
        <v>113.268975094976</v>
      </c>
      <c r="AL5879">
        <v>91.780953145583993</v>
      </c>
      <c r="AM5879">
        <v>95.632519289730496</v>
      </c>
      <c r="AN5879">
        <v>0.999999965852999</v>
      </c>
    </row>
    <row r="5880" spans="1:40" x14ac:dyDescent="0.3">
      <c r="A5880" t="str">
        <f>"20200111160621106"</f>
        <v>20200111160621106</v>
      </c>
      <c r="B5880" t="str">
        <f>"1578729981098456"</f>
        <v>1578729981098456</v>
      </c>
      <c r="C5880" t="s">
        <v>40</v>
      </c>
      <c r="D5880">
        <v>5.5681890000000003</v>
      </c>
      <c r="E5880">
        <v>0.53371309999999905</v>
      </c>
      <c r="F5880" t="s">
        <v>46</v>
      </c>
      <c r="G5880">
        <v>0</v>
      </c>
      <c r="H5880">
        <v>0</v>
      </c>
      <c r="I5880">
        <v>0</v>
      </c>
      <c r="J5880">
        <v>-270.84039999999999</v>
      </c>
      <c r="K5880">
        <v>1.110112</v>
      </c>
      <c r="L5880">
        <v>-62.941409999999998</v>
      </c>
      <c r="M5880">
        <v>0.99651120000000004</v>
      </c>
      <c r="N5880">
        <v>0</v>
      </c>
      <c r="O5880">
        <v>-8.2711690000000004E-2</v>
      </c>
      <c r="P5880">
        <v>0.99904630000000005</v>
      </c>
      <c r="Q5880">
        <v>-4.0272479999999999E-2</v>
      </c>
      <c r="R5880">
        <v>1.687348E-2</v>
      </c>
      <c r="S5880">
        <v>3.0077820000000002</v>
      </c>
      <c r="T5880">
        <v>3.1212210000000001E-2</v>
      </c>
      <c r="U5880">
        <v>-0.22470090000000001</v>
      </c>
      <c r="V5880">
        <v>-9.9457710000000005E-2</v>
      </c>
      <c r="W5880">
        <v>-2.9181720000000001E-2</v>
      </c>
      <c r="X5880">
        <v>0.99461379999999999</v>
      </c>
      <c r="Y5880">
        <v>-8.238492E-3</v>
      </c>
      <c r="Z5880">
        <v>-8.9843750000000004E-4</v>
      </c>
      <c r="AA5880">
        <v>0.99996569999999996</v>
      </c>
      <c r="AB5880">
        <v>18</v>
      </c>
      <c r="AC5880">
        <v>3.0077820000000002</v>
      </c>
      <c r="AD5880">
        <v>3.1212210000000001E-2</v>
      </c>
      <c r="AE5880">
        <v>-0.22470090000000001</v>
      </c>
      <c r="AF5880">
        <v>-2.4860650720748799E-2</v>
      </c>
      <c r="AG5880">
        <v>3.1212210000000001E-2</v>
      </c>
      <c r="AH5880">
        <v>3.0157382033019</v>
      </c>
      <c r="AI5880">
        <v>89.407042927366405</v>
      </c>
      <c r="AJ5880">
        <v>90.472314903039205</v>
      </c>
      <c r="AK5880">
        <v>3.01600218250285</v>
      </c>
      <c r="AL5880">
        <v>91.672226772622295</v>
      </c>
      <c r="AM5880">
        <v>95.710383816403194</v>
      </c>
      <c r="AN5880">
        <v>1.00000001000552</v>
      </c>
    </row>
    <row r="5881" spans="1:40" x14ac:dyDescent="0.3">
      <c r="A5881" t="str">
        <f>"20200111160621117"</f>
        <v>20200111160621117</v>
      </c>
      <c r="B5881" t="str">
        <f>"1578729981108216"</f>
        <v>1578729981108216</v>
      </c>
      <c r="C5881" t="s">
        <v>40</v>
      </c>
      <c r="D5881">
        <v>5.7005100000000004</v>
      </c>
      <c r="E5881">
        <v>0.53397519999999998</v>
      </c>
      <c r="F5881" t="s">
        <v>46</v>
      </c>
      <c r="G5881">
        <v>0</v>
      </c>
      <c r="H5881">
        <v>0</v>
      </c>
      <c r="I5881">
        <v>0</v>
      </c>
      <c r="J5881">
        <v>-270.75020000000001</v>
      </c>
      <c r="K5881">
        <v>1.1100399999999999</v>
      </c>
      <c r="L5881">
        <v>-62.94858</v>
      </c>
      <c r="M5881">
        <v>0.99653389999999997</v>
      </c>
      <c r="N5881">
        <v>0</v>
      </c>
      <c r="O5881">
        <v>-8.2469689999999998E-2</v>
      </c>
      <c r="P5881">
        <v>0.99907809999999997</v>
      </c>
      <c r="Q5881">
        <v>-3.877332E-2</v>
      </c>
      <c r="R5881">
        <v>1.8429109999999999E-2</v>
      </c>
      <c r="S5881">
        <v>3.0079959999999999</v>
      </c>
      <c r="T5881">
        <v>3.2177570000000003E-2</v>
      </c>
      <c r="U5881">
        <v>-0.2275085</v>
      </c>
      <c r="V5881">
        <v>-0.10077220000000001</v>
      </c>
      <c r="W5881">
        <v>-2.7896799999999999E-2</v>
      </c>
      <c r="X5881">
        <v>0.99451829999999997</v>
      </c>
      <c r="Y5881">
        <v>-7.072371E-3</v>
      </c>
      <c r="Z5881">
        <v>-9.1731229999999998E-4</v>
      </c>
      <c r="AA5881">
        <v>0.99997449999999999</v>
      </c>
      <c r="AB5881">
        <v>18</v>
      </c>
      <c r="AC5881">
        <v>3.0079959999999999</v>
      </c>
      <c r="AD5881">
        <v>3.2177570000000003E-2</v>
      </c>
      <c r="AE5881">
        <v>-0.2275085</v>
      </c>
      <c r="AF5881">
        <v>-2.13474055703727E-2</v>
      </c>
      <c r="AG5881">
        <v>3.2177570000000003E-2</v>
      </c>
      <c r="AH5881">
        <v>3.0161687458126401</v>
      </c>
      <c r="AI5881">
        <v>89.388786569216805</v>
      </c>
      <c r="AJ5881">
        <v>90.405513060823296</v>
      </c>
      <c r="AK5881">
        <v>3.0164159214128099</v>
      </c>
      <c r="AL5881">
        <v>91.598576357917807</v>
      </c>
      <c r="AM5881">
        <v>95.785898654324896</v>
      </c>
      <c r="AN5881">
        <v>0.99999995838898403</v>
      </c>
    </row>
    <row r="5882" spans="1:40" x14ac:dyDescent="0.3">
      <c r="A5882" t="str">
        <f>"20200111160621127"</f>
        <v>20200111160621127</v>
      </c>
      <c r="B5882" t="str">
        <f>"1578729981117976"</f>
        <v>1578729981117976</v>
      </c>
      <c r="C5882" t="s">
        <v>40</v>
      </c>
      <c r="D5882">
        <v>5.540324</v>
      </c>
      <c r="E5882">
        <v>0.53462589999999999</v>
      </c>
      <c r="F5882" t="s">
        <v>46</v>
      </c>
      <c r="G5882">
        <v>0</v>
      </c>
      <c r="H5882">
        <v>0</v>
      </c>
      <c r="I5882">
        <v>0</v>
      </c>
      <c r="J5882">
        <v>-270.65989999999999</v>
      </c>
      <c r="K5882">
        <v>1.109972</v>
      </c>
      <c r="L5882">
        <v>-62.955779999999997</v>
      </c>
      <c r="M5882">
        <v>0.99655340000000003</v>
      </c>
      <c r="N5882">
        <v>0</v>
      </c>
      <c r="O5882">
        <v>-8.2263639999999999E-2</v>
      </c>
      <c r="P5882">
        <v>0.9991044</v>
      </c>
      <c r="Q5882">
        <v>-3.7411310000000003E-2</v>
      </c>
      <c r="R5882">
        <v>1.9769249999999999E-2</v>
      </c>
      <c r="S5882">
        <v>3.0081790000000002</v>
      </c>
      <c r="T5882">
        <v>3.2916670000000002E-2</v>
      </c>
      <c r="U5882">
        <v>-0.22476199999999999</v>
      </c>
      <c r="V5882">
        <v>-0.10190680000000001</v>
      </c>
      <c r="W5882">
        <v>-2.6750099999999999E-2</v>
      </c>
      <c r="X5882">
        <v>0.99443419999999905</v>
      </c>
      <c r="Y5882">
        <v>-7.7776169999999997E-3</v>
      </c>
      <c r="Z5882">
        <v>-9.3997329999999997E-4</v>
      </c>
      <c r="AA5882">
        <v>0.99996929999999995</v>
      </c>
      <c r="AB5882">
        <v>18</v>
      </c>
      <c r="AC5882">
        <v>3.0081790000000002</v>
      </c>
      <c r="AD5882">
        <v>3.2916670000000002E-2</v>
      </c>
      <c r="AE5882">
        <v>-0.22476199999999999</v>
      </c>
      <c r="AF5882">
        <v>-2.3474962269515402E-2</v>
      </c>
      <c r="AG5882">
        <v>3.2916670000000002E-2</v>
      </c>
      <c r="AH5882">
        <v>3.0161135839828099</v>
      </c>
      <c r="AI5882">
        <v>89.374740298603299</v>
      </c>
      <c r="AJ5882">
        <v>90.445934500268393</v>
      </c>
      <c r="AK5882">
        <v>3.0163845465230499</v>
      </c>
      <c r="AL5882">
        <v>91.532850722973606</v>
      </c>
      <c r="AM5882">
        <v>95.851084376844</v>
      </c>
      <c r="AN5882">
        <v>0.99999997093294402</v>
      </c>
    </row>
    <row r="5883" spans="1:40" x14ac:dyDescent="0.3">
      <c r="A5883" t="str">
        <f>"20200111160621137"</f>
        <v>20200111160621137</v>
      </c>
      <c r="B5883" t="str">
        <f>"1578729981127736"</f>
        <v>1578729981127736</v>
      </c>
      <c r="C5883" t="s">
        <v>40</v>
      </c>
      <c r="D5883">
        <v>5.5388960000000003</v>
      </c>
      <c r="E5883">
        <v>0.53505849999999999</v>
      </c>
      <c r="F5883" t="s">
        <v>46</v>
      </c>
      <c r="G5883">
        <v>0</v>
      </c>
      <c r="H5883">
        <v>0</v>
      </c>
      <c r="I5883">
        <v>0</v>
      </c>
      <c r="J5883">
        <v>-270.57749999999999</v>
      </c>
      <c r="K5883">
        <v>1.109923</v>
      </c>
      <c r="L5883">
        <v>-62.962429999999998</v>
      </c>
      <c r="M5883">
        <v>0.99656679999999997</v>
      </c>
      <c r="N5883">
        <v>0</v>
      </c>
      <c r="O5883">
        <v>-8.2127649999999996E-2</v>
      </c>
      <c r="P5883">
        <v>0.99911289999999997</v>
      </c>
      <c r="Q5883">
        <v>-3.6358340000000003E-2</v>
      </c>
      <c r="R5883">
        <v>2.1252460000000001E-2</v>
      </c>
      <c r="S5883">
        <v>3.0084529999999998</v>
      </c>
      <c r="T5883">
        <v>3.4880759999999997E-2</v>
      </c>
      <c r="U5883">
        <v>-0.22586059999999999</v>
      </c>
      <c r="V5883">
        <v>-0.1032515</v>
      </c>
      <c r="W5883">
        <v>-2.5896229999999999E-2</v>
      </c>
      <c r="X5883">
        <v>0.99431809999999998</v>
      </c>
      <c r="Y5883">
        <v>-7.2840069999999899E-3</v>
      </c>
      <c r="Z5883">
        <v>-9.9152120000000005E-4</v>
      </c>
      <c r="AA5883">
        <v>0.999973</v>
      </c>
      <c r="AB5883">
        <v>18</v>
      </c>
      <c r="AC5883">
        <v>3.0084529999999998</v>
      </c>
      <c r="AD5883">
        <v>3.4880759999999997E-2</v>
      </c>
      <c r="AE5883">
        <v>-0.22586059999999999</v>
      </c>
      <c r="AF5883">
        <v>-2.1990266072465198E-2</v>
      </c>
      <c r="AG5883">
        <v>3.4880759999999997E-2</v>
      </c>
      <c r="AH5883">
        <v>3.0164359839094401</v>
      </c>
      <c r="AI5883">
        <v>89.337503538552895</v>
      </c>
      <c r="AJ5883">
        <v>90.417687338043706</v>
      </c>
      <c r="AK5883">
        <v>3.0167177999017101</v>
      </c>
      <c r="AL5883">
        <v>91.483910592750604</v>
      </c>
      <c r="AM5883">
        <v>95.928432715399595</v>
      </c>
      <c r="AN5883">
        <v>0.99999998548403601</v>
      </c>
    </row>
    <row r="5884" spans="1:40" x14ac:dyDescent="0.3">
      <c r="A5884" t="str">
        <f>"20200111160621149"</f>
        <v>20200111160621149</v>
      </c>
      <c r="B5884" t="str">
        <f>"1578729981138472"</f>
        <v>1578729981138472</v>
      </c>
      <c r="C5884" t="s">
        <v>40</v>
      </c>
      <c r="D5884">
        <v>5.4813369999999999</v>
      </c>
      <c r="E5884">
        <v>0.53505849999999999</v>
      </c>
      <c r="F5884" t="s">
        <v>46</v>
      </c>
      <c r="G5884">
        <v>0</v>
      </c>
      <c r="H5884">
        <v>0</v>
      </c>
      <c r="I5884">
        <v>0</v>
      </c>
      <c r="J5884">
        <v>-270.48669999999998</v>
      </c>
      <c r="K5884">
        <v>1.1098669999999999</v>
      </c>
      <c r="L5884">
        <v>-62.969729999999998</v>
      </c>
      <c r="M5884">
        <v>0.99657850000000003</v>
      </c>
      <c r="N5884">
        <v>0</v>
      </c>
      <c r="O5884">
        <v>-8.2015749999999998E-2</v>
      </c>
      <c r="P5884">
        <v>0.99912769999999995</v>
      </c>
      <c r="Q5884">
        <v>-3.5147039999999997E-2</v>
      </c>
      <c r="R5884">
        <v>2.255221E-2</v>
      </c>
      <c r="S5884">
        <v>3.0084840000000002</v>
      </c>
      <c r="T5884">
        <v>2.8958560000000001E-2</v>
      </c>
      <c r="U5884">
        <v>-0.22439580000000001</v>
      </c>
      <c r="V5884">
        <v>-0.1044384</v>
      </c>
      <c r="W5884">
        <v>-2.4904550000000001E-2</v>
      </c>
      <c r="X5884">
        <v>0.99421950000000003</v>
      </c>
      <c r="Y5884">
        <v>-7.6583069999999996E-3</v>
      </c>
      <c r="Z5884">
        <v>-8.2392139999999995E-4</v>
      </c>
      <c r="AA5884">
        <v>0.99997029999999998</v>
      </c>
      <c r="AB5884">
        <v>18</v>
      </c>
      <c r="AC5884">
        <v>3.0084840000000002</v>
      </c>
      <c r="AD5884">
        <v>2.8958560000000001E-2</v>
      </c>
      <c r="AE5884">
        <v>-0.22439580000000001</v>
      </c>
      <c r="AF5884">
        <v>-2.3114122397241501E-2</v>
      </c>
      <c r="AG5884">
        <v>2.8958560000000001E-2</v>
      </c>
      <c r="AH5884">
        <v>3.0164744696486601</v>
      </c>
      <c r="AI5884">
        <v>89.449985865291097</v>
      </c>
      <c r="AJ5884">
        <v>90.439027664510505</v>
      </c>
      <c r="AK5884">
        <v>3.0167020215615699</v>
      </c>
      <c r="AL5884">
        <v>91.427073130564693</v>
      </c>
      <c r="AM5884">
        <v>95.996678050819398</v>
      </c>
      <c r="AN5884">
        <v>1.0000000150927499</v>
      </c>
    </row>
    <row r="5885" spans="1:40" x14ac:dyDescent="0.3">
      <c r="A5885" t="str">
        <f>"20200111160621160"</f>
        <v>20200111160621160</v>
      </c>
      <c r="B5885" t="str">
        <f>"1578729981157992"</f>
        <v>1578729981157992</v>
      </c>
      <c r="C5885" t="s">
        <v>40</v>
      </c>
      <c r="D5885">
        <v>5.4195320000000002</v>
      </c>
      <c r="E5885">
        <v>0.53669829999999996</v>
      </c>
      <c r="F5885" t="s">
        <v>46</v>
      </c>
      <c r="G5885">
        <v>0</v>
      </c>
      <c r="H5885">
        <v>0</v>
      </c>
      <c r="I5885">
        <v>0</v>
      </c>
      <c r="J5885">
        <v>-270.3895</v>
      </c>
      <c r="K5885">
        <v>1.1098129999999999</v>
      </c>
      <c r="L5885">
        <v>-62.977629999999998</v>
      </c>
      <c r="M5885">
        <v>0.99658740000000001</v>
      </c>
      <c r="N5885">
        <v>0</v>
      </c>
      <c r="O5885">
        <v>-8.1937010000000005E-2</v>
      </c>
      <c r="P5885">
        <v>0.99916729999999998</v>
      </c>
      <c r="Q5885">
        <v>-3.3213779999999998E-2</v>
      </c>
      <c r="R5885">
        <v>2.3703209999999999E-2</v>
      </c>
      <c r="S5885">
        <v>3.0087280000000001</v>
      </c>
      <c r="T5885">
        <v>3.2540079999999999E-2</v>
      </c>
      <c r="U5885">
        <v>-0.22051999999999999</v>
      </c>
      <c r="V5885">
        <v>-0.1055107</v>
      </c>
      <c r="W5885">
        <v>-2.3207450000000001E-2</v>
      </c>
      <c r="X5885">
        <v>0.99414729999999996</v>
      </c>
      <c r="Y5885">
        <v>-8.8650769999999903E-3</v>
      </c>
      <c r="Z5885">
        <v>-9.314646E-4</v>
      </c>
      <c r="AA5885">
        <v>0.99996019999999997</v>
      </c>
      <c r="AB5885">
        <v>18</v>
      </c>
      <c r="AC5885">
        <v>3.0087280000000001</v>
      </c>
      <c r="AD5885">
        <v>3.2540079999999999E-2</v>
      </c>
      <c r="AE5885">
        <v>-0.22051999999999999</v>
      </c>
      <c r="AF5885">
        <v>-2.6756946198737499E-2</v>
      </c>
      <c r="AG5885">
        <v>3.2540079999999999E-2</v>
      </c>
      <c r="AH5885">
        <v>3.0163288895807399</v>
      </c>
      <c r="AI5885">
        <v>89.381942867058996</v>
      </c>
      <c r="AJ5885">
        <v>90.508240293434</v>
      </c>
      <c r="AK5885">
        <v>3.0166230724264702</v>
      </c>
      <c r="AL5885">
        <v>91.329808360596502</v>
      </c>
      <c r="AM5885">
        <v>96.058228883212095</v>
      </c>
      <c r="AN5885">
        <v>0.99999997382364003</v>
      </c>
    </row>
    <row r="5886" spans="1:40" x14ac:dyDescent="0.3">
      <c r="A5886" t="str">
        <f>"20200111160621172"</f>
        <v>20200111160621172</v>
      </c>
      <c r="B5886" t="str">
        <f>"1578729981167751"</f>
        <v>1578729981167751</v>
      </c>
      <c r="C5886" t="s">
        <v>40</v>
      </c>
      <c r="D5886">
        <v>5.4411120000000004</v>
      </c>
      <c r="E5886">
        <v>0.53645240000000005</v>
      </c>
      <c r="F5886" t="s">
        <v>42</v>
      </c>
      <c r="G5886">
        <v>-269.64440000000002</v>
      </c>
      <c r="H5886">
        <v>1.0305550000000001</v>
      </c>
      <c r="I5886">
        <v>-63.029690000000002</v>
      </c>
      <c r="J5886">
        <v>-270.29849999999999</v>
      </c>
      <c r="K5886">
        <v>1.1097699999999999</v>
      </c>
      <c r="L5886">
        <v>-62.985050000000001</v>
      </c>
      <c r="M5886">
        <v>0.99659169999999997</v>
      </c>
      <c r="N5886">
        <v>0</v>
      </c>
      <c r="O5886">
        <v>-8.1910570000000002E-2</v>
      </c>
      <c r="P5886">
        <v>0.99919769999999997</v>
      </c>
      <c r="Q5886">
        <v>-3.1195190000000001E-2</v>
      </c>
      <c r="R5886">
        <v>2.5110480000000001E-2</v>
      </c>
      <c r="S5886">
        <v>2.9968569999999999</v>
      </c>
      <c r="T5886">
        <v>-0.31877290000000003</v>
      </c>
      <c r="U5886">
        <v>-0.20898439999999999</v>
      </c>
      <c r="V5886">
        <v>-0.1068897</v>
      </c>
      <c r="W5886">
        <v>-2.1410640000000002E-2</v>
      </c>
      <c r="X5886">
        <v>0.99404029999999999</v>
      </c>
      <c r="Y5886">
        <v>-1.185932E-2</v>
      </c>
      <c r="Z5886">
        <v>9.2929269999999994E-3</v>
      </c>
      <c r="AA5886">
        <v>0.99988650000000001</v>
      </c>
      <c r="AB5886">
        <v>18</v>
      </c>
      <c r="AC5886">
        <v>0.65409999999997104</v>
      </c>
      <c r="AD5886">
        <v>-7.9215000000000202E-2</v>
      </c>
      <c r="AE5886">
        <v>-4.4640000000001102E-2</v>
      </c>
      <c r="AF5886">
        <v>-8.9594898757723307E-3</v>
      </c>
      <c r="AG5886">
        <v>-7.9215000000000202E-2</v>
      </c>
      <c r="AH5886">
        <v>0.64612599314833796</v>
      </c>
      <c r="AI5886">
        <v>96.988912943479505</v>
      </c>
      <c r="AJ5886">
        <v>90.794439573901698</v>
      </c>
      <c r="AK5886">
        <v>0.65102541248845303</v>
      </c>
      <c r="AL5886">
        <v>91.226833089960195</v>
      </c>
      <c r="AM5886">
        <v>96.137463713498803</v>
      </c>
      <c r="AN5886">
        <v>0.99999997074769398</v>
      </c>
    </row>
    <row r="5887" spans="1:40" x14ac:dyDescent="0.3">
      <c r="A5887" t="str">
        <f>"20200111160621183"</f>
        <v>20200111160621183</v>
      </c>
      <c r="B5887" t="str">
        <f>"1578729981178488"</f>
        <v>1578729981178488</v>
      </c>
      <c r="C5887" t="s">
        <v>40</v>
      </c>
      <c r="D5887">
        <v>5.4416779999999996</v>
      </c>
      <c r="E5887">
        <v>0.53733109999999995</v>
      </c>
      <c r="F5887" t="s">
        <v>42</v>
      </c>
      <c r="G5887">
        <v>-269.48079999999999</v>
      </c>
      <c r="H5887">
        <v>1.0281</v>
      </c>
      <c r="I5887">
        <v>-63.040599999999998</v>
      </c>
      <c r="J5887">
        <v>-270.20479999999998</v>
      </c>
      <c r="K5887">
        <v>1.109728</v>
      </c>
      <c r="L5887">
        <v>-62.992739999999998</v>
      </c>
      <c r="M5887">
        <v>0.99659509999999996</v>
      </c>
      <c r="N5887">
        <v>0</v>
      </c>
      <c r="O5887">
        <v>-8.1899109999999997E-2</v>
      </c>
      <c r="P5887">
        <v>0.99924939999999995</v>
      </c>
      <c r="Q5887">
        <v>-2.9037710000000001E-2</v>
      </c>
      <c r="R5887">
        <v>2.5648569999999999E-2</v>
      </c>
      <c r="S5887">
        <v>2.9981689999999999</v>
      </c>
      <c r="T5887">
        <v>-0.29939769999999999</v>
      </c>
      <c r="U5887">
        <v>-0.2033691</v>
      </c>
      <c r="V5887">
        <v>-0.1074186</v>
      </c>
      <c r="W5887">
        <v>-1.9481519999999999E-2</v>
      </c>
      <c r="X5887">
        <v>0.99402299999999999</v>
      </c>
      <c r="Y5887">
        <v>-1.379437E-2</v>
      </c>
      <c r="Z5887">
        <v>8.8230080000000002E-3</v>
      </c>
      <c r="AA5887">
        <v>0.99986589999999997</v>
      </c>
      <c r="AB5887">
        <v>18</v>
      </c>
      <c r="AC5887">
        <v>0.72399999999998899</v>
      </c>
      <c r="AD5887">
        <v>-8.1628000000000006E-2</v>
      </c>
      <c r="AE5887">
        <v>-4.7859999999992901E-2</v>
      </c>
      <c r="AF5887">
        <v>-1.1453481455686299E-2</v>
      </c>
      <c r="AG5887">
        <v>-8.1628000000000006E-2</v>
      </c>
      <c r="AH5887">
        <v>0.71642021609024398</v>
      </c>
      <c r="AI5887">
        <v>96.499352397085204</v>
      </c>
      <c r="AJ5887">
        <v>90.915915315372899</v>
      </c>
      <c r="AK5887">
        <v>0.721146475165932</v>
      </c>
      <c r="AL5887">
        <v>91.116279486825604</v>
      </c>
      <c r="AM5887">
        <v>96.1677054736152</v>
      </c>
      <c r="AN5887">
        <v>1.00000000488823</v>
      </c>
    </row>
    <row r="5888" spans="1:40" x14ac:dyDescent="0.3">
      <c r="A5888" t="str">
        <f>"20200111160621195"</f>
        <v>20200111160621195</v>
      </c>
      <c r="B5888" t="str">
        <f>"1578729981188248"</f>
        <v>1578729981188248</v>
      </c>
      <c r="C5888" t="s">
        <v>40</v>
      </c>
      <c r="D5888">
        <v>5.4184380000000001</v>
      </c>
      <c r="E5888">
        <v>0.53798509999999999</v>
      </c>
      <c r="F5888" t="s">
        <v>42</v>
      </c>
      <c r="G5888">
        <v>-269.4742</v>
      </c>
      <c r="H5888">
        <v>1.0369269999999999</v>
      </c>
      <c r="I5888">
        <v>-63.04354</v>
      </c>
      <c r="J5888">
        <v>-270.10950000000003</v>
      </c>
      <c r="K5888">
        <v>1.1096969999999999</v>
      </c>
      <c r="L5888">
        <v>-63.000610000000002</v>
      </c>
      <c r="M5888">
        <v>0.9965946</v>
      </c>
      <c r="N5888">
        <v>0</v>
      </c>
      <c r="O5888">
        <v>-8.1932210000000005E-2</v>
      </c>
      <c r="P5888">
        <v>0.99930580000000002</v>
      </c>
      <c r="Q5888">
        <v>-2.6696950000000001E-2</v>
      </c>
      <c r="R5888">
        <v>2.5979249999999999E-2</v>
      </c>
      <c r="S5888">
        <v>2.998901</v>
      </c>
      <c r="T5888">
        <v>-0.29881360000000001</v>
      </c>
      <c r="U5888">
        <v>-0.20819090000000001</v>
      </c>
      <c r="V5888">
        <v>-0.1077835</v>
      </c>
      <c r="W5888">
        <v>-1.737563E-2</v>
      </c>
      <c r="X5888">
        <v>0.99402250000000003</v>
      </c>
      <c r="Y5888">
        <v>-1.225333E-2</v>
      </c>
      <c r="Z5888">
        <v>8.7298959999999991E-3</v>
      </c>
      <c r="AA5888">
        <v>0.99988679999999996</v>
      </c>
      <c r="AB5888">
        <v>18</v>
      </c>
      <c r="AC5888">
        <v>0.63530000000002895</v>
      </c>
      <c r="AD5888">
        <v>-7.2769999999999696E-2</v>
      </c>
      <c r="AE5888">
        <v>-4.2930000000005401E-2</v>
      </c>
      <c r="AF5888">
        <v>-9.14863866807329E-3</v>
      </c>
      <c r="AG5888">
        <v>-7.2769999999999696E-2</v>
      </c>
      <c r="AH5888">
        <v>0.62847304238590895</v>
      </c>
      <c r="AI5888">
        <v>96.604091367959796</v>
      </c>
      <c r="AJ5888">
        <v>90.833991799362906</v>
      </c>
      <c r="AK5888">
        <v>0.63273812552688802</v>
      </c>
      <c r="AL5888">
        <v>90.995600403928407</v>
      </c>
      <c r="AM5888">
        <v>96.188497903921998</v>
      </c>
      <c r="AN5888">
        <v>0.99999996294819704</v>
      </c>
    </row>
    <row r="5889" spans="1:40" x14ac:dyDescent="0.3">
      <c r="A5889" t="str">
        <f>"20200111160621205"</f>
        <v>20200111160621205</v>
      </c>
      <c r="B5889" t="str">
        <f>"1578729981198008"</f>
        <v>1578729981198008</v>
      </c>
      <c r="C5889" t="s">
        <v>40</v>
      </c>
      <c r="D5889">
        <v>5.3356180000000002</v>
      </c>
      <c r="E5889">
        <v>0.53840059999999901</v>
      </c>
      <c r="F5889" t="s">
        <v>42</v>
      </c>
      <c r="G5889">
        <v>-269.31369999999998</v>
      </c>
      <c r="H5889">
        <v>1.0303990000000001</v>
      </c>
      <c r="I5889">
        <v>-63.056890000000003</v>
      </c>
      <c r="J5889">
        <v>-270.01679999999999</v>
      </c>
      <c r="K5889">
        <v>1.109666</v>
      </c>
      <c r="L5889">
        <v>-63.008270000000003</v>
      </c>
      <c r="M5889">
        <v>0.99659350000000002</v>
      </c>
      <c r="N5889">
        <v>0</v>
      </c>
      <c r="O5889">
        <v>-8.1971050000000004E-2</v>
      </c>
      <c r="P5889">
        <v>0.99935300000000005</v>
      </c>
      <c r="Q5889">
        <v>-2.4892810000000001E-2</v>
      </c>
      <c r="R5889">
        <v>2.596072E-2</v>
      </c>
      <c r="S5889">
        <v>2.9996339999999999</v>
      </c>
      <c r="T5889">
        <v>-0.29888979999999998</v>
      </c>
      <c r="U5889">
        <v>-0.21179200000000001</v>
      </c>
      <c r="V5889">
        <v>-0.10780720000000001</v>
      </c>
      <c r="W5889">
        <v>-1.58009E-2</v>
      </c>
      <c r="X5889">
        <v>0.99404630000000005</v>
      </c>
      <c r="Y5889">
        <v>-1.111989E-2</v>
      </c>
      <c r="Z5889">
        <v>8.6770949999999993E-3</v>
      </c>
      <c r="AA5889">
        <v>0.99990049999999997</v>
      </c>
      <c r="AB5889">
        <v>19</v>
      </c>
      <c r="AC5889">
        <v>0.70310000000000605</v>
      </c>
      <c r="AD5889">
        <v>-7.9266999999999893E-2</v>
      </c>
      <c r="AE5889">
        <v>-4.86200000000067E-2</v>
      </c>
      <c r="AF5889">
        <v>-9.0651749368034305E-3</v>
      </c>
      <c r="AG5889">
        <v>-7.9266999999999893E-2</v>
      </c>
      <c r="AH5889">
        <v>0.69591616351656604</v>
      </c>
      <c r="AI5889">
        <v>96.497614064448399</v>
      </c>
      <c r="AJ5889">
        <v>90.746306691896905</v>
      </c>
      <c r="AK5889">
        <v>0.70047465430895595</v>
      </c>
      <c r="AL5889">
        <v>90.905362509981003</v>
      </c>
      <c r="AM5889">
        <v>96.189701050942901</v>
      </c>
      <c r="AN5889">
        <v>1.0000000536781599</v>
      </c>
    </row>
    <row r="5890" spans="1:40" x14ac:dyDescent="0.3">
      <c r="A5890" t="str">
        <f>"20200111160621215"</f>
        <v>20200111160621215</v>
      </c>
      <c r="B5890" t="str">
        <f>"1578729981207768"</f>
        <v>1578729981207768</v>
      </c>
      <c r="C5890" t="s">
        <v>40</v>
      </c>
      <c r="D5890">
        <v>5.3618399999999999</v>
      </c>
      <c r="E5890">
        <v>0.53856700000000002</v>
      </c>
      <c r="F5890" t="s">
        <v>42</v>
      </c>
      <c r="G5890">
        <v>-269.15050000000002</v>
      </c>
      <c r="H5890">
        <v>1.0234129999999999</v>
      </c>
      <c r="I5890">
        <v>-63.070259999999998</v>
      </c>
      <c r="J5890">
        <v>-269.93040000000002</v>
      </c>
      <c r="K5890">
        <v>1.109648</v>
      </c>
      <c r="L5890">
        <v>-63.015439999999998</v>
      </c>
      <c r="M5890">
        <v>0.996591</v>
      </c>
      <c r="N5890">
        <v>0</v>
      </c>
      <c r="O5890">
        <v>-8.2025959999999995E-2</v>
      </c>
      <c r="P5890">
        <v>0.99939630000000002</v>
      </c>
      <c r="Q5890">
        <v>-2.3157520000000001E-2</v>
      </c>
      <c r="R5890">
        <v>2.59063E-2</v>
      </c>
      <c r="S5890">
        <v>3.0000610000000001</v>
      </c>
      <c r="T5890">
        <v>-0.298741799999999</v>
      </c>
      <c r="U5890">
        <v>-0.21463009999999999</v>
      </c>
      <c r="V5890">
        <v>-0.10780960000000001</v>
      </c>
      <c r="W5890">
        <v>-1.4281520000000001E-2</v>
      </c>
      <c r="X5890">
        <v>0.99406899999999998</v>
      </c>
      <c r="Y5890">
        <v>-1.024828E-2</v>
      </c>
      <c r="Z5890">
        <v>8.6333999999999994E-3</v>
      </c>
      <c r="AA5890">
        <v>0.99991019999999997</v>
      </c>
      <c r="AB5890">
        <v>19</v>
      </c>
      <c r="AC5890">
        <v>0.77989999999999704</v>
      </c>
      <c r="AD5890">
        <v>-8.6235000000000006E-2</v>
      </c>
      <c r="AE5890">
        <v>-5.4819999999992299E-2</v>
      </c>
      <c r="AF5890">
        <v>-9.2270360108649592E-3</v>
      </c>
      <c r="AG5890">
        <v>-8.6235000000000006E-2</v>
      </c>
      <c r="AH5890">
        <v>0.77237182372332502</v>
      </c>
      <c r="AI5890">
        <v>96.370215634432597</v>
      </c>
      <c r="AJ5890">
        <v>90.684443757419004</v>
      </c>
      <c r="AK5890">
        <v>0.77722573780095705</v>
      </c>
      <c r="AL5890">
        <v>90.818298619770005</v>
      </c>
      <c r="AM5890">
        <v>96.189697525747306</v>
      </c>
      <c r="AN5890">
        <v>1.00000002421333</v>
      </c>
    </row>
    <row r="5891" spans="1:40" x14ac:dyDescent="0.3">
      <c r="A5891" t="str">
        <f>"20200111160621228"</f>
        <v>20200111160621228</v>
      </c>
      <c r="B5891" t="str">
        <f>"1578729981218504"</f>
        <v>1578729981218504</v>
      </c>
      <c r="C5891" t="s">
        <v>40</v>
      </c>
      <c r="D5891">
        <v>5.4170579999999999</v>
      </c>
      <c r="E5891">
        <v>0.53894759999999997</v>
      </c>
      <c r="F5891" t="s">
        <v>42</v>
      </c>
      <c r="G5891">
        <v>-269.14600000000002</v>
      </c>
      <c r="H5891">
        <v>1.0315669999999999</v>
      </c>
      <c r="I5891">
        <v>-63.071800000000003</v>
      </c>
      <c r="J5891">
        <v>-269.83339999999998</v>
      </c>
      <c r="K5891">
        <v>1.1096280000000001</v>
      </c>
      <c r="L5891">
        <v>-63.023499999999999</v>
      </c>
      <c r="M5891">
        <v>0.99658780000000002</v>
      </c>
      <c r="N5891">
        <v>0</v>
      </c>
      <c r="O5891">
        <v>-8.2091339999999999E-2</v>
      </c>
      <c r="P5891">
        <v>0.99945620000000002</v>
      </c>
      <c r="Q5891">
        <v>-2.1321690000000001E-2</v>
      </c>
      <c r="R5891">
        <v>2.5162150000000001E-2</v>
      </c>
      <c r="S5891">
        <v>3.0005190000000002</v>
      </c>
      <c r="T5891">
        <v>-0.29870000000000002</v>
      </c>
      <c r="U5891">
        <v>-0.21554570000000001</v>
      </c>
      <c r="V5891">
        <v>-0.10713689999999999</v>
      </c>
      <c r="W5891">
        <v>-1.268823E-2</v>
      </c>
      <c r="X5891">
        <v>0.99416329999999997</v>
      </c>
      <c r="Y5891">
        <v>-1.0022100000000001E-2</v>
      </c>
      <c r="Z5891">
        <v>8.626E-3</v>
      </c>
      <c r="AA5891">
        <v>0.99991260000000004</v>
      </c>
      <c r="AB5891">
        <v>19</v>
      </c>
      <c r="AC5891">
        <v>0.68740000000002499</v>
      </c>
      <c r="AD5891">
        <v>-7.8061000000000103E-2</v>
      </c>
      <c r="AE5891">
        <v>-4.8300000000004603E-2</v>
      </c>
      <c r="AF5891">
        <v>-8.1896094067888496E-3</v>
      </c>
      <c r="AG5891">
        <v>-7.8061000000000103E-2</v>
      </c>
      <c r="AH5891">
        <v>0.68031476190045104</v>
      </c>
      <c r="AI5891">
        <v>96.545163399025697</v>
      </c>
      <c r="AJ5891">
        <v>90.689691621160804</v>
      </c>
      <c r="AK5891">
        <v>0.68482754375309896</v>
      </c>
      <c r="AL5891">
        <v>90.7270015457879</v>
      </c>
      <c r="AM5891">
        <v>96.150793656617495</v>
      </c>
      <c r="AN5891">
        <v>0.99999998679451596</v>
      </c>
    </row>
    <row r="5892" spans="1:40" x14ac:dyDescent="0.3">
      <c r="A5892" t="str">
        <f>"20200111160621239"</f>
        <v>20200111160621239</v>
      </c>
      <c r="B5892" t="str">
        <f>"1578729981228265"</f>
        <v>1578729981228265</v>
      </c>
      <c r="C5892" t="s">
        <v>40</v>
      </c>
      <c r="D5892">
        <v>5.3509580000000003</v>
      </c>
      <c r="E5892">
        <v>0.53889580000000004</v>
      </c>
      <c r="F5892" t="s">
        <v>42</v>
      </c>
      <c r="G5892">
        <v>-268.98160000000001</v>
      </c>
      <c r="H5892">
        <v>1.025174</v>
      </c>
      <c r="I5892">
        <v>-63.086060000000003</v>
      </c>
      <c r="J5892">
        <v>-269.74310000000003</v>
      </c>
      <c r="K5892">
        <v>1.109626</v>
      </c>
      <c r="L5892">
        <v>-63.031039999999997</v>
      </c>
      <c r="M5892">
        <v>0.99658420000000003</v>
      </c>
      <c r="N5892">
        <v>0</v>
      </c>
      <c r="O5892">
        <v>-8.2157720000000004E-2</v>
      </c>
      <c r="P5892">
        <v>0.99950119999999998</v>
      </c>
      <c r="Q5892">
        <v>-1.9954429999999999E-2</v>
      </c>
      <c r="R5892">
        <v>2.4481639999999999E-2</v>
      </c>
      <c r="S5892">
        <v>3.0008539999999999</v>
      </c>
      <c r="T5892">
        <v>-0.2974927</v>
      </c>
      <c r="U5892">
        <v>-0.2202759</v>
      </c>
      <c r="V5892">
        <v>-0.10652730000000001</v>
      </c>
      <c r="W5892">
        <v>-1.154665E-2</v>
      </c>
      <c r="X5892">
        <v>0.99424270000000003</v>
      </c>
      <c r="Y5892">
        <v>-8.5393399999999994E-3</v>
      </c>
      <c r="Z5892">
        <v>8.5230289999999997E-3</v>
      </c>
      <c r="AA5892">
        <v>0.99992720000000002</v>
      </c>
      <c r="AB5892">
        <v>19</v>
      </c>
      <c r="AC5892">
        <v>0.76150000000001195</v>
      </c>
      <c r="AD5892">
        <v>-8.4451999999999902E-2</v>
      </c>
      <c r="AE5892">
        <v>-5.5019999999991798E-2</v>
      </c>
      <c r="AF5892">
        <v>-7.6378594596747404E-3</v>
      </c>
      <c r="AG5892">
        <v>-8.4451999999999902E-2</v>
      </c>
      <c r="AH5892">
        <v>0.75421775405033897</v>
      </c>
      <c r="AI5892">
        <v>96.388640774102697</v>
      </c>
      <c r="AJ5892">
        <v>90.580206645129394</v>
      </c>
      <c r="AK5892">
        <v>0.75896962898778997</v>
      </c>
      <c r="AL5892">
        <v>90.661589034893296</v>
      </c>
      <c r="AM5892">
        <v>96.115577428381897</v>
      </c>
      <c r="AN5892">
        <v>0.99999996863740004</v>
      </c>
    </row>
    <row r="5893" spans="1:40" x14ac:dyDescent="0.3">
      <c r="A5893" t="str">
        <f>"20200111160621249"</f>
        <v>20200111160621249</v>
      </c>
      <c r="B5893" t="str">
        <f>"1578729981238025"</f>
        <v>1578729981238025</v>
      </c>
      <c r="C5893" t="s">
        <v>40</v>
      </c>
      <c r="D5893">
        <v>5.2867550000000003</v>
      </c>
      <c r="E5893">
        <v>0.53889580000000004</v>
      </c>
      <c r="F5893" t="s">
        <v>42</v>
      </c>
      <c r="G5893">
        <v>-268.97680000000003</v>
      </c>
      <c r="H5893">
        <v>1.0335379999999901</v>
      </c>
      <c r="I5893">
        <v>-63.087589999999999</v>
      </c>
      <c r="J5893">
        <v>-269.65030000000002</v>
      </c>
      <c r="K5893">
        <v>1.1096189999999999</v>
      </c>
      <c r="L5893">
        <v>-63.038789999999999</v>
      </c>
      <c r="M5893">
        <v>0.99658040000000003</v>
      </c>
      <c r="N5893">
        <v>0</v>
      </c>
      <c r="O5893">
        <v>-8.2225119999999999E-2</v>
      </c>
      <c r="P5893">
        <v>0.99954509999999996</v>
      </c>
      <c r="Q5893">
        <v>-1.8906369999999999E-2</v>
      </c>
      <c r="R5893">
        <v>2.3496119999999999E-2</v>
      </c>
      <c r="S5893">
        <v>3.0009459999999999</v>
      </c>
      <c r="T5893">
        <v>-0.29795429999999901</v>
      </c>
      <c r="U5893">
        <v>-0.22128300000000001</v>
      </c>
      <c r="V5893">
        <v>-0.1056146</v>
      </c>
      <c r="W5893">
        <v>-1.0729819999999999E-2</v>
      </c>
      <c r="X5893">
        <v>0.99434920000000004</v>
      </c>
      <c r="Y5893">
        <v>-8.2749339999999994E-3</v>
      </c>
      <c r="Z5893">
        <v>8.5293519999999901E-3</v>
      </c>
      <c r="AA5893">
        <v>0.99992939999999997</v>
      </c>
      <c r="AB5893">
        <v>19</v>
      </c>
      <c r="AC5893">
        <v>0.67349999999999</v>
      </c>
      <c r="AD5893">
        <v>-7.6081000000000204E-2</v>
      </c>
      <c r="AE5893">
        <v>-4.8799999999999899E-2</v>
      </c>
      <c r="AF5893">
        <v>-6.6611615358299504E-3</v>
      </c>
      <c r="AG5893">
        <v>-7.6081000000000204E-2</v>
      </c>
      <c r="AH5893">
        <v>0.66676790734688096</v>
      </c>
      <c r="AI5893">
        <v>96.509212013503898</v>
      </c>
      <c r="AJ5893">
        <v>90.572378697580106</v>
      </c>
      <c r="AK5893">
        <v>0.67112750793105203</v>
      </c>
      <c r="AL5893">
        <v>90.614785227339695</v>
      </c>
      <c r="AM5893">
        <v>96.062928060150696</v>
      </c>
      <c r="AN5893">
        <v>0.99999995215551496</v>
      </c>
    </row>
    <row r="5894" spans="1:40" x14ac:dyDescent="0.3">
      <c r="A5894" t="str">
        <f>"20200111160621261"</f>
        <v>20200111160621261</v>
      </c>
      <c r="B5894" t="str">
        <f>"1578729981258520"</f>
        <v>1578729981258520</v>
      </c>
      <c r="C5894" t="s">
        <v>40</v>
      </c>
      <c r="D5894">
        <v>5.3627520000000004</v>
      </c>
      <c r="E5894">
        <v>0.49945309999999998</v>
      </c>
      <c r="F5894" t="s">
        <v>42</v>
      </c>
      <c r="G5894">
        <v>-268.81139999999999</v>
      </c>
      <c r="H5894">
        <v>1.02711</v>
      </c>
      <c r="I5894">
        <v>-63.101559999999999</v>
      </c>
      <c r="J5894">
        <v>-269.5523</v>
      </c>
      <c r="K5894">
        <v>1.109613</v>
      </c>
      <c r="L5894">
        <v>-63.046970000000002</v>
      </c>
      <c r="M5894">
        <v>0.99657669999999998</v>
      </c>
      <c r="N5894">
        <v>0</v>
      </c>
      <c r="O5894">
        <v>-8.2295460000000001E-2</v>
      </c>
      <c r="P5894">
        <v>0.99959279999999995</v>
      </c>
      <c r="Q5894">
        <v>-1.8025800000000002E-2</v>
      </c>
      <c r="R5894">
        <v>2.212503E-2</v>
      </c>
      <c r="S5894">
        <v>3.001007</v>
      </c>
      <c r="T5894">
        <v>-0.295139599999999</v>
      </c>
      <c r="U5894">
        <v>-0.223938</v>
      </c>
      <c r="V5894">
        <v>-0.10432080000000001</v>
      </c>
      <c r="W5894">
        <v>-1.009212E-2</v>
      </c>
      <c r="X5894">
        <v>0.9944925</v>
      </c>
      <c r="Y5894">
        <v>-7.47883199999999E-3</v>
      </c>
      <c r="Z5894">
        <v>8.4164940000000001E-3</v>
      </c>
      <c r="AA5894">
        <v>0.99993659999999995</v>
      </c>
      <c r="AB5894">
        <v>19</v>
      </c>
      <c r="AC5894">
        <v>0.74090000000001</v>
      </c>
      <c r="AD5894">
        <v>-8.2502999999999896E-2</v>
      </c>
      <c r="AE5894">
        <v>-5.4590000000004503E-2</v>
      </c>
      <c r="AF5894">
        <v>-6.4897509000533303E-3</v>
      </c>
      <c r="AG5894">
        <v>-8.2502999999999896E-2</v>
      </c>
      <c r="AH5894">
        <v>0.73382902348447498</v>
      </c>
      <c r="AI5894">
        <v>96.414469654782494</v>
      </c>
      <c r="AJ5894">
        <v>90.506692473836793</v>
      </c>
      <c r="AK5894">
        <v>0.73848080380191505</v>
      </c>
      <c r="AL5894">
        <v>90.578245694741099</v>
      </c>
      <c r="AM5894">
        <v>95.988342407286595</v>
      </c>
      <c r="AN5894">
        <v>1.0000000063774901</v>
      </c>
    </row>
    <row r="5895" spans="1:40" x14ac:dyDescent="0.3">
      <c r="A5895" t="str">
        <f>"20200111160621273"</f>
        <v>20200111160621273</v>
      </c>
      <c r="B5895" t="str">
        <f>"1578729981268280"</f>
        <v>1578729981268280</v>
      </c>
      <c r="C5895" t="s">
        <v>40</v>
      </c>
      <c r="D5895">
        <v>5.6120660000000004</v>
      </c>
      <c r="E5895">
        <v>0.49597750000000002</v>
      </c>
      <c r="F5895" t="s">
        <v>95</v>
      </c>
      <c r="G5895">
        <v>-258.44299999999998</v>
      </c>
      <c r="H5895" s="1">
        <v>-3.2086850000000001E-6</v>
      </c>
      <c r="I5895">
        <v>-62.720730000000003</v>
      </c>
      <c r="J5895">
        <v>-269.45460000000003</v>
      </c>
      <c r="K5895">
        <v>1.1096109999999999</v>
      </c>
      <c r="L5895">
        <v>-63.055109999999999</v>
      </c>
      <c r="M5895">
        <v>0.99657320000000005</v>
      </c>
      <c r="N5895">
        <v>0</v>
      </c>
      <c r="O5895">
        <v>-8.2358290000000001E-2</v>
      </c>
      <c r="P5895">
        <v>0.99963829999999998</v>
      </c>
      <c r="Q5895">
        <v>-1.7426629999999999E-2</v>
      </c>
      <c r="R5895">
        <v>2.048705E-2</v>
      </c>
      <c r="S5895">
        <v>2.9939269999999998</v>
      </c>
      <c r="T5895">
        <v>-0.29903930000000001</v>
      </c>
      <c r="U5895">
        <v>8.7921139999999995E-2</v>
      </c>
      <c r="V5895">
        <v>-0.10275430000000001</v>
      </c>
      <c r="W5895">
        <v>-9.7366009999999992E-3</v>
      </c>
      <c r="X5895">
        <v>0.99465910000000002</v>
      </c>
      <c r="Y5895">
        <v>-0.11062</v>
      </c>
      <c r="Z5895">
        <v>1.3709239999999999E-2</v>
      </c>
      <c r="AA5895">
        <v>0.99376819999999999</v>
      </c>
      <c r="AB5895">
        <v>19</v>
      </c>
      <c r="AC5895">
        <v>11.0116</v>
      </c>
      <c r="AD5895">
        <v>-1.109614208685</v>
      </c>
      <c r="AE5895">
        <v>0.33437999999999501</v>
      </c>
      <c r="AF5895">
        <v>-1.2277123799042899</v>
      </c>
      <c r="AG5895">
        <v>-1.109614208685</v>
      </c>
      <c r="AH5895">
        <v>10.836713111978399</v>
      </c>
      <c r="AI5895">
        <v>95.809460779012696</v>
      </c>
      <c r="AJ5895">
        <v>96.463591170536105</v>
      </c>
      <c r="AK5895">
        <v>10.9623388221315</v>
      </c>
      <c r="AL5895">
        <v>90.557874966486807</v>
      </c>
      <c r="AM5895">
        <v>95.898078182841701</v>
      </c>
      <c r="AN5895">
        <v>0.99999998639016596</v>
      </c>
    </row>
    <row r="5896" spans="1:40" x14ac:dyDescent="0.3">
      <c r="A5896" t="str">
        <f>"20200111160621284"</f>
        <v>20200111160621284</v>
      </c>
      <c r="B5896" t="str">
        <f>"1578729981278039"</f>
        <v>1578729981278039</v>
      </c>
      <c r="C5896" t="s">
        <v>40</v>
      </c>
      <c r="D5896">
        <v>5.4184400000000004</v>
      </c>
      <c r="E5896">
        <v>0.49349589999999999</v>
      </c>
      <c r="F5896" t="s">
        <v>95</v>
      </c>
      <c r="G5896">
        <v>-257.88979999999998</v>
      </c>
      <c r="H5896" s="1">
        <v>-3.0081559999999999E-6</v>
      </c>
      <c r="I5896">
        <v>-62.629069999999999</v>
      </c>
      <c r="J5896">
        <v>-269.35329999999999</v>
      </c>
      <c r="K5896">
        <v>1.109607</v>
      </c>
      <c r="L5896">
        <v>-63.063569999999999</v>
      </c>
      <c r="M5896">
        <v>0.99657010000000001</v>
      </c>
      <c r="N5896">
        <v>0</v>
      </c>
      <c r="O5896">
        <v>-8.2420160000000006E-2</v>
      </c>
      <c r="P5896">
        <v>0.9996796</v>
      </c>
      <c r="Q5896">
        <v>-1.7114460000000001E-2</v>
      </c>
      <c r="R5896">
        <v>1.8658370000000001E-2</v>
      </c>
      <c r="S5896">
        <v>2.993805</v>
      </c>
      <c r="T5896">
        <v>-0.2872478</v>
      </c>
      <c r="U5896">
        <v>0.1102905</v>
      </c>
      <c r="V5896">
        <v>-0.100996</v>
      </c>
      <c r="W5896">
        <v>-9.6776780000000003E-3</v>
      </c>
      <c r="X5896">
        <v>0.99483980000000005</v>
      </c>
      <c r="Y5896">
        <v>-0.11813609999999999</v>
      </c>
      <c r="Z5896">
        <v>1.353623E-2</v>
      </c>
      <c r="AA5896">
        <v>0.99290509999999998</v>
      </c>
      <c r="AB5896">
        <v>19</v>
      </c>
      <c r="AC5896">
        <v>11.4635</v>
      </c>
      <c r="AD5896">
        <v>-1.1096100081559901</v>
      </c>
      <c r="AE5896">
        <v>0.434499999999999</v>
      </c>
      <c r="AF5896">
        <v>-1.36509942042828</v>
      </c>
      <c r="AG5896">
        <v>-1.1096100081559901</v>
      </c>
      <c r="AH5896">
        <v>11.2831196450477</v>
      </c>
      <c r="AI5896">
        <v>95.576145971412899</v>
      </c>
      <c r="AJ5896">
        <v>96.898458113208804</v>
      </c>
      <c r="AK5896">
        <v>11.4194360509753</v>
      </c>
      <c r="AL5896">
        <v>90.554498739221103</v>
      </c>
      <c r="AM5896">
        <v>95.7967996283259</v>
      </c>
      <c r="AN5896">
        <v>1.0000000385657499</v>
      </c>
    </row>
    <row r="5897" spans="1:40" x14ac:dyDescent="0.3">
      <c r="A5897" t="str">
        <f>"20200111160621294"</f>
        <v>20200111160621294</v>
      </c>
      <c r="B5897" t="str">
        <f>"1578729981287801"</f>
        <v>1578729981287801</v>
      </c>
      <c r="C5897" t="s">
        <v>40</v>
      </c>
      <c r="D5897">
        <v>5.2983580000000003</v>
      </c>
      <c r="E5897">
        <v>0.49234440000000002</v>
      </c>
      <c r="F5897" t="s">
        <v>95</v>
      </c>
      <c r="G5897">
        <v>-257.6225</v>
      </c>
      <c r="H5897" s="1">
        <v>-2.8935560000000002E-6</v>
      </c>
      <c r="I5897">
        <v>-62.57544</v>
      </c>
      <c r="J5897">
        <v>-269.26170000000002</v>
      </c>
      <c r="K5897">
        <v>1.1096029999999999</v>
      </c>
      <c r="L5897">
        <v>-63.07123</v>
      </c>
      <c r="M5897">
        <v>0.99656849999999997</v>
      </c>
      <c r="N5897">
        <v>0</v>
      </c>
      <c r="O5897">
        <v>-8.2460110000000003E-2</v>
      </c>
      <c r="P5897">
        <v>0.9997163</v>
      </c>
      <c r="Q5897">
        <v>-1.6989839999999999E-2</v>
      </c>
      <c r="R5897">
        <v>1.6702479999999999E-2</v>
      </c>
      <c r="S5897">
        <v>2.9937740000000002</v>
      </c>
      <c r="T5897">
        <v>-0.28317930000000002</v>
      </c>
      <c r="U5897">
        <v>0.1245728</v>
      </c>
      <c r="V5897">
        <v>-9.9089200000000002E-2</v>
      </c>
      <c r="W5897">
        <v>-9.7865499999999998E-3</v>
      </c>
      <c r="X5897">
        <v>0.99503039999999998</v>
      </c>
      <c r="Y5897">
        <v>-0.1229087</v>
      </c>
      <c r="Z5897">
        <v>1.357351E-2</v>
      </c>
      <c r="AA5897">
        <v>0.99232509999999996</v>
      </c>
      <c r="AB5897">
        <v>19</v>
      </c>
      <c r="AC5897">
        <v>11.639200000000001</v>
      </c>
      <c r="AD5897">
        <v>-1.109605893556</v>
      </c>
      <c r="AE5897">
        <v>0.495790000000006</v>
      </c>
      <c r="AF5897">
        <v>-1.44082469829912</v>
      </c>
      <c r="AG5897">
        <v>-1.109605893556</v>
      </c>
      <c r="AH5897">
        <v>11.454757369362101</v>
      </c>
      <c r="AI5897">
        <v>95.4899052224212</v>
      </c>
      <c r="AJ5897">
        <v>97.169238413630893</v>
      </c>
      <c r="AK5897">
        <v>11.5982182873577</v>
      </c>
      <c r="AL5897">
        <v>90.560736978116097</v>
      </c>
      <c r="AM5897">
        <v>95.686998395427693</v>
      </c>
      <c r="AN5897">
        <v>0.99999997152084996</v>
      </c>
    </row>
    <row r="5898" spans="1:40" x14ac:dyDescent="0.3">
      <c r="A5898" t="str">
        <f>"20200111160621305"</f>
        <v>20200111160621305</v>
      </c>
      <c r="B5898" t="str">
        <f>"1578729981298537"</f>
        <v>1578729981298537</v>
      </c>
      <c r="C5898" t="s">
        <v>40</v>
      </c>
      <c r="D5898">
        <v>5.3227169999999999</v>
      </c>
      <c r="E5898">
        <v>0.49125089999999999</v>
      </c>
      <c r="F5898" t="s">
        <v>95</v>
      </c>
      <c r="G5898">
        <v>-257.43880000000001</v>
      </c>
      <c r="H5898" s="1">
        <v>-2.8126840000000002E-6</v>
      </c>
      <c r="I5898">
        <v>-62.566040000000001</v>
      </c>
      <c r="J5898">
        <v>-269.16989999999998</v>
      </c>
      <c r="K5898">
        <v>1.109594</v>
      </c>
      <c r="L5898">
        <v>-63.078890000000001</v>
      </c>
      <c r="M5898">
        <v>0.99656710000000004</v>
      </c>
      <c r="N5898">
        <v>0</v>
      </c>
      <c r="O5898">
        <v>-8.2495440000000003E-2</v>
      </c>
      <c r="P5898">
        <v>0.99974470000000004</v>
      </c>
      <c r="Q5898">
        <v>-1.7192860000000001E-2</v>
      </c>
      <c r="R5898">
        <v>1.4658559999999999E-2</v>
      </c>
      <c r="S5898">
        <v>2.9939269999999998</v>
      </c>
      <c r="T5898">
        <v>-0.28098879999999998</v>
      </c>
      <c r="U5898">
        <v>0.12792970000000001</v>
      </c>
      <c r="V5898">
        <v>-9.7088670000000002E-2</v>
      </c>
      <c r="W5898">
        <v>-1.022377E-2</v>
      </c>
      <c r="X5898">
        <v>0.99522319999999997</v>
      </c>
      <c r="Y5898">
        <v>-0.1240612</v>
      </c>
      <c r="Z5898">
        <v>1.3525300000000001E-2</v>
      </c>
      <c r="AA5898">
        <v>0.99218240000000002</v>
      </c>
      <c r="AB5898">
        <v>19</v>
      </c>
      <c r="AC5898">
        <v>11.7310999999999</v>
      </c>
      <c r="AD5898">
        <v>-1.1095968126839999</v>
      </c>
      <c r="AE5898">
        <v>0.51285000000000003</v>
      </c>
      <c r="AF5898">
        <v>-1.4657988229661101</v>
      </c>
      <c r="AG5898">
        <v>-1.1095968126839999</v>
      </c>
      <c r="AH5898">
        <v>11.545706539803801</v>
      </c>
      <c r="AI5898">
        <v>95.446086958525996</v>
      </c>
      <c r="AJ5898">
        <v>97.235346309918697</v>
      </c>
      <c r="AK5898">
        <v>11.691155237160901</v>
      </c>
      <c r="AL5898">
        <v>90.585789090722102</v>
      </c>
      <c r="AM5898">
        <v>95.571839876650799</v>
      </c>
      <c r="AN5898">
        <v>0.99999997656680994</v>
      </c>
    </row>
    <row r="5899" spans="1:40" x14ac:dyDescent="0.3">
      <c r="A5899" t="str">
        <f>"20200111160621316"</f>
        <v>20200111160621316</v>
      </c>
      <c r="B5899" t="str">
        <f>"1578729981308296"</f>
        <v>1578729981308296</v>
      </c>
      <c r="C5899" t="s">
        <v>40</v>
      </c>
      <c r="D5899">
        <v>5.2650290000000002</v>
      </c>
      <c r="E5899">
        <v>0.49062230000000001</v>
      </c>
      <c r="F5899" t="s">
        <v>95</v>
      </c>
      <c r="G5899">
        <v>-257.34120000000001</v>
      </c>
      <c r="H5899" s="1">
        <v>-2.7701040000000001E-6</v>
      </c>
      <c r="I5899">
        <v>-62.562849999999997</v>
      </c>
      <c r="J5899">
        <v>-269.07429999999999</v>
      </c>
      <c r="K5899">
        <v>1.109585</v>
      </c>
      <c r="L5899">
        <v>-63.086849999999998</v>
      </c>
      <c r="M5899">
        <v>0.99656719999999999</v>
      </c>
      <c r="N5899">
        <v>0</v>
      </c>
      <c r="O5899">
        <v>-8.2513829999999996E-2</v>
      </c>
      <c r="P5899">
        <v>0.99975990000000003</v>
      </c>
      <c r="Q5899">
        <v>-1.8052740000000001E-2</v>
      </c>
      <c r="R5899">
        <v>1.2426629999999999E-2</v>
      </c>
      <c r="S5899">
        <v>2.9939879999999999</v>
      </c>
      <c r="T5899">
        <v>-0.28085290000000002</v>
      </c>
      <c r="U5899">
        <v>0.13061519999999999</v>
      </c>
      <c r="V5899">
        <v>-9.4883930000000005E-2</v>
      </c>
      <c r="W5899">
        <v>-1.133057E-2</v>
      </c>
      <c r="X5899">
        <v>0.99542390000000003</v>
      </c>
      <c r="Y5899">
        <v>-0.1249637</v>
      </c>
      <c r="Z5899">
        <v>1.356225E-2</v>
      </c>
      <c r="AA5899">
        <v>0.99206859999999997</v>
      </c>
      <c r="AB5899">
        <v>19</v>
      </c>
      <c r="AC5899">
        <v>11.733099999999901</v>
      </c>
      <c r="AD5899">
        <v>-1.109587770104</v>
      </c>
      <c r="AE5899">
        <v>0.52400000000000002</v>
      </c>
      <c r="AF5899">
        <v>-1.4771932918076101</v>
      </c>
      <c r="AG5899">
        <v>-1.109587770104</v>
      </c>
      <c r="AH5899">
        <v>11.546788314066401</v>
      </c>
      <c r="AI5899">
        <v>95.444873957073298</v>
      </c>
      <c r="AJ5899">
        <v>97.290312042965297</v>
      </c>
      <c r="AK5899">
        <v>11.6936566313016</v>
      </c>
      <c r="AL5899">
        <v>90.6492077052214</v>
      </c>
      <c r="AM5899">
        <v>95.444989674407793</v>
      </c>
      <c r="AN5899">
        <v>1.0000000413399801</v>
      </c>
    </row>
    <row r="5900" spans="1:40" x14ac:dyDescent="0.3">
      <c r="A5900" t="str">
        <f>"20200111160621328"</f>
        <v>20200111160621328</v>
      </c>
      <c r="B5900" t="str">
        <f>"1578729981318057"</f>
        <v>1578729981318057</v>
      </c>
      <c r="C5900" t="s">
        <v>40</v>
      </c>
      <c r="D5900">
        <v>5.2386980000000003</v>
      </c>
      <c r="E5900">
        <v>0.4904559</v>
      </c>
      <c r="F5900" t="s">
        <v>95</v>
      </c>
      <c r="G5900">
        <v>-257.30009999999999</v>
      </c>
      <c r="H5900" s="1">
        <v>-2.756103E-6</v>
      </c>
      <c r="I5900">
        <v>-62.5792</v>
      </c>
      <c r="J5900">
        <v>-268.97320000000002</v>
      </c>
      <c r="K5900">
        <v>1.1095729999999999</v>
      </c>
      <c r="L5900">
        <v>-63.09525</v>
      </c>
      <c r="M5900">
        <v>0.99656840000000002</v>
      </c>
      <c r="N5900">
        <v>0</v>
      </c>
      <c r="O5900">
        <v>-8.2520280000000001E-2</v>
      </c>
      <c r="P5900">
        <v>0.99976969999999998</v>
      </c>
      <c r="Q5900">
        <v>-1.8726920000000001E-2</v>
      </c>
      <c r="R5900">
        <v>1.04738E-2</v>
      </c>
      <c r="S5900">
        <v>2.994049</v>
      </c>
      <c r="T5900">
        <v>-0.28215630000000003</v>
      </c>
      <c r="U5900">
        <v>0.12908939999999999</v>
      </c>
      <c r="V5900">
        <v>-9.2944219999999994E-2</v>
      </c>
      <c r="W5900">
        <v>-1.226756E-2</v>
      </c>
      <c r="X5900">
        <v>0.99559580000000003</v>
      </c>
      <c r="Y5900">
        <v>-0.1244582</v>
      </c>
      <c r="Z5900">
        <v>1.360158E-2</v>
      </c>
      <c r="AA5900">
        <v>0.9921316</v>
      </c>
      <c r="AB5900">
        <v>19</v>
      </c>
      <c r="AC5900">
        <v>11.6731</v>
      </c>
      <c r="AD5900">
        <v>-1.109575756103</v>
      </c>
      <c r="AE5900">
        <v>0.51604999999999901</v>
      </c>
      <c r="AF5900">
        <v>-1.4643723029800999</v>
      </c>
      <c r="AG5900">
        <v>-1.109575756103</v>
      </c>
      <c r="AH5900">
        <v>11.487113594670801</v>
      </c>
      <c r="AI5900">
        <v>95.473238116767604</v>
      </c>
      <c r="AJ5900">
        <v>97.264856622501895</v>
      </c>
      <c r="AK5900">
        <v>11.633113226352499</v>
      </c>
      <c r="AL5900">
        <v>90.702897002373206</v>
      </c>
      <c r="AM5900">
        <v>95.333410909735903</v>
      </c>
      <c r="AN5900">
        <v>1.0000000590186899</v>
      </c>
    </row>
    <row r="5901" spans="1:40" x14ac:dyDescent="0.3">
      <c r="A5901" t="str">
        <f>"20200111160621339"</f>
        <v>20200111160621339</v>
      </c>
      <c r="B5901" t="str">
        <f>"1578729981327816"</f>
        <v>1578729981327816</v>
      </c>
      <c r="C5901" t="s">
        <v>40</v>
      </c>
      <c r="D5901">
        <v>5.2204790000000001</v>
      </c>
      <c r="E5901">
        <v>0.4901199</v>
      </c>
      <c r="F5901" t="s">
        <v>95</v>
      </c>
      <c r="G5901">
        <v>-257.08199999999999</v>
      </c>
      <c r="H5901" s="1">
        <v>-2.6673319999999999E-6</v>
      </c>
      <c r="I5901">
        <v>-62.600749999999998</v>
      </c>
      <c r="J5901">
        <v>-268.8777</v>
      </c>
      <c r="K5901">
        <v>1.109558</v>
      </c>
      <c r="L5901">
        <v>-63.103180000000002</v>
      </c>
      <c r="M5901">
        <v>0.99657090000000004</v>
      </c>
      <c r="N5901">
        <v>0</v>
      </c>
      <c r="O5901">
        <v>-8.2509550000000001E-2</v>
      </c>
      <c r="P5901">
        <v>0.99976690000000001</v>
      </c>
      <c r="Q5901">
        <v>-1.9701389999999999E-2</v>
      </c>
      <c r="R5901">
        <v>8.8514149999999996E-3</v>
      </c>
      <c r="S5901">
        <v>2.9941710000000001</v>
      </c>
      <c r="T5901">
        <v>-0.27938869999999999</v>
      </c>
      <c r="U5901">
        <v>0.1245117</v>
      </c>
      <c r="V5901">
        <v>-9.1315750000000001E-2</v>
      </c>
      <c r="W5901">
        <v>-1.349268E-2</v>
      </c>
      <c r="X5901">
        <v>0.99573060000000002</v>
      </c>
      <c r="Y5901">
        <v>-0.1229558</v>
      </c>
      <c r="Z5901">
        <v>1.3397589999999999E-2</v>
      </c>
      <c r="AA5901">
        <v>0.99232169999999997</v>
      </c>
      <c r="AB5901">
        <v>19</v>
      </c>
      <c r="AC5901">
        <v>11.7957</v>
      </c>
      <c r="AD5901">
        <v>-1.109560667332</v>
      </c>
      <c r="AE5901">
        <v>0.50243000000000304</v>
      </c>
      <c r="AF5901">
        <v>-1.4610888895206899</v>
      </c>
      <c r="AG5901">
        <v>-1.109560667332</v>
      </c>
      <c r="AH5901">
        <v>11.611467799886</v>
      </c>
      <c r="AI5901">
        <v>95.416004913142103</v>
      </c>
      <c r="AJ5901">
        <v>97.171922360827907</v>
      </c>
      <c r="AK5901">
        <v>11.755513178307501</v>
      </c>
      <c r="AL5901">
        <v>90.773097058963103</v>
      </c>
      <c r="AM5901">
        <v>95.239783929582799</v>
      </c>
      <c r="AN5901">
        <v>1.0000000231940001</v>
      </c>
    </row>
    <row r="5902" spans="1:40" x14ac:dyDescent="0.3">
      <c r="A5902" t="str">
        <f>"20200111160621351"</f>
        <v>20200111160621351</v>
      </c>
      <c r="B5902" t="str">
        <f>"1578729981348313"</f>
        <v>1578729981348313</v>
      </c>
      <c r="C5902" t="s">
        <v>40</v>
      </c>
      <c r="D5902">
        <v>5.1901769999999896</v>
      </c>
      <c r="E5902">
        <v>0.48925459999999898</v>
      </c>
      <c r="F5902" t="s">
        <v>95</v>
      </c>
      <c r="G5902">
        <v>-256.9511</v>
      </c>
      <c r="H5902" s="1">
        <v>-2.6145039999999998E-6</v>
      </c>
      <c r="I5902">
        <v>-62.615839999999999</v>
      </c>
      <c r="J5902">
        <v>-268.77730000000003</v>
      </c>
      <c r="K5902">
        <v>1.1095440000000001</v>
      </c>
      <c r="L5902">
        <v>-63.111510000000003</v>
      </c>
      <c r="M5902">
        <v>0.9965754</v>
      </c>
      <c r="N5902">
        <v>0</v>
      </c>
      <c r="O5902">
        <v>-8.2476389999999997E-2</v>
      </c>
      <c r="P5902">
        <v>0.99977199999999999</v>
      </c>
      <c r="Q5902">
        <v>-1.9989610000000001E-2</v>
      </c>
      <c r="R5902">
        <v>7.5354890000000002E-3</v>
      </c>
      <c r="S5902">
        <v>2.9941409999999999</v>
      </c>
      <c r="T5902">
        <v>-0.27855029999999997</v>
      </c>
      <c r="U5902">
        <v>0.122345</v>
      </c>
      <c r="V5902">
        <v>-8.9970339999999996E-2</v>
      </c>
      <c r="W5902">
        <v>-1.4047749999999999E-2</v>
      </c>
      <c r="X5902">
        <v>0.99584539999999999</v>
      </c>
      <c r="Y5902">
        <v>-0.1222148</v>
      </c>
      <c r="Z5902">
        <v>1.332037E-2</v>
      </c>
      <c r="AA5902">
        <v>0.99241429999999997</v>
      </c>
      <c r="AB5902">
        <v>19</v>
      </c>
      <c r="AC5902">
        <v>11.8262</v>
      </c>
      <c r="AD5902">
        <v>-1.1095466145040001</v>
      </c>
      <c r="AE5902">
        <v>0.49566999999998901</v>
      </c>
      <c r="AF5902">
        <v>-1.45658169423982</v>
      </c>
      <c r="AG5902">
        <v>-1.1095466145040001</v>
      </c>
      <c r="AH5902">
        <v>11.642721081932001</v>
      </c>
      <c r="AI5902">
        <v>95.401965318226203</v>
      </c>
      <c r="AJ5902">
        <v>97.131032190835199</v>
      </c>
      <c r="AK5902">
        <v>11.7858253047216</v>
      </c>
      <c r="AL5902">
        <v>90.804903236328698</v>
      </c>
      <c r="AM5902">
        <v>95.162411396200994</v>
      </c>
      <c r="AN5902">
        <v>1.00000003103046</v>
      </c>
    </row>
    <row r="5903" spans="1:40" x14ac:dyDescent="0.3">
      <c r="A5903" t="str">
        <f>"20200111160621362"</f>
        <v>20200111160621362</v>
      </c>
      <c r="B5903" t="str">
        <f>"1578729981358071"</f>
        <v>1578729981358071</v>
      </c>
      <c r="C5903" t="s">
        <v>40</v>
      </c>
      <c r="D5903">
        <v>5.7099500000000001</v>
      </c>
      <c r="E5903">
        <v>0.48887140000000001</v>
      </c>
      <c r="F5903" t="s">
        <v>95</v>
      </c>
      <c r="G5903">
        <v>-256.85239999999999</v>
      </c>
      <c r="H5903" s="1">
        <v>-2.5711170000000001E-6</v>
      </c>
      <c r="I5903">
        <v>-62.6111199999999</v>
      </c>
      <c r="J5903">
        <v>-268.6739</v>
      </c>
      <c r="K5903">
        <v>1.1095349999999999</v>
      </c>
      <c r="L5903">
        <v>-63.120060000000002</v>
      </c>
      <c r="M5903">
        <v>0.99658080000000004</v>
      </c>
      <c r="N5903">
        <v>0</v>
      </c>
      <c r="O5903">
        <v>-8.2428719999999997E-2</v>
      </c>
      <c r="P5903">
        <v>0.99977660000000002</v>
      </c>
      <c r="Q5903">
        <v>-2.0018399999999999E-2</v>
      </c>
      <c r="R5903">
        <v>6.785564E-3</v>
      </c>
      <c r="S5903">
        <v>2.9941710000000001</v>
      </c>
      <c r="T5903">
        <v>-0.27859129999999999</v>
      </c>
      <c r="U5903">
        <v>0.1256409</v>
      </c>
      <c r="V5903">
        <v>-8.9175009999999999E-2</v>
      </c>
      <c r="W5903">
        <v>-1.4353329999999999E-2</v>
      </c>
      <c r="X5903">
        <v>0.99591260000000004</v>
      </c>
      <c r="Y5903">
        <v>-0.1232528</v>
      </c>
      <c r="Z5903">
        <v>1.3365709999999999E-2</v>
      </c>
      <c r="AA5903">
        <v>0.99228530000000004</v>
      </c>
      <c r="AB5903">
        <v>20</v>
      </c>
      <c r="AC5903">
        <v>11.8215</v>
      </c>
      <c r="AD5903">
        <v>-1.1095375711169999</v>
      </c>
      <c r="AE5903">
        <v>0.50894000000000195</v>
      </c>
      <c r="AF5903">
        <v>-1.46874025120475</v>
      </c>
      <c r="AG5903">
        <v>-1.1095375711169999</v>
      </c>
      <c r="AH5903">
        <v>11.636994230820299</v>
      </c>
      <c r="AI5903">
        <v>95.403828952700707</v>
      </c>
      <c r="AJ5903">
        <v>97.193438100825801</v>
      </c>
      <c r="AK5903">
        <v>11.781676717486899</v>
      </c>
      <c r="AL5903">
        <v>90.822413427143701</v>
      </c>
      <c r="AM5903">
        <v>95.116676029559102</v>
      </c>
      <c r="AN5903">
        <v>1.00000005366467</v>
      </c>
    </row>
    <row r="5904" spans="1:40" x14ac:dyDescent="0.3">
      <c r="A5904" t="str">
        <f>"20200111160621373"</f>
        <v>20200111160621373</v>
      </c>
      <c r="B5904" t="str">
        <f>"1578729981367835"</f>
        <v>1578729981367835</v>
      </c>
      <c r="C5904" t="s">
        <v>40</v>
      </c>
      <c r="D5904">
        <v>5.4352210000000003</v>
      </c>
      <c r="E5904">
        <v>0.48802590000000001</v>
      </c>
      <c r="F5904" t="s">
        <v>95</v>
      </c>
      <c r="G5904">
        <v>-256.48039999999997</v>
      </c>
      <c r="H5904" s="1">
        <v>-2.4104549999999999E-6</v>
      </c>
      <c r="I5904">
        <v>-62.606200000000001</v>
      </c>
      <c r="J5904">
        <v>-268.57530000000003</v>
      </c>
      <c r="K5904">
        <v>1.109529</v>
      </c>
      <c r="L5904">
        <v>-63.128140000000002</v>
      </c>
      <c r="M5904">
        <v>0.99658880000000005</v>
      </c>
      <c r="N5904">
        <v>0</v>
      </c>
      <c r="O5904">
        <v>-8.2348920000000006E-2</v>
      </c>
      <c r="P5904">
        <v>0.99978270000000002</v>
      </c>
      <c r="Q5904">
        <v>-1.983391E-2</v>
      </c>
      <c r="R5904">
        <v>6.4310749999999996E-3</v>
      </c>
      <c r="S5904">
        <v>2.9943849999999999</v>
      </c>
      <c r="T5904">
        <v>-0.2724724</v>
      </c>
      <c r="U5904">
        <v>0.1261902</v>
      </c>
      <c r="V5904">
        <v>-8.8740840000000001E-2</v>
      </c>
      <c r="W5904">
        <v>-1.443763E-2</v>
      </c>
      <c r="X5904">
        <v>0.99595009999999995</v>
      </c>
      <c r="Y5904">
        <v>-0.12339029999999999</v>
      </c>
      <c r="Z5904">
        <v>1.30714E-2</v>
      </c>
      <c r="AA5904">
        <v>0.99227209999999999</v>
      </c>
      <c r="AB5904">
        <v>20</v>
      </c>
      <c r="AC5904">
        <v>12.094900000000001</v>
      </c>
      <c r="AD5904">
        <v>-1.109531410455</v>
      </c>
      <c r="AE5904">
        <v>0.52193999999999996</v>
      </c>
      <c r="AF5904">
        <v>-1.5035543250725001</v>
      </c>
      <c r="AG5904">
        <v>-1.109531410455</v>
      </c>
      <c r="AH5904">
        <v>11.910789639971201</v>
      </c>
      <c r="AI5904">
        <v>95.280277271619795</v>
      </c>
      <c r="AJ5904">
        <v>97.194657482874106</v>
      </c>
      <c r="AK5904">
        <v>12.0564773216257</v>
      </c>
      <c r="AL5904">
        <v>90.827244012848297</v>
      </c>
      <c r="AM5904">
        <v>95.091704824405795</v>
      </c>
      <c r="AN5904">
        <v>0.99999999176696597</v>
      </c>
    </row>
    <row r="5905" spans="1:40" x14ac:dyDescent="0.3">
      <c r="A5905" t="str">
        <f>"20200111160621485"</f>
        <v>20200111160621485</v>
      </c>
      <c r="B5905" t="str">
        <f>"1578729981478120"</f>
        <v>1578729981478120</v>
      </c>
      <c r="C5905" t="s">
        <v>40</v>
      </c>
      <c r="D5905">
        <v>6.5919160000000003</v>
      </c>
      <c r="E5905">
        <v>0.48802590000000001</v>
      </c>
      <c r="F5905" t="s">
        <v>95</v>
      </c>
      <c r="G5905">
        <v>-256.1028</v>
      </c>
      <c r="H5905" s="1">
        <v>-2.2427769999999999E-6</v>
      </c>
      <c r="I5905">
        <v>-62.580570000000002</v>
      </c>
      <c r="J5905">
        <v>-267.55020000000002</v>
      </c>
      <c r="K5905">
        <v>1.1095549999999901</v>
      </c>
      <c r="L5905">
        <v>-63.210329999999999</v>
      </c>
      <c r="M5905">
        <v>0.99678060000000002</v>
      </c>
      <c r="N5905">
        <v>0</v>
      </c>
      <c r="O5905">
        <v>-8.0131809999999998E-2</v>
      </c>
      <c r="P5905">
        <v>0.99988719999999998</v>
      </c>
      <c r="Q5905">
        <v>-1.2873600000000001E-2</v>
      </c>
      <c r="R5905">
        <v>7.7626529999999996E-3</v>
      </c>
      <c r="S5905">
        <v>2.9945680000000001</v>
      </c>
      <c r="T5905">
        <v>-0.2663914</v>
      </c>
      <c r="U5905">
        <v>0.13146969999999999</v>
      </c>
      <c r="V5905">
        <v>-8.7850650000000002E-2</v>
      </c>
      <c r="W5905">
        <v>-1.02288E-2</v>
      </c>
      <c r="X5905">
        <v>0.99608110000000005</v>
      </c>
      <c r="Y5905">
        <v>-0.12297370000000001</v>
      </c>
      <c r="Z5905">
        <v>1.256471E-2</v>
      </c>
      <c r="AA5905">
        <v>0.99233039999999995</v>
      </c>
      <c r="AB5905">
        <v>21</v>
      </c>
      <c r="AC5905">
        <v>11.4474</v>
      </c>
      <c r="AD5905">
        <v>-1.10955724277699</v>
      </c>
      <c r="AE5905">
        <v>0.62976000000001098</v>
      </c>
      <c r="AF5905">
        <v>-1.5307019072678101</v>
      </c>
      <c r="AG5905">
        <v>-1.10955724277699</v>
      </c>
      <c r="AH5905">
        <v>11.2547078139677</v>
      </c>
      <c r="AI5905">
        <v>95.579334142099299</v>
      </c>
      <c r="AJ5905">
        <v>97.745018669039396</v>
      </c>
      <c r="AK5905">
        <v>11.4123886010641</v>
      </c>
      <c r="AL5905">
        <v>90.5860773124503</v>
      </c>
      <c r="AM5905">
        <v>95.040233123148795</v>
      </c>
      <c r="AN5905">
        <v>0.99999996141603498</v>
      </c>
    </row>
    <row r="5906" spans="1:40" x14ac:dyDescent="0.3">
      <c r="A5906" t="str">
        <f>"20200111160621518"</f>
        <v>20200111160621518</v>
      </c>
      <c r="B5906" t="str">
        <f>"1578729981508376"</f>
        <v>1578729981508376</v>
      </c>
      <c r="C5906" t="s">
        <v>40</v>
      </c>
      <c r="D5906">
        <v>5.058478</v>
      </c>
      <c r="E5906">
        <v>0.61245289999999997</v>
      </c>
      <c r="F5906" t="s">
        <v>95</v>
      </c>
      <c r="G5906">
        <v>-254.01920000000001</v>
      </c>
      <c r="H5906" s="1">
        <v>-1.3532020000000001E-6</v>
      </c>
      <c r="I5906">
        <v>-62.599910000000001</v>
      </c>
      <c r="J5906">
        <v>-267.23439999999999</v>
      </c>
      <c r="K5906">
        <v>1.1096549999999901</v>
      </c>
      <c r="L5906">
        <v>-63.234409999999997</v>
      </c>
      <c r="M5906">
        <v>0.99689130000000004</v>
      </c>
      <c r="N5906">
        <v>0</v>
      </c>
      <c r="O5906">
        <v>-7.8764139999999996E-2</v>
      </c>
      <c r="P5906">
        <v>0.99994620000000001</v>
      </c>
      <c r="Q5906">
        <v>-8.3129929999999994E-3</v>
      </c>
      <c r="R5906">
        <v>6.2217590000000003E-3</v>
      </c>
      <c r="S5906">
        <v>2.9960939999999998</v>
      </c>
      <c r="T5906">
        <v>-0.24568300000000001</v>
      </c>
      <c r="U5906">
        <v>0.13516239999999999</v>
      </c>
      <c r="V5906">
        <v>-8.4953760000000003E-2</v>
      </c>
      <c r="W5906">
        <v>-6.4155699999999998E-3</v>
      </c>
      <c r="X5906">
        <v>0.99636420000000003</v>
      </c>
      <c r="Y5906">
        <v>-0.1229355</v>
      </c>
      <c r="Z5906">
        <v>1.147194E-2</v>
      </c>
      <c r="AA5906">
        <v>0.99234840000000002</v>
      </c>
      <c r="AB5906">
        <v>21</v>
      </c>
      <c r="AC5906">
        <v>13.2151999999999</v>
      </c>
      <c r="AD5906">
        <v>-1.1096563532019901</v>
      </c>
      <c r="AE5906">
        <v>0.63450000000000195</v>
      </c>
      <c r="AF5906">
        <v>-1.66172538714608</v>
      </c>
      <c r="AG5906">
        <v>-1.1096563532019901</v>
      </c>
      <c r="AH5906">
        <v>13.0324916761531</v>
      </c>
      <c r="AI5906">
        <v>94.827832360471803</v>
      </c>
      <c r="AJ5906">
        <v>97.266366204622003</v>
      </c>
      <c r="AK5906">
        <v>13.1847831902344</v>
      </c>
      <c r="AL5906">
        <v>90.367587620541499</v>
      </c>
      <c r="AM5906">
        <v>94.873466629087901</v>
      </c>
      <c r="AN5906">
        <v>0.99999995995909996</v>
      </c>
    </row>
    <row r="5907" spans="1:40" x14ac:dyDescent="0.3">
      <c r="A5907" t="str">
        <f>"20200111160621541"</f>
        <v>20200111160621541</v>
      </c>
      <c r="B5907" t="str">
        <f>"1578729981538632"</f>
        <v>1578729981538632</v>
      </c>
      <c r="C5907" t="s">
        <v>40</v>
      </c>
      <c r="D5907">
        <v>5.3571669999999996</v>
      </c>
      <c r="E5907">
        <v>0.61245289999999997</v>
      </c>
      <c r="F5907" t="s">
        <v>95</v>
      </c>
      <c r="G5907">
        <v>-251.9624</v>
      </c>
      <c r="H5907" s="1">
        <v>-1.5906209999999901E-6</v>
      </c>
      <c r="I5907">
        <v>-67.635800000000003</v>
      </c>
      <c r="J5907">
        <v>-267.0145</v>
      </c>
      <c r="K5907">
        <v>1.1097360000000001</v>
      </c>
      <c r="L5907">
        <v>-63.250700000000002</v>
      </c>
      <c r="M5907">
        <v>0.99698249999999999</v>
      </c>
      <c r="N5907">
        <v>0</v>
      </c>
      <c r="O5907">
        <v>-7.7612059999999997E-2</v>
      </c>
      <c r="P5907">
        <v>0.99995919999999905</v>
      </c>
      <c r="Q5907">
        <v>-6.9001879999999998E-3</v>
      </c>
      <c r="R5907">
        <v>5.8211919999999898E-3</v>
      </c>
      <c r="S5907">
        <v>3.0036930000000002</v>
      </c>
      <c r="T5907">
        <v>-0.21824579999999999</v>
      </c>
      <c r="U5907">
        <v>-0.86566160000000003</v>
      </c>
      <c r="V5907">
        <v>-8.3403389999999994E-2</v>
      </c>
      <c r="W5907">
        <v>-5.4748879999999998E-3</v>
      </c>
      <c r="X5907">
        <v>0.99650079999999996</v>
      </c>
      <c r="Y5907">
        <v>0.20121629999999999</v>
      </c>
      <c r="Z5907">
        <v>-1.654712E-3</v>
      </c>
      <c r="AA5907">
        <v>0.97954540000000001</v>
      </c>
      <c r="AB5907">
        <v>22</v>
      </c>
      <c r="AC5907">
        <v>15.0520999999999</v>
      </c>
      <c r="AD5907">
        <v>-1.1097375906209901</v>
      </c>
      <c r="AE5907">
        <v>-4.3851000000000004</v>
      </c>
      <c r="AF5907">
        <v>3.1876757329644598</v>
      </c>
      <c r="AG5907">
        <v>-1.1097375906209901</v>
      </c>
      <c r="AH5907">
        <v>15.270523661700601</v>
      </c>
      <c r="AI5907">
        <v>94.069078762198501</v>
      </c>
      <c r="AJ5907">
        <v>78.208998474513194</v>
      </c>
      <c r="AK5907">
        <v>15.6391076152422</v>
      </c>
      <c r="AL5907">
        <v>90.3136895515715</v>
      </c>
      <c r="AM5907">
        <v>94.784291825144194</v>
      </c>
      <c r="AN5907">
        <v>0.99999997213137104</v>
      </c>
    </row>
    <row r="5908" spans="1:40" x14ac:dyDescent="0.3">
      <c r="A5908" t="str">
        <f>"20200111160621553"</f>
        <v>20200111160621553</v>
      </c>
      <c r="B5908" t="str">
        <f>"1578729981548392"</f>
        <v>1578729981548392</v>
      </c>
      <c r="C5908" t="s">
        <v>40</v>
      </c>
      <c r="D5908">
        <v>3.3904100000000001</v>
      </c>
      <c r="E5908">
        <v>0.53364469999999997</v>
      </c>
      <c r="F5908" t="s">
        <v>95</v>
      </c>
      <c r="G5908">
        <v>-251.4023</v>
      </c>
      <c r="H5908" s="1">
        <v>-1.3772440000000001E-6</v>
      </c>
      <c r="I5908">
        <v>-67.756799999999998</v>
      </c>
      <c r="J5908">
        <v>-266.90559999999999</v>
      </c>
      <c r="K5908">
        <v>1.109775</v>
      </c>
      <c r="L5908">
        <v>-63.258580000000002</v>
      </c>
      <c r="M5908">
        <v>0.99703310000000001</v>
      </c>
      <c r="N5908">
        <v>0</v>
      </c>
      <c r="O5908">
        <v>-7.6962439999999993E-2</v>
      </c>
      <c r="P5908">
        <v>0.99995719999999999</v>
      </c>
      <c r="Q5908">
        <v>-6.6519639999999998E-3</v>
      </c>
      <c r="R5908">
        <v>6.42386E-3</v>
      </c>
      <c r="S5908">
        <v>3.0036930000000002</v>
      </c>
      <c r="T5908">
        <v>-0.2135061</v>
      </c>
      <c r="U5908">
        <v>-0.86694340000000003</v>
      </c>
      <c r="V5908">
        <v>-8.3354460000000005E-2</v>
      </c>
      <c r="W5908">
        <v>-5.4419890000000004E-3</v>
      </c>
      <c r="X5908">
        <v>0.99650510000000003</v>
      </c>
      <c r="Y5908">
        <v>0.20224929999999999</v>
      </c>
      <c r="Z5908">
        <v>-1.69958E-3</v>
      </c>
      <c r="AA5908">
        <v>0.9793326</v>
      </c>
      <c r="AB5908">
        <v>22</v>
      </c>
      <c r="AC5908">
        <v>15.5032999999999</v>
      </c>
      <c r="AD5908">
        <v>-1.1097763772439999</v>
      </c>
      <c r="AE5908">
        <v>-4.4982199999999901</v>
      </c>
      <c r="AF5908">
        <v>3.27622102956372</v>
      </c>
      <c r="AG5908">
        <v>-1.1097763772439999</v>
      </c>
      <c r="AH5908">
        <v>15.7291708592153</v>
      </c>
      <c r="AI5908">
        <v>93.951307488347098</v>
      </c>
      <c r="AJ5908">
        <v>78.234118447279002</v>
      </c>
      <c r="AK5908">
        <v>16.105031628669099</v>
      </c>
      <c r="AL5908">
        <v>90.311804541587705</v>
      </c>
      <c r="AM5908">
        <v>94.781477520413404</v>
      </c>
      <c r="AN5908">
        <v>0.99999999778608795</v>
      </c>
    </row>
    <row r="5909" spans="1:40" x14ac:dyDescent="0.3">
      <c r="A5909" t="str">
        <f>"20200111160621564"</f>
        <v>20200111160621564</v>
      </c>
      <c r="B5909" t="str">
        <f>"1578729981558153"</f>
        <v>1578729981558153</v>
      </c>
      <c r="C5909" t="s">
        <v>40</v>
      </c>
      <c r="D5909">
        <v>3.8322090000000002</v>
      </c>
      <c r="E5909">
        <v>0.53166139999999995</v>
      </c>
      <c r="F5909" t="s">
        <v>42</v>
      </c>
      <c r="G5909">
        <v>-266.1121</v>
      </c>
      <c r="H5909">
        <v>0.95420430000000001</v>
      </c>
      <c r="I5909">
        <v>-63.313160000000003</v>
      </c>
      <c r="J5909">
        <v>-266.79140000000001</v>
      </c>
      <c r="K5909">
        <v>1.1098159999999999</v>
      </c>
      <c r="L5909">
        <v>-63.266750000000002</v>
      </c>
      <c r="M5909">
        <v>0.99708719999999995</v>
      </c>
      <c r="N5909">
        <v>0</v>
      </c>
      <c r="O5909">
        <v>-7.6260910000000001E-2</v>
      </c>
      <c r="P5909">
        <v>0.99995049999999996</v>
      </c>
      <c r="Q5909">
        <v>-6.8094130000000003E-3</v>
      </c>
      <c r="R5909">
        <v>7.2737790000000002E-3</v>
      </c>
      <c r="S5909">
        <v>2.997528</v>
      </c>
      <c r="T5909">
        <v>-0.58773750000000002</v>
      </c>
      <c r="U5909">
        <v>-0.2058411</v>
      </c>
      <c r="V5909">
        <v>-8.3498269999999999E-2</v>
      </c>
      <c r="W5909">
        <v>-5.8203339999999999E-3</v>
      </c>
      <c r="X5909">
        <v>0.99649089999999996</v>
      </c>
      <c r="Y5909">
        <v>-6.2134349999999998E-3</v>
      </c>
      <c r="Z5909">
        <v>1.5377099999999999E-2</v>
      </c>
      <c r="AA5909">
        <v>0.99986240000000004</v>
      </c>
      <c r="AB5909">
        <v>22</v>
      </c>
      <c r="AC5909">
        <v>0.67930000000001201</v>
      </c>
      <c r="AD5909">
        <v>-0.15561169999999899</v>
      </c>
      <c r="AE5909">
        <v>-4.6409999999994497E-2</v>
      </c>
      <c r="AF5909">
        <v>-5.2547552930000399E-3</v>
      </c>
      <c r="AG5909">
        <v>-0.15561169999999899</v>
      </c>
      <c r="AH5909">
        <v>0.64706348673158398</v>
      </c>
      <c r="AI5909">
        <v>103.52179666882699</v>
      </c>
      <c r="AJ5909">
        <v>90.465284610419999</v>
      </c>
      <c r="AK5909">
        <v>0.66553269603477305</v>
      </c>
      <c r="AL5909">
        <v>90.333482464575596</v>
      </c>
      <c r="AM5909">
        <v>94.789756509783103</v>
      </c>
      <c r="AN5909">
        <v>0.99999997558183595</v>
      </c>
    </row>
    <row r="5910" spans="1:40" x14ac:dyDescent="0.3">
      <c r="A5910" t="str">
        <f>"20200111160621574"</f>
        <v>20200111160621574</v>
      </c>
      <c r="B5910" t="str">
        <f>"1578729981567911"</f>
        <v>1578729981567911</v>
      </c>
      <c r="C5910" t="s">
        <v>40</v>
      </c>
      <c r="D5910">
        <v>3.5558809999999998</v>
      </c>
      <c r="E5910">
        <v>0.53091679999999997</v>
      </c>
      <c r="F5910" t="s">
        <v>42</v>
      </c>
      <c r="G5910">
        <v>-265.92860000000002</v>
      </c>
      <c r="H5910">
        <v>0.92077290000000001</v>
      </c>
      <c r="I5910">
        <v>-63.319600000000001</v>
      </c>
      <c r="J5910">
        <v>-266.68270000000001</v>
      </c>
      <c r="K5910">
        <v>1.1098600000000001</v>
      </c>
      <c r="L5910">
        <v>-63.274380000000001</v>
      </c>
      <c r="M5910">
        <v>0.99714429999999998</v>
      </c>
      <c r="N5910">
        <v>0</v>
      </c>
      <c r="O5910">
        <v>-7.5514609999999996E-2</v>
      </c>
      <c r="P5910">
        <v>0.99994019999999995</v>
      </c>
      <c r="Q5910">
        <v>-6.8022569999999999E-3</v>
      </c>
      <c r="R5910">
        <v>8.5770640000000006E-3</v>
      </c>
      <c r="S5910">
        <v>2.9970089999999998</v>
      </c>
      <c r="T5910">
        <v>-0.65668079999999995</v>
      </c>
      <c r="U5910">
        <v>-0.18289179999999999</v>
      </c>
      <c r="V5910">
        <v>-8.4050299999999994E-2</v>
      </c>
      <c r="W5910">
        <v>-6.0058300000000002E-3</v>
      </c>
      <c r="X5910">
        <v>0.99644339999999998</v>
      </c>
      <c r="Y5910">
        <v>-1.256008E-2</v>
      </c>
      <c r="Z5910">
        <v>1.7675119999999999E-2</v>
      </c>
      <c r="AA5910">
        <v>0.99976489999999996</v>
      </c>
      <c r="AB5910">
        <v>22</v>
      </c>
      <c r="AC5910">
        <v>0.754099999999994</v>
      </c>
      <c r="AD5910">
        <v>-0.18908710000000001</v>
      </c>
      <c r="AE5910">
        <v>-4.52199999999933E-2</v>
      </c>
      <c r="AF5910">
        <v>-1.11558174256374E-2</v>
      </c>
      <c r="AG5910">
        <v>-0.18908710000000001</v>
      </c>
      <c r="AH5910">
        <v>0.710829551115291</v>
      </c>
      <c r="AI5910">
        <v>104.89448209592599</v>
      </c>
      <c r="AJ5910">
        <v>90.899130859963606</v>
      </c>
      <c r="AK5910">
        <v>0.73563376376265499</v>
      </c>
      <c r="AL5910">
        <v>90.344110784934401</v>
      </c>
      <c r="AM5910">
        <v>94.821502867447606</v>
      </c>
      <c r="AN5910">
        <v>0.99999998616381902</v>
      </c>
    </row>
    <row r="5911" spans="1:40" x14ac:dyDescent="0.3">
      <c r="A5911" t="str">
        <f>"20200111160621585"</f>
        <v>20200111160621585</v>
      </c>
      <c r="B5911" t="str">
        <f>"1578729981578648"</f>
        <v>1578729981578648</v>
      </c>
      <c r="C5911" t="s">
        <v>40</v>
      </c>
      <c r="D5911">
        <v>5.1492750000000003</v>
      </c>
      <c r="E5911">
        <v>0.53190930000000003</v>
      </c>
      <c r="F5911" t="s">
        <v>42</v>
      </c>
      <c r="G5911">
        <v>-265.923</v>
      </c>
      <c r="H5911">
        <v>0.93337440000000005</v>
      </c>
      <c r="I5911">
        <v>-63.317810000000001</v>
      </c>
      <c r="J5911">
        <v>-266.57960000000003</v>
      </c>
      <c r="K5911">
        <v>1.109901</v>
      </c>
      <c r="L5911">
        <v>-63.281519999999901</v>
      </c>
      <c r="M5911">
        <v>0.9971989</v>
      </c>
      <c r="N5911">
        <v>0</v>
      </c>
      <c r="O5911">
        <v>-7.4792549999999999E-2</v>
      </c>
      <c r="P5911">
        <v>0.99992700000000001</v>
      </c>
      <c r="Q5911">
        <v>-6.9476629999999998E-3</v>
      </c>
      <c r="R5911">
        <v>9.8861620000000004E-3</v>
      </c>
      <c r="S5911">
        <v>2.9968569999999999</v>
      </c>
      <c r="T5911">
        <v>-0.69628970000000001</v>
      </c>
      <c r="U5911">
        <v>-0.17056270000000001</v>
      </c>
      <c r="V5911">
        <v>-8.4631219999999993E-2</v>
      </c>
      <c r="W5911">
        <v>-6.3307809999999997E-3</v>
      </c>
      <c r="X5911">
        <v>0.99639230000000001</v>
      </c>
      <c r="Y5911">
        <v>-1.561394E-2</v>
      </c>
      <c r="Z5911">
        <v>1.8903070000000001E-2</v>
      </c>
      <c r="AA5911">
        <v>0.99969940000000002</v>
      </c>
      <c r="AB5911">
        <v>22</v>
      </c>
      <c r="AC5911">
        <v>0.65660000000002505</v>
      </c>
      <c r="AD5911">
        <v>-0.17652659999999901</v>
      </c>
      <c r="AE5911">
        <v>-3.6290000000001002E-2</v>
      </c>
      <c r="AF5911">
        <v>-1.2051978131174E-2</v>
      </c>
      <c r="AG5911">
        <v>-0.17652659999999901</v>
      </c>
      <c r="AH5911">
        <v>0.61328208657348404</v>
      </c>
      <c r="AI5911">
        <v>106.05495046454</v>
      </c>
      <c r="AJ5911">
        <v>91.125809194186601</v>
      </c>
      <c r="AK5911">
        <v>0.63829601941133896</v>
      </c>
      <c r="AL5911">
        <v>90.362729430336898</v>
      </c>
      <c r="AM5911">
        <v>94.854916108786</v>
      </c>
      <c r="AN5911">
        <v>1.00000006884302</v>
      </c>
    </row>
    <row r="5912" spans="1:40" x14ac:dyDescent="0.3">
      <c r="A5912" t="str">
        <f>"20200111160621596"</f>
        <v>20200111160621596</v>
      </c>
      <c r="B5912" t="str">
        <f>"1578729981587997"</f>
        <v>1578729981587997</v>
      </c>
      <c r="C5912" t="s">
        <v>40</v>
      </c>
      <c r="D5912">
        <v>6.2974290000000002</v>
      </c>
      <c r="E5912">
        <v>0.53190930000000003</v>
      </c>
      <c r="F5912" t="s">
        <v>42</v>
      </c>
      <c r="G5912">
        <v>-265.7217</v>
      </c>
      <c r="H5912">
        <v>0.93818089999999998</v>
      </c>
      <c r="I5912">
        <v>-63.333799999999997</v>
      </c>
      <c r="J5912">
        <v>-266.464</v>
      </c>
      <c r="K5912">
        <v>1.109947</v>
      </c>
      <c r="L5912">
        <v>-63.289369999999998</v>
      </c>
      <c r="M5912">
        <v>0.99726420000000005</v>
      </c>
      <c r="N5912">
        <v>0</v>
      </c>
      <c r="O5912">
        <v>-7.3918559999999994E-2</v>
      </c>
      <c r="P5912">
        <v>0.99990990000000002</v>
      </c>
      <c r="Q5912">
        <v>-6.5748580000000003E-3</v>
      </c>
      <c r="R5912">
        <v>1.17124E-2</v>
      </c>
      <c r="S5912">
        <v>2.9978639999999999</v>
      </c>
      <c r="T5912">
        <v>-0.60012799999999999</v>
      </c>
      <c r="U5912">
        <v>-0.1824646</v>
      </c>
      <c r="V5912">
        <v>-8.5577699999999896E-2</v>
      </c>
      <c r="W5912">
        <v>-6.1429429999999997E-3</v>
      </c>
      <c r="X5912">
        <v>0.99631259999999999</v>
      </c>
      <c r="Y5912">
        <v>-1.1510970000000001E-2</v>
      </c>
      <c r="Z5912">
        <v>1.576046E-2</v>
      </c>
      <c r="AA5912">
        <v>0.99980959999999997</v>
      </c>
      <c r="AB5912">
        <v>22</v>
      </c>
      <c r="AC5912">
        <v>0.74229999999999996</v>
      </c>
      <c r="AD5912">
        <v>-0.17176609999999901</v>
      </c>
      <c r="AE5912">
        <v>-4.4429999999998401E-2</v>
      </c>
      <c r="AF5912">
        <v>-1.002635827045E-2</v>
      </c>
      <c r="AG5912">
        <v>-0.17176609999999901</v>
      </c>
      <c r="AH5912">
        <v>0.705891688072387</v>
      </c>
      <c r="AI5912">
        <v>103.67478565939101</v>
      </c>
      <c r="AJ5912">
        <v>90.813764199918197</v>
      </c>
      <c r="AK5912">
        <v>0.72655846031758697</v>
      </c>
      <c r="AL5912">
        <v>90.351966908065407</v>
      </c>
      <c r="AM5912">
        <v>94.909338361140001</v>
      </c>
      <c r="AN5912">
        <v>1.0000000377023699</v>
      </c>
    </row>
    <row r="5913" spans="1:40" x14ac:dyDescent="0.3">
      <c r="A5913" t="str">
        <f>"20200111160621608"</f>
        <v>20200111160621608</v>
      </c>
      <c r="B5913" t="str">
        <f>"1578729981597746"</f>
        <v>1578729981597746</v>
      </c>
      <c r="C5913" t="s">
        <v>40</v>
      </c>
      <c r="D5913">
        <v>5.2272489999999996</v>
      </c>
      <c r="E5913">
        <v>0.53907780000000005</v>
      </c>
      <c r="F5913" t="s">
        <v>42</v>
      </c>
      <c r="G5913">
        <v>-265.71190000000001</v>
      </c>
      <c r="H5913">
        <v>0.95976150000000005</v>
      </c>
      <c r="I5913">
        <v>-63.333979999999997</v>
      </c>
      <c r="J5913">
        <v>-266.35250000000002</v>
      </c>
      <c r="K5913">
        <v>1.109993</v>
      </c>
      <c r="L5913">
        <v>-63.296810000000001</v>
      </c>
      <c r="M5913">
        <v>0.99732880000000002</v>
      </c>
      <c r="N5913">
        <v>0</v>
      </c>
      <c r="O5913">
        <v>-7.3043289999999997E-2</v>
      </c>
      <c r="P5913">
        <v>0.99988619999999995</v>
      </c>
      <c r="Q5913">
        <v>-6.3690580000000004E-3</v>
      </c>
      <c r="R5913">
        <v>1.369948E-2</v>
      </c>
      <c r="S5913">
        <v>2.998383</v>
      </c>
      <c r="T5913">
        <v>-0.59879469999999901</v>
      </c>
      <c r="U5913">
        <v>-0.177612299999999</v>
      </c>
      <c r="V5913">
        <v>-8.6682239999999994E-2</v>
      </c>
      <c r="W5913">
        <v>-6.1080229999999998E-3</v>
      </c>
      <c r="X5913">
        <v>0.99621729999999997</v>
      </c>
      <c r="Y5913">
        <v>-1.226611E-2</v>
      </c>
      <c r="Z5913">
        <v>1.5626620000000001E-2</v>
      </c>
      <c r="AA5913">
        <v>0.99980259999999999</v>
      </c>
      <c r="AB5913">
        <v>22</v>
      </c>
      <c r="AC5913">
        <v>0.64060000000000605</v>
      </c>
      <c r="AD5913">
        <v>-0.15023149999999999</v>
      </c>
      <c r="AE5913">
        <v>-3.71700000000032E-2</v>
      </c>
      <c r="AF5913">
        <v>-9.2156753338962592E-3</v>
      </c>
      <c r="AG5913">
        <v>-0.15023149999999999</v>
      </c>
      <c r="AH5913">
        <v>0.60826275068431801</v>
      </c>
      <c r="AI5913">
        <v>103.871988280068</v>
      </c>
      <c r="AJ5913">
        <v>90.868011242165906</v>
      </c>
      <c r="AK5913">
        <v>0.62660833551283202</v>
      </c>
      <c r="AL5913">
        <v>90.349966110366594</v>
      </c>
      <c r="AM5913">
        <v>94.972860154632698</v>
      </c>
      <c r="AN5913">
        <v>1.00000001374783</v>
      </c>
    </row>
    <row r="5914" spans="1:40" x14ac:dyDescent="0.3">
      <c r="A5914" t="str">
        <f>"20200111160621619"</f>
        <v>20200111160621619</v>
      </c>
      <c r="B5914" t="str">
        <f>"1578729981608483"</f>
        <v>1578729981608483</v>
      </c>
      <c r="C5914" t="s">
        <v>40</v>
      </c>
      <c r="D5914">
        <v>5.2307639999999997</v>
      </c>
      <c r="E5914">
        <v>0.53901589999999999</v>
      </c>
      <c r="F5914" t="s">
        <v>64</v>
      </c>
      <c r="G5914">
        <v>249.8638</v>
      </c>
      <c r="H5914">
        <v>-0.1</v>
      </c>
      <c r="I5914">
        <v>-110.0697</v>
      </c>
      <c r="J5914">
        <v>-266.24189999999999</v>
      </c>
      <c r="K5914">
        <v>1.110036</v>
      </c>
      <c r="L5914">
        <v>-63.304049999999997</v>
      </c>
      <c r="M5914">
        <v>0.99739500000000003</v>
      </c>
      <c r="N5914">
        <v>0</v>
      </c>
      <c r="O5914">
        <v>-7.2131819999999999E-2</v>
      </c>
      <c r="P5914">
        <v>0.99985820000000003</v>
      </c>
      <c r="Q5914">
        <v>-6.1120389999999997E-3</v>
      </c>
      <c r="R5914">
        <v>1.5701969999999999E-2</v>
      </c>
      <c r="S5914">
        <v>3.0040279999999999</v>
      </c>
      <c r="T5914">
        <v>-7.0413350000000001E-3</v>
      </c>
      <c r="U5914">
        <v>-0.27218629999999999</v>
      </c>
      <c r="V5914">
        <v>-8.7766739999999996E-2</v>
      </c>
      <c r="W5914">
        <v>-6.009421E-3</v>
      </c>
      <c r="X5914">
        <v>0.99612299999999998</v>
      </c>
      <c r="Y5914">
        <v>1.8164980000000001E-2</v>
      </c>
      <c r="Z5914">
        <v>1.4723580000000001E-4</v>
      </c>
      <c r="AA5914">
        <v>0.99983500000000003</v>
      </c>
      <c r="AB5914">
        <v>22</v>
      </c>
      <c r="AC5914">
        <v>516.10569999999996</v>
      </c>
      <c r="AD5914">
        <v>-1.2100359999999999</v>
      </c>
      <c r="AE5914">
        <v>-46.765650000000001</v>
      </c>
      <c r="AF5914">
        <v>9.4161317001623495</v>
      </c>
      <c r="AG5914">
        <v>-1.2100359999999999</v>
      </c>
      <c r="AH5914">
        <v>518.13176674078102</v>
      </c>
      <c r="AI5914">
        <v>90.133785242444205</v>
      </c>
      <c r="AJ5914">
        <v>88.958864793266102</v>
      </c>
      <c r="AK5914">
        <v>518.21873319018403</v>
      </c>
      <c r="AL5914">
        <v>90.344316508080894</v>
      </c>
      <c r="AM5914">
        <v>95.035233020986198</v>
      </c>
      <c r="AN5914">
        <v>1.00000007245998</v>
      </c>
    </row>
    <row r="5915" spans="1:40" x14ac:dyDescent="0.3">
      <c r="A5915" t="str">
        <f>"20200111160621631"</f>
        <v>20200111160621631</v>
      </c>
      <c r="B5915" t="str">
        <f>"1578729981628002"</f>
        <v>1578729981628002</v>
      </c>
      <c r="C5915" t="s">
        <v>40</v>
      </c>
      <c r="D5915">
        <v>5.578328</v>
      </c>
      <c r="E5915">
        <v>0.53761490000000001</v>
      </c>
      <c r="F5915" t="s">
        <v>98</v>
      </c>
      <c r="G5915">
        <v>-224.54640000000001</v>
      </c>
      <c r="H5915" s="1">
        <v>-2.4292910000000002E-6</v>
      </c>
      <c r="I5915">
        <v>-66.917640000000006</v>
      </c>
      <c r="J5915">
        <v>-266.12310000000002</v>
      </c>
      <c r="K5915">
        <v>1.110082</v>
      </c>
      <c r="L5915">
        <v>-63.31165</v>
      </c>
      <c r="M5915">
        <v>0.99746869999999999</v>
      </c>
      <c r="N5915">
        <v>0</v>
      </c>
      <c r="O5915">
        <v>-7.1106310000000006E-2</v>
      </c>
      <c r="P5915">
        <v>0.99982510000000002</v>
      </c>
      <c r="Q5915">
        <v>-5.9302900000000004E-3</v>
      </c>
      <c r="R5915">
        <v>1.773959E-2</v>
      </c>
      <c r="S5915">
        <v>3.0039980000000002</v>
      </c>
      <c r="T5915">
        <v>-7.997406E-2</v>
      </c>
      <c r="U5915">
        <v>-0.26034550000000001</v>
      </c>
      <c r="V5915">
        <v>-8.8771310000000006E-2</v>
      </c>
      <c r="W5915">
        <v>-5.9837939999999997E-3</v>
      </c>
      <c r="X5915">
        <v>0.99603410000000003</v>
      </c>
      <c r="Y5915">
        <v>1.5302919999999999E-2</v>
      </c>
      <c r="Z5915">
        <v>1.683225E-3</v>
      </c>
      <c r="AA5915">
        <v>0.99988149999999998</v>
      </c>
      <c r="AB5915">
        <v>22</v>
      </c>
      <c r="AC5915">
        <v>41.576700000000002</v>
      </c>
      <c r="AD5915">
        <v>-1.1100844292909999</v>
      </c>
      <c r="AE5915">
        <v>-3.6059899999999998</v>
      </c>
      <c r="AF5915">
        <v>0.64004360276096095</v>
      </c>
      <c r="AG5915">
        <v>-1.1100844292909999</v>
      </c>
      <c r="AH5915">
        <v>41.698363628888401</v>
      </c>
      <c r="AI5915">
        <v>91.524775603798005</v>
      </c>
      <c r="AJ5915">
        <v>89.120614950770104</v>
      </c>
      <c r="AK5915">
        <v>41.718047324636302</v>
      </c>
      <c r="AL5915">
        <v>90.342848174037002</v>
      </c>
      <c r="AM5915">
        <v>95.093016620699103</v>
      </c>
      <c r="AN5915">
        <v>1.0000000398162701</v>
      </c>
    </row>
    <row r="5916" spans="1:40" x14ac:dyDescent="0.3">
      <c r="A5916" t="str">
        <f>"20200111160621641"</f>
        <v>20200111160621641</v>
      </c>
      <c r="B5916" t="str">
        <f>"1578729981637762"</f>
        <v>1578729981637762</v>
      </c>
      <c r="C5916" t="s">
        <v>40</v>
      </c>
      <c r="D5916">
        <v>5.1711850000000004</v>
      </c>
      <c r="E5916">
        <v>0.53793440000000003</v>
      </c>
      <c r="F5916" t="s">
        <v>94</v>
      </c>
      <c r="G5916">
        <v>-242.62909999999999</v>
      </c>
      <c r="H5916" s="1">
        <v>-1.390451E-6</v>
      </c>
      <c r="I5916">
        <v>-65.177130000000005</v>
      </c>
      <c r="J5916">
        <v>-266.01179999999999</v>
      </c>
      <c r="K5916">
        <v>1.1101219999999901</v>
      </c>
      <c r="L5916">
        <v>-63.318660000000001</v>
      </c>
      <c r="M5916">
        <v>0.99753879999999995</v>
      </c>
      <c r="N5916">
        <v>0</v>
      </c>
      <c r="O5916">
        <v>-7.0118109999999997E-2</v>
      </c>
      <c r="P5916">
        <v>0.99978599999999995</v>
      </c>
      <c r="Q5916">
        <v>-5.8829260000000001E-3</v>
      </c>
      <c r="R5916">
        <v>1.9842370000000002E-2</v>
      </c>
      <c r="S5916">
        <v>3.0039060000000002</v>
      </c>
      <c r="T5916">
        <v>-0.14193329999999901</v>
      </c>
      <c r="U5916">
        <v>-0.2385254</v>
      </c>
      <c r="V5916">
        <v>-8.9878310000000003E-2</v>
      </c>
      <c r="W5916">
        <v>-6.0762400000000001E-3</v>
      </c>
      <c r="X5916">
        <v>0.99593419999999999</v>
      </c>
      <c r="Y5916">
        <v>9.1304249999999993E-3</v>
      </c>
      <c r="Z5916">
        <v>3.086433E-3</v>
      </c>
      <c r="AA5916">
        <v>0.9999536</v>
      </c>
      <c r="AB5916">
        <v>23</v>
      </c>
      <c r="AC5916">
        <v>23.3827</v>
      </c>
      <c r="AD5916">
        <v>-1.11012339045099</v>
      </c>
      <c r="AE5916">
        <v>-1.8584700000000101</v>
      </c>
      <c r="AF5916">
        <v>0.21386615335192899</v>
      </c>
      <c r="AG5916">
        <v>-1.11012339045099</v>
      </c>
      <c r="AH5916">
        <v>23.403041249802602</v>
      </c>
      <c r="AI5916">
        <v>92.7156767013456</v>
      </c>
      <c r="AJ5916">
        <v>89.476423309556594</v>
      </c>
      <c r="AK5916">
        <v>23.430331888676701</v>
      </c>
      <c r="AL5916">
        <v>90.348145056233193</v>
      </c>
      <c r="AM5916">
        <v>95.1567019468593</v>
      </c>
      <c r="AN5916">
        <v>0.99999998101531595</v>
      </c>
    </row>
    <row r="5917" spans="1:40" x14ac:dyDescent="0.3">
      <c r="A5917" t="str">
        <f>"20200111160621654"</f>
        <v>20200111160621654</v>
      </c>
      <c r="B5917" t="str">
        <f>"1578729981648498"</f>
        <v>1578729981648498</v>
      </c>
      <c r="C5917" t="s">
        <v>40</v>
      </c>
      <c r="D5917">
        <v>5.1663420000000002</v>
      </c>
      <c r="E5917">
        <v>0.53825849999999997</v>
      </c>
      <c r="F5917" t="s">
        <v>94</v>
      </c>
      <c r="G5917">
        <v>-244.84569999999999</v>
      </c>
      <c r="H5917" s="1">
        <v>-2.2846530000000001E-6</v>
      </c>
      <c r="I5917">
        <v>-64.964010000000002</v>
      </c>
      <c r="J5917">
        <v>-265.8931</v>
      </c>
      <c r="K5917">
        <v>1.1101700000000001</v>
      </c>
      <c r="L5917">
        <v>-63.325899999999997</v>
      </c>
      <c r="M5917">
        <v>0.99761639999999996</v>
      </c>
      <c r="N5917">
        <v>0</v>
      </c>
      <c r="O5917">
        <v>-6.900502E-2</v>
      </c>
      <c r="P5917">
        <v>0.99973339999999999</v>
      </c>
      <c r="Q5917">
        <v>-6.1252750000000003E-3</v>
      </c>
      <c r="R5917">
        <v>2.2264969999999999E-2</v>
      </c>
      <c r="S5917">
        <v>3.0043329999999999</v>
      </c>
      <c r="T5917">
        <v>-0.15757199999999999</v>
      </c>
      <c r="U5917">
        <v>-0.23355100000000001</v>
      </c>
      <c r="V5917">
        <v>-9.117828E-2</v>
      </c>
      <c r="W5917">
        <v>-6.4504050000000002E-3</v>
      </c>
      <c r="X5917">
        <v>0.99581370000000002</v>
      </c>
      <c r="Y5917">
        <v>8.6043140000000001E-3</v>
      </c>
      <c r="Z5917">
        <v>3.3815550000000001E-3</v>
      </c>
      <c r="AA5917">
        <v>0.99995730000000005</v>
      </c>
      <c r="AB5917">
        <v>23</v>
      </c>
      <c r="AC5917">
        <v>21.0474</v>
      </c>
      <c r="AD5917">
        <v>-1.110172284653</v>
      </c>
      <c r="AE5917">
        <v>-1.63811</v>
      </c>
      <c r="AF5917">
        <v>0.18132768004197899</v>
      </c>
      <c r="AG5917">
        <v>-1.110172284653</v>
      </c>
      <c r="AH5917">
        <v>21.0520496347517</v>
      </c>
      <c r="AI5917">
        <v>93.018564430948203</v>
      </c>
      <c r="AJ5917">
        <v>89.506506300201593</v>
      </c>
      <c r="AK5917">
        <v>21.082081397556799</v>
      </c>
      <c r="AL5917">
        <v>90.369583543462795</v>
      </c>
      <c r="AM5917">
        <v>95.231505401106304</v>
      </c>
      <c r="AN5917">
        <v>1.00000000578805</v>
      </c>
    </row>
    <row r="5918" spans="1:40" x14ac:dyDescent="0.3">
      <c r="A5918" t="str">
        <f>"20200111160621679"</f>
        <v>20200111160621679</v>
      </c>
      <c r="B5918" t="str">
        <f>"1578729981668018"</f>
        <v>1578729981668018</v>
      </c>
      <c r="C5918" t="s">
        <v>40</v>
      </c>
      <c r="D5918">
        <v>5.2074319999999998</v>
      </c>
      <c r="E5918">
        <v>0.53897200000000001</v>
      </c>
      <c r="F5918" t="s">
        <v>94</v>
      </c>
      <c r="G5918">
        <v>-246.3664</v>
      </c>
      <c r="H5918" s="1">
        <v>-2.8252099999999902E-6</v>
      </c>
      <c r="I5918">
        <v>-64.807069999999996</v>
      </c>
      <c r="J5918">
        <v>-265.62119999999999</v>
      </c>
      <c r="K5918">
        <v>1.1102799999999999</v>
      </c>
      <c r="L5918">
        <v>-63.34198</v>
      </c>
      <c r="M5918">
        <v>0.99779649999999998</v>
      </c>
      <c r="N5918">
        <v>0</v>
      </c>
      <c r="O5918">
        <v>-6.6348630000000006E-2</v>
      </c>
      <c r="P5918">
        <v>0.99962320000000005</v>
      </c>
      <c r="Q5918">
        <v>-6.7528229999999998E-3</v>
      </c>
      <c r="R5918">
        <v>2.6610229999999999E-2</v>
      </c>
      <c r="S5918">
        <v>3.0048219999999999</v>
      </c>
      <c r="T5918">
        <v>-0.1708364</v>
      </c>
      <c r="U5918">
        <v>-0.22793579999999999</v>
      </c>
      <c r="V5918">
        <v>-9.2849500000000001E-2</v>
      </c>
      <c r="W5918">
        <v>-7.3406579999999999E-3</v>
      </c>
      <c r="X5918">
        <v>0.99565309999999996</v>
      </c>
      <c r="Y5918">
        <v>9.4053409999999994E-3</v>
      </c>
      <c r="Z5918">
        <v>3.4925490000000002E-3</v>
      </c>
      <c r="AA5918">
        <v>0.99994970000000005</v>
      </c>
      <c r="AB5918">
        <v>23</v>
      </c>
      <c r="AC5918">
        <v>19.2547999999999</v>
      </c>
      <c r="AD5918">
        <v>-1.1102828252100001</v>
      </c>
      <c r="AE5918">
        <v>-1.46508999999998</v>
      </c>
      <c r="AF5918">
        <v>0.183724708795969</v>
      </c>
      <c r="AG5918">
        <v>-1.1102828252100001</v>
      </c>
      <c r="AH5918">
        <v>19.245954718336201</v>
      </c>
      <c r="AI5918">
        <v>93.301535423538795</v>
      </c>
      <c r="AJ5918">
        <v>89.453062692027501</v>
      </c>
      <c r="AK5918">
        <v>19.2788292108423</v>
      </c>
      <c r="AL5918">
        <v>90.420592497398303</v>
      </c>
      <c r="AM5918">
        <v>95.327702031955795</v>
      </c>
      <c r="AN5918">
        <v>1.0000000052248601</v>
      </c>
    </row>
    <row r="5919" spans="1:40" x14ac:dyDescent="0.3">
      <c r="A5919" t="str">
        <f>"20200111160621691"</f>
        <v>20200111160621691</v>
      </c>
      <c r="B5919" t="str">
        <f>"1578729981688159"</f>
        <v>1578729981688159</v>
      </c>
      <c r="C5919" t="s">
        <v>40</v>
      </c>
      <c r="D5919">
        <v>5.2388459999999997</v>
      </c>
      <c r="E5919">
        <v>0.53970549999999995</v>
      </c>
      <c r="F5919" t="s">
        <v>94</v>
      </c>
      <c r="G5919">
        <v>-248.26519999999999</v>
      </c>
      <c r="H5919" s="1">
        <v>-3.4360229999999998E-6</v>
      </c>
      <c r="I5919">
        <v>-64.607709999999997</v>
      </c>
      <c r="J5919">
        <v>-265.51080000000002</v>
      </c>
      <c r="K5919">
        <v>1.110311</v>
      </c>
      <c r="L5919">
        <v>-63.348210000000002</v>
      </c>
      <c r="M5919">
        <v>0.9978707</v>
      </c>
      <c r="N5919">
        <v>0</v>
      </c>
      <c r="O5919">
        <v>-6.5222249999999996E-2</v>
      </c>
      <c r="P5919">
        <v>0.99948389999999998</v>
      </c>
      <c r="Q5919">
        <v>-8.7977219999999991E-3</v>
      </c>
      <c r="R5919">
        <v>3.0902800000000001E-2</v>
      </c>
      <c r="S5919">
        <v>3.0056759999999998</v>
      </c>
      <c r="T5919">
        <v>-0.1922768</v>
      </c>
      <c r="U5919">
        <v>-0.21920780000000001</v>
      </c>
      <c r="V5919">
        <v>-9.5991670000000001E-2</v>
      </c>
      <c r="W5919">
        <v>-9.4816009999999992E-3</v>
      </c>
      <c r="X5919">
        <v>0.99533689999999997</v>
      </c>
      <c r="Y5919">
        <v>7.6504919999999896E-3</v>
      </c>
      <c r="Z5919">
        <v>3.9137579999999998E-3</v>
      </c>
      <c r="AA5919">
        <v>0.99996309999999999</v>
      </c>
      <c r="AB5919">
        <v>23</v>
      </c>
      <c r="AC5919">
        <v>17.2456</v>
      </c>
      <c r="AD5919">
        <v>-1.110314436023</v>
      </c>
      <c r="AE5919">
        <v>-1.2595000000000001</v>
      </c>
      <c r="AF5919">
        <v>0.13147921680675101</v>
      </c>
      <c r="AG5919">
        <v>-1.110314436023</v>
      </c>
      <c r="AH5919">
        <v>17.2200273525652</v>
      </c>
      <c r="AI5919">
        <v>93.689108181728102</v>
      </c>
      <c r="AJ5919">
        <v>89.562540890339406</v>
      </c>
      <c r="AK5919">
        <v>17.256286592265099</v>
      </c>
      <c r="AL5919">
        <v>90.543263902347604</v>
      </c>
      <c r="AM5919">
        <v>95.508647995676299</v>
      </c>
      <c r="AN5919">
        <v>0.99999992298425799</v>
      </c>
    </row>
    <row r="5920" spans="1:40" x14ac:dyDescent="0.3">
      <c r="A5920" t="str">
        <f>"20200111160621700"</f>
        <v>20200111160621700</v>
      </c>
      <c r="B5920" t="str">
        <f>"1578729981697900"</f>
        <v>1578729981697900</v>
      </c>
      <c r="C5920" t="s">
        <v>40</v>
      </c>
      <c r="D5920">
        <v>5.2476839999999996</v>
      </c>
      <c r="E5920">
        <v>0.54035749999999905</v>
      </c>
      <c r="F5920" t="s">
        <v>42</v>
      </c>
      <c r="G5920">
        <v>-264.64120000000003</v>
      </c>
      <c r="H5920">
        <v>1.0497669999999999</v>
      </c>
      <c r="I5920">
        <v>-63.409660000000002</v>
      </c>
      <c r="J5920">
        <v>-265.40120000000002</v>
      </c>
      <c r="K5920">
        <v>1.1103419999999999</v>
      </c>
      <c r="L5920">
        <v>-63.35425</v>
      </c>
      <c r="M5920">
        <v>0.9979441</v>
      </c>
      <c r="N5920">
        <v>0</v>
      </c>
      <c r="O5920">
        <v>-6.4089309999999997E-2</v>
      </c>
      <c r="P5920">
        <v>0.99938570000000004</v>
      </c>
      <c r="Q5920">
        <v>-1.022093E-2</v>
      </c>
      <c r="R5920">
        <v>3.3528189999999999E-2</v>
      </c>
      <c r="S5920">
        <v>3.0062259999999998</v>
      </c>
      <c r="T5920">
        <v>-0.20941309999999999</v>
      </c>
      <c r="U5920">
        <v>-0.2115784</v>
      </c>
      <c r="V5920">
        <v>-9.7467999999999999E-2</v>
      </c>
      <c r="W5920">
        <v>-1.098758E-2</v>
      </c>
      <c r="X5920">
        <v>0.99517800000000001</v>
      </c>
      <c r="Y5920">
        <v>6.2700159999999998E-3</v>
      </c>
      <c r="Z5920">
        <v>4.2309100000000001E-3</v>
      </c>
      <c r="AA5920">
        <v>0.99997139999999995</v>
      </c>
      <c r="AB5920">
        <v>23</v>
      </c>
      <c r="AC5920">
        <v>0.75999999999999002</v>
      </c>
      <c r="AD5920">
        <v>-6.0574999999999803E-2</v>
      </c>
      <c r="AE5920">
        <v>-5.5409999999994797E-2</v>
      </c>
      <c r="AF5920">
        <v>6.5468371095931104E-3</v>
      </c>
      <c r="AG5920">
        <v>-6.0574999999999803E-2</v>
      </c>
      <c r="AH5920">
        <v>0.75720388615531198</v>
      </c>
      <c r="AI5920">
        <v>94.573652476559701</v>
      </c>
      <c r="AJ5920">
        <v>89.504629075658102</v>
      </c>
      <c r="AK5920">
        <v>0.75965118107579299</v>
      </c>
      <c r="AL5920">
        <v>90.629554632127096</v>
      </c>
      <c r="AM5920">
        <v>95.593723968815596</v>
      </c>
      <c r="AN5920">
        <v>0.999999994811128</v>
      </c>
    </row>
    <row r="5921" spans="1:40" x14ac:dyDescent="0.3">
      <c r="A5921" t="str">
        <f>"20200111160621711"</f>
        <v>20200111160621711</v>
      </c>
      <c r="B5921" t="str">
        <f>"1578729981708636"</f>
        <v>1578729981708636</v>
      </c>
      <c r="C5921" t="s">
        <v>40</v>
      </c>
      <c r="D5921">
        <v>5.1967980000000003</v>
      </c>
      <c r="E5921">
        <v>0.54077679999999995</v>
      </c>
      <c r="F5921" t="s">
        <v>95</v>
      </c>
      <c r="G5921">
        <v>-250.15049999999999</v>
      </c>
      <c r="H5921" s="1">
        <v>-9.6597549999999998E-8</v>
      </c>
      <c r="I5921">
        <v>-64.412450000000007</v>
      </c>
      <c r="J5921">
        <v>-265.29599999999999</v>
      </c>
      <c r="K5921">
        <v>1.110368</v>
      </c>
      <c r="L5921">
        <v>-63.35989</v>
      </c>
      <c r="M5921">
        <v>0.99801470000000003</v>
      </c>
      <c r="N5921">
        <v>0</v>
      </c>
      <c r="O5921">
        <v>-6.2981800000000004E-2</v>
      </c>
      <c r="P5921">
        <v>0.99927299999999997</v>
      </c>
      <c r="Q5921">
        <v>-1.206145E-2</v>
      </c>
      <c r="R5921">
        <v>3.6172269999999999E-2</v>
      </c>
      <c r="S5921">
        <v>3.0065919999999999</v>
      </c>
      <c r="T5921">
        <v>-0.21889810000000001</v>
      </c>
      <c r="U5921">
        <v>-0.2086182</v>
      </c>
      <c r="V5921">
        <v>-9.8987000000000006E-2</v>
      </c>
      <c r="W5921">
        <v>-1.289352E-2</v>
      </c>
      <c r="X5921">
        <v>0.99500520000000003</v>
      </c>
      <c r="Y5921">
        <v>6.4010650000000001E-3</v>
      </c>
      <c r="Z5921">
        <v>4.3367220000000003E-3</v>
      </c>
      <c r="AA5921">
        <v>0.99997009999999997</v>
      </c>
      <c r="AB5921">
        <v>23</v>
      </c>
      <c r="AC5921">
        <v>15.145499999999901</v>
      </c>
      <c r="AD5921">
        <v>-1.11036809659755</v>
      </c>
      <c r="AE5921">
        <v>-1.0525599999999999</v>
      </c>
      <c r="AF5921">
        <v>9.6065641345955605E-2</v>
      </c>
      <c r="AG5921">
        <v>-1.11036809659755</v>
      </c>
      <c r="AH5921">
        <v>15.100948119470999</v>
      </c>
      <c r="AI5921">
        <v>94.205288307376307</v>
      </c>
      <c r="AJ5921">
        <v>89.635514173449806</v>
      </c>
      <c r="AK5921">
        <v>15.1420203415642</v>
      </c>
      <c r="AL5921">
        <v>90.738764742792398</v>
      </c>
      <c r="AM5921">
        <v>95.681314192384093</v>
      </c>
      <c r="AN5921">
        <v>1.00000000852701</v>
      </c>
    </row>
    <row r="5922" spans="1:40" x14ac:dyDescent="0.3">
      <c r="A5922" t="str">
        <f>"20200111160621721"</f>
        <v>20200111160621721</v>
      </c>
      <c r="B5922" t="str">
        <f>"1578729981718396"</f>
        <v>1578729981718396</v>
      </c>
      <c r="C5922" t="s">
        <v>40</v>
      </c>
      <c r="D5922">
        <v>5.2364139999999999</v>
      </c>
      <c r="E5922">
        <v>0.54120210000000002</v>
      </c>
      <c r="F5922" t="s">
        <v>42</v>
      </c>
      <c r="G5922">
        <v>-264.43400000000003</v>
      </c>
      <c r="H5922">
        <v>1.044729</v>
      </c>
      <c r="I5922">
        <v>-63.41836</v>
      </c>
      <c r="J5922">
        <v>-265.18740000000003</v>
      </c>
      <c r="K5922">
        <v>1.1103909999999999</v>
      </c>
      <c r="L5922">
        <v>-63.365630000000003</v>
      </c>
      <c r="M5922">
        <v>0.99808660000000005</v>
      </c>
      <c r="N5922">
        <v>0</v>
      </c>
      <c r="O5922">
        <v>-6.183019E-2</v>
      </c>
      <c r="P5922">
        <v>0.99915670000000001</v>
      </c>
      <c r="Q5922">
        <v>-1.3587500000000001E-2</v>
      </c>
      <c r="R5922">
        <v>3.8747950000000003E-2</v>
      </c>
      <c r="S5922">
        <v>3.0068049999999999</v>
      </c>
      <c r="T5922">
        <v>-0.22902349999999999</v>
      </c>
      <c r="U5922">
        <v>-0.20379639999999999</v>
      </c>
      <c r="V5922">
        <v>-0.10039480000000001</v>
      </c>
      <c r="W5922">
        <v>-1.448092E-2</v>
      </c>
      <c r="X5922">
        <v>0.99484229999999996</v>
      </c>
      <c r="Y5922">
        <v>5.9659190000000001E-3</v>
      </c>
      <c r="Z5922">
        <v>4.4660059999999998E-3</v>
      </c>
      <c r="AA5922">
        <v>0.99997219999999998</v>
      </c>
      <c r="AB5922">
        <v>24</v>
      </c>
      <c r="AC5922">
        <v>0.75339999999999896</v>
      </c>
      <c r="AD5922">
        <v>-6.5661999999999804E-2</v>
      </c>
      <c r="AE5922">
        <v>-5.27299999999968E-2</v>
      </c>
      <c r="AF5922">
        <v>6.0008821067816199E-3</v>
      </c>
      <c r="AG5922">
        <v>-6.5661999999999804E-2</v>
      </c>
      <c r="AH5922">
        <v>0.749553066418854</v>
      </c>
      <c r="AI5922">
        <v>95.006258313022698</v>
      </c>
      <c r="AJ5922">
        <v>89.541302827093901</v>
      </c>
      <c r="AK5922">
        <v>0.75244754515379098</v>
      </c>
      <c r="AL5922">
        <v>90.829724593523395</v>
      </c>
      <c r="AM5922">
        <v>95.762511487210105</v>
      </c>
      <c r="AN5922">
        <v>1.00000000739018</v>
      </c>
    </row>
    <row r="5923" spans="1:40" x14ac:dyDescent="0.3">
      <c r="A5923" t="str">
        <f>"20200111160621731"</f>
        <v>20200111160621731</v>
      </c>
      <c r="B5923" t="str">
        <f>"1578729981728156"</f>
        <v>1578729981728156</v>
      </c>
      <c r="C5923" t="s">
        <v>40</v>
      </c>
      <c r="D5923">
        <v>5.1705310000000004</v>
      </c>
      <c r="E5923">
        <v>0.54156680000000001</v>
      </c>
      <c r="F5923" t="s">
        <v>42</v>
      </c>
      <c r="G5923">
        <v>-264.42860000000002</v>
      </c>
      <c r="H5923">
        <v>1.050462</v>
      </c>
      <c r="I5923">
        <v>-63.415959999999998</v>
      </c>
      <c r="J5923">
        <v>-265.08659999999998</v>
      </c>
      <c r="K5923">
        <v>1.1104130000000001</v>
      </c>
      <c r="L5923">
        <v>-63.370759999999997</v>
      </c>
      <c r="M5923">
        <v>0.99815279999999995</v>
      </c>
      <c r="N5923">
        <v>0</v>
      </c>
      <c r="O5923">
        <v>-6.075121E-2</v>
      </c>
      <c r="P5923">
        <v>0.99903220000000004</v>
      </c>
      <c r="Q5923">
        <v>-1.5047639999999999E-2</v>
      </c>
      <c r="R5923">
        <v>4.1330230000000003E-2</v>
      </c>
      <c r="S5923">
        <v>3.0070190000000001</v>
      </c>
      <c r="T5923">
        <v>-0.23755850000000001</v>
      </c>
      <c r="U5923">
        <v>-0.1993103</v>
      </c>
      <c r="V5923">
        <v>-0.1018824</v>
      </c>
      <c r="W5923">
        <v>-1.598397E-2</v>
      </c>
      <c r="X5923">
        <v>0.994668</v>
      </c>
      <c r="Y5923">
        <v>5.5670440000000002E-3</v>
      </c>
      <c r="Z5923">
        <v>4.5627990000000002E-3</v>
      </c>
      <c r="AA5923">
        <v>0.99997409999999998</v>
      </c>
      <c r="AB5923">
        <v>24</v>
      </c>
      <c r="AC5923">
        <v>0.65799999999995795</v>
      </c>
      <c r="AD5923">
        <v>-5.9950999999999803E-2</v>
      </c>
      <c r="AE5923">
        <v>-4.5200000000001198E-2</v>
      </c>
      <c r="AF5923">
        <v>5.1000731861304896E-3</v>
      </c>
      <c r="AG5923">
        <v>-5.9950999999999803E-2</v>
      </c>
      <c r="AH5923">
        <v>0.65412605768408205</v>
      </c>
      <c r="AI5923">
        <v>95.236400945352798</v>
      </c>
      <c r="AJ5923">
        <v>89.5532867948247</v>
      </c>
      <c r="AK5923">
        <v>0.65688738189192097</v>
      </c>
      <c r="AL5923">
        <v>90.915853048865102</v>
      </c>
      <c r="AM5923">
        <v>95.848327683873705</v>
      </c>
      <c r="AN5923">
        <v>0.99999997047536004</v>
      </c>
    </row>
    <row r="5924" spans="1:40" x14ac:dyDescent="0.3">
      <c r="A5924" t="str">
        <f>"20200111160621740"</f>
        <v>20200111160621740</v>
      </c>
      <c r="B5924" t="str">
        <f>"1578729981737916"</f>
        <v>1578729981737916</v>
      </c>
      <c r="C5924" t="s">
        <v>40</v>
      </c>
      <c r="D5924">
        <v>5.2698070000000001</v>
      </c>
      <c r="E5924">
        <v>0.54211999999999905</v>
      </c>
      <c r="F5924" t="s">
        <v>42</v>
      </c>
      <c r="G5924">
        <v>-264.22370000000001</v>
      </c>
      <c r="H5924">
        <v>1.040233</v>
      </c>
      <c r="I5924">
        <v>-63.426650000000002</v>
      </c>
      <c r="J5924">
        <v>-264.9701</v>
      </c>
      <c r="K5924">
        <v>1.11043799999999</v>
      </c>
      <c r="L5924">
        <v>-63.376620000000003</v>
      </c>
      <c r="M5924">
        <v>0.99822829999999996</v>
      </c>
      <c r="N5924">
        <v>0</v>
      </c>
      <c r="O5924">
        <v>-5.9499389999999999E-2</v>
      </c>
      <c r="P5924">
        <v>0.99889629999999996</v>
      </c>
      <c r="Q5924">
        <v>-1.6143609999999999E-2</v>
      </c>
      <c r="R5924">
        <v>4.4109410000000002E-2</v>
      </c>
      <c r="S5924">
        <v>3.0073240000000001</v>
      </c>
      <c r="T5924">
        <v>-0.24460019999999999</v>
      </c>
      <c r="U5924">
        <v>-0.19439699999999999</v>
      </c>
      <c r="V5924">
        <v>-0.10339520000000001</v>
      </c>
      <c r="W5924">
        <v>-1.7122700000000001E-2</v>
      </c>
      <c r="X5924">
        <v>0.99449290000000001</v>
      </c>
      <c r="Y5924">
        <v>5.1950249999999998E-3</v>
      </c>
      <c r="Z5924">
        <v>4.61123E-3</v>
      </c>
      <c r="AA5924">
        <v>0.99997590000000003</v>
      </c>
      <c r="AB5924">
        <v>24</v>
      </c>
      <c r="AC5924">
        <v>0.74639999999999396</v>
      </c>
      <c r="AD5924">
        <v>-7.0204999999999795E-2</v>
      </c>
      <c r="AE5924">
        <v>-5.0030000000006597E-2</v>
      </c>
      <c r="AF5924">
        <v>5.4827289890155197E-3</v>
      </c>
      <c r="AG5924">
        <v>-7.0204999999999795E-2</v>
      </c>
      <c r="AH5924">
        <v>0.74152352059736804</v>
      </c>
      <c r="AI5924">
        <v>95.408306948058495</v>
      </c>
      <c r="AJ5924">
        <v>89.576370137709503</v>
      </c>
      <c r="AK5924">
        <v>0.74485967399321695</v>
      </c>
      <c r="AL5924">
        <v>90.981106446801405</v>
      </c>
      <c r="AM5924">
        <v>95.935588691700303</v>
      </c>
      <c r="AN5924">
        <v>0.99999994119436797</v>
      </c>
    </row>
    <row r="5925" spans="1:40" x14ac:dyDescent="0.3">
      <c r="A5925" t="str">
        <f>"20200111160621753"</f>
        <v>20200111160621753</v>
      </c>
      <c r="B5925" t="str">
        <f>"1578729981748652"</f>
        <v>1578729981748652</v>
      </c>
      <c r="C5925" t="s">
        <v>40</v>
      </c>
      <c r="D5925">
        <v>5.2992710000000001</v>
      </c>
      <c r="E5925">
        <v>0.54264169999999901</v>
      </c>
      <c r="F5925" t="s">
        <v>42</v>
      </c>
      <c r="G5925">
        <v>-264.21749999999997</v>
      </c>
      <c r="H5925">
        <v>1.047831</v>
      </c>
      <c r="I5925">
        <v>-63.424340000000001</v>
      </c>
      <c r="J5925">
        <v>-264.84969999999998</v>
      </c>
      <c r="K5925">
        <v>1.1104579999999999</v>
      </c>
      <c r="L5925">
        <v>-63.382420000000003</v>
      </c>
      <c r="M5925">
        <v>0.99830479999999999</v>
      </c>
      <c r="N5925">
        <v>0</v>
      </c>
      <c r="O5925">
        <v>-5.8200050000000003E-2</v>
      </c>
      <c r="P5925">
        <v>0.99878129999999998</v>
      </c>
      <c r="Q5925">
        <v>-1.6695580000000002E-2</v>
      </c>
      <c r="R5925">
        <v>4.6451270000000003E-2</v>
      </c>
      <c r="S5925">
        <v>3.0076290000000001</v>
      </c>
      <c r="T5925">
        <v>-0.25021959999999999</v>
      </c>
      <c r="U5925">
        <v>-0.1902771</v>
      </c>
      <c r="V5925">
        <v>-0.1044288</v>
      </c>
      <c r="W5925">
        <v>-1.7697810000000001E-2</v>
      </c>
      <c r="X5925">
        <v>0.99437489999999995</v>
      </c>
      <c r="Y5925">
        <v>5.1298940000000003E-3</v>
      </c>
      <c r="Z5925">
        <v>4.6117240000000002E-3</v>
      </c>
      <c r="AA5925">
        <v>0.99997619999999998</v>
      </c>
      <c r="AB5925">
        <v>24</v>
      </c>
      <c r="AC5925">
        <v>0.63220000000001098</v>
      </c>
      <c r="AD5925">
        <v>-6.2626999999999905E-2</v>
      </c>
      <c r="AE5925">
        <v>-4.1920000000004599E-2</v>
      </c>
      <c r="AF5925">
        <v>5.0059565023051703E-3</v>
      </c>
      <c r="AG5925">
        <v>-6.2626999999999905E-2</v>
      </c>
      <c r="AH5925">
        <v>0.62743785888345205</v>
      </c>
      <c r="AI5925">
        <v>95.699853774083294</v>
      </c>
      <c r="AJ5925">
        <v>89.542880477594593</v>
      </c>
      <c r="AK5925">
        <v>0.63057550498711401</v>
      </c>
      <c r="AL5925">
        <v>91.014062746056993</v>
      </c>
      <c r="AM5925">
        <v>95.995200606425101</v>
      </c>
      <c r="AN5925">
        <v>1.0000000142491201</v>
      </c>
    </row>
    <row r="5926" spans="1:40" x14ac:dyDescent="0.3">
      <c r="A5926" t="str">
        <f>"20200111160621764"</f>
        <v>20200111160621764</v>
      </c>
      <c r="B5926" t="str">
        <f>"1578729981758411"</f>
        <v>1578729981758411</v>
      </c>
      <c r="C5926" t="s">
        <v>40</v>
      </c>
      <c r="D5926">
        <v>5.2984339999999897</v>
      </c>
      <c r="E5926">
        <v>0.54322919999999997</v>
      </c>
      <c r="F5926" t="s">
        <v>42</v>
      </c>
      <c r="G5926">
        <v>-264.00889999999998</v>
      </c>
      <c r="H5926">
        <v>1.039466</v>
      </c>
      <c r="I5926">
        <v>-63.434809999999999</v>
      </c>
      <c r="J5926">
        <v>-264.72730000000001</v>
      </c>
      <c r="K5926">
        <v>1.1104799999999999</v>
      </c>
      <c r="L5926">
        <v>-63.388280000000002</v>
      </c>
      <c r="M5926">
        <v>0.99838099999999996</v>
      </c>
      <c r="N5926">
        <v>0</v>
      </c>
      <c r="O5926">
        <v>-5.6877329999999997E-2</v>
      </c>
      <c r="P5926">
        <v>0.99865570000000004</v>
      </c>
      <c r="Q5926">
        <v>-1.697595E-2</v>
      </c>
      <c r="R5926">
        <v>4.8976760000000001E-2</v>
      </c>
      <c r="S5926">
        <v>3.0081180000000001</v>
      </c>
      <c r="T5926">
        <v>-0.25398929999999997</v>
      </c>
      <c r="U5926">
        <v>-0.1872559</v>
      </c>
      <c r="V5926">
        <v>-0.1056231</v>
      </c>
      <c r="W5926">
        <v>-1.7997119999999998E-2</v>
      </c>
      <c r="X5926">
        <v>0.9942434</v>
      </c>
      <c r="Y5926">
        <v>5.4438669999999998E-3</v>
      </c>
      <c r="Z5926">
        <v>4.5560260000000003E-3</v>
      </c>
      <c r="AA5926">
        <v>0.99997480000000005</v>
      </c>
      <c r="AB5926">
        <v>24</v>
      </c>
      <c r="AC5926">
        <v>0.71840000000003001</v>
      </c>
      <c r="AD5926">
        <v>-7.1013999999999897E-2</v>
      </c>
      <c r="AE5926">
        <v>-4.6529999999996997E-2</v>
      </c>
      <c r="AF5926">
        <v>5.5400869567124398E-3</v>
      </c>
      <c r="AG5926">
        <v>-7.1013999999999897E-2</v>
      </c>
      <c r="AH5926">
        <v>0.71294618173653102</v>
      </c>
      <c r="AI5926">
        <v>95.688093124301403</v>
      </c>
      <c r="AJ5926">
        <v>89.554780963769602</v>
      </c>
      <c r="AK5926">
        <v>0.71649559580794797</v>
      </c>
      <c r="AL5926">
        <v>91.031214654103195</v>
      </c>
      <c r="AM5926">
        <v>96.064052793623105</v>
      </c>
      <c r="AN5926">
        <v>1.00000003701273</v>
      </c>
    </row>
    <row r="5927" spans="1:40" x14ac:dyDescent="0.3">
      <c r="A5927" t="str">
        <f>"20200111160621775"</f>
        <v>20200111160621775</v>
      </c>
      <c r="B5927" t="str">
        <f>"1578729981768172"</f>
        <v>1578729981768172</v>
      </c>
      <c r="C5927" t="s">
        <v>40</v>
      </c>
      <c r="D5927">
        <v>5.2325710000000001</v>
      </c>
      <c r="E5927">
        <v>0.54359979999999997</v>
      </c>
      <c r="F5927" t="s">
        <v>42</v>
      </c>
      <c r="G5927">
        <v>-263.79590000000002</v>
      </c>
      <c r="H5927">
        <v>1.031358</v>
      </c>
      <c r="I5927">
        <v>-63.445549999999997</v>
      </c>
      <c r="J5927">
        <v>-264.60809999999998</v>
      </c>
      <c r="K5927">
        <v>1.110495</v>
      </c>
      <c r="L5927">
        <v>-63.393650000000001</v>
      </c>
      <c r="M5927">
        <v>0.99845349999999999</v>
      </c>
      <c r="N5927">
        <v>0</v>
      </c>
      <c r="O5927">
        <v>-5.5592290000000003E-2</v>
      </c>
      <c r="P5927">
        <v>0.99855819999999995</v>
      </c>
      <c r="Q5927">
        <v>-1.6826939999999999E-2</v>
      </c>
      <c r="R5927">
        <v>5.0978879999999997E-2</v>
      </c>
      <c r="S5927">
        <v>3.0087280000000001</v>
      </c>
      <c r="T5927">
        <v>-0.25569029999999998</v>
      </c>
      <c r="U5927">
        <v>-0.1843872</v>
      </c>
      <c r="V5927">
        <v>-0.1063373</v>
      </c>
      <c r="W5927">
        <v>-1.7845429999999999E-2</v>
      </c>
      <c r="X5927">
        <v>0.99417</v>
      </c>
      <c r="Y5927">
        <v>5.7651880000000001E-3</v>
      </c>
      <c r="Z5927">
        <v>4.463369E-3</v>
      </c>
      <c r="AA5927">
        <v>0.99997340000000001</v>
      </c>
      <c r="AB5927">
        <v>24</v>
      </c>
      <c r="AC5927">
        <v>0.81219999999996095</v>
      </c>
      <c r="AD5927">
        <v>-7.9136999999999999E-2</v>
      </c>
      <c r="AE5927">
        <v>-5.1899999999996199E-2</v>
      </c>
      <c r="AF5927">
        <v>6.6052263715398003E-3</v>
      </c>
      <c r="AG5927">
        <v>-7.9136999999999999E-2</v>
      </c>
      <c r="AH5927">
        <v>0.80620649924070698</v>
      </c>
      <c r="AI5927">
        <v>95.605990667713996</v>
      </c>
      <c r="AJ5927">
        <v>89.530587849775998</v>
      </c>
      <c r="AK5927">
        <v>0.81010814907787199</v>
      </c>
      <c r="AL5927">
        <v>91.022522063841805</v>
      </c>
      <c r="AM5927">
        <v>96.105195289225804</v>
      </c>
      <c r="AN5927">
        <v>1.0000000348215801</v>
      </c>
    </row>
    <row r="5928" spans="1:40" x14ac:dyDescent="0.3">
      <c r="A5928" t="str">
        <f>"20200111160621786"</f>
        <v>20200111160621786</v>
      </c>
      <c r="B5928" t="str">
        <f>"1578729981777932"</f>
        <v>1578729981777932</v>
      </c>
      <c r="C5928" t="s">
        <v>40</v>
      </c>
      <c r="D5928">
        <v>5.2008179999999999</v>
      </c>
      <c r="E5928">
        <v>0.54402069999999902</v>
      </c>
      <c r="F5928" t="s">
        <v>42</v>
      </c>
      <c r="G5928">
        <v>-263.7912</v>
      </c>
      <c r="H5928">
        <v>1.0410090000000001</v>
      </c>
      <c r="I5928">
        <v>-63.443040000000003</v>
      </c>
      <c r="J5928">
        <v>-264.4855</v>
      </c>
      <c r="K5928">
        <v>1.1105069999999999</v>
      </c>
      <c r="L5928">
        <v>-63.399169999999998</v>
      </c>
      <c r="M5928">
        <v>0.99852620000000003</v>
      </c>
      <c r="N5928">
        <v>0</v>
      </c>
      <c r="O5928">
        <v>-5.4271109999999997E-2</v>
      </c>
      <c r="P5928">
        <v>0.99845329999999999</v>
      </c>
      <c r="Q5928">
        <v>-1.676093E-2</v>
      </c>
      <c r="R5928">
        <v>5.301252E-2</v>
      </c>
      <c r="S5928">
        <v>3.009277</v>
      </c>
      <c r="T5928">
        <v>-0.25604539999999998</v>
      </c>
      <c r="U5928">
        <v>-0.1812134</v>
      </c>
      <c r="V5928">
        <v>-0.10704660000000001</v>
      </c>
      <c r="W5928">
        <v>-1.7772690000000001E-2</v>
      </c>
      <c r="X5928">
        <v>0.99409510000000001</v>
      </c>
      <c r="Y5928">
        <v>6.0212089999999996E-3</v>
      </c>
      <c r="Z5928">
        <v>4.3461589999999996E-3</v>
      </c>
      <c r="AA5928">
        <v>0.99997239999999998</v>
      </c>
      <c r="AB5928">
        <v>24</v>
      </c>
      <c r="AC5928">
        <v>0.69429999999999803</v>
      </c>
      <c r="AD5928">
        <v>-6.9497999999999796E-2</v>
      </c>
      <c r="AE5928">
        <v>-4.3870000000005398E-2</v>
      </c>
      <c r="AF5928">
        <v>6.0643918116378504E-3</v>
      </c>
      <c r="AG5928">
        <v>-6.9497999999999796E-2</v>
      </c>
      <c r="AH5928">
        <v>0.68878374790999697</v>
      </c>
      <c r="AI5928">
        <v>95.761399347105296</v>
      </c>
      <c r="AJ5928">
        <v>89.495552734475197</v>
      </c>
      <c r="AK5928">
        <v>0.69230759076944104</v>
      </c>
      <c r="AL5928">
        <v>91.018353788732497</v>
      </c>
      <c r="AM5928">
        <v>96.146067563731904</v>
      </c>
      <c r="AN5928">
        <v>0.99999995546270204</v>
      </c>
    </row>
    <row r="5929" spans="1:40" x14ac:dyDescent="0.3">
      <c r="A5929" t="str">
        <f>"20200111160621796"</f>
        <v>20200111160621796</v>
      </c>
      <c r="B5929" t="str">
        <f>"1578729981788582"</f>
        <v>1578729981788582</v>
      </c>
      <c r="C5929" t="s">
        <v>40</v>
      </c>
      <c r="D5929">
        <v>5.1598439999999997</v>
      </c>
      <c r="E5929">
        <v>0.54445669999999902</v>
      </c>
      <c r="F5929" t="s">
        <v>42</v>
      </c>
      <c r="G5929">
        <v>-263.57639999999998</v>
      </c>
      <c r="H5929">
        <v>1.03302</v>
      </c>
      <c r="I5929">
        <v>-63.453279999999999</v>
      </c>
      <c r="J5929">
        <v>-264.36790000000002</v>
      </c>
      <c r="K5929">
        <v>1.1105130000000001</v>
      </c>
      <c r="L5929">
        <v>-63.404209999999999</v>
      </c>
      <c r="M5929">
        <v>0.99859379999999998</v>
      </c>
      <c r="N5929">
        <v>0</v>
      </c>
      <c r="O5929">
        <v>-5.3009939999999998E-2</v>
      </c>
      <c r="P5929">
        <v>0.99841179999999996</v>
      </c>
      <c r="Q5929">
        <v>-1.5930070000000001E-2</v>
      </c>
      <c r="R5929">
        <v>5.4038330000000002E-2</v>
      </c>
      <c r="S5929">
        <v>3.009827</v>
      </c>
      <c r="T5929">
        <v>-0.25666610000000001</v>
      </c>
      <c r="U5929">
        <v>-0.17834469999999999</v>
      </c>
      <c r="V5929">
        <v>-0.10681690000000001</v>
      </c>
      <c r="W5929">
        <v>-1.6919819999999999E-2</v>
      </c>
      <c r="X5929">
        <v>0.99413470000000004</v>
      </c>
      <c r="Y5929">
        <v>6.3187039999999996E-3</v>
      </c>
      <c r="Z5929">
        <v>4.2363100000000001E-3</v>
      </c>
      <c r="AA5929">
        <v>0.9999711</v>
      </c>
      <c r="AB5929">
        <v>24</v>
      </c>
      <c r="AC5929">
        <v>0.79150000000004095</v>
      </c>
      <c r="AD5929">
        <v>-7.7492999999999798E-2</v>
      </c>
      <c r="AE5929">
        <v>-4.9070000000007399E-2</v>
      </c>
      <c r="AF5929">
        <v>6.9770082274120803E-3</v>
      </c>
      <c r="AG5929">
        <v>-7.7492999999999798E-2</v>
      </c>
      <c r="AH5929">
        <v>0.78548772833922598</v>
      </c>
      <c r="AI5929">
        <v>95.634113530279507</v>
      </c>
      <c r="AJ5929">
        <v>89.491089932984394</v>
      </c>
      <c r="AK5929">
        <v>0.78933187891046397</v>
      </c>
      <c r="AL5929">
        <v>90.969480569950505</v>
      </c>
      <c r="AM5929">
        <v>96.132737542721202</v>
      </c>
      <c r="AN5929">
        <v>0.999999966089265</v>
      </c>
    </row>
    <row r="5930" spans="1:40" x14ac:dyDescent="0.3">
      <c r="A5930" t="str">
        <f>"20200111160621809"</f>
        <v>20200111160621809</v>
      </c>
      <c r="B5930" t="str">
        <f>"1578729981798324"</f>
        <v>1578729981798324</v>
      </c>
      <c r="C5930" t="s">
        <v>40</v>
      </c>
      <c r="D5930">
        <v>5.2260450000000001</v>
      </c>
      <c r="E5930">
        <v>0.54484840000000001</v>
      </c>
      <c r="F5930" t="s">
        <v>42</v>
      </c>
      <c r="G5930">
        <v>-263.57100000000003</v>
      </c>
      <c r="H5930">
        <v>1.0434920000000001</v>
      </c>
      <c r="I5930">
        <v>-63.451749999999997</v>
      </c>
      <c r="J5930">
        <v>-264.24579999999997</v>
      </c>
      <c r="K5930">
        <v>1.1105160000000001</v>
      </c>
      <c r="L5930">
        <v>-63.409329999999997</v>
      </c>
      <c r="M5930">
        <v>0.99866220000000006</v>
      </c>
      <c r="N5930">
        <v>0</v>
      </c>
      <c r="O5930">
        <v>-5.1706299999999997E-2</v>
      </c>
      <c r="P5930">
        <v>0.99838309999999997</v>
      </c>
      <c r="Q5930">
        <v>-1.530839E-2</v>
      </c>
      <c r="R5930">
        <v>5.4743920000000001E-2</v>
      </c>
      <c r="S5930">
        <v>3.010437</v>
      </c>
      <c r="T5930">
        <v>-0.2533591</v>
      </c>
      <c r="U5930">
        <v>-0.17871090000000001</v>
      </c>
      <c r="V5930">
        <v>-0.106225</v>
      </c>
      <c r="W5930">
        <v>-1.6269169999999999E-2</v>
      </c>
      <c r="X5930">
        <v>0.99420900000000001</v>
      </c>
      <c r="Y5930">
        <v>7.7194659999999899E-3</v>
      </c>
      <c r="Z5930">
        <v>4.013043E-3</v>
      </c>
      <c r="AA5930">
        <v>0.99996220000000002</v>
      </c>
      <c r="AB5930">
        <v>24</v>
      </c>
      <c r="AC5930">
        <v>0.67480000000000395</v>
      </c>
      <c r="AD5930">
        <v>-6.7023999999999903E-2</v>
      </c>
      <c r="AE5930">
        <v>-4.2419999999992797E-2</v>
      </c>
      <c r="AF5930">
        <v>7.3991329044040396E-3</v>
      </c>
      <c r="AG5930">
        <v>-6.7023999999999903E-2</v>
      </c>
      <c r="AH5930">
        <v>0.66951178482526497</v>
      </c>
      <c r="AI5930">
        <v>95.716416552425599</v>
      </c>
      <c r="AJ5930">
        <v>89.366819466238596</v>
      </c>
      <c r="AK5930">
        <v>0.67289894766127301</v>
      </c>
      <c r="AL5930">
        <v>90.932195916408702</v>
      </c>
      <c r="AM5930">
        <v>96.098558935930299</v>
      </c>
      <c r="AN5930">
        <v>0.99999998609924401</v>
      </c>
    </row>
    <row r="5931" spans="1:40" x14ac:dyDescent="0.3">
      <c r="A5931" t="str">
        <f>"20200111160621818"</f>
        <v>20200111160621818</v>
      </c>
      <c r="B5931" t="str">
        <f>"1578729981808084"</f>
        <v>1578729981808084</v>
      </c>
      <c r="C5931" t="s">
        <v>40</v>
      </c>
      <c r="D5931">
        <v>5.2206489999999999</v>
      </c>
      <c r="E5931">
        <v>0.54526319999999995</v>
      </c>
      <c r="F5931" t="s">
        <v>42</v>
      </c>
      <c r="G5931">
        <v>-263.35449999999997</v>
      </c>
      <c r="H5931">
        <v>1.036241</v>
      </c>
      <c r="I5931">
        <v>-63.462600000000002</v>
      </c>
      <c r="J5931">
        <v>-264.1234</v>
      </c>
      <c r="K5931">
        <v>1.1105100000000001</v>
      </c>
      <c r="L5931">
        <v>-63.414340000000003</v>
      </c>
      <c r="M5931">
        <v>0.99872879999999997</v>
      </c>
      <c r="N5931">
        <v>0</v>
      </c>
      <c r="O5931">
        <v>-5.0408229999999998E-2</v>
      </c>
      <c r="P5931">
        <v>0.99836570000000002</v>
      </c>
      <c r="Q5931">
        <v>-1.504641E-2</v>
      </c>
      <c r="R5931">
        <v>5.5133840000000003E-2</v>
      </c>
      <c r="S5931">
        <v>3.0108640000000002</v>
      </c>
      <c r="T5931">
        <v>-0.2509555</v>
      </c>
      <c r="U5931">
        <v>-0.1796875</v>
      </c>
      <c r="V5931">
        <v>-0.10532229999999999</v>
      </c>
      <c r="W5931">
        <v>-1.5970330000000001E-2</v>
      </c>
      <c r="X5931">
        <v>0.99430989999999997</v>
      </c>
      <c r="Y5931">
        <v>9.3210370000000008E-3</v>
      </c>
      <c r="Z5931">
        <v>3.8001990000000002E-3</v>
      </c>
      <c r="AA5931">
        <v>0.99994930000000004</v>
      </c>
      <c r="AB5931">
        <v>25</v>
      </c>
      <c r="AC5931">
        <v>0.76890000000003</v>
      </c>
      <c r="AD5931">
        <v>-7.4269000000000099E-2</v>
      </c>
      <c r="AE5931">
        <v>-4.8259999999998998E-2</v>
      </c>
      <c r="AF5931">
        <v>9.3528444898950194E-3</v>
      </c>
      <c r="AG5931">
        <v>-7.4269000000000099E-2</v>
      </c>
      <c r="AH5931">
        <v>0.76326200687651602</v>
      </c>
      <c r="AI5931">
        <v>95.557239221526899</v>
      </c>
      <c r="AJ5931">
        <v>89.297945277417298</v>
      </c>
      <c r="AK5931">
        <v>0.766923888793549</v>
      </c>
      <c r="AL5931">
        <v>90.915071400504701</v>
      </c>
      <c r="AM5931">
        <v>96.046509916073504</v>
      </c>
      <c r="AN5931">
        <v>1.0000000077778</v>
      </c>
    </row>
    <row r="5932" spans="1:40" x14ac:dyDescent="0.3">
      <c r="A5932" t="str">
        <f>"20200111160621831"</f>
        <v>20200111160621831</v>
      </c>
      <c r="B5932" t="str">
        <f>"1578729981828580"</f>
        <v>1578729981828580</v>
      </c>
      <c r="C5932" t="s">
        <v>40</v>
      </c>
      <c r="D5932">
        <v>5.2259010000000004</v>
      </c>
      <c r="E5932">
        <v>0.54601099999999902</v>
      </c>
      <c r="F5932" t="s">
        <v>42</v>
      </c>
      <c r="G5932">
        <v>-263.34840000000003</v>
      </c>
      <c r="H5932">
        <v>1.0463819999999999</v>
      </c>
      <c r="I5932">
        <v>-63.461199999999998</v>
      </c>
      <c r="J5932">
        <v>-263.99900000000002</v>
      </c>
      <c r="K5932">
        <v>1.110498</v>
      </c>
      <c r="L5932">
        <v>-63.419280000000001</v>
      </c>
      <c r="M5932">
        <v>0.99879379999999995</v>
      </c>
      <c r="N5932">
        <v>0</v>
      </c>
      <c r="O5932">
        <v>-4.9100699999999997E-2</v>
      </c>
      <c r="P5932">
        <v>0.99836409999999998</v>
      </c>
      <c r="Q5932">
        <v>-1.485735E-2</v>
      </c>
      <c r="R5932">
        <v>5.5212690000000002E-2</v>
      </c>
      <c r="S5932">
        <v>3.0112299999999999</v>
      </c>
      <c r="T5932">
        <v>-0.24925459999999999</v>
      </c>
      <c r="U5932">
        <v>-0.1817627</v>
      </c>
      <c r="V5932">
        <v>-0.10410079999999999</v>
      </c>
      <c r="W5932">
        <v>-1.5739070000000001E-2</v>
      </c>
      <c r="X5932">
        <v>0.99444219999999905</v>
      </c>
      <c r="Y5932">
        <v>1.129639E-2</v>
      </c>
      <c r="Z5932">
        <v>3.5846720000000001E-3</v>
      </c>
      <c r="AA5932">
        <v>0.99992979999999998</v>
      </c>
      <c r="AB5932">
        <v>25</v>
      </c>
      <c r="AC5932">
        <v>0.65059999999999696</v>
      </c>
      <c r="AD5932">
        <v>-6.4116000000000006E-2</v>
      </c>
      <c r="AE5932">
        <v>-4.1919999999990402E-2</v>
      </c>
      <c r="AF5932">
        <v>9.8294529107618694E-3</v>
      </c>
      <c r="AG5932">
        <v>-6.4116000000000006E-2</v>
      </c>
      <c r="AH5932">
        <v>0.64562919956855402</v>
      </c>
      <c r="AI5932">
        <v>95.670668756073695</v>
      </c>
      <c r="AJ5932">
        <v>89.127761477131003</v>
      </c>
      <c r="AK5932">
        <v>0.64887945177517903</v>
      </c>
      <c r="AL5932">
        <v>90.901819527148007</v>
      </c>
      <c r="AM5932">
        <v>95.976105269436601</v>
      </c>
      <c r="AN5932">
        <v>0.99999999201297196</v>
      </c>
    </row>
    <row r="5933" spans="1:40" x14ac:dyDescent="0.3">
      <c r="A5933" t="str">
        <f>"20200111160621842"</f>
        <v>20200111160621842</v>
      </c>
      <c r="B5933" t="str">
        <f>"1578729981838340"</f>
        <v>1578729981838340</v>
      </c>
      <c r="C5933" t="s">
        <v>40</v>
      </c>
      <c r="D5933">
        <v>5.2983710000000004</v>
      </c>
      <c r="E5933">
        <v>0.54634879999999997</v>
      </c>
      <c r="F5933" t="s">
        <v>42</v>
      </c>
      <c r="G5933">
        <v>-263.13119999999998</v>
      </c>
      <c r="H5933">
        <v>1.0387850000000001</v>
      </c>
      <c r="I5933">
        <v>-63.473350000000003</v>
      </c>
      <c r="J5933">
        <v>-263.87479999999999</v>
      </c>
      <c r="K5933">
        <v>1.1104830000000001</v>
      </c>
      <c r="L5933">
        <v>-63.424039999999998</v>
      </c>
      <c r="M5933">
        <v>0.99885670000000004</v>
      </c>
      <c r="N5933">
        <v>0</v>
      </c>
      <c r="O5933">
        <v>-4.7803770000000002E-2</v>
      </c>
      <c r="P5933">
        <v>0.99837220000000004</v>
      </c>
      <c r="Q5933">
        <v>-1.476266E-2</v>
      </c>
      <c r="R5933">
        <v>5.509025E-2</v>
      </c>
      <c r="S5933">
        <v>3.0116269999999998</v>
      </c>
      <c r="T5933">
        <v>-0.2489007</v>
      </c>
      <c r="U5933">
        <v>-0.18728639999999999</v>
      </c>
      <c r="V5933">
        <v>-0.1026888</v>
      </c>
      <c r="W5933">
        <v>-1.5599399999999999E-2</v>
      </c>
      <c r="X5933">
        <v>0.99459120000000001</v>
      </c>
      <c r="Y5933">
        <v>1.4398579999999999E-2</v>
      </c>
      <c r="Z5933">
        <v>3.3443069999999999E-3</v>
      </c>
      <c r="AA5933">
        <v>0.99989070000000002</v>
      </c>
      <c r="AB5933">
        <v>25</v>
      </c>
      <c r="AC5933">
        <v>0.74360000000001403</v>
      </c>
      <c r="AD5933">
        <v>-7.1697999999999804E-2</v>
      </c>
      <c r="AE5933">
        <v>-4.9309999999998397E-2</v>
      </c>
      <c r="AF5933">
        <v>1.35810332379456E-2</v>
      </c>
      <c r="AG5933">
        <v>-7.1697999999999804E-2</v>
      </c>
      <c r="AH5933">
        <v>0.73827351981443001</v>
      </c>
      <c r="AI5933">
        <v>95.545996262606707</v>
      </c>
      <c r="AJ5933">
        <v>88.946124831746204</v>
      </c>
      <c r="AK5933">
        <v>0.74187117326864704</v>
      </c>
      <c r="AL5933">
        <v>90.893816042063705</v>
      </c>
      <c r="AM5933">
        <v>95.894744542929303</v>
      </c>
      <c r="AN5933">
        <v>0.99999999302162002</v>
      </c>
    </row>
    <row r="5934" spans="1:40" x14ac:dyDescent="0.3">
      <c r="A5934" t="str">
        <f>"20200111160621853"</f>
        <v>20200111160621853</v>
      </c>
      <c r="B5934" t="str">
        <f>"1578729981848103"</f>
        <v>1578729981848103</v>
      </c>
      <c r="C5934" t="s">
        <v>40</v>
      </c>
      <c r="D5934">
        <v>5.249695</v>
      </c>
      <c r="E5934">
        <v>0.54672279999999995</v>
      </c>
      <c r="F5934" t="s">
        <v>42</v>
      </c>
      <c r="G5934">
        <v>-263.12479999999999</v>
      </c>
      <c r="H5934">
        <v>1.0486040000000001</v>
      </c>
      <c r="I5934">
        <v>-63.471499999999999</v>
      </c>
      <c r="J5934">
        <v>-263.74369999999999</v>
      </c>
      <c r="K5934">
        <v>1.1104579999999999</v>
      </c>
      <c r="L5934">
        <v>-63.428919999999998</v>
      </c>
      <c r="M5934">
        <v>0.99892029999999998</v>
      </c>
      <c r="N5934">
        <v>0</v>
      </c>
      <c r="O5934">
        <v>-4.6457100000000001E-2</v>
      </c>
      <c r="P5934">
        <v>0.99836499999999995</v>
      </c>
      <c r="Q5934">
        <v>-1.513391E-2</v>
      </c>
      <c r="R5934">
        <v>5.5121660000000003E-2</v>
      </c>
      <c r="S5934">
        <v>3.0117189999999998</v>
      </c>
      <c r="T5934">
        <v>-0.24850330000000001</v>
      </c>
      <c r="U5934">
        <v>-0.19015499999999999</v>
      </c>
      <c r="V5934">
        <v>-0.1013783</v>
      </c>
      <c r="W5934">
        <v>-1.5924810000000001E-2</v>
      </c>
      <c r="X5934">
        <v>0.99472050000000001</v>
      </c>
      <c r="Y5934">
        <v>1.668072E-2</v>
      </c>
      <c r="Z5934">
        <v>3.1342200000000001E-3</v>
      </c>
      <c r="AA5934">
        <v>0.99985590000000002</v>
      </c>
      <c r="AB5934">
        <v>25</v>
      </c>
      <c r="AC5934">
        <v>0.61889999999999601</v>
      </c>
      <c r="AD5934">
        <v>-6.1853999999999798E-2</v>
      </c>
      <c r="AE5934">
        <v>-4.2580000000000902E-2</v>
      </c>
      <c r="AF5934">
        <v>1.36460671542481E-2</v>
      </c>
      <c r="AG5934">
        <v>-6.1853999999999798E-2</v>
      </c>
      <c r="AH5934">
        <v>0.61410489875128604</v>
      </c>
      <c r="AI5934">
        <v>95.750149897455898</v>
      </c>
      <c r="AJ5934">
        <v>88.727036038337104</v>
      </c>
      <c r="AK5934">
        <v>0.61736290715842801</v>
      </c>
      <c r="AL5934">
        <v>90.912462957237295</v>
      </c>
      <c r="AM5934">
        <v>95.819285025120195</v>
      </c>
      <c r="AN5934">
        <v>1.0000000162023299</v>
      </c>
    </row>
    <row r="5935" spans="1:40" x14ac:dyDescent="0.3">
      <c r="A5935" t="str">
        <f>"20200111160621864"</f>
        <v>20200111160621864</v>
      </c>
      <c r="B5935" t="str">
        <f>"1578729981857859"</f>
        <v>1578729981857859</v>
      </c>
      <c r="C5935" t="s">
        <v>40</v>
      </c>
      <c r="D5935">
        <v>5.2974909999999999</v>
      </c>
      <c r="E5935">
        <v>0.54709140000000001</v>
      </c>
      <c r="F5935" t="s">
        <v>42</v>
      </c>
      <c r="G5935">
        <v>-262.90609999999998</v>
      </c>
      <c r="H5935">
        <v>1.0412509999999999</v>
      </c>
      <c r="I5935">
        <v>-63.48283</v>
      </c>
      <c r="J5935">
        <v>-263.61689999999999</v>
      </c>
      <c r="K5935">
        <v>1.1104309999999999</v>
      </c>
      <c r="L5935">
        <v>-63.433529999999998</v>
      </c>
      <c r="M5935">
        <v>0.99897959999999997</v>
      </c>
      <c r="N5935">
        <v>0</v>
      </c>
      <c r="O5935">
        <v>-4.5162290000000001E-2</v>
      </c>
      <c r="P5935">
        <v>0.99834889999999998</v>
      </c>
      <c r="Q5935">
        <v>-1.546985E-2</v>
      </c>
      <c r="R5935">
        <v>5.5324089999999999E-2</v>
      </c>
      <c r="S5935">
        <v>3.0118100000000001</v>
      </c>
      <c r="T5935">
        <v>-0.24892420000000001</v>
      </c>
      <c r="U5935">
        <v>-0.1930847</v>
      </c>
      <c r="V5935">
        <v>-0.10029009999999999</v>
      </c>
      <c r="W5935">
        <v>-1.6218130000000001E-2</v>
      </c>
      <c r="X5935">
        <v>0.99482599999999999</v>
      </c>
      <c r="Y5935">
        <v>1.8931719999999999E-2</v>
      </c>
      <c r="Z5935">
        <v>2.9399679999999998E-3</v>
      </c>
      <c r="AA5935">
        <v>0.9998165</v>
      </c>
      <c r="AB5935">
        <v>25</v>
      </c>
      <c r="AC5935">
        <v>0.71080000000000598</v>
      </c>
      <c r="AD5935">
        <v>-6.9180000000000005E-2</v>
      </c>
      <c r="AE5935">
        <v>-4.93000000000023E-2</v>
      </c>
      <c r="AF5935">
        <v>1.6988188817553901E-2</v>
      </c>
      <c r="AG5935">
        <v>-6.9180000000000005E-2</v>
      </c>
      <c r="AH5935">
        <v>0.70564896164721402</v>
      </c>
      <c r="AI5935">
        <v>95.597625530922699</v>
      </c>
      <c r="AJ5935">
        <v>88.620895668244998</v>
      </c>
      <c r="AK5935">
        <v>0.70923545316988501</v>
      </c>
      <c r="AL5935">
        <v>90.929271186435997</v>
      </c>
      <c r="AM5935">
        <v>95.756635931273095</v>
      </c>
      <c r="AN5935">
        <v>0.99999995108735196</v>
      </c>
    </row>
    <row r="5936" spans="1:40" x14ac:dyDescent="0.3">
      <c r="A5936" t="str">
        <f>"20200111160621875"</f>
        <v>20200111160621875</v>
      </c>
      <c r="B5936" t="str">
        <f>"1578729981868596"</f>
        <v>1578729981868596</v>
      </c>
      <c r="C5936" t="s">
        <v>40</v>
      </c>
      <c r="D5936">
        <v>5.3042030000000002</v>
      </c>
      <c r="E5936">
        <v>0.54739519999999997</v>
      </c>
      <c r="F5936" t="s">
        <v>42</v>
      </c>
      <c r="G5936">
        <v>-262.68439999999998</v>
      </c>
      <c r="H5936">
        <v>1.0331060000000001</v>
      </c>
      <c r="I5936">
        <v>-63.494199999999999</v>
      </c>
      <c r="J5936">
        <v>-263.4948</v>
      </c>
      <c r="K5936">
        <v>1.110403</v>
      </c>
      <c r="L5936">
        <v>-63.437809999999999</v>
      </c>
      <c r="M5936">
        <v>0.99903410000000004</v>
      </c>
      <c r="N5936">
        <v>0</v>
      </c>
      <c r="O5936">
        <v>-4.3942370000000001E-2</v>
      </c>
      <c r="P5936">
        <v>0.99830770000000002</v>
      </c>
      <c r="Q5936">
        <v>-1.615078E-2</v>
      </c>
      <c r="R5936">
        <v>5.5867359999999998E-2</v>
      </c>
      <c r="S5936">
        <v>3.0119630000000002</v>
      </c>
      <c r="T5936">
        <v>-0.2497955</v>
      </c>
      <c r="U5936">
        <v>-0.19558719999999999</v>
      </c>
      <c r="V5936">
        <v>-9.961449E-2</v>
      </c>
      <c r="W5936">
        <v>-1.6865890000000001E-2</v>
      </c>
      <c r="X5936">
        <v>0.99488319999999997</v>
      </c>
      <c r="Y5936">
        <v>2.0966120000000001E-2</v>
      </c>
      <c r="Z5936">
        <v>2.7651030000000001E-3</v>
      </c>
      <c r="AA5936">
        <v>0.99977640000000001</v>
      </c>
      <c r="AB5936">
        <v>25</v>
      </c>
      <c r="AC5936">
        <v>0.810400000000015</v>
      </c>
      <c r="AD5936">
        <v>-7.7297000000000102E-2</v>
      </c>
      <c r="AE5936">
        <v>-5.6390000000000301E-2</v>
      </c>
      <c r="AF5936">
        <v>2.0538683376393699E-2</v>
      </c>
      <c r="AG5936">
        <v>-7.7297000000000102E-2</v>
      </c>
      <c r="AH5936">
        <v>0.80480857903988401</v>
      </c>
      <c r="AI5936">
        <v>95.484311249482403</v>
      </c>
      <c r="AJ5936">
        <v>88.538131254898303</v>
      </c>
      <c r="AK5936">
        <v>0.80877284364649205</v>
      </c>
      <c r="AL5936">
        <v>90.966390092895693</v>
      </c>
      <c r="AM5936">
        <v>95.717787292805497</v>
      </c>
      <c r="AN5936">
        <v>1.00000004325284</v>
      </c>
    </row>
    <row r="5937" spans="1:40" x14ac:dyDescent="0.3">
      <c r="A5937" t="str">
        <f>"20200111160621887"</f>
        <v>20200111160621887</v>
      </c>
      <c r="B5937" t="str">
        <f>"1578729981878357"</f>
        <v>1578729981878357</v>
      </c>
      <c r="C5937" t="s">
        <v>40</v>
      </c>
      <c r="D5937">
        <v>5.3696029999999997</v>
      </c>
      <c r="E5937">
        <v>0.5478035</v>
      </c>
      <c r="F5937" t="s">
        <v>42</v>
      </c>
      <c r="G5937">
        <v>-262.6798</v>
      </c>
      <c r="H5937">
        <v>1.042305</v>
      </c>
      <c r="I5937">
        <v>-63.491069999999901</v>
      </c>
      <c r="J5937">
        <v>-263.3691</v>
      </c>
      <c r="K5937">
        <v>1.1103689999999999</v>
      </c>
      <c r="L5937">
        <v>-63.44211</v>
      </c>
      <c r="M5937">
        <v>0.99908819999999998</v>
      </c>
      <c r="N5937">
        <v>0</v>
      </c>
      <c r="O5937">
        <v>-4.2695150000000001E-2</v>
      </c>
      <c r="P5937">
        <v>0.99824360000000001</v>
      </c>
      <c r="Q5937">
        <v>-1.7220470000000002E-2</v>
      </c>
      <c r="R5937">
        <v>5.6688179999999998E-2</v>
      </c>
      <c r="S5937">
        <v>3.0119929999999999</v>
      </c>
      <c r="T5937">
        <v>-0.25173760000000001</v>
      </c>
      <c r="U5937">
        <v>-0.19647220000000001</v>
      </c>
      <c r="V5937">
        <v>-9.9185739999999994E-2</v>
      </c>
      <c r="W5937">
        <v>-1.7905399999999998E-2</v>
      </c>
      <c r="X5937">
        <v>0.99490789999999996</v>
      </c>
      <c r="Y5937">
        <v>2.2497670000000001E-2</v>
      </c>
      <c r="Z5937">
        <v>2.6188409999999998E-3</v>
      </c>
      <c r="AA5937">
        <v>0.99974350000000001</v>
      </c>
      <c r="AB5937">
        <v>25</v>
      </c>
      <c r="AC5937">
        <v>0.68930000000000202</v>
      </c>
      <c r="AD5937">
        <v>-6.8064000000000097E-2</v>
      </c>
      <c r="AE5937">
        <v>-4.8959999999993897E-2</v>
      </c>
      <c r="AF5937">
        <v>1.92983698022412E-2</v>
      </c>
      <c r="AG5937">
        <v>-6.8064000000000097E-2</v>
      </c>
      <c r="AH5937">
        <v>0.68412486868812195</v>
      </c>
      <c r="AI5937">
        <v>95.679450261925197</v>
      </c>
      <c r="AJ5937">
        <v>88.384180951594104</v>
      </c>
      <c r="AK5937">
        <v>0.687773197449976</v>
      </c>
      <c r="AL5937">
        <v>91.025958602638298</v>
      </c>
      <c r="AM5937">
        <v>95.693199012786806</v>
      </c>
      <c r="AN5937">
        <v>1.00000007192545</v>
      </c>
    </row>
    <row r="5938" spans="1:40" x14ac:dyDescent="0.3">
      <c r="A5938" t="str">
        <f>"20200111160621897"</f>
        <v>20200111160621897</v>
      </c>
      <c r="B5938" t="str">
        <f>"1578729981888116"</f>
        <v>1578729981888116</v>
      </c>
      <c r="C5938" t="s">
        <v>40</v>
      </c>
      <c r="D5938">
        <v>5.308109</v>
      </c>
      <c r="E5938">
        <v>0.54810930000000002</v>
      </c>
      <c r="F5938" t="s">
        <v>42</v>
      </c>
      <c r="G5938">
        <v>-262.45659999999998</v>
      </c>
      <c r="H5938">
        <v>1.0332520000000001</v>
      </c>
      <c r="I5938">
        <v>-63.502160000000003</v>
      </c>
      <c r="J5938">
        <v>-263.24529999999999</v>
      </c>
      <c r="K5938">
        <v>1.110336</v>
      </c>
      <c r="L5938">
        <v>-63.446170000000002</v>
      </c>
      <c r="M5938">
        <v>0.99913909999999995</v>
      </c>
      <c r="N5938">
        <v>0</v>
      </c>
      <c r="O5938">
        <v>-4.1488959999999998E-2</v>
      </c>
      <c r="P5938">
        <v>0.99816210000000005</v>
      </c>
      <c r="Q5938">
        <v>-1.8573220000000001E-2</v>
      </c>
      <c r="R5938">
        <v>5.7689570000000003E-2</v>
      </c>
      <c r="S5938">
        <v>3.0120849999999999</v>
      </c>
      <c r="T5938">
        <v>-0.25467630000000002</v>
      </c>
      <c r="U5938">
        <v>-0.1973877</v>
      </c>
      <c r="V5938">
        <v>-9.8977860000000001E-2</v>
      </c>
      <c r="W5938">
        <v>-1.9236530000000002E-2</v>
      </c>
      <c r="X5938">
        <v>0.99490369999999995</v>
      </c>
      <c r="Y5938">
        <v>2.399724E-2</v>
      </c>
      <c r="Z5938">
        <v>2.4844210000000001E-3</v>
      </c>
      <c r="AA5938">
        <v>0.99970899999999996</v>
      </c>
      <c r="AB5938">
        <v>25</v>
      </c>
      <c r="AC5938">
        <v>0.78870000000000495</v>
      </c>
      <c r="AD5938">
        <v>-7.7083999999999903E-2</v>
      </c>
      <c r="AE5938">
        <v>-5.5990000000001303E-2</v>
      </c>
      <c r="AF5938">
        <v>2.3000844588801E-2</v>
      </c>
      <c r="AG5938">
        <v>-7.7083999999999903E-2</v>
      </c>
      <c r="AH5938">
        <v>0.78290289689452797</v>
      </c>
      <c r="AI5938">
        <v>95.620763481539996</v>
      </c>
      <c r="AJ5938">
        <v>88.317195700117196</v>
      </c>
      <c r="AK5938">
        <v>0.787024731424396</v>
      </c>
      <c r="AL5938">
        <v>91.102239949908096</v>
      </c>
      <c r="AM5938">
        <v>95.681368800333601</v>
      </c>
      <c r="AN5938">
        <v>1.0000000165651499</v>
      </c>
    </row>
    <row r="5939" spans="1:40" x14ac:dyDescent="0.3">
      <c r="A5939" t="str">
        <f>"20200111160621909"</f>
        <v>20200111160621909</v>
      </c>
      <c r="B5939" t="str">
        <f>"1578729981897876"</f>
        <v>1578729981897876</v>
      </c>
      <c r="C5939" t="s">
        <v>40</v>
      </c>
      <c r="D5939">
        <v>5.3591379999999997</v>
      </c>
      <c r="E5939">
        <v>0.54838750000000003</v>
      </c>
      <c r="F5939" t="s">
        <v>42</v>
      </c>
      <c r="G5939">
        <v>-262.45209999999997</v>
      </c>
      <c r="H5939">
        <v>1.042319</v>
      </c>
      <c r="I5939">
        <v>-63.498309999999996</v>
      </c>
      <c r="J5939">
        <v>-263.11720000000003</v>
      </c>
      <c r="K5939">
        <v>1.1103050000000001</v>
      </c>
      <c r="L5939">
        <v>-63.450290000000003</v>
      </c>
      <c r="M5939">
        <v>0.99918949999999995</v>
      </c>
      <c r="N5939">
        <v>0</v>
      </c>
      <c r="O5939">
        <v>-4.025538E-2</v>
      </c>
      <c r="P5939">
        <v>0.99807579999999996</v>
      </c>
      <c r="Q5939">
        <v>-2.0241499999999999E-2</v>
      </c>
      <c r="R5939">
        <v>5.861094E-2</v>
      </c>
      <c r="S5939">
        <v>3.0121150000000001</v>
      </c>
      <c r="T5939">
        <v>-0.25844089999999997</v>
      </c>
      <c r="U5939">
        <v>-0.19702149999999999</v>
      </c>
      <c r="V5939">
        <v>-9.8661029999999997E-2</v>
      </c>
      <c r="W5939">
        <v>-2.088653E-2</v>
      </c>
      <c r="X5939">
        <v>0.99490190000000001</v>
      </c>
      <c r="Y5939">
        <v>2.51031E-2</v>
      </c>
      <c r="Z5939">
        <v>2.368294E-3</v>
      </c>
      <c r="AA5939">
        <v>0.99968210000000002</v>
      </c>
      <c r="AB5939">
        <v>25</v>
      </c>
      <c r="AC5939">
        <v>0.66510000000005198</v>
      </c>
      <c r="AD5939">
        <v>-6.7985999999999797E-2</v>
      </c>
      <c r="AE5939">
        <v>-4.8019999999993901E-2</v>
      </c>
      <c r="AF5939">
        <v>2.0989052483463201E-2</v>
      </c>
      <c r="AG5939">
        <v>-6.7985999999999797E-2</v>
      </c>
      <c r="AH5939">
        <v>0.65963729426714501</v>
      </c>
      <c r="AI5939">
        <v>95.881498403158602</v>
      </c>
      <c r="AJ5939">
        <v>88.177515846317107</v>
      </c>
      <c r="AK5939">
        <v>0.66346363616119397</v>
      </c>
      <c r="AL5939">
        <v>91.196797023073998</v>
      </c>
      <c r="AM5939">
        <v>95.663311220066802</v>
      </c>
      <c r="AN5939">
        <v>1.0000000182998501</v>
      </c>
    </row>
    <row r="5940" spans="1:40" x14ac:dyDescent="0.3">
      <c r="A5940" t="str">
        <f>"20200111160621919"</f>
        <v>20200111160621919</v>
      </c>
      <c r="B5940" t="str">
        <f>"1578729981908612"</f>
        <v>1578729981908612</v>
      </c>
      <c r="C5940" t="s">
        <v>40</v>
      </c>
      <c r="D5940">
        <v>5.3470500000000003</v>
      </c>
      <c r="E5940">
        <v>0.54867659999999996</v>
      </c>
      <c r="F5940" t="s">
        <v>42</v>
      </c>
      <c r="G5940">
        <v>-262.22739999999999</v>
      </c>
      <c r="H5940">
        <v>1.0323929999999999</v>
      </c>
      <c r="I5940">
        <v>-63.508299999999998</v>
      </c>
      <c r="J5940">
        <v>-262.9905</v>
      </c>
      <c r="K5940">
        <v>1.1102799999999999</v>
      </c>
      <c r="L5940">
        <v>-63.4542199999999</v>
      </c>
      <c r="M5940">
        <v>0.99923720000000005</v>
      </c>
      <c r="N5940">
        <v>0</v>
      </c>
      <c r="O5940">
        <v>-3.9050660000000001E-2</v>
      </c>
      <c r="P5940">
        <v>0.99796079999999998</v>
      </c>
      <c r="Q5940">
        <v>-2.2091639999999999E-2</v>
      </c>
      <c r="R5940">
        <v>5.988541E-2</v>
      </c>
      <c r="S5940">
        <v>3.0119319999999998</v>
      </c>
      <c r="T5940">
        <v>-0.26371749999999999</v>
      </c>
      <c r="U5940">
        <v>-0.1964417</v>
      </c>
      <c r="V5940">
        <v>-9.8723459999999999E-2</v>
      </c>
      <c r="W5940">
        <v>-2.2725100000000002E-2</v>
      </c>
      <c r="X5940">
        <v>0.99485539999999995</v>
      </c>
      <c r="Y5940">
        <v>2.611453E-2</v>
      </c>
      <c r="Z5940">
        <v>2.267444E-3</v>
      </c>
      <c r="AA5940">
        <v>0.9996564</v>
      </c>
      <c r="AB5940">
        <v>26</v>
      </c>
      <c r="AC5940">
        <v>0.76310000000000799</v>
      </c>
      <c r="AD5940">
        <v>-7.7886999999999804E-2</v>
      </c>
      <c r="AE5940">
        <v>-5.4080000000006102E-2</v>
      </c>
      <c r="AF5940">
        <v>2.3990515614629102E-2</v>
      </c>
      <c r="AG5940">
        <v>-7.7886999999999804E-2</v>
      </c>
      <c r="AH5940">
        <v>0.75678531433310703</v>
      </c>
      <c r="AI5940">
        <v>95.873161611627296</v>
      </c>
      <c r="AJ5940">
        <v>88.184299955781</v>
      </c>
      <c r="AK5940">
        <v>0.761160917019992</v>
      </c>
      <c r="AL5940">
        <v>91.302164402781003</v>
      </c>
      <c r="AM5940">
        <v>95.667134638964399</v>
      </c>
      <c r="AN5940">
        <v>1.00000000931677</v>
      </c>
    </row>
    <row r="5941" spans="1:40" x14ac:dyDescent="0.3">
      <c r="A5941" t="str">
        <f>"20200111160621932"</f>
        <v>20200111160621932</v>
      </c>
      <c r="B5941" t="str">
        <f>"1578729981928132"</f>
        <v>1578729981928132</v>
      </c>
      <c r="C5941" t="s">
        <v>40</v>
      </c>
      <c r="D5941">
        <v>5.3046569999999997</v>
      </c>
      <c r="E5941">
        <v>0.54924680000000003</v>
      </c>
      <c r="F5941" t="s">
        <v>42</v>
      </c>
      <c r="G5941">
        <v>-262.22280000000001</v>
      </c>
      <c r="H5941">
        <v>1.0415909999999999</v>
      </c>
      <c r="I5941">
        <v>-63.503920000000001</v>
      </c>
      <c r="J5941">
        <v>-262.86020000000002</v>
      </c>
      <c r="K5941">
        <v>1.1102540000000001</v>
      </c>
      <c r="L5941">
        <v>-63.458100000000002</v>
      </c>
      <c r="M5941">
        <v>0.99928419999999896</v>
      </c>
      <c r="N5941">
        <v>0</v>
      </c>
      <c r="O5941">
        <v>-3.7829769999999999E-2</v>
      </c>
      <c r="P5941">
        <v>0.99783089999999997</v>
      </c>
      <c r="Q5941">
        <v>-2.3549259999999999E-2</v>
      </c>
      <c r="R5941">
        <v>6.1473920000000001E-2</v>
      </c>
      <c r="S5941">
        <v>3.0119020000000001</v>
      </c>
      <c r="T5941">
        <v>-0.26949459999999997</v>
      </c>
      <c r="U5941">
        <v>-0.19503780000000001</v>
      </c>
      <c r="V5941">
        <v>-9.9085839999999994E-2</v>
      </c>
      <c r="W5941">
        <v>-2.4176909999999999E-2</v>
      </c>
      <c r="X5941">
        <v>0.99478509999999998</v>
      </c>
      <c r="Y5941">
        <v>2.6866939999999999E-2</v>
      </c>
      <c r="Z5941">
        <v>2.1746439999999999E-3</v>
      </c>
      <c r="AA5941">
        <v>0.99963670000000004</v>
      </c>
      <c r="AB5941">
        <v>26</v>
      </c>
      <c r="AC5941">
        <v>0.63740000000001296</v>
      </c>
      <c r="AD5941">
        <v>-6.8663000000000099E-2</v>
      </c>
      <c r="AE5941">
        <v>-4.5819999999991902E-2</v>
      </c>
      <c r="AF5941">
        <v>2.1427136562759401E-2</v>
      </c>
      <c r="AG5941">
        <v>-6.8663000000000099E-2</v>
      </c>
      <c r="AH5941">
        <v>0.63138791856249499</v>
      </c>
      <c r="AI5941">
        <v>96.202943262267098</v>
      </c>
      <c r="AJ5941">
        <v>88.056324048517993</v>
      </c>
      <c r="AK5941">
        <v>0.63547181956162202</v>
      </c>
      <c r="AL5941">
        <v>91.385369944593904</v>
      </c>
      <c r="AM5941">
        <v>95.688199911629695</v>
      </c>
      <c r="AN5941">
        <v>0.99999996092383103</v>
      </c>
    </row>
    <row r="5942" spans="1:40" x14ac:dyDescent="0.3">
      <c r="A5942" t="str">
        <f>"20200111160621942"</f>
        <v>20200111160621942</v>
      </c>
      <c r="B5942" t="str">
        <f>"1578729981937894"</f>
        <v>1578729981937894</v>
      </c>
      <c r="C5942" t="s">
        <v>40</v>
      </c>
      <c r="D5942">
        <v>5.3923509999999997</v>
      </c>
      <c r="E5942">
        <v>0.54948149999999996</v>
      </c>
      <c r="F5942" t="s">
        <v>42</v>
      </c>
      <c r="G5942">
        <v>-261.99630000000002</v>
      </c>
      <c r="H5942">
        <v>1.0320769999999999</v>
      </c>
      <c r="I5942">
        <v>-63.514209999999999</v>
      </c>
      <c r="J5942">
        <v>-262.7226</v>
      </c>
      <c r="K5942">
        <v>1.110231</v>
      </c>
      <c r="L5942">
        <v>-63.462159999999997</v>
      </c>
      <c r="M5942">
        <v>0.99933179999999999</v>
      </c>
      <c r="N5942">
        <v>0</v>
      </c>
      <c r="O5942">
        <v>-3.6550470000000002E-2</v>
      </c>
      <c r="P5942">
        <v>0.99767139999999999</v>
      </c>
      <c r="Q5942">
        <v>-2.4893309999999998E-2</v>
      </c>
      <c r="R5942">
        <v>6.3501169999999996E-2</v>
      </c>
      <c r="S5942">
        <v>3.012146</v>
      </c>
      <c r="T5942">
        <v>-0.27263809999999999</v>
      </c>
      <c r="U5942">
        <v>-0.19503780000000001</v>
      </c>
      <c r="V5942">
        <v>-9.9827680000000002E-2</v>
      </c>
      <c r="W5942">
        <v>-2.5518760000000001E-2</v>
      </c>
      <c r="X5942">
        <v>0.99467740000000004</v>
      </c>
      <c r="Y5942">
        <v>2.8132089999999998E-2</v>
      </c>
      <c r="Z5942">
        <v>2.0273439999999999E-3</v>
      </c>
      <c r="AA5942">
        <v>0.99960210000000005</v>
      </c>
      <c r="AB5942">
        <v>26</v>
      </c>
      <c r="AC5942">
        <v>0.72629999999997996</v>
      </c>
      <c r="AD5942">
        <v>-7.8153999999999793E-2</v>
      </c>
      <c r="AE5942">
        <v>-5.2050000000001199E-2</v>
      </c>
      <c r="AF5942">
        <v>2.5178561615831801E-2</v>
      </c>
      <c r="AG5942">
        <v>-7.8153999999999793E-2</v>
      </c>
      <c r="AH5942">
        <v>0.71942944868111203</v>
      </c>
      <c r="AI5942">
        <v>96.196153455432693</v>
      </c>
      <c r="AJ5942">
        <v>87.9955828237769</v>
      </c>
      <c r="AK5942">
        <v>0.72409995118812898</v>
      </c>
      <c r="AL5942">
        <v>91.462276054145704</v>
      </c>
      <c r="AM5942">
        <v>95.731120518451306</v>
      </c>
      <c r="AN5942">
        <v>0.99999995143843801</v>
      </c>
    </row>
    <row r="5943" spans="1:40" x14ac:dyDescent="0.3">
      <c r="A5943" t="str">
        <f>"20200111160621953"</f>
        <v>20200111160621953</v>
      </c>
      <c r="B5943" t="str">
        <f>"1578729981948627"</f>
        <v>1578729981948627</v>
      </c>
      <c r="C5943" t="s">
        <v>40</v>
      </c>
      <c r="D5943">
        <v>5.5702369999999997</v>
      </c>
      <c r="E5943">
        <v>0.54948149999999996</v>
      </c>
      <c r="F5943" t="s">
        <v>42</v>
      </c>
      <c r="G5943">
        <v>-261.9907</v>
      </c>
      <c r="H5943">
        <v>1.0432129999999999</v>
      </c>
      <c r="I5943">
        <v>-63.508710000000001</v>
      </c>
      <c r="J5943">
        <v>-262.59679999999997</v>
      </c>
      <c r="K5943">
        <v>1.110215</v>
      </c>
      <c r="L5943">
        <v>-63.465580000000003</v>
      </c>
      <c r="M5943">
        <v>0.99937319999999996</v>
      </c>
      <c r="N5943">
        <v>0</v>
      </c>
      <c r="O5943">
        <v>-3.5402110000000001E-2</v>
      </c>
      <c r="P5943">
        <v>0.99751869999999998</v>
      </c>
      <c r="Q5943">
        <v>-2.623354E-2</v>
      </c>
      <c r="R5943">
        <v>6.5332059999999997E-2</v>
      </c>
      <c r="S5943">
        <v>3.0122680000000002</v>
      </c>
      <c r="T5943">
        <v>-0.27594679999999999</v>
      </c>
      <c r="U5943">
        <v>-0.19088749999999999</v>
      </c>
      <c r="V5943">
        <v>-0.1005043</v>
      </c>
      <c r="W5943">
        <v>-2.6861369999999999E-2</v>
      </c>
      <c r="X5943">
        <v>0.99457399999999996</v>
      </c>
      <c r="Y5943">
        <v>2.7903480000000001E-2</v>
      </c>
      <c r="Z5943">
        <v>1.9575489999999998E-3</v>
      </c>
      <c r="AA5943">
        <v>0.99960870000000002</v>
      </c>
      <c r="AB5943">
        <v>26</v>
      </c>
      <c r="AC5943">
        <v>0.606099999999969</v>
      </c>
      <c r="AD5943">
        <v>-6.7001999999999895E-2</v>
      </c>
      <c r="AE5943">
        <v>-4.3129999999997802E-2</v>
      </c>
      <c r="AF5943">
        <v>2.1385719860613599E-2</v>
      </c>
      <c r="AG5943">
        <v>-6.7001999999999895E-2</v>
      </c>
      <c r="AH5943">
        <v>0.59995221496302797</v>
      </c>
      <c r="AI5943">
        <v>96.368313296721894</v>
      </c>
      <c r="AJ5943">
        <v>87.958515882296794</v>
      </c>
      <c r="AK5943">
        <v>0.60406065693521205</v>
      </c>
      <c r="AL5943">
        <v>91.539228203004001</v>
      </c>
      <c r="AM5943">
        <v>95.770299957350502</v>
      </c>
      <c r="AN5943">
        <v>1.0000000444963799</v>
      </c>
    </row>
    <row r="5944" spans="1:40" x14ac:dyDescent="0.3">
      <c r="A5944" t="str">
        <f>"20200111160621965"</f>
        <v>20200111160621965</v>
      </c>
      <c r="B5944" t="str">
        <f>"1578729981958387"</f>
        <v>1578729981958387</v>
      </c>
      <c r="C5944" t="s">
        <v>40</v>
      </c>
      <c r="D5944">
        <v>5.3311890000000002</v>
      </c>
      <c r="E5944">
        <v>0.57031580000000004</v>
      </c>
      <c r="F5944" t="s">
        <v>42</v>
      </c>
      <c r="G5944">
        <v>-261.76260000000002</v>
      </c>
      <c r="H5944">
        <v>1.032735</v>
      </c>
      <c r="I5944">
        <v>-63.517169999999901</v>
      </c>
      <c r="J5944">
        <v>-262.46289999999999</v>
      </c>
      <c r="K5944">
        <v>1.1102000000000001</v>
      </c>
      <c r="L5944">
        <v>-63.469239999999999</v>
      </c>
      <c r="M5944">
        <v>0.99941559999999896</v>
      </c>
      <c r="N5944">
        <v>0</v>
      </c>
      <c r="O5944">
        <v>-3.4183779999999997E-2</v>
      </c>
      <c r="P5944">
        <v>0.99734250000000002</v>
      </c>
      <c r="Q5944">
        <v>-2.725851E-2</v>
      </c>
      <c r="R5944">
        <v>6.7563219999999993E-2</v>
      </c>
      <c r="S5944">
        <v>3.0122070000000001</v>
      </c>
      <c r="T5944">
        <v>-0.2798774</v>
      </c>
      <c r="U5944">
        <v>-0.1854248</v>
      </c>
      <c r="V5944">
        <v>-0.1015115</v>
      </c>
      <c r="W5944">
        <v>-2.789059E-2</v>
      </c>
      <c r="X5944">
        <v>0.99444339999999998</v>
      </c>
      <c r="Y5944">
        <v>2.7315800000000001E-2</v>
      </c>
      <c r="Z5944">
        <v>1.89997E-3</v>
      </c>
      <c r="AA5944">
        <v>0.99962499999999999</v>
      </c>
      <c r="AB5944">
        <v>26</v>
      </c>
      <c r="AC5944">
        <v>0.70029999999996995</v>
      </c>
      <c r="AD5944">
        <v>-7.7465000000000103E-2</v>
      </c>
      <c r="AE5944">
        <v>-4.7929999999993797E-2</v>
      </c>
      <c r="AF5944">
        <v>2.36747518798987E-2</v>
      </c>
      <c r="AG5944">
        <v>-7.7465000000000103E-2</v>
      </c>
      <c r="AH5944">
        <v>0.69308799915530195</v>
      </c>
      <c r="AI5944">
        <v>96.373675496022003</v>
      </c>
      <c r="AJ5944">
        <v>88.043630587448206</v>
      </c>
      <c r="AK5944">
        <v>0.69780534153492602</v>
      </c>
      <c r="AL5944">
        <v>91.598220229833501</v>
      </c>
      <c r="AM5944">
        <v>95.828490827084906</v>
      </c>
      <c r="AN5944">
        <v>1.0000000727231699</v>
      </c>
    </row>
    <row r="5945" spans="1:40" x14ac:dyDescent="0.3">
      <c r="A5945" t="str">
        <f>"20200111160621976"</f>
        <v>20200111160621976</v>
      </c>
      <c r="B5945" t="str">
        <f>"1578729981968148"</f>
        <v>1578729981968148</v>
      </c>
      <c r="C5945" t="s">
        <v>40</v>
      </c>
      <c r="D5945">
        <v>5.3122720000000001</v>
      </c>
      <c r="E5945">
        <v>0.57391979999999998</v>
      </c>
      <c r="F5945" t="s">
        <v>42</v>
      </c>
      <c r="G5945">
        <v>-261.53339999999997</v>
      </c>
      <c r="H5945">
        <v>1.0247489999999999</v>
      </c>
      <c r="I5945">
        <v>-63.575490000000002</v>
      </c>
      <c r="J5945">
        <v>-262.32769999999999</v>
      </c>
      <c r="K5945">
        <v>1.1101890000000001</v>
      </c>
      <c r="L5945">
        <v>-63.472659999999998</v>
      </c>
      <c r="M5945">
        <v>0.99945629999999996</v>
      </c>
      <c r="N5945">
        <v>0</v>
      </c>
      <c r="O5945">
        <v>-3.2970359999999997E-2</v>
      </c>
      <c r="P5945">
        <v>0.99715410000000004</v>
      </c>
      <c r="Q5945">
        <v>-2.7780590000000001E-2</v>
      </c>
      <c r="R5945">
        <v>7.0087640000000007E-2</v>
      </c>
      <c r="S5945">
        <v>3.0237729999999998</v>
      </c>
      <c r="T5945">
        <v>-0.27803889999999998</v>
      </c>
      <c r="U5945">
        <v>-0.34515380000000001</v>
      </c>
      <c r="V5945">
        <v>-0.1028186</v>
      </c>
      <c r="W5945">
        <v>-2.8420419999999998E-2</v>
      </c>
      <c r="X5945">
        <v>0.99429400000000001</v>
      </c>
      <c r="Y5945">
        <v>8.0393660000000006E-2</v>
      </c>
      <c r="Z5945">
        <v>-6.6276989999999999E-4</v>
      </c>
      <c r="AA5945">
        <v>0.99676299999999995</v>
      </c>
      <c r="AB5945">
        <v>26</v>
      </c>
      <c r="AC5945">
        <v>0.79430000000002099</v>
      </c>
      <c r="AD5945">
        <v>-8.5439999999999905E-2</v>
      </c>
      <c r="AE5945">
        <v>-0.102830000000004</v>
      </c>
      <c r="AF5945">
        <v>7.5724011904455005E-2</v>
      </c>
      <c r="AG5945">
        <v>-8.5439999999999905E-2</v>
      </c>
      <c r="AH5945">
        <v>0.78828793913033302</v>
      </c>
      <c r="AI5945">
        <v>96.157830454935805</v>
      </c>
      <c r="AJ5945">
        <v>84.512925982564397</v>
      </c>
      <c r="AK5945">
        <v>0.79651239447810995</v>
      </c>
      <c r="AL5945">
        <v>91.628589455216698</v>
      </c>
      <c r="AM5945">
        <v>95.903894735617101</v>
      </c>
      <c r="AN5945">
        <v>0.99999997160746701</v>
      </c>
    </row>
    <row r="5946" spans="1:40" x14ac:dyDescent="0.3">
      <c r="A5946" t="str">
        <f>"20200111160621987"</f>
        <v>20200111160621987</v>
      </c>
      <c r="B5946" t="str">
        <f>"1578729981977908"</f>
        <v>1578729981977908</v>
      </c>
      <c r="C5946" t="s">
        <v>40</v>
      </c>
      <c r="D5946">
        <v>5.4135799999999996</v>
      </c>
      <c r="E5946">
        <v>0.57507069999999905</v>
      </c>
      <c r="F5946" t="s">
        <v>42</v>
      </c>
      <c r="G5946">
        <v>-261.5258</v>
      </c>
      <c r="H5946">
        <v>1.0401579999999999</v>
      </c>
      <c r="I5946">
        <v>-63.570050000000002</v>
      </c>
      <c r="J5946">
        <v>-262.20339999999999</v>
      </c>
      <c r="K5946">
        <v>1.1101829999999999</v>
      </c>
      <c r="L5946">
        <v>-63.475769999999997</v>
      </c>
      <c r="M5946">
        <v>0.99949239999999995</v>
      </c>
      <c r="N5946">
        <v>0</v>
      </c>
      <c r="O5946">
        <v>-3.1859699999999998E-2</v>
      </c>
      <c r="P5946">
        <v>0.99699309999999997</v>
      </c>
      <c r="Q5946">
        <v>-2.8202890000000001E-2</v>
      </c>
      <c r="R5946">
        <v>7.2177859999999996E-2</v>
      </c>
      <c r="S5946">
        <v>3.0270079999999999</v>
      </c>
      <c r="T5946">
        <v>-0.2644994</v>
      </c>
      <c r="U5946">
        <v>-0.36715700000000001</v>
      </c>
      <c r="V5946">
        <v>-0.103795899999999</v>
      </c>
      <c r="W5946">
        <v>-2.8849300000000001E-2</v>
      </c>
      <c r="X5946">
        <v>0.99418010000000001</v>
      </c>
      <c r="Y5946">
        <v>8.8509580000000004E-2</v>
      </c>
      <c r="Z5946">
        <v>-1.0787769999999999E-3</v>
      </c>
      <c r="AA5946">
        <v>0.99607469999999998</v>
      </c>
      <c r="AB5946">
        <v>26</v>
      </c>
      <c r="AC5946">
        <v>0.67759999999998399</v>
      </c>
      <c r="AD5946">
        <v>-7.0025000000000004E-2</v>
      </c>
      <c r="AE5946">
        <v>-9.4280000000004804E-2</v>
      </c>
      <c r="AF5946">
        <v>7.1890815514793496E-2</v>
      </c>
      <c r="AG5946">
        <v>-7.0025000000000004E-2</v>
      </c>
      <c r="AH5946">
        <v>0.67320664206159597</v>
      </c>
      <c r="AI5946">
        <v>95.905049818352495</v>
      </c>
      <c r="AJ5946">
        <v>83.904562521490703</v>
      </c>
      <c r="AK5946">
        <v>0.68064599675325499</v>
      </c>
      <c r="AL5946">
        <v>91.653172551443305</v>
      </c>
      <c r="AM5946">
        <v>95.960287640185499</v>
      </c>
      <c r="AN5946">
        <v>0.99999997110165395</v>
      </c>
    </row>
    <row r="5947" spans="1:40" x14ac:dyDescent="0.3">
      <c r="A5947" t="str">
        <f>"20200111160621997"</f>
        <v>20200111160621997</v>
      </c>
      <c r="B5947" t="str">
        <f>"1578729981988644"</f>
        <v>1578729981988644</v>
      </c>
      <c r="C5947" t="s">
        <v>40</v>
      </c>
      <c r="D5947">
        <v>5.3749750000000001</v>
      </c>
      <c r="E5947">
        <v>0.57596789999999998</v>
      </c>
      <c r="F5947" t="s">
        <v>42</v>
      </c>
      <c r="G5947">
        <v>-261.29360000000003</v>
      </c>
      <c r="H5947">
        <v>1.030729</v>
      </c>
      <c r="I5947">
        <v>-63.58699</v>
      </c>
      <c r="J5947">
        <v>-262.077</v>
      </c>
      <c r="K5947">
        <v>1.1101810000000001</v>
      </c>
      <c r="L5947">
        <v>-63.478700000000003</v>
      </c>
      <c r="M5947">
        <v>0.99952730000000001</v>
      </c>
      <c r="N5947">
        <v>0</v>
      </c>
      <c r="O5947">
        <v>-3.073917E-2</v>
      </c>
      <c r="P5947">
        <v>0.99685190000000001</v>
      </c>
      <c r="Q5947">
        <v>-2.8133459999999999E-2</v>
      </c>
      <c r="R5947">
        <v>7.4126150000000002E-2</v>
      </c>
      <c r="S5947">
        <v>3.0283509999999998</v>
      </c>
      <c r="T5947">
        <v>-0.26451970000000002</v>
      </c>
      <c r="U5947">
        <v>-0.3700562</v>
      </c>
      <c r="V5947">
        <v>-0.1046242</v>
      </c>
      <c r="W5947">
        <v>-2.8786530000000001E-2</v>
      </c>
      <c r="X5947">
        <v>0.99409510000000001</v>
      </c>
      <c r="Y5947">
        <v>9.0501449999999997E-2</v>
      </c>
      <c r="Z5947">
        <v>-1.262043E-3</v>
      </c>
      <c r="AA5947">
        <v>0.99589550000000004</v>
      </c>
      <c r="AB5947">
        <v>26</v>
      </c>
      <c r="AC5947">
        <v>0.78339999999997101</v>
      </c>
      <c r="AD5947">
        <v>-7.9451999999999801E-2</v>
      </c>
      <c r="AE5947">
        <v>-0.108289999999996</v>
      </c>
      <c r="AF5947">
        <v>8.3316836317759393E-2</v>
      </c>
      <c r="AG5947">
        <v>-7.9451999999999801E-2</v>
      </c>
      <c r="AH5947">
        <v>0.77850109111214105</v>
      </c>
      <c r="AI5947">
        <v>95.794434775498402</v>
      </c>
      <c r="AJ5947">
        <v>83.8913358021411</v>
      </c>
      <c r="AK5947">
        <v>0.78696776578256</v>
      </c>
      <c r="AL5947">
        <v>91.649574590079098</v>
      </c>
      <c r="AM5947">
        <v>96.008014677673998</v>
      </c>
      <c r="AN5947">
        <v>0.99999997768954496</v>
      </c>
    </row>
    <row r="5948" spans="1:40" x14ac:dyDescent="0.3">
      <c r="A5948" t="str">
        <f>"20200111160622010"</f>
        <v>20200111160622010</v>
      </c>
      <c r="B5948" t="str">
        <f>"1578729981998404"</f>
        <v>1578729981998404</v>
      </c>
      <c r="C5948" t="s">
        <v>40</v>
      </c>
      <c r="D5948">
        <v>5.3504239999999896</v>
      </c>
      <c r="E5948">
        <v>0.57695200000000002</v>
      </c>
      <c r="F5948" t="s">
        <v>42</v>
      </c>
      <c r="G5948">
        <v>-261.28809999999999</v>
      </c>
      <c r="H5948">
        <v>1.0417529999999999</v>
      </c>
      <c r="I5948">
        <v>-63.575420000000001</v>
      </c>
      <c r="J5948">
        <v>-261.93779999999998</v>
      </c>
      <c r="K5948">
        <v>1.1101799999999999</v>
      </c>
      <c r="L5948">
        <v>-63.481810000000003</v>
      </c>
      <c r="M5948">
        <v>0.99956460000000003</v>
      </c>
      <c r="N5948">
        <v>0</v>
      </c>
      <c r="O5948">
        <v>-2.9510169999999999E-2</v>
      </c>
      <c r="P5948">
        <v>0.99674200000000002</v>
      </c>
      <c r="Q5948">
        <v>-2.7832570000000001E-2</v>
      </c>
      <c r="R5948">
        <v>7.5703199999999998E-2</v>
      </c>
      <c r="S5948">
        <v>3.0296940000000001</v>
      </c>
      <c r="T5948">
        <v>-0.26282309999999998</v>
      </c>
      <c r="U5948">
        <v>-0.37124629999999997</v>
      </c>
      <c r="V5948">
        <v>-0.1049754</v>
      </c>
      <c r="W5948">
        <v>-2.8490330000000001E-2</v>
      </c>
      <c r="X5948">
        <v>0.99406669999999997</v>
      </c>
      <c r="Y5948">
        <v>9.2050950000000006E-2</v>
      </c>
      <c r="Z5948">
        <v>-1.4261250000000001E-3</v>
      </c>
      <c r="AA5948">
        <v>0.99575329999999995</v>
      </c>
      <c r="AB5948">
        <v>26</v>
      </c>
      <c r="AC5948">
        <v>0.64969999999999495</v>
      </c>
      <c r="AD5948">
        <v>-6.8426999999999794E-2</v>
      </c>
      <c r="AE5948">
        <v>-9.3609999999998195E-2</v>
      </c>
      <c r="AF5948">
        <v>7.3596707544797205E-2</v>
      </c>
      <c r="AG5948">
        <v>-6.8426999999999794E-2</v>
      </c>
      <c r="AH5948">
        <v>0.645168505778283</v>
      </c>
      <c r="AI5948">
        <v>96.015471454635303</v>
      </c>
      <c r="AJ5948">
        <v>83.492193916676101</v>
      </c>
      <c r="AK5948">
        <v>0.65294803050366601</v>
      </c>
      <c r="AL5948">
        <v>91.632596467241001</v>
      </c>
      <c r="AM5948">
        <v>96.028204939074797</v>
      </c>
      <c r="AN5948">
        <v>1.00000006877877</v>
      </c>
    </row>
    <row r="5949" spans="1:40" x14ac:dyDescent="0.3">
      <c r="A5949" t="str">
        <f>"20200111160622020"</f>
        <v>20200111160622020</v>
      </c>
      <c r="B5949" t="str">
        <f>"1578729982008164"</f>
        <v>1578729982008164</v>
      </c>
      <c r="C5949" t="s">
        <v>40</v>
      </c>
      <c r="D5949">
        <v>5.3848710000000004</v>
      </c>
      <c r="E5949">
        <v>0.57752009999999998</v>
      </c>
      <c r="F5949" t="s">
        <v>42</v>
      </c>
      <c r="G5949">
        <v>-261.0523</v>
      </c>
      <c r="H5949">
        <v>1.0356590000000001</v>
      </c>
      <c r="I5949">
        <v>-63.591450000000002</v>
      </c>
      <c r="J5949">
        <v>-261.80669999999998</v>
      </c>
      <c r="K5949">
        <v>1.110182</v>
      </c>
      <c r="L5949">
        <v>-63.484650000000002</v>
      </c>
      <c r="M5949">
        <v>0.99959779999999998</v>
      </c>
      <c r="N5949">
        <v>0</v>
      </c>
      <c r="O5949">
        <v>-2.8357110000000001E-2</v>
      </c>
      <c r="P5949">
        <v>0.99664339999999996</v>
      </c>
      <c r="Q5949">
        <v>-2.7575680000000002E-2</v>
      </c>
      <c r="R5949">
        <v>7.708197E-2</v>
      </c>
      <c r="S5949">
        <v>3.031158</v>
      </c>
      <c r="T5949">
        <v>-0.25514520000000002</v>
      </c>
      <c r="U5949">
        <v>-0.37472529999999998</v>
      </c>
      <c r="V5949">
        <v>-0.1052042</v>
      </c>
      <c r="W5949">
        <v>-2.8237020000000002E-2</v>
      </c>
      <c r="X5949">
        <v>0.99404970000000004</v>
      </c>
      <c r="Y5949">
        <v>9.4268879999999999E-2</v>
      </c>
      <c r="Z5949">
        <v>-1.573098E-3</v>
      </c>
      <c r="AA5949">
        <v>0.99554549999999997</v>
      </c>
      <c r="AB5949">
        <v>27</v>
      </c>
      <c r="AC5949">
        <v>0.75439999999997498</v>
      </c>
      <c r="AD5949">
        <v>-7.4522999999999895E-2</v>
      </c>
      <c r="AE5949">
        <v>-0.10679999999999901</v>
      </c>
      <c r="AF5949">
        <v>8.4555533982466805E-2</v>
      </c>
      <c r="AG5949">
        <v>-7.4522999999999895E-2</v>
      </c>
      <c r="AH5949">
        <v>0.74995065677378503</v>
      </c>
      <c r="AI5949">
        <v>95.639383839126396</v>
      </c>
      <c r="AJ5949">
        <v>83.567174550011302</v>
      </c>
      <c r="AK5949">
        <v>0.75837279978351801</v>
      </c>
      <c r="AL5949">
        <v>91.618077096208395</v>
      </c>
      <c r="AM5949">
        <v>96.041349254785899</v>
      </c>
      <c r="AN5949">
        <v>1.0000000295331</v>
      </c>
    </row>
    <row r="5950" spans="1:40" x14ac:dyDescent="0.3">
      <c r="A5950" t="str">
        <f>"20200111160622032"</f>
        <v>20200111160622032</v>
      </c>
      <c r="B5950" t="str">
        <f>"1578729982028659"</f>
        <v>1578729982028659</v>
      </c>
      <c r="C5950" t="s">
        <v>40</v>
      </c>
      <c r="D5950">
        <v>5.4796379999999996</v>
      </c>
      <c r="E5950">
        <v>0.57765669999999902</v>
      </c>
      <c r="F5950" t="s">
        <v>42</v>
      </c>
      <c r="G5950">
        <v>-261.04640000000001</v>
      </c>
      <c r="H5950">
        <v>1.047329</v>
      </c>
      <c r="I5950">
        <v>-63.578899999999997</v>
      </c>
      <c r="J5950">
        <v>-261.6755</v>
      </c>
      <c r="K5950">
        <v>1.110188</v>
      </c>
      <c r="L5950">
        <v>-63.48724</v>
      </c>
      <c r="M5950">
        <v>0.99962989999999996</v>
      </c>
      <c r="N5950">
        <v>0</v>
      </c>
      <c r="O5950">
        <v>-2.7206790000000002E-2</v>
      </c>
      <c r="P5950">
        <v>0.99656069999999997</v>
      </c>
      <c r="Q5950">
        <v>-2.7506240000000001E-2</v>
      </c>
      <c r="R5950">
        <v>7.8170409999999996E-2</v>
      </c>
      <c r="S5950">
        <v>3.0321959999999999</v>
      </c>
      <c r="T5950">
        <v>-0.25074950000000001</v>
      </c>
      <c r="U5950">
        <v>-0.37524410000000002</v>
      </c>
      <c r="V5950">
        <v>-0.10514560000000001</v>
      </c>
      <c r="W5950">
        <v>-2.8168510000000001E-2</v>
      </c>
      <c r="X5950">
        <v>0.99405779999999999</v>
      </c>
      <c r="Y5950">
        <v>9.5540529999999999E-2</v>
      </c>
      <c r="Z5950">
        <v>-1.692339E-3</v>
      </c>
      <c r="AA5950">
        <v>0.99542410000000003</v>
      </c>
      <c r="AB5950">
        <v>27</v>
      </c>
      <c r="AC5950">
        <v>0.629099999999994</v>
      </c>
      <c r="AD5950">
        <v>-6.2858999999999707E-2</v>
      </c>
      <c r="AE5950">
        <v>-9.1659999999997396E-2</v>
      </c>
      <c r="AF5950">
        <v>7.3788900325316098E-2</v>
      </c>
      <c r="AG5950">
        <v>-6.2858999999999707E-2</v>
      </c>
      <c r="AH5950">
        <v>0.62524830997525505</v>
      </c>
      <c r="AI5950">
        <v>95.701606309020505</v>
      </c>
      <c r="AJ5950">
        <v>83.269350430446096</v>
      </c>
      <c r="AK5950">
        <v>0.63271755532712404</v>
      </c>
      <c r="AL5950">
        <v>91.614150270811706</v>
      </c>
      <c r="AM5950">
        <v>96.0379601799944</v>
      </c>
      <c r="AN5950">
        <v>0.99999998594790995</v>
      </c>
    </row>
    <row r="5951" spans="1:40" x14ac:dyDescent="0.3">
      <c r="A5951" t="str">
        <f>"20200111160622043"</f>
        <v>20200111160622043</v>
      </c>
      <c r="B5951" t="str">
        <f>"1578729982038419"</f>
        <v>1578729982038419</v>
      </c>
      <c r="C5951" t="s">
        <v>40</v>
      </c>
      <c r="D5951">
        <v>5.5151339999999998</v>
      </c>
      <c r="E5951">
        <v>0.57759369999999999</v>
      </c>
      <c r="F5951" t="s">
        <v>42</v>
      </c>
      <c r="G5951">
        <v>-260.80970000000002</v>
      </c>
      <c r="H5951">
        <v>1.0395369999999999</v>
      </c>
      <c r="I5951">
        <v>-63.593760000000003</v>
      </c>
      <c r="J5951">
        <v>-261.53449999999998</v>
      </c>
      <c r="K5951">
        <v>1.110193</v>
      </c>
      <c r="L5951">
        <v>-63.490020000000001</v>
      </c>
      <c r="M5951">
        <v>0.99966259999999996</v>
      </c>
      <c r="N5951">
        <v>0</v>
      </c>
      <c r="O5951">
        <v>-2.597184E-2</v>
      </c>
      <c r="P5951">
        <v>0.99648099999999995</v>
      </c>
      <c r="Q5951">
        <v>-2.737769E-2</v>
      </c>
      <c r="R5951">
        <v>7.9220200000000005E-2</v>
      </c>
      <c r="S5951">
        <v>3.0328369999999998</v>
      </c>
      <c r="T5951">
        <v>-0.24749370000000001</v>
      </c>
      <c r="U5951">
        <v>-0.37313839999999998</v>
      </c>
      <c r="V5951">
        <v>-0.1049644</v>
      </c>
      <c r="W5951">
        <v>-2.8039930000000001E-2</v>
      </c>
      <c r="X5951">
        <v>0.99408059999999998</v>
      </c>
      <c r="Y5951">
        <v>9.6064029999999995E-2</v>
      </c>
      <c r="Z5951">
        <v>-1.791525E-3</v>
      </c>
      <c r="AA5951">
        <v>0.99537350000000002</v>
      </c>
      <c r="AB5951">
        <v>27</v>
      </c>
      <c r="AC5951">
        <v>0.72479999999995903</v>
      </c>
      <c r="AD5951">
        <v>-7.0655999999999802E-2</v>
      </c>
      <c r="AE5951">
        <v>-0.103740000000001</v>
      </c>
      <c r="AF5951">
        <v>8.4097477981443902E-2</v>
      </c>
      <c r="AG5951">
        <v>-7.0655999999999802E-2</v>
      </c>
      <c r="AH5951">
        <v>0.72053997613638099</v>
      </c>
      <c r="AI5951">
        <v>95.562984208055894</v>
      </c>
      <c r="AJ5951">
        <v>83.342869951336993</v>
      </c>
      <c r="AK5951">
        <v>0.72886385103766504</v>
      </c>
      <c r="AL5951">
        <v>91.606780243827302</v>
      </c>
      <c r="AM5951">
        <v>96.027494253619693</v>
      </c>
      <c r="AN5951">
        <v>1.00000000111906</v>
      </c>
    </row>
    <row r="5952" spans="1:40" x14ac:dyDescent="0.3">
      <c r="A5952" t="str">
        <f>"20200111160622055"</f>
        <v>20200111160622055</v>
      </c>
      <c r="B5952" t="str">
        <f>"1578729982048183"</f>
        <v>1578729982048183</v>
      </c>
      <c r="C5952" t="s">
        <v>40</v>
      </c>
      <c r="D5952">
        <v>5.4938279999999997</v>
      </c>
      <c r="E5952">
        <v>0.57762049999999998</v>
      </c>
      <c r="F5952" t="s">
        <v>42</v>
      </c>
      <c r="G5952">
        <v>-260.80439999999999</v>
      </c>
      <c r="H5952">
        <v>1.0500969999999901</v>
      </c>
      <c r="I5952">
        <v>-63.578899999999997</v>
      </c>
      <c r="J5952">
        <v>-261.3999</v>
      </c>
      <c r="K5952">
        <v>1.1101970000000001</v>
      </c>
      <c r="L5952">
        <v>-63.492339999999999</v>
      </c>
      <c r="M5952">
        <v>0.99969260000000004</v>
      </c>
      <c r="N5952">
        <v>0</v>
      </c>
      <c r="O5952">
        <v>-2.479601E-2</v>
      </c>
      <c r="P5952">
        <v>0.99642589999999998</v>
      </c>
      <c r="Q5952">
        <v>-2.723648E-2</v>
      </c>
      <c r="R5952">
        <v>7.996019E-2</v>
      </c>
      <c r="S5952">
        <v>3.0330810000000001</v>
      </c>
      <c r="T5952">
        <v>-0.24965580000000001</v>
      </c>
      <c r="U5952">
        <v>-0.3692627</v>
      </c>
      <c r="V5952">
        <v>-0.1045335</v>
      </c>
      <c r="W5952">
        <v>-2.78956E-2</v>
      </c>
      <c r="X5952">
        <v>0.99413010000000002</v>
      </c>
      <c r="Y5952">
        <v>9.5964309999999997E-2</v>
      </c>
      <c r="Z5952">
        <v>-1.8991979999999999E-3</v>
      </c>
      <c r="AA5952">
        <v>0.99538300000000002</v>
      </c>
      <c r="AB5952">
        <v>27</v>
      </c>
      <c r="AC5952">
        <v>0.59550000000001502</v>
      </c>
      <c r="AD5952">
        <v>-6.0100000000000001E-2</v>
      </c>
      <c r="AE5952">
        <v>-8.6559999999991505E-2</v>
      </c>
      <c r="AF5952">
        <v>7.1058566353781896E-2</v>
      </c>
      <c r="AG5952">
        <v>-6.0100000000000001E-2</v>
      </c>
      <c r="AH5952">
        <v>0.59156251685430095</v>
      </c>
      <c r="AI5952">
        <v>95.759955945639405</v>
      </c>
      <c r="AJ5952">
        <v>83.150441456263906</v>
      </c>
      <c r="AK5952">
        <v>0.59883849341809203</v>
      </c>
      <c r="AL5952">
        <v>91.598507451439801</v>
      </c>
      <c r="AM5952">
        <v>96.002634505806995</v>
      </c>
      <c r="AN5952">
        <v>1.0000000364238</v>
      </c>
    </row>
    <row r="5953" spans="1:40" x14ac:dyDescent="0.3">
      <c r="A5953" t="str">
        <f>"20200111160622065"</f>
        <v>20200111160622065</v>
      </c>
      <c r="B5953" t="str">
        <f>"1578729982057941"</f>
        <v>1578729982057941</v>
      </c>
      <c r="C5953" t="s">
        <v>40</v>
      </c>
      <c r="D5953">
        <v>5.5342159999999998</v>
      </c>
      <c r="E5953">
        <v>0.57753369999999904</v>
      </c>
      <c r="F5953" t="s">
        <v>42</v>
      </c>
      <c r="G5953">
        <v>-260.56619999999998</v>
      </c>
      <c r="H5953">
        <v>1.041534</v>
      </c>
      <c r="I5953">
        <v>-63.593519999999998</v>
      </c>
      <c r="J5953">
        <v>-261.26119999999997</v>
      </c>
      <c r="K5953">
        <v>1.1102080000000001</v>
      </c>
      <c r="L5953">
        <v>-63.494689999999999</v>
      </c>
      <c r="M5953">
        <v>0.99972179999999999</v>
      </c>
      <c r="N5953">
        <v>0</v>
      </c>
      <c r="O5953">
        <v>-2.358406E-2</v>
      </c>
      <c r="P5953">
        <v>0.99635910000000005</v>
      </c>
      <c r="Q5953">
        <v>-2.7435089999999999E-2</v>
      </c>
      <c r="R5953">
        <v>8.0721940000000006E-2</v>
      </c>
      <c r="S5953">
        <v>3.0333860000000001</v>
      </c>
      <c r="T5953">
        <v>-0.2499152</v>
      </c>
      <c r="U5953">
        <v>-0.3671875</v>
      </c>
      <c r="V5953">
        <v>-0.1040864</v>
      </c>
      <c r="W5953">
        <v>-2.8090509999999999E-2</v>
      </c>
      <c r="X5953">
        <v>0.99417149999999999</v>
      </c>
      <c r="Y5953">
        <v>9.6481650000000002E-2</v>
      </c>
      <c r="Z5953">
        <v>-2.0214719999999999E-3</v>
      </c>
      <c r="AA5953">
        <v>0.99533269999999996</v>
      </c>
      <c r="AB5953">
        <v>27</v>
      </c>
      <c r="AC5953">
        <v>0.69499999999999296</v>
      </c>
      <c r="AD5953">
        <v>-6.8674000000000096E-2</v>
      </c>
      <c r="AE5953">
        <v>-9.8829999999992396E-2</v>
      </c>
      <c r="AF5953">
        <v>8.1630370092041493E-2</v>
      </c>
      <c r="AG5953">
        <v>-6.8674000000000096E-2</v>
      </c>
      <c r="AH5953">
        <v>0.69052900748775603</v>
      </c>
      <c r="AI5953">
        <v>95.640445026033703</v>
      </c>
      <c r="AJ5953">
        <v>83.258111186644399</v>
      </c>
      <c r="AK5953">
        <v>0.69872021995888201</v>
      </c>
      <c r="AL5953">
        <v>91.609679386552102</v>
      </c>
      <c r="AM5953">
        <v>95.9768998076635</v>
      </c>
      <c r="AN5953">
        <v>1.0000000134146301</v>
      </c>
    </row>
    <row r="5954" spans="1:40" x14ac:dyDescent="0.3">
      <c r="A5954" t="str">
        <f>"20200111160622076"</f>
        <v>20200111160622076</v>
      </c>
      <c r="B5954" t="str">
        <f>"1578729982068676"</f>
        <v>1578729982068676</v>
      </c>
      <c r="C5954" t="s">
        <v>40</v>
      </c>
      <c r="D5954">
        <v>5.3665890000000003</v>
      </c>
      <c r="E5954">
        <v>0.57811849999999998</v>
      </c>
      <c r="F5954" t="s">
        <v>42</v>
      </c>
      <c r="G5954">
        <v>-260.32639999999998</v>
      </c>
      <c r="H5954">
        <v>1.0322610000000001</v>
      </c>
      <c r="I5954">
        <v>-63.606940000000002</v>
      </c>
      <c r="J5954">
        <v>-261.12869999999998</v>
      </c>
      <c r="K5954">
        <v>1.1102179999999999</v>
      </c>
      <c r="L5954">
        <v>-63.496769999999998</v>
      </c>
      <c r="M5954">
        <v>0.99974850000000004</v>
      </c>
      <c r="N5954">
        <v>0</v>
      </c>
      <c r="O5954">
        <v>-2.2427309999999999E-2</v>
      </c>
      <c r="P5954">
        <v>0.99631939999999997</v>
      </c>
      <c r="Q5954">
        <v>-2.7506039999999999E-2</v>
      </c>
      <c r="R5954">
        <v>8.1185930000000003E-2</v>
      </c>
      <c r="S5954">
        <v>3.0335079999999999</v>
      </c>
      <c r="T5954">
        <v>-0.25297459999999999</v>
      </c>
      <c r="U5954">
        <v>-0.36410520000000002</v>
      </c>
      <c r="V5954">
        <v>-0.1033978</v>
      </c>
      <c r="W5954">
        <v>-2.8155320000000001E-2</v>
      </c>
      <c r="X5954">
        <v>0.9942415</v>
      </c>
      <c r="Y5954">
        <v>9.6621230000000002E-2</v>
      </c>
      <c r="Z5954">
        <v>-2.1478320000000001E-3</v>
      </c>
      <c r="AA5954">
        <v>0.99531890000000001</v>
      </c>
      <c r="AB5954">
        <v>27</v>
      </c>
      <c r="AC5954">
        <v>0.80230000000000201</v>
      </c>
      <c r="AD5954">
        <v>-7.7956999999999804E-2</v>
      </c>
      <c r="AE5954">
        <v>-0.110170000000003</v>
      </c>
      <c r="AF5954">
        <v>9.13027862954916E-2</v>
      </c>
      <c r="AG5954">
        <v>-7.7956999999999804E-2</v>
      </c>
      <c r="AH5954">
        <v>0.79718179716646098</v>
      </c>
      <c r="AI5954">
        <v>95.549189365658293</v>
      </c>
      <c r="AJ5954">
        <v>83.466272223897306</v>
      </c>
      <c r="AK5954">
        <v>0.80617139019433603</v>
      </c>
      <c r="AL5954">
        <v>91.613394227088506</v>
      </c>
      <c r="AM5954">
        <v>95.937227050949701</v>
      </c>
      <c r="AN5954">
        <v>0.99999999370569603</v>
      </c>
    </row>
    <row r="5955" spans="1:40" x14ac:dyDescent="0.3">
      <c r="A5955" t="str">
        <f>"20200111160622088"</f>
        <v>20200111160622088</v>
      </c>
      <c r="B5955" t="str">
        <f>"1578729982078436"</f>
        <v>1578729982078436</v>
      </c>
      <c r="C5955" t="s">
        <v>40</v>
      </c>
      <c r="D5955">
        <v>5.3453089999999897</v>
      </c>
      <c r="E5955">
        <v>0.57865769999999905</v>
      </c>
      <c r="F5955" t="s">
        <v>42</v>
      </c>
      <c r="G5955">
        <v>-260.32080000000002</v>
      </c>
      <c r="H5955">
        <v>1.043623</v>
      </c>
      <c r="I5955">
        <v>-63.594700000000003</v>
      </c>
      <c r="J5955">
        <v>-260.99619999999999</v>
      </c>
      <c r="K5955">
        <v>1.1102299999999901</v>
      </c>
      <c r="L5955">
        <v>-63.498690000000003</v>
      </c>
      <c r="M5955">
        <v>0.99977380000000005</v>
      </c>
      <c r="N5955">
        <v>0</v>
      </c>
      <c r="O5955">
        <v>-2.127126E-2</v>
      </c>
      <c r="P5955">
        <v>0.99630030000000003</v>
      </c>
      <c r="Q5955">
        <v>-2.7552299999999998E-2</v>
      </c>
      <c r="R5955">
        <v>8.1404589999999999E-2</v>
      </c>
      <c r="S5955">
        <v>3.0341800000000001</v>
      </c>
      <c r="T5955">
        <v>-0.25012770000000001</v>
      </c>
      <c r="U5955">
        <v>-0.36761470000000002</v>
      </c>
      <c r="V5955">
        <v>-0.1024651</v>
      </c>
      <c r="W5955">
        <v>-2.8193510000000001E-2</v>
      </c>
      <c r="X5955">
        <v>0.99433700000000003</v>
      </c>
      <c r="Y5955">
        <v>9.8874959999999998E-2</v>
      </c>
      <c r="Z5955">
        <v>-2.310253E-3</v>
      </c>
      <c r="AA5955">
        <v>0.99509720000000002</v>
      </c>
      <c r="AB5955">
        <v>27</v>
      </c>
      <c r="AC5955">
        <v>0.67539999999996703</v>
      </c>
      <c r="AD5955">
        <v>-6.6606999999999805E-2</v>
      </c>
      <c r="AE5955">
        <v>-9.6009999999999707E-2</v>
      </c>
      <c r="AF5955">
        <v>8.0850917707074102E-2</v>
      </c>
      <c r="AG5955">
        <v>-6.6606999999999805E-2</v>
      </c>
      <c r="AH5955">
        <v>0.67089381403584902</v>
      </c>
      <c r="AI5955">
        <v>95.629335518090002</v>
      </c>
      <c r="AJ5955">
        <v>83.128295665922394</v>
      </c>
      <c r="AK5955">
        <v>0.67902273382755396</v>
      </c>
      <c r="AL5955">
        <v>91.615583179175204</v>
      </c>
      <c r="AM5955">
        <v>95.883486577526995</v>
      </c>
      <c r="AN5955">
        <v>1.00000002014656</v>
      </c>
    </row>
    <row r="5956" spans="1:40" x14ac:dyDescent="0.3">
      <c r="A5956" t="str">
        <f>"20200111160622098"</f>
        <v>20200111160622098</v>
      </c>
      <c r="B5956" t="str">
        <f>"1578729982088196"</f>
        <v>1578729982088196</v>
      </c>
      <c r="C5956" t="s">
        <v>40</v>
      </c>
      <c r="D5956">
        <v>5.5714829999999997</v>
      </c>
      <c r="E5956">
        <v>0.57865769999999905</v>
      </c>
      <c r="F5956" t="s">
        <v>42</v>
      </c>
      <c r="G5956">
        <v>-260.07859999999999</v>
      </c>
      <c r="H5956">
        <v>1.035774</v>
      </c>
      <c r="I5956">
        <v>-63.611269999999998</v>
      </c>
      <c r="J5956">
        <v>-260.86</v>
      </c>
      <c r="K5956">
        <v>1.1102430000000001</v>
      </c>
      <c r="L5956">
        <v>-63.500489999999999</v>
      </c>
      <c r="M5956">
        <v>0.99979830000000003</v>
      </c>
      <c r="N5956">
        <v>0</v>
      </c>
      <c r="O5956">
        <v>-2.0083150000000001E-2</v>
      </c>
      <c r="P5956">
        <v>0.99627810000000006</v>
      </c>
      <c r="Q5956">
        <v>-2.743847E-2</v>
      </c>
      <c r="R5956">
        <v>8.1712300000000002E-2</v>
      </c>
      <c r="S5956">
        <v>3.0346679999999999</v>
      </c>
      <c r="T5956">
        <v>-0.2463515</v>
      </c>
      <c r="U5956">
        <v>-0.37152099999999999</v>
      </c>
      <c r="V5956">
        <v>-0.10159020000000001</v>
      </c>
      <c r="W5956">
        <v>-2.8070109999999999E-2</v>
      </c>
      <c r="X5956">
        <v>0.99443020000000004</v>
      </c>
      <c r="Y5956">
        <v>0.10129639999999999</v>
      </c>
      <c r="Z5956">
        <v>-2.4685779999999999E-3</v>
      </c>
      <c r="AA5956">
        <v>0.99485319999999999</v>
      </c>
      <c r="AB5956">
        <v>27</v>
      </c>
      <c r="AC5956">
        <v>0.78140000000001897</v>
      </c>
      <c r="AD5956">
        <v>-7.4469000000000105E-2</v>
      </c>
      <c r="AE5956">
        <v>-0.11077999999999801</v>
      </c>
      <c r="AF5956">
        <v>9.4225742463932602E-2</v>
      </c>
      <c r="AG5956">
        <v>-7.4469000000000105E-2</v>
      </c>
      <c r="AH5956">
        <v>0.77655315453158202</v>
      </c>
      <c r="AI5956">
        <v>95.438089660703199</v>
      </c>
      <c r="AJ5956">
        <v>83.081640679922302</v>
      </c>
      <c r="AK5956">
        <v>0.78578554600910699</v>
      </c>
      <c r="AL5956">
        <v>91.608510175520706</v>
      </c>
      <c r="AM5956">
        <v>95.8330552962273</v>
      </c>
      <c r="AN5956">
        <v>0.99999996124174495</v>
      </c>
    </row>
    <row r="5957" spans="1:40" x14ac:dyDescent="0.3">
      <c r="A5957" t="str">
        <f>"20200111160622110"</f>
        <v>20200111160622110</v>
      </c>
      <c r="B5957" t="str">
        <f>"1578729982108692"</f>
        <v>1578729982108692</v>
      </c>
      <c r="C5957" t="s">
        <v>40</v>
      </c>
      <c r="D5957">
        <v>5.339766</v>
      </c>
      <c r="E5957">
        <v>0.54081400000000002</v>
      </c>
      <c r="F5957" t="s">
        <v>42</v>
      </c>
      <c r="G5957">
        <v>-260.07330000000002</v>
      </c>
      <c r="H5957">
        <v>1.046489</v>
      </c>
      <c r="I5957">
        <v>-63.596809999999998</v>
      </c>
      <c r="J5957">
        <v>-260.7174</v>
      </c>
      <c r="K5957">
        <v>1.1102559999999999</v>
      </c>
      <c r="L5957">
        <v>-63.502200000000002</v>
      </c>
      <c r="M5957">
        <v>0.99982260000000001</v>
      </c>
      <c r="N5957">
        <v>0</v>
      </c>
      <c r="O5957">
        <v>-1.883889E-2</v>
      </c>
      <c r="P5957">
        <v>0.99623070000000002</v>
      </c>
      <c r="Q5957">
        <v>-2.749383E-2</v>
      </c>
      <c r="R5957">
        <v>8.2272479999999995E-2</v>
      </c>
      <c r="S5957">
        <v>3.034821</v>
      </c>
      <c r="T5957">
        <v>-0.24608830000000001</v>
      </c>
      <c r="U5957">
        <v>-0.37060549999999998</v>
      </c>
      <c r="V5957">
        <v>-0.100911</v>
      </c>
      <c r="W5957">
        <v>-2.8114650000000001E-2</v>
      </c>
      <c r="X5957">
        <v>0.99449810000000005</v>
      </c>
      <c r="Y5957">
        <v>0.1022262</v>
      </c>
      <c r="Z5957">
        <v>-2.603654E-3</v>
      </c>
      <c r="AA5957">
        <v>0.99475780000000003</v>
      </c>
      <c r="AB5957">
        <v>27</v>
      </c>
      <c r="AC5957">
        <v>0.64409999999998002</v>
      </c>
      <c r="AD5957">
        <v>-6.3766999999999893E-2</v>
      </c>
      <c r="AE5957">
        <v>-9.4609999999995795E-2</v>
      </c>
      <c r="AF5957">
        <v>8.1675460042155701E-2</v>
      </c>
      <c r="AG5957">
        <v>-6.3766999999999893E-2</v>
      </c>
      <c r="AH5957">
        <v>0.63963120592296396</v>
      </c>
      <c r="AI5957">
        <v>95.647642278278695</v>
      </c>
      <c r="AJ5957">
        <v>82.723195896400298</v>
      </c>
      <c r="AK5957">
        <v>0.64797005382391204</v>
      </c>
      <c r="AL5957">
        <v>91.611063127636896</v>
      </c>
      <c r="AM5957">
        <v>95.793930646032507</v>
      </c>
      <c r="AN5957">
        <v>0.99999996718461504</v>
      </c>
    </row>
    <row r="5958" spans="1:40" x14ac:dyDescent="0.3">
      <c r="A5958" t="str">
        <f>"20200111160622122"</f>
        <v>20200111160622122</v>
      </c>
      <c r="B5958" t="str">
        <f>"1578729982118453"</f>
        <v>1578729982118453</v>
      </c>
      <c r="C5958" t="s">
        <v>40</v>
      </c>
      <c r="D5958">
        <v>5.665006</v>
      </c>
      <c r="E5958">
        <v>0.45015529999999998</v>
      </c>
      <c r="F5958" t="s">
        <v>69</v>
      </c>
      <c r="G5958">
        <v>-169.244</v>
      </c>
      <c r="H5958">
        <v>6.7406309999999996</v>
      </c>
      <c r="I5958">
        <v>-66.422519999999906</v>
      </c>
      <c r="J5958">
        <v>-260.57490000000001</v>
      </c>
      <c r="K5958">
        <v>1.1102700000000001</v>
      </c>
      <c r="L5958">
        <v>-63.503779999999999</v>
      </c>
      <c r="M5958">
        <v>0.99984510000000004</v>
      </c>
      <c r="N5958">
        <v>0</v>
      </c>
      <c r="O5958">
        <v>-1.7596649999999998E-2</v>
      </c>
      <c r="P5958">
        <v>0.9961757</v>
      </c>
      <c r="Q5958">
        <v>-2.727564E-2</v>
      </c>
      <c r="R5958">
        <v>8.3007259999999999E-2</v>
      </c>
      <c r="S5958">
        <v>3.0244749999999998</v>
      </c>
      <c r="T5958">
        <v>0.18616179999999999</v>
      </c>
      <c r="U5958">
        <v>-9.6557619999999997E-2</v>
      </c>
      <c r="V5958">
        <v>-0.1004085</v>
      </c>
      <c r="W5958">
        <v>-2.7885159999999999E-2</v>
      </c>
      <c r="X5958">
        <v>0.99455550000000004</v>
      </c>
      <c r="Y5958">
        <v>1.4322710000000001E-2</v>
      </c>
      <c r="Z5958">
        <v>-6.4142279999999995E-4</v>
      </c>
      <c r="AA5958">
        <v>0.99989720000000004</v>
      </c>
      <c r="AB5958">
        <v>28</v>
      </c>
      <c r="AC5958">
        <v>91.3309</v>
      </c>
      <c r="AD5958">
        <v>5.6303609999999997</v>
      </c>
      <c r="AE5958">
        <v>-2.9187399999999801</v>
      </c>
      <c r="AF5958">
        <v>1.3062109462056599</v>
      </c>
      <c r="AG5958">
        <v>5.6303609999999997</v>
      </c>
      <c r="AH5958">
        <v>91.022543738035793</v>
      </c>
      <c r="AI5958">
        <v>86.460741253999601</v>
      </c>
      <c r="AJ5958">
        <v>89.177838428453001</v>
      </c>
      <c r="AK5958">
        <v>91.205869441439802</v>
      </c>
      <c r="AL5958">
        <v>91.5979090357514</v>
      </c>
      <c r="AM5958">
        <v>95.764943321740503</v>
      </c>
      <c r="AN5958">
        <v>1.0000000458003599</v>
      </c>
    </row>
    <row r="5959" spans="1:40" x14ac:dyDescent="0.3">
      <c r="A5959" t="str">
        <f>"20200111160622133"</f>
        <v>20200111160622133</v>
      </c>
      <c r="B5959" t="str">
        <f>"1578729982128211"</f>
        <v>1578729982128211</v>
      </c>
      <c r="C5959" t="s">
        <v>40</v>
      </c>
      <c r="D5959">
        <v>5.3930009999999999</v>
      </c>
      <c r="E5959">
        <v>0.44281490000000001</v>
      </c>
      <c r="F5959" t="s">
        <v>69</v>
      </c>
      <c r="G5959">
        <v>-157.3501</v>
      </c>
      <c r="H5959">
        <v>5.7172919999999996</v>
      </c>
      <c r="I5959">
        <v>-41.493450000000003</v>
      </c>
      <c r="J5959">
        <v>-260.4366</v>
      </c>
      <c r="K5959">
        <v>1.110284</v>
      </c>
      <c r="L5959">
        <v>-63.505099999999999</v>
      </c>
      <c r="M5959">
        <v>0.99986580000000003</v>
      </c>
      <c r="N5959">
        <v>0</v>
      </c>
      <c r="O5959">
        <v>-1.6390999999999999E-2</v>
      </c>
      <c r="P5959">
        <v>0.99609080000000005</v>
      </c>
      <c r="Q5959">
        <v>-2.7164089999999998E-2</v>
      </c>
      <c r="R5959">
        <v>8.4057049999999994E-2</v>
      </c>
      <c r="S5959">
        <v>2.962494</v>
      </c>
      <c r="T5959">
        <v>0.13221820000000001</v>
      </c>
      <c r="U5959">
        <v>0.63168329999999995</v>
      </c>
      <c r="V5959">
        <v>-0.1002571</v>
      </c>
      <c r="W5959">
        <v>-2.7762459999999999E-2</v>
      </c>
      <c r="X5959">
        <v>0.99457419999999996</v>
      </c>
      <c r="Y5959">
        <v>-0.22431209999999999</v>
      </c>
      <c r="Z5959">
        <v>-5.6709380000000004E-3</v>
      </c>
      <c r="AA5959">
        <v>0.97450079999999994</v>
      </c>
      <c r="AB5959">
        <v>28</v>
      </c>
      <c r="AC5959">
        <v>103.0865</v>
      </c>
      <c r="AD5959">
        <v>4.6070080000000004</v>
      </c>
      <c r="AE5959">
        <v>22.011649999999999</v>
      </c>
      <c r="AF5959">
        <v>-23.653201920681401</v>
      </c>
      <c r="AG5959">
        <v>4.6070080000000004</v>
      </c>
      <c r="AH5959">
        <v>102.51603547550999</v>
      </c>
      <c r="AI5959">
        <v>87.492679638604002</v>
      </c>
      <c r="AJ5959">
        <v>102.99231129732</v>
      </c>
      <c r="AK5959">
        <v>105.310189504286</v>
      </c>
      <c r="AL5959">
        <v>91.590876130634996</v>
      </c>
      <c r="AM5959">
        <v>95.756201621859802</v>
      </c>
      <c r="AN5959">
        <v>1.0000000397956399</v>
      </c>
    </row>
    <row r="5960" spans="1:40" x14ac:dyDescent="0.3">
      <c r="A5960" t="str">
        <f>"20200111160622144"</f>
        <v>20200111160622144</v>
      </c>
      <c r="B5960" t="str">
        <f>"1578729982137971"</f>
        <v>1578729982137971</v>
      </c>
      <c r="C5960" t="s">
        <v>40</v>
      </c>
      <c r="D5960">
        <v>5.4626489999999999</v>
      </c>
      <c r="E5960">
        <v>0.43869469999999999</v>
      </c>
      <c r="F5960" t="s">
        <v>69</v>
      </c>
      <c r="G5960">
        <v>-157.3501</v>
      </c>
      <c r="H5960">
        <v>1.183012</v>
      </c>
      <c r="I5960">
        <v>-38.992080000000001</v>
      </c>
      <c r="J5960">
        <v>-260.29039999999998</v>
      </c>
      <c r="K5960">
        <v>1.110301</v>
      </c>
      <c r="L5960">
        <v>-63.506349999999998</v>
      </c>
      <c r="M5960">
        <v>0.99988589999999999</v>
      </c>
      <c r="N5960">
        <v>0</v>
      </c>
      <c r="O5960">
        <v>-1.511788E-2</v>
      </c>
      <c r="P5960">
        <v>0.99598430000000004</v>
      </c>
      <c r="Q5960">
        <v>-2.66307E-2</v>
      </c>
      <c r="R5960">
        <v>8.5476060000000006E-2</v>
      </c>
      <c r="S5960">
        <v>2.9525450000000002</v>
      </c>
      <c r="T5960">
        <v>2.0824670000000002E-3</v>
      </c>
      <c r="U5960">
        <v>0.70208740000000003</v>
      </c>
      <c r="V5960">
        <v>-0.1004094</v>
      </c>
      <c r="W5960">
        <v>-2.7218160000000002E-2</v>
      </c>
      <c r="X5960">
        <v>0.99457379999999995</v>
      </c>
      <c r="Y5960">
        <v>-0.2460213</v>
      </c>
      <c r="Z5960" s="1">
        <v>-9.6088550000000003E-5</v>
      </c>
      <c r="AA5960">
        <v>0.96926440000000003</v>
      </c>
      <c r="AB5960">
        <v>28</v>
      </c>
      <c r="AC5960">
        <v>102.940299999999</v>
      </c>
      <c r="AD5960">
        <v>7.2711000000000095E-2</v>
      </c>
      <c r="AE5960">
        <v>24.51427</v>
      </c>
      <c r="AF5960">
        <v>-26.0676949813008</v>
      </c>
      <c r="AG5960">
        <v>7.2711000000000095E-2</v>
      </c>
      <c r="AH5960">
        <v>102.557883667289</v>
      </c>
      <c r="AI5960">
        <v>89.960630549855907</v>
      </c>
      <c r="AJ5960">
        <v>104.26118363611999</v>
      </c>
      <c r="AK5960">
        <v>105.818946842429</v>
      </c>
      <c r="AL5960">
        <v>91.559678372971803</v>
      </c>
      <c r="AM5960">
        <v>95.764889286572398</v>
      </c>
      <c r="AN5960">
        <v>0.99999995974429201</v>
      </c>
    </row>
    <row r="5961" spans="1:40" x14ac:dyDescent="0.3">
      <c r="A5961" t="str">
        <f>"20200111160622154"</f>
        <v>20200111160622154</v>
      </c>
      <c r="B5961" t="str">
        <f>"1578729982148708"</f>
        <v>1578729982148708</v>
      </c>
      <c r="C5961" t="s">
        <v>40</v>
      </c>
      <c r="D5961">
        <v>5.44231</v>
      </c>
      <c r="E5961">
        <v>0.4369537</v>
      </c>
      <c r="F5961" t="s">
        <v>97</v>
      </c>
      <c r="G5961">
        <v>-210.14609999999999</v>
      </c>
      <c r="H5961" s="1">
        <v>-1.5593419999999999E-6</v>
      </c>
      <c r="I5961">
        <v>-50.849319999999999</v>
      </c>
      <c r="J5961">
        <v>-260.15969999999999</v>
      </c>
      <c r="K5961">
        <v>1.1103149999999999</v>
      </c>
      <c r="L5961">
        <v>-63.507260000000002</v>
      </c>
      <c r="M5961">
        <v>0.99990239999999997</v>
      </c>
      <c r="N5961">
        <v>0</v>
      </c>
      <c r="O5961">
        <v>-1.397923E-2</v>
      </c>
      <c r="P5961">
        <v>0.99586980000000003</v>
      </c>
      <c r="Q5961">
        <v>-2.5898290000000001E-2</v>
      </c>
      <c r="R5961">
        <v>8.7021790000000002E-2</v>
      </c>
      <c r="S5961">
        <v>2.946564</v>
      </c>
      <c r="T5961">
        <v>-6.5243120000000002E-2</v>
      </c>
      <c r="U5961">
        <v>0.74374390000000001</v>
      </c>
      <c r="V5961">
        <v>-0.1008226</v>
      </c>
      <c r="W5961">
        <v>-2.6475740000000001E-2</v>
      </c>
      <c r="X5961">
        <v>0.99455210000000005</v>
      </c>
      <c r="Y5961">
        <v>-0.25820219999999999</v>
      </c>
      <c r="Z5961">
        <v>3.118946E-3</v>
      </c>
      <c r="AA5961">
        <v>0.96608590000000005</v>
      </c>
      <c r="AB5961">
        <v>28</v>
      </c>
      <c r="AC5961">
        <v>50.013599999999997</v>
      </c>
      <c r="AD5961">
        <v>-1.1103165593419999</v>
      </c>
      <c r="AE5961">
        <v>12.6579399999999</v>
      </c>
      <c r="AF5961">
        <v>-13.3496713236541</v>
      </c>
      <c r="AG5961">
        <v>-1.1103165593419999</v>
      </c>
      <c r="AH5961">
        <v>49.808694138838199</v>
      </c>
      <c r="AI5961">
        <v>91.233483661466494</v>
      </c>
      <c r="AJ5961">
        <v>105.003726244212</v>
      </c>
      <c r="AK5961">
        <v>51.578605439928999</v>
      </c>
      <c r="AL5961">
        <v>91.517125407444098</v>
      </c>
      <c r="AM5961">
        <v>95.788577358115802</v>
      </c>
      <c r="AN5961">
        <v>1.00000002054685</v>
      </c>
    </row>
    <row r="5962" spans="1:40" x14ac:dyDescent="0.3">
      <c r="A5962" t="str">
        <f>"20200111160622166"</f>
        <v>20200111160622166</v>
      </c>
      <c r="B5962" t="str">
        <f>"1578729982158468"</f>
        <v>1578729982158468</v>
      </c>
      <c r="C5962" t="s">
        <v>40</v>
      </c>
      <c r="D5962">
        <v>5.3721560000000004</v>
      </c>
      <c r="E5962">
        <v>0.43507240000000003</v>
      </c>
      <c r="F5962" t="s">
        <v>99</v>
      </c>
      <c r="G5962">
        <v>-230.24799999999999</v>
      </c>
      <c r="H5962" s="1">
        <v>-3.1014409999999999E-7</v>
      </c>
      <c r="I5962">
        <v>-55.7286199999999</v>
      </c>
      <c r="J5962">
        <v>-260.01900000000001</v>
      </c>
      <c r="K5962">
        <v>1.110328</v>
      </c>
      <c r="L5962">
        <v>-63.508150000000001</v>
      </c>
      <c r="M5962">
        <v>0.99991870000000005</v>
      </c>
      <c r="N5962">
        <v>0</v>
      </c>
      <c r="O5962">
        <v>-1.275545E-2</v>
      </c>
      <c r="P5962">
        <v>0.99571869999999996</v>
      </c>
      <c r="Q5962">
        <v>-2.4702399999999999E-2</v>
      </c>
      <c r="R5962">
        <v>8.9074710000000001E-2</v>
      </c>
      <c r="S5962">
        <v>2.9427189999999999</v>
      </c>
      <c r="T5962">
        <v>-0.1092331</v>
      </c>
      <c r="U5962">
        <v>0.76525880000000002</v>
      </c>
      <c r="V5962">
        <v>-0.1016613</v>
      </c>
      <c r="W5962">
        <v>-2.5270419999999998E-2</v>
      </c>
      <c r="X5962">
        <v>0.99449810000000005</v>
      </c>
      <c r="Y5962">
        <v>-0.26382650000000002</v>
      </c>
      <c r="Z5962">
        <v>5.2806800000000003E-3</v>
      </c>
      <c r="AA5962">
        <v>0.96455570000000002</v>
      </c>
      <c r="AB5962">
        <v>28</v>
      </c>
      <c r="AC5962">
        <v>29.771000000000001</v>
      </c>
      <c r="AD5962">
        <v>-1.1103283101440999</v>
      </c>
      <c r="AE5962">
        <v>7.7795300000000003</v>
      </c>
      <c r="AF5962">
        <v>-8.1480304046094005</v>
      </c>
      <c r="AG5962">
        <v>-1.1103283101440999</v>
      </c>
      <c r="AH5962">
        <v>29.630765732916899</v>
      </c>
      <c r="AI5962">
        <v>92.069252377037799</v>
      </c>
      <c r="AJ5962">
        <v>105.37547792291301</v>
      </c>
      <c r="AK5962">
        <v>30.7506992822887</v>
      </c>
      <c r="AL5962">
        <v>91.448042497479094</v>
      </c>
      <c r="AM5962">
        <v>95.836713720875693</v>
      </c>
      <c r="AN5962">
        <v>1.00000004247413</v>
      </c>
    </row>
    <row r="5963" spans="1:40" x14ac:dyDescent="0.3">
      <c r="A5963" t="str">
        <f>"20200111160622177"</f>
        <v>20200111160622177</v>
      </c>
      <c r="B5963" t="str">
        <f>"1578729982168228"</f>
        <v>1578729982168228</v>
      </c>
      <c r="C5963" t="s">
        <v>40</v>
      </c>
      <c r="D5963">
        <v>5.3606429999999996</v>
      </c>
      <c r="E5963">
        <v>0.43419839999999998</v>
      </c>
      <c r="F5963" t="s">
        <v>99</v>
      </c>
      <c r="G5963">
        <v>-235.6251</v>
      </c>
      <c r="H5963" s="1">
        <v>-2.0064450000000002E-6</v>
      </c>
      <c r="I5963">
        <v>-56.966470000000001</v>
      </c>
      <c r="J5963">
        <v>-259.87689999999998</v>
      </c>
      <c r="K5963">
        <v>1.1103449999999999</v>
      </c>
      <c r="L5963">
        <v>-63.508819999999901</v>
      </c>
      <c r="M5963">
        <v>0.99993359999999998</v>
      </c>
      <c r="N5963">
        <v>0</v>
      </c>
      <c r="O5963">
        <v>-1.151952E-2</v>
      </c>
      <c r="P5963">
        <v>0.99556940000000005</v>
      </c>
      <c r="Q5963">
        <v>-2.347958E-2</v>
      </c>
      <c r="R5963">
        <v>9.1049309999999994E-2</v>
      </c>
      <c r="S5963">
        <v>2.9391479999999999</v>
      </c>
      <c r="T5963">
        <v>-0.13377990000000001</v>
      </c>
      <c r="U5963">
        <v>0.78817749999999998</v>
      </c>
      <c r="V5963">
        <v>-0.1024089</v>
      </c>
      <c r="W5963">
        <v>-2.4036370000000001E-2</v>
      </c>
      <c r="X5963">
        <v>0.99445190000000006</v>
      </c>
      <c r="Y5963">
        <v>-0.26985100000000001</v>
      </c>
      <c r="Z5963">
        <v>6.5469339999999999E-3</v>
      </c>
      <c r="AA5963">
        <v>0.96287979999999995</v>
      </c>
      <c r="AB5963">
        <v>28</v>
      </c>
      <c r="AC5963">
        <v>24.2517999999999</v>
      </c>
      <c r="AD5963">
        <v>-1.1103470064450001</v>
      </c>
      <c r="AE5963">
        <v>6.5423499999999901</v>
      </c>
      <c r="AF5963">
        <v>-6.8079823220296296</v>
      </c>
      <c r="AG5963">
        <v>-1.1103470064450001</v>
      </c>
      <c r="AH5963">
        <v>24.127681006702399</v>
      </c>
      <c r="AI5963">
        <v>92.535987976662199</v>
      </c>
      <c r="AJ5963">
        <v>105.757198372853</v>
      </c>
      <c r="AK5963">
        <v>25.094351645997499</v>
      </c>
      <c r="AL5963">
        <v>91.377315261936303</v>
      </c>
      <c r="AM5963">
        <v>95.879607570421697</v>
      </c>
      <c r="AN5963">
        <v>0.99999995564779698</v>
      </c>
    </row>
    <row r="5964" spans="1:40" x14ac:dyDescent="0.3">
      <c r="A5964" t="str">
        <f>"20200111160622187"</f>
        <v>20200111160622187</v>
      </c>
      <c r="B5964" t="str">
        <f>"1578729982177988"</f>
        <v>1578729982177988</v>
      </c>
      <c r="C5964" t="s">
        <v>40</v>
      </c>
      <c r="D5964">
        <v>5.2774320000000001</v>
      </c>
      <c r="E5964">
        <v>0.43323600000000001</v>
      </c>
      <c r="F5964" t="s">
        <v>99</v>
      </c>
      <c r="G5964">
        <v>-238.30449999999999</v>
      </c>
      <c r="H5964" s="1">
        <v>-3.041031E-6</v>
      </c>
      <c r="I5964">
        <v>-57.614139999999999</v>
      </c>
      <c r="J5964">
        <v>-259.74239999999998</v>
      </c>
      <c r="K5964">
        <v>1.110363</v>
      </c>
      <c r="L5964">
        <v>-63.509340000000002</v>
      </c>
      <c r="M5964">
        <v>0.99994640000000001</v>
      </c>
      <c r="N5964">
        <v>0</v>
      </c>
      <c r="O5964">
        <v>-1.0351890000000001E-2</v>
      </c>
      <c r="P5964">
        <v>0.99545669999999997</v>
      </c>
      <c r="Q5964">
        <v>-2.2197930000000001E-2</v>
      </c>
      <c r="R5964">
        <v>9.2591580000000007E-2</v>
      </c>
      <c r="S5964">
        <v>2.936401</v>
      </c>
      <c r="T5964">
        <v>-0.1511391</v>
      </c>
      <c r="U5964">
        <v>0.80236819999999998</v>
      </c>
      <c r="V5964">
        <v>-0.1027933</v>
      </c>
      <c r="W5964">
        <v>-2.274259E-2</v>
      </c>
      <c r="X5964">
        <v>0.99444270000000001</v>
      </c>
      <c r="Y5964">
        <v>-0.2732078</v>
      </c>
      <c r="Z5964">
        <v>7.4233110000000001E-3</v>
      </c>
      <c r="AA5964">
        <v>0.96192639999999996</v>
      </c>
      <c r="AB5964">
        <v>28</v>
      </c>
      <c r="AC5964">
        <v>21.4378999999999</v>
      </c>
      <c r="AD5964">
        <v>-1.1103660410309999</v>
      </c>
      <c r="AE5964">
        <v>5.8952</v>
      </c>
      <c r="AF5964">
        <v>-6.1015890957733196</v>
      </c>
      <c r="AG5964">
        <v>-1.1103660410309999</v>
      </c>
      <c r="AH5964">
        <v>21.322544848360099</v>
      </c>
      <c r="AI5964">
        <v>92.866134859530106</v>
      </c>
      <c r="AJ5964">
        <v>105.968828605851</v>
      </c>
      <c r="AK5964">
        <v>22.206152774604199</v>
      </c>
      <c r="AL5964">
        <v>91.303166795724593</v>
      </c>
      <c r="AM5964">
        <v>95.901575885035896</v>
      </c>
      <c r="AN5964">
        <v>0.99999998575404303</v>
      </c>
    </row>
    <row r="5965" spans="1:40" x14ac:dyDescent="0.3">
      <c r="A5965" t="str">
        <f>"20200111160622199"</f>
        <v>20200111160622199</v>
      </c>
      <c r="B5965" t="str">
        <f>"1578729982188724"</f>
        <v>1578729982188724</v>
      </c>
      <c r="C5965" t="s">
        <v>40</v>
      </c>
      <c r="D5965">
        <v>5.3919360000000003</v>
      </c>
      <c r="E5965">
        <v>0.4330021</v>
      </c>
      <c r="F5965" t="s">
        <v>94</v>
      </c>
      <c r="G5965">
        <v>-240.08519999999999</v>
      </c>
      <c r="H5965" s="1">
        <v>3.612849E-7</v>
      </c>
      <c r="I5965">
        <v>-58.043799999999997</v>
      </c>
      <c r="J5965">
        <v>-259.59980000000002</v>
      </c>
      <c r="K5965">
        <v>1.110376</v>
      </c>
      <c r="L5965">
        <v>-63.509639999999997</v>
      </c>
      <c r="M5965">
        <v>0.99995860000000003</v>
      </c>
      <c r="N5965">
        <v>0</v>
      </c>
      <c r="O5965">
        <v>-9.1144009999999994E-3</v>
      </c>
      <c r="P5965">
        <v>0.99530989999999997</v>
      </c>
      <c r="Q5965">
        <v>-2.1338099999999999E-2</v>
      </c>
      <c r="R5965">
        <v>9.4354499999999994E-2</v>
      </c>
      <c r="S5965">
        <v>2.934113</v>
      </c>
      <c r="T5965">
        <v>-0.16573650000000001</v>
      </c>
      <c r="U5965">
        <v>0.81579590000000002</v>
      </c>
      <c r="V5965">
        <v>-0.1033273</v>
      </c>
      <c r="W5965">
        <v>-2.1870239999999999E-2</v>
      </c>
      <c r="X5965">
        <v>0.99440689999999998</v>
      </c>
      <c r="Y5965">
        <v>-0.27622459999999999</v>
      </c>
      <c r="Z5965">
        <v>8.1554699999999997E-3</v>
      </c>
      <c r="AA5965">
        <v>0.96105850000000004</v>
      </c>
      <c r="AB5965">
        <v>28</v>
      </c>
      <c r="AC5965">
        <v>19.514600000000002</v>
      </c>
      <c r="AD5965">
        <v>-1.1103756387151</v>
      </c>
      <c r="AE5965">
        <v>5.46584</v>
      </c>
      <c r="AF5965">
        <v>-5.6265854430221696</v>
      </c>
      <c r="AG5965">
        <v>-1.1103756387151</v>
      </c>
      <c r="AH5965">
        <v>19.405714312336599</v>
      </c>
      <c r="AI5965">
        <v>93.1455604173171</v>
      </c>
      <c r="AJ5965">
        <v>106.16924020217201</v>
      </c>
      <c r="AK5965">
        <v>20.235442811530199</v>
      </c>
      <c r="AL5965">
        <v>91.253172412200101</v>
      </c>
      <c r="AM5965">
        <v>95.9322279095814</v>
      </c>
      <c r="AN5965">
        <v>0.99999996054527795</v>
      </c>
    </row>
    <row r="5966" spans="1:40" x14ac:dyDescent="0.3">
      <c r="A5966" t="str">
        <f>"20200111160622210"</f>
        <v>20200111160622210</v>
      </c>
      <c r="B5966" t="str">
        <f>"1578729982208246"</f>
        <v>1578729982208246</v>
      </c>
      <c r="C5966" t="s">
        <v>40</v>
      </c>
      <c r="D5966">
        <v>5.4000389999999996</v>
      </c>
      <c r="E5966">
        <v>0.43253370000000002</v>
      </c>
      <c r="F5966" t="s">
        <v>94</v>
      </c>
      <c r="G5966">
        <v>-240.8066</v>
      </c>
      <c r="H5966" s="1">
        <v>1.6555320000000001E-7</v>
      </c>
      <c r="I5966">
        <v>-58.230939999999997</v>
      </c>
      <c r="J5966">
        <v>-259.45920000000001</v>
      </c>
      <c r="K5966">
        <v>1.11039</v>
      </c>
      <c r="L5966">
        <v>-63.509830000000001</v>
      </c>
      <c r="M5966">
        <v>0.99996890000000005</v>
      </c>
      <c r="N5966">
        <v>0</v>
      </c>
      <c r="O5966">
        <v>-7.8982449999999999E-3</v>
      </c>
      <c r="P5966">
        <v>0.99513720000000006</v>
      </c>
      <c r="Q5966">
        <v>-2.0697529999999999E-2</v>
      </c>
      <c r="R5966">
        <v>9.6298369999999994E-2</v>
      </c>
      <c r="S5966">
        <v>2.9323429999999999</v>
      </c>
      <c r="T5966">
        <v>-0.17325450000000001</v>
      </c>
      <c r="U5966">
        <v>0.82363889999999995</v>
      </c>
      <c r="V5966">
        <v>-0.1040628</v>
      </c>
      <c r="W5966">
        <v>-2.1218210000000001E-2</v>
      </c>
      <c r="X5966">
        <v>0.99434440000000002</v>
      </c>
      <c r="Y5966">
        <v>-0.27755020000000002</v>
      </c>
      <c r="Z5966">
        <v>8.4946710000000005E-3</v>
      </c>
      <c r="AA5966">
        <v>0.96067360000000002</v>
      </c>
      <c r="AB5966">
        <v>28</v>
      </c>
      <c r="AC5966">
        <v>18.6526</v>
      </c>
      <c r="AD5966">
        <v>-1.1103898344468</v>
      </c>
      <c r="AE5966">
        <v>5.2788899999999996</v>
      </c>
      <c r="AF5966">
        <v>-5.4083033300496597</v>
      </c>
      <c r="AG5966">
        <v>-1.1103898344468</v>
      </c>
      <c r="AH5966">
        <v>18.549462893254599</v>
      </c>
      <c r="AI5966">
        <v>93.289068353266103</v>
      </c>
      <c r="AJ5966">
        <v>106.25463456991901</v>
      </c>
      <c r="AK5966">
        <v>19.353689160532198</v>
      </c>
      <c r="AL5966">
        <v>91.215805082622097</v>
      </c>
      <c r="AM5966">
        <v>95.974522909987101</v>
      </c>
      <c r="AN5966">
        <v>1.0000000322953999</v>
      </c>
    </row>
    <row r="5967" spans="1:40" x14ac:dyDescent="0.3">
      <c r="A5967" t="str">
        <f>"20200111160622221"</f>
        <v>20200111160622221</v>
      </c>
      <c r="B5967" t="str">
        <f>"1578729982218004"</f>
        <v>1578729982218004</v>
      </c>
      <c r="C5967" t="s">
        <v>40</v>
      </c>
      <c r="D5967">
        <v>5.3348649999999997</v>
      </c>
      <c r="E5967">
        <v>0.43242360000000002</v>
      </c>
      <c r="F5967" t="s">
        <v>94</v>
      </c>
      <c r="G5967">
        <v>-242.44669999999999</v>
      </c>
      <c r="H5967" s="1">
        <v>-3.4175710000000003E-7</v>
      </c>
      <c r="I5967">
        <v>-58.664459999999998</v>
      </c>
      <c r="J5967">
        <v>-259.31139999999999</v>
      </c>
      <c r="K5967">
        <v>1.110403</v>
      </c>
      <c r="L5967">
        <v>-63.509889999999999</v>
      </c>
      <c r="M5967">
        <v>0.99997809999999998</v>
      </c>
      <c r="N5967">
        <v>0</v>
      </c>
      <c r="O5967">
        <v>-6.6235520000000004E-3</v>
      </c>
      <c r="P5967">
        <v>0.99493670000000001</v>
      </c>
      <c r="Q5967">
        <v>-2.0549950000000001E-2</v>
      </c>
      <c r="R5967">
        <v>9.8381150000000001E-2</v>
      </c>
      <c r="S5967">
        <v>2.929932</v>
      </c>
      <c r="T5967">
        <v>-0.19123480000000001</v>
      </c>
      <c r="U5967">
        <v>0.83447269999999896</v>
      </c>
      <c r="V5967">
        <v>-0.1048767</v>
      </c>
      <c r="W5967">
        <v>-2.1058770000000001E-2</v>
      </c>
      <c r="X5967">
        <v>0.99426219999999998</v>
      </c>
      <c r="Y5967">
        <v>-0.27971689999999999</v>
      </c>
      <c r="Z5967">
        <v>9.3650920000000002E-3</v>
      </c>
      <c r="AA5967">
        <v>0.96003680000000002</v>
      </c>
      <c r="AB5967">
        <v>29</v>
      </c>
      <c r="AC5967">
        <v>16.864699999999999</v>
      </c>
      <c r="AD5967">
        <v>-1.1104033417571</v>
      </c>
      <c r="AE5967">
        <v>4.8454300000000003</v>
      </c>
      <c r="AF5967">
        <v>-4.9372562828766302</v>
      </c>
      <c r="AG5967">
        <v>-1.1104033417571</v>
      </c>
      <c r="AH5967">
        <v>16.765098908202699</v>
      </c>
      <c r="AI5967">
        <v>93.635410841967698</v>
      </c>
      <c r="AJ5967">
        <v>106.40949575185201</v>
      </c>
      <c r="AK5967">
        <v>17.512225346483199</v>
      </c>
      <c r="AL5967">
        <v>91.206667891616604</v>
      </c>
      <c r="AM5967">
        <v>96.0214032668637</v>
      </c>
      <c r="AN5967">
        <v>0.99999995817281995</v>
      </c>
    </row>
    <row r="5968" spans="1:40" x14ac:dyDescent="0.3">
      <c r="A5968" t="str">
        <f>"20200111160622233"</f>
        <v>20200111160622233</v>
      </c>
      <c r="B5968" t="str">
        <f>"1578729982228740"</f>
        <v>1578729982228740</v>
      </c>
      <c r="C5968" t="s">
        <v>40</v>
      </c>
      <c r="D5968">
        <v>5.3363180000000003</v>
      </c>
      <c r="E5968">
        <v>0.43237130000000001</v>
      </c>
      <c r="F5968" t="s">
        <v>94</v>
      </c>
      <c r="G5968">
        <v>-242.8683</v>
      </c>
      <c r="H5968" s="1">
        <v>-5.017575E-7</v>
      </c>
      <c r="I5968">
        <v>-58.782020000000003</v>
      </c>
      <c r="J5968">
        <v>-259.16390000000001</v>
      </c>
      <c r="K5968">
        <v>1.110409</v>
      </c>
      <c r="L5968">
        <v>-63.509700000000002</v>
      </c>
      <c r="M5968">
        <v>0.99998560000000003</v>
      </c>
      <c r="N5968">
        <v>0</v>
      </c>
      <c r="O5968">
        <v>-5.3634969999999896E-3</v>
      </c>
      <c r="P5968">
        <v>0.99472490000000002</v>
      </c>
      <c r="Q5968">
        <v>-2.0236179999999999E-2</v>
      </c>
      <c r="R5968">
        <v>0.10056329999999999</v>
      </c>
      <c r="S5968">
        <v>2.9279480000000002</v>
      </c>
      <c r="T5968">
        <v>-0.19772429999999999</v>
      </c>
      <c r="U5968">
        <v>0.84185789999999905</v>
      </c>
      <c r="V5968">
        <v>-0.1058061</v>
      </c>
      <c r="W5968">
        <v>-2.073239E-2</v>
      </c>
      <c r="X5968">
        <v>0.99417060000000002</v>
      </c>
      <c r="Y5968">
        <v>-0.28087780000000001</v>
      </c>
      <c r="Z5968">
        <v>9.6402689999999999E-3</v>
      </c>
      <c r="AA5968">
        <v>0.95969510000000002</v>
      </c>
      <c r="AB5968">
        <v>29</v>
      </c>
      <c r="AC5968">
        <v>16.2956</v>
      </c>
      <c r="AD5968">
        <v>-1.1104095017575</v>
      </c>
      <c r="AE5968">
        <v>4.7276800000000003</v>
      </c>
      <c r="AF5968">
        <v>-4.79447957659041</v>
      </c>
      <c r="AG5968">
        <v>-1.1104095017575</v>
      </c>
      <c r="AH5968">
        <v>16.2006245818813</v>
      </c>
      <c r="AI5968">
        <v>93.760267140874404</v>
      </c>
      <c r="AJ5968">
        <v>106.485809865623</v>
      </c>
      <c r="AK5968">
        <v>16.931635494393099</v>
      </c>
      <c r="AL5968">
        <v>91.187963593564405</v>
      </c>
      <c r="AM5968">
        <v>96.074922226838197</v>
      </c>
      <c r="AN5968">
        <v>0.99999997234834004</v>
      </c>
    </row>
    <row r="5969" spans="1:40" x14ac:dyDescent="0.3">
      <c r="A5969" t="str">
        <f>"20200111160622244"</f>
        <v>20200111160622244</v>
      </c>
      <c r="B5969" t="str">
        <f>"1578729982238499"</f>
        <v>1578729982238499</v>
      </c>
      <c r="C5969" t="s">
        <v>40</v>
      </c>
      <c r="D5969">
        <v>5.4525739999999896</v>
      </c>
      <c r="E5969">
        <v>0.43257420000000002</v>
      </c>
      <c r="F5969" t="s">
        <v>94</v>
      </c>
      <c r="G5969">
        <v>-243.19319999999999</v>
      </c>
      <c r="H5969" s="1">
        <v>-6.2463739999999995E-7</v>
      </c>
      <c r="I5969">
        <v>-58.8750199999999</v>
      </c>
      <c r="J5969">
        <v>-259.01330000000002</v>
      </c>
      <c r="K5969">
        <v>1.110412</v>
      </c>
      <c r="L5969">
        <v>-63.509399999999999</v>
      </c>
      <c r="M5969">
        <v>0.99999170000000004</v>
      </c>
      <c r="N5969">
        <v>0</v>
      </c>
      <c r="O5969">
        <v>-4.0826909999999899E-3</v>
      </c>
      <c r="P5969">
        <v>0.9944558</v>
      </c>
      <c r="Q5969">
        <v>-2.0555629999999998E-2</v>
      </c>
      <c r="R5969">
        <v>0.103127</v>
      </c>
      <c r="S5969">
        <v>2.9259339999999998</v>
      </c>
      <c r="T5969">
        <v>-0.2034338</v>
      </c>
      <c r="U5969">
        <v>0.84909059999999903</v>
      </c>
      <c r="V5969">
        <v>-0.10709340000000001</v>
      </c>
      <c r="W5969">
        <v>-2.1040030000000001E-2</v>
      </c>
      <c r="X5969">
        <v>0.99402630000000003</v>
      </c>
      <c r="Y5969">
        <v>-0.28197840000000002</v>
      </c>
      <c r="Z5969">
        <v>9.8715000000000001E-3</v>
      </c>
      <c r="AA5969">
        <v>0.95936999999999995</v>
      </c>
      <c r="AB5969">
        <v>29</v>
      </c>
      <c r="AC5969">
        <v>15.8201</v>
      </c>
      <c r="AD5969">
        <v>-1.1104126246374</v>
      </c>
      <c r="AE5969">
        <v>4.6343800000000002</v>
      </c>
      <c r="AF5969">
        <v>-4.67770595139742</v>
      </c>
      <c r="AG5969">
        <v>-1.1104126246374</v>
      </c>
      <c r="AH5969">
        <v>15.729677658565899</v>
      </c>
      <c r="AI5969">
        <v>93.871010683779204</v>
      </c>
      <c r="AJ5969">
        <v>106.561473209195</v>
      </c>
      <c r="AK5969">
        <v>16.448000133970101</v>
      </c>
      <c r="AL5969">
        <v>91.205593901815902</v>
      </c>
      <c r="AM5969">
        <v>96.149156316557907</v>
      </c>
      <c r="AN5969">
        <v>0.99999998213882502</v>
      </c>
    </row>
    <row r="5970" spans="1:40" x14ac:dyDescent="0.3">
      <c r="A5970" t="str">
        <f>"20200111160622255"</f>
        <v>20200111160622255</v>
      </c>
      <c r="B5970" t="str">
        <f>"1578729982248260"</f>
        <v>1578729982248260</v>
      </c>
      <c r="C5970" t="s">
        <v>40</v>
      </c>
      <c r="D5970">
        <v>5.2954879999999998</v>
      </c>
      <c r="E5970">
        <v>0.43249860000000001</v>
      </c>
      <c r="F5970" t="s">
        <v>94</v>
      </c>
      <c r="G5970">
        <v>-243.5916</v>
      </c>
      <c r="H5970" s="1">
        <v>-7.7384349999999898E-7</v>
      </c>
      <c r="I5970">
        <v>-58.997430000000001</v>
      </c>
      <c r="J5970">
        <v>-258.87209999999999</v>
      </c>
      <c r="K5970">
        <v>1.1104080000000001</v>
      </c>
      <c r="L5970">
        <v>-63.508850000000002</v>
      </c>
      <c r="M5970">
        <v>0.99999579999999999</v>
      </c>
      <c r="N5970">
        <v>0</v>
      </c>
      <c r="O5970">
        <v>-2.9023439999999998E-3</v>
      </c>
      <c r="P5970">
        <v>0.99419610000000003</v>
      </c>
      <c r="Q5970">
        <v>-2.0942880000000001E-2</v>
      </c>
      <c r="R5970">
        <v>0.10552590000000001</v>
      </c>
      <c r="S5970">
        <v>2.9236759999999999</v>
      </c>
      <c r="T5970">
        <v>-0.21051420000000001</v>
      </c>
      <c r="U5970">
        <v>0.85537719999999995</v>
      </c>
      <c r="V5970">
        <v>-0.1083167</v>
      </c>
      <c r="W5970">
        <v>-2.1414209999999999E-2</v>
      </c>
      <c r="X5970">
        <v>0.99388580000000004</v>
      </c>
      <c r="Y5970">
        <v>-0.2829007</v>
      </c>
      <c r="Z5970">
        <v>1.0168129999999999E-2</v>
      </c>
      <c r="AA5970">
        <v>0.95909529999999998</v>
      </c>
      <c r="AB5970">
        <v>29</v>
      </c>
      <c r="AC5970">
        <v>15.2804999999999</v>
      </c>
      <c r="AD5970">
        <v>-1.1104087738435</v>
      </c>
      <c r="AE5970">
        <v>4.5114200000000002</v>
      </c>
      <c r="AF5970">
        <v>-4.5337286107482502</v>
      </c>
      <c r="AG5970">
        <v>-1.1104087738435</v>
      </c>
      <c r="AH5970">
        <v>15.193542438931701</v>
      </c>
      <c r="AI5970">
        <v>94.006044144442299</v>
      </c>
      <c r="AJ5970">
        <v>106.615018670756</v>
      </c>
      <c r="AK5970">
        <v>15.8943837440954</v>
      </c>
      <c r="AL5970">
        <v>91.227037610501398</v>
      </c>
      <c r="AM5970">
        <v>96.219721470882803</v>
      </c>
      <c r="AN5970">
        <v>1.0000000296652201</v>
      </c>
    </row>
    <row r="5971" spans="1:40" x14ac:dyDescent="0.3">
      <c r="A5971" t="str">
        <f>"20200111160622266"</f>
        <v>20200111160622266</v>
      </c>
      <c r="B5971" t="str">
        <f>"1578729982258020"</f>
        <v>1578729982258020</v>
      </c>
      <c r="C5971" t="s">
        <v>40</v>
      </c>
      <c r="D5971">
        <v>5.380579</v>
      </c>
      <c r="E5971">
        <v>0.4326313</v>
      </c>
      <c r="F5971" t="s">
        <v>94</v>
      </c>
      <c r="G5971">
        <v>-244.0386</v>
      </c>
      <c r="H5971" s="1">
        <v>-9.4299320000000002E-7</v>
      </c>
      <c r="I5971">
        <v>-59.124789999999997</v>
      </c>
      <c r="J5971">
        <v>-258.72919999999999</v>
      </c>
      <c r="K5971">
        <v>1.110406</v>
      </c>
      <c r="L5971">
        <v>-63.508209999999998</v>
      </c>
      <c r="M5971">
        <v>0.99999850000000001</v>
      </c>
      <c r="N5971">
        <v>0</v>
      </c>
      <c r="O5971">
        <v>-1.7169799999999999E-3</v>
      </c>
      <c r="P5971">
        <v>0.99390210000000001</v>
      </c>
      <c r="Q5971">
        <v>-2.1193529999999999E-2</v>
      </c>
      <c r="R5971">
        <v>0.1082087</v>
      </c>
      <c r="S5971">
        <v>2.921265</v>
      </c>
      <c r="T5971">
        <v>-0.21868070000000001</v>
      </c>
      <c r="U5971">
        <v>0.86337280000000005</v>
      </c>
      <c r="V5971">
        <v>-0.10981929999999999</v>
      </c>
      <c r="W5971">
        <v>-2.165214E-2</v>
      </c>
      <c r="X5971">
        <v>0.99371569999999998</v>
      </c>
      <c r="Y5971">
        <v>-0.28433809999999998</v>
      </c>
      <c r="Z5971">
        <v>1.0531759999999999E-2</v>
      </c>
      <c r="AA5971">
        <v>0.95866620000000002</v>
      </c>
      <c r="AB5971">
        <v>29</v>
      </c>
      <c r="AC5971">
        <v>14.6905999999999</v>
      </c>
      <c r="AD5971">
        <v>-1.1104069429932</v>
      </c>
      <c r="AE5971">
        <v>4.3834199999999903</v>
      </c>
      <c r="AF5971">
        <v>-4.3856291338569404</v>
      </c>
      <c r="AG5971">
        <v>-1.1104069429932</v>
      </c>
      <c r="AH5971">
        <v>14.606423931900499</v>
      </c>
      <c r="AI5971">
        <v>94.164392431539099</v>
      </c>
      <c r="AJ5971">
        <v>106.712565729521</v>
      </c>
      <c r="AK5971">
        <v>15.290989718039199</v>
      </c>
      <c r="AL5971">
        <v>91.240673201908294</v>
      </c>
      <c r="AM5971">
        <v>96.3063835930068</v>
      </c>
      <c r="AN5971">
        <v>0.99999999312277899</v>
      </c>
    </row>
    <row r="5972" spans="1:40" x14ac:dyDescent="0.3">
      <c r="A5972" t="str">
        <f>"20200111160622278"</f>
        <v>20200111160622278</v>
      </c>
      <c r="B5972" t="str">
        <f>"1578729982268756"</f>
        <v>1578729982268756</v>
      </c>
      <c r="C5972" t="s">
        <v>40</v>
      </c>
      <c r="D5972">
        <v>5.4613290000000001</v>
      </c>
      <c r="E5972">
        <v>0.4329691</v>
      </c>
      <c r="F5972" t="s">
        <v>94</v>
      </c>
      <c r="G5972">
        <v>-244.2962</v>
      </c>
      <c r="H5972" s="1">
        <v>-1.039441E-6</v>
      </c>
      <c r="I5972">
        <v>-59.2040199999999</v>
      </c>
      <c r="J5972">
        <v>-258.57670000000002</v>
      </c>
      <c r="K5972">
        <v>1.1103940000000001</v>
      </c>
      <c r="L5972">
        <v>-63.507350000000002</v>
      </c>
      <c r="M5972">
        <v>0.99999990000000005</v>
      </c>
      <c r="N5972">
        <v>0</v>
      </c>
      <c r="O5972">
        <v>-4.7531800000000002E-4</v>
      </c>
      <c r="P5972">
        <v>0.99361630000000001</v>
      </c>
      <c r="Q5972">
        <v>-2.1382689999999999E-2</v>
      </c>
      <c r="R5972">
        <v>0.1107684</v>
      </c>
      <c r="S5972">
        <v>2.9188839999999998</v>
      </c>
      <c r="T5972">
        <v>-0.2245654</v>
      </c>
      <c r="U5972">
        <v>0.87045289999999997</v>
      </c>
      <c r="V5972">
        <v>-0.1111456</v>
      </c>
      <c r="W5972">
        <v>-2.1824429999999999E-2</v>
      </c>
      <c r="X5972">
        <v>0.99356449999999996</v>
      </c>
      <c r="Y5972">
        <v>-0.28545700000000002</v>
      </c>
      <c r="Z5972">
        <v>1.0767880000000001E-2</v>
      </c>
      <c r="AA5972">
        <v>0.95833100000000004</v>
      </c>
      <c r="AB5972">
        <v>29</v>
      </c>
      <c r="AC5972">
        <v>14.2805</v>
      </c>
      <c r="AD5972">
        <v>-1.110395039441</v>
      </c>
      <c r="AE5972">
        <v>4.3033300000000096</v>
      </c>
      <c r="AF5972">
        <v>-4.2863593624357703</v>
      </c>
      <c r="AG5972">
        <v>-1.110395039441</v>
      </c>
      <c r="AH5972">
        <v>14.199748237174401</v>
      </c>
      <c r="AI5972">
        <v>94.281281767372604</v>
      </c>
      <c r="AJ5972">
        <v>106.797051277281</v>
      </c>
      <c r="AK5972">
        <v>14.8740950557233</v>
      </c>
      <c r="AL5972">
        <v>91.250546975315004</v>
      </c>
      <c r="AM5972">
        <v>96.382884982907797</v>
      </c>
      <c r="AN5972">
        <v>1.0000000329022101</v>
      </c>
    </row>
    <row r="5973" spans="1:40" x14ac:dyDescent="0.3">
      <c r="A5973" t="str">
        <f>"20200111160622289"</f>
        <v>20200111160622289</v>
      </c>
      <c r="B5973" t="str">
        <f>"1578729982278517"</f>
        <v>1578729982278517</v>
      </c>
      <c r="C5973" t="s">
        <v>40</v>
      </c>
      <c r="D5973">
        <v>5.3722159999999999</v>
      </c>
      <c r="E5973">
        <v>0.43309799999999998</v>
      </c>
      <c r="F5973" t="s">
        <v>94</v>
      </c>
      <c r="G5973">
        <v>-244.46250000000001</v>
      </c>
      <c r="H5973" s="1">
        <v>-1.0989580000000001E-6</v>
      </c>
      <c r="I5973">
        <v>-59.270719999999997</v>
      </c>
      <c r="J5973">
        <v>-258.43189999999998</v>
      </c>
      <c r="K5973">
        <v>1.1103799999999999</v>
      </c>
      <c r="L5973">
        <v>-63.50638</v>
      </c>
      <c r="M5973">
        <v>0.99999990000000005</v>
      </c>
      <c r="N5973">
        <v>0</v>
      </c>
      <c r="O5973">
        <v>6.8338979999999904E-4</v>
      </c>
      <c r="P5973">
        <v>0.9933265</v>
      </c>
      <c r="Q5973">
        <v>-2.150562E-2</v>
      </c>
      <c r="R5973">
        <v>0.1133142</v>
      </c>
      <c r="S5973">
        <v>2.9167019999999999</v>
      </c>
      <c r="T5973">
        <v>-0.22946340000000001</v>
      </c>
      <c r="U5973">
        <v>0.8754883</v>
      </c>
      <c r="V5973">
        <v>-0.11254</v>
      </c>
      <c r="W5973">
        <v>-2.19302E-2</v>
      </c>
      <c r="X5973">
        <v>0.99340519999999999</v>
      </c>
      <c r="Y5973">
        <v>-0.28602830000000001</v>
      </c>
      <c r="Z5973">
        <v>1.0940180000000001E-2</v>
      </c>
      <c r="AA5973">
        <v>0.95815870000000003</v>
      </c>
      <c r="AB5973">
        <v>29</v>
      </c>
      <c r="AC5973">
        <v>13.969399999999901</v>
      </c>
      <c r="AD5973">
        <v>-1.1103810989580001</v>
      </c>
      <c r="AE5973">
        <v>4.23566000000001</v>
      </c>
      <c r="AF5973">
        <v>-4.2018001284367301</v>
      </c>
      <c r="AG5973">
        <v>-1.1103810989580001</v>
      </c>
      <c r="AH5973">
        <v>13.891910361553199</v>
      </c>
      <c r="AI5973">
        <v>94.375006966155794</v>
      </c>
      <c r="AJ5973">
        <v>106.82866623522099</v>
      </c>
      <c r="AK5973">
        <v>14.555866308732099</v>
      </c>
      <c r="AL5973">
        <v>91.256608593668105</v>
      </c>
      <c r="AM5973">
        <v>96.463317032071899</v>
      </c>
      <c r="AN5973">
        <v>1.00000003832953</v>
      </c>
    </row>
    <row r="5974" spans="1:40" x14ac:dyDescent="0.3">
      <c r="A5974" t="str">
        <f>"20200111160622300"</f>
        <v>20200111160622300</v>
      </c>
      <c r="B5974" t="str">
        <f>"1578729982298545"</f>
        <v>1578729982298545</v>
      </c>
      <c r="C5974" t="s">
        <v>40</v>
      </c>
      <c r="D5974">
        <v>5.4790390000000002</v>
      </c>
      <c r="E5974">
        <v>0.43338969999999999</v>
      </c>
      <c r="F5974" t="s">
        <v>94</v>
      </c>
      <c r="G5974">
        <v>-244.54140000000001</v>
      </c>
      <c r="H5974" s="1">
        <v>-1.1271880000000001E-6</v>
      </c>
      <c r="I5974">
        <v>-59.302430000000001</v>
      </c>
      <c r="J5974">
        <v>-258.2842</v>
      </c>
      <c r="K5974">
        <v>1.110368</v>
      </c>
      <c r="L5974">
        <v>-63.505220000000001</v>
      </c>
      <c r="M5974">
        <v>0.99999830000000001</v>
      </c>
      <c r="N5974">
        <v>0</v>
      </c>
      <c r="O5974">
        <v>1.8455749999999999E-3</v>
      </c>
      <c r="P5974">
        <v>0.993066</v>
      </c>
      <c r="Q5974">
        <v>-2.1917349999999999E-2</v>
      </c>
      <c r="R5974">
        <v>0.1154974</v>
      </c>
      <c r="S5974">
        <v>2.9144589999999999</v>
      </c>
      <c r="T5974">
        <v>-0.2329773</v>
      </c>
      <c r="U5974">
        <v>0.88204959999999899</v>
      </c>
      <c r="V5974">
        <v>-0.1135683</v>
      </c>
      <c r="W5974">
        <v>-2.2320949999999999E-2</v>
      </c>
      <c r="X5974">
        <v>0.99327949999999998</v>
      </c>
      <c r="Y5974">
        <v>-0.287070099999999</v>
      </c>
      <c r="Z5974">
        <v>1.10618E-2</v>
      </c>
      <c r="AA5974">
        <v>0.95784570000000002</v>
      </c>
      <c r="AB5974">
        <v>29</v>
      </c>
      <c r="AC5974">
        <v>13.7427999999999</v>
      </c>
      <c r="AD5974">
        <v>-1.1103691271879901</v>
      </c>
      <c r="AE5974">
        <v>4.2027899999999798</v>
      </c>
      <c r="AF5974">
        <v>-4.1526293334996396</v>
      </c>
      <c r="AG5974">
        <v>-1.1103691271879901</v>
      </c>
      <c r="AH5974">
        <v>13.668933105487101</v>
      </c>
      <c r="AI5974">
        <v>94.444400500557194</v>
      </c>
      <c r="AJ5974">
        <v>106.898810102973</v>
      </c>
      <c r="AK5974">
        <v>14.3288862868799</v>
      </c>
      <c r="AL5974">
        <v>91.279002354737997</v>
      </c>
      <c r="AM5974">
        <v>96.522685326105005</v>
      </c>
      <c r="AN5974">
        <v>1.0000000743470101</v>
      </c>
    </row>
    <row r="5975" spans="1:40" x14ac:dyDescent="0.3">
      <c r="A5975" t="str">
        <f>"20200111160622312"</f>
        <v>20200111160622312</v>
      </c>
      <c r="B5975" t="str">
        <f>"1578729982308306"</f>
        <v>1578729982308306</v>
      </c>
      <c r="C5975" t="s">
        <v>40</v>
      </c>
      <c r="D5975">
        <v>5.5206949999999999</v>
      </c>
      <c r="E5975">
        <v>0.43370059999999999</v>
      </c>
      <c r="F5975" t="s">
        <v>94</v>
      </c>
      <c r="G5975">
        <v>-244.8485</v>
      </c>
      <c r="H5975" s="1">
        <v>-1.2388539999999999E-6</v>
      </c>
      <c r="I5975">
        <v>-59.415619999999997</v>
      </c>
      <c r="J5975">
        <v>-258.13290000000001</v>
      </c>
      <c r="K5975">
        <v>1.1103419999999999</v>
      </c>
      <c r="L5975">
        <v>-63.50385</v>
      </c>
      <c r="M5975">
        <v>0.99999550000000004</v>
      </c>
      <c r="N5975">
        <v>0</v>
      </c>
      <c r="O5975">
        <v>2.9991499999999999E-3</v>
      </c>
      <c r="P5975">
        <v>0.99275139999999995</v>
      </c>
      <c r="Q5975">
        <v>-2.224924E-2</v>
      </c>
      <c r="R5975">
        <v>0.1181098</v>
      </c>
      <c r="S5975">
        <v>2.912506</v>
      </c>
      <c r="T5975">
        <v>-0.2406991</v>
      </c>
      <c r="U5975">
        <v>0.88650509999999905</v>
      </c>
      <c r="V5975">
        <v>-0.1150351</v>
      </c>
      <c r="W5975">
        <v>-2.2630379999999999E-2</v>
      </c>
      <c r="X5975">
        <v>0.99310359999999998</v>
      </c>
      <c r="Y5975">
        <v>-0.28743089999999999</v>
      </c>
      <c r="Z5975">
        <v>1.135362E-2</v>
      </c>
      <c r="AA5975">
        <v>0.95773410000000003</v>
      </c>
      <c r="AB5975">
        <v>29</v>
      </c>
      <c r="AC5975">
        <v>13.2844</v>
      </c>
      <c r="AD5975">
        <v>-1.110343238854</v>
      </c>
      <c r="AE5975">
        <v>4.0882300000000003</v>
      </c>
      <c r="AF5975">
        <v>-4.0226982917037999</v>
      </c>
      <c r="AG5975">
        <v>-1.110343238854</v>
      </c>
      <c r="AH5975">
        <v>13.2122854167252</v>
      </c>
      <c r="AI5975">
        <v>94.596406611714698</v>
      </c>
      <c r="AJ5975">
        <v>106.93373591903701</v>
      </c>
      <c r="AK5975">
        <v>13.855664891558099</v>
      </c>
      <c r="AL5975">
        <v>91.296735982946899</v>
      </c>
      <c r="AM5975">
        <v>96.607349349822798</v>
      </c>
      <c r="AN5975">
        <v>0.99999998433195703</v>
      </c>
    </row>
    <row r="5976" spans="1:40" x14ac:dyDescent="0.3">
      <c r="A5976" t="str">
        <f>"20200111160622322"</f>
        <v>20200111160622322</v>
      </c>
      <c r="B5976" t="str">
        <f>"1578729982318065"</f>
        <v>1578729982318065</v>
      </c>
      <c r="C5976" t="s">
        <v>40</v>
      </c>
      <c r="D5976">
        <v>5.4280980000000003</v>
      </c>
      <c r="E5976">
        <v>0.43375970000000003</v>
      </c>
      <c r="F5976" t="s">
        <v>94</v>
      </c>
      <c r="G5976">
        <v>-244.92160000000001</v>
      </c>
      <c r="H5976" s="1">
        <v>-1.263214E-6</v>
      </c>
      <c r="I5976">
        <v>-59.455010000000001</v>
      </c>
      <c r="J5976">
        <v>-257.98039999999997</v>
      </c>
      <c r="K5976">
        <v>1.1103160000000001</v>
      </c>
      <c r="L5976">
        <v>-63.50244</v>
      </c>
      <c r="M5976">
        <v>0.99999150000000003</v>
      </c>
      <c r="N5976">
        <v>0</v>
      </c>
      <c r="O5976">
        <v>4.1482050000000003E-3</v>
      </c>
      <c r="P5976">
        <v>0.99245899999999998</v>
      </c>
      <c r="Q5976">
        <v>-2.304753E-2</v>
      </c>
      <c r="R5976">
        <v>0.12039130000000001</v>
      </c>
      <c r="S5976">
        <v>2.910339</v>
      </c>
      <c r="T5976">
        <v>-0.24459829999999999</v>
      </c>
      <c r="U5976">
        <v>0.89190669999999905</v>
      </c>
      <c r="V5976">
        <v>-0.11617470000000001</v>
      </c>
      <c r="W5976">
        <v>-2.340337E-2</v>
      </c>
      <c r="X5976">
        <v>0.99295299999999997</v>
      </c>
      <c r="Y5976">
        <v>-0.28812690000000002</v>
      </c>
      <c r="Z5976">
        <v>1.1476409999999999E-2</v>
      </c>
      <c r="AA5976">
        <v>0.95752349999999997</v>
      </c>
      <c r="AB5976">
        <v>30</v>
      </c>
      <c r="AC5976">
        <v>13.0587999999999</v>
      </c>
      <c r="AD5976">
        <v>-1.1103172632139999</v>
      </c>
      <c r="AE5976">
        <v>4.0474300000000003</v>
      </c>
      <c r="AF5976">
        <v>-3.96705957505994</v>
      </c>
      <c r="AG5976">
        <v>-1.1103172632139999</v>
      </c>
      <c r="AH5976">
        <v>12.989802035189699</v>
      </c>
      <c r="AI5976">
        <v>94.673467564749004</v>
      </c>
      <c r="AJ5976">
        <v>106.98256656658199</v>
      </c>
      <c r="AK5976">
        <v>13.627374032090099</v>
      </c>
      <c r="AL5976">
        <v>91.341036805659598</v>
      </c>
      <c r="AM5976">
        <v>96.673220857802903</v>
      </c>
      <c r="AN5976">
        <v>0.999999969428222</v>
      </c>
    </row>
    <row r="5977" spans="1:40" x14ac:dyDescent="0.3">
      <c r="A5977" t="str">
        <f>"20200111160622334"</f>
        <v>20200111160622334</v>
      </c>
      <c r="B5977" t="str">
        <f>"1578729982327825"</f>
        <v>1578729982327825</v>
      </c>
      <c r="C5977" t="s">
        <v>40</v>
      </c>
      <c r="D5977">
        <v>4.9625389999999996</v>
      </c>
      <c r="E5977">
        <v>0.43282150000000003</v>
      </c>
      <c r="F5977" t="s">
        <v>94</v>
      </c>
      <c r="G5977">
        <v>-244.98009999999999</v>
      </c>
      <c r="H5977" s="1">
        <v>-1.282707E-6</v>
      </c>
      <c r="I5977">
        <v>-59.486809999999998</v>
      </c>
      <c r="J5977">
        <v>-257.83049999999997</v>
      </c>
      <c r="K5977">
        <v>1.1102799999999999</v>
      </c>
      <c r="L5977">
        <v>-63.500790000000002</v>
      </c>
      <c r="M5977">
        <v>0.99998640000000005</v>
      </c>
      <c r="N5977">
        <v>0</v>
      </c>
      <c r="O5977">
        <v>5.220283E-3</v>
      </c>
      <c r="P5977">
        <v>0.99216369999999998</v>
      </c>
      <c r="Q5977">
        <v>-2.385381E-2</v>
      </c>
      <c r="R5977">
        <v>0.1226479</v>
      </c>
      <c r="S5977">
        <v>2.9080659999999998</v>
      </c>
      <c r="T5977">
        <v>-0.24837029999999999</v>
      </c>
      <c r="U5977">
        <v>0.89825440000000001</v>
      </c>
      <c r="V5977">
        <v>-0.1173671</v>
      </c>
      <c r="W5977">
        <v>-2.4181339999999999E-2</v>
      </c>
      <c r="X5977">
        <v>0.99279419999999996</v>
      </c>
      <c r="Y5977">
        <v>-0.28919030000000001</v>
      </c>
      <c r="Z5977">
        <v>1.1612849999999999E-2</v>
      </c>
      <c r="AA5977">
        <v>0.95720119999999997</v>
      </c>
      <c r="AB5977">
        <v>30</v>
      </c>
      <c r="AC5977">
        <v>12.850399999999899</v>
      </c>
      <c r="AD5977">
        <v>-1.1102812827070001</v>
      </c>
      <c r="AE5977">
        <v>4.0139800000000001</v>
      </c>
      <c r="AF5977">
        <v>-3.9201797424045099</v>
      </c>
      <c r="AG5977">
        <v>-1.1102812827070001</v>
      </c>
      <c r="AH5977">
        <v>12.7842279406257</v>
      </c>
      <c r="AI5977">
        <v>94.746479412262303</v>
      </c>
      <c r="AJ5977">
        <v>107.047733084558</v>
      </c>
      <c r="AK5977">
        <v>13.4177873651866</v>
      </c>
      <c r="AL5977">
        <v>91.385623717819101</v>
      </c>
      <c r="AM5977">
        <v>96.742154969268299</v>
      </c>
      <c r="AN5977">
        <v>1.0000000484601199</v>
      </c>
    </row>
    <row r="5978" spans="1:40" x14ac:dyDescent="0.3">
      <c r="A5978" t="str">
        <f>"20200111160622345"</f>
        <v>20200111160622345</v>
      </c>
      <c r="B5978" t="str">
        <f>"1578729982338561"</f>
        <v>1578729982338561</v>
      </c>
      <c r="C5978" t="s">
        <v>40</v>
      </c>
      <c r="D5978">
        <v>4.9057890000000004</v>
      </c>
      <c r="E5978">
        <v>0.431809</v>
      </c>
      <c r="F5978" t="s">
        <v>94</v>
      </c>
      <c r="G5978">
        <v>-244.73159999999999</v>
      </c>
      <c r="H5978" s="1">
        <v>-1.193598E-6</v>
      </c>
      <c r="I5978">
        <v>-59.388129999999997</v>
      </c>
      <c r="J5978">
        <v>-257.68830000000003</v>
      </c>
      <c r="K5978">
        <v>1.110247</v>
      </c>
      <c r="L5978">
        <v>-63.499180000000003</v>
      </c>
      <c r="M5978">
        <v>0.9999806</v>
      </c>
      <c r="N5978">
        <v>0</v>
      </c>
      <c r="O5978">
        <v>6.2266079999999998E-3</v>
      </c>
      <c r="P5978">
        <v>0.99188100000000001</v>
      </c>
      <c r="Q5978">
        <v>-2.4859249999999999E-2</v>
      </c>
      <c r="R5978">
        <v>0.12471649999999999</v>
      </c>
      <c r="S5978">
        <v>2.9050289999999999</v>
      </c>
      <c r="T5978">
        <v>-0.24623439999999999</v>
      </c>
      <c r="U5978">
        <v>0.91207890000000003</v>
      </c>
      <c r="V5978">
        <v>-0.1184359</v>
      </c>
      <c r="W5978">
        <v>-2.5158799999999999E-2</v>
      </c>
      <c r="X5978">
        <v>0.99264289999999999</v>
      </c>
      <c r="Y5978">
        <v>-0.29266740000000002</v>
      </c>
      <c r="Z5978">
        <v>1.157739E-2</v>
      </c>
      <c r="AA5978">
        <v>0.9561442</v>
      </c>
      <c r="AB5978">
        <v>30</v>
      </c>
      <c r="AC5978">
        <v>12.9567</v>
      </c>
      <c r="AD5978">
        <v>-1.110248193598</v>
      </c>
      <c r="AE5978">
        <v>4.1110499999999899</v>
      </c>
      <c r="AF5978">
        <v>-4.0035859823323099</v>
      </c>
      <c r="AG5978">
        <v>-1.110248193598</v>
      </c>
      <c r="AH5978">
        <v>12.8960170481931</v>
      </c>
      <c r="AI5978">
        <v>94.700355924411895</v>
      </c>
      <c r="AJ5978">
        <v>107.247026651583</v>
      </c>
      <c r="AK5978">
        <v>13.5487492956583</v>
      </c>
      <c r="AL5978">
        <v>91.441645202876401</v>
      </c>
      <c r="AM5978">
        <v>96.804006538372093</v>
      </c>
      <c r="AN5978">
        <v>0.99999997727332901</v>
      </c>
    </row>
    <row r="5979" spans="1:40" x14ac:dyDescent="0.3">
      <c r="A5979" t="str">
        <f>"20200111160622591"</f>
        <v>20200111160622591</v>
      </c>
      <c r="B5979" t="str">
        <f>"1578729982587950"</f>
        <v>1578729982587950</v>
      </c>
      <c r="C5979" t="s">
        <v>40</v>
      </c>
      <c r="D5979">
        <v>5.1605740000000004</v>
      </c>
      <c r="E5979">
        <v>0.42011019999999999</v>
      </c>
      <c r="F5979" t="s">
        <v>94</v>
      </c>
      <c r="G5979">
        <v>-244.52170000000001</v>
      </c>
      <c r="H5979" s="1">
        <v>-1.1195E-6</v>
      </c>
      <c r="I5979">
        <v>-59.298090000000002</v>
      </c>
      <c r="J5979">
        <v>-254.27160000000001</v>
      </c>
      <c r="K5979">
        <v>1.109728</v>
      </c>
      <c r="L5979">
        <v>-63.433230000000002</v>
      </c>
      <c r="M5979">
        <v>0.9997393</v>
      </c>
      <c r="N5979">
        <v>0</v>
      </c>
      <c r="O5979">
        <v>2.2806509999999999E-2</v>
      </c>
      <c r="P5979">
        <v>0.9897338</v>
      </c>
      <c r="Q5979">
        <v>-2.5076040000000001E-2</v>
      </c>
      <c r="R5979">
        <v>0.1407062</v>
      </c>
      <c r="S5979">
        <v>2.9020079999999999</v>
      </c>
      <c r="T5979">
        <v>-0.24470610000000001</v>
      </c>
      <c r="U5979">
        <v>0.92593380000000003</v>
      </c>
      <c r="V5979">
        <v>-0.11803520000000001</v>
      </c>
      <c r="W5979">
        <v>-2.4271439999999998E-2</v>
      </c>
      <c r="X5979">
        <v>0.9927127</v>
      </c>
      <c r="Y5979">
        <v>-0.2813312</v>
      </c>
      <c r="Z5979">
        <v>9.6832159999999997E-3</v>
      </c>
      <c r="AA5979">
        <v>0.95956189999999997</v>
      </c>
      <c r="AB5979">
        <v>32</v>
      </c>
      <c r="AC5979">
        <v>9.7498999999999896</v>
      </c>
      <c r="AD5979">
        <v>-1.1097291195000001</v>
      </c>
      <c r="AE5979">
        <v>4.1351399999999998</v>
      </c>
      <c r="AF5979">
        <v>-3.86921968088352</v>
      </c>
      <c r="AG5979">
        <v>-1.1097291195000001</v>
      </c>
      <c r="AH5979">
        <v>9.7347857516879301</v>
      </c>
      <c r="AI5979">
        <v>96.047090894397201</v>
      </c>
      <c r="AJ5979">
        <v>111.67600301269501</v>
      </c>
      <c r="AK5979">
        <v>10.5341546072226</v>
      </c>
      <c r="AL5979">
        <v>91.390787708759106</v>
      </c>
      <c r="AM5979">
        <v>96.780729147245097</v>
      </c>
      <c r="AN5979">
        <v>0.99999995799000096</v>
      </c>
    </row>
    <row r="5980" spans="1:40" x14ac:dyDescent="0.3">
      <c r="A5980" t="str">
        <f>"20200111160622646"</f>
        <v>20200111160622646</v>
      </c>
      <c r="B5980" t="str">
        <f>"1578729982638702"</f>
        <v>1578729982638702</v>
      </c>
      <c r="C5980" t="s">
        <v>40</v>
      </c>
      <c r="D5980">
        <v>5.0547250000000004</v>
      </c>
      <c r="E5980">
        <v>0.40893279999999999</v>
      </c>
      <c r="F5980" t="s">
        <v>52</v>
      </c>
      <c r="G5980">
        <v>-142.2218</v>
      </c>
      <c r="H5980">
        <v>1.435608</v>
      </c>
      <c r="I5980">
        <v>-22.650010000000002</v>
      </c>
      <c r="J5980">
        <v>-253.4633</v>
      </c>
      <c r="K5980">
        <v>1.1098250000000001</v>
      </c>
      <c r="L5980">
        <v>-63.411290000000001</v>
      </c>
      <c r="M5980">
        <v>0.99966449999999996</v>
      </c>
      <c r="N5980">
        <v>0</v>
      </c>
      <c r="O5980">
        <v>2.5842569999999999E-2</v>
      </c>
      <c r="P5980">
        <v>0.98878659999999996</v>
      </c>
      <c r="Q5980">
        <v>-2.88998E-2</v>
      </c>
      <c r="R5980">
        <v>0.1465128</v>
      </c>
      <c r="S5980">
        <v>2.8821870000000001</v>
      </c>
      <c r="T5980">
        <v>8.3822010000000006E-3</v>
      </c>
      <c r="U5980">
        <v>1.049042</v>
      </c>
      <c r="V5980">
        <v>-0.1208403</v>
      </c>
      <c r="W5980">
        <v>-2.7471180000000001E-2</v>
      </c>
      <c r="X5980">
        <v>0.9922917</v>
      </c>
      <c r="Y5980">
        <v>-0.31762410000000002</v>
      </c>
      <c r="Z5980">
        <v>-3.7477659999999999E-4</v>
      </c>
      <c r="AA5980">
        <v>0.94821670000000002</v>
      </c>
      <c r="AB5980">
        <v>32</v>
      </c>
      <c r="AC5980">
        <v>111.2415</v>
      </c>
      <c r="AD5980">
        <v>0.32578299999999899</v>
      </c>
      <c r="AE5980">
        <v>40.761279999999999</v>
      </c>
      <c r="AF5980">
        <v>-37.872609703222103</v>
      </c>
      <c r="AG5980">
        <v>0.32578299999999899</v>
      </c>
      <c r="AH5980">
        <v>112.256877014449</v>
      </c>
      <c r="AI5980">
        <v>89.842446088748801</v>
      </c>
      <c r="AJ5980">
        <v>108.643084082543</v>
      </c>
      <c r="AK5980">
        <v>118.47382469276801</v>
      </c>
      <c r="AL5980">
        <v>91.574180820166205</v>
      </c>
      <c r="AM5980">
        <v>96.943234930891904</v>
      </c>
      <c r="AN5980">
        <v>0.99999993086178296</v>
      </c>
    </row>
    <row r="5981" spans="1:40" x14ac:dyDescent="0.3">
      <c r="A5981" t="str">
        <f>"20200111160622657"</f>
        <v>20200111160622657</v>
      </c>
      <c r="B5981" t="str">
        <f>"1578729982648461"</f>
        <v>1578729982648461</v>
      </c>
      <c r="C5981" t="s">
        <v>40</v>
      </c>
      <c r="D5981">
        <v>5.0342969999999996</v>
      </c>
      <c r="E5981">
        <v>0.40280660000000001</v>
      </c>
      <c r="F5981" t="s">
        <v>44</v>
      </c>
      <c r="G5981">
        <v>-158.8409</v>
      </c>
      <c r="H5981">
        <v>-0.05</v>
      </c>
      <c r="I5981">
        <v>-25.174029999999998</v>
      </c>
      <c r="J5981">
        <v>-253.30439999999999</v>
      </c>
      <c r="K5981">
        <v>1.109882</v>
      </c>
      <c r="L5981">
        <v>-63.406649999999999</v>
      </c>
      <c r="M5981">
        <v>0.9996486</v>
      </c>
      <c r="N5981">
        <v>0</v>
      </c>
      <c r="O5981">
        <v>2.6433100000000001E-2</v>
      </c>
      <c r="P5981">
        <v>0.98860269999999995</v>
      </c>
      <c r="Q5981">
        <v>-2.9753519999999999E-2</v>
      </c>
      <c r="R5981">
        <v>0.1475793</v>
      </c>
      <c r="S5981">
        <v>2.8616489999999999</v>
      </c>
      <c r="T5981">
        <v>-3.5076379999999997E-2</v>
      </c>
      <c r="U5981">
        <v>1.1564030000000001</v>
      </c>
      <c r="V5981">
        <v>-0.12132320000000001</v>
      </c>
      <c r="W5981">
        <v>-2.8074109999999999E-2</v>
      </c>
      <c r="X5981">
        <v>0.99221599999999999</v>
      </c>
      <c r="Y5981">
        <v>-0.35000890000000001</v>
      </c>
      <c r="Z5981">
        <v>1.7526340000000001E-3</v>
      </c>
      <c r="AA5981">
        <v>0.93674469999999999</v>
      </c>
      <c r="AB5981">
        <v>32</v>
      </c>
      <c r="AC5981">
        <v>94.463499999999897</v>
      </c>
      <c r="AD5981">
        <v>-1.1598820000000001</v>
      </c>
      <c r="AE5981">
        <v>38.232619999999997</v>
      </c>
      <c r="AF5981">
        <v>-35.7176657723993</v>
      </c>
      <c r="AG5981">
        <v>-1.1598820000000001</v>
      </c>
      <c r="AH5981">
        <v>95.428739310149695</v>
      </c>
      <c r="AI5981">
        <v>90.652182123578498</v>
      </c>
      <c r="AJ5981">
        <v>110.520184196884</v>
      </c>
      <c r="AK5981">
        <v>101.90064406473201</v>
      </c>
      <c r="AL5981">
        <v>91.608739334204103</v>
      </c>
      <c r="AM5981">
        <v>96.971235510131095</v>
      </c>
      <c r="AN5981">
        <v>1.0000000325832601</v>
      </c>
    </row>
    <row r="5982" spans="1:40" x14ac:dyDescent="0.3">
      <c r="A5982" t="str">
        <f>"20200111160622669"</f>
        <v>20200111160622669</v>
      </c>
      <c r="B5982" t="str">
        <f>"1578729982658222"</f>
        <v>1578729982658222</v>
      </c>
      <c r="C5982" t="s">
        <v>40</v>
      </c>
      <c r="D5982">
        <v>4.9639949999999997</v>
      </c>
      <c r="E5982">
        <v>0.39939059999999998</v>
      </c>
      <c r="F5982" t="s">
        <v>44</v>
      </c>
      <c r="G5982">
        <v>-200.93459999999999</v>
      </c>
      <c r="H5982">
        <v>-0.05</v>
      </c>
      <c r="I5982">
        <v>-41.199449999999999</v>
      </c>
      <c r="J5982">
        <v>-253.14019999999999</v>
      </c>
      <c r="K5982">
        <v>1.109953</v>
      </c>
      <c r="L5982">
        <v>-63.401760000000003</v>
      </c>
      <c r="M5982">
        <v>0.99963179999999996</v>
      </c>
      <c r="N5982">
        <v>0</v>
      </c>
      <c r="O5982">
        <v>2.7042380000000001E-2</v>
      </c>
      <c r="P5982">
        <v>0.98845859999999997</v>
      </c>
      <c r="Q5982">
        <v>-3.028169E-2</v>
      </c>
      <c r="R5982">
        <v>0.14843410000000001</v>
      </c>
      <c r="S5982">
        <v>2.8521420000000002</v>
      </c>
      <c r="T5982">
        <v>-6.3169119999999995E-2</v>
      </c>
      <c r="U5982">
        <v>1.2094419999999999</v>
      </c>
      <c r="V5982">
        <v>-0.12157560000000001</v>
      </c>
      <c r="W5982">
        <v>-2.8291719999999999E-2</v>
      </c>
      <c r="X5982">
        <v>0.99217889999999997</v>
      </c>
      <c r="Y5982">
        <v>-0.3652879</v>
      </c>
      <c r="Z5982">
        <v>3.3043510000000001E-3</v>
      </c>
      <c r="AA5982">
        <v>0.93088870000000001</v>
      </c>
      <c r="AB5982">
        <v>32</v>
      </c>
      <c r="AC5982">
        <v>52.205599999999997</v>
      </c>
      <c r="AD5982">
        <v>-1.159953</v>
      </c>
      <c r="AE5982">
        <v>22.202310000000001</v>
      </c>
      <c r="AF5982">
        <v>-20.773738322831299</v>
      </c>
      <c r="AG5982">
        <v>-1.159953</v>
      </c>
      <c r="AH5982">
        <v>52.764853277910497</v>
      </c>
      <c r="AI5982">
        <v>91.171834258435695</v>
      </c>
      <c r="AJ5982">
        <v>111.489762421789</v>
      </c>
      <c r="AK5982">
        <v>56.7188102511601</v>
      </c>
      <c r="AL5982">
        <v>91.621212461543706</v>
      </c>
      <c r="AM5982">
        <v>96.985853901192499</v>
      </c>
      <c r="AN5982">
        <v>1.0000000087705601</v>
      </c>
    </row>
    <row r="5983" spans="1:40" x14ac:dyDescent="0.3">
      <c r="A5983" t="str">
        <f>"20200111160622680"</f>
        <v>20200111160622680</v>
      </c>
      <c r="B5983" t="str">
        <f>"1578729982667982"</f>
        <v>1578729982667982</v>
      </c>
      <c r="C5983" t="s">
        <v>40</v>
      </c>
      <c r="D5983">
        <v>5.0033050000000001</v>
      </c>
      <c r="E5983">
        <v>0.3971787</v>
      </c>
      <c r="F5983" t="s">
        <v>97</v>
      </c>
      <c r="G5983">
        <v>-218.93690000000001</v>
      </c>
      <c r="H5983">
        <v>7.9987610000000001E-2</v>
      </c>
      <c r="I5983">
        <v>-48.498640000000002</v>
      </c>
      <c r="J5983">
        <v>-252.97819999999999</v>
      </c>
      <c r="K5983">
        <v>1.1100369999999999</v>
      </c>
      <c r="L5983">
        <v>-63.396850000000001</v>
      </c>
      <c r="M5983">
        <v>0.99961420000000001</v>
      </c>
      <c r="N5983">
        <v>0</v>
      </c>
      <c r="O5983">
        <v>2.7643259999999999E-2</v>
      </c>
      <c r="P5983">
        <v>0.98830150000000005</v>
      </c>
      <c r="Q5983">
        <v>-3.1011270000000001E-2</v>
      </c>
      <c r="R5983">
        <v>0.14932619999999999</v>
      </c>
      <c r="S5983">
        <v>2.8461910000000001</v>
      </c>
      <c r="T5983">
        <v>-8.5707549999999993E-2</v>
      </c>
      <c r="U5983">
        <v>1.240143</v>
      </c>
      <c r="V5983">
        <v>-0.1218738</v>
      </c>
      <c r="W5983">
        <v>-2.8662710000000001E-2</v>
      </c>
      <c r="X5983">
        <v>0.99213169999999995</v>
      </c>
      <c r="Y5983">
        <v>-0.3738225</v>
      </c>
      <c r="Z5983">
        <v>4.5880599999999997E-3</v>
      </c>
      <c r="AA5983">
        <v>0.92748889999999995</v>
      </c>
      <c r="AB5983">
        <v>33</v>
      </c>
      <c r="AC5983">
        <v>34.0412999999999</v>
      </c>
      <c r="AD5983">
        <v>-1.0300493900000001</v>
      </c>
      <c r="AE5983">
        <v>14.898210000000001</v>
      </c>
      <c r="AF5983">
        <v>-13.9407883869261</v>
      </c>
      <c r="AG5983">
        <v>-1.0300493900000001</v>
      </c>
      <c r="AH5983">
        <v>34.413683701668297</v>
      </c>
      <c r="AI5983">
        <v>91.589068927949299</v>
      </c>
      <c r="AJ5983">
        <v>112.052590784204</v>
      </c>
      <c r="AK5983">
        <v>37.144423652997503</v>
      </c>
      <c r="AL5983">
        <v>91.642477192056504</v>
      </c>
      <c r="AM5983">
        <v>97.003148683945199</v>
      </c>
      <c r="AN5983">
        <v>1.00000004210793</v>
      </c>
    </row>
    <row r="5984" spans="1:40" x14ac:dyDescent="0.3">
      <c r="A5984" t="str">
        <f>"20200111160622692"</f>
        <v>20200111160622692</v>
      </c>
      <c r="B5984" t="str">
        <f>"1578729982688478"</f>
        <v>1578729982688478</v>
      </c>
      <c r="C5984" t="s">
        <v>40</v>
      </c>
      <c r="D5984">
        <v>4.9774129999999897</v>
      </c>
      <c r="E5984">
        <v>0.39429160000000002</v>
      </c>
      <c r="F5984" t="s">
        <v>98</v>
      </c>
      <c r="G5984">
        <v>-223.62530000000001</v>
      </c>
      <c r="H5984">
        <v>6.3239870000000004E-2</v>
      </c>
      <c r="I5984">
        <v>-50.37041</v>
      </c>
      <c r="J5984">
        <v>-252.81129999999999</v>
      </c>
      <c r="K5984">
        <v>1.1101510000000001</v>
      </c>
      <c r="L5984">
        <v>-63.391660000000002</v>
      </c>
      <c r="M5984">
        <v>0.99959589999999998</v>
      </c>
      <c r="N5984">
        <v>0</v>
      </c>
      <c r="O5984">
        <v>2.8250899999999999E-2</v>
      </c>
      <c r="P5984">
        <v>0.98820249999999998</v>
      </c>
      <c r="Q5984">
        <v>-3.1497009999999999E-2</v>
      </c>
      <c r="R5984">
        <v>0.14988019999999999</v>
      </c>
      <c r="S5984">
        <v>2.8417659999999998</v>
      </c>
      <c r="T5984">
        <v>-0.1013445</v>
      </c>
      <c r="U5984">
        <v>1.261139</v>
      </c>
      <c r="V5984">
        <v>-0.1218269</v>
      </c>
      <c r="W5984">
        <v>-2.8659159999999999E-2</v>
      </c>
      <c r="X5984">
        <v>0.99213750000000001</v>
      </c>
      <c r="Y5984">
        <v>-0.37946629999999998</v>
      </c>
      <c r="Z5984">
        <v>5.5002100000000002E-3</v>
      </c>
      <c r="AA5984">
        <v>0.92518920000000004</v>
      </c>
      <c r="AB5984">
        <v>33</v>
      </c>
      <c r="AC5984">
        <v>29.1859999999999</v>
      </c>
      <c r="AD5984">
        <v>-1.04691113</v>
      </c>
      <c r="AE5984">
        <v>13.021249999999901</v>
      </c>
      <c r="AF5984">
        <v>-12.1784493230913</v>
      </c>
      <c r="AG5984">
        <v>-1.04691113</v>
      </c>
      <c r="AH5984">
        <v>29.510547218837999</v>
      </c>
      <c r="AI5984">
        <v>91.878234874769106</v>
      </c>
      <c r="AJ5984">
        <v>112.425021358347</v>
      </c>
      <c r="AK5984">
        <v>31.941869826052599</v>
      </c>
      <c r="AL5984">
        <v>91.642273810545404</v>
      </c>
      <c r="AM5984">
        <v>97.000439929761399</v>
      </c>
      <c r="AN5984">
        <v>0.99999997996088197</v>
      </c>
    </row>
    <row r="5985" spans="1:40" x14ac:dyDescent="0.3">
      <c r="A5985" t="str">
        <f>"20200111160622703"</f>
        <v>20200111160622703</v>
      </c>
      <c r="B5985" t="str">
        <f>"1578729982698237"</f>
        <v>1578729982698237</v>
      </c>
      <c r="C5985" t="s">
        <v>40</v>
      </c>
      <c r="D5985">
        <v>5.0018359999999999</v>
      </c>
      <c r="E5985">
        <v>0.39338469999999998</v>
      </c>
      <c r="F5985" t="s">
        <v>98</v>
      </c>
      <c r="G5985">
        <v>-225.5154</v>
      </c>
      <c r="H5985" s="1">
        <v>-3.9004400000000002E-6</v>
      </c>
      <c r="I5985">
        <v>-51.01679</v>
      </c>
      <c r="J5985">
        <v>-252.6455</v>
      </c>
      <c r="K5985">
        <v>1.1102669999999999</v>
      </c>
      <c r="L5985">
        <v>-63.386409999999998</v>
      </c>
      <c r="M5985">
        <v>0.99957680000000004</v>
      </c>
      <c r="N5985">
        <v>0</v>
      </c>
      <c r="O5985">
        <v>2.8850460000000001E-2</v>
      </c>
      <c r="P5985">
        <v>0.98811009999999999</v>
      </c>
      <c r="Q5985">
        <v>-3.1850049999999998E-2</v>
      </c>
      <c r="R5985">
        <v>0.150413299999999</v>
      </c>
      <c r="S5985">
        <v>2.837097</v>
      </c>
      <c r="T5985">
        <v>-0.1153878</v>
      </c>
      <c r="U5985">
        <v>1.286224</v>
      </c>
      <c r="V5985">
        <v>-0.1217675</v>
      </c>
      <c r="W5985">
        <v>-2.847794E-2</v>
      </c>
      <c r="X5985">
        <v>0.99214999999999998</v>
      </c>
      <c r="Y5985">
        <v>-0.38621480000000002</v>
      </c>
      <c r="Z5985">
        <v>6.3681090000000003E-3</v>
      </c>
      <c r="AA5985">
        <v>0.92238690000000001</v>
      </c>
      <c r="AB5985">
        <v>33</v>
      </c>
      <c r="AC5985">
        <v>27.130099999999999</v>
      </c>
      <c r="AD5985">
        <v>-1.11027090044</v>
      </c>
      <c r="AE5985">
        <v>12.3696199999999</v>
      </c>
      <c r="AF5985">
        <v>-11.5657133400265</v>
      </c>
      <c r="AG5985">
        <v>-1.11027090044</v>
      </c>
      <c r="AH5985">
        <v>27.437635011890801</v>
      </c>
      <c r="AI5985">
        <v>92.135448638799602</v>
      </c>
      <c r="AJ5985">
        <v>112.856753292961</v>
      </c>
      <c r="AK5985">
        <v>29.796346111256099</v>
      </c>
      <c r="AL5985">
        <v>91.631886445968306</v>
      </c>
      <c r="AM5985">
        <v>96.996973237772195</v>
      </c>
      <c r="AN5985">
        <v>0.99999996981144601</v>
      </c>
    </row>
    <row r="5986" spans="1:40" x14ac:dyDescent="0.3">
      <c r="A5986" t="str">
        <f>"20200111160622714"</f>
        <v>20200111160622714</v>
      </c>
      <c r="B5986" t="str">
        <f>"1578729982707997"</f>
        <v>1578729982707997</v>
      </c>
      <c r="C5986" t="s">
        <v>40</v>
      </c>
      <c r="D5986">
        <v>4.9888919999999999</v>
      </c>
      <c r="E5986">
        <v>0.39264969999999999</v>
      </c>
      <c r="F5986" t="s">
        <v>98</v>
      </c>
      <c r="G5986">
        <v>-226.5223</v>
      </c>
      <c r="H5986" s="1">
        <v>-4.1082020000000004E-6</v>
      </c>
      <c r="I5986">
        <v>-51.452210000000001</v>
      </c>
      <c r="J5986">
        <v>-252.48009999999999</v>
      </c>
      <c r="K5986">
        <v>1.1103670000000001</v>
      </c>
      <c r="L5986">
        <v>-63.381039999999999</v>
      </c>
      <c r="M5986">
        <v>0.99955680000000002</v>
      </c>
      <c r="N5986">
        <v>0</v>
      </c>
      <c r="O5986">
        <v>2.9468350000000001E-2</v>
      </c>
      <c r="P5986">
        <v>0.98804440000000004</v>
      </c>
      <c r="Q5986">
        <v>-3.193E-2</v>
      </c>
      <c r="R5986">
        <v>0.15082719999999999</v>
      </c>
      <c r="S5986">
        <v>2.8350369999999998</v>
      </c>
      <c r="T5986">
        <v>-0.1204928</v>
      </c>
      <c r="U5986">
        <v>1.295166</v>
      </c>
      <c r="V5986">
        <v>-0.12157080000000001</v>
      </c>
      <c r="W5986">
        <v>-2.8026909999999999E-2</v>
      </c>
      <c r="X5986">
        <v>0.99218700000000004</v>
      </c>
      <c r="Y5986">
        <v>-0.38828240000000003</v>
      </c>
      <c r="Z5986">
        <v>6.6668219999999898E-3</v>
      </c>
      <c r="AA5986">
        <v>0.92151640000000001</v>
      </c>
      <c r="AB5986">
        <v>33</v>
      </c>
      <c r="AC5986">
        <v>25.957799999999899</v>
      </c>
      <c r="AD5986">
        <v>-1.110371108202</v>
      </c>
      <c r="AE5986">
        <v>11.92883</v>
      </c>
      <c r="AF5986">
        <v>-11.14187651852</v>
      </c>
      <c r="AG5986">
        <v>-1.110371108202</v>
      </c>
      <c r="AH5986">
        <v>26.258383086522201</v>
      </c>
      <c r="AI5986">
        <v>92.229227167409306</v>
      </c>
      <c r="AJ5986">
        <v>112.992334481942</v>
      </c>
      <c r="AK5986">
        <v>28.546050841936701</v>
      </c>
      <c r="AL5986">
        <v>91.606033953191599</v>
      </c>
      <c r="AM5986">
        <v>96.985524348361594</v>
      </c>
      <c r="AN5986">
        <v>1.0000000050328901</v>
      </c>
    </row>
    <row r="5987" spans="1:40" x14ac:dyDescent="0.3">
      <c r="A5987" t="str">
        <f>"20200111160622726"</f>
        <v>20200111160622726</v>
      </c>
      <c r="B5987" t="str">
        <f>"1578729982718734"</f>
        <v>1578729982718734</v>
      </c>
      <c r="C5987" t="s">
        <v>40</v>
      </c>
      <c r="D5987">
        <v>5.0148289999999998</v>
      </c>
      <c r="E5987">
        <v>0.392121</v>
      </c>
      <c r="F5987" t="s">
        <v>98</v>
      </c>
      <c r="G5987">
        <v>-227.0573</v>
      </c>
      <c r="H5987" s="1">
        <v>-4.2150670000000002E-6</v>
      </c>
      <c r="I5987">
        <v>-51.694960000000002</v>
      </c>
      <c r="J5987">
        <v>-252.31729999999999</v>
      </c>
      <c r="K5987">
        <v>1.1104590000000001</v>
      </c>
      <c r="L5987">
        <v>-63.3756699999999</v>
      </c>
      <c r="M5987">
        <v>0.99953610000000004</v>
      </c>
      <c r="N5987">
        <v>0</v>
      </c>
      <c r="O5987">
        <v>3.0080639999999999E-2</v>
      </c>
      <c r="P5987">
        <v>0.98802049999999997</v>
      </c>
      <c r="Q5987">
        <v>-3.163651E-2</v>
      </c>
      <c r="R5987">
        <v>0.1510454</v>
      </c>
      <c r="S5987">
        <v>2.833466</v>
      </c>
      <c r="T5987">
        <v>-0.1237552</v>
      </c>
      <c r="U5987">
        <v>1.30246</v>
      </c>
      <c r="V5987">
        <v>-0.1211841</v>
      </c>
      <c r="W5987">
        <v>-2.7226070000000002E-2</v>
      </c>
      <c r="X5987">
        <v>0.99225660000000004</v>
      </c>
      <c r="Y5987">
        <v>-0.38985530000000002</v>
      </c>
      <c r="Z5987">
        <v>6.8544799999999996E-3</v>
      </c>
      <c r="AA5987">
        <v>0.92085059999999996</v>
      </c>
      <c r="AB5987">
        <v>32</v>
      </c>
      <c r="AC5987">
        <v>25.259999999999899</v>
      </c>
      <c r="AD5987">
        <v>-1.110463215067</v>
      </c>
      <c r="AE5987">
        <v>11.6807099999999</v>
      </c>
      <c r="AF5987">
        <v>-10.8982268802345</v>
      </c>
      <c r="AG5987">
        <v>-1.110463215067</v>
      </c>
      <c r="AH5987">
        <v>25.5592421122975</v>
      </c>
      <c r="AI5987">
        <v>92.288622171516096</v>
      </c>
      <c r="AJ5987">
        <v>113.092956037403</v>
      </c>
      <c r="AK5987">
        <v>27.807900586706001</v>
      </c>
      <c r="AL5987">
        <v>91.560131683727604</v>
      </c>
      <c r="AM5987">
        <v>96.963039213872094</v>
      </c>
      <c r="AN5987">
        <v>1.0000000026119999</v>
      </c>
    </row>
    <row r="5988" spans="1:40" x14ac:dyDescent="0.3">
      <c r="A5988" t="str">
        <f>"20200111160622735"</f>
        <v>20200111160622735</v>
      </c>
      <c r="B5988" t="str">
        <f>"1578729982728494"</f>
        <v>1578729982728494</v>
      </c>
      <c r="C5988" t="s">
        <v>40</v>
      </c>
      <c r="D5988">
        <v>5.0383239999999896</v>
      </c>
      <c r="E5988">
        <v>0.391708</v>
      </c>
      <c r="F5988" t="s">
        <v>42</v>
      </c>
      <c r="G5988">
        <v>-251.3306</v>
      </c>
      <c r="H5988">
        <v>1.0657190000000001</v>
      </c>
      <c r="I5988">
        <v>-62.920409999999997</v>
      </c>
      <c r="J5988">
        <v>-252.1712</v>
      </c>
      <c r="K5988">
        <v>1.1105240000000001</v>
      </c>
      <c r="L5988">
        <v>-63.370759999999997</v>
      </c>
      <c r="M5988">
        <v>0.99951710000000005</v>
      </c>
      <c r="N5988">
        <v>0</v>
      </c>
      <c r="O5988">
        <v>3.0641560000000002E-2</v>
      </c>
      <c r="P5988">
        <v>0.98806499999999997</v>
      </c>
      <c r="Q5988">
        <v>-3.095154E-2</v>
      </c>
      <c r="R5988">
        <v>0.15089659999999999</v>
      </c>
      <c r="S5988">
        <v>2.8323520000000002</v>
      </c>
      <c r="T5988">
        <v>-0.1284458</v>
      </c>
      <c r="U5988">
        <v>1.3075559999999999</v>
      </c>
      <c r="V5988">
        <v>-0.1204807</v>
      </c>
      <c r="W5988">
        <v>-2.6138160000000001E-2</v>
      </c>
      <c r="X5988">
        <v>0.99237149999999996</v>
      </c>
      <c r="Y5988">
        <v>-0.39082050000000002</v>
      </c>
      <c r="Z5988">
        <v>7.1107599999999998E-3</v>
      </c>
      <c r="AA5988">
        <v>0.92043940000000002</v>
      </c>
      <c r="AB5988">
        <v>32</v>
      </c>
      <c r="AC5988">
        <v>0.84059999999999402</v>
      </c>
      <c r="AD5988">
        <v>-4.48049999999999E-2</v>
      </c>
      <c r="AE5988">
        <v>0.45034999999999997</v>
      </c>
      <c r="AF5988">
        <v>-0.42344616057103301</v>
      </c>
      <c r="AG5988">
        <v>-4.48049999999999E-2</v>
      </c>
      <c r="AH5988">
        <v>0.85212388224422397</v>
      </c>
      <c r="AI5988">
        <v>92.695895087422002</v>
      </c>
      <c r="AJ5988">
        <v>116.424172940864</v>
      </c>
      <c r="AK5988">
        <v>0.95259080911917204</v>
      </c>
      <c r="AL5988">
        <v>91.497776835596099</v>
      </c>
      <c r="AM5988">
        <v>96.9222225721266</v>
      </c>
      <c r="AN5988">
        <v>0.99999999824646202</v>
      </c>
    </row>
    <row r="5989" spans="1:40" x14ac:dyDescent="0.3">
      <c r="A5989" t="str">
        <f>"20200111160622748"</f>
        <v>20200111160622748</v>
      </c>
      <c r="B5989" t="str">
        <f>"1578729982738255"</f>
        <v>1578729982738255</v>
      </c>
      <c r="C5989" t="s">
        <v>40</v>
      </c>
      <c r="D5989">
        <v>5.0514099999999997</v>
      </c>
      <c r="E5989">
        <v>0.39132099999999997</v>
      </c>
      <c r="F5989" t="s">
        <v>98</v>
      </c>
      <c r="G5989">
        <v>-228.03489999999999</v>
      </c>
      <c r="H5989" s="1">
        <v>-4.3912910000000002E-6</v>
      </c>
      <c r="I5989">
        <v>-52.2</v>
      </c>
      <c r="J5989">
        <v>-252.0025</v>
      </c>
      <c r="K5989">
        <v>1.1105879999999999</v>
      </c>
      <c r="L5989">
        <v>-63.364989999999999</v>
      </c>
      <c r="M5989">
        <v>0.99949469999999996</v>
      </c>
      <c r="N5989">
        <v>0</v>
      </c>
      <c r="O5989">
        <v>3.1287629999999997E-2</v>
      </c>
      <c r="P5989">
        <v>0.98803879999999999</v>
      </c>
      <c r="Q5989">
        <v>-3.0601659999999999E-2</v>
      </c>
      <c r="R5989">
        <v>0.151138299999999</v>
      </c>
      <c r="S5989">
        <v>2.831985</v>
      </c>
      <c r="T5989">
        <v>-0.13030169999999999</v>
      </c>
      <c r="U5989">
        <v>1.3106990000000001</v>
      </c>
      <c r="V5989">
        <v>-0.1200833</v>
      </c>
      <c r="W5989">
        <v>-2.5344209999999999E-2</v>
      </c>
      <c r="X5989">
        <v>0.99244030000000005</v>
      </c>
      <c r="Y5989">
        <v>-0.39110420000000001</v>
      </c>
      <c r="Z5989">
        <v>7.1907029999999997E-3</v>
      </c>
      <c r="AA5989">
        <v>0.92031830000000003</v>
      </c>
      <c r="AB5989">
        <v>32</v>
      </c>
      <c r="AC5989">
        <v>23.967600000000001</v>
      </c>
      <c r="AD5989">
        <v>-1.1105923912909901</v>
      </c>
      <c r="AE5989">
        <v>11.1649899999999</v>
      </c>
      <c r="AF5989">
        <v>-10.3912893345945</v>
      </c>
      <c r="AG5989">
        <v>-1.1105923912909901</v>
      </c>
      <c r="AH5989">
        <v>24.262391462203698</v>
      </c>
      <c r="AI5989">
        <v>92.409440583147401</v>
      </c>
      <c r="AJ5989">
        <v>113.18486617837</v>
      </c>
      <c r="AK5989">
        <v>26.4173418223724</v>
      </c>
      <c r="AL5989">
        <v>91.452271713192602</v>
      </c>
      <c r="AM5989">
        <v>96.899136696109494</v>
      </c>
      <c r="AN5989">
        <v>1.00000003849175</v>
      </c>
    </row>
    <row r="5990" spans="1:40" x14ac:dyDescent="0.3">
      <c r="A5990" t="str">
        <f>"20200111160622757"</f>
        <v>20200111160622757</v>
      </c>
      <c r="B5990" t="str">
        <f>"1578729982748013"</f>
        <v>1578729982748013</v>
      </c>
      <c r="C5990" t="s">
        <v>40</v>
      </c>
      <c r="D5990">
        <v>5.0657300000000003</v>
      </c>
      <c r="E5990">
        <v>0.39090510000000001</v>
      </c>
      <c r="F5990" t="s">
        <v>42</v>
      </c>
      <c r="G5990">
        <v>-250.99879999999999</v>
      </c>
      <c r="H5990">
        <v>1.0636060000000001</v>
      </c>
      <c r="I5990">
        <v>-62.898850000000003</v>
      </c>
      <c r="J5990">
        <v>-251.84530000000001</v>
      </c>
      <c r="K5990">
        <v>1.1106370000000001</v>
      </c>
      <c r="L5990">
        <v>-63.359470000000002</v>
      </c>
      <c r="M5990">
        <v>0.99947350000000001</v>
      </c>
      <c r="N5990">
        <v>0</v>
      </c>
      <c r="O5990">
        <v>3.1886619999999997E-2</v>
      </c>
      <c r="P5990">
        <v>0.98807060000000002</v>
      </c>
      <c r="Q5990">
        <v>-3.0385160000000001E-2</v>
      </c>
      <c r="R5990">
        <v>0.150974</v>
      </c>
      <c r="S5990">
        <v>2.8311000000000002</v>
      </c>
      <c r="T5990">
        <v>-0.13251569999999999</v>
      </c>
      <c r="U5990">
        <v>1.3146359999999999</v>
      </c>
      <c r="V5990">
        <v>-0.1193246</v>
      </c>
      <c r="W5990">
        <v>-2.4746669999999998E-2</v>
      </c>
      <c r="X5990">
        <v>0.99254690000000001</v>
      </c>
      <c r="Y5990">
        <v>-0.39170490000000002</v>
      </c>
      <c r="Z5990">
        <v>7.2996210000000001E-3</v>
      </c>
      <c r="AA5990">
        <v>0.92006189999999999</v>
      </c>
      <c r="AB5990">
        <v>32</v>
      </c>
      <c r="AC5990">
        <v>0.84650000000002001</v>
      </c>
      <c r="AD5990">
        <v>-4.7031000000000003E-2</v>
      </c>
      <c r="AE5990">
        <v>0.46061999999999098</v>
      </c>
      <c r="AF5990">
        <v>-0.43236351597390799</v>
      </c>
      <c r="AG5990">
        <v>-4.7031000000000003E-2</v>
      </c>
      <c r="AH5990">
        <v>0.85871226176326998</v>
      </c>
      <c r="AI5990">
        <v>92.800582954192393</v>
      </c>
      <c r="AJ5990">
        <v>116.725355374871</v>
      </c>
      <c r="AK5990">
        <v>0.96256785392454802</v>
      </c>
      <c r="AL5990">
        <v>91.418024430054899</v>
      </c>
      <c r="AM5990">
        <v>96.855234031102398</v>
      </c>
      <c r="AN5990">
        <v>1.0000000532704201</v>
      </c>
    </row>
    <row r="5991" spans="1:40" x14ac:dyDescent="0.3">
      <c r="A5991" t="str">
        <f>"20200111160622770"</f>
        <v>20200111160622770</v>
      </c>
      <c r="B5991" t="str">
        <f>"1578729982768510"</f>
        <v>1578729982768510</v>
      </c>
      <c r="C5991" t="s">
        <v>40</v>
      </c>
      <c r="D5991">
        <v>5.0952989999999998</v>
      </c>
      <c r="E5991">
        <v>0.39079000000000003</v>
      </c>
      <c r="F5991" t="s">
        <v>98</v>
      </c>
      <c r="G5991">
        <v>-228.3433</v>
      </c>
      <c r="H5991" s="1">
        <v>-4.4579659999999998E-6</v>
      </c>
      <c r="I5991">
        <v>-52.420270000000002</v>
      </c>
      <c r="J5991">
        <v>-251.68029999999999</v>
      </c>
      <c r="K5991">
        <v>1.1106750000000001</v>
      </c>
      <c r="L5991">
        <v>-63.353610000000003</v>
      </c>
      <c r="M5991">
        <v>0.99945110000000004</v>
      </c>
      <c r="N5991">
        <v>0</v>
      </c>
      <c r="O5991">
        <v>3.2509139999999999E-2</v>
      </c>
      <c r="P5991">
        <v>0.98804040000000004</v>
      </c>
      <c r="Q5991">
        <v>-3.0786520000000001E-2</v>
      </c>
      <c r="R5991">
        <v>0.15109110000000001</v>
      </c>
      <c r="S5991">
        <v>2.8308110000000002</v>
      </c>
      <c r="T5991">
        <v>-0.133776799999999</v>
      </c>
      <c r="U5991">
        <v>1.3176270000000001</v>
      </c>
      <c r="V5991">
        <v>-0.1188242</v>
      </c>
      <c r="W5991">
        <v>-2.4766449999999999E-2</v>
      </c>
      <c r="X5991">
        <v>0.9926064</v>
      </c>
      <c r="Y5991">
        <v>-0.39196130000000001</v>
      </c>
      <c r="Z5991">
        <v>7.3460549999999998E-3</v>
      </c>
      <c r="AA5991">
        <v>0.9199524</v>
      </c>
      <c r="AB5991">
        <v>32</v>
      </c>
      <c r="AC5991">
        <v>23.3369999999999</v>
      </c>
      <c r="AD5991">
        <v>-1.110679457966</v>
      </c>
      <c r="AE5991">
        <v>10.9333399999999</v>
      </c>
      <c r="AF5991">
        <v>-10.150026782044799</v>
      </c>
      <c r="AG5991">
        <v>-1.110679457966</v>
      </c>
      <c r="AH5991">
        <v>23.636202913121501</v>
      </c>
      <c r="AI5991">
        <v>92.472369561987506</v>
      </c>
      <c r="AJ5991">
        <v>113.23999795424299</v>
      </c>
      <c r="AK5991">
        <v>25.747363761846099</v>
      </c>
      <c r="AL5991">
        <v>91.419158140253202</v>
      </c>
      <c r="AM5991">
        <v>96.826352419689599</v>
      </c>
      <c r="AN5991">
        <v>1.0000000164361</v>
      </c>
    </row>
    <row r="5992" spans="1:40" x14ac:dyDescent="0.3">
      <c r="A5992" t="str">
        <f>"20200111160622781"</f>
        <v>20200111160622781</v>
      </c>
      <c r="B5992" t="str">
        <f>"1578729982778270"</f>
        <v>1578729982778270</v>
      </c>
      <c r="C5992" t="s">
        <v>40</v>
      </c>
      <c r="D5992">
        <v>5.0948539999999998</v>
      </c>
      <c r="E5992">
        <v>0.3905846</v>
      </c>
      <c r="F5992" t="s">
        <v>98</v>
      </c>
      <c r="G5992">
        <v>-229.07310000000001</v>
      </c>
      <c r="H5992" s="1">
        <v>-4.6830940000000004E-6</v>
      </c>
      <c r="I5992">
        <v>-52.817959999999999</v>
      </c>
      <c r="J5992">
        <v>-251.52279999999999</v>
      </c>
      <c r="K5992">
        <v>1.110708</v>
      </c>
      <c r="L5992">
        <v>-63.347929999999998</v>
      </c>
      <c r="M5992">
        <v>0.99942940000000002</v>
      </c>
      <c r="N5992">
        <v>0</v>
      </c>
      <c r="O5992">
        <v>3.3099169999999997E-2</v>
      </c>
      <c r="P5992">
        <v>0.98802389999999995</v>
      </c>
      <c r="Q5992">
        <v>-3.1015870000000001E-2</v>
      </c>
      <c r="R5992">
        <v>0.15115229999999999</v>
      </c>
      <c r="S5992">
        <v>2.830292</v>
      </c>
      <c r="T5992">
        <v>-0.13905049999999999</v>
      </c>
      <c r="U5992">
        <v>1.319</v>
      </c>
      <c r="V5992">
        <v>-0.11830010000000001</v>
      </c>
      <c r="W5992">
        <v>-2.4644240000000001E-2</v>
      </c>
      <c r="X5992">
        <v>0.992672</v>
      </c>
      <c r="Y5992">
        <v>-0.3918239</v>
      </c>
      <c r="Z5992">
        <v>7.6052300000000001E-3</v>
      </c>
      <c r="AA5992">
        <v>0.92000879999999996</v>
      </c>
      <c r="AB5992">
        <v>32</v>
      </c>
      <c r="AC5992">
        <v>22.449699999999901</v>
      </c>
      <c r="AD5992">
        <v>-1.110712683094</v>
      </c>
      <c r="AE5992">
        <v>10.52997</v>
      </c>
      <c r="AF5992">
        <v>-9.7615311244508494</v>
      </c>
      <c r="AG5992">
        <v>-1.110712683094</v>
      </c>
      <c r="AH5992">
        <v>22.7403133023438</v>
      </c>
      <c r="AI5992">
        <v>92.569875537041398</v>
      </c>
      <c r="AJ5992">
        <v>113.231964103943</v>
      </c>
      <c r="AK5992">
        <v>24.771819102495598</v>
      </c>
      <c r="AL5992">
        <v>91.412153942534005</v>
      </c>
      <c r="AM5992">
        <v>96.7960806307035</v>
      </c>
      <c r="AN5992">
        <v>0.999999975904593</v>
      </c>
    </row>
    <row r="5993" spans="1:40" x14ac:dyDescent="0.3">
      <c r="A5993" t="str">
        <f>"20200111160622792"</f>
        <v>20200111160622792</v>
      </c>
      <c r="B5993" t="str">
        <f>"1578729982788029"</f>
        <v>1578729982788029</v>
      </c>
      <c r="C5993" t="s">
        <v>40</v>
      </c>
      <c r="D5993">
        <v>5.1330600000000004</v>
      </c>
      <c r="E5993">
        <v>0.39039439999999997</v>
      </c>
      <c r="F5993" t="s">
        <v>98</v>
      </c>
      <c r="G5993">
        <v>-229.18610000000001</v>
      </c>
      <c r="H5993" s="1">
        <v>-4.7086010000000004E-6</v>
      </c>
      <c r="I5993">
        <v>-52.921840000000003</v>
      </c>
      <c r="J5993">
        <v>-251.3587</v>
      </c>
      <c r="K5993">
        <v>1.1107340000000001</v>
      </c>
      <c r="L5993">
        <v>-63.341830000000002</v>
      </c>
      <c r="M5993">
        <v>0.99940649999999998</v>
      </c>
      <c r="N5993">
        <v>0</v>
      </c>
      <c r="O5993">
        <v>3.3710820000000002E-2</v>
      </c>
      <c r="P5993">
        <v>0.98799599999999999</v>
      </c>
      <c r="Q5993">
        <v>-3.1394070000000003E-2</v>
      </c>
      <c r="R5993">
        <v>0.15125520000000001</v>
      </c>
      <c r="S5993">
        <v>2.8298649999999999</v>
      </c>
      <c r="T5993">
        <v>-0.14071739999999999</v>
      </c>
      <c r="U5993">
        <v>1.320892</v>
      </c>
      <c r="V5993">
        <v>-0.1177969</v>
      </c>
      <c r="W5993">
        <v>-2.4677149999999998E-2</v>
      </c>
      <c r="X5993">
        <v>0.99273100000000003</v>
      </c>
      <c r="Y5993">
        <v>-0.39181129999999997</v>
      </c>
      <c r="Z5993">
        <v>7.6672419999999899E-3</v>
      </c>
      <c r="AA5993">
        <v>0.92001359999999999</v>
      </c>
      <c r="AB5993">
        <v>32</v>
      </c>
      <c r="AC5993">
        <v>22.1725999999999</v>
      </c>
      <c r="AD5993">
        <v>-1.1107387086010001</v>
      </c>
      <c r="AE5993">
        <v>10.41999</v>
      </c>
      <c r="AF5993">
        <v>-9.6467625999591</v>
      </c>
      <c r="AG5993">
        <v>-1.1107387086010001</v>
      </c>
      <c r="AH5993">
        <v>22.4650942571228</v>
      </c>
      <c r="AI5993">
        <v>92.601235507637398</v>
      </c>
      <c r="AJ5993">
        <v>113.23922629297</v>
      </c>
      <c r="AK5993">
        <v>24.473950010575798</v>
      </c>
      <c r="AL5993">
        <v>91.414040150057801</v>
      </c>
      <c r="AM5993">
        <v>96.7670430996303</v>
      </c>
      <c r="AN5993">
        <v>0.99999995487136495</v>
      </c>
    </row>
    <row r="5994" spans="1:40" x14ac:dyDescent="0.3">
      <c r="A5994" t="str">
        <f>"20200111160622804"</f>
        <v>20200111160622804</v>
      </c>
      <c r="B5994" t="str">
        <f>"1578729982798766"</f>
        <v>1578729982798766</v>
      </c>
      <c r="C5994" t="s">
        <v>40</v>
      </c>
      <c r="D5994">
        <v>5.1358769999999998</v>
      </c>
      <c r="E5994">
        <v>0.39020779999999999</v>
      </c>
      <c r="F5994" t="s">
        <v>98</v>
      </c>
      <c r="G5994">
        <v>-229.44730000000001</v>
      </c>
      <c r="H5994" s="1">
        <v>-4.7817369999999999E-6</v>
      </c>
      <c r="I5994">
        <v>-53.09789</v>
      </c>
      <c r="J5994">
        <v>-251.1833</v>
      </c>
      <c r="K5994">
        <v>1.1107629999999999</v>
      </c>
      <c r="L5994">
        <v>-63.335270000000001</v>
      </c>
      <c r="M5994">
        <v>0.99938170000000004</v>
      </c>
      <c r="N5994">
        <v>0</v>
      </c>
      <c r="O5994">
        <v>3.4363419999999999E-2</v>
      </c>
      <c r="P5994">
        <v>0.98795219999999995</v>
      </c>
      <c r="Q5994">
        <v>-3.1933000000000003E-2</v>
      </c>
      <c r="R5994">
        <v>0.1514296</v>
      </c>
      <c r="S5994">
        <v>2.8293910000000002</v>
      </c>
      <c r="T5994">
        <v>-0.143428</v>
      </c>
      <c r="U5994">
        <v>1.322784</v>
      </c>
      <c r="V5994">
        <v>-0.11732389999999999</v>
      </c>
      <c r="W5994">
        <v>-2.4856349999999999E-2</v>
      </c>
      <c r="X5994">
        <v>0.99278259999999996</v>
      </c>
      <c r="Y5994">
        <v>-0.39176129999999998</v>
      </c>
      <c r="Z5994">
        <v>7.7823969999999999E-3</v>
      </c>
      <c r="AA5994">
        <v>0.92003400000000002</v>
      </c>
      <c r="AB5994">
        <v>32</v>
      </c>
      <c r="AC5994">
        <v>21.735999999999901</v>
      </c>
      <c r="AD5994">
        <v>-1.1107677817370001</v>
      </c>
      <c r="AE5994">
        <v>10.2373799999999</v>
      </c>
      <c r="AF5994">
        <v>-9.4641612429687498</v>
      </c>
      <c r="AG5994">
        <v>-1.1107677817370001</v>
      </c>
      <c r="AH5994">
        <v>22.0278817832755</v>
      </c>
      <c r="AI5994">
        <v>92.652637237882104</v>
      </c>
      <c r="AJ5994">
        <v>113.25051896921801</v>
      </c>
      <c r="AK5994">
        <v>24.000661010809999</v>
      </c>
      <c r="AL5994">
        <v>91.424310621471605</v>
      </c>
      <c r="AM5994">
        <v>96.739774201666407</v>
      </c>
      <c r="AN5994">
        <v>1.0000000132546401</v>
      </c>
    </row>
    <row r="5995" spans="1:40" x14ac:dyDescent="0.3">
      <c r="A5995" t="str">
        <f>"20200111160622814"</f>
        <v>20200111160622814</v>
      </c>
      <c r="B5995" t="str">
        <f>"1578729982808525"</f>
        <v>1578729982808525</v>
      </c>
      <c r="C5995" t="s">
        <v>40</v>
      </c>
      <c r="D5995">
        <v>5.1516199999999897</v>
      </c>
      <c r="E5995">
        <v>0.39002310000000001</v>
      </c>
      <c r="F5995" t="s">
        <v>42</v>
      </c>
      <c r="G5995">
        <v>-250.1901</v>
      </c>
      <c r="H5995">
        <v>1.059456</v>
      </c>
      <c r="I5995">
        <v>-62.870289999999997</v>
      </c>
      <c r="J5995">
        <v>-251.0318</v>
      </c>
      <c r="K5995">
        <v>1.110773</v>
      </c>
      <c r="L5995">
        <v>-63.329500000000003</v>
      </c>
      <c r="M5995">
        <v>0.99936009999999997</v>
      </c>
      <c r="N5995">
        <v>0</v>
      </c>
      <c r="O5995">
        <v>3.4926789999999999E-2</v>
      </c>
      <c r="P5995">
        <v>0.98793719999999996</v>
      </c>
      <c r="Q5995">
        <v>-3.204365E-2</v>
      </c>
      <c r="R5995">
        <v>0.15150379999999899</v>
      </c>
      <c r="S5995">
        <v>2.8288120000000001</v>
      </c>
      <c r="T5995">
        <v>-0.146121</v>
      </c>
      <c r="U5995">
        <v>1.3247679999999999</v>
      </c>
      <c r="V5995">
        <v>-0.1168396</v>
      </c>
      <c r="W5995">
        <v>-2.4682800000000001E-2</v>
      </c>
      <c r="X5995">
        <v>0.99284399999999995</v>
      </c>
      <c r="Y5995">
        <v>-0.39183059999999997</v>
      </c>
      <c r="Z5995">
        <v>7.9028829999999994E-3</v>
      </c>
      <c r="AA5995">
        <v>0.92000349999999997</v>
      </c>
      <c r="AB5995">
        <v>32</v>
      </c>
      <c r="AC5995">
        <v>0.841700000000003</v>
      </c>
      <c r="AD5995">
        <v>-5.1317000000000002E-2</v>
      </c>
      <c r="AE5995">
        <v>0.45920999999999801</v>
      </c>
      <c r="AF5995">
        <v>-0.42830417316985198</v>
      </c>
      <c r="AG5995">
        <v>-5.1317000000000002E-2</v>
      </c>
      <c r="AH5995">
        <v>0.85477711990462801</v>
      </c>
      <c r="AI5995">
        <v>93.072368165129703</v>
      </c>
      <c r="AJ5995">
        <v>116.61412903918701</v>
      </c>
      <c r="AK5995">
        <v>0.95745591227803395</v>
      </c>
      <c r="AL5995">
        <v>91.414363947695506</v>
      </c>
      <c r="AM5995">
        <v>96.7117962185132</v>
      </c>
      <c r="AN5995">
        <v>0.99999997053999901</v>
      </c>
    </row>
    <row r="5996" spans="1:40" x14ac:dyDescent="0.3">
      <c r="A5996" t="str">
        <f>"20200111160622825"</f>
        <v>20200111160622825</v>
      </c>
      <c r="B5996" t="str">
        <f>"1578729982818286"</f>
        <v>1578729982818286</v>
      </c>
      <c r="C5996" t="s">
        <v>40</v>
      </c>
      <c r="D5996">
        <v>5.1340539999999999</v>
      </c>
      <c r="E5996">
        <v>0.38975919999999997</v>
      </c>
      <c r="F5996" t="s">
        <v>98</v>
      </c>
      <c r="G5996">
        <v>-229.92250000000001</v>
      </c>
      <c r="H5996" s="1">
        <v>-4.9123429999999997E-6</v>
      </c>
      <c r="I5996">
        <v>-53.429290000000002</v>
      </c>
      <c r="J5996">
        <v>-250.87780000000001</v>
      </c>
      <c r="K5996">
        <v>1.1107849999999999</v>
      </c>
      <c r="L5996">
        <v>-63.323549999999997</v>
      </c>
      <c r="M5996">
        <v>0.9993377</v>
      </c>
      <c r="N5996">
        <v>0</v>
      </c>
      <c r="O5996">
        <v>3.5498580000000002E-2</v>
      </c>
      <c r="P5996">
        <v>0.98792639999999998</v>
      </c>
      <c r="Q5996">
        <v>-3.212955E-2</v>
      </c>
      <c r="R5996">
        <v>0.15155569999999999</v>
      </c>
      <c r="S5996">
        <v>2.8283839999999998</v>
      </c>
      <c r="T5996">
        <v>-0.14883080000000001</v>
      </c>
      <c r="U5996">
        <v>1.326508</v>
      </c>
      <c r="V5996">
        <v>-0.1163251</v>
      </c>
      <c r="W5996">
        <v>-2.4485259999999998E-2</v>
      </c>
      <c r="X5996">
        <v>0.99290929999999999</v>
      </c>
      <c r="Y5996">
        <v>-0.39180769999999998</v>
      </c>
      <c r="Z5996">
        <v>8.0203480000000001E-3</v>
      </c>
      <c r="AA5996">
        <v>0.92001219999999995</v>
      </c>
      <c r="AB5996">
        <v>32</v>
      </c>
      <c r="AC5996">
        <v>20.955299999999902</v>
      </c>
      <c r="AD5996">
        <v>-1.1107899123430001</v>
      </c>
      <c r="AE5996">
        <v>9.8942599999999903</v>
      </c>
      <c r="AF5996">
        <v>-9.1231550370585701</v>
      </c>
      <c r="AG5996">
        <v>-1.1107899123430001</v>
      </c>
      <c r="AH5996">
        <v>21.244523798955498</v>
      </c>
      <c r="AI5996">
        <v>92.750564370360706</v>
      </c>
      <c r="AJ5996">
        <v>113.240408172098</v>
      </c>
      <c r="AK5996">
        <v>23.1472590926865</v>
      </c>
      <c r="AL5996">
        <v>91.403042321643497</v>
      </c>
      <c r="AM5996">
        <v>96.682073376820696</v>
      </c>
      <c r="AN5996">
        <v>0.99999996743688302</v>
      </c>
    </row>
    <row r="5997" spans="1:40" x14ac:dyDescent="0.3">
      <c r="A5997" t="str">
        <f>"20200111160622835"</f>
        <v>20200111160622835</v>
      </c>
      <c r="B5997" t="str">
        <f>"1578729982828046"</f>
        <v>1578729982828046</v>
      </c>
      <c r="C5997" t="s">
        <v>40</v>
      </c>
      <c r="D5997">
        <v>5.1789160000000001</v>
      </c>
      <c r="E5997">
        <v>0.38962790000000003</v>
      </c>
      <c r="F5997" t="s">
        <v>42</v>
      </c>
      <c r="G5997">
        <v>-249.89920000000001</v>
      </c>
      <c r="H5997">
        <v>1.058622</v>
      </c>
      <c r="I5997">
        <v>-62.86374</v>
      </c>
      <c r="J5997">
        <v>-250.71870000000001</v>
      </c>
      <c r="K5997">
        <v>1.1107899999999999</v>
      </c>
      <c r="L5997">
        <v>-63.31729</v>
      </c>
      <c r="M5997">
        <v>0.99931429999999999</v>
      </c>
      <c r="N5997">
        <v>0</v>
      </c>
      <c r="O5997">
        <v>3.6088719999999998E-2</v>
      </c>
      <c r="P5997">
        <v>0.98790860000000003</v>
      </c>
      <c r="Q5997">
        <v>-3.1691259999999999E-2</v>
      </c>
      <c r="R5997">
        <v>0.15176389999999901</v>
      </c>
      <c r="S5997">
        <v>2.8279109999999998</v>
      </c>
      <c r="T5997">
        <v>-0.1507386</v>
      </c>
      <c r="U5997">
        <v>1.328857</v>
      </c>
      <c r="V5997">
        <v>-0.1159497</v>
      </c>
      <c r="W5997">
        <v>-2.3779669999999999E-2</v>
      </c>
      <c r="X5997">
        <v>0.99297040000000003</v>
      </c>
      <c r="Y5997">
        <v>-0.39194020000000002</v>
      </c>
      <c r="Z5997">
        <v>8.0965210000000006E-3</v>
      </c>
      <c r="AA5997">
        <v>0.91995510000000003</v>
      </c>
      <c r="AB5997">
        <v>32</v>
      </c>
      <c r="AC5997">
        <v>0.819500000000005</v>
      </c>
      <c r="AD5997">
        <v>-5.2167999999999902E-2</v>
      </c>
      <c r="AE5997">
        <v>0.45354999999999901</v>
      </c>
      <c r="AF5997">
        <v>-0.42236855214033697</v>
      </c>
      <c r="AG5997">
        <v>-5.2167999999999902E-2</v>
      </c>
      <c r="AH5997">
        <v>0.83275139241320695</v>
      </c>
      <c r="AI5997">
        <v>93.197787991509998</v>
      </c>
      <c r="AJ5997">
        <v>116.893961847356</v>
      </c>
      <c r="AK5997">
        <v>0.935196009201954</v>
      </c>
      <c r="AL5997">
        <v>91.362603154694995</v>
      </c>
      <c r="AM5997">
        <v>96.660297140550995</v>
      </c>
      <c r="AN5997">
        <v>1.00000001045577</v>
      </c>
    </row>
    <row r="5998" spans="1:40" x14ac:dyDescent="0.3">
      <c r="A5998" t="str">
        <f>"20200111160622848"</f>
        <v>20200111160622848</v>
      </c>
      <c r="B5998" t="str">
        <f>"1578729982838783"</f>
        <v>1578729982838783</v>
      </c>
      <c r="C5998" t="s">
        <v>40</v>
      </c>
      <c r="D5998">
        <v>5.3701030000000003</v>
      </c>
      <c r="E5998">
        <v>0.3896445</v>
      </c>
      <c r="F5998" t="s">
        <v>98</v>
      </c>
      <c r="G5998">
        <v>-229.86359999999999</v>
      </c>
      <c r="H5998" s="1">
        <v>-4.8704469999999901E-6</v>
      </c>
      <c r="I5998">
        <v>-53.504489999999997</v>
      </c>
      <c r="J5998">
        <v>-250.54949999999999</v>
      </c>
      <c r="K5998">
        <v>1.1107990000000001</v>
      </c>
      <c r="L5998">
        <v>-63.310549999999999</v>
      </c>
      <c r="M5998">
        <v>0.99928930000000005</v>
      </c>
      <c r="N5998">
        <v>0</v>
      </c>
      <c r="O5998">
        <v>3.6714190000000001E-2</v>
      </c>
      <c r="P5998">
        <v>0.98795560000000004</v>
      </c>
      <c r="Q5998">
        <v>-3.0765299999999999E-2</v>
      </c>
      <c r="R5998">
        <v>0.1516487</v>
      </c>
      <c r="S5998">
        <v>2.827515</v>
      </c>
      <c r="T5998">
        <v>-0.15060100000000001</v>
      </c>
      <c r="U5998">
        <v>1.330414</v>
      </c>
      <c r="V5998">
        <v>-0.1152152</v>
      </c>
      <c r="W5998">
        <v>-2.258027E-2</v>
      </c>
      <c r="X5998">
        <v>0.99308390000000002</v>
      </c>
      <c r="Y5998">
        <v>-0.39183040000000002</v>
      </c>
      <c r="Z5998">
        <v>8.0549999999999997E-3</v>
      </c>
      <c r="AA5998">
        <v>0.92000219999999999</v>
      </c>
      <c r="AB5998">
        <v>32</v>
      </c>
      <c r="AC5998">
        <v>20.6859</v>
      </c>
      <c r="AD5998">
        <v>-1.11080387044699</v>
      </c>
      <c r="AE5998">
        <v>9.8060599999999898</v>
      </c>
      <c r="AF5998">
        <v>-9.0187204458461299</v>
      </c>
      <c r="AG5998">
        <v>-1.11080387044699</v>
      </c>
      <c r="AH5998">
        <v>20.982584937469799</v>
      </c>
      <c r="AI5998">
        <v>92.784495696096599</v>
      </c>
      <c r="AJ5998">
        <v>113.258967594461</v>
      </c>
      <c r="AK5998">
        <v>22.865696455106299</v>
      </c>
      <c r="AL5998">
        <v>91.293864109223193</v>
      </c>
      <c r="AM5998">
        <v>96.617732304874394</v>
      </c>
      <c r="AN5998">
        <v>1.0000000216717599</v>
      </c>
    </row>
    <row r="5999" spans="1:40" x14ac:dyDescent="0.3">
      <c r="A5999" t="str">
        <f>"20200111160622858"</f>
        <v>20200111160622858</v>
      </c>
      <c r="B5999" t="str">
        <f>"1578729982848543"</f>
        <v>1578729982848543</v>
      </c>
      <c r="C5999" t="s">
        <v>40</v>
      </c>
      <c r="D5999">
        <v>5.1874949999999904</v>
      </c>
      <c r="E5999">
        <v>0.38941599999999998</v>
      </c>
      <c r="F5999" t="s">
        <v>42</v>
      </c>
      <c r="G5999">
        <v>-249.53710000000001</v>
      </c>
      <c r="H5999">
        <v>1.057507</v>
      </c>
      <c r="I5999">
        <v>-62.834530000000001</v>
      </c>
      <c r="J5999">
        <v>-250.39359999999999</v>
      </c>
      <c r="K5999">
        <v>1.110806</v>
      </c>
      <c r="L5999">
        <v>-63.304229999999997</v>
      </c>
      <c r="M5999">
        <v>0.99926610000000005</v>
      </c>
      <c r="N5999">
        <v>0</v>
      </c>
      <c r="O5999">
        <v>3.7288250000000002E-2</v>
      </c>
      <c r="P5999">
        <v>0.98799009999999998</v>
      </c>
      <c r="Q5999">
        <v>-2.9698889999999999E-2</v>
      </c>
      <c r="R5999">
        <v>0.151636299999999</v>
      </c>
      <c r="S5999">
        <v>2.82782</v>
      </c>
      <c r="T5999">
        <v>-0.148863299999999</v>
      </c>
      <c r="U5999">
        <v>1.329987</v>
      </c>
      <c r="V5999">
        <v>-0.1146351</v>
      </c>
      <c r="W5999">
        <v>-2.127921E-2</v>
      </c>
      <c r="X5999">
        <v>0.9931797</v>
      </c>
      <c r="Y5999">
        <v>-0.39116060000000002</v>
      </c>
      <c r="Z5999">
        <v>7.9163280000000003E-3</v>
      </c>
      <c r="AA5999">
        <v>0.92028840000000001</v>
      </c>
      <c r="AB5999">
        <v>32</v>
      </c>
      <c r="AC5999">
        <v>0.85649999999998205</v>
      </c>
      <c r="AD5999">
        <v>-5.3298999999999902E-2</v>
      </c>
      <c r="AE5999">
        <v>0.46969999999999601</v>
      </c>
      <c r="AF5999">
        <v>-0.436136286242438</v>
      </c>
      <c r="AG5999">
        <v>-5.3298999999999902E-2</v>
      </c>
      <c r="AH5999">
        <v>0.870826724787228</v>
      </c>
      <c r="AI5999">
        <v>93.132403242231604</v>
      </c>
      <c r="AJ5999">
        <v>116.603090183948</v>
      </c>
      <c r="AK5999">
        <v>0.97539470379021198</v>
      </c>
      <c r="AL5999">
        <v>91.219300997984007</v>
      </c>
      <c r="AM5999">
        <v>96.584076284403494</v>
      </c>
      <c r="AN5999">
        <v>0.99999996371116096</v>
      </c>
    </row>
    <row r="6000" spans="1:40" x14ac:dyDescent="0.3">
      <c r="A6000" t="str">
        <f>"20200111160622870"</f>
        <v>20200111160622870</v>
      </c>
      <c r="B6000" t="str">
        <f>"1578729982858302"</f>
        <v>1578729982858302</v>
      </c>
      <c r="C6000" t="s">
        <v>40</v>
      </c>
      <c r="D6000">
        <v>5.2117399999999998</v>
      </c>
      <c r="E6000">
        <v>0.38924609999999998</v>
      </c>
      <c r="F6000" t="s">
        <v>98</v>
      </c>
      <c r="G6000">
        <v>-229.04390000000001</v>
      </c>
      <c r="H6000" s="1">
        <v>-4.5755090000000001E-6</v>
      </c>
      <c r="I6000">
        <v>-53.248019999999997</v>
      </c>
      <c r="J6000">
        <v>-250.23570000000001</v>
      </c>
      <c r="K6000">
        <v>1.1108100000000001</v>
      </c>
      <c r="L6000">
        <v>-63.297759999999997</v>
      </c>
      <c r="M6000">
        <v>0.99924250000000003</v>
      </c>
      <c r="N6000">
        <v>0</v>
      </c>
      <c r="O6000">
        <v>3.7866490000000003E-2</v>
      </c>
      <c r="P6000">
        <v>0.98802400000000001</v>
      </c>
      <c r="Q6000">
        <v>-2.909579E-2</v>
      </c>
      <c r="R6000">
        <v>0.151533</v>
      </c>
      <c r="S6000">
        <v>2.8276210000000002</v>
      </c>
      <c r="T6000">
        <v>-0.14711949999999999</v>
      </c>
      <c r="U6000">
        <v>1.331879</v>
      </c>
      <c r="V6000">
        <v>-0.1139584</v>
      </c>
      <c r="W6000">
        <v>-2.0453320000000001E-2</v>
      </c>
      <c r="X6000">
        <v>0.99327500000000002</v>
      </c>
      <c r="Y6000">
        <v>-0.39116699999999999</v>
      </c>
      <c r="Z6000">
        <v>7.7948740000000002E-3</v>
      </c>
      <c r="AA6000">
        <v>0.92028670000000001</v>
      </c>
      <c r="AB6000">
        <v>32</v>
      </c>
      <c r="AC6000">
        <v>21.191800000000001</v>
      </c>
      <c r="AD6000">
        <v>-1.110814575509</v>
      </c>
      <c r="AE6000">
        <v>10.04974</v>
      </c>
      <c r="AF6000">
        <v>-9.2193604170000008</v>
      </c>
      <c r="AG6000">
        <v>-1.110814575509</v>
      </c>
      <c r="AH6000">
        <v>21.508917112814299</v>
      </c>
      <c r="AI6000">
        <v>92.717657201007896</v>
      </c>
      <c r="AJ6000">
        <v>113.20141047286801</v>
      </c>
      <c r="AK6000">
        <v>23.427847337850402</v>
      </c>
      <c r="AL6000">
        <v>91.171970588698798</v>
      </c>
      <c r="AM6000">
        <v>96.544925671028196</v>
      </c>
      <c r="AN6000">
        <v>1.00000004042729</v>
      </c>
    </row>
    <row r="6001" spans="1:40" x14ac:dyDescent="0.3">
      <c r="A6001" t="str">
        <f>"20200111160622881"</f>
        <v>20200111160622881</v>
      </c>
      <c r="B6001" t="str">
        <f>"1578729982878798"</f>
        <v>1578729982878798</v>
      </c>
      <c r="C6001" t="s">
        <v>40</v>
      </c>
      <c r="D6001">
        <v>5.2223660000000001</v>
      </c>
      <c r="E6001">
        <v>0.3889551</v>
      </c>
      <c r="F6001" t="s">
        <v>98</v>
      </c>
      <c r="G6001">
        <v>-228.86500000000001</v>
      </c>
      <c r="H6001" s="1">
        <v>-4.5042729999999997E-6</v>
      </c>
      <c r="I6001">
        <v>-53.223010000000002</v>
      </c>
      <c r="J6001">
        <v>-250.0617</v>
      </c>
      <c r="K6001">
        <v>1.110814</v>
      </c>
      <c r="L6001">
        <v>-63.290559999999999</v>
      </c>
      <c r="M6001">
        <v>0.99921610000000005</v>
      </c>
      <c r="N6001">
        <v>0</v>
      </c>
      <c r="O6001">
        <v>3.8501170000000001E-2</v>
      </c>
      <c r="P6001">
        <v>0.98806970000000005</v>
      </c>
      <c r="Q6001">
        <v>-2.8451400000000002E-2</v>
      </c>
      <c r="R6001">
        <v>0.15135709999999999</v>
      </c>
      <c r="S6001">
        <v>2.827591</v>
      </c>
      <c r="T6001">
        <v>-0.14697379999999999</v>
      </c>
      <c r="U6001">
        <v>1.333008</v>
      </c>
      <c r="V6001">
        <v>-0.1131523</v>
      </c>
      <c r="W6001">
        <v>-1.9575430000000001E-2</v>
      </c>
      <c r="X6001">
        <v>0.99338479999999996</v>
      </c>
      <c r="Y6001">
        <v>-0.39088889999999998</v>
      </c>
      <c r="Z6001">
        <v>7.7485760000000001E-3</v>
      </c>
      <c r="AA6001">
        <v>0.92040529999999998</v>
      </c>
      <c r="AB6001">
        <v>32</v>
      </c>
      <c r="AC6001">
        <v>21.1967</v>
      </c>
      <c r="AD6001">
        <v>-1.1108185042730001</v>
      </c>
      <c r="AE6001">
        <v>10.067550000000001</v>
      </c>
      <c r="AF6001">
        <v>-9.2232847792864003</v>
      </c>
      <c r="AG6001">
        <v>-1.1108185042730001</v>
      </c>
      <c r="AH6001">
        <v>21.520388158813699</v>
      </c>
      <c r="AI6001">
        <v>92.716265656132805</v>
      </c>
      <c r="AJ6001">
        <v>113.19917820497901</v>
      </c>
      <c r="AK6001">
        <v>23.439923344056801</v>
      </c>
      <c r="AL6001">
        <v>91.121661164474105</v>
      </c>
      <c r="AM6001">
        <v>96.498314540375006</v>
      </c>
      <c r="AN6001">
        <v>1.0000000006630001</v>
      </c>
    </row>
    <row r="6002" spans="1:40" x14ac:dyDescent="0.3">
      <c r="A6002" t="str">
        <f>"20200111160622893"</f>
        <v>20200111160622893</v>
      </c>
      <c r="B6002" t="str">
        <f>"1578729982888557"</f>
        <v>1578729982888557</v>
      </c>
      <c r="C6002" t="s">
        <v>40</v>
      </c>
      <c r="D6002">
        <v>5.2973689999999998</v>
      </c>
      <c r="E6002">
        <v>0.3886734</v>
      </c>
      <c r="F6002" t="s">
        <v>98</v>
      </c>
      <c r="G6002">
        <v>-228.85650000000001</v>
      </c>
      <c r="H6002" s="1">
        <v>-4.4885719999999998E-6</v>
      </c>
      <c r="I6002">
        <v>-53.277470000000001</v>
      </c>
      <c r="J6002">
        <v>-249.90020000000001</v>
      </c>
      <c r="K6002">
        <v>1.110816</v>
      </c>
      <c r="L6002">
        <v>-63.283720000000002</v>
      </c>
      <c r="M6002">
        <v>0.99919159999999996</v>
      </c>
      <c r="N6002">
        <v>0</v>
      </c>
      <c r="O6002">
        <v>3.9084649999999999E-2</v>
      </c>
      <c r="P6002">
        <v>0.98811179999999998</v>
      </c>
      <c r="Q6002">
        <v>-2.801495E-2</v>
      </c>
      <c r="R6002">
        <v>0.151163299999999</v>
      </c>
      <c r="S6002">
        <v>2.8274379999999999</v>
      </c>
      <c r="T6002">
        <v>-0.1481131</v>
      </c>
      <c r="U6002">
        <v>1.3351139999999999</v>
      </c>
      <c r="V6002">
        <v>-0.1123792</v>
      </c>
      <c r="W6002">
        <v>-1.8943049999999999E-2</v>
      </c>
      <c r="X6002">
        <v>0.99348479999999995</v>
      </c>
      <c r="Y6002">
        <v>-0.390926</v>
      </c>
      <c r="Z6002">
        <v>7.7798299999999997E-3</v>
      </c>
      <c r="AA6002">
        <v>0.92038920000000002</v>
      </c>
      <c r="AB6002">
        <v>32</v>
      </c>
      <c r="AC6002">
        <v>21.043700000000001</v>
      </c>
      <c r="AD6002">
        <v>-1.1108204885719899</v>
      </c>
      <c r="AE6002">
        <v>10.00625</v>
      </c>
      <c r="AF6002">
        <v>-9.1552754752247196</v>
      </c>
      <c r="AG6002">
        <v>-1.1108204885719899</v>
      </c>
      <c r="AH6002">
        <v>21.3701619677881</v>
      </c>
      <c r="AI6002">
        <v>92.735503934579498</v>
      </c>
      <c r="AJ6002">
        <v>113.19096726225899</v>
      </c>
      <c r="AK6002">
        <v>23.275240357826199</v>
      </c>
      <c r="AL6002">
        <v>91.085421753440301</v>
      </c>
      <c r="AM6002">
        <v>96.453647303528996</v>
      </c>
      <c r="AN6002">
        <v>0.99999998578349103</v>
      </c>
    </row>
    <row r="6003" spans="1:40" x14ac:dyDescent="0.3">
      <c r="A6003" t="str">
        <f>"20200111160622905"</f>
        <v>20200111160622905</v>
      </c>
      <c r="B6003" t="str">
        <f>"1578729982898317"</f>
        <v>1578729982898317</v>
      </c>
      <c r="C6003" t="s">
        <v>40</v>
      </c>
      <c r="D6003">
        <v>5.2477080000000003</v>
      </c>
      <c r="E6003">
        <v>0.38843699999999998</v>
      </c>
      <c r="F6003" t="s">
        <v>98</v>
      </c>
      <c r="G6003">
        <v>-228.7989</v>
      </c>
      <c r="H6003" s="1">
        <v>-4.4574379999999997E-6</v>
      </c>
      <c r="I6003">
        <v>-53.306690000000003</v>
      </c>
      <c r="J6003">
        <v>-249.73650000000001</v>
      </c>
      <c r="K6003">
        <v>1.1108199999999999</v>
      </c>
      <c r="L6003">
        <v>-63.276789999999998</v>
      </c>
      <c r="M6003">
        <v>0.99916649999999996</v>
      </c>
      <c r="N6003">
        <v>0</v>
      </c>
      <c r="O6003">
        <v>3.9674899999999999E-2</v>
      </c>
      <c r="P6003">
        <v>0.98811439999999995</v>
      </c>
      <c r="Q6003">
        <v>-2.7533080000000001E-2</v>
      </c>
      <c r="R6003">
        <v>0.15123529999999999</v>
      </c>
      <c r="S6003">
        <v>2.8273619999999999</v>
      </c>
      <c r="T6003">
        <v>-0.14883879999999999</v>
      </c>
      <c r="U6003">
        <v>1.3368230000000001</v>
      </c>
      <c r="V6003">
        <v>-0.1118661</v>
      </c>
      <c r="W6003">
        <v>-1.8268820000000002E-2</v>
      </c>
      <c r="X6003">
        <v>0.99355539999999998</v>
      </c>
      <c r="Y6003">
        <v>-0.39084370000000002</v>
      </c>
      <c r="Z6003">
        <v>7.7857369999999896E-3</v>
      </c>
      <c r="AA6003">
        <v>0.92042409999999997</v>
      </c>
      <c r="AB6003">
        <v>32</v>
      </c>
      <c r="AC6003">
        <v>20.9376</v>
      </c>
      <c r="AD6003">
        <v>-1.110824457438</v>
      </c>
      <c r="AE6003">
        <v>9.9701000000000004</v>
      </c>
      <c r="AF6003">
        <v>-9.1106097698581898</v>
      </c>
      <c r="AG6003">
        <v>-1.110824457438</v>
      </c>
      <c r="AH6003">
        <v>21.267895597919601</v>
      </c>
      <c r="AI6003">
        <v>92.748687107494504</v>
      </c>
      <c r="AJ6003">
        <v>113.189024778606</v>
      </c>
      <c r="AK6003">
        <v>23.1637761282112</v>
      </c>
      <c r="AL6003">
        <v>91.046784459542195</v>
      </c>
      <c r="AM6003">
        <v>96.423975517515601</v>
      </c>
      <c r="AN6003">
        <v>1.0000000534912701</v>
      </c>
    </row>
    <row r="6004" spans="1:40" x14ac:dyDescent="0.3">
      <c r="A6004" t="str">
        <f>"20200111160622914"</f>
        <v>20200111160622914</v>
      </c>
      <c r="B6004" t="str">
        <f>"1578729982908079"</f>
        <v>1578729982908079</v>
      </c>
      <c r="C6004" t="s">
        <v>40</v>
      </c>
      <c r="D6004">
        <v>5.3526069999999999</v>
      </c>
      <c r="E6004">
        <v>0.38809290000000002</v>
      </c>
      <c r="F6004" t="s">
        <v>42</v>
      </c>
      <c r="G6004">
        <v>-248.7483</v>
      </c>
      <c r="H6004">
        <v>1.058818</v>
      </c>
      <c r="I6004">
        <v>-62.808610000000002</v>
      </c>
      <c r="J6004">
        <v>-249.58170000000001</v>
      </c>
      <c r="K6004">
        <v>1.1108229999999999</v>
      </c>
      <c r="L6004">
        <v>-63.270049999999998</v>
      </c>
      <c r="M6004">
        <v>0.99914289999999994</v>
      </c>
      <c r="N6004">
        <v>0</v>
      </c>
      <c r="O6004">
        <v>4.0227770000000003E-2</v>
      </c>
      <c r="P6004">
        <v>0.9881122</v>
      </c>
      <c r="Q6004">
        <v>-2.756221E-2</v>
      </c>
      <c r="R6004">
        <v>0.1512444</v>
      </c>
      <c r="S6004">
        <v>2.826965</v>
      </c>
      <c r="T6004">
        <v>-0.14875079999999999</v>
      </c>
      <c r="U6004">
        <v>1.338989</v>
      </c>
      <c r="V6004">
        <v>-0.1113262</v>
      </c>
      <c r="W6004">
        <v>-1.8135160000000001E-2</v>
      </c>
      <c r="X6004">
        <v>0.99361840000000001</v>
      </c>
      <c r="Y6004">
        <v>-0.39096180000000003</v>
      </c>
      <c r="Z6004">
        <v>7.75640599999999E-3</v>
      </c>
      <c r="AA6004">
        <v>0.92037420000000003</v>
      </c>
      <c r="AB6004">
        <v>32</v>
      </c>
      <c r="AC6004">
        <v>0.83340000000001102</v>
      </c>
      <c r="AD6004">
        <v>-5.2004999999999801E-2</v>
      </c>
      <c r="AE6004">
        <v>0.46144000000000301</v>
      </c>
      <c r="AF6004">
        <v>-0.42626864086425098</v>
      </c>
      <c r="AG6004">
        <v>-5.2004999999999801E-2</v>
      </c>
      <c r="AH6004">
        <v>0.84875940291401497</v>
      </c>
      <c r="AI6004">
        <v>93.134061767543898</v>
      </c>
      <c r="AJ6004">
        <v>116.666971114315</v>
      </c>
      <c r="AK6004">
        <v>0.95121080641685996</v>
      </c>
      <c r="AL6004">
        <v>91.039125128224995</v>
      </c>
      <c r="AM6004">
        <v>96.392826766626996</v>
      </c>
      <c r="AN6004">
        <v>0.99999996582661199</v>
      </c>
    </row>
    <row r="6005" spans="1:40" x14ac:dyDescent="0.3">
      <c r="A6005" t="str">
        <f>"20200111160622926"</f>
        <v>20200111160622926</v>
      </c>
      <c r="B6005" t="str">
        <f>"1578729982917838"</f>
        <v>1578729982917838</v>
      </c>
      <c r="C6005" t="s">
        <v>40</v>
      </c>
      <c r="D6005">
        <v>5.4299480000000004</v>
      </c>
      <c r="E6005">
        <v>0.38802049999999999</v>
      </c>
      <c r="F6005" t="s">
        <v>98</v>
      </c>
      <c r="G6005">
        <v>-228.8931</v>
      </c>
      <c r="H6005" s="1">
        <v>-4.4665850000000004E-6</v>
      </c>
      <c r="I6005">
        <v>-53.447929999999999</v>
      </c>
      <c r="J6005">
        <v>-249.4211</v>
      </c>
      <c r="K6005">
        <v>1.1108209999999901</v>
      </c>
      <c r="L6005">
        <v>-63.263030000000001</v>
      </c>
      <c r="M6005">
        <v>0.99911810000000001</v>
      </c>
      <c r="N6005">
        <v>0</v>
      </c>
      <c r="O6005">
        <v>4.0800410000000002E-2</v>
      </c>
      <c r="P6005">
        <v>0.98805350000000003</v>
      </c>
      <c r="Q6005">
        <v>-2.7384229999999999E-2</v>
      </c>
      <c r="R6005">
        <v>0.15165880000000001</v>
      </c>
      <c r="S6005">
        <v>2.8264619999999998</v>
      </c>
      <c r="T6005">
        <v>-0.15176010000000001</v>
      </c>
      <c r="U6005">
        <v>1.341888</v>
      </c>
      <c r="V6005">
        <v>-0.1111743</v>
      </c>
      <c r="W6005">
        <v>-1.7794569999999999E-2</v>
      </c>
      <c r="X6005">
        <v>0.99364160000000001</v>
      </c>
      <c r="Y6005">
        <v>-0.39125260000000001</v>
      </c>
      <c r="Z6005">
        <v>7.8911469999999994E-3</v>
      </c>
      <c r="AA6005">
        <v>0.92024950000000005</v>
      </c>
      <c r="AB6005">
        <v>32</v>
      </c>
      <c r="AC6005">
        <v>20.527999999999899</v>
      </c>
      <c r="AD6005">
        <v>-1.1108254665849999</v>
      </c>
      <c r="AE6005">
        <v>9.8150999999999993</v>
      </c>
      <c r="AF6005">
        <v>-8.9480082640281893</v>
      </c>
      <c r="AG6005">
        <v>-1.1108254665849999</v>
      </c>
      <c r="AH6005">
        <v>20.861664562999898</v>
      </c>
      <c r="AI6005">
        <v>92.801574882632593</v>
      </c>
      <c r="AJ6005">
        <v>113.21551458750599</v>
      </c>
      <c r="AK6005">
        <v>22.726852695643</v>
      </c>
      <c r="AL6005">
        <v>91.019607572825294</v>
      </c>
      <c r="AM6005">
        <v>96.3840282563622</v>
      </c>
      <c r="AN6005">
        <v>1.0000000004762599</v>
      </c>
    </row>
    <row r="6006" spans="1:40" x14ac:dyDescent="0.3">
      <c r="A6006" t="str">
        <f>"20200111160622937"</f>
        <v>20200111160622937</v>
      </c>
      <c r="B6006" t="str">
        <f>"1578729982928574"</f>
        <v>1578729982928574</v>
      </c>
      <c r="C6006" t="s">
        <v>40</v>
      </c>
      <c r="D6006">
        <v>5.2848329999999999</v>
      </c>
      <c r="E6006">
        <v>0.38780819999999999</v>
      </c>
      <c r="F6006" t="s">
        <v>42</v>
      </c>
      <c r="G6006">
        <v>-248.43639999999999</v>
      </c>
      <c r="H6006">
        <v>1.0580780000000001</v>
      </c>
      <c r="I6006">
        <v>-62.795000000000002</v>
      </c>
      <c r="J6006">
        <v>-249.26140000000001</v>
      </c>
      <c r="K6006">
        <v>1.1108229999999999</v>
      </c>
      <c r="L6006">
        <v>-63.255949999999999</v>
      </c>
      <c r="M6006">
        <v>0.99909340000000002</v>
      </c>
      <c r="N6006">
        <v>0</v>
      </c>
      <c r="O6006">
        <v>4.1366E-2</v>
      </c>
      <c r="P6006">
        <v>0.98800239999999995</v>
      </c>
      <c r="Q6006">
        <v>-2.7457780000000001E-2</v>
      </c>
      <c r="R6006">
        <v>0.151978799999999</v>
      </c>
      <c r="S6006">
        <v>2.8258359999999998</v>
      </c>
      <c r="T6006">
        <v>-0.1513755</v>
      </c>
      <c r="U6006">
        <v>1.3436889999999999</v>
      </c>
      <c r="V6006">
        <v>-0.1109343</v>
      </c>
      <c r="W6006">
        <v>-1.772077E-2</v>
      </c>
      <c r="X6006">
        <v>0.99366969999999999</v>
      </c>
      <c r="Y6006">
        <v>-0.39129170000000002</v>
      </c>
      <c r="Z6006">
        <v>7.8441329999999997E-3</v>
      </c>
      <c r="AA6006">
        <v>0.92023319999999997</v>
      </c>
      <c r="AB6006">
        <v>32</v>
      </c>
      <c r="AC6006">
        <v>0.82500000000001705</v>
      </c>
      <c r="AD6006">
        <v>-5.2744999999999799E-2</v>
      </c>
      <c r="AE6006">
        <v>0.46094999999999597</v>
      </c>
      <c r="AF6006">
        <v>-0.42510252921712999</v>
      </c>
      <c r="AG6006">
        <v>-5.2744999999999799E-2</v>
      </c>
      <c r="AH6006">
        <v>0.84074345845075904</v>
      </c>
      <c r="AI6006">
        <v>93.204435253385498</v>
      </c>
      <c r="AJ6006">
        <v>116.82238945541199</v>
      </c>
      <c r="AK6006">
        <v>0.94358028715077802</v>
      </c>
      <c r="AL6006">
        <v>91.015378519927097</v>
      </c>
      <c r="AM6006">
        <v>96.370181344531105</v>
      </c>
      <c r="AN6006">
        <v>0.99999995865198499</v>
      </c>
    </row>
    <row r="6007" spans="1:40" x14ac:dyDescent="0.3">
      <c r="A6007" t="str">
        <f>"20200111160622948"</f>
        <v>20200111160622948</v>
      </c>
      <c r="B6007" t="str">
        <f>"1578729982938335"</f>
        <v>1578729982938335</v>
      </c>
      <c r="C6007" t="s">
        <v>40</v>
      </c>
      <c r="D6007">
        <v>5.319261</v>
      </c>
      <c r="E6007">
        <v>0.38763629999999999</v>
      </c>
      <c r="F6007" t="s">
        <v>98</v>
      </c>
      <c r="G6007">
        <v>-228.76249999999999</v>
      </c>
      <c r="H6007" s="1">
        <v>-4.4019259999999996E-6</v>
      </c>
      <c r="I6007">
        <v>-53.487000000000002</v>
      </c>
      <c r="J6007">
        <v>-249.10740000000001</v>
      </c>
      <c r="K6007">
        <v>1.1108229999999999</v>
      </c>
      <c r="L6007">
        <v>-63.249020000000002</v>
      </c>
      <c r="M6007">
        <v>0.99906930000000005</v>
      </c>
      <c r="N6007">
        <v>0</v>
      </c>
      <c r="O6007">
        <v>4.1910059999999999E-2</v>
      </c>
      <c r="P6007">
        <v>0.98792849999999999</v>
      </c>
      <c r="Q6007">
        <v>-2.7806000000000001E-2</v>
      </c>
      <c r="R6007">
        <v>0.15239510000000001</v>
      </c>
      <c r="S6007">
        <v>2.8250730000000002</v>
      </c>
      <c r="T6007">
        <v>-0.15308929999999901</v>
      </c>
      <c r="U6007">
        <v>1.3463130000000001</v>
      </c>
      <c r="V6007">
        <v>-0.1108121</v>
      </c>
      <c r="W6007">
        <v>-1.793438E-2</v>
      </c>
      <c r="X6007">
        <v>0.99367950000000005</v>
      </c>
      <c r="Y6007">
        <v>-0.39157500000000001</v>
      </c>
      <c r="Z6007">
        <v>7.9127380000000008E-3</v>
      </c>
      <c r="AA6007">
        <v>0.92011220000000005</v>
      </c>
      <c r="AB6007">
        <v>32</v>
      </c>
      <c r="AC6007">
        <v>20.344899999999999</v>
      </c>
      <c r="AD6007">
        <v>-1.1108274019259901</v>
      </c>
      <c r="AE6007">
        <v>9.7620199999999997</v>
      </c>
      <c r="AF6007">
        <v>-8.8792253171967293</v>
      </c>
      <c r="AG6007">
        <v>-1.1108274019259901</v>
      </c>
      <c r="AH6007">
        <v>20.686043958889101</v>
      </c>
      <c r="AI6007">
        <v>92.8250029067665</v>
      </c>
      <c r="AJ6007">
        <v>113.230822846195</v>
      </c>
      <c r="AK6007">
        <v>22.538566822660002</v>
      </c>
      <c r="AL6007">
        <v>91.027619419905093</v>
      </c>
      <c r="AM6007">
        <v>96.363159600327705</v>
      </c>
      <c r="AN6007">
        <v>0.99999995610632098</v>
      </c>
    </row>
    <row r="6008" spans="1:40" x14ac:dyDescent="0.3">
      <c r="A6008" t="str">
        <f>"20200111160622958"</f>
        <v>20200111160622958</v>
      </c>
      <c r="B6008" t="str">
        <f>"1578729982948094"</f>
        <v>1578729982948094</v>
      </c>
      <c r="C6008" t="s">
        <v>40</v>
      </c>
      <c r="D6008">
        <v>5.2968219999999997</v>
      </c>
      <c r="E6008">
        <v>0.3874882</v>
      </c>
      <c r="F6008" t="s">
        <v>42</v>
      </c>
      <c r="G6008">
        <v>-248.10310000000001</v>
      </c>
      <c r="H6008">
        <v>1.055361</v>
      </c>
      <c r="I6008">
        <v>-62.769440000000003</v>
      </c>
      <c r="J6008">
        <v>-248.947</v>
      </c>
      <c r="K6008">
        <v>1.110822</v>
      </c>
      <c r="L6008">
        <v>-63.241729999999997</v>
      </c>
      <c r="M6008">
        <v>0.99904420000000005</v>
      </c>
      <c r="N6008">
        <v>0</v>
      </c>
      <c r="O6008">
        <v>4.2474499999999998E-2</v>
      </c>
      <c r="P6008">
        <v>0.98783489999999996</v>
      </c>
      <c r="Q6008">
        <v>-2.7999860000000001E-2</v>
      </c>
      <c r="R6008">
        <v>0.1529654</v>
      </c>
      <c r="S6008">
        <v>2.824173</v>
      </c>
      <c r="T6008">
        <v>-0.15597440000000001</v>
      </c>
      <c r="U6008">
        <v>1.3489690000000001</v>
      </c>
      <c r="V6008">
        <v>-0.1108248</v>
      </c>
      <c r="W6008">
        <v>-1.799852E-2</v>
      </c>
      <c r="X6008">
        <v>0.99367700000000003</v>
      </c>
      <c r="Y6008">
        <v>-0.39185819999999999</v>
      </c>
      <c r="Z6008">
        <v>8.0404689999999997E-3</v>
      </c>
      <c r="AA6008">
        <v>0.91999050000000004</v>
      </c>
      <c r="AB6008">
        <v>32</v>
      </c>
      <c r="AC6008">
        <v>0.84389999999998999</v>
      </c>
      <c r="AD6008">
        <v>-5.5460999999999899E-2</v>
      </c>
      <c r="AE6008">
        <v>0.47229000000000099</v>
      </c>
      <c r="AF6008">
        <v>-0.434588250175933</v>
      </c>
      <c r="AG6008">
        <v>-5.5460999999999899E-2</v>
      </c>
      <c r="AH6008">
        <v>0.86036996642402197</v>
      </c>
      <c r="AI6008">
        <v>93.293060579780203</v>
      </c>
      <c r="AJ6008">
        <v>116.799156786727</v>
      </c>
      <c r="AK6008">
        <v>0.96549435463727695</v>
      </c>
      <c r="AL6008">
        <v>91.031294886693502</v>
      </c>
      <c r="AM6008">
        <v>96.363898768847804</v>
      </c>
      <c r="AN6008">
        <v>1.0000000316731099</v>
      </c>
    </row>
    <row r="6009" spans="1:40" x14ac:dyDescent="0.3">
      <c r="A6009" t="str">
        <f>"20200111160622971"</f>
        <v>20200111160622971</v>
      </c>
      <c r="B6009" t="str">
        <f>"1578729982968589"</f>
        <v>1578729982968589</v>
      </c>
      <c r="C6009" t="s">
        <v>40</v>
      </c>
      <c r="D6009">
        <v>5.2801090000000004</v>
      </c>
      <c r="E6009">
        <v>0.38748490000000002</v>
      </c>
      <c r="F6009" t="s">
        <v>98</v>
      </c>
      <c r="G6009">
        <v>-229.0804</v>
      </c>
      <c r="H6009" s="1">
        <v>-4.4847740000000004E-6</v>
      </c>
      <c r="I6009">
        <v>-53.72925</v>
      </c>
      <c r="J6009">
        <v>-248.7809</v>
      </c>
      <c r="K6009">
        <v>1.1108279999999999</v>
      </c>
      <c r="L6009">
        <v>-63.234070000000003</v>
      </c>
      <c r="M6009">
        <v>0.99901799999999996</v>
      </c>
      <c r="N6009">
        <v>0</v>
      </c>
      <c r="O6009">
        <v>4.305631E-2</v>
      </c>
      <c r="P6009">
        <v>0.98773889999999998</v>
      </c>
      <c r="Q6009">
        <v>-2.8689260000000001E-2</v>
      </c>
      <c r="R6009">
        <v>0.1534566</v>
      </c>
      <c r="S6009">
        <v>2.8231510000000002</v>
      </c>
      <c r="T6009">
        <v>-0.15785460000000001</v>
      </c>
      <c r="U6009">
        <v>1.3517760000000001</v>
      </c>
      <c r="V6009">
        <v>-0.1107393</v>
      </c>
      <c r="W6009">
        <v>-1.856321E-2</v>
      </c>
      <c r="X6009">
        <v>0.99367609999999995</v>
      </c>
      <c r="Y6009">
        <v>-0.39218639999999999</v>
      </c>
      <c r="Z6009">
        <v>8.1163009999999994E-3</v>
      </c>
      <c r="AA6009">
        <v>0.91984999999999995</v>
      </c>
      <c r="AB6009">
        <v>32</v>
      </c>
      <c r="AC6009">
        <v>19.700500000000002</v>
      </c>
      <c r="AD6009">
        <v>-1.1108324847740001</v>
      </c>
      <c r="AE6009">
        <v>9.5048199999999898</v>
      </c>
      <c r="AF6009">
        <v>-8.6254820355456694</v>
      </c>
      <c r="AG6009">
        <v>-1.1108324847740001</v>
      </c>
      <c r="AH6009">
        <v>20.039809880152202</v>
      </c>
      <c r="AI6009">
        <v>92.914714990427399</v>
      </c>
      <c r="AJ6009">
        <v>113.28788310720699</v>
      </c>
      <c r="AK6009">
        <v>21.845522863676202</v>
      </c>
      <c r="AL6009">
        <v>91.063654693343196</v>
      </c>
      <c r="AM6009">
        <v>96.359035043853197</v>
      </c>
      <c r="AN6009">
        <v>0.99999998852060201</v>
      </c>
    </row>
    <row r="6010" spans="1:40" x14ac:dyDescent="0.3">
      <c r="A6010" t="str">
        <f>"20200111160622982"</f>
        <v>20200111160622982</v>
      </c>
      <c r="B6010" t="str">
        <f>"1578729982978350"</f>
        <v>1578729982978350</v>
      </c>
      <c r="C6010" t="s">
        <v>40</v>
      </c>
      <c r="D6010">
        <v>5.2121789999999999</v>
      </c>
      <c r="E6010">
        <v>0.38748490000000002</v>
      </c>
      <c r="F6010" t="s">
        <v>98</v>
      </c>
      <c r="G6010">
        <v>-229.524</v>
      </c>
      <c r="H6010" s="1">
        <v>-4.6152600000000003E-6</v>
      </c>
      <c r="I6010">
        <v>-53.999789999999997</v>
      </c>
      <c r="J6010">
        <v>-248.61840000000001</v>
      </c>
      <c r="K6010">
        <v>1.110827</v>
      </c>
      <c r="L6010">
        <v>-63.226529999999997</v>
      </c>
      <c r="M6010">
        <v>0.99899210000000005</v>
      </c>
      <c r="N6010">
        <v>0</v>
      </c>
      <c r="O6010">
        <v>4.3624490000000002E-2</v>
      </c>
      <c r="P6010">
        <v>0.9876296</v>
      </c>
      <c r="Q6010">
        <v>-2.8924140000000001E-2</v>
      </c>
      <c r="R6010">
        <v>0.15411529999999901</v>
      </c>
      <c r="S6010">
        <v>2.8222659999999999</v>
      </c>
      <c r="T6010">
        <v>-0.162802</v>
      </c>
      <c r="U6010">
        <v>1.3533630000000001</v>
      </c>
      <c r="V6010">
        <v>-0.11083759999999999</v>
      </c>
      <c r="W6010">
        <v>-1.8682359999999999E-2</v>
      </c>
      <c r="X6010">
        <v>0.99366290000000002</v>
      </c>
      <c r="Y6010">
        <v>-0.39216879999999998</v>
      </c>
      <c r="Z6010">
        <v>8.3403660000000001E-3</v>
      </c>
      <c r="AA6010">
        <v>0.91985539999999999</v>
      </c>
      <c r="AB6010">
        <v>32</v>
      </c>
      <c r="AC6010">
        <v>19.0944</v>
      </c>
      <c r="AD6010">
        <v>-1.11083161526</v>
      </c>
      <c r="AE6010">
        <v>9.2267399999999995</v>
      </c>
      <c r="AF6010">
        <v>-8.3619819173015095</v>
      </c>
      <c r="AG6010">
        <v>-1.11083161526</v>
      </c>
      <c r="AH6010">
        <v>19.425455643812899</v>
      </c>
      <c r="AI6010">
        <v>93.006675474164695</v>
      </c>
      <c r="AJ6010">
        <v>113.290193914124</v>
      </c>
      <c r="AK6010">
        <v>21.177936996612299</v>
      </c>
      <c r="AL6010">
        <v>91.070482677180294</v>
      </c>
      <c r="AM6010">
        <v>96.364717325135899</v>
      </c>
      <c r="AN6010">
        <v>0.999999981492669</v>
      </c>
    </row>
    <row r="6011" spans="1:40" x14ac:dyDescent="0.3">
      <c r="A6011" t="str">
        <f>"20200111160622993"</f>
        <v>20200111160622993</v>
      </c>
      <c r="B6011" t="str">
        <f>"1578729982988110"</f>
        <v>1578729982988110</v>
      </c>
      <c r="C6011" t="s">
        <v>40</v>
      </c>
      <c r="D6011">
        <v>4.8113000000000001</v>
      </c>
      <c r="E6011">
        <v>0.44580720000000001</v>
      </c>
      <c r="F6011" t="s">
        <v>98</v>
      </c>
      <c r="G6011">
        <v>-229.44370000000001</v>
      </c>
      <c r="H6011" s="1">
        <v>-4.5771800000000003E-6</v>
      </c>
      <c r="I6011">
        <v>-54.016240000000003</v>
      </c>
      <c r="J6011">
        <v>-248.45740000000001</v>
      </c>
      <c r="K6011">
        <v>1.1108279999999999</v>
      </c>
      <c r="L6011">
        <v>-63.218899999999998</v>
      </c>
      <c r="M6011">
        <v>0.99896629999999997</v>
      </c>
      <c r="N6011">
        <v>0</v>
      </c>
      <c r="O6011">
        <v>4.4184050000000002E-2</v>
      </c>
      <c r="P6011">
        <v>0.987541</v>
      </c>
      <c r="Q6011">
        <v>-2.894944E-2</v>
      </c>
      <c r="R6011">
        <v>0.1546766</v>
      </c>
      <c r="S6011">
        <v>2.8213349999999999</v>
      </c>
      <c r="T6011">
        <v>-0.163446799999999</v>
      </c>
      <c r="U6011">
        <v>1.355194</v>
      </c>
      <c r="V6011">
        <v>-0.11084579999999999</v>
      </c>
      <c r="W6011">
        <v>-1.8596649999999999E-2</v>
      </c>
      <c r="X6011">
        <v>0.99366359999999998</v>
      </c>
      <c r="Y6011">
        <v>-0.39225389999999999</v>
      </c>
      <c r="Z6011">
        <v>8.3465250000000005E-3</v>
      </c>
      <c r="AA6011">
        <v>0.9198191</v>
      </c>
      <c r="AB6011">
        <v>32</v>
      </c>
      <c r="AC6011">
        <v>19.0137</v>
      </c>
      <c r="AD6011">
        <v>-1.1108325771800001</v>
      </c>
      <c r="AE6011">
        <v>9.2026599999999892</v>
      </c>
      <c r="AF6011">
        <v>-8.3304843930440597</v>
      </c>
      <c r="AG6011">
        <v>-1.1108325771800001</v>
      </c>
      <c r="AH6011">
        <v>19.348257544038301</v>
      </c>
      <c r="AI6011">
        <v>93.018554301685</v>
      </c>
      <c r="AJ6011">
        <v>113.29452482471299</v>
      </c>
      <c r="AK6011">
        <v>21.094691019963101</v>
      </c>
      <c r="AL6011">
        <v>91.065570995191493</v>
      </c>
      <c r="AM6011">
        <v>96.365179888552404</v>
      </c>
      <c r="AN6011">
        <v>0.99999998836691095</v>
      </c>
    </row>
    <row r="6012" spans="1:40" x14ac:dyDescent="0.3">
      <c r="A6012" t="str">
        <f>"20200111160623004"</f>
        <v>20200111160623004</v>
      </c>
      <c r="B6012" t="str">
        <f>"1578729982997870"</f>
        <v>1578729982997870</v>
      </c>
      <c r="C6012" t="s">
        <v>40</v>
      </c>
      <c r="D6012">
        <v>5.6308449999999999</v>
      </c>
      <c r="E6012">
        <v>0.44580720000000001</v>
      </c>
      <c r="F6012" t="s">
        <v>97</v>
      </c>
      <c r="G6012">
        <v>-215.15969999999999</v>
      </c>
      <c r="H6012" s="1">
        <v>-2.7053740000000001E-6</v>
      </c>
      <c r="I6012">
        <v>-52.9544</v>
      </c>
      <c r="J6012">
        <v>-248.29339999999999</v>
      </c>
      <c r="K6012">
        <v>1.1108129999999901</v>
      </c>
      <c r="L6012">
        <v>-63.211120000000001</v>
      </c>
      <c r="M6012">
        <v>0.9989403</v>
      </c>
      <c r="N6012">
        <v>0</v>
      </c>
      <c r="O6012">
        <v>4.4752550000000002E-2</v>
      </c>
      <c r="P6012">
        <v>0.98738000000000004</v>
      </c>
      <c r="Q6012">
        <v>-2.9270979999999999E-2</v>
      </c>
      <c r="R6012">
        <v>0.15564049999999999</v>
      </c>
      <c r="S6012">
        <v>2.8952179999999998</v>
      </c>
      <c r="T6012">
        <v>-9.6585989999999997E-2</v>
      </c>
      <c r="U6012">
        <v>0.89248660000000002</v>
      </c>
      <c r="V6012">
        <v>-0.1112499</v>
      </c>
      <c r="W6012">
        <v>-1.8853330000000001E-2</v>
      </c>
      <c r="X6012">
        <v>0.99361359999999999</v>
      </c>
      <c r="Y6012">
        <v>-0.25141449999999999</v>
      </c>
      <c r="Z6012">
        <v>2.6414569999999998E-3</v>
      </c>
      <c r="AA6012">
        <v>0.96787590000000001</v>
      </c>
      <c r="AB6012">
        <v>32</v>
      </c>
      <c r="AC6012">
        <v>33.133699999999997</v>
      </c>
      <c r="AD6012">
        <v>-1.11081570537399</v>
      </c>
      <c r="AE6012">
        <v>10.2567199999999</v>
      </c>
      <c r="AF6012">
        <v>-8.7545602412995809</v>
      </c>
      <c r="AG6012">
        <v>-1.11081570537399</v>
      </c>
      <c r="AH6012">
        <v>33.525155097329304</v>
      </c>
      <c r="AI6012">
        <v>91.8362029142925</v>
      </c>
      <c r="AJ6012">
        <v>104.63506251995599</v>
      </c>
      <c r="AK6012">
        <v>34.6671640150999</v>
      </c>
      <c r="AL6012">
        <v>91.080280256290393</v>
      </c>
      <c r="AM6012">
        <v>96.388512137262595</v>
      </c>
      <c r="AN6012">
        <v>0.99999998720352901</v>
      </c>
    </row>
    <row r="6013" spans="1:40" x14ac:dyDescent="0.3">
      <c r="A6013" t="str">
        <f>"20200111160623015"</f>
        <v>20200111160623015</v>
      </c>
      <c r="B6013" t="str">
        <f>"1578729983008606"</f>
        <v>1578729983008606</v>
      </c>
      <c r="C6013" t="s">
        <v>40</v>
      </c>
      <c r="D6013">
        <v>5.9149209999999997</v>
      </c>
      <c r="E6013">
        <v>0.52943149999999894</v>
      </c>
      <c r="F6013" t="s">
        <v>97</v>
      </c>
      <c r="G6013">
        <v>-215.35069999999999</v>
      </c>
      <c r="H6013" s="1">
        <v>-2.7527610000000001E-6</v>
      </c>
      <c r="I6013">
        <v>-53.020609999999998</v>
      </c>
      <c r="J6013">
        <v>-248.131</v>
      </c>
      <c r="K6013">
        <v>1.110654</v>
      </c>
      <c r="L6013">
        <v>-63.203310000000002</v>
      </c>
      <c r="M6013">
        <v>0.99892000000000003</v>
      </c>
      <c r="N6013">
        <v>0</v>
      </c>
      <c r="O6013">
        <v>4.5302139999999998E-2</v>
      </c>
      <c r="P6013">
        <v>0.98725569999999896</v>
      </c>
      <c r="Q6013">
        <v>-2.8915840000000002E-2</v>
      </c>
      <c r="R6013">
        <v>0.1564931</v>
      </c>
      <c r="S6013">
        <v>2.8943180000000002</v>
      </c>
      <c r="T6013">
        <v>-9.7595329999999994E-2</v>
      </c>
      <c r="U6013">
        <v>0.89532469999999997</v>
      </c>
      <c r="V6013">
        <v>-0.11156199999999999</v>
      </c>
      <c r="W6013">
        <v>-1.891516E-2</v>
      </c>
      <c r="X6013">
        <v>0.99357740000000005</v>
      </c>
      <c r="Y6013">
        <v>-0.25183109999999997</v>
      </c>
      <c r="Z6013">
        <v>2.6583090000000002E-3</v>
      </c>
      <c r="AA6013">
        <v>0.9677675</v>
      </c>
      <c r="AB6013">
        <v>32</v>
      </c>
      <c r="AC6013">
        <v>32.780299999999897</v>
      </c>
      <c r="AD6013">
        <v>-1.1106567527609901</v>
      </c>
      <c r="AE6013">
        <v>10.182699999999899</v>
      </c>
      <c r="AF6013">
        <v>-8.6780622302714594</v>
      </c>
      <c r="AG6013">
        <v>-1.1106567527609901</v>
      </c>
      <c r="AH6013">
        <v>33.173233720852899</v>
      </c>
      <c r="AI6013">
        <v>91.855192968317496</v>
      </c>
      <c r="AJ6013">
        <v>104.659961162352</v>
      </c>
      <c r="AK6013">
        <v>34.307517514289003</v>
      </c>
      <c r="AL6013">
        <v>91.083823519552496</v>
      </c>
      <c r="AM6013">
        <v>96.4065171147504</v>
      </c>
      <c r="AN6013">
        <v>0.99999995645629103</v>
      </c>
    </row>
    <row r="6014" spans="1:40" x14ac:dyDescent="0.3">
      <c r="A6014" t="str">
        <f>"20200111160623036"</f>
        <v>20200111160623036</v>
      </c>
      <c r="B6014" t="str">
        <f>"1578729983028129"</f>
        <v>1578729983028129</v>
      </c>
      <c r="C6014" t="s">
        <v>40</v>
      </c>
      <c r="D6014">
        <v>5.4440670000000004</v>
      </c>
      <c r="E6014">
        <v>0.52943149999999894</v>
      </c>
      <c r="F6014" t="s">
        <v>69</v>
      </c>
      <c r="G6014">
        <v>-157.3501</v>
      </c>
      <c r="H6014">
        <v>6.249174</v>
      </c>
      <c r="I6014">
        <v>-56.497579999999999</v>
      </c>
      <c r="J6014">
        <v>-247.81559999999999</v>
      </c>
      <c r="K6014">
        <v>1.1103160000000001</v>
      </c>
      <c r="L6014">
        <v>-63.187989999999999</v>
      </c>
      <c r="M6014">
        <v>0.99888250000000001</v>
      </c>
      <c r="N6014">
        <v>0</v>
      </c>
      <c r="O6014">
        <v>4.63405E-2</v>
      </c>
      <c r="P6014">
        <v>0.98699950000000003</v>
      </c>
      <c r="Q6014">
        <v>-2.800304E-2</v>
      </c>
      <c r="R6014">
        <v>0.15826560000000001</v>
      </c>
      <c r="S6014">
        <v>3.008499</v>
      </c>
      <c r="T6014">
        <v>0.1702909</v>
      </c>
      <c r="U6014">
        <v>0.22222900000000001</v>
      </c>
      <c r="V6014">
        <v>-0.1123151</v>
      </c>
      <c r="W6014">
        <v>-1.899998E-2</v>
      </c>
      <c r="X6014">
        <v>0.99349100000000001</v>
      </c>
      <c r="Y6014">
        <v>-2.740072E-2</v>
      </c>
      <c r="Z6014">
        <v>1.841849E-3</v>
      </c>
      <c r="AA6014">
        <v>0.99962280000000003</v>
      </c>
      <c r="AB6014">
        <v>33</v>
      </c>
      <c r="AC6014">
        <v>90.465500000000006</v>
      </c>
      <c r="AD6014">
        <v>5.1388579999999999</v>
      </c>
      <c r="AE6014">
        <v>6.6904099999999902</v>
      </c>
      <c r="AF6014">
        <v>-2.4828564444050598</v>
      </c>
      <c r="AG6014">
        <v>5.1388579999999999</v>
      </c>
      <c r="AH6014">
        <v>90.388279874804994</v>
      </c>
      <c r="AI6014">
        <v>86.747281872083903</v>
      </c>
      <c r="AJ6014">
        <v>91.573449926000393</v>
      </c>
      <c r="AK6014">
        <v>90.568281293142405</v>
      </c>
      <c r="AL6014">
        <v>91.088684147757405</v>
      </c>
      <c r="AM6014">
        <v>96.449957323218101</v>
      </c>
      <c r="AN6014">
        <v>1.0000000240044999</v>
      </c>
    </row>
    <row r="6015" spans="1:40" x14ac:dyDescent="0.3">
      <c r="A6015" t="str">
        <f>"20200111160623047"</f>
        <v>20200111160623047</v>
      </c>
      <c r="B6015" t="str">
        <f>"1578729983037886"</f>
        <v>1578729983037886</v>
      </c>
      <c r="C6015" t="s">
        <v>40</v>
      </c>
      <c r="D6015">
        <v>5.4706140000000003</v>
      </c>
      <c r="E6015">
        <v>0.56959469999999901</v>
      </c>
      <c r="F6015" t="s">
        <v>69</v>
      </c>
      <c r="G6015">
        <v>-157.3501</v>
      </c>
      <c r="H6015">
        <v>6.3165769999999997</v>
      </c>
      <c r="I6015">
        <v>-56.342799999999997</v>
      </c>
      <c r="J6015">
        <v>-247.6593</v>
      </c>
      <c r="K6015">
        <v>1.1101479999999999</v>
      </c>
      <c r="L6015">
        <v>-63.180300000000003</v>
      </c>
      <c r="M6015">
        <v>0.99886410000000003</v>
      </c>
      <c r="N6015">
        <v>0</v>
      </c>
      <c r="O6015">
        <v>4.6843700000000002E-2</v>
      </c>
      <c r="P6015">
        <v>0.98689309999999997</v>
      </c>
      <c r="Q6015">
        <v>-2.7569860000000002E-2</v>
      </c>
      <c r="R6015">
        <v>0.15900359999999999</v>
      </c>
      <c r="S6015">
        <v>3.0079500000000001</v>
      </c>
      <c r="T6015">
        <v>0.1731057</v>
      </c>
      <c r="U6015">
        <v>0.2276001</v>
      </c>
      <c r="V6015">
        <v>-0.1125583</v>
      </c>
      <c r="W6015">
        <v>-1.911873E-2</v>
      </c>
      <c r="X6015">
        <v>0.99346120000000004</v>
      </c>
      <c r="Y6015">
        <v>-2.8685530000000001E-2</v>
      </c>
      <c r="Z6015">
        <v>1.864379E-3</v>
      </c>
      <c r="AA6015">
        <v>0.9995868</v>
      </c>
      <c r="AB6015">
        <v>33</v>
      </c>
      <c r="AC6015">
        <v>90.309200000000004</v>
      </c>
      <c r="AD6015">
        <v>5.206429</v>
      </c>
      <c r="AE6015">
        <v>6.8375000000000004</v>
      </c>
      <c r="AF6015">
        <v>-2.5908532006851699</v>
      </c>
      <c r="AG6015">
        <v>5.206429</v>
      </c>
      <c r="AH6015">
        <v>90.2321685813382</v>
      </c>
      <c r="AI6015">
        <v>86.699031692986196</v>
      </c>
      <c r="AJ6015">
        <v>91.644692588376401</v>
      </c>
      <c r="AK6015">
        <v>90.419376629849495</v>
      </c>
      <c r="AL6015">
        <v>91.095489254998697</v>
      </c>
      <c r="AM6015">
        <v>96.463997826441101</v>
      </c>
      <c r="AN6015">
        <v>1.0000000263205699</v>
      </c>
    </row>
    <row r="6016" spans="1:40" x14ac:dyDescent="0.3">
      <c r="A6016" t="str">
        <f>"20200111160623059"</f>
        <v>20200111160623059</v>
      </c>
      <c r="B6016" t="str">
        <f>"1578729983048624"</f>
        <v>1578729983048624</v>
      </c>
      <c r="C6016" t="s">
        <v>40</v>
      </c>
      <c r="D6016">
        <v>5.4526389999999996</v>
      </c>
      <c r="E6016">
        <v>0.56812700000000005</v>
      </c>
      <c r="F6016" t="s">
        <v>42</v>
      </c>
      <c r="G6016">
        <v>-246.70689999999999</v>
      </c>
      <c r="H6016">
        <v>1.017744</v>
      </c>
      <c r="I6016">
        <v>-63.199260000000002</v>
      </c>
      <c r="J6016">
        <v>-247.489</v>
      </c>
      <c r="K6016">
        <v>1.109977</v>
      </c>
      <c r="L6016">
        <v>-63.171880000000002</v>
      </c>
      <c r="M6016">
        <v>0.99884360000000005</v>
      </c>
      <c r="N6016">
        <v>0</v>
      </c>
      <c r="O6016">
        <v>4.7386810000000001E-2</v>
      </c>
      <c r="P6016">
        <v>0.98681319999999995</v>
      </c>
      <c r="Q6016">
        <v>-2.7022190000000001E-2</v>
      </c>
      <c r="R6016">
        <v>0.15959189999999901</v>
      </c>
      <c r="S6016">
        <v>3.041229</v>
      </c>
      <c r="T6016">
        <v>-0.2950875</v>
      </c>
      <c r="U6016">
        <v>-5.963135E-2</v>
      </c>
      <c r="V6016">
        <v>-0.1126108</v>
      </c>
      <c r="W6016">
        <v>-1.917951E-2</v>
      </c>
      <c r="X6016">
        <v>0.99345399999999995</v>
      </c>
      <c r="Y6016">
        <v>6.6426830000000006E-2</v>
      </c>
      <c r="Z6016">
        <v>-7.8008859999999999E-3</v>
      </c>
      <c r="AA6016">
        <v>0.9977608</v>
      </c>
      <c r="AB6016">
        <v>33</v>
      </c>
      <c r="AC6016">
        <v>0.78210000000001401</v>
      </c>
      <c r="AD6016">
        <v>-9.2232999999999996E-2</v>
      </c>
      <c r="AE6016">
        <v>-2.7379999999993701E-2</v>
      </c>
      <c r="AF6016">
        <v>6.3529236605766801E-2</v>
      </c>
      <c r="AG6016">
        <v>-9.2232999999999996E-2</v>
      </c>
      <c r="AH6016">
        <v>0.76923877929013595</v>
      </c>
      <c r="AI6016">
        <v>96.814238397555101</v>
      </c>
      <c r="AJ6016">
        <v>85.278819366500301</v>
      </c>
      <c r="AK6016">
        <v>0.77734882115848702</v>
      </c>
      <c r="AL6016">
        <v>91.098972417132003</v>
      </c>
      <c r="AM6016">
        <v>96.467033732916207</v>
      </c>
      <c r="AN6016">
        <v>0.99999994799823799</v>
      </c>
    </row>
    <row r="6017" spans="1:40" x14ac:dyDescent="0.3">
      <c r="A6017" t="str">
        <f>"20200111160623071"</f>
        <v>20200111160623071</v>
      </c>
      <c r="B6017" t="str">
        <f>"1578729983068142"</f>
        <v>1578729983068142</v>
      </c>
      <c r="C6017" t="s">
        <v>40</v>
      </c>
      <c r="D6017">
        <v>5.3839709999999998</v>
      </c>
      <c r="E6017">
        <v>0.56783380000000006</v>
      </c>
      <c r="F6017" t="s">
        <v>42</v>
      </c>
      <c r="G6017">
        <v>-246.7002</v>
      </c>
      <c r="H6017">
        <v>1.032832</v>
      </c>
      <c r="I6017">
        <v>-63.184100000000001</v>
      </c>
      <c r="J6017">
        <v>-247.322</v>
      </c>
      <c r="K6017">
        <v>1.1098319999999999</v>
      </c>
      <c r="L6017">
        <v>-63.163569999999901</v>
      </c>
      <c r="M6017">
        <v>0.99882329999999997</v>
      </c>
      <c r="N6017">
        <v>0</v>
      </c>
      <c r="O6017">
        <v>4.7911990000000002E-2</v>
      </c>
      <c r="P6017">
        <v>0.98669079999999998</v>
      </c>
      <c r="Q6017">
        <v>-2.6432549999999999E-2</v>
      </c>
      <c r="R6017">
        <v>0.160445799999999</v>
      </c>
      <c r="S6017">
        <v>3.0394130000000001</v>
      </c>
      <c r="T6017">
        <v>-0.29733150000000003</v>
      </c>
      <c r="U6017">
        <v>-4.6020510000000001E-2</v>
      </c>
      <c r="V6017">
        <v>-0.11294899999999999</v>
      </c>
      <c r="W6017">
        <v>-1.9183260000000001E-2</v>
      </c>
      <c r="X6017">
        <v>0.99341559999999995</v>
      </c>
      <c r="Y6017">
        <v>6.2503059999999999E-2</v>
      </c>
      <c r="Z6017">
        <v>-7.724524E-3</v>
      </c>
      <c r="AA6017">
        <v>0.99801490000000004</v>
      </c>
      <c r="AB6017">
        <v>33</v>
      </c>
      <c r="AC6017">
        <v>0.62180000000000701</v>
      </c>
      <c r="AD6017">
        <v>-7.6999999999999902E-2</v>
      </c>
      <c r="AE6017">
        <v>-2.05300000000079E-2</v>
      </c>
      <c r="AF6017">
        <v>4.9540074406012102E-2</v>
      </c>
      <c r="AG6017">
        <v>-7.6999999999999902E-2</v>
      </c>
      <c r="AH6017">
        <v>0.61074667903054802</v>
      </c>
      <c r="AI6017">
        <v>97.162385827385194</v>
      </c>
      <c r="AJ6017">
        <v>85.362665737545996</v>
      </c>
      <c r="AK6017">
        <v>0.61757163545535099</v>
      </c>
      <c r="AL6017">
        <v>91.099187243082497</v>
      </c>
      <c r="AM6017">
        <v>96.4865392601141</v>
      </c>
      <c r="AN6017">
        <v>1.00000001419429</v>
      </c>
    </row>
    <row r="6018" spans="1:40" x14ac:dyDescent="0.3">
      <c r="A6018" t="str">
        <f>"20200111160623081"</f>
        <v>20200111160623081</v>
      </c>
      <c r="B6018" t="str">
        <f>"1578729983077902"</f>
        <v>1578729983077902</v>
      </c>
      <c r="C6018" t="s">
        <v>40</v>
      </c>
      <c r="D6018">
        <v>5.3565399999999999</v>
      </c>
      <c r="E6018">
        <v>0.56847669999999995</v>
      </c>
      <c r="F6018" t="s">
        <v>42</v>
      </c>
      <c r="G6018">
        <v>-246.4068</v>
      </c>
      <c r="H6018">
        <v>1.021747</v>
      </c>
      <c r="I6018">
        <v>-63.176070000000003</v>
      </c>
      <c r="J6018">
        <v>-247.15809999999999</v>
      </c>
      <c r="K6018">
        <v>1.109702</v>
      </c>
      <c r="L6018">
        <v>-63.155360000000002</v>
      </c>
      <c r="M6018">
        <v>0.99880290000000005</v>
      </c>
      <c r="N6018">
        <v>0</v>
      </c>
      <c r="O6018">
        <v>4.8423059999999997E-2</v>
      </c>
      <c r="P6018">
        <v>0.9865583</v>
      </c>
      <c r="Q6018">
        <v>-2.6189830000000001E-2</v>
      </c>
      <c r="R6018">
        <v>0.161298</v>
      </c>
      <c r="S6018">
        <v>3.0393520000000001</v>
      </c>
      <c r="T6018">
        <v>-0.2925394</v>
      </c>
      <c r="U6018">
        <v>-4.1229250000000002E-2</v>
      </c>
      <c r="V6018">
        <v>-0.11329880000000001</v>
      </c>
      <c r="W6018">
        <v>-1.952017E-2</v>
      </c>
      <c r="X6018">
        <v>0.99336919999999995</v>
      </c>
      <c r="Y6018">
        <v>6.1460069999999999E-2</v>
      </c>
      <c r="Z6018">
        <v>-7.5997440000000003E-3</v>
      </c>
      <c r="AA6018">
        <v>0.99808059999999998</v>
      </c>
      <c r="AB6018">
        <v>33</v>
      </c>
      <c r="AC6018">
        <v>0.75129999999998598</v>
      </c>
      <c r="AD6018">
        <v>-8.7954999999999894E-2</v>
      </c>
      <c r="AE6018">
        <v>-2.0710000000001099E-2</v>
      </c>
      <c r="AF6018">
        <v>5.6295846094564499E-2</v>
      </c>
      <c r="AG6018">
        <v>-8.7954999999999894E-2</v>
      </c>
      <c r="AH6018">
        <v>0.73929110667637599</v>
      </c>
      <c r="AI6018">
        <v>96.765302992657098</v>
      </c>
      <c r="AJ6018">
        <v>85.645421014096499</v>
      </c>
      <c r="AK6018">
        <v>0.74663019274824605</v>
      </c>
      <c r="AL6018">
        <v>91.118494382690599</v>
      </c>
      <c r="AM6018">
        <v>96.506757208344695</v>
      </c>
      <c r="AN6018">
        <v>1.00000001131345</v>
      </c>
    </row>
    <row r="6019" spans="1:40" x14ac:dyDescent="0.3">
      <c r="A6019" t="str">
        <f>"20200111160623093"</f>
        <v>20200111160623093</v>
      </c>
      <c r="B6019" t="str">
        <f>"1578729983088637"</f>
        <v>1578729983088637</v>
      </c>
      <c r="C6019" t="s">
        <v>40</v>
      </c>
      <c r="D6019">
        <v>5.3255249999999998</v>
      </c>
      <c r="E6019">
        <v>0.56889029999999996</v>
      </c>
      <c r="F6019" t="s">
        <v>42</v>
      </c>
      <c r="G6019">
        <v>-246.399</v>
      </c>
      <c r="H6019">
        <v>1.0384519999999999</v>
      </c>
      <c r="I6019">
        <v>-63.166460000000001</v>
      </c>
      <c r="J6019">
        <v>-246.9803</v>
      </c>
      <c r="K6019">
        <v>1.109588</v>
      </c>
      <c r="L6019">
        <v>-63.146389999999997</v>
      </c>
      <c r="M6019">
        <v>0.99878080000000002</v>
      </c>
      <c r="N6019">
        <v>0</v>
      </c>
      <c r="O6019">
        <v>4.8963100000000002E-2</v>
      </c>
      <c r="P6019">
        <v>0.98651710000000004</v>
      </c>
      <c r="Q6019">
        <v>-2.5508739999999998E-2</v>
      </c>
      <c r="R6019">
        <v>0.16165889999999999</v>
      </c>
      <c r="S6019">
        <v>3.0405120000000001</v>
      </c>
      <c r="T6019">
        <v>-0.2854275</v>
      </c>
      <c r="U6019">
        <v>-4.4128420000000002E-2</v>
      </c>
      <c r="V6019">
        <v>-0.11312510000000001</v>
      </c>
      <c r="W6019">
        <v>-1.9456959999999999E-2</v>
      </c>
      <c r="X6019">
        <v>0.9933902</v>
      </c>
      <c r="Y6019">
        <v>6.2961509999999998E-2</v>
      </c>
      <c r="Z6019">
        <v>-7.5338119999999904E-3</v>
      </c>
      <c r="AA6019">
        <v>0.99798750000000003</v>
      </c>
      <c r="AB6019">
        <v>33</v>
      </c>
      <c r="AC6019">
        <v>0.58129999999999804</v>
      </c>
      <c r="AD6019">
        <v>-7.1135999999999797E-2</v>
      </c>
      <c r="AE6019">
        <v>-2.0069999999996899E-2</v>
      </c>
      <c r="AF6019">
        <v>4.7793859757682799E-2</v>
      </c>
      <c r="AG6019">
        <v>-7.1135999999999797E-2</v>
      </c>
      <c r="AH6019">
        <v>0.571078108605097</v>
      </c>
      <c r="AI6019">
        <v>97.0759556700216</v>
      </c>
      <c r="AJ6019">
        <v>85.216031186758798</v>
      </c>
      <c r="AK6019">
        <v>0.57747276096324396</v>
      </c>
      <c r="AL6019">
        <v>91.114872068483393</v>
      </c>
      <c r="AM6019">
        <v>96.496730792328606</v>
      </c>
      <c r="AN6019">
        <v>0.99999997549924502</v>
      </c>
    </row>
    <row r="6020" spans="1:40" x14ac:dyDescent="0.3">
      <c r="A6020" t="str">
        <f>"20200111160623105"</f>
        <v>20200111160623105</v>
      </c>
      <c r="B6020" t="str">
        <f>"1578729983098397"</f>
        <v>1578729983098397</v>
      </c>
      <c r="C6020" t="s">
        <v>40</v>
      </c>
      <c r="D6020">
        <v>5.3198589999999903</v>
      </c>
      <c r="E6020">
        <v>0.56911219999999996</v>
      </c>
      <c r="F6020" t="s">
        <v>42</v>
      </c>
      <c r="G6020">
        <v>-246.10220000000001</v>
      </c>
      <c r="H6020">
        <v>1.0290520000000001</v>
      </c>
      <c r="I6020">
        <v>-63.160060000000001</v>
      </c>
      <c r="J6020">
        <v>-246.80789999999999</v>
      </c>
      <c r="K6020">
        <v>1.109486</v>
      </c>
      <c r="L6020">
        <v>-63.137659999999997</v>
      </c>
      <c r="M6020">
        <v>0.99875879999999995</v>
      </c>
      <c r="N6020">
        <v>0</v>
      </c>
      <c r="O6020">
        <v>4.9481700000000003E-2</v>
      </c>
      <c r="P6020">
        <v>0.98644529999999997</v>
      </c>
      <c r="Q6020">
        <v>-2.5336580000000001E-2</v>
      </c>
      <c r="R6020">
        <v>0.16212289999999999</v>
      </c>
      <c r="S6020">
        <v>3.0414119999999998</v>
      </c>
      <c r="T6020">
        <v>-0.27901890000000001</v>
      </c>
      <c r="U6020">
        <v>-4.6478270000000002E-2</v>
      </c>
      <c r="V6020">
        <v>-0.11307680000000001</v>
      </c>
      <c r="W6020">
        <v>-1.987908E-2</v>
      </c>
      <c r="X6020">
        <v>0.99338729999999997</v>
      </c>
      <c r="Y6020">
        <v>6.426055E-2</v>
      </c>
      <c r="Z6020">
        <v>-7.470066E-3</v>
      </c>
      <c r="AA6020">
        <v>0.99790520000000005</v>
      </c>
      <c r="AB6020">
        <v>34</v>
      </c>
      <c r="AC6020">
        <v>0.70569999999997801</v>
      </c>
      <c r="AD6020">
        <v>-8.0433999999999894E-2</v>
      </c>
      <c r="AE6020">
        <v>-2.2399999999997498E-2</v>
      </c>
      <c r="AF6020">
        <v>5.65583573508215E-2</v>
      </c>
      <c r="AG6020">
        <v>-8.0433999999999894E-2</v>
      </c>
      <c r="AH6020">
        <v>0.69471126490609503</v>
      </c>
      <c r="AI6020">
        <v>96.582739510715101</v>
      </c>
      <c r="AJ6020">
        <v>85.345657731928398</v>
      </c>
      <c r="AK6020">
        <v>0.70163538802546899</v>
      </c>
      <c r="AL6020">
        <v>91.139062490043699</v>
      </c>
      <c r="AM6020">
        <v>96.493999437718202</v>
      </c>
      <c r="AN6020">
        <v>0.99999993416058597</v>
      </c>
    </row>
    <row r="6021" spans="1:40" x14ac:dyDescent="0.3">
      <c r="A6021" t="str">
        <f>"20200111160623116"</f>
        <v>20200111160623116</v>
      </c>
      <c r="B6021" t="str">
        <f>"1578729983108158"</f>
        <v>1578729983108158</v>
      </c>
      <c r="C6021" t="s">
        <v>40</v>
      </c>
      <c r="D6021">
        <v>5.3512559999999896</v>
      </c>
      <c r="E6021">
        <v>0.56939640000000002</v>
      </c>
      <c r="F6021" t="s">
        <v>42</v>
      </c>
      <c r="G6021">
        <v>-245.80350000000001</v>
      </c>
      <c r="H6021">
        <v>1.018419</v>
      </c>
      <c r="I6021">
        <v>-63.153350000000003</v>
      </c>
      <c r="J6021">
        <v>-246.6302</v>
      </c>
      <c r="K6021">
        <v>1.109413</v>
      </c>
      <c r="L6021">
        <v>-63.128509999999999</v>
      </c>
      <c r="M6021">
        <v>0.99873630000000002</v>
      </c>
      <c r="N6021">
        <v>0</v>
      </c>
      <c r="O6021">
        <v>4.9999389999999998E-2</v>
      </c>
      <c r="P6021">
        <v>0.98641160000000006</v>
      </c>
      <c r="Q6021">
        <v>-2.462661E-2</v>
      </c>
      <c r="R6021">
        <v>0.16243740000000001</v>
      </c>
      <c r="S6021">
        <v>3.041855</v>
      </c>
      <c r="T6021">
        <v>-0.27581499999999998</v>
      </c>
      <c r="U6021">
        <v>-4.6966550000000003E-2</v>
      </c>
      <c r="V6021">
        <v>-0.11287759999999999</v>
      </c>
      <c r="W6021">
        <v>-1.975534E-2</v>
      </c>
      <c r="X6021">
        <v>0.99341250000000003</v>
      </c>
      <c r="Y6021">
        <v>6.4941639999999995E-2</v>
      </c>
      <c r="Z6021">
        <v>-7.4611729999999998E-3</v>
      </c>
      <c r="AA6021">
        <v>0.99786109999999995</v>
      </c>
      <c r="AB6021">
        <v>34</v>
      </c>
      <c r="AC6021">
        <v>0.826699999999988</v>
      </c>
      <c r="AD6021">
        <v>-9.0994000000000005E-2</v>
      </c>
      <c r="AE6021">
        <v>-2.4840000000004601E-2</v>
      </c>
      <c r="AF6021">
        <v>6.5352913089435097E-2</v>
      </c>
      <c r="AG6021">
        <v>-9.0994000000000005E-2</v>
      </c>
      <c r="AH6021">
        <v>0.81456428985903295</v>
      </c>
      <c r="AI6021">
        <v>96.353768169666907</v>
      </c>
      <c r="AJ6021">
        <v>85.412955392005898</v>
      </c>
      <c r="AK6021">
        <v>0.82223226256260795</v>
      </c>
      <c r="AL6021">
        <v>91.131971230712793</v>
      </c>
      <c r="AM6021">
        <v>96.482493805676299</v>
      </c>
      <c r="AN6021">
        <v>1.00000001059826</v>
      </c>
    </row>
    <row r="6022" spans="1:40" x14ac:dyDescent="0.3">
      <c r="A6022" t="str">
        <f>"20200111160623128"</f>
        <v>20200111160623128</v>
      </c>
      <c r="B6022" t="str">
        <f>"1578729983117918"</f>
        <v>1578729983117918</v>
      </c>
      <c r="C6022" t="s">
        <v>40</v>
      </c>
      <c r="D6022">
        <v>5.3260399999999999</v>
      </c>
      <c r="E6022">
        <v>0.569878</v>
      </c>
      <c r="F6022" t="s">
        <v>42</v>
      </c>
      <c r="G6022">
        <v>-245.7961</v>
      </c>
      <c r="H6022">
        <v>1.034778</v>
      </c>
      <c r="I6022">
        <v>-63.141930000000002</v>
      </c>
      <c r="J6022">
        <v>-246.46010000000001</v>
      </c>
      <c r="K6022">
        <v>1.109354</v>
      </c>
      <c r="L6022">
        <v>-63.119689999999999</v>
      </c>
      <c r="M6022">
        <v>0.99871410000000005</v>
      </c>
      <c r="N6022">
        <v>0</v>
      </c>
      <c r="O6022">
        <v>5.049054E-2</v>
      </c>
      <c r="P6022">
        <v>0.9863942</v>
      </c>
      <c r="Q6022">
        <v>-2.428779E-2</v>
      </c>
      <c r="R6022">
        <v>0.1625935</v>
      </c>
      <c r="S6022">
        <v>3.0424799999999999</v>
      </c>
      <c r="T6022">
        <v>-0.2722696</v>
      </c>
      <c r="U6022">
        <v>-4.8309329999999998E-2</v>
      </c>
      <c r="V6022">
        <v>-0.11254459999999999</v>
      </c>
      <c r="W6022">
        <v>-1.9960439999999999E-2</v>
      </c>
      <c r="X6022">
        <v>0.99344619999999995</v>
      </c>
      <c r="Y6022">
        <v>6.5875870000000003E-2</v>
      </c>
      <c r="Z6022">
        <v>-7.4496619999999897E-3</v>
      </c>
      <c r="AA6022">
        <v>0.99780000000000002</v>
      </c>
      <c r="AB6022">
        <v>34</v>
      </c>
      <c r="AC6022">
        <v>0.66400000000001502</v>
      </c>
      <c r="AD6022">
        <v>-7.4576000000000198E-2</v>
      </c>
      <c r="AE6022">
        <v>-2.2239999999996402E-2</v>
      </c>
      <c r="AF6022">
        <v>5.5044137893906303E-2</v>
      </c>
      <c r="AG6022">
        <v>-7.4576000000000198E-2</v>
      </c>
      <c r="AH6022">
        <v>0.65379228638694797</v>
      </c>
      <c r="AI6022">
        <v>96.484675156465897</v>
      </c>
      <c r="AJ6022">
        <v>85.187498090631294</v>
      </c>
      <c r="AK6022">
        <v>0.66033006188690002</v>
      </c>
      <c r="AL6022">
        <v>91.143724891358403</v>
      </c>
      <c r="AM6022">
        <v>96.463314482659499</v>
      </c>
      <c r="AN6022">
        <v>1.0000000292242901</v>
      </c>
    </row>
    <row r="6023" spans="1:40" x14ac:dyDescent="0.3">
      <c r="A6023" t="str">
        <f>"20200111160623138"</f>
        <v>20200111160623138</v>
      </c>
      <c r="B6023" t="str">
        <f>"1578729983128655"</f>
        <v>1578729983128655</v>
      </c>
      <c r="C6023" t="s">
        <v>40</v>
      </c>
      <c r="D6023">
        <v>5.3412230000000003</v>
      </c>
      <c r="E6023">
        <v>0.57141609999999998</v>
      </c>
      <c r="F6023" t="s">
        <v>42</v>
      </c>
      <c r="G6023">
        <v>-245.4948</v>
      </c>
      <c r="H6023">
        <v>1.024335</v>
      </c>
      <c r="I6023">
        <v>-63.136339999999997</v>
      </c>
      <c r="J6023">
        <v>-246.29169999999999</v>
      </c>
      <c r="K6023">
        <v>1.109313</v>
      </c>
      <c r="L6023">
        <v>-63.110900000000001</v>
      </c>
      <c r="M6023">
        <v>0.99869220000000003</v>
      </c>
      <c r="N6023">
        <v>0</v>
      </c>
      <c r="O6023">
        <v>5.096792E-2</v>
      </c>
      <c r="P6023">
        <v>0.98637629999999998</v>
      </c>
      <c r="Q6023">
        <v>-2.4298199999999999E-2</v>
      </c>
      <c r="R6023">
        <v>0.16270090000000001</v>
      </c>
      <c r="S6023">
        <v>3.0433349999999999</v>
      </c>
      <c r="T6023">
        <v>-0.26805190000000001</v>
      </c>
      <c r="U6023">
        <v>-5.181885E-2</v>
      </c>
      <c r="V6023">
        <v>-0.11217679999999999</v>
      </c>
      <c r="W6023">
        <v>-2.0478860000000002E-2</v>
      </c>
      <c r="X6023">
        <v>0.99347719999999995</v>
      </c>
      <c r="Y6023">
        <v>6.7504850000000005E-2</v>
      </c>
      <c r="Z6023">
        <v>-7.4461340000000001E-3</v>
      </c>
      <c r="AA6023">
        <v>0.9976912</v>
      </c>
      <c r="AB6023">
        <v>34</v>
      </c>
      <c r="AC6023">
        <v>0.79689999999999295</v>
      </c>
      <c r="AD6023">
        <v>-8.4977999999999998E-2</v>
      </c>
      <c r="AE6023">
        <v>-2.54400000000032E-2</v>
      </c>
      <c r="AF6023">
        <v>6.5282020964676599E-2</v>
      </c>
      <c r="AG6023">
        <v>-8.4977999999999998E-2</v>
      </c>
      <c r="AH6023">
        <v>0.78564302141981301</v>
      </c>
      <c r="AI6023">
        <v>96.152279966486901</v>
      </c>
      <c r="AJ6023">
        <v>85.249991302002002</v>
      </c>
      <c r="AK6023">
        <v>0.79291737265044504</v>
      </c>
      <c r="AL6023">
        <v>91.173434297344997</v>
      </c>
      <c r="AM6023">
        <v>96.442170661503795</v>
      </c>
      <c r="AN6023">
        <v>0.99999998254248901</v>
      </c>
    </row>
    <row r="6024" spans="1:40" x14ac:dyDescent="0.3">
      <c r="A6024" t="str">
        <f>"20200111160623150"</f>
        <v>20200111160623150</v>
      </c>
      <c r="B6024" t="str">
        <f>"1578729983138414"</f>
        <v>1578729983138414</v>
      </c>
      <c r="C6024" t="s">
        <v>40</v>
      </c>
      <c r="D6024">
        <v>5.5236229999999997</v>
      </c>
      <c r="E6024">
        <v>0.57141609999999998</v>
      </c>
      <c r="F6024" t="s">
        <v>42</v>
      </c>
      <c r="G6024">
        <v>-245.488</v>
      </c>
      <c r="H6024">
        <v>1.03922</v>
      </c>
      <c r="I6024">
        <v>-63.127940000000002</v>
      </c>
      <c r="J6024">
        <v>-246.1267</v>
      </c>
      <c r="K6024">
        <v>1.1092850000000001</v>
      </c>
      <c r="L6024">
        <v>-63.102170000000001</v>
      </c>
      <c r="M6024">
        <v>0.99867019999999995</v>
      </c>
      <c r="N6024">
        <v>0</v>
      </c>
      <c r="O6024">
        <v>5.1431570000000003E-2</v>
      </c>
      <c r="P6024">
        <v>0.9863864</v>
      </c>
      <c r="Q6024">
        <v>-2.3724889999999998E-2</v>
      </c>
      <c r="R6024">
        <v>0.1627247</v>
      </c>
      <c r="S6024">
        <v>3.04541</v>
      </c>
      <c r="T6024">
        <v>-0.26563409999999998</v>
      </c>
      <c r="U6024">
        <v>-6.3751219999999997E-2</v>
      </c>
      <c r="V6024">
        <v>-0.1117379</v>
      </c>
      <c r="W6024">
        <v>-2.0367159999999999E-2</v>
      </c>
      <c r="X6024">
        <v>0.993529</v>
      </c>
      <c r="Y6024">
        <v>7.1854000000000001E-2</v>
      </c>
      <c r="Z6024">
        <v>-7.6036769999999997E-3</v>
      </c>
      <c r="AA6024">
        <v>0.9973862</v>
      </c>
      <c r="AB6024">
        <v>34</v>
      </c>
      <c r="AC6024">
        <v>0.63870000000000005</v>
      </c>
      <c r="AD6024">
        <v>-7.0065000000000002E-2</v>
      </c>
      <c r="AE6024">
        <v>-2.5770000000008501E-2</v>
      </c>
      <c r="AF6024">
        <v>5.7889931989612599E-2</v>
      </c>
      <c r="AG6024">
        <v>-7.0065000000000002E-2</v>
      </c>
      <c r="AH6024">
        <v>0.62897255706537103</v>
      </c>
      <c r="AI6024">
        <v>96.329777475972307</v>
      </c>
      <c r="AJ6024">
        <v>84.741375896603699</v>
      </c>
      <c r="AK6024">
        <v>0.63550517385156902</v>
      </c>
      <c r="AL6024">
        <v>91.167032972027798</v>
      </c>
      <c r="AM6024">
        <v>96.416844077199798</v>
      </c>
      <c r="AN6024">
        <v>1.00000002667193</v>
      </c>
    </row>
    <row r="6025" spans="1:40" x14ac:dyDescent="0.3">
      <c r="A6025" t="str">
        <f>"20200111160623159"</f>
        <v>20200111160623159</v>
      </c>
      <c r="B6025" t="str">
        <f>"1578729983148174"</f>
        <v>1578729983148174</v>
      </c>
      <c r="C6025" t="s">
        <v>40</v>
      </c>
      <c r="D6025">
        <v>5.3613629999999999</v>
      </c>
      <c r="E6025">
        <v>0.6031012</v>
      </c>
      <c r="F6025" t="s">
        <v>42</v>
      </c>
      <c r="G6025">
        <v>-245.1848</v>
      </c>
      <c r="H6025">
        <v>1.0276970000000001</v>
      </c>
      <c r="I6025">
        <v>-63.1220199999999</v>
      </c>
      <c r="J6025">
        <v>-245.96019999999999</v>
      </c>
      <c r="K6025">
        <v>1.1092709999999999</v>
      </c>
      <c r="L6025">
        <v>-63.093319999999999</v>
      </c>
      <c r="M6025">
        <v>0.99864750000000002</v>
      </c>
      <c r="N6025">
        <v>0</v>
      </c>
      <c r="O6025">
        <v>5.1895740000000003E-2</v>
      </c>
      <c r="P6025">
        <v>0.98641800000000002</v>
      </c>
      <c r="Q6025">
        <v>-2.3275400000000002E-2</v>
      </c>
      <c r="R6025">
        <v>0.16259770000000001</v>
      </c>
      <c r="S6025">
        <v>3.045563</v>
      </c>
      <c r="T6025">
        <v>-0.26379029999999998</v>
      </c>
      <c r="U6025">
        <v>-6.3659670000000002E-2</v>
      </c>
      <c r="V6025">
        <v>-0.1111467</v>
      </c>
      <c r="W6025">
        <v>-2.0352189999999999E-2</v>
      </c>
      <c r="X6025">
        <v>0.99359560000000002</v>
      </c>
      <c r="Y6025">
        <v>7.2289619999999999E-2</v>
      </c>
      <c r="Z6025">
        <v>-7.6096389999999996E-3</v>
      </c>
      <c r="AA6025">
        <v>0.99735459999999998</v>
      </c>
      <c r="AB6025">
        <v>34</v>
      </c>
      <c r="AC6025">
        <v>0.77539999999998999</v>
      </c>
      <c r="AD6025">
        <v>-8.1573999999999994E-2</v>
      </c>
      <c r="AE6025">
        <v>-2.8699999999993502E-2</v>
      </c>
      <c r="AF6025">
        <v>6.8148281264414995E-2</v>
      </c>
      <c r="AG6025">
        <v>-8.1573999999999994E-2</v>
      </c>
      <c r="AH6025">
        <v>0.76441707111136803</v>
      </c>
      <c r="AI6025">
        <v>96.067326585585306</v>
      </c>
      <c r="AJ6025">
        <v>84.905512062958806</v>
      </c>
      <c r="AK6025">
        <v>0.77177196393868597</v>
      </c>
      <c r="AL6025">
        <v>91.166175097661096</v>
      </c>
      <c r="AM6025">
        <v>96.382749492137705</v>
      </c>
      <c r="AN6025">
        <v>1.0000000084490199</v>
      </c>
    </row>
    <row r="6026" spans="1:40" x14ac:dyDescent="0.3">
      <c r="A6026" t="str">
        <f>"20200111160623171"</f>
        <v>20200111160623171</v>
      </c>
      <c r="B6026" t="str">
        <f>"1578729983168670"</f>
        <v>1578729983168670</v>
      </c>
      <c r="C6026" t="s">
        <v>40</v>
      </c>
      <c r="D6026">
        <v>5.3406029999999998</v>
      </c>
      <c r="E6026">
        <v>0.6079871</v>
      </c>
      <c r="F6026" t="s">
        <v>42</v>
      </c>
      <c r="G6026">
        <v>-245.18969999999999</v>
      </c>
      <c r="H6026">
        <v>1.0113749999999999</v>
      </c>
      <c r="I6026">
        <v>-63.170050000000003</v>
      </c>
      <c r="J6026">
        <v>-245.7886</v>
      </c>
      <c r="K6026">
        <v>1.1092740000000001</v>
      </c>
      <c r="L6026">
        <v>-63.084049999999998</v>
      </c>
      <c r="M6026">
        <v>0.99862379999999995</v>
      </c>
      <c r="N6026">
        <v>0</v>
      </c>
      <c r="O6026">
        <v>5.2371439999999998E-2</v>
      </c>
      <c r="P6026">
        <v>0.98642730000000001</v>
      </c>
      <c r="Q6026">
        <v>-2.268651E-2</v>
      </c>
      <c r="R6026">
        <v>0.1626242</v>
      </c>
      <c r="S6026">
        <v>3.0825499999999999</v>
      </c>
      <c r="T6026">
        <v>-0.39161990000000002</v>
      </c>
      <c r="U6026">
        <v>-0.30633539999999998</v>
      </c>
      <c r="V6026">
        <v>-0.1106989</v>
      </c>
      <c r="W6026">
        <v>-2.0150120000000001E-2</v>
      </c>
      <c r="X6026">
        <v>0.99364969999999997</v>
      </c>
      <c r="Y6026">
        <v>0.1492627</v>
      </c>
      <c r="Z6026">
        <v>-1.6033390000000002E-2</v>
      </c>
      <c r="AA6026">
        <v>0.98866759999999998</v>
      </c>
      <c r="AB6026">
        <v>34</v>
      </c>
      <c r="AC6026">
        <v>0.59890000000001398</v>
      </c>
      <c r="AD6026">
        <v>-9.7898999999999903E-2</v>
      </c>
      <c r="AE6026">
        <v>-8.60000000000056E-2</v>
      </c>
      <c r="AF6026">
        <v>0.11425603522380599</v>
      </c>
      <c r="AG6026">
        <v>-9.7898999999999903E-2</v>
      </c>
      <c r="AH6026">
        <v>0.57843034585452702</v>
      </c>
      <c r="AI6026">
        <v>99.427449642769304</v>
      </c>
      <c r="AJ6026">
        <v>78.826334396051294</v>
      </c>
      <c r="AK6026">
        <v>0.597679111891533</v>
      </c>
      <c r="AL6026">
        <v>91.154594974464104</v>
      </c>
      <c r="AM6026">
        <v>96.356901637105594</v>
      </c>
      <c r="AN6026">
        <v>1.00000000005365</v>
      </c>
    </row>
    <row r="6027" spans="1:40" x14ac:dyDescent="0.3">
      <c r="A6027" t="str">
        <f>"20200111160623182"</f>
        <v>20200111160623182</v>
      </c>
      <c r="B6027" t="str">
        <f>"1578729983178430"</f>
        <v>1578729983178430</v>
      </c>
      <c r="C6027" t="s">
        <v>40</v>
      </c>
      <c r="D6027">
        <v>5.3083450000000001</v>
      </c>
      <c r="E6027">
        <v>0.60919829999999997</v>
      </c>
      <c r="F6027" t="s">
        <v>42</v>
      </c>
      <c r="G6027">
        <v>-244.87440000000001</v>
      </c>
      <c r="H6027">
        <v>1.0164930000000001</v>
      </c>
      <c r="I6027">
        <v>-63.187390000000001</v>
      </c>
      <c r="J6027">
        <v>-245.61330000000001</v>
      </c>
      <c r="K6027">
        <v>1.109289</v>
      </c>
      <c r="L6027">
        <v>-63.074550000000002</v>
      </c>
      <c r="M6027">
        <v>0.99859940000000003</v>
      </c>
      <c r="N6027">
        <v>0</v>
      </c>
      <c r="O6027">
        <v>5.2855689999999997E-2</v>
      </c>
      <c r="P6027">
        <v>0.98643890000000001</v>
      </c>
      <c r="Q6027">
        <v>-2.2360149999999999E-2</v>
      </c>
      <c r="R6027">
        <v>0.16259999999999999</v>
      </c>
      <c r="S6027">
        <v>3.0916139999999999</v>
      </c>
      <c r="T6027">
        <v>-0.31374619999999998</v>
      </c>
      <c r="U6027">
        <v>-0.34930420000000001</v>
      </c>
      <c r="V6027">
        <v>-0.11019139999999999</v>
      </c>
      <c r="W6027">
        <v>-2.019073E-2</v>
      </c>
      <c r="X6027">
        <v>0.99370530000000001</v>
      </c>
      <c r="Y6027">
        <v>0.16353599999999999</v>
      </c>
      <c r="Z6027">
        <v>-1.3586249999999999E-2</v>
      </c>
      <c r="AA6027">
        <v>0.98644379999999998</v>
      </c>
      <c r="AB6027">
        <v>35</v>
      </c>
      <c r="AC6027">
        <v>0.738900000000001</v>
      </c>
      <c r="AD6027">
        <v>-9.2795999999999795E-2</v>
      </c>
      <c r="AE6027">
        <v>-0.112839999999998</v>
      </c>
      <c r="AF6027">
        <v>0.14943427744447799</v>
      </c>
      <c r="AG6027">
        <v>-9.2795999999999795E-2</v>
      </c>
      <c r="AH6027">
        <v>0.72079359540407695</v>
      </c>
      <c r="AI6027">
        <v>97.184853407682695</v>
      </c>
      <c r="AJ6027">
        <v>78.287416501277605</v>
      </c>
      <c r="AK6027">
        <v>0.74194683641544701</v>
      </c>
      <c r="AL6027">
        <v>91.156922210239799</v>
      </c>
      <c r="AM6027">
        <v>96.327644129008902</v>
      </c>
      <c r="AN6027">
        <v>1.0000000167299901</v>
      </c>
    </row>
    <row r="6028" spans="1:40" x14ac:dyDescent="0.3">
      <c r="A6028" t="str">
        <f>"20200111160623195"</f>
        <v>20200111160623195</v>
      </c>
      <c r="B6028" t="str">
        <f>"1578729983188189"</f>
        <v>1578729983188189</v>
      </c>
      <c r="C6028" t="s">
        <v>40</v>
      </c>
      <c r="D6028">
        <v>5.5164949999999999</v>
      </c>
      <c r="E6028">
        <v>0.60900519999999903</v>
      </c>
      <c r="F6028" t="s">
        <v>42</v>
      </c>
      <c r="G6028">
        <v>-244.8664</v>
      </c>
      <c r="H6028">
        <v>1.037417</v>
      </c>
      <c r="I6028">
        <v>-63.161490000000001</v>
      </c>
      <c r="J6028">
        <v>-245.42769999999999</v>
      </c>
      <c r="K6028">
        <v>1.109326</v>
      </c>
      <c r="L6028">
        <v>-63.064300000000003</v>
      </c>
      <c r="M6028">
        <v>0.99857269999999998</v>
      </c>
      <c r="N6028">
        <v>0</v>
      </c>
      <c r="O6028">
        <v>5.3366539999999997E-2</v>
      </c>
      <c r="P6028">
        <v>0.98640810000000001</v>
      </c>
      <c r="Q6028">
        <v>-2.1503419999999999E-2</v>
      </c>
      <c r="R6028">
        <v>0.1629004</v>
      </c>
      <c r="S6028">
        <v>3.093826</v>
      </c>
      <c r="T6028">
        <v>-0.29767519999999997</v>
      </c>
      <c r="U6028">
        <v>-0.35983280000000001</v>
      </c>
      <c r="V6028">
        <v>-0.1099841</v>
      </c>
      <c r="W6028">
        <v>-1.9620640000000002E-2</v>
      </c>
      <c r="X6028">
        <v>0.9937397</v>
      </c>
      <c r="Y6028">
        <v>0.1673655</v>
      </c>
      <c r="Z6028">
        <v>-1.311418E-2</v>
      </c>
      <c r="AA6028">
        <v>0.98580769999999995</v>
      </c>
      <c r="AB6028">
        <v>35</v>
      </c>
      <c r="AC6028">
        <v>0.56129999999998803</v>
      </c>
      <c r="AD6028">
        <v>-7.1909000000000001E-2</v>
      </c>
      <c r="AE6028">
        <v>-9.7189999999997598E-2</v>
      </c>
      <c r="AF6028">
        <v>0.125014133198563</v>
      </c>
      <c r="AG6028">
        <v>-7.1909000000000001E-2</v>
      </c>
      <c r="AH6028">
        <v>0.54660340918300798</v>
      </c>
      <c r="AI6028">
        <v>97.307988756919002</v>
      </c>
      <c r="AJ6028">
        <v>77.117406749093206</v>
      </c>
      <c r="AK6028">
        <v>0.56530940617583503</v>
      </c>
      <c r="AL6028">
        <v>91.124251969518795</v>
      </c>
      <c r="AM6028">
        <v>96.315619529138203</v>
      </c>
      <c r="AN6028">
        <v>1.0000000315614499</v>
      </c>
    </row>
    <row r="6029" spans="1:40" x14ac:dyDescent="0.3">
      <c r="A6029" t="str">
        <f>"20200111160623204"</f>
        <v>20200111160623204</v>
      </c>
      <c r="B6029" t="str">
        <f>"1578729983197950"</f>
        <v>1578729983197950</v>
      </c>
      <c r="C6029" t="s">
        <v>40</v>
      </c>
      <c r="D6029">
        <v>5.3366889999999998</v>
      </c>
      <c r="E6029">
        <v>0.60955700000000002</v>
      </c>
      <c r="F6029" t="s">
        <v>42</v>
      </c>
      <c r="G6029">
        <v>-244.55609999999999</v>
      </c>
      <c r="H6029">
        <v>1.0302359999999999</v>
      </c>
      <c r="I6029">
        <v>-63.165300000000002</v>
      </c>
      <c r="J6029">
        <v>-245.261</v>
      </c>
      <c r="K6029">
        <v>1.109364</v>
      </c>
      <c r="L6029">
        <v>-63.055079999999997</v>
      </c>
      <c r="M6029">
        <v>0.99854860000000001</v>
      </c>
      <c r="N6029">
        <v>0</v>
      </c>
      <c r="O6029">
        <v>5.3825129999999999E-2</v>
      </c>
      <c r="P6029">
        <v>0.98639449999999995</v>
      </c>
      <c r="Q6029">
        <v>-2.0947360000000002E-2</v>
      </c>
      <c r="R6029">
        <v>0.16305500000000001</v>
      </c>
      <c r="S6029">
        <v>3.09436</v>
      </c>
      <c r="T6029">
        <v>-0.28079019999999999</v>
      </c>
      <c r="U6029">
        <v>-0.35806270000000001</v>
      </c>
      <c r="V6029">
        <v>-0.1096825</v>
      </c>
      <c r="W6029">
        <v>-1.929821E-2</v>
      </c>
      <c r="X6029">
        <v>0.99377930000000003</v>
      </c>
      <c r="Y6029">
        <v>0.16735139999999901</v>
      </c>
      <c r="Z6029">
        <v>-1.241246E-2</v>
      </c>
      <c r="AA6029">
        <v>0.98581920000000001</v>
      </c>
      <c r="AB6029">
        <v>35</v>
      </c>
      <c r="AC6029">
        <v>0.70490000000000896</v>
      </c>
      <c r="AD6029">
        <v>-7.9127999999999796E-2</v>
      </c>
      <c r="AE6029">
        <v>-0.110219999999998</v>
      </c>
      <c r="AF6029">
        <v>0.14620328252998399</v>
      </c>
      <c r="AG6029">
        <v>-7.9127999999999796E-2</v>
      </c>
      <c r="AH6029">
        <v>0.689464930926733</v>
      </c>
      <c r="AI6029">
        <v>96.405818179673403</v>
      </c>
      <c r="AJ6029">
        <v>78.027593632764095</v>
      </c>
      <c r="AK6029">
        <v>0.70922389355149895</v>
      </c>
      <c r="AL6029">
        <v>91.105774645238597</v>
      </c>
      <c r="AM6029">
        <v>96.298191158198506</v>
      </c>
      <c r="AN6029">
        <v>0.99999998441197202</v>
      </c>
    </row>
    <row r="6030" spans="1:40" x14ac:dyDescent="0.3">
      <c r="A6030" t="str">
        <f>"20200111160623215"</f>
        <v>20200111160623215</v>
      </c>
      <c r="B6030" t="str">
        <f>"1578729983208686"</f>
        <v>1578729983208686</v>
      </c>
      <c r="C6030" t="s">
        <v>40</v>
      </c>
      <c r="D6030">
        <v>5.3444010000000004</v>
      </c>
      <c r="E6030">
        <v>0.61001470000000002</v>
      </c>
      <c r="F6030" t="s">
        <v>42</v>
      </c>
      <c r="G6030">
        <v>-244.2439</v>
      </c>
      <c r="H6030">
        <v>1.019949</v>
      </c>
      <c r="I6030">
        <v>-63.17436</v>
      </c>
      <c r="J6030">
        <v>-245.08850000000001</v>
      </c>
      <c r="K6030">
        <v>1.1094120000000001</v>
      </c>
      <c r="L6030">
        <v>-63.045319999999997</v>
      </c>
      <c r="M6030">
        <v>0.9985231</v>
      </c>
      <c r="N6030">
        <v>0</v>
      </c>
      <c r="O6030">
        <v>5.4300559999999998E-2</v>
      </c>
      <c r="P6030">
        <v>0.98638329999999996</v>
      </c>
      <c r="Q6030">
        <v>-2.0475110000000001E-2</v>
      </c>
      <c r="R6030">
        <v>0.16318460000000001</v>
      </c>
      <c r="S6030">
        <v>3.0955050000000002</v>
      </c>
      <c r="T6030">
        <v>-0.2721382</v>
      </c>
      <c r="U6030">
        <v>-0.36230469999999998</v>
      </c>
      <c r="V6030">
        <v>-0.1093396</v>
      </c>
      <c r="W6030">
        <v>-1.897745E-2</v>
      </c>
      <c r="X6030">
        <v>0.99382329999999997</v>
      </c>
      <c r="Y6030">
        <v>0.16915820000000001</v>
      </c>
      <c r="Z6030">
        <v>-1.214676E-2</v>
      </c>
      <c r="AA6030">
        <v>0.985514</v>
      </c>
      <c r="AB6030">
        <v>35</v>
      </c>
      <c r="AC6030">
        <v>0.84460000000001401</v>
      </c>
      <c r="AD6030">
        <v>-8.9463000000000001E-2</v>
      </c>
      <c r="AE6030">
        <v>-0.12904000000000301</v>
      </c>
      <c r="AF6030">
        <v>0.17281719699843401</v>
      </c>
      <c r="AG6030">
        <v>-8.9463000000000001E-2</v>
      </c>
      <c r="AH6030">
        <v>0.82727679596813197</v>
      </c>
      <c r="AI6030">
        <v>96.042627142203699</v>
      </c>
      <c r="AJ6030">
        <v>78.200658979269406</v>
      </c>
      <c r="AK6030">
        <v>0.84985664031923303</v>
      </c>
      <c r="AL6030">
        <v>91.087393043615094</v>
      </c>
      <c r="AM6030">
        <v>96.278382884927893</v>
      </c>
      <c r="AN6030">
        <v>1.00000002167977</v>
      </c>
    </row>
    <row r="6031" spans="1:40" x14ac:dyDescent="0.3">
      <c r="A6031" t="str">
        <f>"20200111160623227"</f>
        <v>20200111160623227</v>
      </c>
      <c r="B6031" t="str">
        <f>"1578729983218446"</f>
        <v>1578729983218446</v>
      </c>
      <c r="C6031" t="s">
        <v>40</v>
      </c>
      <c r="D6031">
        <v>5.3223609999999999</v>
      </c>
      <c r="E6031">
        <v>0.6103788</v>
      </c>
      <c r="F6031" t="s">
        <v>42</v>
      </c>
      <c r="G6031">
        <v>-244.23820000000001</v>
      </c>
      <c r="H6031">
        <v>1.0368409999999999</v>
      </c>
      <c r="I6031">
        <v>-63.145980000000002</v>
      </c>
      <c r="J6031">
        <v>-244.9222</v>
      </c>
      <c r="K6031">
        <v>1.1094619999999999</v>
      </c>
      <c r="L6031">
        <v>-63.035919999999997</v>
      </c>
      <c r="M6031">
        <v>0.99849810000000006</v>
      </c>
      <c r="N6031">
        <v>0</v>
      </c>
      <c r="O6031">
        <v>5.4761320000000002E-2</v>
      </c>
      <c r="P6031">
        <v>0.98637189999999997</v>
      </c>
      <c r="Q6031">
        <v>-2.05363E-2</v>
      </c>
      <c r="R6031">
        <v>0.16324439999999901</v>
      </c>
      <c r="S6031">
        <v>3.0964510000000001</v>
      </c>
      <c r="T6031">
        <v>-0.2642834</v>
      </c>
      <c r="U6031">
        <v>-0.3657532</v>
      </c>
      <c r="V6031">
        <v>-0.1089397</v>
      </c>
      <c r="W6031">
        <v>-1.915946E-2</v>
      </c>
      <c r="X6031">
        <v>0.99386370000000002</v>
      </c>
      <c r="Y6031">
        <v>0.1707023</v>
      </c>
      <c r="Z6031">
        <v>-1.189783E-2</v>
      </c>
      <c r="AA6031">
        <v>0.98525079999999998</v>
      </c>
      <c r="AB6031">
        <v>35</v>
      </c>
      <c r="AC6031">
        <v>0.68399999999999705</v>
      </c>
      <c r="AD6031">
        <v>-7.2621000000000199E-2</v>
      </c>
      <c r="AE6031">
        <v>-0.110060000000004</v>
      </c>
      <c r="AF6031">
        <v>0.14575017084502401</v>
      </c>
      <c r="AG6031">
        <v>-7.2621000000000199E-2</v>
      </c>
      <c r="AH6031">
        <v>0.66958927896313603</v>
      </c>
      <c r="AI6031">
        <v>96.049314333415396</v>
      </c>
      <c r="AJ6031">
        <v>77.719924710191407</v>
      </c>
      <c r="AK6031">
        <v>0.68910574257128798</v>
      </c>
      <c r="AL6031">
        <v>91.097823369938894</v>
      </c>
      <c r="AM6031">
        <v>96.255350357956701</v>
      </c>
      <c r="AN6031">
        <v>0.99999999866063505</v>
      </c>
    </row>
    <row r="6032" spans="1:40" x14ac:dyDescent="0.3">
      <c r="A6032" t="str">
        <f>"20200111160623237"</f>
        <v>20200111160623237</v>
      </c>
      <c r="B6032" t="str">
        <f>"1578729983228206"</f>
        <v>1578729983228206</v>
      </c>
      <c r="C6032" t="s">
        <v>40</v>
      </c>
      <c r="D6032">
        <v>5.3374509999999997</v>
      </c>
      <c r="E6032">
        <v>0.61103439999999998</v>
      </c>
      <c r="F6032" t="s">
        <v>42</v>
      </c>
      <c r="G6032">
        <v>-243.92449999999999</v>
      </c>
      <c r="H6032">
        <v>1.0256209999999999</v>
      </c>
      <c r="I6032">
        <v>-63.154739999999997</v>
      </c>
      <c r="J6032">
        <v>-244.7432</v>
      </c>
      <c r="K6032">
        <v>1.1095200000000001</v>
      </c>
      <c r="L6032">
        <v>-63.02563</v>
      </c>
      <c r="M6032">
        <v>0.99847059999999999</v>
      </c>
      <c r="N6032">
        <v>0</v>
      </c>
      <c r="O6032">
        <v>5.5263630000000001E-2</v>
      </c>
      <c r="P6032">
        <v>0.98637989999999998</v>
      </c>
      <c r="Q6032">
        <v>-2.0636040000000001E-2</v>
      </c>
      <c r="R6032">
        <v>0.16318360000000001</v>
      </c>
      <c r="S6032">
        <v>3.0970149999999999</v>
      </c>
      <c r="T6032">
        <v>-0.26024249999999999</v>
      </c>
      <c r="U6032">
        <v>-0.36868289999999998</v>
      </c>
      <c r="V6032">
        <v>-0.1083778</v>
      </c>
      <c r="W6032">
        <v>-1.9324560000000001E-2</v>
      </c>
      <c r="X6032">
        <v>0.99392190000000002</v>
      </c>
      <c r="Y6032">
        <v>0.17211419999999999</v>
      </c>
      <c r="Z6032">
        <v>-1.181484E-2</v>
      </c>
      <c r="AA6032">
        <v>0.98500620000000005</v>
      </c>
      <c r="AB6032">
        <v>35</v>
      </c>
      <c r="AC6032">
        <v>0.81870000000000598</v>
      </c>
      <c r="AD6032">
        <v>-8.3899000000000098E-2</v>
      </c>
      <c r="AE6032">
        <v>-0.129109999999997</v>
      </c>
      <c r="AF6032">
        <v>0.17239060053195401</v>
      </c>
      <c r="AG6032">
        <v>-8.3899000000000098E-2</v>
      </c>
      <c r="AH6032">
        <v>0.80209472386313097</v>
      </c>
      <c r="AI6032">
        <v>95.839030178884201</v>
      </c>
      <c r="AJ6032">
        <v>77.870200449510406</v>
      </c>
      <c r="AK6032">
        <v>0.82468994622333103</v>
      </c>
      <c r="AL6032">
        <v>91.1072846924461</v>
      </c>
      <c r="AM6032">
        <v>96.2229781535641</v>
      </c>
      <c r="AN6032">
        <v>0.99999996472582098</v>
      </c>
    </row>
    <row r="6033" spans="1:40" x14ac:dyDescent="0.3">
      <c r="A6033" t="str">
        <f>"20200111160623248"</f>
        <v>20200111160623248</v>
      </c>
      <c r="B6033" t="str">
        <f>"1578729983237966"</f>
        <v>1578729983237966</v>
      </c>
      <c r="C6033" t="s">
        <v>40</v>
      </c>
      <c r="D6033">
        <v>5.3524659999999997</v>
      </c>
      <c r="E6033">
        <v>0.61162090000000002</v>
      </c>
      <c r="F6033" t="s">
        <v>42</v>
      </c>
      <c r="G6033">
        <v>-243.9212</v>
      </c>
      <c r="H6033">
        <v>1.039774</v>
      </c>
      <c r="I6033">
        <v>-63.124920000000003</v>
      </c>
      <c r="J6033">
        <v>-244.5729</v>
      </c>
      <c r="K6033">
        <v>1.109572</v>
      </c>
      <c r="L6033">
        <v>-63.015779999999999</v>
      </c>
      <c r="M6033">
        <v>0.99844359999999999</v>
      </c>
      <c r="N6033">
        <v>0</v>
      </c>
      <c r="O6033">
        <v>5.5749390000000003E-2</v>
      </c>
      <c r="P6033">
        <v>0.9863653</v>
      </c>
      <c r="Q6033">
        <v>-2.0659210000000001E-2</v>
      </c>
      <c r="R6033">
        <v>0.16326840000000001</v>
      </c>
      <c r="S6033">
        <v>3.0977939999999999</v>
      </c>
      <c r="T6033">
        <v>-0.2628395</v>
      </c>
      <c r="U6033">
        <v>-0.37393189999999998</v>
      </c>
      <c r="V6033">
        <v>-0.10797859999999999</v>
      </c>
      <c r="W6033">
        <v>-1.9380250000000002E-2</v>
      </c>
      <c r="X6033">
        <v>0.99396430000000002</v>
      </c>
      <c r="Y6033">
        <v>0.17418499999999901</v>
      </c>
      <c r="Z6033">
        <v>-1.2056610000000001E-2</v>
      </c>
      <c r="AA6033">
        <v>0.98463920000000005</v>
      </c>
      <c r="AB6033">
        <v>35</v>
      </c>
      <c r="AC6033">
        <v>0.65170000000000505</v>
      </c>
      <c r="AD6033">
        <v>-6.9797999999999999E-2</v>
      </c>
      <c r="AE6033">
        <v>-0.109139999999989</v>
      </c>
      <c r="AF6033">
        <v>0.143698824745847</v>
      </c>
      <c r="AG6033">
        <v>-6.9797999999999999E-2</v>
      </c>
      <c r="AH6033">
        <v>0.63748900950683196</v>
      </c>
      <c r="AI6033">
        <v>96.0965919886455</v>
      </c>
      <c r="AJ6033">
        <v>77.297051549475796</v>
      </c>
      <c r="AK6033">
        <v>0.65720114902466398</v>
      </c>
      <c r="AL6033">
        <v>91.110476052002497</v>
      </c>
      <c r="AM6033">
        <v>96.199972795644001</v>
      </c>
      <c r="AN6033">
        <v>1.00000000091125</v>
      </c>
    </row>
    <row r="6034" spans="1:40" x14ac:dyDescent="0.3">
      <c r="A6034" t="str">
        <f>"20200111160623260"</f>
        <v>20200111160623260</v>
      </c>
      <c r="B6034" t="str">
        <f>"1578729983258462"</f>
        <v>1578729983258462</v>
      </c>
      <c r="C6034" t="s">
        <v>40</v>
      </c>
      <c r="D6034">
        <v>5.234324</v>
      </c>
      <c r="E6034">
        <v>0.61209029999999998</v>
      </c>
      <c r="F6034" t="s">
        <v>42</v>
      </c>
      <c r="G6034">
        <v>-243.60980000000001</v>
      </c>
      <c r="H6034">
        <v>1.0242869999999999</v>
      </c>
      <c r="I6034">
        <v>-63.133249999999997</v>
      </c>
      <c r="J6034">
        <v>-244.38820000000001</v>
      </c>
      <c r="K6034">
        <v>1.1096250000000001</v>
      </c>
      <c r="L6034">
        <v>-63.005000000000003</v>
      </c>
      <c r="M6034">
        <v>0.99841360000000001</v>
      </c>
      <c r="N6034">
        <v>0</v>
      </c>
      <c r="O6034">
        <v>5.6285290000000002E-2</v>
      </c>
      <c r="P6034">
        <v>0.98633099999999996</v>
      </c>
      <c r="Q6034">
        <v>-2.0788689999999999E-2</v>
      </c>
      <c r="R6034">
        <v>0.16345960000000001</v>
      </c>
      <c r="S6034">
        <v>3.0982059999999998</v>
      </c>
      <c r="T6034">
        <v>-0.27432450000000003</v>
      </c>
      <c r="U6034">
        <v>-0.3775635</v>
      </c>
      <c r="V6034">
        <v>-0.1076371</v>
      </c>
      <c r="W6034">
        <v>-1.9511150000000001E-2</v>
      </c>
      <c r="X6034">
        <v>0.99399879999999996</v>
      </c>
      <c r="Y6034">
        <v>0.17575460000000001</v>
      </c>
      <c r="Z6034">
        <v>-1.269526E-2</v>
      </c>
      <c r="AA6034">
        <v>0.98435220000000001</v>
      </c>
      <c r="AB6034">
        <v>35</v>
      </c>
      <c r="AC6034">
        <v>0.77840000000000398</v>
      </c>
      <c r="AD6034">
        <v>-8.53379999999999E-2</v>
      </c>
      <c r="AE6034">
        <v>-0.12824999999999401</v>
      </c>
      <c r="AF6034">
        <v>0.169871431664045</v>
      </c>
      <c r="AG6034">
        <v>-8.53379999999999E-2</v>
      </c>
      <c r="AH6034">
        <v>0.76104197901762105</v>
      </c>
      <c r="AI6034">
        <v>96.245592714479898</v>
      </c>
      <c r="AJ6034">
        <v>77.417325080767895</v>
      </c>
      <c r="AK6034">
        <v>0.78442575898975297</v>
      </c>
      <c r="AL6034">
        <v>91.117977463996596</v>
      </c>
      <c r="AM6034">
        <v>96.180303505078598</v>
      </c>
      <c r="AN6034">
        <v>1.0000000223360801</v>
      </c>
    </row>
    <row r="6035" spans="1:40" x14ac:dyDescent="0.3">
      <c r="A6035" t="str">
        <f>"20200111160623272"</f>
        <v>20200111160623272</v>
      </c>
      <c r="B6035" t="str">
        <f>"1578729983268222"</f>
        <v>1578729983268222</v>
      </c>
      <c r="C6035" t="s">
        <v>40</v>
      </c>
      <c r="D6035">
        <v>5.2470220000000003</v>
      </c>
      <c r="E6035">
        <v>0.61224319999999999</v>
      </c>
      <c r="F6035" t="s">
        <v>42</v>
      </c>
      <c r="G6035">
        <v>-243.6071</v>
      </c>
      <c r="H6035">
        <v>1.0381560000000001</v>
      </c>
      <c r="I6035">
        <v>-63.100940000000001</v>
      </c>
      <c r="J6035">
        <v>-244.2158</v>
      </c>
      <c r="K6035">
        <v>1.109667</v>
      </c>
      <c r="L6035">
        <v>-62.994779999999999</v>
      </c>
      <c r="M6035">
        <v>0.99838450000000001</v>
      </c>
      <c r="N6035">
        <v>0</v>
      </c>
      <c r="O6035">
        <v>5.6798670000000002E-2</v>
      </c>
      <c r="P6035">
        <v>0.98627659999999995</v>
      </c>
      <c r="Q6035">
        <v>-2.0955680000000001E-2</v>
      </c>
      <c r="R6035">
        <v>0.16376679999999999</v>
      </c>
      <c r="S6035">
        <v>3.098633</v>
      </c>
      <c r="T6035">
        <v>-0.28351510000000002</v>
      </c>
      <c r="U6035">
        <v>-0.380249</v>
      </c>
      <c r="V6035">
        <v>-0.1074348</v>
      </c>
      <c r="W6035">
        <v>-1.9650580000000001E-2</v>
      </c>
      <c r="X6035">
        <v>0.99401790000000001</v>
      </c>
      <c r="Y6035">
        <v>0.17701689999999901</v>
      </c>
      <c r="Z6035">
        <v>-1.3220559999999999E-2</v>
      </c>
      <c r="AA6035">
        <v>0.98411899999999997</v>
      </c>
      <c r="AB6035">
        <v>35</v>
      </c>
      <c r="AC6035">
        <v>0.60869999999999802</v>
      </c>
      <c r="AD6035">
        <v>-7.1511000000000102E-2</v>
      </c>
      <c r="AE6035">
        <v>-0.10615999999999499</v>
      </c>
      <c r="AF6035">
        <v>0.13870413974528201</v>
      </c>
      <c r="AG6035">
        <v>-7.1511000000000102E-2</v>
      </c>
      <c r="AH6035">
        <v>0.59373481677043105</v>
      </c>
      <c r="AI6035">
        <v>96.689361345701499</v>
      </c>
      <c r="AJ6035">
        <v>76.850785200834295</v>
      </c>
      <c r="AK6035">
        <v>0.61390039432215404</v>
      </c>
      <c r="AL6035">
        <v>91.125967789983804</v>
      </c>
      <c r="AM6035">
        <v>96.168659871457606</v>
      </c>
      <c r="AN6035">
        <v>0.99999998353289299</v>
      </c>
    </row>
    <row r="6036" spans="1:40" x14ac:dyDescent="0.3">
      <c r="A6036" t="str">
        <f>"20200111160623283"</f>
        <v>20200111160623283</v>
      </c>
      <c r="B6036" t="str">
        <f>"1578729983277985"</f>
        <v>1578729983277985</v>
      </c>
      <c r="C6036" t="s">
        <v>40</v>
      </c>
      <c r="D6036">
        <v>5.2272919999999896</v>
      </c>
      <c r="E6036">
        <v>0.61240729999999999</v>
      </c>
      <c r="F6036" t="s">
        <v>42</v>
      </c>
      <c r="G6036">
        <v>-243.2938</v>
      </c>
      <c r="H6036">
        <v>1.024098</v>
      </c>
      <c r="I6036">
        <v>-63.1081</v>
      </c>
      <c r="J6036">
        <v>-244.02279999999999</v>
      </c>
      <c r="K6036">
        <v>1.109715</v>
      </c>
      <c r="L6036">
        <v>-62.983339999999998</v>
      </c>
      <c r="M6036">
        <v>0.99835119999999999</v>
      </c>
      <c r="N6036">
        <v>0</v>
      </c>
      <c r="O6036">
        <v>5.7379359999999997E-2</v>
      </c>
      <c r="P6036">
        <v>0.98621199999999998</v>
      </c>
      <c r="Q6036">
        <v>-2.110242E-2</v>
      </c>
      <c r="R6036">
        <v>0.16413710000000001</v>
      </c>
      <c r="S6036">
        <v>3.0988009999999999</v>
      </c>
      <c r="T6036">
        <v>-0.2875993</v>
      </c>
      <c r="U6036">
        <v>-0.38031009999999998</v>
      </c>
      <c r="V6036">
        <v>-0.1072303</v>
      </c>
      <c r="W6036">
        <v>-1.9753710000000001E-2</v>
      </c>
      <c r="X6036">
        <v>0.99403790000000003</v>
      </c>
      <c r="Y6036">
        <v>0.17756930000000001</v>
      </c>
      <c r="Z6036">
        <v>-1.348857E-2</v>
      </c>
      <c r="AA6036">
        <v>0.98401590000000005</v>
      </c>
      <c r="AB6036">
        <v>36</v>
      </c>
      <c r="AC6036">
        <v>0.72899999999998499</v>
      </c>
      <c r="AD6036">
        <v>-8.5616999999999999E-2</v>
      </c>
      <c r="AE6036">
        <v>-0.124759999999994</v>
      </c>
      <c r="AF6036">
        <v>0.164183875497007</v>
      </c>
      <c r="AG6036">
        <v>-8.5616999999999999E-2</v>
      </c>
      <c r="AH6036">
        <v>0.71111088104542597</v>
      </c>
      <c r="AI6036">
        <v>96.690941985474097</v>
      </c>
      <c r="AJ6036">
        <v>76.999159115994203</v>
      </c>
      <c r="AK6036">
        <v>0.73482331264285405</v>
      </c>
      <c r="AL6036">
        <v>91.1318778929638</v>
      </c>
      <c r="AM6036">
        <v>96.156885293993</v>
      </c>
      <c r="AN6036">
        <v>0.99999994646663004</v>
      </c>
    </row>
    <row r="6037" spans="1:40" x14ac:dyDescent="0.3">
      <c r="A6037" t="str">
        <f>"20200111160623294"</f>
        <v>20200111160623294</v>
      </c>
      <c r="B6037" t="str">
        <f>"1578729983288717"</f>
        <v>1578729983288717</v>
      </c>
      <c r="C6037" t="s">
        <v>40</v>
      </c>
      <c r="D6037">
        <v>5.2158889999999998</v>
      </c>
      <c r="E6037">
        <v>0.61256309999999903</v>
      </c>
      <c r="F6037" t="s">
        <v>42</v>
      </c>
      <c r="G6037">
        <v>-243.28899999999999</v>
      </c>
      <c r="H6037">
        <v>1.04071</v>
      </c>
      <c r="I6037">
        <v>-63.073560000000001</v>
      </c>
      <c r="J6037">
        <v>-243.84880000000001</v>
      </c>
      <c r="K6037">
        <v>1.109747</v>
      </c>
      <c r="L6037">
        <v>-62.972839999999998</v>
      </c>
      <c r="M6037">
        <v>0.99831999999999999</v>
      </c>
      <c r="N6037">
        <v>0</v>
      </c>
      <c r="O6037">
        <v>5.7917129999999997E-2</v>
      </c>
      <c r="P6037">
        <v>0.98615129999999995</v>
      </c>
      <c r="Q6037">
        <v>-2.13273E-2</v>
      </c>
      <c r="R6037">
        <v>0.1644716</v>
      </c>
      <c r="S6037">
        <v>3.0989990000000001</v>
      </c>
      <c r="T6037">
        <v>-0.29144389999999998</v>
      </c>
      <c r="U6037">
        <v>-0.38034059999999997</v>
      </c>
      <c r="V6037">
        <v>-0.1070323</v>
      </c>
      <c r="W6037">
        <v>-1.9913380000000001E-2</v>
      </c>
      <c r="X6037">
        <v>0.9940561</v>
      </c>
      <c r="Y6037">
        <v>0.17807010000000001</v>
      </c>
      <c r="Z6037">
        <v>-1.374094E-2</v>
      </c>
      <c r="AA6037">
        <v>0.98392190000000002</v>
      </c>
      <c r="AB6037">
        <v>36</v>
      </c>
      <c r="AC6037">
        <v>0.55979999999999497</v>
      </c>
      <c r="AD6037">
        <v>-6.9037000000000001E-2</v>
      </c>
      <c r="AE6037">
        <v>-0.10071999999999499</v>
      </c>
      <c r="AF6037">
        <v>0.131042466223314</v>
      </c>
      <c r="AG6037">
        <v>-6.9037000000000001E-2</v>
      </c>
      <c r="AH6037">
        <v>0.54499797795710103</v>
      </c>
      <c r="AI6037">
        <v>97.021393074810405</v>
      </c>
      <c r="AJ6037">
        <v>76.480118675615799</v>
      </c>
      <c r="AK6037">
        <v>0.56476635106937501</v>
      </c>
      <c r="AL6037">
        <v>91.141028057421394</v>
      </c>
      <c r="AM6037">
        <v>96.145492066536207</v>
      </c>
      <c r="AN6037">
        <v>0.99999999294676201</v>
      </c>
    </row>
    <row r="6038" spans="1:40" x14ac:dyDescent="0.3">
      <c r="A6038" t="str">
        <f>"20200111160623305"</f>
        <v>20200111160623305</v>
      </c>
      <c r="B6038" t="str">
        <f>"1578729983298477"</f>
        <v>1578729983298477</v>
      </c>
      <c r="C6038" t="s">
        <v>40</v>
      </c>
      <c r="D6038">
        <v>5.1889510000000003</v>
      </c>
      <c r="E6038">
        <v>0.61274110000000004</v>
      </c>
      <c r="F6038" t="s">
        <v>42</v>
      </c>
      <c r="G6038">
        <v>-242.9743</v>
      </c>
      <c r="H6038">
        <v>1.026762</v>
      </c>
      <c r="I6038">
        <v>-63.080419999999997</v>
      </c>
      <c r="J6038">
        <v>-243.6728</v>
      </c>
      <c r="K6038">
        <v>1.1097729999999999</v>
      </c>
      <c r="L6038">
        <v>-62.96219</v>
      </c>
      <c r="M6038">
        <v>0.99828810000000001</v>
      </c>
      <c r="N6038">
        <v>0</v>
      </c>
      <c r="O6038">
        <v>5.8462960000000001E-2</v>
      </c>
      <c r="P6038">
        <v>0.98607979999999995</v>
      </c>
      <c r="Q6038">
        <v>-2.1489069999999999E-2</v>
      </c>
      <c r="R6038">
        <v>0.1648792</v>
      </c>
      <c r="S6038">
        <v>3.0992280000000001</v>
      </c>
      <c r="T6038">
        <v>-0.29415049999999998</v>
      </c>
      <c r="U6038">
        <v>-0.3804321</v>
      </c>
      <c r="V6038">
        <v>-0.10689940000000001</v>
      </c>
      <c r="W6038">
        <v>-2.0006389999999999E-2</v>
      </c>
      <c r="X6038">
        <v>0.99406859999999997</v>
      </c>
      <c r="Y6038">
        <v>0.17860399999999901</v>
      </c>
      <c r="Z6038">
        <v>-1.394367E-2</v>
      </c>
      <c r="AA6038">
        <v>0.98382219999999998</v>
      </c>
      <c r="AB6038">
        <v>36</v>
      </c>
      <c r="AC6038">
        <v>0.69849999999999501</v>
      </c>
      <c r="AD6038">
        <v>-8.3010999999999696E-2</v>
      </c>
      <c r="AE6038">
        <v>-0.118229999999996</v>
      </c>
      <c r="AF6038">
        <v>0.15671254900027501</v>
      </c>
      <c r="AG6038">
        <v>-8.3010999999999696E-2</v>
      </c>
      <c r="AH6038">
        <v>0.68104246027050497</v>
      </c>
      <c r="AI6038">
        <v>96.774077941898</v>
      </c>
      <c r="AJ6038">
        <v>77.041420055001296</v>
      </c>
      <c r="AK6038">
        <v>0.70375313983417997</v>
      </c>
      <c r="AL6038">
        <v>91.146358123547799</v>
      </c>
      <c r="AM6038">
        <v>96.137843014677699</v>
      </c>
      <c r="AN6038">
        <v>1.0000000594335701</v>
      </c>
    </row>
    <row r="6039" spans="1:40" x14ac:dyDescent="0.3">
      <c r="A6039" t="str">
        <f>"20200111160623316"</f>
        <v>20200111160623316</v>
      </c>
      <c r="B6039" t="str">
        <f>"1578729983308238"</f>
        <v>1578729983308238</v>
      </c>
      <c r="C6039" t="s">
        <v>40</v>
      </c>
      <c r="D6039">
        <v>5.191586</v>
      </c>
      <c r="E6039">
        <v>0.61286130000000005</v>
      </c>
      <c r="F6039" t="s">
        <v>42</v>
      </c>
      <c r="G6039">
        <v>-242.6575</v>
      </c>
      <c r="H6039">
        <v>1.0122979999999999</v>
      </c>
      <c r="I6039">
        <v>-63.087029999999999</v>
      </c>
      <c r="J6039">
        <v>-243.4949</v>
      </c>
      <c r="K6039">
        <v>1.109799</v>
      </c>
      <c r="L6039">
        <v>-62.95129</v>
      </c>
      <c r="M6039">
        <v>0.99825509999999995</v>
      </c>
      <c r="N6039">
        <v>0</v>
      </c>
      <c r="O6039">
        <v>5.9022190000000002E-2</v>
      </c>
      <c r="P6039">
        <v>0.98602509999999999</v>
      </c>
      <c r="Q6039">
        <v>-2.1621029999999999E-2</v>
      </c>
      <c r="R6039">
        <v>0.16518920000000001</v>
      </c>
      <c r="S6039">
        <v>3.099472</v>
      </c>
      <c r="T6039">
        <v>-0.29756009999999899</v>
      </c>
      <c r="U6039">
        <v>-0.38037110000000002</v>
      </c>
      <c r="V6039">
        <v>-0.10665520000000001</v>
      </c>
      <c r="W6039">
        <v>-2.0054679999999998E-2</v>
      </c>
      <c r="X6039">
        <v>0.99409380000000003</v>
      </c>
      <c r="Y6039">
        <v>0.17909749999999999</v>
      </c>
      <c r="Z6039">
        <v>-1.4180419999999999E-2</v>
      </c>
      <c r="AA6039">
        <v>0.98372910000000002</v>
      </c>
      <c r="AB6039">
        <v>36</v>
      </c>
      <c r="AC6039">
        <v>0.83740000000000203</v>
      </c>
      <c r="AD6039">
        <v>-9.7501000000000004E-2</v>
      </c>
      <c r="AE6039">
        <v>-0.135740000000005</v>
      </c>
      <c r="AF6039">
        <v>0.18251764175298599</v>
      </c>
      <c r="AG6039">
        <v>-9.7501000000000004E-2</v>
      </c>
      <c r="AH6039">
        <v>0.81713446170448101</v>
      </c>
      <c r="AI6039">
        <v>96.642236979602302</v>
      </c>
      <c r="AJ6039">
        <v>77.408918983704197</v>
      </c>
      <c r="AK6039">
        <v>0.84292814821735695</v>
      </c>
      <c r="AL6039">
        <v>91.149125557186196</v>
      </c>
      <c r="AM6039">
        <v>96.123774384256393</v>
      </c>
      <c r="AN6039">
        <v>1.0000000025376901</v>
      </c>
    </row>
    <row r="6040" spans="1:40" x14ac:dyDescent="0.3">
      <c r="A6040" t="str">
        <f>"20200111160623327"</f>
        <v>20200111160623327</v>
      </c>
      <c r="B6040" t="str">
        <f>"1578729983317998"</f>
        <v>1578729983317998</v>
      </c>
      <c r="C6040" t="s">
        <v>40</v>
      </c>
      <c r="D6040">
        <v>5.1972820000000004</v>
      </c>
      <c r="E6040">
        <v>0.61300710000000003</v>
      </c>
      <c r="F6040" t="s">
        <v>42</v>
      </c>
      <c r="G6040">
        <v>-242.65369999999999</v>
      </c>
      <c r="H6040">
        <v>1.028138</v>
      </c>
      <c r="I6040">
        <v>-63.054690000000001</v>
      </c>
      <c r="J6040">
        <v>-243.3252</v>
      </c>
      <c r="K6040">
        <v>1.109823</v>
      </c>
      <c r="L6040">
        <v>-62.940890000000003</v>
      </c>
      <c r="M6040">
        <v>0.99822319999999998</v>
      </c>
      <c r="N6040">
        <v>0</v>
      </c>
      <c r="O6040">
        <v>5.9556270000000001E-2</v>
      </c>
      <c r="P6040">
        <v>0.98588169999999997</v>
      </c>
      <c r="Q6040">
        <v>-2.19227E-2</v>
      </c>
      <c r="R6040">
        <v>0.16600219999999999</v>
      </c>
      <c r="S6040">
        <v>3.09964</v>
      </c>
      <c r="T6040">
        <v>-0.30089650000000001</v>
      </c>
      <c r="U6040">
        <v>-0.38015749999999998</v>
      </c>
      <c r="V6040">
        <v>-0.10694289999999899</v>
      </c>
      <c r="W6040">
        <v>-2.0274770000000001E-2</v>
      </c>
      <c r="X6040">
        <v>0.99405840000000001</v>
      </c>
      <c r="Y6040">
        <v>0.17952190000000001</v>
      </c>
      <c r="Z6040">
        <v>-1.4410009999999999E-2</v>
      </c>
      <c r="AA6040">
        <v>0.98364839999999998</v>
      </c>
      <c r="AB6040">
        <v>36</v>
      </c>
      <c r="AC6040">
        <v>0.67150000000000798</v>
      </c>
      <c r="AD6040">
        <v>-8.1684999999999994E-2</v>
      </c>
      <c r="AE6040">
        <v>-0.113799999999997</v>
      </c>
      <c r="AF6040">
        <v>0.151412114131038</v>
      </c>
      <c r="AG6040">
        <v>-8.1684999999999994E-2</v>
      </c>
      <c r="AH6040">
        <v>0.65412131730019496</v>
      </c>
      <c r="AI6040">
        <v>96.936553567679397</v>
      </c>
      <c r="AJ6040">
        <v>76.967047510795993</v>
      </c>
      <c r="AK6040">
        <v>0.67636733013738404</v>
      </c>
      <c r="AL6040">
        <v>91.1617383802229</v>
      </c>
      <c r="AM6040">
        <v>96.140384102415794</v>
      </c>
      <c r="AN6040">
        <v>0.99999997638476101</v>
      </c>
    </row>
    <row r="6041" spans="1:40" x14ac:dyDescent="0.3">
      <c r="A6041" t="str">
        <f>"20200111160623337"</f>
        <v>20200111160623337</v>
      </c>
      <c r="B6041" t="str">
        <f>"1578729983328734"</f>
        <v>1578729983328734</v>
      </c>
      <c r="C6041" t="s">
        <v>40</v>
      </c>
      <c r="D6041">
        <v>5.1530319999999996</v>
      </c>
      <c r="E6041">
        <v>0.61312390000000005</v>
      </c>
      <c r="F6041" t="s">
        <v>42</v>
      </c>
      <c r="G6041">
        <v>-242.33670000000001</v>
      </c>
      <c r="H6041">
        <v>1.0129539999999999</v>
      </c>
      <c r="I6041">
        <v>-63.061810000000001</v>
      </c>
      <c r="J6041">
        <v>-243.14830000000001</v>
      </c>
      <c r="K6041">
        <v>1.1098460000000001</v>
      </c>
      <c r="L6041">
        <v>-62.929870000000001</v>
      </c>
      <c r="M6041">
        <v>0.99818949999999995</v>
      </c>
      <c r="N6041">
        <v>0</v>
      </c>
      <c r="O6041">
        <v>6.0115490000000001E-2</v>
      </c>
      <c r="P6041">
        <v>0.98581149999999995</v>
      </c>
      <c r="Q6041">
        <v>-2.2236990000000002E-2</v>
      </c>
      <c r="R6041">
        <v>0.1663771</v>
      </c>
      <c r="S6041">
        <v>3.0999759999999998</v>
      </c>
      <c r="T6041">
        <v>-0.30379660000000003</v>
      </c>
      <c r="U6041">
        <v>-0.37863160000000001</v>
      </c>
      <c r="V6041">
        <v>-0.1067642</v>
      </c>
      <c r="W6041">
        <v>-2.049612E-2</v>
      </c>
      <c r="X6041">
        <v>0.99407310000000004</v>
      </c>
      <c r="Y6041">
        <v>0.17955889999999999</v>
      </c>
      <c r="Z6041">
        <v>-1.4603400000000001E-2</v>
      </c>
      <c r="AA6041">
        <v>0.98363880000000004</v>
      </c>
      <c r="AB6041">
        <v>36</v>
      </c>
      <c r="AC6041">
        <v>0.81159999999999799</v>
      </c>
      <c r="AD6041">
        <v>-9.6891999999999701E-2</v>
      </c>
      <c r="AE6041">
        <v>-0.13194</v>
      </c>
      <c r="AF6041">
        <v>0.17801930539708799</v>
      </c>
      <c r="AG6041">
        <v>-9.6891999999999701E-2</v>
      </c>
      <c r="AH6041">
        <v>0.79121406052534604</v>
      </c>
      <c r="AI6041">
        <v>96.813016865922904</v>
      </c>
      <c r="AJ6041">
        <v>77.319882438877301</v>
      </c>
      <c r="AK6041">
        <v>0.81676105583644698</v>
      </c>
      <c r="AL6041">
        <v>91.174423401704104</v>
      </c>
      <c r="AM6041">
        <v>96.130111839607807</v>
      </c>
      <c r="AN6041">
        <v>1.00000000674015</v>
      </c>
    </row>
    <row r="6042" spans="1:40" x14ac:dyDescent="0.3">
      <c r="A6042" t="str">
        <f>"20200111160623350"</f>
        <v>20200111160623350</v>
      </c>
      <c r="B6042" t="str">
        <f>"1578729983348254"</f>
        <v>1578729983348254</v>
      </c>
      <c r="C6042" t="s">
        <v>40</v>
      </c>
      <c r="D6042">
        <v>5.3353549999999998</v>
      </c>
      <c r="E6042">
        <v>0.61279150000000004</v>
      </c>
      <c r="F6042" t="s">
        <v>42</v>
      </c>
      <c r="G6042">
        <v>-242.33199999999999</v>
      </c>
      <c r="H6042">
        <v>1.029172</v>
      </c>
      <c r="I6042">
        <v>-63.029670000000003</v>
      </c>
      <c r="J6042">
        <v>-242.96199999999999</v>
      </c>
      <c r="K6042">
        <v>1.1098680000000001</v>
      </c>
      <c r="L6042">
        <v>-62.918210000000002</v>
      </c>
      <c r="M6042">
        <v>0.99815370000000003</v>
      </c>
      <c r="N6042">
        <v>0</v>
      </c>
      <c r="O6042">
        <v>6.070362E-2</v>
      </c>
      <c r="P6042">
        <v>0.98567020000000005</v>
      </c>
      <c r="Q6042">
        <v>-2.2504110000000001E-2</v>
      </c>
      <c r="R6042">
        <v>0.16717650000000001</v>
      </c>
      <c r="S6042">
        <v>3.100098</v>
      </c>
      <c r="T6042">
        <v>-0.30639670000000002</v>
      </c>
      <c r="U6042">
        <v>-0.37829590000000002</v>
      </c>
      <c r="V6042">
        <v>-0.1069838</v>
      </c>
      <c r="W6042">
        <v>-2.0663620000000001E-2</v>
      </c>
      <c r="X6042">
        <v>0.99404599999999999</v>
      </c>
      <c r="Y6042">
        <v>0.18000450000000001</v>
      </c>
      <c r="Z6042">
        <v>-1.4806990000000001E-2</v>
      </c>
      <c r="AA6042">
        <v>0.98355440000000005</v>
      </c>
      <c r="AB6042">
        <v>36</v>
      </c>
      <c r="AC6042">
        <v>0.63000000000002299</v>
      </c>
      <c r="AD6042">
        <v>-8.0696000000000101E-2</v>
      </c>
      <c r="AE6042">
        <v>-0.11146</v>
      </c>
      <c r="AF6042">
        <v>0.147156723178998</v>
      </c>
      <c r="AG6042">
        <v>-8.0696000000000101E-2</v>
      </c>
      <c r="AH6042">
        <v>0.61233068260205403</v>
      </c>
      <c r="AI6042">
        <v>97.301901359668904</v>
      </c>
      <c r="AJ6042">
        <v>76.486806845106599</v>
      </c>
      <c r="AK6042">
        <v>0.63491401815417303</v>
      </c>
      <c r="AL6042">
        <v>91.184022504160495</v>
      </c>
      <c r="AM6042">
        <v>96.1427905642052</v>
      </c>
      <c r="AN6042">
        <v>0.99999998438497195</v>
      </c>
    </row>
    <row r="6043" spans="1:40" x14ac:dyDescent="0.3">
      <c r="A6043" t="str">
        <f>"20200111160623360"</f>
        <v>20200111160623360</v>
      </c>
      <c r="B6043" t="str">
        <f>"1578729983358014"</f>
        <v>1578729983358014</v>
      </c>
      <c r="C6043" t="s">
        <v>40</v>
      </c>
      <c r="D6043">
        <v>5.3124149999999997</v>
      </c>
      <c r="E6043">
        <v>0.61274759999999995</v>
      </c>
      <c r="F6043" t="s">
        <v>42</v>
      </c>
      <c r="G6043">
        <v>-242.01339999999999</v>
      </c>
      <c r="H6043">
        <v>1.0156449999999999</v>
      </c>
      <c r="I6043">
        <v>-63.032539999999997</v>
      </c>
      <c r="J6043">
        <v>-242.78440000000001</v>
      </c>
      <c r="K6043">
        <v>1.109888</v>
      </c>
      <c r="L6043">
        <v>-62.90701</v>
      </c>
      <c r="M6043">
        <v>0.99811930000000004</v>
      </c>
      <c r="N6043">
        <v>0</v>
      </c>
      <c r="O6043">
        <v>6.1263680000000001E-2</v>
      </c>
      <c r="P6043">
        <v>0.98553469999999999</v>
      </c>
      <c r="Q6043">
        <v>-2.3077469999999999E-2</v>
      </c>
      <c r="R6043">
        <v>0.1678963</v>
      </c>
      <c r="S6043">
        <v>3.0998540000000001</v>
      </c>
      <c r="T6043">
        <v>-0.30792770000000003</v>
      </c>
      <c r="U6043">
        <v>-0.37310789999999999</v>
      </c>
      <c r="V6043">
        <v>-0.10715189999999999</v>
      </c>
      <c r="W6043">
        <v>-2.113951E-2</v>
      </c>
      <c r="X6043">
        <v>0.99401790000000001</v>
      </c>
      <c r="Y6043">
        <v>0.1789337</v>
      </c>
      <c r="Z6043">
        <v>-1.488564E-2</v>
      </c>
      <c r="AA6043">
        <v>0.98374850000000003</v>
      </c>
      <c r="AB6043">
        <v>36</v>
      </c>
      <c r="AC6043">
        <v>0.77100000000001501</v>
      </c>
      <c r="AD6043">
        <v>-9.4242999999999799E-2</v>
      </c>
      <c r="AE6043">
        <v>-0.125530000000004</v>
      </c>
      <c r="AF6043">
        <v>0.17005340113563899</v>
      </c>
      <c r="AG6043">
        <v>-9.4242999999999799E-2</v>
      </c>
      <c r="AH6043">
        <v>0.75093114047305798</v>
      </c>
      <c r="AI6043">
        <v>96.978416978419801</v>
      </c>
      <c r="AJ6043">
        <v>77.240199322207005</v>
      </c>
      <c r="AK6043">
        <v>0.77569161399293596</v>
      </c>
      <c r="AL6043">
        <v>91.211294936008898</v>
      </c>
      <c r="AM6043">
        <v>96.152541144971295</v>
      </c>
      <c r="AN6043">
        <v>0.99999999703853004</v>
      </c>
    </row>
    <row r="6044" spans="1:40" x14ac:dyDescent="0.3">
      <c r="A6044" t="str">
        <f>"20200111160623372"</f>
        <v>20200111160623372</v>
      </c>
      <c r="B6044" t="str">
        <f>"1578729983368750"</f>
        <v>1578729983368750</v>
      </c>
      <c r="C6044" t="s">
        <v>40</v>
      </c>
      <c r="D6044">
        <v>5.0846210000000003</v>
      </c>
      <c r="E6044">
        <v>0.61285389999999995</v>
      </c>
      <c r="F6044" t="s">
        <v>42</v>
      </c>
      <c r="G6044">
        <v>-242.00839999999999</v>
      </c>
      <c r="H6044">
        <v>1.0323040000000001</v>
      </c>
      <c r="I6044">
        <v>-62.999920000000003</v>
      </c>
      <c r="J6044">
        <v>-242.60120000000001</v>
      </c>
      <c r="K6044">
        <v>1.1099079999999999</v>
      </c>
      <c r="L6044">
        <v>-62.895319999999998</v>
      </c>
      <c r="M6044">
        <v>0.99808339999999995</v>
      </c>
      <c r="N6044">
        <v>0</v>
      </c>
      <c r="O6044">
        <v>6.1839039999999998E-2</v>
      </c>
      <c r="P6044">
        <v>0.98536630000000003</v>
      </c>
      <c r="Q6044">
        <v>-2.338086E-2</v>
      </c>
      <c r="R6044">
        <v>0.16883899999999999</v>
      </c>
      <c r="S6044">
        <v>3.0999150000000002</v>
      </c>
      <c r="T6044">
        <v>-0.30992760000000003</v>
      </c>
      <c r="U6044">
        <v>-0.37051390000000001</v>
      </c>
      <c r="V6044">
        <v>-0.10752920000000001</v>
      </c>
      <c r="W6044">
        <v>-2.134113E-2</v>
      </c>
      <c r="X6044">
        <v>0.99397279999999999</v>
      </c>
      <c r="Y6044">
        <v>0.1786701</v>
      </c>
      <c r="Z6044">
        <v>-1.5026360000000001E-2</v>
      </c>
      <c r="AA6044">
        <v>0.98379430000000001</v>
      </c>
      <c r="AB6044">
        <v>36</v>
      </c>
      <c r="AC6044">
        <v>0.59280000000001098</v>
      </c>
      <c r="AD6044">
        <v>-7.7603999999999701E-2</v>
      </c>
      <c r="AE6044">
        <v>-0.104599999999997</v>
      </c>
      <c r="AF6044">
        <v>0.13875200498332499</v>
      </c>
      <c r="AG6044">
        <v>-7.7603999999999701E-2</v>
      </c>
      <c r="AH6044">
        <v>0.57562998561415901</v>
      </c>
      <c r="AI6044">
        <v>97.466742930836006</v>
      </c>
      <c r="AJ6044">
        <v>76.447735180087193</v>
      </c>
      <c r="AK6044">
        <v>0.59718035805027103</v>
      </c>
      <c r="AL6044">
        <v>91.222849575492404</v>
      </c>
      <c r="AM6044">
        <v>96.174316233869504</v>
      </c>
      <c r="AN6044">
        <v>0.99999994991107699</v>
      </c>
    </row>
    <row r="6045" spans="1:40" x14ac:dyDescent="0.3">
      <c r="A6045" t="str">
        <f>"20200111160623384"</f>
        <v>20200111160623384</v>
      </c>
      <c r="B6045" t="str">
        <f>"1578729983378509"</f>
        <v>1578729983378509</v>
      </c>
      <c r="C6045" t="s">
        <v>40</v>
      </c>
      <c r="D6045">
        <v>5.0381689999999999</v>
      </c>
      <c r="E6045">
        <v>0.61308419999999997</v>
      </c>
      <c r="F6045" t="s">
        <v>42</v>
      </c>
      <c r="G6045">
        <v>-241.68889999999999</v>
      </c>
      <c r="H6045">
        <v>1.018138</v>
      </c>
      <c r="I6045">
        <v>-63.003860000000003</v>
      </c>
      <c r="J6045">
        <v>-242.41050000000001</v>
      </c>
      <c r="K6045">
        <v>1.1099239999999999</v>
      </c>
      <c r="L6045">
        <v>-62.883119999999998</v>
      </c>
      <c r="M6045">
        <v>0.99804599999999999</v>
      </c>
      <c r="N6045">
        <v>0</v>
      </c>
      <c r="O6045">
        <v>6.2436760000000001E-2</v>
      </c>
      <c r="P6045">
        <v>0.98523490000000002</v>
      </c>
      <c r="Q6045">
        <v>-2.3494330000000001E-2</v>
      </c>
      <c r="R6045">
        <v>0.169588299999999</v>
      </c>
      <c r="S6045">
        <v>3.1002809999999998</v>
      </c>
      <c r="T6045">
        <v>-0.31188169999999998</v>
      </c>
      <c r="U6045">
        <v>-0.3683167</v>
      </c>
      <c r="V6045">
        <v>-0.10768990000000001</v>
      </c>
      <c r="W6045">
        <v>-2.1347410000000001E-2</v>
      </c>
      <c r="X6045">
        <v>0.99395529999999999</v>
      </c>
      <c r="Y6045">
        <v>0.178540899999999</v>
      </c>
      <c r="Z6045">
        <v>-1.51727999999999E-2</v>
      </c>
      <c r="AA6045">
        <v>0.98381549999999995</v>
      </c>
      <c r="AB6045">
        <v>36</v>
      </c>
      <c r="AC6045">
        <v>0.721600000000023</v>
      </c>
      <c r="AD6045">
        <v>-9.1785999999999895E-2</v>
      </c>
      <c r="AE6045">
        <v>-0.120739999999997</v>
      </c>
      <c r="AF6045">
        <v>0.16299361997286699</v>
      </c>
      <c r="AG6045">
        <v>-9.1785999999999895E-2</v>
      </c>
      <c r="AH6045">
        <v>0.70161103254408097</v>
      </c>
      <c r="AI6045">
        <v>97.261968060011199</v>
      </c>
      <c r="AJ6045">
        <v>76.921412618849203</v>
      </c>
      <c r="AK6045">
        <v>0.72611957068752198</v>
      </c>
      <c r="AL6045">
        <v>91.223209435204296</v>
      </c>
      <c r="AM6045">
        <v>96.183580208696796</v>
      </c>
      <c r="AN6045">
        <v>0.99999998243690302</v>
      </c>
    </row>
    <row r="6046" spans="1:40" x14ac:dyDescent="0.3">
      <c r="A6046" t="str">
        <f>"20200111160623394"</f>
        <v>20200111160623394</v>
      </c>
      <c r="B6046" t="str">
        <f>"1578729983388269"</f>
        <v>1578729983388269</v>
      </c>
      <c r="C6046" t="s">
        <v>40</v>
      </c>
      <c r="D6046">
        <v>5.2554480000000003</v>
      </c>
      <c r="E6046">
        <v>0.61351049999999996</v>
      </c>
      <c r="F6046" t="s">
        <v>42</v>
      </c>
      <c r="G6046">
        <v>-241.36789999999999</v>
      </c>
      <c r="H6046">
        <v>1.0043899999999999</v>
      </c>
      <c r="I6046">
        <v>-63.00676</v>
      </c>
      <c r="J6046">
        <v>-242.23150000000001</v>
      </c>
      <c r="K6046">
        <v>1.109939</v>
      </c>
      <c r="L6046">
        <v>-62.871459999999999</v>
      </c>
      <c r="M6046">
        <v>0.99801079999999998</v>
      </c>
      <c r="N6046">
        <v>0</v>
      </c>
      <c r="O6046">
        <v>6.2993160000000006E-2</v>
      </c>
      <c r="P6046">
        <v>0.9851145</v>
      </c>
      <c r="Q6046">
        <v>-2.3593989999999999E-2</v>
      </c>
      <c r="R6046">
        <v>0.17027300000000001</v>
      </c>
      <c r="S6046">
        <v>3.1007389999999999</v>
      </c>
      <c r="T6046">
        <v>-0.31381940000000003</v>
      </c>
      <c r="U6046">
        <v>-0.36758420000000003</v>
      </c>
      <c r="V6046">
        <v>-0.1078264</v>
      </c>
      <c r="W6046">
        <v>-2.1345960000000001E-2</v>
      </c>
      <c r="X6046">
        <v>0.9939405</v>
      </c>
      <c r="Y6046">
        <v>0.17882429999999999</v>
      </c>
      <c r="Z6046">
        <v>-1.5334810000000001E-2</v>
      </c>
      <c r="AA6046">
        <v>0.98376149999999996</v>
      </c>
      <c r="AB6046">
        <v>36</v>
      </c>
      <c r="AC6046">
        <v>0.86360000000001902</v>
      </c>
      <c r="AD6046">
        <v>-0.105549</v>
      </c>
      <c r="AE6046">
        <v>-0.1353</v>
      </c>
      <c r="AF6046">
        <v>0.18671015344587599</v>
      </c>
      <c r="AG6046">
        <v>-0.105549</v>
      </c>
      <c r="AH6046">
        <v>0.84109878481447597</v>
      </c>
      <c r="AI6046">
        <v>96.984351587225305</v>
      </c>
      <c r="AJ6046">
        <v>77.484220485785698</v>
      </c>
      <c r="AK6046">
        <v>0.86801407743029801</v>
      </c>
      <c r="AL6046">
        <v>91.223126377015504</v>
      </c>
      <c r="AM6046">
        <v>96.191448712463398</v>
      </c>
      <c r="AN6046">
        <v>0.99999995004276399</v>
      </c>
    </row>
    <row r="6047" spans="1:40" x14ac:dyDescent="0.3">
      <c r="A6047" t="str">
        <f>"20200111160623405"</f>
        <v>20200111160623405</v>
      </c>
      <c r="B6047" t="str">
        <f>"1578729983398030"</f>
        <v>1578729983398030</v>
      </c>
      <c r="C6047" t="s">
        <v>40</v>
      </c>
      <c r="D6047">
        <v>5.0133449999999904</v>
      </c>
      <c r="E6047">
        <v>0.61366330000000002</v>
      </c>
      <c r="F6047" t="s">
        <v>42</v>
      </c>
      <c r="G6047">
        <v>-241.36269999999999</v>
      </c>
      <c r="H6047">
        <v>1.021871</v>
      </c>
      <c r="I6047">
        <v>-62.9747699999999</v>
      </c>
      <c r="J6047">
        <v>-242.053</v>
      </c>
      <c r="K6047">
        <v>1.109953</v>
      </c>
      <c r="L6047">
        <v>-62.859830000000002</v>
      </c>
      <c r="M6047">
        <v>0.99797539999999996</v>
      </c>
      <c r="N6047">
        <v>0</v>
      </c>
      <c r="O6047">
        <v>6.3547110000000004E-2</v>
      </c>
      <c r="P6047">
        <v>0.98495779999999999</v>
      </c>
      <c r="Q6047">
        <v>-2.3949930000000001E-2</v>
      </c>
      <c r="R6047">
        <v>0.17112769999999999</v>
      </c>
      <c r="S6047">
        <v>3.1015320000000002</v>
      </c>
      <c r="T6047">
        <v>-0.31439450000000002</v>
      </c>
      <c r="U6047">
        <v>-0.36868289999999998</v>
      </c>
      <c r="V6047">
        <v>-0.1081372</v>
      </c>
      <c r="W6047">
        <v>-2.1601780000000001E-2</v>
      </c>
      <c r="X6047">
        <v>0.99390129999999999</v>
      </c>
      <c r="Y6047">
        <v>0.17967359999999999</v>
      </c>
      <c r="Z6047">
        <v>-1.5457210000000001E-2</v>
      </c>
      <c r="AA6047">
        <v>0.98360479999999995</v>
      </c>
      <c r="AB6047">
        <v>36</v>
      </c>
      <c r="AC6047">
        <v>0.69030000000000702</v>
      </c>
      <c r="AD6047">
        <v>-8.8081999999999994E-2</v>
      </c>
      <c r="AE6047">
        <v>-0.11493999999998999</v>
      </c>
      <c r="AF6047">
        <v>0.15610138165561799</v>
      </c>
      <c r="AG6047">
        <v>-8.8081999999999994E-2</v>
      </c>
      <c r="AH6047">
        <v>0.67097084496984905</v>
      </c>
      <c r="AI6047">
        <v>97.286346355984804</v>
      </c>
      <c r="AJ6047">
        <v>76.903112686394905</v>
      </c>
      <c r="AK6047">
        <v>0.69449834764263196</v>
      </c>
      <c r="AL6047">
        <v>91.237787050235895</v>
      </c>
      <c r="AM6047">
        <v>96.209398791514502</v>
      </c>
      <c r="AN6047">
        <v>1.0000000425323401</v>
      </c>
    </row>
    <row r="6048" spans="1:40" x14ac:dyDescent="0.3">
      <c r="A6048" t="str">
        <f>"20200111160623416"</f>
        <v>20200111160623416</v>
      </c>
      <c r="B6048" t="str">
        <f>"1578729983408766"</f>
        <v>1578729983408766</v>
      </c>
      <c r="C6048" t="s">
        <v>40</v>
      </c>
      <c r="D6048">
        <v>4.9866400000000004</v>
      </c>
      <c r="E6048">
        <v>0.61383710000000002</v>
      </c>
      <c r="F6048" t="s">
        <v>42</v>
      </c>
      <c r="G6048">
        <v>-241.041</v>
      </c>
      <c r="H6048">
        <v>1.0067569999999999</v>
      </c>
      <c r="I6048">
        <v>-62.979790000000001</v>
      </c>
      <c r="J6048">
        <v>-241.87129999999999</v>
      </c>
      <c r="K6048">
        <v>1.109964</v>
      </c>
      <c r="L6048">
        <v>-62.847810000000003</v>
      </c>
      <c r="M6048">
        <v>0.99793929999999997</v>
      </c>
      <c r="N6048">
        <v>0</v>
      </c>
      <c r="O6048">
        <v>6.4106730000000001E-2</v>
      </c>
      <c r="P6048">
        <v>0.98484579999999999</v>
      </c>
      <c r="Q6048">
        <v>-2.4107360000000001E-2</v>
      </c>
      <c r="R6048">
        <v>0.17174900000000001</v>
      </c>
      <c r="S6048">
        <v>3.1018979999999998</v>
      </c>
      <c r="T6048">
        <v>-0.31630649999999999</v>
      </c>
      <c r="U6048">
        <v>-0.3671875</v>
      </c>
      <c r="V6048">
        <v>-0.1082062</v>
      </c>
      <c r="W6048">
        <v>-2.1657180000000002E-2</v>
      </c>
      <c r="X6048">
        <v>0.99389260000000001</v>
      </c>
      <c r="Y6048">
        <v>0.179726</v>
      </c>
      <c r="Z6048">
        <v>-1.5608729999999999E-2</v>
      </c>
      <c r="AA6048">
        <v>0.98359289999999999</v>
      </c>
      <c r="AB6048">
        <v>36</v>
      </c>
      <c r="AC6048">
        <v>0.83029999999999404</v>
      </c>
      <c r="AD6048">
        <v>-0.10320699999999999</v>
      </c>
      <c r="AE6048">
        <v>-0.13198000000000501</v>
      </c>
      <c r="AF6048">
        <v>0.182190932572593</v>
      </c>
      <c r="AG6048">
        <v>-0.10320699999999999</v>
      </c>
      <c r="AH6048">
        <v>0.807955424739911</v>
      </c>
      <c r="AI6048">
        <v>97.102994109297697</v>
      </c>
      <c r="AJ6048">
        <v>77.292555464888494</v>
      </c>
      <c r="AK6048">
        <v>0.83464794322356095</v>
      </c>
      <c r="AL6048">
        <v>91.240961960156895</v>
      </c>
      <c r="AM6048">
        <v>96.213383857109093</v>
      </c>
      <c r="AN6048">
        <v>1.00000005774937</v>
      </c>
    </row>
    <row r="6049" spans="1:40" x14ac:dyDescent="0.3">
      <c r="A6049" t="str">
        <f>"20200111160623428"</f>
        <v>20200111160623428</v>
      </c>
      <c r="B6049" t="str">
        <f>"1578729983418526"</f>
        <v>1578729983418526</v>
      </c>
      <c r="C6049" t="s">
        <v>40</v>
      </c>
      <c r="D6049">
        <v>5.1876600000000002</v>
      </c>
      <c r="E6049">
        <v>0.61381479999999999</v>
      </c>
      <c r="F6049" t="s">
        <v>42</v>
      </c>
      <c r="G6049">
        <v>-241.0359</v>
      </c>
      <c r="H6049">
        <v>1.0243450000000001</v>
      </c>
      <c r="I6049">
        <v>-62.946620000000003</v>
      </c>
      <c r="J6049">
        <v>-241.69149999999999</v>
      </c>
      <c r="K6049">
        <v>1.1099760000000001</v>
      </c>
      <c r="L6049">
        <v>-62.835880000000003</v>
      </c>
      <c r="M6049">
        <v>0.99790350000000005</v>
      </c>
      <c r="N6049">
        <v>0</v>
      </c>
      <c r="O6049">
        <v>6.4658400000000005E-2</v>
      </c>
      <c r="P6049">
        <v>0.98475639999999998</v>
      </c>
      <c r="Q6049">
        <v>-2.4516759999999999E-2</v>
      </c>
      <c r="R6049">
        <v>0.1722032</v>
      </c>
      <c r="S6049">
        <v>3.1022799999999999</v>
      </c>
      <c r="T6049">
        <v>-0.31792969999999998</v>
      </c>
      <c r="U6049">
        <v>-0.36633300000000002</v>
      </c>
      <c r="V6049">
        <v>-0.108115</v>
      </c>
      <c r="W6049">
        <v>-2.1964480000000002E-2</v>
      </c>
      <c r="X6049">
        <v>0.99389570000000005</v>
      </c>
      <c r="Y6049">
        <v>0.17997170000000001</v>
      </c>
      <c r="Z6049">
        <v>-1.5755479999999999E-2</v>
      </c>
      <c r="AA6049">
        <v>0.98354560000000002</v>
      </c>
      <c r="AB6049">
        <v>36</v>
      </c>
      <c r="AC6049">
        <v>0.65559999999999197</v>
      </c>
      <c r="AD6049">
        <v>-8.5630999999999999E-2</v>
      </c>
      <c r="AE6049">
        <v>-0.110739999999992</v>
      </c>
      <c r="AF6049">
        <v>0.15040374585204799</v>
      </c>
      <c r="AG6049">
        <v>-8.5630999999999999E-2</v>
      </c>
      <c r="AH6049">
        <v>0.63651006163524604</v>
      </c>
      <c r="AI6049">
        <v>97.459110814229007</v>
      </c>
      <c r="AJ6049">
        <v>76.705188252142406</v>
      </c>
      <c r="AK6049">
        <v>0.65962035557601795</v>
      </c>
      <c r="AL6049">
        <v>91.2585732432714</v>
      </c>
      <c r="AM6049">
        <v>96.208168695356093</v>
      </c>
      <c r="AN6049">
        <v>0.99999997704258003</v>
      </c>
    </row>
    <row r="6050" spans="1:40" x14ac:dyDescent="0.3">
      <c r="A6050" t="str">
        <f>"20200111160623439"</f>
        <v>20200111160623439</v>
      </c>
      <c r="B6050" t="str">
        <f>"1578729983428287"</f>
        <v>1578729983428287</v>
      </c>
      <c r="C6050" t="s">
        <v>40</v>
      </c>
      <c r="D6050">
        <v>4.9453719999999999</v>
      </c>
      <c r="E6050">
        <v>0.61397860000000004</v>
      </c>
      <c r="F6050" t="s">
        <v>42</v>
      </c>
      <c r="G6050">
        <v>-240.7131</v>
      </c>
      <c r="H6050">
        <v>1.0093810000000001</v>
      </c>
      <c r="I6050">
        <v>-62.950890000000001</v>
      </c>
      <c r="J6050">
        <v>-241.5087</v>
      </c>
      <c r="K6050">
        <v>1.10999</v>
      </c>
      <c r="L6050">
        <v>-62.8236699999999</v>
      </c>
      <c r="M6050">
        <v>0.9978669</v>
      </c>
      <c r="N6050">
        <v>0</v>
      </c>
      <c r="O6050">
        <v>6.5215739999999994E-2</v>
      </c>
      <c r="P6050">
        <v>0.98467119999999997</v>
      </c>
      <c r="Q6050">
        <v>-2.4676420000000001E-2</v>
      </c>
      <c r="R6050">
        <v>0.1726665</v>
      </c>
      <c r="S6050">
        <v>3.1022799999999999</v>
      </c>
      <c r="T6050">
        <v>-0.31896819999999998</v>
      </c>
      <c r="U6050">
        <v>-0.36474610000000002</v>
      </c>
      <c r="V6050">
        <v>-0.1080267</v>
      </c>
      <c r="W6050">
        <v>-2.2019219999999999E-2</v>
      </c>
      <c r="X6050">
        <v>0.99390409999999996</v>
      </c>
      <c r="Y6050">
        <v>0.18001329999999999</v>
      </c>
      <c r="Z6050">
        <v>-1.586622E-2</v>
      </c>
      <c r="AA6050">
        <v>0.98353619999999997</v>
      </c>
      <c r="AB6050">
        <v>37</v>
      </c>
      <c r="AC6050">
        <v>0.79560000000000697</v>
      </c>
      <c r="AD6050">
        <v>-0.100609</v>
      </c>
      <c r="AE6050">
        <v>-0.12722000000000799</v>
      </c>
      <c r="AF6050">
        <v>0.176089341062282</v>
      </c>
      <c r="AG6050">
        <v>-0.100609</v>
      </c>
      <c r="AH6050">
        <v>0.77354788370038896</v>
      </c>
      <c r="AI6050">
        <v>97.2275241711082</v>
      </c>
      <c r="AJ6050">
        <v>77.175803305413098</v>
      </c>
      <c r="AK6050">
        <v>0.79969116244591598</v>
      </c>
      <c r="AL6050">
        <v>91.261710360489502</v>
      </c>
      <c r="AM6050">
        <v>96.203085868467397</v>
      </c>
      <c r="AN6050">
        <v>0.99999998697955395</v>
      </c>
    </row>
    <row r="6051" spans="1:40" x14ac:dyDescent="0.3">
      <c r="A6051" t="str">
        <f>"20200111160623450"</f>
        <v>20200111160623450</v>
      </c>
      <c r="B6051" t="str">
        <f>"1578729983448782"</f>
        <v>1578729983448782</v>
      </c>
      <c r="C6051" t="s">
        <v>40</v>
      </c>
      <c r="D6051">
        <v>4.9467980000000003</v>
      </c>
      <c r="E6051">
        <v>0.61417250000000001</v>
      </c>
      <c r="F6051" t="s">
        <v>42</v>
      </c>
      <c r="G6051">
        <v>-240.70769999999999</v>
      </c>
      <c r="H6051">
        <v>1.0273080000000001</v>
      </c>
      <c r="I6051">
        <v>-62.917749999999998</v>
      </c>
      <c r="J6051">
        <v>-241.3271</v>
      </c>
      <c r="K6051">
        <v>1.1100019999999999</v>
      </c>
      <c r="L6051">
        <v>-62.811399999999999</v>
      </c>
      <c r="M6051">
        <v>0.99783049999999995</v>
      </c>
      <c r="N6051">
        <v>0</v>
      </c>
      <c r="O6051">
        <v>6.576622E-2</v>
      </c>
      <c r="P6051">
        <v>0.98458210000000002</v>
      </c>
      <c r="Q6051">
        <v>-2.4866860000000001E-2</v>
      </c>
      <c r="R6051">
        <v>0.17314760000000001</v>
      </c>
      <c r="S6051">
        <v>3.1025849999999999</v>
      </c>
      <c r="T6051">
        <v>-0.32025520000000002</v>
      </c>
      <c r="U6051">
        <v>-0.36450199999999999</v>
      </c>
      <c r="V6051">
        <v>-0.1079644</v>
      </c>
      <c r="W6051">
        <v>-2.2103709999999999E-2</v>
      </c>
      <c r="X6051">
        <v>0.99390900000000004</v>
      </c>
      <c r="Y6051">
        <v>0.1804529</v>
      </c>
      <c r="Z6051">
        <v>-1.6007469999999999E-2</v>
      </c>
      <c r="AA6051">
        <v>0.98345329999999997</v>
      </c>
      <c r="AB6051">
        <v>37</v>
      </c>
      <c r="AC6051">
        <v>0.61940000000001205</v>
      </c>
      <c r="AD6051">
        <v>-8.2694000000000004E-2</v>
      </c>
      <c r="AE6051">
        <v>-0.106349999999999</v>
      </c>
      <c r="AF6051">
        <v>0.14435621174452101</v>
      </c>
      <c r="AG6051">
        <v>-8.2694000000000004E-2</v>
      </c>
      <c r="AH6051">
        <v>0.60066507519326695</v>
      </c>
      <c r="AI6051">
        <v>97.624251860970801</v>
      </c>
      <c r="AJ6051">
        <v>76.486536825471504</v>
      </c>
      <c r="AK6051">
        <v>0.62327806480106596</v>
      </c>
      <c r="AL6051">
        <v>91.266552451862097</v>
      </c>
      <c r="AM6051">
        <v>96.199506030043906</v>
      </c>
      <c r="AN6051">
        <v>0.99999999297206199</v>
      </c>
    </row>
    <row r="6052" spans="1:40" x14ac:dyDescent="0.3">
      <c r="A6052" t="str">
        <f>"20200111160623461"</f>
        <v>20200111160623461</v>
      </c>
      <c r="B6052" t="str">
        <f>"1578729983458542"</f>
        <v>1578729983458542</v>
      </c>
      <c r="C6052" t="s">
        <v>40</v>
      </c>
      <c r="D6052">
        <v>5.0548320000000002</v>
      </c>
      <c r="E6052">
        <v>0.61417250000000001</v>
      </c>
      <c r="F6052" t="s">
        <v>42</v>
      </c>
      <c r="G6052">
        <v>-240.3835</v>
      </c>
      <c r="H6052">
        <v>1.0130380000000001</v>
      </c>
      <c r="I6052">
        <v>-62.922539999999998</v>
      </c>
      <c r="J6052">
        <v>-241.1404</v>
      </c>
      <c r="K6052">
        <v>1.1100129999999999</v>
      </c>
      <c r="L6052">
        <v>-62.79871</v>
      </c>
      <c r="M6052">
        <v>0.99779280000000004</v>
      </c>
      <c r="N6052">
        <v>0</v>
      </c>
      <c r="O6052">
        <v>6.6329920000000001E-2</v>
      </c>
      <c r="P6052">
        <v>0.98457260000000002</v>
      </c>
      <c r="Q6052">
        <v>-2.5197689999999998E-2</v>
      </c>
      <c r="R6052">
        <v>0.17315349999999999</v>
      </c>
      <c r="S6052">
        <v>3.103043</v>
      </c>
      <c r="T6052">
        <v>-0.31892989999999999</v>
      </c>
      <c r="U6052">
        <v>-0.36456300000000003</v>
      </c>
      <c r="V6052">
        <v>-0.1074084</v>
      </c>
      <c r="W6052">
        <v>-2.2323019999999999E-2</v>
      </c>
      <c r="X6052">
        <v>0.99396430000000002</v>
      </c>
      <c r="Y6052">
        <v>0.18101590000000001</v>
      </c>
      <c r="Z6052">
        <v>-1.6025600000000001E-2</v>
      </c>
      <c r="AA6052">
        <v>0.98334960000000005</v>
      </c>
      <c r="AB6052">
        <v>37</v>
      </c>
      <c r="AC6052">
        <v>0.75690000000000102</v>
      </c>
      <c r="AD6052">
        <v>-9.6975000000000006E-2</v>
      </c>
      <c r="AE6052">
        <v>-0.12383000000000501</v>
      </c>
      <c r="AF6052">
        <v>0.171028398068924</v>
      </c>
      <c r="AG6052">
        <v>-9.6975000000000006E-2</v>
      </c>
      <c r="AH6052">
        <v>0.73526462977223395</v>
      </c>
      <c r="AI6052">
        <v>97.320225357197202</v>
      </c>
      <c r="AJ6052">
        <v>76.905399478990006</v>
      </c>
      <c r="AK6052">
        <v>0.76109719442731005</v>
      </c>
      <c r="AL6052">
        <v>91.279121138413302</v>
      </c>
      <c r="AM6052">
        <v>96.167485730187806</v>
      </c>
      <c r="AN6052">
        <v>0.99999995564348398</v>
      </c>
    </row>
    <row r="6053" spans="1:40" x14ac:dyDescent="0.3">
      <c r="A6053" t="str">
        <f>"20200111160623474"</f>
        <v>20200111160623474</v>
      </c>
      <c r="B6053" t="str">
        <f>"1578729983468301"</f>
        <v>1578729983468301</v>
      </c>
      <c r="C6053" t="s">
        <v>40</v>
      </c>
      <c r="D6053">
        <v>5.2692360000000003</v>
      </c>
      <c r="E6053">
        <v>0.53940559999999904</v>
      </c>
      <c r="F6053" t="s">
        <v>42</v>
      </c>
      <c r="G6053">
        <v>-240.37799999999999</v>
      </c>
      <c r="H6053">
        <v>1.031434</v>
      </c>
      <c r="I6053">
        <v>-62.888579999999997</v>
      </c>
      <c r="J6053">
        <v>-240.94739999999999</v>
      </c>
      <c r="K6053">
        <v>1.110023</v>
      </c>
      <c r="L6053">
        <v>-62.785400000000003</v>
      </c>
      <c r="M6053">
        <v>0.99775380000000002</v>
      </c>
      <c r="N6053">
        <v>0</v>
      </c>
      <c r="O6053">
        <v>6.6907380000000002E-2</v>
      </c>
      <c r="P6053">
        <v>0.98449140000000002</v>
      </c>
      <c r="Q6053">
        <v>-2.5265969999999999E-2</v>
      </c>
      <c r="R6053">
        <v>0.17360400000000001</v>
      </c>
      <c r="S6053">
        <v>3.1029360000000001</v>
      </c>
      <c r="T6053">
        <v>-0.319828</v>
      </c>
      <c r="U6053">
        <v>-0.364624</v>
      </c>
      <c r="V6053">
        <v>-0.1072877</v>
      </c>
      <c r="W6053">
        <v>-2.2274789999999999E-2</v>
      </c>
      <c r="X6053">
        <v>0.99397840000000004</v>
      </c>
      <c r="Y6053">
        <v>0.18159449999999999</v>
      </c>
      <c r="Z6053">
        <v>-1.6159840000000002E-2</v>
      </c>
      <c r="AA6053">
        <v>0.98324069999999997</v>
      </c>
      <c r="AB6053">
        <v>37</v>
      </c>
      <c r="AC6053">
        <v>0.56940000000000102</v>
      </c>
      <c r="AD6053">
        <v>-7.8589000000000006E-2</v>
      </c>
      <c r="AE6053">
        <v>-0.10318000000000099</v>
      </c>
      <c r="AF6053">
        <v>0.13849170549904</v>
      </c>
      <c r="AG6053">
        <v>-7.8589000000000006E-2</v>
      </c>
      <c r="AH6053">
        <v>0.55105679211327496</v>
      </c>
      <c r="AI6053">
        <v>97.874837148068593</v>
      </c>
      <c r="AJ6053">
        <v>75.892586087063407</v>
      </c>
      <c r="AK6053">
        <v>0.57360245078556504</v>
      </c>
      <c r="AL6053">
        <v>91.276357097755394</v>
      </c>
      <c r="AM6053">
        <v>96.160521634418998</v>
      </c>
      <c r="AN6053">
        <v>0.99999993825369504</v>
      </c>
    </row>
    <row r="6054" spans="1:40" x14ac:dyDescent="0.3">
      <c r="A6054" t="str">
        <f>"20200111160623484"</f>
        <v>20200111160623484</v>
      </c>
      <c r="B6054" t="str">
        <f>"1578729983478062"</f>
        <v>1578729983478062</v>
      </c>
      <c r="C6054" t="s">
        <v>40</v>
      </c>
      <c r="D6054">
        <v>5.0121180000000001</v>
      </c>
      <c r="E6054">
        <v>0.52538560000000001</v>
      </c>
      <c r="F6054" t="s">
        <v>42</v>
      </c>
      <c r="G6054">
        <v>-240.05279999999999</v>
      </c>
      <c r="H6054">
        <v>1.0399640000000001</v>
      </c>
      <c r="I6054">
        <v>-62.719859999999997</v>
      </c>
      <c r="J6054">
        <v>-240.76609999999999</v>
      </c>
      <c r="K6054">
        <v>1.1100289999999999</v>
      </c>
      <c r="L6054">
        <v>-62.772889999999997</v>
      </c>
      <c r="M6054">
        <v>0.99771710000000002</v>
      </c>
      <c r="N6054">
        <v>0</v>
      </c>
      <c r="O6054">
        <v>6.7447939999999998E-2</v>
      </c>
      <c r="P6054">
        <v>0.98447249999999997</v>
      </c>
      <c r="Q6054">
        <v>-2.5329999999999998E-2</v>
      </c>
      <c r="R6054">
        <v>0.17370279999999999</v>
      </c>
      <c r="S6054">
        <v>3.00238</v>
      </c>
      <c r="T6054">
        <v>-0.23516670000000001</v>
      </c>
      <c r="U6054">
        <v>0.22021479999999999</v>
      </c>
      <c r="V6054">
        <v>-0.1068494</v>
      </c>
      <c r="W6054">
        <v>-2.2227940000000002E-2</v>
      </c>
      <c r="X6054">
        <v>0.99402670000000004</v>
      </c>
      <c r="Y6054">
        <v>-5.9030869999999996E-3</v>
      </c>
      <c r="Z6054">
        <v>-5.0311109999999996E-3</v>
      </c>
      <c r="AA6054">
        <v>0.99996989999999997</v>
      </c>
      <c r="AB6054">
        <v>37</v>
      </c>
      <c r="AC6054">
        <v>0.71330000000000304</v>
      </c>
      <c r="AD6054">
        <v>-7.0065000000000197E-2</v>
      </c>
      <c r="AE6054">
        <v>5.3030000000006801E-2</v>
      </c>
      <c r="AF6054">
        <v>-4.7527448884498898E-3</v>
      </c>
      <c r="AG6054">
        <v>-7.0065000000000197E-2</v>
      </c>
      <c r="AH6054">
        <v>0.70845451660490599</v>
      </c>
      <c r="AI6054">
        <v>95.6479665096643</v>
      </c>
      <c r="AJ6054">
        <v>90.384369259791299</v>
      </c>
      <c r="AK6054">
        <v>0.71192660780930705</v>
      </c>
      <c r="AL6054">
        <v>91.273672074966001</v>
      </c>
      <c r="AM6054">
        <v>96.135250691457898</v>
      </c>
      <c r="AN6054">
        <v>0.999999977954946</v>
      </c>
    </row>
    <row r="6055" spans="1:40" x14ac:dyDescent="0.3">
      <c r="A6055" t="str">
        <f>"20200111160623495"</f>
        <v>20200111160623495</v>
      </c>
      <c r="B6055" t="str">
        <f>"1578729983487821"</f>
        <v>1578729983487821</v>
      </c>
      <c r="C6055" t="s">
        <v>40</v>
      </c>
      <c r="D6055">
        <v>4.8346299999999998</v>
      </c>
      <c r="E6055">
        <v>0.51394819999999997</v>
      </c>
      <c r="F6055" t="s">
        <v>98</v>
      </c>
      <c r="G6055">
        <v>-225.90280000000001</v>
      </c>
      <c r="H6055" s="1">
        <v>-1.8158639999999999E-6</v>
      </c>
      <c r="I6055">
        <v>-61.12809</v>
      </c>
      <c r="J6055">
        <v>-240.5822</v>
      </c>
      <c r="K6055">
        <v>1.1100350000000001</v>
      </c>
      <c r="L6055">
        <v>-62.760039999999996</v>
      </c>
      <c r="M6055">
        <v>0.99767989999999995</v>
      </c>
      <c r="N6055">
        <v>0</v>
      </c>
      <c r="O6055">
        <v>6.7990880000000004E-2</v>
      </c>
      <c r="P6055">
        <v>0.98443159999999996</v>
      </c>
      <c r="Q6055">
        <v>-2.5556579999999999E-2</v>
      </c>
      <c r="R6055">
        <v>0.17390069999999999</v>
      </c>
      <c r="S6055">
        <v>2.9833370000000001</v>
      </c>
      <c r="T6055">
        <v>-0.2228031</v>
      </c>
      <c r="U6055">
        <v>0.33013920000000002</v>
      </c>
      <c r="V6055">
        <v>-0.1065083</v>
      </c>
      <c r="W6055">
        <v>-2.2341840000000002E-2</v>
      </c>
      <c r="X6055">
        <v>0.99406079999999997</v>
      </c>
      <c r="Y6055">
        <v>-4.2226859999999998E-2</v>
      </c>
      <c r="Z6055">
        <v>-3.4778360000000002E-3</v>
      </c>
      <c r="AA6055">
        <v>0.99910200000000005</v>
      </c>
      <c r="AB6055">
        <v>37</v>
      </c>
      <c r="AC6055">
        <v>14.6793999999999</v>
      </c>
      <c r="AD6055">
        <v>-1.1100368158639999</v>
      </c>
      <c r="AE6055">
        <v>1.63195</v>
      </c>
      <c r="AF6055">
        <v>-0.62656312480926302</v>
      </c>
      <c r="AG6055">
        <v>-1.1100368158639999</v>
      </c>
      <c r="AH6055">
        <v>14.673507545013001</v>
      </c>
      <c r="AI6055">
        <v>94.322207364724093</v>
      </c>
      <c r="AJ6055">
        <v>92.445061463488202</v>
      </c>
      <c r="AK6055">
        <v>14.728767319619701</v>
      </c>
      <c r="AL6055">
        <v>91.2801996252999</v>
      </c>
      <c r="AM6055">
        <v>96.115605323321802</v>
      </c>
      <c r="AN6055">
        <v>1.00000002494005</v>
      </c>
    </row>
    <row r="6056" spans="1:40" x14ac:dyDescent="0.3">
      <c r="A6056" t="str">
        <f>"20200111160623507"</f>
        <v>20200111160623507</v>
      </c>
      <c r="B6056" t="str">
        <f>"1578729983498557"</f>
        <v>1578729983498557</v>
      </c>
      <c r="C6056" t="s">
        <v>40</v>
      </c>
      <c r="D6056">
        <v>4.8810060000000002</v>
      </c>
      <c r="E6056">
        <v>0.50602840000000004</v>
      </c>
      <c r="F6056" t="s">
        <v>98</v>
      </c>
      <c r="G6056">
        <v>-224.9836</v>
      </c>
      <c r="H6056" s="1">
        <v>-1.2934340000000001E-6</v>
      </c>
      <c r="I6056">
        <v>-60.552109999999999</v>
      </c>
      <c r="J6056">
        <v>-240.3954</v>
      </c>
      <c r="K6056">
        <v>1.1100399999999999</v>
      </c>
      <c r="L6056">
        <v>-62.746920000000003</v>
      </c>
      <c r="M6056">
        <v>0.99764189999999997</v>
      </c>
      <c r="N6056">
        <v>0</v>
      </c>
      <c r="O6056">
        <v>6.8540539999999997E-2</v>
      </c>
      <c r="P6056">
        <v>0.9844174</v>
      </c>
      <c r="Q6056">
        <v>-2.5957190000000002E-2</v>
      </c>
      <c r="R6056">
        <v>0.17392099999999999</v>
      </c>
      <c r="S6056">
        <v>2.967743</v>
      </c>
      <c r="T6056">
        <v>-0.2111923</v>
      </c>
      <c r="U6056">
        <v>0.42007450000000002</v>
      </c>
      <c r="V6056">
        <v>-0.10598150000000001</v>
      </c>
      <c r="W6056">
        <v>-2.2627959999999999E-2</v>
      </c>
      <c r="X6056">
        <v>0.99411059999999996</v>
      </c>
      <c r="Y6056">
        <v>-7.1947049999999999E-2</v>
      </c>
      <c r="Z6056">
        <v>-2.2945370000000001E-3</v>
      </c>
      <c r="AA6056">
        <v>0.99740580000000001</v>
      </c>
      <c r="AB6056">
        <v>37</v>
      </c>
      <c r="AC6056">
        <v>15.411799999999999</v>
      </c>
      <c r="AD6056">
        <v>-1.1100412934339901</v>
      </c>
      <c r="AE6056">
        <v>2.1948099999999902</v>
      </c>
      <c r="AF6056">
        <v>-1.1275753927454399</v>
      </c>
      <c r="AG6056">
        <v>-1.1100412934339901</v>
      </c>
      <c r="AH6056">
        <v>15.4474473404458</v>
      </c>
      <c r="AI6056">
        <v>94.099295272263603</v>
      </c>
      <c r="AJ6056">
        <v>94.174860253126496</v>
      </c>
      <c r="AK6056">
        <v>15.5282725142013</v>
      </c>
      <c r="AL6056">
        <v>91.296597279139107</v>
      </c>
      <c r="AM6056">
        <v>96.0852819366348</v>
      </c>
      <c r="AN6056">
        <v>0.99999999397418504</v>
      </c>
    </row>
    <row r="6057" spans="1:40" x14ac:dyDescent="0.3">
      <c r="A6057" t="str">
        <f>"20200111160623518"</f>
        <v>20200111160623518</v>
      </c>
      <c r="B6057" t="str">
        <f>"1578729983508318"</f>
        <v>1578729983508318</v>
      </c>
      <c r="C6057" t="s">
        <v>40</v>
      </c>
      <c r="D6057">
        <v>4.7973919999999897</v>
      </c>
      <c r="E6057">
        <v>0.50134899999999905</v>
      </c>
      <c r="F6057" t="s">
        <v>98</v>
      </c>
      <c r="G6057">
        <v>-225.7559</v>
      </c>
      <c r="H6057" s="1">
        <v>-1.593957E-6</v>
      </c>
      <c r="I6057">
        <v>-60.35351</v>
      </c>
      <c r="J6057">
        <v>-240.214</v>
      </c>
      <c r="K6057">
        <v>1.110044</v>
      </c>
      <c r="L6057">
        <v>-62.73404</v>
      </c>
      <c r="M6057">
        <v>0.99760490000000002</v>
      </c>
      <c r="N6057">
        <v>0</v>
      </c>
      <c r="O6057">
        <v>6.9070350000000003E-2</v>
      </c>
      <c r="P6057">
        <v>0.98436230000000002</v>
      </c>
      <c r="Q6057">
        <v>-2.6165669999999999E-2</v>
      </c>
      <c r="R6057">
        <v>0.1742022</v>
      </c>
      <c r="S6057">
        <v>2.9561920000000002</v>
      </c>
      <c r="T6057">
        <v>-0.2241533</v>
      </c>
      <c r="U6057">
        <v>0.48330689999999998</v>
      </c>
      <c r="V6057">
        <v>-0.1057376</v>
      </c>
      <c r="W6057">
        <v>-2.272712E-2</v>
      </c>
      <c r="X6057">
        <v>0.99413430000000003</v>
      </c>
      <c r="Y6057">
        <v>-9.2730229999999997E-2</v>
      </c>
      <c r="Z6057">
        <v>-1.6975390000000001E-3</v>
      </c>
      <c r="AA6057">
        <v>0.99568979999999996</v>
      </c>
      <c r="AB6057">
        <v>37</v>
      </c>
      <c r="AC6057">
        <v>14.4581</v>
      </c>
      <c r="AD6057">
        <v>-1.110045593957</v>
      </c>
      <c r="AE6057">
        <v>2.3805299999999998</v>
      </c>
      <c r="AF6057">
        <v>-1.3683587055263799</v>
      </c>
      <c r="AG6057">
        <v>-1.110045593957</v>
      </c>
      <c r="AH6057">
        <v>14.5047517947265</v>
      </c>
      <c r="AI6057">
        <v>94.357033109464695</v>
      </c>
      <c r="AJ6057">
        <v>95.389256533603799</v>
      </c>
      <c r="AK6057">
        <v>14.611380201551</v>
      </c>
      <c r="AL6057">
        <v>91.302280202820697</v>
      </c>
      <c r="AM6057">
        <v>96.071238661218302</v>
      </c>
      <c r="AN6057">
        <v>0.99999998423687197</v>
      </c>
    </row>
    <row r="6058" spans="1:40" x14ac:dyDescent="0.3">
      <c r="A6058" t="str">
        <f>"20200111160623529"</f>
        <v>20200111160623529</v>
      </c>
      <c r="B6058" t="str">
        <f>"1578729983518078"</f>
        <v>1578729983518078</v>
      </c>
      <c r="C6058" t="s">
        <v>40</v>
      </c>
      <c r="D6058">
        <v>5.0196719999999999</v>
      </c>
      <c r="E6058">
        <v>0.49692330000000001</v>
      </c>
      <c r="F6058" t="s">
        <v>98</v>
      </c>
      <c r="G6058">
        <v>-226.3329</v>
      </c>
      <c r="H6058" s="1">
        <v>-1.8581419999999999E-6</v>
      </c>
      <c r="I6058">
        <v>-60.278300000000002</v>
      </c>
      <c r="J6058">
        <v>-240.0308</v>
      </c>
      <c r="K6058">
        <v>1.110047</v>
      </c>
      <c r="L6058">
        <v>-62.720979999999997</v>
      </c>
      <c r="M6058">
        <v>0.99756750000000005</v>
      </c>
      <c r="N6058">
        <v>0</v>
      </c>
      <c r="O6058">
        <v>6.9602529999999996E-2</v>
      </c>
      <c r="P6058">
        <v>0.98428930000000003</v>
      </c>
      <c r="Q6058">
        <v>-2.6637549999999999E-2</v>
      </c>
      <c r="R6058">
        <v>0.17454220000000001</v>
      </c>
      <c r="S6058">
        <v>2.9490660000000002</v>
      </c>
      <c r="T6058">
        <v>-0.2358324</v>
      </c>
      <c r="U6058">
        <v>0.52172850000000004</v>
      </c>
      <c r="V6058">
        <v>-0.1055504</v>
      </c>
      <c r="W6058">
        <v>-2.3089999999999999E-2</v>
      </c>
      <c r="X6058">
        <v>0.99414590000000003</v>
      </c>
      <c r="Y6058">
        <v>-0.1051368</v>
      </c>
      <c r="Z6058">
        <v>-1.337897E-3</v>
      </c>
      <c r="AA6058">
        <v>0.99445689999999998</v>
      </c>
      <c r="AB6058">
        <v>37</v>
      </c>
      <c r="AC6058">
        <v>13.697900000000001</v>
      </c>
      <c r="AD6058">
        <v>-1.1100488581420001</v>
      </c>
      <c r="AE6058">
        <v>2.4426800000000002</v>
      </c>
      <c r="AF6058">
        <v>-1.4739591237335501</v>
      </c>
      <c r="AG6058">
        <v>-1.1100488581420001</v>
      </c>
      <c r="AH6058">
        <v>13.7471999888143</v>
      </c>
      <c r="AI6058">
        <v>94.590266027999107</v>
      </c>
      <c r="AJ6058">
        <v>96.119808804883405</v>
      </c>
      <c r="AK6058">
        <v>13.8704820211252</v>
      </c>
      <c r="AL6058">
        <v>91.323077062908595</v>
      </c>
      <c r="AM6058">
        <v>96.0604998932032</v>
      </c>
      <c r="AN6058">
        <v>1.00000005276348</v>
      </c>
    </row>
    <row r="6059" spans="1:40" x14ac:dyDescent="0.3">
      <c r="A6059" t="str">
        <f>"20200111160623540"</f>
        <v>20200111160623540</v>
      </c>
      <c r="B6059" t="str">
        <f>"1578729983527838"</f>
        <v>1578729983527838</v>
      </c>
      <c r="C6059" t="s">
        <v>40</v>
      </c>
      <c r="D6059">
        <v>4.8596349999999999</v>
      </c>
      <c r="E6059">
        <v>0.49418200000000001</v>
      </c>
      <c r="F6059" t="s">
        <v>98</v>
      </c>
      <c r="G6059">
        <v>-226.53440000000001</v>
      </c>
      <c r="H6059" s="1">
        <v>-1.9703469999999998E-6</v>
      </c>
      <c r="I6059">
        <v>-60.161729999999999</v>
      </c>
      <c r="J6059">
        <v>-239.84540000000001</v>
      </c>
      <c r="K6059">
        <v>1.110047</v>
      </c>
      <c r="L6059">
        <v>-62.707669999999901</v>
      </c>
      <c r="M6059">
        <v>0.99752960000000002</v>
      </c>
      <c r="N6059">
        <v>0</v>
      </c>
      <c r="O6059">
        <v>7.013722E-2</v>
      </c>
      <c r="P6059">
        <v>0.98419089999999998</v>
      </c>
      <c r="Q6059">
        <v>-2.695059E-2</v>
      </c>
      <c r="R6059">
        <v>0.1750486</v>
      </c>
      <c r="S6059">
        <v>2.9423979999999998</v>
      </c>
      <c r="T6059">
        <v>-0.24200640000000001</v>
      </c>
      <c r="U6059">
        <v>0.55795289999999997</v>
      </c>
      <c r="V6059">
        <v>-0.105529</v>
      </c>
      <c r="W6059">
        <v>-2.3294599999999999E-2</v>
      </c>
      <c r="X6059">
        <v>0.99414340000000001</v>
      </c>
      <c r="Y6059">
        <v>-0.11678479999999999</v>
      </c>
      <c r="Z6059">
        <v>-9.430447E-4</v>
      </c>
      <c r="AA6059">
        <v>0.99315679999999995</v>
      </c>
      <c r="AB6059">
        <v>37</v>
      </c>
      <c r="AC6059">
        <v>13.311</v>
      </c>
      <c r="AD6059">
        <v>-1.110048970347</v>
      </c>
      <c r="AE6059">
        <v>2.5459399999999799</v>
      </c>
      <c r="AF6059">
        <v>-1.59536307517735</v>
      </c>
      <c r="AG6059">
        <v>-1.110048970347</v>
      </c>
      <c r="AH6059">
        <v>13.3671055743494</v>
      </c>
      <c r="AI6059">
        <v>94.713838126578395</v>
      </c>
      <c r="AJ6059">
        <v>96.806052892329205</v>
      </c>
      <c r="AK6059">
        <v>13.5076609186791</v>
      </c>
      <c r="AL6059">
        <v>91.334802931147905</v>
      </c>
      <c r="AM6059">
        <v>96.059295412634995</v>
      </c>
      <c r="AN6059">
        <v>1.0000000539968501</v>
      </c>
    </row>
    <row r="6060" spans="1:40" x14ac:dyDescent="0.3">
      <c r="A6060" t="str">
        <f>"20200111160623552"</f>
        <v>20200111160623552</v>
      </c>
      <c r="B6060" t="str">
        <f>"1578729983548334"</f>
        <v>1578729983548334</v>
      </c>
      <c r="C6060" t="s">
        <v>40</v>
      </c>
      <c r="D6060">
        <v>4.8254089999999996</v>
      </c>
      <c r="E6060">
        <v>0.49070409999999998</v>
      </c>
      <c r="F6060" t="s">
        <v>98</v>
      </c>
      <c r="G6060">
        <v>-226.7422</v>
      </c>
      <c r="H6060" s="1">
        <v>-2.0699080000000001E-6</v>
      </c>
      <c r="I6060">
        <v>-60.114550000000001</v>
      </c>
      <c r="J6060">
        <v>-239.65799999999999</v>
      </c>
      <c r="K6060">
        <v>1.110047</v>
      </c>
      <c r="L6060">
        <v>-62.69406</v>
      </c>
      <c r="M6060">
        <v>0.99749149999999998</v>
      </c>
      <c r="N6060">
        <v>0</v>
      </c>
      <c r="O6060">
        <v>7.0671890000000001E-2</v>
      </c>
      <c r="P6060">
        <v>0.98408759999999995</v>
      </c>
      <c r="Q6060">
        <v>-2.7016109999999999E-2</v>
      </c>
      <c r="R6060">
        <v>0.17561879999999999</v>
      </c>
      <c r="S6060">
        <v>2.9379729999999999</v>
      </c>
      <c r="T6060">
        <v>-0.2488918</v>
      </c>
      <c r="U6060">
        <v>0.58142090000000002</v>
      </c>
      <c r="V6060">
        <v>-0.10557229999999999</v>
      </c>
      <c r="W6060">
        <v>-2.3252599999999998E-2</v>
      </c>
      <c r="X6060">
        <v>0.99413969999999896</v>
      </c>
      <c r="Y6060">
        <v>-0.1241363</v>
      </c>
      <c r="Z6060">
        <v>-7.0675509999999905E-4</v>
      </c>
      <c r="AA6060">
        <v>0.99226490000000001</v>
      </c>
      <c r="AB6060">
        <v>37</v>
      </c>
      <c r="AC6060">
        <v>12.9157999999999</v>
      </c>
      <c r="AD6060">
        <v>-1.1100490699079999</v>
      </c>
      <c r="AE6060">
        <v>2.5795099999999902</v>
      </c>
      <c r="AF6060">
        <v>-1.64855866044299</v>
      </c>
      <c r="AG6060">
        <v>-1.1100490699079999</v>
      </c>
      <c r="AH6060">
        <v>12.9736505818798</v>
      </c>
      <c r="AI6060">
        <v>94.851596637640299</v>
      </c>
      <c r="AJ6060">
        <v>97.241750501338601</v>
      </c>
      <c r="AK6060">
        <v>13.124997676770599</v>
      </c>
      <c r="AL6060">
        <v>91.332395970444097</v>
      </c>
      <c r="AM6060">
        <v>96.061785510495199</v>
      </c>
      <c r="AN6060">
        <v>0.99999996852506901</v>
      </c>
    </row>
    <row r="6061" spans="1:40" x14ac:dyDescent="0.3">
      <c r="A6061" t="str">
        <f>"20200111160623562"</f>
        <v>20200111160623562</v>
      </c>
      <c r="B6061" t="str">
        <f>"1578729983558093"</f>
        <v>1578729983558093</v>
      </c>
      <c r="C6061" t="s">
        <v>40</v>
      </c>
      <c r="D6061">
        <v>5.054303</v>
      </c>
      <c r="E6061">
        <v>0.4896375</v>
      </c>
      <c r="F6061" t="s">
        <v>98</v>
      </c>
      <c r="G6061">
        <v>-226.46129999999999</v>
      </c>
      <c r="H6061" s="1">
        <v>-1.986295E-6</v>
      </c>
      <c r="I6061">
        <v>-59.947670000000002</v>
      </c>
      <c r="J6061">
        <v>-239.45529999999999</v>
      </c>
      <c r="K6061">
        <v>1.11005</v>
      </c>
      <c r="L6061">
        <v>-62.679319999999997</v>
      </c>
      <c r="M6061">
        <v>0.99745010000000001</v>
      </c>
      <c r="N6061">
        <v>0</v>
      </c>
      <c r="O6061">
        <v>7.1247199999999997E-2</v>
      </c>
      <c r="P6061">
        <v>0.98393079999999999</v>
      </c>
      <c r="Q6061">
        <v>-2.697592E-2</v>
      </c>
      <c r="R6061">
        <v>0.17650150000000001</v>
      </c>
      <c r="S6061">
        <v>2.9328159999999999</v>
      </c>
      <c r="T6061">
        <v>-0.24669469999999999</v>
      </c>
      <c r="U6061">
        <v>0.61035159999999999</v>
      </c>
      <c r="V6061">
        <v>-0.1058912</v>
      </c>
      <c r="W6061">
        <v>-2.3097940000000001E-2</v>
      </c>
      <c r="X6061">
        <v>0.99410940000000003</v>
      </c>
      <c r="Y6061">
        <v>-0.1332652</v>
      </c>
      <c r="Z6061">
        <v>-3.6887029999999998E-4</v>
      </c>
      <c r="AA6061">
        <v>0.99108030000000003</v>
      </c>
      <c r="AB6061">
        <v>37</v>
      </c>
      <c r="AC6061">
        <v>12.994</v>
      </c>
      <c r="AD6061">
        <v>-1.110051986295</v>
      </c>
      <c r="AE6061">
        <v>2.7316500000000001</v>
      </c>
      <c r="AF6061">
        <v>-1.78642837955441</v>
      </c>
      <c r="AG6061">
        <v>-1.110051986295</v>
      </c>
      <c r="AH6061">
        <v>13.064294393642699</v>
      </c>
      <c r="AI6061">
        <v>94.8120973035075</v>
      </c>
      <c r="AJ6061">
        <v>97.786407507346297</v>
      </c>
      <c r="AK6061">
        <v>13.2325103352055</v>
      </c>
      <c r="AL6061">
        <v>91.323532208900701</v>
      </c>
      <c r="AM6061">
        <v>96.080143198609093</v>
      </c>
      <c r="AN6061">
        <v>0.99999998011902103</v>
      </c>
    </row>
    <row r="6062" spans="1:40" x14ac:dyDescent="0.3">
      <c r="A6062" t="str">
        <f>"20200111160623575"</f>
        <v>20200111160623575</v>
      </c>
      <c r="B6062" t="str">
        <f>"1578729983567854"</f>
        <v>1578729983567854</v>
      </c>
      <c r="C6062" t="s">
        <v>40</v>
      </c>
      <c r="D6062">
        <v>4.7107999999999999</v>
      </c>
      <c r="E6062">
        <v>0.48898380000000002</v>
      </c>
      <c r="F6062" t="s">
        <v>98</v>
      </c>
      <c r="G6062">
        <v>-226.1456</v>
      </c>
      <c r="H6062" s="1">
        <v>-1.8706430000000001E-6</v>
      </c>
      <c r="I6062">
        <v>-59.858249999999998</v>
      </c>
      <c r="J6062">
        <v>-239.26410000000001</v>
      </c>
      <c r="K6062">
        <v>1.1100509999999999</v>
      </c>
      <c r="L6062">
        <v>-62.665219999999998</v>
      </c>
      <c r="M6062">
        <v>0.99741139999999995</v>
      </c>
      <c r="N6062">
        <v>0</v>
      </c>
      <c r="O6062">
        <v>7.1778099999999997E-2</v>
      </c>
      <c r="P6062">
        <v>0.98376680000000005</v>
      </c>
      <c r="Q6062">
        <v>-2.685417E-2</v>
      </c>
      <c r="R6062">
        <v>0.1774309</v>
      </c>
      <c r="S6062">
        <v>2.9308779999999999</v>
      </c>
      <c r="T6062">
        <v>-0.2444394</v>
      </c>
      <c r="U6062">
        <v>0.62121579999999998</v>
      </c>
      <c r="V6062">
        <v>-0.1063018</v>
      </c>
      <c r="W6062">
        <v>-2.2871200000000001E-2</v>
      </c>
      <c r="X6062">
        <v>0.99407080000000003</v>
      </c>
      <c r="Y6062">
        <v>-0.13638129999999901</v>
      </c>
      <c r="Z6062">
        <v>-2.8058789999999998E-4</v>
      </c>
      <c r="AA6062">
        <v>0.99065639999999999</v>
      </c>
      <c r="AB6062">
        <v>37</v>
      </c>
      <c r="AC6062">
        <v>13.118499999999999</v>
      </c>
      <c r="AD6062">
        <v>-1.110052870643</v>
      </c>
      <c r="AE6062">
        <v>2.8069700000000002</v>
      </c>
      <c r="AF6062">
        <v>-1.8454647444229899</v>
      </c>
      <c r="AG6062">
        <v>-1.110052870643</v>
      </c>
      <c r="AH6062">
        <v>13.195795864710499</v>
      </c>
      <c r="AI6062">
        <v>94.762366624245601</v>
      </c>
      <c r="AJ6062">
        <v>97.961320293202505</v>
      </c>
      <c r="AK6062">
        <v>13.3703771824747</v>
      </c>
      <c r="AL6062">
        <v>91.310537557078305</v>
      </c>
      <c r="AM6062">
        <v>96.103776944160799</v>
      </c>
      <c r="AN6062">
        <v>0.999999959942659</v>
      </c>
    </row>
    <row r="6063" spans="1:40" x14ac:dyDescent="0.3">
      <c r="A6063" t="str">
        <f>"20200111160623585"</f>
        <v>20200111160623585</v>
      </c>
      <c r="B6063" t="str">
        <f>"1578729983578590"</f>
        <v>1578729983578590</v>
      </c>
      <c r="C6063" t="s">
        <v>40</v>
      </c>
      <c r="D6063">
        <v>4.7727649999999997</v>
      </c>
      <c r="E6063">
        <v>0.48838229999999999</v>
      </c>
      <c r="F6063" t="s">
        <v>98</v>
      </c>
      <c r="G6063">
        <v>-226.01779999999999</v>
      </c>
      <c r="H6063" s="1">
        <v>-1.824221E-6</v>
      </c>
      <c r="I6063">
        <v>-59.8202199999999</v>
      </c>
      <c r="J6063">
        <v>-239.08969999999999</v>
      </c>
      <c r="K6063">
        <v>1.1100509999999999</v>
      </c>
      <c r="L6063">
        <v>-62.652369999999998</v>
      </c>
      <c r="M6063">
        <v>0.99737640000000005</v>
      </c>
      <c r="N6063">
        <v>0</v>
      </c>
      <c r="O6063">
        <v>7.2259530000000002E-2</v>
      </c>
      <c r="P6063">
        <v>0.98362070000000001</v>
      </c>
      <c r="Q6063">
        <v>-2.6728060000000001E-2</v>
      </c>
      <c r="R6063">
        <v>0.1782589</v>
      </c>
      <c r="S6063">
        <v>2.9293209999999998</v>
      </c>
      <c r="T6063">
        <v>-0.24547930000000001</v>
      </c>
      <c r="U6063">
        <v>0.6291504</v>
      </c>
      <c r="V6063">
        <v>-0.1066597</v>
      </c>
      <c r="W6063">
        <v>-2.264967E-2</v>
      </c>
      <c r="X6063">
        <v>0.99403759999999997</v>
      </c>
      <c r="Y6063">
        <v>-0.13856849999999901</v>
      </c>
      <c r="Z6063">
        <v>-2.308395E-4</v>
      </c>
      <c r="AA6063">
        <v>0.99035280000000003</v>
      </c>
      <c r="AB6063">
        <v>37</v>
      </c>
      <c r="AC6063">
        <v>13.071899999999999</v>
      </c>
      <c r="AD6063">
        <v>-1.1100528242209999</v>
      </c>
      <c r="AE6063">
        <v>2.8321499999999999</v>
      </c>
      <c r="AF6063">
        <v>-1.8673061286838799</v>
      </c>
      <c r="AG6063">
        <v>-1.1100528242209999</v>
      </c>
      <c r="AH6063">
        <v>13.151791013884401</v>
      </c>
      <c r="AI6063">
        <v>94.776828599171296</v>
      </c>
      <c r="AJ6063">
        <v>98.080908240634599</v>
      </c>
      <c r="AK6063">
        <v>13.3299908598495</v>
      </c>
      <c r="AL6063">
        <v>91.297841449535596</v>
      </c>
      <c r="AM6063">
        <v>96.124374399190103</v>
      </c>
      <c r="AN6063">
        <v>1.00000002468447</v>
      </c>
    </row>
    <row r="6064" spans="1:40" x14ac:dyDescent="0.3">
      <c r="A6064" t="str">
        <f>"20200111160623596"</f>
        <v>20200111160623596</v>
      </c>
      <c r="B6064" t="str">
        <f>"1578729983588349"</f>
        <v>1578729983588349</v>
      </c>
      <c r="C6064" t="s">
        <v>40</v>
      </c>
      <c r="D6064">
        <v>4.9776049999999996</v>
      </c>
      <c r="E6064">
        <v>0.48792289999999999</v>
      </c>
      <c r="F6064" t="s">
        <v>98</v>
      </c>
      <c r="G6064">
        <v>-225.9042</v>
      </c>
      <c r="H6064" s="1">
        <v>-1.782925E-6</v>
      </c>
      <c r="I6064">
        <v>-59.78669</v>
      </c>
      <c r="J6064">
        <v>-238.9051</v>
      </c>
      <c r="K6064">
        <v>1.1100460000000001</v>
      </c>
      <c r="L6064">
        <v>-62.638579999999997</v>
      </c>
      <c r="M6064">
        <v>0.99734</v>
      </c>
      <c r="N6064">
        <v>0</v>
      </c>
      <c r="O6064">
        <v>7.275471E-2</v>
      </c>
      <c r="P6064">
        <v>0.98343930000000002</v>
      </c>
      <c r="Q6064">
        <v>-2.6211620000000001E-2</v>
      </c>
      <c r="R6064">
        <v>0.179333399999999</v>
      </c>
      <c r="S6064">
        <v>2.9279480000000002</v>
      </c>
      <c r="T6064">
        <v>-0.24649760000000001</v>
      </c>
      <c r="U6064">
        <v>0.63635249999999999</v>
      </c>
      <c r="V6064">
        <v>-0.10725220000000001</v>
      </c>
      <c r="W6064">
        <v>-2.203492E-2</v>
      </c>
      <c r="X6064">
        <v>0.99398759999999997</v>
      </c>
      <c r="Y6064">
        <v>-0.14049249999999999</v>
      </c>
      <c r="Z6064">
        <v>-1.926888E-4</v>
      </c>
      <c r="AA6064">
        <v>0.99008169999999995</v>
      </c>
      <c r="AB6064">
        <v>37</v>
      </c>
      <c r="AC6064">
        <v>13.0009</v>
      </c>
      <c r="AD6064">
        <v>-1.1100477829249999</v>
      </c>
      <c r="AE6064">
        <v>2.85189</v>
      </c>
      <c r="AF6064">
        <v>-1.88533258660986</v>
      </c>
      <c r="AG6064">
        <v>-1.1100477829249999</v>
      </c>
      <c r="AH6064">
        <v>13.0829378025217</v>
      </c>
      <c r="AI6064">
        <v>94.800405769027407</v>
      </c>
      <c r="AJ6064">
        <v>98.200225025051097</v>
      </c>
      <c r="AK6064">
        <v>13.2646125683022</v>
      </c>
      <c r="AL6064">
        <v>91.262610155946803</v>
      </c>
      <c r="AM6064">
        <v>96.158442307710999</v>
      </c>
      <c r="AN6064">
        <v>0.99999996052900197</v>
      </c>
    </row>
    <row r="6065" spans="1:40" x14ac:dyDescent="0.3">
      <c r="A6065" t="str">
        <f>"20200111160623607"</f>
        <v>20200111160623607</v>
      </c>
      <c r="B6065" t="str">
        <f>"1578729983598110"</f>
        <v>1578729983598110</v>
      </c>
      <c r="C6065" t="s">
        <v>40</v>
      </c>
      <c r="D6065">
        <v>4.7567019999999998</v>
      </c>
      <c r="E6065">
        <v>0.48749629999999999</v>
      </c>
      <c r="F6065" t="s">
        <v>98</v>
      </c>
      <c r="G6065">
        <v>-225.4667</v>
      </c>
      <c r="H6065" s="1">
        <v>-1.617364E-6</v>
      </c>
      <c r="I6065">
        <v>-59.686529999999998</v>
      </c>
      <c r="J6065">
        <v>-238.7208</v>
      </c>
      <c r="K6065">
        <v>1.110042</v>
      </c>
      <c r="L6065">
        <v>-62.624789999999997</v>
      </c>
      <c r="M6065">
        <v>0.99730379999999996</v>
      </c>
      <c r="N6065">
        <v>0</v>
      </c>
      <c r="O6065">
        <v>7.3243020000000006E-2</v>
      </c>
      <c r="P6065">
        <v>0.98326860000000005</v>
      </c>
      <c r="Q6065">
        <v>-2.6270720000000001E-2</v>
      </c>
      <c r="R6065">
        <v>0.1802578</v>
      </c>
      <c r="S6065">
        <v>2.9268339999999999</v>
      </c>
      <c r="T6065">
        <v>-0.2417636</v>
      </c>
      <c r="U6065">
        <v>0.64294430000000002</v>
      </c>
      <c r="V6065">
        <v>-0.1077007</v>
      </c>
      <c r="W6065">
        <v>-2.199678E-2</v>
      </c>
      <c r="X6065">
        <v>0.99394000000000005</v>
      </c>
      <c r="Y6065">
        <v>-0.1422186</v>
      </c>
      <c r="Z6065">
        <v>-1.5813249999999999E-4</v>
      </c>
      <c r="AA6065">
        <v>0.98983529999999997</v>
      </c>
      <c r="AB6065">
        <v>37</v>
      </c>
      <c r="AC6065">
        <v>13.2540999999999</v>
      </c>
      <c r="AD6065">
        <v>-1.110043617364</v>
      </c>
      <c r="AE6065">
        <v>2.9382600000000001</v>
      </c>
      <c r="AF6065">
        <v>-1.94657360415744</v>
      </c>
      <c r="AG6065">
        <v>-1.110043617364</v>
      </c>
      <c r="AH6065">
        <v>13.344492940161199</v>
      </c>
      <c r="AI6065">
        <v>94.7055520024511</v>
      </c>
      <c r="AJ6065">
        <v>98.299254266339005</v>
      </c>
      <c r="AK6065">
        <v>13.531328000564599</v>
      </c>
      <c r="AL6065">
        <v>91.260424300968495</v>
      </c>
      <c r="AM6065">
        <v>96.184289999847294</v>
      </c>
      <c r="AN6065">
        <v>1.0000000113554199</v>
      </c>
    </row>
    <row r="6066" spans="1:40" x14ac:dyDescent="0.3">
      <c r="A6066" t="str">
        <f>"20200111160623618"</f>
        <v>20200111160623618</v>
      </c>
      <c r="B6066" t="str">
        <f>"1578729983607871"</f>
        <v>1578729983607871</v>
      </c>
      <c r="C6066" t="s">
        <v>40</v>
      </c>
      <c r="D6066">
        <v>4.8103930000000004</v>
      </c>
      <c r="E6066">
        <v>0.4869349</v>
      </c>
      <c r="F6066" t="s">
        <v>98</v>
      </c>
      <c r="G6066">
        <v>-225.1414</v>
      </c>
      <c r="H6066" s="1">
        <v>-1.4939340000000001E-6</v>
      </c>
      <c r="I6066">
        <v>-59.613570000000003</v>
      </c>
      <c r="J6066">
        <v>-238.53210000000001</v>
      </c>
      <c r="K6066">
        <v>1.1100350000000001</v>
      </c>
      <c r="L6066">
        <v>-62.610570000000003</v>
      </c>
      <c r="M6066">
        <v>0.99726729999999997</v>
      </c>
      <c r="N6066">
        <v>0</v>
      </c>
      <c r="O6066">
        <v>7.3730130000000005E-2</v>
      </c>
      <c r="P6066">
        <v>0.98309690000000005</v>
      </c>
      <c r="Q6066">
        <v>-2.599535E-2</v>
      </c>
      <c r="R6066">
        <v>0.1812309</v>
      </c>
      <c r="S6066">
        <v>2.9257200000000001</v>
      </c>
      <c r="T6066">
        <v>-0.2391614</v>
      </c>
      <c r="U6066">
        <v>0.64877320000000005</v>
      </c>
      <c r="V6066">
        <v>-0.10820059999999999</v>
      </c>
      <c r="W6066">
        <v>-2.1624640000000001E-2</v>
      </c>
      <c r="X6066">
        <v>0.9938939</v>
      </c>
      <c r="Y6066">
        <v>-0.14369589999999999</v>
      </c>
      <c r="Z6066">
        <v>-1.3583669999999999E-4</v>
      </c>
      <c r="AA6066">
        <v>0.98962190000000005</v>
      </c>
      <c r="AB6066">
        <v>38</v>
      </c>
      <c r="AC6066">
        <v>13.390700000000001</v>
      </c>
      <c r="AD6066">
        <v>-1.1100364939339999</v>
      </c>
      <c r="AE6066">
        <v>2.9969999999999999</v>
      </c>
      <c r="AF6066">
        <v>-1.98852106006149</v>
      </c>
      <c r="AG6066">
        <v>-1.1100364939339999</v>
      </c>
      <c r="AH6066">
        <v>13.4869662314434</v>
      </c>
      <c r="AI6066">
        <v>94.654989306604705</v>
      </c>
      <c r="AJ6066">
        <v>98.387273908340802</v>
      </c>
      <c r="AK6066">
        <v>13.6778892798658</v>
      </c>
      <c r="AL6066">
        <v>91.2390971412662</v>
      </c>
      <c r="AM6066">
        <v>96.213056747492701</v>
      </c>
      <c r="AN6066">
        <v>1.00000003967634</v>
      </c>
    </row>
    <row r="6067" spans="1:40" x14ac:dyDescent="0.3">
      <c r="A6067" t="str">
        <f>"20200111160623630"</f>
        <v>20200111160623630</v>
      </c>
      <c r="B6067" t="str">
        <f>"1578729983618606"</f>
        <v>1578729983618606</v>
      </c>
      <c r="C6067" t="s">
        <v>40</v>
      </c>
      <c r="D6067">
        <v>4.7619400000000001</v>
      </c>
      <c r="E6067">
        <v>0.4865276</v>
      </c>
      <c r="F6067" t="s">
        <v>98</v>
      </c>
      <c r="G6067">
        <v>-225.06</v>
      </c>
      <c r="H6067" s="1">
        <v>-1.46481E-6</v>
      </c>
      <c r="I6067">
        <v>-59.587339999999998</v>
      </c>
      <c r="J6067">
        <v>-238.34469999999999</v>
      </c>
      <c r="K6067">
        <v>1.1100239999999999</v>
      </c>
      <c r="L6067">
        <v>-62.596339999999998</v>
      </c>
      <c r="M6067">
        <v>0.99723209999999995</v>
      </c>
      <c r="N6067">
        <v>0</v>
      </c>
      <c r="O6067">
        <v>7.4200959999999996E-2</v>
      </c>
      <c r="P6067">
        <v>0.98293330000000001</v>
      </c>
      <c r="Q6067">
        <v>-2.591164E-2</v>
      </c>
      <c r="R6067">
        <v>0.1821287</v>
      </c>
      <c r="S6067">
        <v>2.924255</v>
      </c>
      <c r="T6067">
        <v>-0.2409443</v>
      </c>
      <c r="U6067">
        <v>0.65621949999999996</v>
      </c>
      <c r="V6067">
        <v>-0.108639899999999</v>
      </c>
      <c r="W6067">
        <v>-2.1445829999999999E-2</v>
      </c>
      <c r="X6067">
        <v>0.99384980000000001</v>
      </c>
      <c r="Y6067">
        <v>-0.1457253</v>
      </c>
      <c r="Z6067" s="1">
        <v>-9.2316879999999996E-5</v>
      </c>
      <c r="AA6067">
        <v>0.98932509999999996</v>
      </c>
      <c r="AB6067">
        <v>38</v>
      </c>
      <c r="AC6067">
        <v>13.2846999999999</v>
      </c>
      <c r="AD6067">
        <v>-1.1100254648100001</v>
      </c>
      <c r="AE6067">
        <v>3.0089999999999999</v>
      </c>
      <c r="AF6067">
        <v>-2.00166333958673</v>
      </c>
      <c r="AG6067">
        <v>-1.1100254648100001</v>
      </c>
      <c r="AH6067">
        <v>13.382477298262801</v>
      </c>
      <c r="AI6067">
        <v>94.689679586376897</v>
      </c>
      <c r="AJ6067">
        <v>98.506862559448095</v>
      </c>
      <c r="AK6067">
        <v>13.5768004808236</v>
      </c>
      <c r="AL6067">
        <v>91.228849770072998</v>
      </c>
      <c r="AM6067">
        <v>96.238358222170604</v>
      </c>
      <c r="AN6067">
        <v>0.99999998822821901</v>
      </c>
    </row>
    <row r="6068" spans="1:40" x14ac:dyDescent="0.3">
      <c r="A6068" t="str">
        <f>"20200111160623642"</f>
        <v>20200111160623642</v>
      </c>
      <c r="B6068" t="str">
        <f>"1578729983638126"</f>
        <v>1578729983638126</v>
      </c>
      <c r="C6068" t="s">
        <v>40</v>
      </c>
      <c r="D6068">
        <v>4.8419089999999896</v>
      </c>
      <c r="E6068">
        <v>0.48613289999999998</v>
      </c>
      <c r="F6068" t="s">
        <v>98</v>
      </c>
      <c r="G6068">
        <v>-224.99019999999999</v>
      </c>
      <c r="H6068" s="1">
        <v>-1.438465E-6</v>
      </c>
      <c r="I6068">
        <v>-59.571179999999998</v>
      </c>
      <c r="J6068">
        <v>-238.15129999999999</v>
      </c>
      <c r="K6068">
        <v>1.1100080000000001</v>
      </c>
      <c r="L6068">
        <v>-62.581600000000002</v>
      </c>
      <c r="M6068">
        <v>0.99719599999999997</v>
      </c>
      <c r="N6068">
        <v>0</v>
      </c>
      <c r="O6068">
        <v>7.4676300000000001E-2</v>
      </c>
      <c r="P6068">
        <v>0.98282429999999998</v>
      </c>
      <c r="Q6068">
        <v>-2.5950930000000001E-2</v>
      </c>
      <c r="R6068">
        <v>0.1827096</v>
      </c>
      <c r="S6068">
        <v>2.9229889999999998</v>
      </c>
      <c r="T6068">
        <v>-0.2429596</v>
      </c>
      <c r="U6068">
        <v>0.6621399</v>
      </c>
      <c r="V6068">
        <v>-0.1087542</v>
      </c>
      <c r="W6068">
        <v>-2.1386970000000002E-2</v>
      </c>
      <c r="X6068">
        <v>0.99383849999999996</v>
      </c>
      <c r="Y6068">
        <v>-0.1472446</v>
      </c>
      <c r="Z6068" s="1">
        <v>-6.9454309999999997E-5</v>
      </c>
      <c r="AA6068">
        <v>0.98910010000000004</v>
      </c>
      <c r="AB6068">
        <v>38</v>
      </c>
      <c r="AC6068">
        <v>13.161099999999999</v>
      </c>
      <c r="AD6068">
        <v>-1.1100094384650001</v>
      </c>
      <c r="AE6068">
        <v>3.0104199999999901</v>
      </c>
      <c r="AF6068">
        <v>-2.0056231331424099</v>
      </c>
      <c r="AG6068">
        <v>-1.1100094384650001</v>
      </c>
      <c r="AH6068">
        <v>13.259531604025799</v>
      </c>
      <c r="AI6068">
        <v>94.731730893621901</v>
      </c>
      <c r="AJ6068">
        <v>98.601299090757706</v>
      </c>
      <c r="AK6068">
        <v>13.456218765457001</v>
      </c>
      <c r="AL6068">
        <v>91.225476648821797</v>
      </c>
      <c r="AM6068">
        <v>96.244940210269903</v>
      </c>
      <c r="AN6068">
        <v>0.99999992129283199</v>
      </c>
    </row>
    <row r="6069" spans="1:40" x14ac:dyDescent="0.3">
      <c r="A6069" t="str">
        <f>"20200111160623650"</f>
        <v>20200111160623650</v>
      </c>
      <c r="B6069" t="str">
        <f>"1578729983647886"</f>
        <v>1578729983647886</v>
      </c>
      <c r="C6069" t="s">
        <v>40</v>
      </c>
      <c r="D6069">
        <v>4.8459989999999999</v>
      </c>
      <c r="E6069">
        <v>0.48596679999999998</v>
      </c>
      <c r="F6069" t="s">
        <v>98</v>
      </c>
      <c r="G6069">
        <v>-224.93440000000001</v>
      </c>
      <c r="H6069" s="1">
        <v>-1.41612E-6</v>
      </c>
      <c r="I6069">
        <v>-59.564039999999999</v>
      </c>
      <c r="J6069">
        <v>-237.98910000000001</v>
      </c>
      <c r="K6069">
        <v>1.109993</v>
      </c>
      <c r="L6069">
        <v>-62.56915</v>
      </c>
      <c r="M6069">
        <v>0.99716720000000003</v>
      </c>
      <c r="N6069">
        <v>0</v>
      </c>
      <c r="O6069">
        <v>7.5056399999999995E-2</v>
      </c>
      <c r="P6069">
        <v>0.98269399999999996</v>
      </c>
      <c r="Q6069">
        <v>-2.576761E-2</v>
      </c>
      <c r="R6069">
        <v>0.1834355</v>
      </c>
      <c r="S6069">
        <v>2.921951</v>
      </c>
      <c r="T6069">
        <v>-0.2453979</v>
      </c>
      <c r="U6069">
        <v>0.66711430000000005</v>
      </c>
      <c r="V6069">
        <v>-0.10911120000000001</v>
      </c>
      <c r="W6069">
        <v>-2.1122479999999999E-2</v>
      </c>
      <c r="X6069">
        <v>0.9938051</v>
      </c>
      <c r="Y6069">
        <v>-0.14853629999999901</v>
      </c>
      <c r="Z6069" s="1">
        <v>-4.7868580000000003E-5</v>
      </c>
      <c r="AA6069">
        <v>0.98890699999999998</v>
      </c>
      <c r="AB6069">
        <v>38</v>
      </c>
      <c r="AC6069">
        <v>13.054699999999899</v>
      </c>
      <c r="AD6069">
        <v>-1.1099944161199999</v>
      </c>
      <c r="AE6069">
        <v>3.00510999999999</v>
      </c>
      <c r="AF6069">
        <v>-2.0030304767439699</v>
      </c>
      <c r="AG6069">
        <v>-1.1099944161199999</v>
      </c>
      <c r="AH6069">
        <v>13.1531258242278</v>
      </c>
      <c r="AI6069">
        <v>94.769046358372606</v>
      </c>
      <c r="AJ6069">
        <v>98.658791017785006</v>
      </c>
      <c r="AK6069">
        <v>13.3509901371603</v>
      </c>
      <c r="AL6069">
        <v>91.210318973483496</v>
      </c>
      <c r="AM6069">
        <v>96.265486177647404</v>
      </c>
      <c r="AN6069">
        <v>0.99999999495640002</v>
      </c>
    </row>
    <row r="6070" spans="1:40" x14ac:dyDescent="0.3">
      <c r="A6070" t="str">
        <f>"20200111160623662"</f>
        <v>20200111160623662</v>
      </c>
      <c r="B6070" t="str">
        <f>"1578729983658622"</f>
        <v>1578729983658622</v>
      </c>
      <c r="C6070" t="s">
        <v>40</v>
      </c>
      <c r="D6070">
        <v>4.8520750000000001</v>
      </c>
      <c r="E6070">
        <v>0.48578779999999999</v>
      </c>
      <c r="F6070" t="s">
        <v>98</v>
      </c>
      <c r="G6070">
        <v>-224.8442</v>
      </c>
      <c r="H6070" s="1">
        <v>-1.3802060000000001E-6</v>
      </c>
      <c r="I6070">
        <v>-59.551430000000003</v>
      </c>
      <c r="J6070">
        <v>-237.7843</v>
      </c>
      <c r="K6070">
        <v>1.109974</v>
      </c>
      <c r="L6070">
        <v>-62.55341</v>
      </c>
      <c r="M6070">
        <v>0.99713099999999999</v>
      </c>
      <c r="N6070">
        <v>0</v>
      </c>
      <c r="O6070">
        <v>7.5528410000000004E-2</v>
      </c>
      <c r="P6070">
        <v>0.98260460000000005</v>
      </c>
      <c r="Q6070">
        <v>-2.5823849999999999E-2</v>
      </c>
      <c r="R6070">
        <v>0.18390580000000001</v>
      </c>
      <c r="S6070">
        <v>2.9211580000000001</v>
      </c>
      <c r="T6070">
        <v>-0.2466719</v>
      </c>
      <c r="U6070">
        <v>0.67062379999999999</v>
      </c>
      <c r="V6070">
        <v>-0.10911750000000001</v>
      </c>
      <c r="W6070">
        <v>-2.1075199999999999E-2</v>
      </c>
      <c r="X6070">
        <v>0.99380539999999995</v>
      </c>
      <c r="Y6070">
        <v>-0.14925189999999999</v>
      </c>
      <c r="Z6070" s="1">
        <v>-5.7308929999999998E-5</v>
      </c>
      <c r="AA6070">
        <v>0.98879919999999999</v>
      </c>
      <c r="AB6070">
        <v>38</v>
      </c>
      <c r="AC6070">
        <v>12.940099999999999</v>
      </c>
      <c r="AD6070">
        <v>-1.109975380206</v>
      </c>
      <c r="AE6070">
        <v>3.0019799999999899</v>
      </c>
      <c r="AF6070">
        <v>-2.00206895523214</v>
      </c>
      <c r="AG6070">
        <v>-1.109975380206</v>
      </c>
      <c r="AH6070">
        <v>13.038836976902701</v>
      </c>
      <c r="AI6070">
        <v>94.809668727611495</v>
      </c>
      <c r="AJ6070">
        <v>98.729394613040796</v>
      </c>
      <c r="AK6070">
        <v>13.2382625429629</v>
      </c>
      <c r="AL6070">
        <v>91.207609440337393</v>
      </c>
      <c r="AM6070">
        <v>96.265843188378099</v>
      </c>
      <c r="AN6070">
        <v>0.99999998296522397</v>
      </c>
    </row>
    <row r="6071" spans="1:40" x14ac:dyDescent="0.3">
      <c r="A6071" t="str">
        <f>"20200111160623674"</f>
        <v>20200111160623674</v>
      </c>
      <c r="B6071" t="str">
        <f>"1578729983668381"</f>
        <v>1578729983668381</v>
      </c>
      <c r="C6071" t="s">
        <v>40</v>
      </c>
      <c r="D6071">
        <v>4.8554219999999999</v>
      </c>
      <c r="E6071">
        <v>0.48560710000000001</v>
      </c>
      <c r="F6071" t="s">
        <v>98</v>
      </c>
      <c r="G6071">
        <v>-224.70769999999999</v>
      </c>
      <c r="H6071" s="1">
        <v>-1.324578E-6</v>
      </c>
      <c r="I6071">
        <v>-59.538200000000003</v>
      </c>
      <c r="J6071">
        <v>-237.59559999999999</v>
      </c>
      <c r="K6071">
        <v>1.1099509999999999</v>
      </c>
      <c r="L6071">
        <v>-62.538789999999999</v>
      </c>
      <c r="M6071">
        <v>0.99710010000000004</v>
      </c>
      <c r="N6071">
        <v>0</v>
      </c>
      <c r="O6071">
        <v>7.5928949999999995E-2</v>
      </c>
      <c r="P6071">
        <v>0.9825682</v>
      </c>
      <c r="Q6071">
        <v>-2.5871620000000001E-2</v>
      </c>
      <c r="R6071">
        <v>0.1840937</v>
      </c>
      <c r="S6071">
        <v>2.9205779999999999</v>
      </c>
      <c r="T6071">
        <v>-0.2479074</v>
      </c>
      <c r="U6071">
        <v>0.67343140000000001</v>
      </c>
      <c r="V6071">
        <v>-0.10891000000000001</v>
      </c>
      <c r="W6071">
        <v>-2.1025909999999998E-2</v>
      </c>
      <c r="X6071">
        <v>0.99382919999999997</v>
      </c>
      <c r="Y6071">
        <v>-0.14979719999999999</v>
      </c>
      <c r="Z6071" s="1">
        <v>-6.8027990000000006E-5</v>
      </c>
      <c r="AA6071">
        <v>0.9887167</v>
      </c>
      <c r="AB6071">
        <v>38</v>
      </c>
      <c r="AC6071">
        <v>12.8879</v>
      </c>
      <c r="AD6071">
        <v>-1.1099523245780001</v>
      </c>
      <c r="AE6071">
        <v>3.0005899999999999</v>
      </c>
      <c r="AF6071">
        <v>-1.9992835045086701</v>
      </c>
      <c r="AG6071">
        <v>-1.1099523245780001</v>
      </c>
      <c r="AH6071">
        <v>12.987153136288301</v>
      </c>
      <c r="AI6071">
        <v>94.828332953041496</v>
      </c>
      <c r="AJ6071">
        <v>98.751592196593506</v>
      </c>
      <c r="AK6071">
        <v>13.1869357805231</v>
      </c>
      <c r="AL6071">
        <v>91.204784711515899</v>
      </c>
      <c r="AM6071">
        <v>96.253873859528497</v>
      </c>
      <c r="AN6071">
        <v>0.99999997788198303</v>
      </c>
    </row>
    <row r="6072" spans="1:40" x14ac:dyDescent="0.3">
      <c r="A6072" t="str">
        <f>"20200111160623684"</f>
        <v>20200111160623684</v>
      </c>
      <c r="B6072" t="str">
        <f>"1578729983678141"</f>
        <v>1578729983678141</v>
      </c>
      <c r="C6072" t="s">
        <v>40</v>
      </c>
      <c r="D6072">
        <v>4.9030009999999997</v>
      </c>
      <c r="E6072">
        <v>0.48542429999999998</v>
      </c>
      <c r="F6072" t="s">
        <v>98</v>
      </c>
      <c r="G6072">
        <v>-224.57169999999999</v>
      </c>
      <c r="H6072" s="1">
        <v>-1.2687419999999999E-6</v>
      </c>
      <c r="I6072">
        <v>-59.526679999999999</v>
      </c>
      <c r="J6072">
        <v>-237.4127</v>
      </c>
      <c r="K6072">
        <v>1.109928</v>
      </c>
      <c r="L6072">
        <v>-62.524630000000002</v>
      </c>
      <c r="M6072">
        <v>0.99707069999999998</v>
      </c>
      <c r="N6072">
        <v>0</v>
      </c>
      <c r="O6072">
        <v>7.6309680000000005E-2</v>
      </c>
      <c r="P6072">
        <v>0.98253789999999996</v>
      </c>
      <c r="Q6072">
        <v>-2.6048209999999999E-2</v>
      </c>
      <c r="R6072">
        <v>0.1842307</v>
      </c>
      <c r="S6072">
        <v>2.9201350000000001</v>
      </c>
      <c r="T6072">
        <v>-0.24886620000000001</v>
      </c>
      <c r="U6072">
        <v>0.67535400000000001</v>
      </c>
      <c r="V6072">
        <v>-0.1086705</v>
      </c>
      <c r="W6072">
        <v>-2.1106900000000001E-2</v>
      </c>
      <c r="X6072">
        <v>0.99385369999999995</v>
      </c>
      <c r="Y6072">
        <v>-0.15006889999999901</v>
      </c>
      <c r="Z6072" s="1">
        <v>-8.8613010000000001E-5</v>
      </c>
      <c r="AA6072">
        <v>0.98867550000000004</v>
      </c>
      <c r="AB6072">
        <v>38</v>
      </c>
      <c r="AC6072">
        <v>12.840999999999999</v>
      </c>
      <c r="AD6072">
        <v>-1.1099292687419999</v>
      </c>
      <c r="AE6072">
        <v>2.9979499999999901</v>
      </c>
      <c r="AF6072">
        <v>-1.9951666067849101</v>
      </c>
      <c r="AG6072">
        <v>-1.1099292687419999</v>
      </c>
      <c r="AH6072">
        <v>12.9406471795887</v>
      </c>
      <c r="AI6072">
        <v>94.845331700403193</v>
      </c>
      <c r="AJ6072">
        <v>98.764750266242402</v>
      </c>
      <c r="AK6072">
        <v>13.1405092061547</v>
      </c>
      <c r="AL6072">
        <v>91.209426126809007</v>
      </c>
      <c r="AM6072">
        <v>96.240077192467893</v>
      </c>
      <c r="AN6072">
        <v>0.999999977900774</v>
      </c>
    </row>
    <row r="6073" spans="1:40" x14ac:dyDescent="0.3">
      <c r="A6073" t="str">
        <f>"20200111160623696"</f>
        <v>20200111160623696</v>
      </c>
      <c r="B6073" t="str">
        <f>"1578729983687902"</f>
        <v>1578729983687902</v>
      </c>
      <c r="C6073" t="s">
        <v>40</v>
      </c>
      <c r="D6073">
        <v>4.9199409999999997</v>
      </c>
      <c r="E6073">
        <v>0.48523529999999998</v>
      </c>
      <c r="F6073" t="s">
        <v>98</v>
      </c>
      <c r="G6073">
        <v>-224.5016</v>
      </c>
      <c r="H6073" s="1">
        <v>-1.238015E-6</v>
      </c>
      <c r="I6073">
        <v>-59.529780000000002</v>
      </c>
      <c r="J6073">
        <v>-237.2199</v>
      </c>
      <c r="K6073">
        <v>1.1099019999999999</v>
      </c>
      <c r="L6073">
        <v>-62.509549999999997</v>
      </c>
      <c r="M6073">
        <v>0.99704219999999999</v>
      </c>
      <c r="N6073">
        <v>0</v>
      </c>
      <c r="O6073">
        <v>7.6672710000000005E-2</v>
      </c>
      <c r="P6073">
        <v>0.982545</v>
      </c>
      <c r="Q6073">
        <v>-2.6233090000000001E-2</v>
      </c>
      <c r="R6073">
        <v>0.1841671</v>
      </c>
      <c r="S6073">
        <v>2.9196780000000002</v>
      </c>
      <c r="T6073">
        <v>-0.2509961</v>
      </c>
      <c r="U6073">
        <v>0.67724609999999996</v>
      </c>
      <c r="V6073">
        <v>-0.1082467</v>
      </c>
      <c r="W6073">
        <v>-2.118016E-2</v>
      </c>
      <c r="X6073">
        <v>0.99389839999999996</v>
      </c>
      <c r="Y6073">
        <v>-0.15034690000000001</v>
      </c>
      <c r="Z6073">
        <v>-1.081126E-4</v>
      </c>
      <c r="AA6073">
        <v>0.98863330000000005</v>
      </c>
      <c r="AB6073">
        <v>38</v>
      </c>
      <c r="AC6073">
        <v>12.718299999999999</v>
      </c>
      <c r="AD6073">
        <v>-1.109903238015</v>
      </c>
      <c r="AE6073">
        <v>2.97976999999999</v>
      </c>
      <c r="AF6073">
        <v>-1.9815324203007001</v>
      </c>
      <c r="AG6073">
        <v>-1.109903238015</v>
      </c>
      <c r="AH6073">
        <v>12.8168002673278</v>
      </c>
      <c r="AI6073">
        <v>94.891498417992295</v>
      </c>
      <c r="AJ6073">
        <v>98.788591577174401</v>
      </c>
      <c r="AK6073">
        <v>13.016478979471801</v>
      </c>
      <c r="AL6073">
        <v>91.213624541545499</v>
      </c>
      <c r="AM6073">
        <v>96.215655247532695</v>
      </c>
      <c r="AN6073">
        <v>0.99999998838053705</v>
      </c>
    </row>
    <row r="6074" spans="1:40" x14ac:dyDescent="0.3">
      <c r="A6074" t="str">
        <f>"20200111160623707"</f>
        <v>20200111160623707</v>
      </c>
      <c r="B6074" t="str">
        <f>"1578729983698638"</f>
        <v>1578729983698638</v>
      </c>
      <c r="C6074" t="s">
        <v>40</v>
      </c>
      <c r="D6074">
        <v>4.9786700000000002</v>
      </c>
      <c r="E6074">
        <v>0.48495700000000003</v>
      </c>
      <c r="F6074" t="s">
        <v>98</v>
      </c>
      <c r="G6074">
        <v>-224.39169999999999</v>
      </c>
      <c r="H6074" s="1">
        <v>-1.191243E-6</v>
      </c>
      <c r="I6074">
        <v>-59.527990000000003</v>
      </c>
      <c r="J6074">
        <v>-237.04259999999999</v>
      </c>
      <c r="K6074">
        <v>1.1098730000000001</v>
      </c>
      <c r="L6074">
        <v>-62.495699999999999</v>
      </c>
      <c r="M6074">
        <v>0.99701700000000004</v>
      </c>
      <c r="N6074">
        <v>0</v>
      </c>
      <c r="O6074">
        <v>7.6993770000000003E-2</v>
      </c>
      <c r="P6074">
        <v>0.98252399999999995</v>
      </c>
      <c r="Q6074">
        <v>-2.6444519999999999E-2</v>
      </c>
      <c r="R6074">
        <v>0.1842482</v>
      </c>
      <c r="S6074">
        <v>2.9193730000000002</v>
      </c>
      <c r="T6074">
        <v>-0.25258570000000002</v>
      </c>
      <c r="U6074">
        <v>0.67852780000000001</v>
      </c>
      <c r="V6074">
        <v>-0.10800990000000001</v>
      </c>
      <c r="W6074">
        <v>-2.128509E-2</v>
      </c>
      <c r="X6074">
        <v>0.99392190000000002</v>
      </c>
      <c r="Y6074">
        <v>-0.1504605</v>
      </c>
      <c r="Z6074">
        <v>-1.3111620000000001E-4</v>
      </c>
      <c r="AA6074">
        <v>0.98861600000000005</v>
      </c>
      <c r="AB6074">
        <v>38</v>
      </c>
      <c r="AC6074">
        <v>12.6509</v>
      </c>
      <c r="AD6074">
        <v>-1.1098741912429999</v>
      </c>
      <c r="AE6074">
        <v>2.9677099999999901</v>
      </c>
      <c r="AF6074">
        <v>-1.97047061339347</v>
      </c>
      <c r="AG6074">
        <v>-1.1098741912429999</v>
      </c>
      <c r="AH6074">
        <v>12.748838261224099</v>
      </c>
      <c r="AI6074">
        <v>94.917350759284403</v>
      </c>
      <c r="AJ6074">
        <v>98.7861573157859</v>
      </c>
      <c r="AK6074">
        <v>12.9478744266959</v>
      </c>
      <c r="AL6074">
        <v>91.219637967749094</v>
      </c>
      <c r="AM6074">
        <v>96.202018493865907</v>
      </c>
      <c r="AN6074">
        <v>0.99999996842696304</v>
      </c>
    </row>
    <row r="6075" spans="1:40" x14ac:dyDescent="0.3">
      <c r="A6075" t="str">
        <f>"20200111160623718"</f>
        <v>20200111160623718</v>
      </c>
      <c r="B6075" t="str">
        <f>"1578729983708398"</f>
        <v>1578729983708398</v>
      </c>
      <c r="C6075" t="s">
        <v>40</v>
      </c>
      <c r="D6075">
        <v>4.8941929999999996</v>
      </c>
      <c r="E6075">
        <v>0.48482930000000002</v>
      </c>
      <c r="F6075" t="s">
        <v>98</v>
      </c>
      <c r="G6075">
        <v>-224.28800000000001</v>
      </c>
      <c r="H6075" s="1">
        <v>-1.1485370000000001E-6</v>
      </c>
      <c r="I6075">
        <v>-59.519979999999997</v>
      </c>
      <c r="J6075">
        <v>-236.85339999999999</v>
      </c>
      <c r="K6075">
        <v>1.109845</v>
      </c>
      <c r="L6075">
        <v>-62.480829999999997</v>
      </c>
      <c r="M6075">
        <v>0.9969922</v>
      </c>
      <c r="N6075">
        <v>0</v>
      </c>
      <c r="O6075">
        <v>7.7306600000000003E-2</v>
      </c>
      <c r="P6075">
        <v>0.98259540000000001</v>
      </c>
      <c r="Q6075">
        <v>-2.645511E-2</v>
      </c>
      <c r="R6075">
        <v>0.18386549999999999</v>
      </c>
      <c r="S6075">
        <v>2.918793</v>
      </c>
      <c r="T6075">
        <v>-0.2539862</v>
      </c>
      <c r="U6075">
        <v>0.68096919999999905</v>
      </c>
      <c r="V6075">
        <v>-0.10731350000000001</v>
      </c>
      <c r="W6075">
        <v>-2.1170499999999998E-2</v>
      </c>
      <c r="X6075">
        <v>0.99399979999999999</v>
      </c>
      <c r="Y6075">
        <v>-0.15097430000000001</v>
      </c>
      <c r="Z6075">
        <v>-1.364192E-4</v>
      </c>
      <c r="AA6075">
        <v>0.98853769999999996</v>
      </c>
      <c r="AB6075">
        <v>38</v>
      </c>
      <c r="AC6075">
        <v>12.5654</v>
      </c>
      <c r="AD6075">
        <v>-1.1098461485369999</v>
      </c>
      <c r="AE6075">
        <v>2.9608500000000002</v>
      </c>
      <c r="AF6075">
        <v>-1.96605478741177</v>
      </c>
      <c r="AG6075">
        <v>-1.1098461485369999</v>
      </c>
      <c r="AH6075">
        <v>12.6630986218372</v>
      </c>
      <c r="AI6075">
        <v>94.949835981600302</v>
      </c>
      <c r="AJ6075">
        <v>98.825200709724996</v>
      </c>
      <c r="AK6075">
        <v>12.862783392676</v>
      </c>
      <c r="AL6075">
        <v>91.213070938364396</v>
      </c>
      <c r="AM6075">
        <v>96.161860047646698</v>
      </c>
      <c r="AN6075">
        <v>0.99999998987627003</v>
      </c>
    </row>
    <row r="6076" spans="1:40" x14ac:dyDescent="0.3">
      <c r="A6076" t="str">
        <f>"20200111160623729"</f>
        <v>20200111160623729</v>
      </c>
      <c r="B6076" t="str">
        <f>"1578729983718158"</f>
        <v>1578729983718158</v>
      </c>
      <c r="C6076" t="s">
        <v>40</v>
      </c>
      <c r="D6076">
        <v>4.899807</v>
      </c>
      <c r="E6076">
        <v>0.48470439999999998</v>
      </c>
      <c r="F6076" t="s">
        <v>98</v>
      </c>
      <c r="G6076">
        <v>-224.14510000000001</v>
      </c>
      <c r="H6076" s="1">
        <v>-1.087915E-6</v>
      </c>
      <c r="I6076">
        <v>-59.516959999999997</v>
      </c>
      <c r="J6076">
        <v>-236.66030000000001</v>
      </c>
      <c r="K6076">
        <v>1.1098209999999999</v>
      </c>
      <c r="L6076">
        <v>-62.465670000000003</v>
      </c>
      <c r="M6076">
        <v>0.99696859999999998</v>
      </c>
      <c r="N6076">
        <v>0</v>
      </c>
      <c r="O6076">
        <v>7.760003E-2</v>
      </c>
      <c r="P6076">
        <v>0.98261799999999999</v>
      </c>
      <c r="Q6076">
        <v>-2.668121E-2</v>
      </c>
      <c r="R6076">
        <v>0.18371180000000001</v>
      </c>
      <c r="S6076">
        <v>2.9188839999999998</v>
      </c>
      <c r="T6076">
        <v>-0.25491449999999999</v>
      </c>
      <c r="U6076">
        <v>0.68075559999999902</v>
      </c>
      <c r="V6076">
        <v>-0.1068678</v>
      </c>
      <c r="W6076">
        <v>-2.125171E-2</v>
      </c>
      <c r="X6076">
        <v>0.99404610000000004</v>
      </c>
      <c r="Y6076">
        <v>-0.150608299999999</v>
      </c>
      <c r="Z6076">
        <v>-1.7773729999999999E-4</v>
      </c>
      <c r="AA6076">
        <v>0.98859350000000001</v>
      </c>
      <c r="AB6076">
        <v>38</v>
      </c>
      <c r="AC6076">
        <v>12.515199999999901</v>
      </c>
      <c r="AD6076">
        <v>-1.109822087915</v>
      </c>
      <c r="AE6076">
        <v>2.94870999999999</v>
      </c>
      <c r="AF6076">
        <v>-1.95406456167145</v>
      </c>
      <c r="AG6076">
        <v>-1.109822087915</v>
      </c>
      <c r="AH6076">
        <v>12.612319440204599</v>
      </c>
      <c r="AI6076">
        <v>94.969801823311798</v>
      </c>
      <c r="AJ6076">
        <v>98.806984522136105</v>
      </c>
      <c r="AK6076">
        <v>12.8109591771954</v>
      </c>
      <c r="AL6076">
        <v>91.217724956841806</v>
      </c>
      <c r="AM6076">
        <v>96.136180308906603</v>
      </c>
      <c r="AN6076">
        <v>1.00000000538998</v>
      </c>
    </row>
    <row r="6077" spans="1:40" x14ac:dyDescent="0.3">
      <c r="A6077" t="str">
        <f>"20200111160623740"</f>
        <v>20200111160623740</v>
      </c>
      <c r="B6077" t="str">
        <f>"1578729983738654"</f>
        <v>1578729983738654</v>
      </c>
      <c r="C6077" t="s">
        <v>40</v>
      </c>
      <c r="D6077">
        <v>5.010294</v>
      </c>
      <c r="E6077">
        <v>0.48434630000000001</v>
      </c>
      <c r="F6077" t="s">
        <v>98</v>
      </c>
      <c r="G6077">
        <v>-224.0462</v>
      </c>
      <c r="H6077" s="1">
        <v>-1.044465E-6</v>
      </c>
      <c r="I6077">
        <v>-59.521479999999997</v>
      </c>
      <c r="J6077">
        <v>-236.47059999999999</v>
      </c>
      <c r="K6077">
        <v>1.109801</v>
      </c>
      <c r="L6077">
        <v>-62.450679999999998</v>
      </c>
      <c r="M6077">
        <v>0.99694729999999998</v>
      </c>
      <c r="N6077">
        <v>0</v>
      </c>
      <c r="O6077">
        <v>7.7863050000000003E-2</v>
      </c>
      <c r="P6077">
        <v>0.98268500000000003</v>
      </c>
      <c r="Q6077">
        <v>-2.7167449999999999E-2</v>
      </c>
      <c r="R6077">
        <v>0.18328240000000001</v>
      </c>
      <c r="S6077">
        <v>2.9187319999999999</v>
      </c>
      <c r="T6077">
        <v>-0.25679679999999999</v>
      </c>
      <c r="U6077">
        <v>0.68124390000000001</v>
      </c>
      <c r="V6077">
        <v>-0.106174</v>
      </c>
      <c r="W6077">
        <v>-2.1577639999999999E-2</v>
      </c>
      <c r="X6077">
        <v>0.99411340000000004</v>
      </c>
      <c r="Y6077">
        <v>-0.15051320000000001</v>
      </c>
      <c r="Z6077">
        <v>-2.0580650000000001E-4</v>
      </c>
      <c r="AA6077">
        <v>0.98860800000000004</v>
      </c>
      <c r="AB6077">
        <v>38</v>
      </c>
      <c r="AC6077">
        <v>12.424399999999901</v>
      </c>
      <c r="AD6077">
        <v>-1.1098020444650001</v>
      </c>
      <c r="AE6077">
        <v>2.9291999999999998</v>
      </c>
      <c r="AF6077">
        <v>-1.93823841521586</v>
      </c>
      <c r="AG6077">
        <v>-1.1098020444650001</v>
      </c>
      <c r="AH6077">
        <v>12.520123367283301</v>
      </c>
      <c r="AI6077">
        <v>95.006216121437305</v>
      </c>
      <c r="AJ6077">
        <v>98.800093470369205</v>
      </c>
      <c r="AK6077">
        <v>12.717779596459</v>
      </c>
      <c r="AL6077">
        <v>91.236403682025397</v>
      </c>
      <c r="AM6077">
        <v>96.096234769179205</v>
      </c>
      <c r="AN6077">
        <v>0.99999998244176402</v>
      </c>
    </row>
    <row r="6078" spans="1:40" x14ac:dyDescent="0.3">
      <c r="A6078" t="str">
        <f>"20200111160623752"</f>
        <v>20200111160623752</v>
      </c>
      <c r="B6078" t="str">
        <f>"1578729983748414"</f>
        <v>1578729983748414</v>
      </c>
      <c r="C6078" t="s">
        <v>40</v>
      </c>
      <c r="D6078">
        <v>4.925281</v>
      </c>
      <c r="E6078">
        <v>0.4843768</v>
      </c>
      <c r="F6078" t="s">
        <v>98</v>
      </c>
      <c r="G6078">
        <v>-224.0299</v>
      </c>
      <c r="H6078" s="1">
        <v>-1.0333069999999999E-6</v>
      </c>
      <c r="I6078">
        <v>-59.54036</v>
      </c>
      <c r="J6078">
        <v>-236.27680000000001</v>
      </c>
      <c r="K6078">
        <v>1.1097889999999999</v>
      </c>
      <c r="L6078">
        <v>-62.435360000000003</v>
      </c>
      <c r="M6078">
        <v>0.9969285</v>
      </c>
      <c r="N6078">
        <v>0</v>
      </c>
      <c r="O6078">
        <v>7.8087149999999994E-2</v>
      </c>
      <c r="P6078">
        <v>0.98272769999999998</v>
      </c>
      <c r="Q6078">
        <v>-2.7570750000000002E-2</v>
      </c>
      <c r="R6078">
        <v>0.18299270000000001</v>
      </c>
      <c r="S6078">
        <v>2.9183500000000002</v>
      </c>
      <c r="T6078">
        <v>-0.26033919999999999</v>
      </c>
      <c r="U6078">
        <v>0.68270869999999995</v>
      </c>
      <c r="V6078">
        <v>-0.105660199999999</v>
      </c>
      <c r="W6078">
        <v>-2.177049E-2</v>
      </c>
      <c r="X6078">
        <v>0.99416389999999999</v>
      </c>
      <c r="Y6078">
        <v>-0.15078239999999901</v>
      </c>
      <c r="Z6078">
        <v>-2.163551E-4</v>
      </c>
      <c r="AA6078">
        <v>0.98856690000000003</v>
      </c>
      <c r="AB6078">
        <v>38</v>
      </c>
      <c r="AC6078">
        <v>12.2469</v>
      </c>
      <c r="AD6078">
        <v>-1.1097900333070001</v>
      </c>
      <c r="AE6078">
        <v>2.8949999999999898</v>
      </c>
      <c r="AF6078">
        <v>-1.91492471051307</v>
      </c>
      <c r="AG6078">
        <v>-1.1097900333070001</v>
      </c>
      <c r="AH6078">
        <v>12.339603741324501</v>
      </c>
      <c r="AI6078">
        <v>95.078731393929502</v>
      </c>
      <c r="AJ6078">
        <v>98.821098711733796</v>
      </c>
      <c r="AK6078">
        <v>12.5365222872163</v>
      </c>
      <c r="AL6078">
        <v>91.247455814928699</v>
      </c>
      <c r="AM6078">
        <v>96.066648380637801</v>
      </c>
      <c r="AN6078">
        <v>0.99999994608104303</v>
      </c>
    </row>
    <row r="6079" spans="1:40" x14ac:dyDescent="0.3">
      <c r="A6079" t="str">
        <f>"20200111160623763"</f>
        <v>20200111160623763</v>
      </c>
      <c r="B6079" t="str">
        <f>"1578729983758173"</f>
        <v>1578729983758173</v>
      </c>
      <c r="C6079" t="s">
        <v>40</v>
      </c>
      <c r="D6079">
        <v>5.0394589999999999</v>
      </c>
      <c r="E6079">
        <v>0.48420299999999999</v>
      </c>
      <c r="F6079" t="s">
        <v>98</v>
      </c>
      <c r="G6079">
        <v>-223.93899999999999</v>
      </c>
      <c r="H6079" s="1">
        <v>-9.9131559999999999E-7</v>
      </c>
      <c r="I6079">
        <v>-59.553989999999999</v>
      </c>
      <c r="J6079">
        <v>-236.0864</v>
      </c>
      <c r="K6079">
        <v>1.109777</v>
      </c>
      <c r="L6079">
        <v>-62.420349999999999</v>
      </c>
      <c r="M6079">
        <v>0.9969112</v>
      </c>
      <c r="N6079">
        <v>0</v>
      </c>
      <c r="O6079">
        <v>7.8290460000000006E-2</v>
      </c>
      <c r="P6079">
        <v>0.98283019999999999</v>
      </c>
      <c r="Q6079">
        <v>-2.7783430000000001E-2</v>
      </c>
      <c r="R6079">
        <v>0.18240909999999999</v>
      </c>
      <c r="S6079">
        <v>2.9184570000000001</v>
      </c>
      <c r="T6079">
        <v>-0.26251770000000002</v>
      </c>
      <c r="U6079">
        <v>0.68157959999999995</v>
      </c>
      <c r="V6079">
        <v>-0.1048704</v>
      </c>
      <c r="W6079">
        <v>-2.1758329999999999E-2</v>
      </c>
      <c r="X6079">
        <v>0.99424789999999996</v>
      </c>
      <c r="Y6079">
        <v>-0.15020839999999999</v>
      </c>
      <c r="Z6079">
        <v>-2.6150890000000001E-4</v>
      </c>
      <c r="AA6079">
        <v>0.98865429999999999</v>
      </c>
      <c r="AB6079">
        <v>38</v>
      </c>
      <c r="AC6079">
        <v>12.1473999999999</v>
      </c>
      <c r="AD6079">
        <v>-1.1097779913156001</v>
      </c>
      <c r="AE6079">
        <v>2.8663599999999998</v>
      </c>
      <c r="AF6079">
        <v>-1.8915624427633799</v>
      </c>
      <c r="AG6079">
        <v>-1.1097779913156001</v>
      </c>
      <c r="AH6079">
        <v>12.2377706712258</v>
      </c>
      <c r="AI6079">
        <v>95.121189437899204</v>
      </c>
      <c r="AJ6079">
        <v>98.786536130811498</v>
      </c>
      <c r="AK6079">
        <v>12.432724828709</v>
      </c>
      <c r="AL6079">
        <v>91.246758795842098</v>
      </c>
      <c r="AM6079">
        <v>96.021130177985</v>
      </c>
      <c r="AN6079">
        <v>1.00000005618747</v>
      </c>
    </row>
    <row r="6080" spans="1:40" x14ac:dyDescent="0.3">
      <c r="A6080" t="str">
        <f>"20200111160623774"</f>
        <v>20200111160623774</v>
      </c>
      <c r="B6080" t="str">
        <f>"1578729983767940"</f>
        <v>1578729983767940</v>
      </c>
      <c r="C6080" t="s">
        <v>40</v>
      </c>
      <c r="D6080">
        <v>5.0363020000000001</v>
      </c>
      <c r="E6080">
        <v>0.48408250000000003</v>
      </c>
      <c r="F6080" t="s">
        <v>98</v>
      </c>
      <c r="G6080">
        <v>-223.83160000000001</v>
      </c>
      <c r="H6080" s="1">
        <v>-9.4387889999999999E-7</v>
      </c>
      <c r="I6080">
        <v>-59.560079999999999</v>
      </c>
      <c r="J6080">
        <v>-235.88390000000001</v>
      </c>
      <c r="K6080">
        <v>1.1097870000000001</v>
      </c>
      <c r="L6080">
        <v>-62.404269999999997</v>
      </c>
      <c r="M6080">
        <v>0.99689720000000004</v>
      </c>
      <c r="N6080">
        <v>0</v>
      </c>
      <c r="O6080">
        <v>7.8444929999999996E-2</v>
      </c>
      <c r="P6080">
        <v>0.98299040000000004</v>
      </c>
      <c r="Q6080">
        <v>-2.8346590000000001E-2</v>
      </c>
      <c r="R6080">
        <v>0.18145649999999999</v>
      </c>
      <c r="S6080">
        <v>2.9185180000000002</v>
      </c>
      <c r="T6080">
        <v>-0.26429750000000002</v>
      </c>
      <c r="U6080">
        <v>0.68118290000000004</v>
      </c>
      <c r="V6080">
        <v>-0.1037566</v>
      </c>
      <c r="W6080">
        <v>-2.1990039999999999E-2</v>
      </c>
      <c r="X6080">
        <v>0.99435960000000001</v>
      </c>
      <c r="Y6080">
        <v>-0.149921</v>
      </c>
      <c r="Z6080">
        <v>-2.8979219999999999E-4</v>
      </c>
      <c r="AA6080">
        <v>0.98869790000000002</v>
      </c>
      <c r="AB6080">
        <v>38</v>
      </c>
      <c r="AC6080">
        <v>12.052300000000001</v>
      </c>
      <c r="AD6080">
        <v>-1.1097879438789</v>
      </c>
      <c r="AE6080">
        <v>2.84418999999999</v>
      </c>
      <c r="AF6080">
        <v>-1.8749047105691401</v>
      </c>
      <c r="AG6080">
        <v>-1.1097879438789</v>
      </c>
      <c r="AH6080">
        <v>12.140765509247499</v>
      </c>
      <c r="AI6080">
        <v>95.162039962510406</v>
      </c>
      <c r="AJ6080">
        <v>98.778866864163604</v>
      </c>
      <c r="AK6080">
        <v>12.334710539961</v>
      </c>
      <c r="AL6080">
        <v>91.260038043247206</v>
      </c>
      <c r="AM6080">
        <v>95.956979345598995</v>
      </c>
      <c r="AN6080">
        <v>1.0000000040074599</v>
      </c>
    </row>
    <row r="6081" spans="1:40" x14ac:dyDescent="0.3">
      <c r="A6081" t="str">
        <f>"20200111160623785"</f>
        <v>20200111160623785</v>
      </c>
      <c r="B6081" t="str">
        <f>"1578729983778669"</f>
        <v>1578729983778669</v>
      </c>
      <c r="C6081" t="s">
        <v>40</v>
      </c>
      <c r="D6081">
        <v>4.9485039999999998</v>
      </c>
      <c r="E6081">
        <v>0.48406460000000001</v>
      </c>
      <c r="F6081" t="s">
        <v>98</v>
      </c>
      <c r="G6081">
        <v>-223.75559999999999</v>
      </c>
      <c r="H6081" s="1">
        <v>-9.0645890000000001E-7</v>
      </c>
      <c r="I6081">
        <v>-59.58193</v>
      </c>
      <c r="J6081">
        <v>-235.70519999999999</v>
      </c>
      <c r="K6081">
        <v>1.1097939999999999</v>
      </c>
      <c r="L6081">
        <v>-62.39011</v>
      </c>
      <c r="M6081">
        <v>0.99688549999999998</v>
      </c>
      <c r="N6081">
        <v>0</v>
      </c>
      <c r="O6081">
        <v>7.8567799999999993E-2</v>
      </c>
      <c r="P6081">
        <v>0.98313329999999999</v>
      </c>
      <c r="Q6081">
        <v>-2.9000769999999999E-2</v>
      </c>
      <c r="R6081">
        <v>0.1805764</v>
      </c>
      <c r="S6081">
        <v>2.9188230000000002</v>
      </c>
      <c r="T6081">
        <v>-0.26708389999999999</v>
      </c>
      <c r="U6081">
        <v>0.67922969999999905</v>
      </c>
      <c r="V6081">
        <v>-0.1027478</v>
      </c>
      <c r="W6081">
        <v>-2.2336129999999999E-2</v>
      </c>
      <c r="X6081">
        <v>0.99445660000000002</v>
      </c>
      <c r="Y6081">
        <v>-0.14914620000000001</v>
      </c>
      <c r="Z6081">
        <v>-3.3879560000000001E-4</v>
      </c>
      <c r="AA6081">
        <v>0.98881509999999995</v>
      </c>
      <c r="AB6081">
        <v>38</v>
      </c>
      <c r="AC6081">
        <v>11.9496</v>
      </c>
      <c r="AD6081">
        <v>-1.1097949064589001</v>
      </c>
      <c r="AE6081">
        <v>2.8081799999999899</v>
      </c>
      <c r="AF6081">
        <v>-1.8455379288534799</v>
      </c>
      <c r="AG6081">
        <v>-1.1097949064589001</v>
      </c>
      <c r="AH6081">
        <v>12.0349238393985</v>
      </c>
      <c r="AI6081">
        <v>95.208064138427801</v>
      </c>
      <c r="AJ6081">
        <v>98.718307896403999</v>
      </c>
      <c r="AK6081">
        <v>12.226080598514001</v>
      </c>
      <c r="AL6081">
        <v>91.279872453542595</v>
      </c>
      <c r="AM6081">
        <v>95.898900189425206</v>
      </c>
      <c r="AN6081">
        <v>0.99999997119588802</v>
      </c>
    </row>
    <row r="6082" spans="1:40" x14ac:dyDescent="0.3">
      <c r="A6082" t="str">
        <f>"20200111160623796"</f>
        <v>20200111160623796</v>
      </c>
      <c r="B6082" t="str">
        <f>"1578729983788430"</f>
        <v>1578729983788430</v>
      </c>
      <c r="C6082" t="s">
        <v>40</v>
      </c>
      <c r="D6082">
        <v>5.3602339999999904</v>
      </c>
      <c r="E6082">
        <v>0.48406460000000001</v>
      </c>
      <c r="F6082" t="s">
        <v>98</v>
      </c>
      <c r="G6082">
        <v>-223.7079</v>
      </c>
      <c r="H6082" s="1">
        <v>-8.8005339999999999E-7</v>
      </c>
      <c r="I6082">
        <v>-59.608649999999997</v>
      </c>
      <c r="J6082">
        <v>-235.52070000000001</v>
      </c>
      <c r="K6082">
        <v>1.109807</v>
      </c>
      <c r="L6082">
        <v>-62.375520000000002</v>
      </c>
      <c r="M6082">
        <v>0.99687700000000001</v>
      </c>
      <c r="N6082">
        <v>0</v>
      </c>
      <c r="O6082">
        <v>7.8642459999999997E-2</v>
      </c>
      <c r="P6082">
        <v>0.98333870000000001</v>
      </c>
      <c r="Q6082">
        <v>-2.981719E-2</v>
      </c>
      <c r="R6082">
        <v>0.17932110000000001</v>
      </c>
      <c r="S6082">
        <v>2.9192049999999998</v>
      </c>
      <c r="T6082">
        <v>-0.27003690000000002</v>
      </c>
      <c r="U6082">
        <v>0.67678830000000001</v>
      </c>
      <c r="V6082">
        <v>-0.101408</v>
      </c>
      <c r="W6082">
        <v>-2.277881E-2</v>
      </c>
      <c r="X6082">
        <v>0.99458409999999997</v>
      </c>
      <c r="Y6082">
        <v>-0.14825639999999901</v>
      </c>
      <c r="Z6082">
        <v>-3.8987910000000002E-4</v>
      </c>
      <c r="AA6082">
        <v>0.98894890000000002</v>
      </c>
      <c r="AB6082">
        <v>38</v>
      </c>
      <c r="AC6082">
        <v>11.812799999999999</v>
      </c>
      <c r="AD6082">
        <v>-1.1098078800533999</v>
      </c>
      <c r="AE6082">
        <v>2.7668699999999902</v>
      </c>
      <c r="AF6082">
        <v>-1.81410911266247</v>
      </c>
      <c r="AG6082">
        <v>-1.1098078800533999</v>
      </c>
      <c r="AH6082">
        <v>11.8942864903526</v>
      </c>
      <c r="AI6082">
        <v>95.270009892869695</v>
      </c>
      <c r="AJ6082">
        <v>98.671886189919107</v>
      </c>
      <c r="AK6082">
        <v>12.0829101013728</v>
      </c>
      <c r="AL6082">
        <v>91.305242575468398</v>
      </c>
      <c r="AM6082">
        <v>95.821770971934498</v>
      </c>
      <c r="AN6082">
        <v>0.99999999431091202</v>
      </c>
    </row>
    <row r="6083" spans="1:40" x14ac:dyDescent="0.3">
      <c r="A6083" t="str">
        <f>"20200111160623807"</f>
        <v>20200111160623807</v>
      </c>
      <c r="B6083" t="str">
        <f>"1578729983798190"</f>
        <v>1578729983798190</v>
      </c>
      <c r="C6083" t="s">
        <v>40</v>
      </c>
      <c r="D6083">
        <v>5.0301879999999999</v>
      </c>
      <c r="E6083">
        <v>0.4839347</v>
      </c>
      <c r="F6083" t="s">
        <v>98</v>
      </c>
      <c r="G6083">
        <v>-223.63249999999999</v>
      </c>
      <c r="H6083" s="1">
        <v>-8.4175449999999899E-7</v>
      </c>
      <c r="I6083">
        <v>-59.635750000000002</v>
      </c>
      <c r="J6083">
        <v>-235.33320000000001</v>
      </c>
      <c r="K6083">
        <v>1.1098209999999999</v>
      </c>
      <c r="L6083">
        <v>-62.360660000000003</v>
      </c>
      <c r="M6083">
        <v>0.99687000000000003</v>
      </c>
      <c r="N6083">
        <v>0</v>
      </c>
      <c r="O6083">
        <v>7.8696840000000004E-2</v>
      </c>
      <c r="P6083">
        <v>0.98357360000000005</v>
      </c>
      <c r="Q6083">
        <v>-3.0579829999999999E-2</v>
      </c>
      <c r="R6083">
        <v>0.17789829999999901</v>
      </c>
      <c r="S6083">
        <v>2.9198460000000002</v>
      </c>
      <c r="T6083">
        <v>-0.27257930000000002</v>
      </c>
      <c r="U6083">
        <v>0.67291259999999997</v>
      </c>
      <c r="V6083">
        <v>-9.9919759999999996E-2</v>
      </c>
      <c r="W6083">
        <v>-2.31536E-2</v>
      </c>
      <c r="X6083">
        <v>0.99472609999999995</v>
      </c>
      <c r="Y6083">
        <v>-0.1469087</v>
      </c>
      <c r="Z6083">
        <v>-4.6055480000000001E-4</v>
      </c>
      <c r="AA6083">
        <v>0.98914990000000003</v>
      </c>
      <c r="AB6083">
        <v>38</v>
      </c>
      <c r="AC6083">
        <v>11.700699999999999</v>
      </c>
      <c r="AD6083">
        <v>-1.1098218417545</v>
      </c>
      <c r="AE6083">
        <v>2.7249099999999902</v>
      </c>
      <c r="AF6083">
        <v>-1.78043016477362</v>
      </c>
      <c r="AG6083">
        <v>-1.1098218417545</v>
      </c>
      <c r="AH6083">
        <v>11.778342537950101</v>
      </c>
      <c r="AI6083">
        <v>95.32272367761</v>
      </c>
      <c r="AJ6083">
        <v>98.595830763474297</v>
      </c>
      <c r="AK6083">
        <v>11.9637364160766</v>
      </c>
      <c r="AL6083">
        <v>91.326722077870699</v>
      </c>
      <c r="AM6083">
        <v>95.736092635049999</v>
      </c>
      <c r="AN6083">
        <v>1.0000000308263099</v>
      </c>
    </row>
    <row r="6084" spans="1:40" x14ac:dyDescent="0.3">
      <c r="A6084" t="str">
        <f>"20200111160623818"</f>
        <v>20200111160623818</v>
      </c>
      <c r="B6084" t="str">
        <f>"1578729983807951"</f>
        <v>1578729983807951</v>
      </c>
      <c r="C6084" t="s">
        <v>40</v>
      </c>
      <c r="D6084">
        <v>5.0862030000000003</v>
      </c>
      <c r="E6084">
        <v>0.48377360000000003</v>
      </c>
      <c r="F6084" t="s">
        <v>98</v>
      </c>
      <c r="G6084">
        <v>-223.5838</v>
      </c>
      <c r="H6084" s="1">
        <v>-8.1391479999999996E-7</v>
      </c>
      <c r="I6084">
        <v>-59.667029999999997</v>
      </c>
      <c r="J6084">
        <v>-235.13939999999999</v>
      </c>
      <c r="K6084">
        <v>1.1098250000000001</v>
      </c>
      <c r="L6084">
        <v>-62.345309999999998</v>
      </c>
      <c r="M6084">
        <v>0.99686589999999997</v>
      </c>
      <c r="N6084">
        <v>0</v>
      </c>
      <c r="O6084">
        <v>7.8710160000000001E-2</v>
      </c>
      <c r="P6084">
        <v>0.98372539999999997</v>
      </c>
      <c r="Q6084">
        <v>-3.111879E-2</v>
      </c>
      <c r="R6084">
        <v>0.17696339999999999</v>
      </c>
      <c r="S6084">
        <v>2.9204249999999998</v>
      </c>
      <c r="T6084">
        <v>-0.2758563</v>
      </c>
      <c r="U6084">
        <v>0.66952509999999998</v>
      </c>
      <c r="V6084">
        <v>-9.8965559999999994E-2</v>
      </c>
      <c r="W6084">
        <v>-2.327715E-2</v>
      </c>
      <c r="X6084">
        <v>0.9948186</v>
      </c>
      <c r="Y6084">
        <v>-0.14576059999999999</v>
      </c>
      <c r="Z6084">
        <v>-5.2079139999999997E-4</v>
      </c>
      <c r="AA6084">
        <v>0.98931970000000002</v>
      </c>
      <c r="AB6084">
        <v>38</v>
      </c>
      <c r="AC6084">
        <v>11.555599999999901</v>
      </c>
      <c r="AD6084">
        <v>-1.1098258139148001</v>
      </c>
      <c r="AE6084">
        <v>2.6782799999999898</v>
      </c>
      <c r="AF6084">
        <v>-1.7451218464015099</v>
      </c>
      <c r="AG6084">
        <v>-1.1098258139148001</v>
      </c>
      <c r="AH6084">
        <v>11.6287648306861</v>
      </c>
      <c r="AI6084">
        <v>95.391668723269206</v>
      </c>
      <c r="AJ6084">
        <v>98.534654810888199</v>
      </c>
      <c r="AK6084">
        <v>11.8112376609491</v>
      </c>
      <c r="AL6084">
        <v>91.333802884232895</v>
      </c>
      <c r="AM6084">
        <v>95.681150157385204</v>
      </c>
      <c r="AN6084">
        <v>1.0000000273420899</v>
      </c>
    </row>
    <row r="6085" spans="1:40" x14ac:dyDescent="0.3">
      <c r="A6085" t="str">
        <f>"20200111160623830"</f>
        <v>20200111160623830</v>
      </c>
      <c r="B6085" t="str">
        <f>"1578729983818686"</f>
        <v>1578729983818686</v>
      </c>
      <c r="C6085" t="s">
        <v>40</v>
      </c>
      <c r="D6085">
        <v>5.0346109999999999</v>
      </c>
      <c r="E6085">
        <v>0.48361209999999999</v>
      </c>
      <c r="F6085" t="s">
        <v>98</v>
      </c>
      <c r="G6085">
        <v>-223.51329999999999</v>
      </c>
      <c r="H6085" s="1">
        <v>-7.7942630000000001E-7</v>
      </c>
      <c r="I6085">
        <v>-59.686329999999998</v>
      </c>
      <c r="J6085">
        <v>-234.9579</v>
      </c>
      <c r="K6085">
        <v>1.109823</v>
      </c>
      <c r="L6085">
        <v>-62.33099</v>
      </c>
      <c r="M6085">
        <v>0.99686459999999999</v>
      </c>
      <c r="N6085">
        <v>0</v>
      </c>
      <c r="O6085">
        <v>7.8686740000000005E-2</v>
      </c>
      <c r="P6085">
        <v>0.98393079999999999</v>
      </c>
      <c r="Q6085">
        <v>-3.1407820000000003E-2</v>
      </c>
      <c r="R6085">
        <v>0.1757667</v>
      </c>
      <c r="S6085">
        <v>2.9206240000000001</v>
      </c>
      <c r="T6085">
        <v>-0.2788021</v>
      </c>
      <c r="U6085">
        <v>0.66796880000000003</v>
      </c>
      <c r="V6085">
        <v>-9.7783099999999998E-2</v>
      </c>
      <c r="W6085">
        <v>-2.3181839999999999E-2</v>
      </c>
      <c r="X6085">
        <v>0.99493770000000004</v>
      </c>
      <c r="Y6085">
        <v>-0.1452639</v>
      </c>
      <c r="Z6085">
        <v>-5.4755059999999896E-4</v>
      </c>
      <c r="AA6085">
        <v>0.98939279999999996</v>
      </c>
      <c r="AB6085">
        <v>38</v>
      </c>
      <c r="AC6085">
        <v>11.444599999999999</v>
      </c>
      <c r="AD6085">
        <v>-1.1098237794263</v>
      </c>
      <c r="AE6085">
        <v>2.6446599999999898</v>
      </c>
      <c r="AF6085">
        <v>-1.72053041376295</v>
      </c>
      <c r="AG6085">
        <v>-1.1098237794263</v>
      </c>
      <c r="AH6085">
        <v>11.5144279854568</v>
      </c>
      <c r="AI6085">
        <v>95.445388942759607</v>
      </c>
      <c r="AJ6085">
        <v>98.49847955816</v>
      </c>
      <c r="AK6085">
        <v>11.6950410669794</v>
      </c>
      <c r="AL6085">
        <v>91.328340613079803</v>
      </c>
      <c r="AM6085">
        <v>95.613039126763795</v>
      </c>
      <c r="AN6085">
        <v>0.99999997961634202</v>
      </c>
    </row>
    <row r="6086" spans="1:40" x14ac:dyDescent="0.3">
      <c r="A6086" t="str">
        <f>"20200111160623841"</f>
        <v>20200111160623841</v>
      </c>
      <c r="B6086" t="str">
        <f>"1578729983838206"</f>
        <v>1578729983838206</v>
      </c>
      <c r="C6086" t="s">
        <v>40</v>
      </c>
      <c r="D6086">
        <v>5.0799070000000004</v>
      </c>
      <c r="E6086">
        <v>0.48325489999999999</v>
      </c>
      <c r="F6086" t="s">
        <v>98</v>
      </c>
      <c r="G6086">
        <v>-223.40799999999999</v>
      </c>
      <c r="H6086" s="1">
        <v>-7.3118919999999903E-7</v>
      </c>
      <c r="I6086">
        <v>-59.700060000000001</v>
      </c>
      <c r="J6086">
        <v>-234.7586</v>
      </c>
      <c r="K6086">
        <v>1.10981</v>
      </c>
      <c r="L6086">
        <v>-62.315280000000001</v>
      </c>
      <c r="M6086">
        <v>0.99686589999999997</v>
      </c>
      <c r="N6086">
        <v>0</v>
      </c>
      <c r="O6086">
        <v>7.8628439999999994E-2</v>
      </c>
      <c r="P6086">
        <v>0.98406769999999999</v>
      </c>
      <c r="Q6086">
        <v>-3.160375E-2</v>
      </c>
      <c r="R6086">
        <v>0.17496300000000001</v>
      </c>
      <c r="S6086">
        <v>2.921173</v>
      </c>
      <c r="T6086">
        <v>-0.28069169999999999</v>
      </c>
      <c r="U6086">
        <v>0.66540529999999998</v>
      </c>
      <c r="V6086">
        <v>-9.7033519999999998E-2</v>
      </c>
      <c r="W6086">
        <v>-2.2961039999999999E-2</v>
      </c>
      <c r="X6086">
        <v>0.99501620000000002</v>
      </c>
      <c r="Y6086">
        <v>-0.14445520000000001</v>
      </c>
      <c r="Z6086">
        <v>-5.8408309999999895E-4</v>
      </c>
      <c r="AA6086">
        <v>0.98951120000000004</v>
      </c>
      <c r="AB6086">
        <v>38</v>
      </c>
      <c r="AC6086">
        <v>11.3506</v>
      </c>
      <c r="AD6086">
        <v>-1.1098107311892</v>
      </c>
      <c r="AE6086">
        <v>2.6152199999999999</v>
      </c>
      <c r="AF6086">
        <v>-1.6991833694927101</v>
      </c>
      <c r="AG6086">
        <v>-1.1098107311892</v>
      </c>
      <c r="AH6086">
        <v>11.417445193795601</v>
      </c>
      <c r="AI6086">
        <v>95.491775863786302</v>
      </c>
      <c r="AJ6086">
        <v>98.464825235163403</v>
      </c>
      <c r="AK6086">
        <v>11.5964200827475</v>
      </c>
      <c r="AL6086">
        <v>91.315686341356496</v>
      </c>
      <c r="AM6086">
        <v>95.569845972094399</v>
      </c>
      <c r="AN6086">
        <v>0.99999997581195499</v>
      </c>
    </row>
    <row r="6087" spans="1:40" x14ac:dyDescent="0.3">
      <c r="A6087" t="str">
        <f>"20200111160623852"</f>
        <v>20200111160623852</v>
      </c>
      <c r="B6087" t="str">
        <f>"1578729983847965"</f>
        <v>1578729983847965</v>
      </c>
      <c r="C6087" t="s">
        <v>40</v>
      </c>
      <c r="D6087">
        <v>5.0425639999999996</v>
      </c>
      <c r="E6087">
        <v>0.48306209999999999</v>
      </c>
      <c r="F6087" t="s">
        <v>98</v>
      </c>
      <c r="G6087">
        <v>-223.2938</v>
      </c>
      <c r="H6087" s="1">
        <v>-6.8165139999999996E-7</v>
      </c>
      <c r="I6087">
        <v>-59.702530000000003</v>
      </c>
      <c r="J6087">
        <v>-234.56649999999999</v>
      </c>
      <c r="K6087">
        <v>1.1097900000000001</v>
      </c>
      <c r="L6087">
        <v>-62.300199999999997</v>
      </c>
      <c r="M6087">
        <v>0.99687170000000003</v>
      </c>
      <c r="N6087">
        <v>0</v>
      </c>
      <c r="O6087">
        <v>7.8511200000000003E-2</v>
      </c>
      <c r="P6087">
        <v>0.98423720000000003</v>
      </c>
      <c r="Q6087">
        <v>-3.1947139999999999E-2</v>
      </c>
      <c r="R6087">
        <v>0.1739445</v>
      </c>
      <c r="S6087">
        <v>2.9211580000000001</v>
      </c>
      <c r="T6087">
        <v>-0.28277269999999999</v>
      </c>
      <c r="U6087">
        <v>0.66571040000000004</v>
      </c>
      <c r="V6087">
        <v>-9.6125920000000004E-2</v>
      </c>
      <c r="W6087">
        <v>-2.2920980000000001E-2</v>
      </c>
      <c r="X6087">
        <v>0.99510529999999997</v>
      </c>
      <c r="Y6087">
        <v>-0.14466490000000001</v>
      </c>
      <c r="Z6087">
        <v>-5.6730120000000005E-4</v>
      </c>
      <c r="AA6087">
        <v>0.98948060000000004</v>
      </c>
      <c r="AB6087">
        <v>38</v>
      </c>
      <c r="AC6087">
        <v>11.272699999999899</v>
      </c>
      <c r="AD6087">
        <v>-1.1097906816513901</v>
      </c>
      <c r="AE6087">
        <v>2.5976699999999902</v>
      </c>
      <c r="AF6087">
        <v>-1.6890359400695201</v>
      </c>
      <c r="AG6087">
        <v>-1.1097906816513901</v>
      </c>
      <c r="AH6087">
        <v>11.3375101024639</v>
      </c>
      <c r="AI6087">
        <v>95.5300336371388</v>
      </c>
      <c r="AJ6087">
        <v>98.473471284011595</v>
      </c>
      <c r="AK6087">
        <v>11.516232590886499</v>
      </c>
      <c r="AL6087">
        <v>91.313390356302094</v>
      </c>
      <c r="AM6087">
        <v>95.517580614998295</v>
      </c>
      <c r="AN6087">
        <v>1.00000006095404</v>
      </c>
    </row>
    <row r="6088" spans="1:40" x14ac:dyDescent="0.3">
      <c r="A6088" t="str">
        <f>"20200111160623864"</f>
        <v>20200111160623864</v>
      </c>
      <c r="B6088" t="str">
        <f>"1578729983858702"</f>
        <v>1578729983858702</v>
      </c>
      <c r="C6088" t="s">
        <v>40</v>
      </c>
      <c r="D6088">
        <v>5.220351</v>
      </c>
      <c r="E6088">
        <v>0.48269099999999998</v>
      </c>
      <c r="F6088" t="s">
        <v>98</v>
      </c>
      <c r="G6088">
        <v>-223.18109999999999</v>
      </c>
      <c r="H6088" s="1">
        <v>-6.3124199999999998E-7</v>
      </c>
      <c r="I6088">
        <v>-59.711849999999998</v>
      </c>
      <c r="J6088">
        <v>-234.36750000000001</v>
      </c>
      <c r="K6088">
        <v>1.1097589999999999</v>
      </c>
      <c r="L6088">
        <v>-62.284579999999998</v>
      </c>
      <c r="M6088">
        <v>0.99687959999999998</v>
      </c>
      <c r="N6088">
        <v>0</v>
      </c>
      <c r="O6088">
        <v>7.8367320000000004E-2</v>
      </c>
      <c r="P6088">
        <v>0.98434860000000002</v>
      </c>
      <c r="Q6088">
        <v>-3.1829910000000003E-2</v>
      </c>
      <c r="R6088">
        <v>0.173335299999999</v>
      </c>
      <c r="S6088">
        <v>2.9214319999999998</v>
      </c>
      <c r="T6088">
        <v>-0.2847653</v>
      </c>
      <c r="U6088">
        <v>0.66415409999999997</v>
      </c>
      <c r="V6088">
        <v>-9.5657729999999996E-2</v>
      </c>
      <c r="W6088">
        <v>-2.241344E-2</v>
      </c>
      <c r="X6088">
        <v>0.99516190000000004</v>
      </c>
      <c r="Y6088">
        <v>-0.1442831</v>
      </c>
      <c r="Z6088">
        <v>-5.7593450000000001E-4</v>
      </c>
      <c r="AA6088">
        <v>0.98953630000000004</v>
      </c>
      <c r="AB6088">
        <v>38</v>
      </c>
      <c r="AC6088">
        <v>11.186400000000001</v>
      </c>
      <c r="AD6088">
        <v>-1.1097596312419999</v>
      </c>
      <c r="AE6088">
        <v>2.57273</v>
      </c>
      <c r="AF6088">
        <v>-1.6724959700842801</v>
      </c>
      <c r="AG6088">
        <v>-1.1097596312419999</v>
      </c>
      <c r="AH6088">
        <v>11.248476317640201</v>
      </c>
      <c r="AI6088">
        <v>95.573610247389695</v>
      </c>
      <c r="AJ6088">
        <v>98.457146493546603</v>
      </c>
      <c r="AK6088">
        <v>11.426155463566699</v>
      </c>
      <c r="AL6088">
        <v>91.284303081329895</v>
      </c>
      <c r="AM6088">
        <v>95.490560990901102</v>
      </c>
      <c r="AN6088">
        <v>0.99999998540649804</v>
      </c>
    </row>
    <row r="6089" spans="1:40" x14ac:dyDescent="0.3">
      <c r="A6089" t="str">
        <f>"20200111160623875"</f>
        <v>20200111160623875</v>
      </c>
      <c r="B6089" t="str">
        <f>"1578729983868469"</f>
        <v>1578729983868469</v>
      </c>
      <c r="C6089" t="s">
        <v>40</v>
      </c>
      <c r="D6089">
        <v>4.9499919999999999</v>
      </c>
      <c r="E6089">
        <v>0.48259800000000003</v>
      </c>
      <c r="F6089" t="s">
        <v>98</v>
      </c>
      <c r="G6089">
        <v>-222.9744</v>
      </c>
      <c r="H6089" s="1">
        <v>-5.4735719999999895E-7</v>
      </c>
      <c r="I6089">
        <v>-59.690260000000002</v>
      </c>
      <c r="J6089">
        <v>-234.18469999999999</v>
      </c>
      <c r="K6089">
        <v>1.1097189999999999</v>
      </c>
      <c r="L6089">
        <v>-62.270359999999997</v>
      </c>
      <c r="M6089">
        <v>0.99689289999999997</v>
      </c>
      <c r="N6089">
        <v>0</v>
      </c>
      <c r="O6089">
        <v>7.8159939999999997E-2</v>
      </c>
      <c r="P6089">
        <v>0.98447249999999997</v>
      </c>
      <c r="Q6089">
        <v>-3.150319E-2</v>
      </c>
      <c r="R6089">
        <v>0.17268900000000001</v>
      </c>
      <c r="S6089">
        <v>2.9213559999999998</v>
      </c>
      <c r="T6089">
        <v>-0.28455910000000001</v>
      </c>
      <c r="U6089">
        <v>0.66522219999999999</v>
      </c>
      <c r="V6089">
        <v>-9.5214480000000004E-2</v>
      </c>
      <c r="W6089">
        <v>-2.1750450000000001E-2</v>
      </c>
      <c r="X6089">
        <v>0.99521910000000002</v>
      </c>
      <c r="Y6089">
        <v>-0.144835299999999</v>
      </c>
      <c r="Z6089">
        <v>-5.2924639999999995E-4</v>
      </c>
      <c r="AA6089">
        <v>0.98945559999999999</v>
      </c>
      <c r="AB6089">
        <v>38</v>
      </c>
      <c r="AC6089">
        <v>11.210299999999901</v>
      </c>
      <c r="AD6089">
        <v>-1.1097195473571999</v>
      </c>
      <c r="AE6089">
        <v>2.5800999999999998</v>
      </c>
      <c r="AF6089">
        <v>-1.6803304335540401</v>
      </c>
      <c r="AG6089">
        <v>-1.1097195473571999</v>
      </c>
      <c r="AH6089">
        <v>11.2727652533603</v>
      </c>
      <c r="AI6089">
        <v>95.561175248121202</v>
      </c>
      <c r="AJ6089">
        <v>98.4781453572229</v>
      </c>
      <c r="AK6089">
        <v>11.4512106039965</v>
      </c>
      <c r="AL6089">
        <v>91.246307308002599</v>
      </c>
      <c r="AM6089">
        <v>95.464961518403101</v>
      </c>
      <c r="AN6089">
        <v>0.99999996814084002</v>
      </c>
    </row>
    <row r="6090" spans="1:40" x14ac:dyDescent="0.3">
      <c r="A6090" t="str">
        <f>"20200111160623886"</f>
        <v>20200111160623886</v>
      </c>
      <c r="B6090" t="str">
        <f>"1578729983878222"</f>
        <v>1578729983878222</v>
      </c>
      <c r="C6090" t="s">
        <v>40</v>
      </c>
      <c r="D6090">
        <v>5.1620019999999904</v>
      </c>
      <c r="E6090">
        <v>0.48227809999999999</v>
      </c>
      <c r="F6090" t="s">
        <v>98</v>
      </c>
      <c r="G6090">
        <v>-222.76660000000001</v>
      </c>
      <c r="H6090" s="1">
        <v>-4.6155920000000002E-7</v>
      </c>
      <c r="I6090">
        <v>-59.675229999999999</v>
      </c>
      <c r="J6090">
        <v>-234.0087</v>
      </c>
      <c r="K6090">
        <v>1.109675</v>
      </c>
      <c r="L6090">
        <v>-62.256680000000003</v>
      </c>
      <c r="M6090">
        <v>0.99690659999999998</v>
      </c>
      <c r="N6090">
        <v>0</v>
      </c>
      <c r="O6090">
        <v>7.7946420000000002E-2</v>
      </c>
      <c r="P6090">
        <v>0.98451</v>
      </c>
      <c r="Q6090">
        <v>-3.1224709999999999E-2</v>
      </c>
      <c r="R6090">
        <v>0.1725265</v>
      </c>
      <c r="S6090">
        <v>2.9217529999999998</v>
      </c>
      <c r="T6090">
        <v>-0.2839643</v>
      </c>
      <c r="U6090">
        <v>0.6640625</v>
      </c>
      <c r="V6090">
        <v>-9.5266939999999994E-2</v>
      </c>
      <c r="W6090">
        <v>-2.1153089999999999E-2</v>
      </c>
      <c r="X6090">
        <v>0.99522699999999997</v>
      </c>
      <c r="Y6090">
        <v>-0.14464560000000001</v>
      </c>
      <c r="Z6090">
        <v>-5.1691940000000004E-4</v>
      </c>
      <c r="AA6090">
        <v>0.98948340000000001</v>
      </c>
      <c r="AB6090">
        <v>38</v>
      </c>
      <c r="AC6090">
        <v>11.242099999999899</v>
      </c>
      <c r="AD6090">
        <v>-1.1096754615591999</v>
      </c>
      <c r="AE6090">
        <v>2.58144999999999</v>
      </c>
      <c r="AF6090">
        <v>-1.68170495072461</v>
      </c>
      <c r="AG6090">
        <v>-1.1096754615591999</v>
      </c>
      <c r="AH6090">
        <v>11.3044937204718</v>
      </c>
      <c r="AI6090">
        <v>95.545683396740998</v>
      </c>
      <c r="AJ6090">
        <v>98.461509933231895</v>
      </c>
      <c r="AK6090">
        <v>11.4826429643817</v>
      </c>
      <c r="AL6090">
        <v>91.212073168217799</v>
      </c>
      <c r="AM6090">
        <v>95.467911144983105</v>
      </c>
      <c r="AN6090">
        <v>1.00000001230125</v>
      </c>
    </row>
    <row r="6091" spans="1:40" x14ac:dyDescent="0.3">
      <c r="A6091" t="str">
        <f>"20200111160623896"</f>
        <v>20200111160623896</v>
      </c>
      <c r="B6091" t="str">
        <f>"1578729983887982"</f>
        <v>1578729983887982</v>
      </c>
      <c r="C6091" t="s">
        <v>40</v>
      </c>
      <c r="D6091">
        <v>5.0383209999999998</v>
      </c>
      <c r="E6091">
        <v>0.48227809999999999</v>
      </c>
      <c r="F6091" t="s">
        <v>98</v>
      </c>
      <c r="G6091">
        <v>-222.547</v>
      </c>
      <c r="H6091" s="1">
        <v>-3.7427480000000002E-7</v>
      </c>
      <c r="I6091">
        <v>-59.643909999999998</v>
      </c>
      <c r="J6091">
        <v>-233.81819999999999</v>
      </c>
      <c r="K6091">
        <v>1.1096159999999999</v>
      </c>
      <c r="L6091">
        <v>-62.241999999999997</v>
      </c>
      <c r="M6091">
        <v>0.99692639999999999</v>
      </c>
      <c r="N6091">
        <v>0</v>
      </c>
      <c r="O6091">
        <v>7.7651429999999994E-2</v>
      </c>
      <c r="P6091">
        <v>0.98455250000000005</v>
      </c>
      <c r="Q6091">
        <v>-3.0636819999999999E-2</v>
      </c>
      <c r="R6091">
        <v>0.17238899999999999</v>
      </c>
      <c r="S6091">
        <v>2.9215390000000001</v>
      </c>
      <c r="T6091">
        <v>-0.28285179999999999</v>
      </c>
      <c r="U6091">
        <v>0.6659851</v>
      </c>
      <c r="V6091">
        <v>-9.5424880000000004E-2</v>
      </c>
      <c r="W6091">
        <v>-2.0240790000000002E-2</v>
      </c>
      <c r="X6091">
        <v>0.99523090000000003</v>
      </c>
      <c r="Y6091">
        <v>-0.1455698</v>
      </c>
      <c r="Z6091">
        <v>-4.4286020000000001E-4</v>
      </c>
      <c r="AA6091">
        <v>0.98934789999999995</v>
      </c>
      <c r="AB6091">
        <v>38</v>
      </c>
      <c r="AC6091">
        <v>11.271199999999901</v>
      </c>
      <c r="AD6091">
        <v>-1.1096163742748</v>
      </c>
      <c r="AE6091">
        <v>2.5980899999999898</v>
      </c>
      <c r="AF6091">
        <v>-1.6993336311340299</v>
      </c>
      <c r="AG6091">
        <v>-1.1096163742748</v>
      </c>
      <c r="AH6091">
        <v>11.334609384400901</v>
      </c>
      <c r="AI6091">
        <v>95.529816134181502</v>
      </c>
      <c r="AJ6091">
        <v>98.526524966724807</v>
      </c>
      <c r="AK6091">
        <v>11.5148753004498</v>
      </c>
      <c r="AL6091">
        <v>91.159790960454501</v>
      </c>
      <c r="AM6091">
        <v>95.476899811954397</v>
      </c>
      <c r="AN6091">
        <v>1.0000000708088199</v>
      </c>
    </row>
    <row r="6092" spans="1:40" x14ac:dyDescent="0.3">
      <c r="A6092" t="str">
        <f>"20200111160623908"</f>
        <v>20200111160623908</v>
      </c>
      <c r="B6092" t="str">
        <f>"1578729983898315"</f>
        <v>1578729983898315</v>
      </c>
      <c r="C6092" t="s">
        <v>40</v>
      </c>
      <c r="D6092">
        <v>5.1228439999999997</v>
      </c>
      <c r="E6092">
        <v>0.45529520000000001</v>
      </c>
      <c r="F6092" t="s">
        <v>98</v>
      </c>
      <c r="G6092">
        <v>-222.2878</v>
      </c>
      <c r="H6092" s="1">
        <v>-2.6933289999999998E-7</v>
      </c>
      <c r="I6092">
        <v>-59.615630000000003</v>
      </c>
      <c r="J6092">
        <v>-233.63149999999999</v>
      </c>
      <c r="K6092">
        <v>1.1095600000000001</v>
      </c>
      <c r="L6092">
        <v>-62.227719999999998</v>
      </c>
      <c r="M6092">
        <v>0.99694819999999995</v>
      </c>
      <c r="N6092">
        <v>0</v>
      </c>
      <c r="O6092">
        <v>7.7331449999999996E-2</v>
      </c>
      <c r="P6092">
        <v>0.98455590000000004</v>
      </c>
      <c r="Q6092">
        <v>-3.018612E-2</v>
      </c>
      <c r="R6092">
        <v>0.1724484</v>
      </c>
      <c r="S6092">
        <v>2.921799</v>
      </c>
      <c r="T6092">
        <v>-0.28117799999999998</v>
      </c>
      <c r="U6092">
        <v>0.66552730000000004</v>
      </c>
      <c r="V6092">
        <v>-9.5806429999999998E-2</v>
      </c>
      <c r="W6092">
        <v>-1.9482260000000001E-2</v>
      </c>
      <c r="X6092">
        <v>0.99520929999999996</v>
      </c>
      <c r="Y6092">
        <v>-0.1457222</v>
      </c>
      <c r="Z6092">
        <v>-4.0289200000000002E-4</v>
      </c>
      <c r="AA6092">
        <v>0.98932549999999997</v>
      </c>
      <c r="AB6092">
        <v>38</v>
      </c>
      <c r="AC6092">
        <v>11.343699999999901</v>
      </c>
      <c r="AD6092">
        <v>-1.1095602693328901</v>
      </c>
      <c r="AE6092">
        <v>2.61208999999999</v>
      </c>
      <c r="AF6092">
        <v>-1.71144270083633</v>
      </c>
      <c r="AG6092">
        <v>-1.1095602693328901</v>
      </c>
      <c r="AH6092">
        <v>11.408085482322999</v>
      </c>
      <c r="AI6092">
        <v>95.494066013338099</v>
      </c>
      <c r="AJ6092">
        <v>98.531894739039302</v>
      </c>
      <c r="AK6092">
        <v>11.5889850496718</v>
      </c>
      <c r="AL6092">
        <v>91.116321909652399</v>
      </c>
      <c r="AM6092">
        <v>95.4987834901372</v>
      </c>
      <c r="AN6092">
        <v>0.99999999064527101</v>
      </c>
    </row>
    <row r="6093" spans="1:40" x14ac:dyDescent="0.3">
      <c r="A6093" t="str">
        <f>"20200111160623918"</f>
        <v>20200111160623918</v>
      </c>
      <c r="B6093" t="str">
        <f>"1578729983908064"</f>
        <v>1578729983908064</v>
      </c>
      <c r="C6093" t="s">
        <v>40</v>
      </c>
      <c r="D6093">
        <v>4.9786590000000004</v>
      </c>
      <c r="E6093">
        <v>0.45684649999999999</v>
      </c>
      <c r="F6093" t="s">
        <v>97</v>
      </c>
      <c r="G6093">
        <v>-217.6437</v>
      </c>
      <c r="H6093" s="1">
        <v>-2.779644E-6</v>
      </c>
      <c r="I6093">
        <v>-57.387430000000002</v>
      </c>
      <c r="J6093">
        <v>-233.44640000000001</v>
      </c>
      <c r="K6093">
        <v>1.109494</v>
      </c>
      <c r="L6093">
        <v>-62.213619999999999</v>
      </c>
      <c r="M6093">
        <v>0.99697360000000002</v>
      </c>
      <c r="N6093">
        <v>0</v>
      </c>
      <c r="O6093">
        <v>7.6966519999999997E-2</v>
      </c>
      <c r="P6093">
        <v>0.98453049999999998</v>
      </c>
      <c r="Q6093">
        <v>-2.9805470000000001E-2</v>
      </c>
      <c r="R6093">
        <v>0.17266049999999999</v>
      </c>
      <c r="S6093">
        <v>2.8877869999999999</v>
      </c>
      <c r="T6093">
        <v>-0.20041490000000001</v>
      </c>
      <c r="U6093">
        <v>0.87426759999999903</v>
      </c>
      <c r="V6093">
        <v>-9.6387570000000006E-2</v>
      </c>
      <c r="W6093">
        <v>-1.8811930000000001E-2</v>
      </c>
      <c r="X6093">
        <v>0.99516610000000005</v>
      </c>
      <c r="Y6093">
        <v>-0.21492749999999999</v>
      </c>
      <c r="Z6093">
        <v>2.0861479999999999E-3</v>
      </c>
      <c r="AA6093">
        <v>0.97662780000000005</v>
      </c>
      <c r="AB6093">
        <v>38</v>
      </c>
      <c r="AC6093">
        <v>15.8027</v>
      </c>
      <c r="AD6093">
        <v>-1.1094967796439901</v>
      </c>
      <c r="AE6093">
        <v>4.8261899999999898</v>
      </c>
      <c r="AF6093">
        <v>-3.5793818193272799</v>
      </c>
      <c r="AG6093">
        <v>-1.1094967796439901</v>
      </c>
      <c r="AH6093">
        <v>16.054907288686699</v>
      </c>
      <c r="AI6093">
        <v>93.858779063310294</v>
      </c>
      <c r="AJ6093">
        <v>102.56833471642901</v>
      </c>
      <c r="AK6093">
        <v>16.4864491434905</v>
      </c>
      <c r="AL6093">
        <v>91.077907766222495</v>
      </c>
      <c r="AM6093">
        <v>95.532170227659705</v>
      </c>
      <c r="AN6093">
        <v>1.0000000094750101</v>
      </c>
    </row>
    <row r="6094" spans="1:40" x14ac:dyDescent="0.3">
      <c r="A6094" t="str">
        <f>"20200111160623930"</f>
        <v>20200111160623930</v>
      </c>
      <c r="B6094" t="str">
        <f>"1578729983928560"</f>
        <v>1578729983928560</v>
      </c>
      <c r="C6094" t="s">
        <v>40</v>
      </c>
      <c r="D6094">
        <v>5.0179859999999996</v>
      </c>
      <c r="E6094">
        <v>0.45586500000000002</v>
      </c>
      <c r="F6094" t="s">
        <v>97</v>
      </c>
      <c r="G6094">
        <v>-218.69159999999999</v>
      </c>
      <c r="H6094" s="1">
        <v>-3.1552700000000001E-6</v>
      </c>
      <c r="I6094">
        <v>-57.804009999999998</v>
      </c>
      <c r="J6094">
        <v>-233.25640000000001</v>
      </c>
      <c r="K6094">
        <v>1.109424</v>
      </c>
      <c r="L6094">
        <v>-62.199280000000002</v>
      </c>
      <c r="M6094">
        <v>0.99700319999999998</v>
      </c>
      <c r="N6094">
        <v>0</v>
      </c>
      <c r="O6094">
        <v>7.6545219999999997E-2</v>
      </c>
      <c r="P6094">
        <v>0.98449439999999999</v>
      </c>
      <c r="Q6094">
        <v>-2.9704339999999999E-2</v>
      </c>
      <c r="R6094">
        <v>0.17288310000000001</v>
      </c>
      <c r="S6094">
        <v>2.8891450000000001</v>
      </c>
      <c r="T6094">
        <v>-0.21725030000000001</v>
      </c>
      <c r="U6094">
        <v>0.86343380000000003</v>
      </c>
      <c r="V6094">
        <v>-9.7035990000000003E-2</v>
      </c>
      <c r="W6094">
        <v>-1.842852E-2</v>
      </c>
      <c r="X6094">
        <v>0.9951103</v>
      </c>
      <c r="Y6094">
        <v>-0.211807</v>
      </c>
      <c r="Z6094">
        <v>2.1769649999999999E-3</v>
      </c>
      <c r="AA6094">
        <v>0.97730910000000004</v>
      </c>
      <c r="AB6094">
        <v>38</v>
      </c>
      <c r="AC6094">
        <v>14.5648</v>
      </c>
      <c r="AD6094">
        <v>-1.1094271552699999</v>
      </c>
      <c r="AE6094">
        <v>4.39527</v>
      </c>
      <c r="AF6094">
        <v>-3.2501535221420799</v>
      </c>
      <c r="AG6094">
        <v>-1.1094271552699999</v>
      </c>
      <c r="AH6094">
        <v>14.7799235481165</v>
      </c>
      <c r="AI6094">
        <v>94.192936655156899</v>
      </c>
      <c r="AJ6094">
        <v>102.402132072393</v>
      </c>
      <c r="AK6094">
        <v>15.1736767666414</v>
      </c>
      <c r="AL6094">
        <v>91.055936137915694</v>
      </c>
      <c r="AM6094">
        <v>95.5694634621739</v>
      </c>
      <c r="AN6094">
        <v>1.00000005143537</v>
      </c>
    </row>
    <row r="6095" spans="1:40" x14ac:dyDescent="0.3">
      <c r="A6095" t="str">
        <f>"20200111160623941"</f>
        <v>20200111160623941</v>
      </c>
      <c r="B6095" t="str">
        <f>"1578729983938319"</f>
        <v>1578729983938319</v>
      </c>
      <c r="C6095" t="s">
        <v>40</v>
      </c>
      <c r="D6095">
        <v>5.1563230000000004</v>
      </c>
      <c r="E6095">
        <v>0.45464179999999998</v>
      </c>
      <c r="F6095" t="s">
        <v>98</v>
      </c>
      <c r="G6095">
        <v>-220.20150000000001</v>
      </c>
      <c r="H6095" s="1">
        <v>1.48719E-7</v>
      </c>
      <c r="I6095">
        <v>-58.250210000000003</v>
      </c>
      <c r="J6095">
        <v>-233.06290000000001</v>
      </c>
      <c r="K6095">
        <v>1.1093519999999999</v>
      </c>
      <c r="L6095">
        <v>-62.184750000000001</v>
      </c>
      <c r="M6095">
        <v>0.99703580000000003</v>
      </c>
      <c r="N6095">
        <v>0</v>
      </c>
      <c r="O6095">
        <v>7.608144E-2</v>
      </c>
      <c r="P6095">
        <v>0.98447779999999996</v>
      </c>
      <c r="Q6095">
        <v>-2.984761E-2</v>
      </c>
      <c r="R6095">
        <v>0.17295369999999999</v>
      </c>
      <c r="S6095">
        <v>2.886536</v>
      </c>
      <c r="T6095">
        <v>-0.24530150000000001</v>
      </c>
      <c r="U6095">
        <v>0.87316890000000003</v>
      </c>
      <c r="V6095">
        <v>-9.7574279999999999E-2</v>
      </c>
      <c r="W6095">
        <v>-1.829544E-2</v>
      </c>
      <c r="X6095">
        <v>0.9950601</v>
      </c>
      <c r="Y6095">
        <v>-0.21541540000000001</v>
      </c>
      <c r="Z6095">
        <v>2.6462059999999999E-3</v>
      </c>
      <c r="AA6095">
        <v>0.97651889999999997</v>
      </c>
      <c r="AB6095">
        <v>38</v>
      </c>
      <c r="AC6095">
        <v>12.8614</v>
      </c>
      <c r="AD6095">
        <v>-1.1093518512809999</v>
      </c>
      <c r="AE6095">
        <v>3.9345400000000001</v>
      </c>
      <c r="AF6095">
        <v>-2.9246597568835302</v>
      </c>
      <c r="AG6095">
        <v>-1.1093518512809999</v>
      </c>
      <c r="AH6095">
        <v>13.034805268190199</v>
      </c>
      <c r="AI6095">
        <v>94.747078730459705</v>
      </c>
      <c r="AJ6095">
        <v>102.64619132724</v>
      </c>
      <c r="AK6095">
        <v>13.404866452266999</v>
      </c>
      <c r="AL6095">
        <v>91.048309949626002</v>
      </c>
      <c r="AM6095">
        <v>95.600443944515305</v>
      </c>
      <c r="AN6095">
        <v>1.0000000329271601</v>
      </c>
    </row>
    <row r="6096" spans="1:40" x14ac:dyDescent="0.3">
      <c r="A6096" t="str">
        <f>"20200111160623953"</f>
        <v>20200111160623953</v>
      </c>
      <c r="B6096" t="str">
        <f>"1578729983948079"</f>
        <v>1578729983948079</v>
      </c>
      <c r="C6096" t="s">
        <v>40</v>
      </c>
      <c r="D6096">
        <v>4.9603149999999996</v>
      </c>
      <c r="E6096">
        <v>0.45495459999999899</v>
      </c>
      <c r="F6096" t="s">
        <v>97</v>
      </c>
      <c r="G6096">
        <v>-218.89070000000001</v>
      </c>
      <c r="H6096" s="1">
        <v>-3.2320519999999999E-6</v>
      </c>
      <c r="I6096">
        <v>-57.852800000000002</v>
      </c>
      <c r="J6096">
        <v>-232.86699999999999</v>
      </c>
      <c r="K6096">
        <v>1.109275</v>
      </c>
      <c r="L6096">
        <v>-62.170319999999997</v>
      </c>
      <c r="M6096">
        <v>0.99707369999999995</v>
      </c>
      <c r="N6096">
        <v>0</v>
      </c>
      <c r="O6096">
        <v>7.5545109999999999E-2</v>
      </c>
      <c r="P6096">
        <v>0.98449089999999995</v>
      </c>
      <c r="Q6096">
        <v>-2.9862690000000001E-2</v>
      </c>
      <c r="R6096">
        <v>0.17287569999999999</v>
      </c>
      <c r="S6096">
        <v>2.8854980000000001</v>
      </c>
      <c r="T6096">
        <v>-0.2258686</v>
      </c>
      <c r="U6096">
        <v>0.88198849999999995</v>
      </c>
      <c r="V6096">
        <v>-9.8033990000000001E-2</v>
      </c>
      <c r="W6096">
        <v>-1.805294E-2</v>
      </c>
      <c r="X6096">
        <v>0.99501930000000005</v>
      </c>
      <c r="Y6096">
        <v>-0.2188273</v>
      </c>
      <c r="Z6096">
        <v>2.6081630000000001E-3</v>
      </c>
      <c r="AA6096">
        <v>0.97576010000000002</v>
      </c>
      <c r="AB6096">
        <v>38</v>
      </c>
      <c r="AC6096">
        <v>13.9763</v>
      </c>
      <c r="AD6096">
        <v>-1.109278232052</v>
      </c>
      <c r="AE6096">
        <v>4.3175199999999903</v>
      </c>
      <c r="AF6096">
        <v>-3.23068871114745</v>
      </c>
      <c r="AG6096">
        <v>-1.109278232052</v>
      </c>
      <c r="AH6096">
        <v>14.180996486367601</v>
      </c>
      <c r="AI6096">
        <v>94.361430392287005</v>
      </c>
      <c r="AJ6096">
        <v>102.83397934175601</v>
      </c>
      <c r="AK6096">
        <v>14.5865866154769</v>
      </c>
      <c r="AL6096">
        <v>91.034413473127003</v>
      </c>
      <c r="AM6096">
        <v>95.626890105284801</v>
      </c>
      <c r="AN6096">
        <v>0.99999998960522696</v>
      </c>
    </row>
    <row r="6097" spans="1:40" x14ac:dyDescent="0.3">
      <c r="A6097" t="str">
        <f>"20200111160623965"</f>
        <v>20200111160623965</v>
      </c>
      <c r="B6097" t="str">
        <f>"1578729983958815"</f>
        <v>1578729983958815</v>
      </c>
      <c r="C6097" t="s">
        <v>40</v>
      </c>
      <c r="D6097">
        <v>5.1162070000000002</v>
      </c>
      <c r="E6097">
        <v>0.45354090000000002</v>
      </c>
      <c r="F6097" t="s">
        <v>97</v>
      </c>
      <c r="G6097">
        <v>-218.9333</v>
      </c>
      <c r="H6097" s="1">
        <v>-3.2378269999999998E-6</v>
      </c>
      <c r="I6097">
        <v>-57.923209999999997</v>
      </c>
      <c r="J6097">
        <v>-232.673</v>
      </c>
      <c r="K6097">
        <v>1.109197</v>
      </c>
      <c r="L6097">
        <v>-62.156039999999997</v>
      </c>
      <c r="M6097">
        <v>0.99711280000000002</v>
      </c>
      <c r="N6097">
        <v>0</v>
      </c>
      <c r="O6097">
        <v>7.4992610000000001E-2</v>
      </c>
      <c r="P6097">
        <v>0.98448250000000004</v>
      </c>
      <c r="Q6097">
        <v>-2.9784459999999999E-2</v>
      </c>
      <c r="R6097">
        <v>0.1729368</v>
      </c>
      <c r="S6097">
        <v>2.885818</v>
      </c>
      <c r="T6097">
        <v>-0.22974320000000001</v>
      </c>
      <c r="U6097">
        <v>0.87960819999999995</v>
      </c>
      <c r="V6097">
        <v>-9.8649940000000005E-2</v>
      </c>
      <c r="W6097">
        <v>-1.7726410000000001E-2</v>
      </c>
      <c r="X6097">
        <v>0.99496430000000002</v>
      </c>
      <c r="Y6097">
        <v>-0.21858639999999999</v>
      </c>
      <c r="Z6097">
        <v>2.686E-3</v>
      </c>
      <c r="AA6097">
        <v>0.97581390000000001</v>
      </c>
      <c r="AB6097">
        <v>38</v>
      </c>
      <c r="AC6097">
        <v>13.739699999999999</v>
      </c>
      <c r="AD6097">
        <v>-1.1092002378270001</v>
      </c>
      <c r="AE6097">
        <v>4.2328299999999999</v>
      </c>
      <c r="AF6097">
        <v>-3.17158149832964</v>
      </c>
      <c r="AG6097">
        <v>-1.1092002378270001</v>
      </c>
      <c r="AH6097">
        <v>13.9355094349909</v>
      </c>
      <c r="AI6097">
        <v>94.437864392957593</v>
      </c>
      <c r="AJ6097">
        <v>102.82154614334</v>
      </c>
      <c r="AK6097">
        <v>14.334841386665699</v>
      </c>
      <c r="AL6097">
        <v>91.015701679670897</v>
      </c>
      <c r="AM6097">
        <v>95.662325941054903</v>
      </c>
      <c r="AN6097">
        <v>0.99999999727399003</v>
      </c>
    </row>
    <row r="6098" spans="1:40" x14ac:dyDescent="0.3">
      <c r="A6098" t="str">
        <f>"20200111160623976"</f>
        <v>20200111160623976</v>
      </c>
      <c r="B6098" t="str">
        <f>"1578729983968576"</f>
        <v>1578729983968576</v>
      </c>
      <c r="C6098" t="s">
        <v>40</v>
      </c>
      <c r="D6098">
        <v>4.9738749999999996</v>
      </c>
      <c r="E6098">
        <v>0.45373770000000002</v>
      </c>
      <c r="F6098" t="s">
        <v>97</v>
      </c>
      <c r="G6098">
        <v>-217.6542</v>
      </c>
      <c r="H6098" s="1">
        <v>-2.7603679999999998E-6</v>
      </c>
      <c r="I6098">
        <v>-57.521389999999997</v>
      </c>
      <c r="J6098">
        <v>-232.47900000000001</v>
      </c>
      <c r="K6098">
        <v>1.109118</v>
      </c>
      <c r="L6098">
        <v>-62.141969999999901</v>
      </c>
      <c r="M6098">
        <v>0.99715699999999996</v>
      </c>
      <c r="N6098">
        <v>0</v>
      </c>
      <c r="O6098">
        <v>7.4370820000000004E-2</v>
      </c>
      <c r="P6098">
        <v>0.98451880000000003</v>
      </c>
      <c r="Q6098">
        <v>-3.01412E-2</v>
      </c>
      <c r="R6098">
        <v>0.17266899999999999</v>
      </c>
      <c r="S6098">
        <v>2.8844759999999998</v>
      </c>
      <c r="T6098">
        <v>-0.21302950000000001</v>
      </c>
      <c r="U6098">
        <v>0.89010619999999996</v>
      </c>
      <c r="V6098">
        <v>-9.9004590000000003E-2</v>
      </c>
      <c r="W6098">
        <v>-1.785776E-2</v>
      </c>
      <c r="X6098">
        <v>0.9949268</v>
      </c>
      <c r="Y6098">
        <v>-0.22261210000000001</v>
      </c>
      <c r="Z6098">
        <v>2.6806579999999998E-3</v>
      </c>
      <c r="AA6098">
        <v>0.97490339999999998</v>
      </c>
      <c r="AB6098">
        <v>38</v>
      </c>
      <c r="AC6098">
        <v>14.8248</v>
      </c>
      <c r="AD6098">
        <v>-1.109120760368</v>
      </c>
      <c r="AE6098">
        <v>4.6205799999999897</v>
      </c>
      <c r="AF6098">
        <v>-3.4873770076815598</v>
      </c>
      <c r="AG6098">
        <v>-1.109120760368</v>
      </c>
      <c r="AH6098">
        <v>15.050616559379799</v>
      </c>
      <c r="AI6098">
        <v>94.106259670332406</v>
      </c>
      <c r="AJ6098">
        <v>103.04577805424201</v>
      </c>
      <c r="AK6098">
        <v>15.4891254134074</v>
      </c>
      <c r="AL6098">
        <v>91.023228594409503</v>
      </c>
      <c r="AM6098">
        <v>95.682761990829803</v>
      </c>
      <c r="AN6098">
        <v>1.0000000728957601</v>
      </c>
    </row>
    <row r="6099" spans="1:40" x14ac:dyDescent="0.3">
      <c r="A6099" t="str">
        <f>"20200111160623986"</f>
        <v>20200111160623986</v>
      </c>
      <c r="B6099" t="str">
        <f>"1578729983978337"</f>
        <v>1578729983978337</v>
      </c>
      <c r="C6099" t="s">
        <v>40</v>
      </c>
      <c r="D6099">
        <v>5.0110720000000004</v>
      </c>
      <c r="E6099">
        <v>0.45375910000000003</v>
      </c>
      <c r="F6099" t="s">
        <v>97</v>
      </c>
      <c r="G6099">
        <v>-217.81780000000001</v>
      </c>
      <c r="H6099" s="1">
        <v>-2.8115250000000002E-6</v>
      </c>
      <c r="I6099">
        <v>-57.628610000000002</v>
      </c>
      <c r="J6099">
        <v>-232.3098</v>
      </c>
      <c r="K6099">
        <v>1.109056</v>
      </c>
      <c r="L6099">
        <v>-62.12979</v>
      </c>
      <c r="M6099">
        <v>0.99719619999999998</v>
      </c>
      <c r="N6099">
        <v>0</v>
      </c>
      <c r="O6099">
        <v>7.3813240000000002E-2</v>
      </c>
      <c r="P6099">
        <v>0.98456549999999998</v>
      </c>
      <c r="Q6099">
        <v>-2.9966329999999999E-2</v>
      </c>
      <c r="R6099">
        <v>0.17243249999999999</v>
      </c>
      <c r="S6099">
        <v>2.884735</v>
      </c>
      <c r="T6099">
        <v>-0.21822929999999999</v>
      </c>
      <c r="U6099">
        <v>0.88803099999999902</v>
      </c>
      <c r="V6099">
        <v>-9.9323560000000005E-2</v>
      </c>
      <c r="W6099">
        <v>-1.7491860000000001E-2</v>
      </c>
      <c r="X6099">
        <v>0.99490140000000005</v>
      </c>
      <c r="Y6099">
        <v>-0.22247259999999999</v>
      </c>
      <c r="Z6099">
        <v>2.7816289999999999E-3</v>
      </c>
      <c r="AA6099">
        <v>0.974935</v>
      </c>
      <c r="AB6099">
        <v>38</v>
      </c>
      <c r="AC6099">
        <v>14.4919999999999</v>
      </c>
      <c r="AD6099">
        <v>-1.109058811525</v>
      </c>
      <c r="AE6099">
        <v>4.5011799999999997</v>
      </c>
      <c r="AF6099">
        <v>-3.4009510064983601</v>
      </c>
      <c r="AG6099">
        <v>-1.109058811525</v>
      </c>
      <c r="AH6099">
        <v>14.706181192677899</v>
      </c>
      <c r="AI6099">
        <v>94.202272387201006</v>
      </c>
      <c r="AJ6099">
        <v>103.021309490904</v>
      </c>
      <c r="AK6099">
        <v>15.1350006431416</v>
      </c>
      <c r="AL6099">
        <v>91.002260902603098</v>
      </c>
      <c r="AM6099">
        <v>95.701094719669896</v>
      </c>
      <c r="AN6099">
        <v>0.99999996522964596</v>
      </c>
    </row>
    <row r="6100" spans="1:40" x14ac:dyDescent="0.3">
      <c r="A6100" t="str">
        <f>"20200111160623997"</f>
        <v>20200111160623997</v>
      </c>
      <c r="B6100" t="str">
        <f>"1578729983988098"</f>
        <v>1578729983988098</v>
      </c>
      <c r="C6100" t="s">
        <v>40</v>
      </c>
      <c r="D6100">
        <v>5.1382240000000001</v>
      </c>
      <c r="E6100">
        <v>0.45413310000000001</v>
      </c>
      <c r="F6100" t="s">
        <v>97</v>
      </c>
      <c r="G6100">
        <v>-217.74539999999999</v>
      </c>
      <c r="H6100" s="1">
        <v>-2.7767800000000001E-6</v>
      </c>
      <c r="I6100">
        <v>-57.649430000000002</v>
      </c>
      <c r="J6100">
        <v>-232.11770000000001</v>
      </c>
      <c r="K6100">
        <v>1.108989</v>
      </c>
      <c r="L6100">
        <v>-62.116149999999998</v>
      </c>
      <c r="M6100">
        <v>0.99724409999999997</v>
      </c>
      <c r="N6100">
        <v>0</v>
      </c>
      <c r="O6100">
        <v>7.313335E-2</v>
      </c>
      <c r="P6100">
        <v>0.98467680000000002</v>
      </c>
      <c r="Q6100">
        <v>-2.9885040000000002E-2</v>
      </c>
      <c r="R6100">
        <v>0.1718104</v>
      </c>
      <c r="S6100">
        <v>2.884903</v>
      </c>
      <c r="T6100">
        <v>-0.2196804</v>
      </c>
      <c r="U6100">
        <v>0.887451199999999</v>
      </c>
      <c r="V6100">
        <v>-9.9375749999999999E-2</v>
      </c>
      <c r="W6100">
        <v>-1.7211629999999999E-2</v>
      </c>
      <c r="X6100">
        <v>0.99490109999999998</v>
      </c>
      <c r="Y6100">
        <v>-0.22293389999999999</v>
      </c>
      <c r="Z6100">
        <v>2.867283E-3</v>
      </c>
      <c r="AA6100">
        <v>0.97482930000000001</v>
      </c>
      <c r="AB6100">
        <v>38</v>
      </c>
      <c r="AC6100">
        <v>14.372299999999999</v>
      </c>
      <c r="AD6100">
        <v>-1.1089917767799999</v>
      </c>
      <c r="AE6100">
        <v>4.4667199999999898</v>
      </c>
      <c r="AF6100">
        <v>-3.3852007561511002</v>
      </c>
      <c r="AG6100">
        <v>-1.1089917767799999</v>
      </c>
      <c r="AH6100">
        <v>14.5813296297032</v>
      </c>
      <c r="AI6100">
        <v>94.237032679129399</v>
      </c>
      <c r="AJ6100">
        <v>103.07024715669699</v>
      </c>
      <c r="AK6100">
        <v>15.0101505885342</v>
      </c>
      <c r="AL6100">
        <v>90.986202464280495</v>
      </c>
      <c r="AM6100">
        <v>95.704072344182407</v>
      </c>
      <c r="AN6100">
        <v>0.99999998933826395</v>
      </c>
    </row>
    <row r="6101" spans="1:40" x14ac:dyDescent="0.3">
      <c r="A6101" t="str">
        <f>"20200111160624010"</f>
        <v>20200111160624010</v>
      </c>
      <c r="B6101" t="str">
        <f>"1578729983998833"</f>
        <v>1578729983998833</v>
      </c>
      <c r="C6101" t="s">
        <v>40</v>
      </c>
      <c r="D6101">
        <v>4.9702520000000003</v>
      </c>
      <c r="E6101">
        <v>0.45414080000000001</v>
      </c>
      <c r="F6101" t="s">
        <v>97</v>
      </c>
      <c r="G6101">
        <v>-217.60499999999999</v>
      </c>
      <c r="H6101" s="1">
        <v>-2.7118259999999999E-6</v>
      </c>
      <c r="I6101">
        <v>-57.676209999999998</v>
      </c>
      <c r="J6101">
        <v>-231.92179999999999</v>
      </c>
      <c r="K6101">
        <v>1.1089209999999901</v>
      </c>
      <c r="L6101">
        <v>-62.102420000000002</v>
      </c>
      <c r="M6101">
        <v>0.99729440000000003</v>
      </c>
      <c r="N6101">
        <v>0</v>
      </c>
      <c r="O6101">
        <v>7.2411119999999995E-2</v>
      </c>
      <c r="P6101">
        <v>0.98483030000000005</v>
      </c>
      <c r="Q6101">
        <v>-2.9924929999999999E-2</v>
      </c>
      <c r="R6101">
        <v>0.1709205</v>
      </c>
      <c r="S6101">
        <v>2.8859560000000002</v>
      </c>
      <c r="T6101">
        <v>-0.22053120000000001</v>
      </c>
      <c r="U6101">
        <v>0.88290409999999997</v>
      </c>
      <c r="V6101">
        <v>-9.9199519999999999E-2</v>
      </c>
      <c r="W6101">
        <v>-1.7060390000000002E-2</v>
      </c>
      <c r="X6101">
        <v>0.99492130000000001</v>
      </c>
      <c r="Y6101">
        <v>-0.222133</v>
      </c>
      <c r="Z6101">
        <v>2.9015239999999999E-3</v>
      </c>
      <c r="AA6101">
        <v>0.97501210000000005</v>
      </c>
      <c r="AB6101">
        <v>38</v>
      </c>
      <c r="AC6101">
        <v>14.316800000000001</v>
      </c>
      <c r="AD6101">
        <v>-1.10892371182599</v>
      </c>
      <c r="AE6101">
        <v>4.4262099999999904</v>
      </c>
      <c r="AF6101">
        <v>-3.3594137239892601</v>
      </c>
      <c r="AG6101">
        <v>-1.10892371182599</v>
      </c>
      <c r="AH6101">
        <v>14.5202296264517</v>
      </c>
      <c r="AI6101">
        <v>94.255281290476503</v>
      </c>
      <c r="AJ6101">
        <v>103.026799947662</v>
      </c>
      <c r="AK6101">
        <v>14.944980454067601</v>
      </c>
      <c r="AL6101">
        <v>90.977535770022598</v>
      </c>
      <c r="AM6101">
        <v>95.693908594009699</v>
      </c>
      <c r="AN6101">
        <v>0.99999999743443602</v>
      </c>
    </row>
    <row r="6102" spans="1:40" x14ac:dyDescent="0.3">
      <c r="A6102" t="str">
        <f>"20200111160624020"</f>
        <v>20200111160624020</v>
      </c>
      <c r="B6102" t="str">
        <f>"1578729984018352"</f>
        <v>1578729984018352</v>
      </c>
      <c r="C6102" t="s">
        <v>40</v>
      </c>
      <c r="D6102">
        <v>4.9722970000000002</v>
      </c>
      <c r="E6102">
        <v>0.45458890000000002</v>
      </c>
      <c r="F6102" t="s">
        <v>97</v>
      </c>
      <c r="G6102">
        <v>-217.40459999999999</v>
      </c>
      <c r="H6102" s="1">
        <v>-2.6260590000000001E-6</v>
      </c>
      <c r="I6102">
        <v>-57.67501</v>
      </c>
      <c r="J6102">
        <v>-231.7354</v>
      </c>
      <c r="K6102">
        <v>1.1088639999999901</v>
      </c>
      <c r="L6102">
        <v>-62.089480000000002</v>
      </c>
      <c r="M6102">
        <v>0.99734420000000001</v>
      </c>
      <c r="N6102">
        <v>0</v>
      </c>
      <c r="O6102">
        <v>7.169586E-2</v>
      </c>
      <c r="P6102">
        <v>0.98501559999999999</v>
      </c>
      <c r="Q6102">
        <v>-2.9738150000000001E-2</v>
      </c>
      <c r="R6102">
        <v>0.1698828</v>
      </c>
      <c r="S6102">
        <v>2.8867189999999998</v>
      </c>
      <c r="T6102">
        <v>-0.2205075</v>
      </c>
      <c r="U6102">
        <v>0.88037109999999996</v>
      </c>
      <c r="V6102">
        <v>-9.8866140000000005E-2</v>
      </c>
      <c r="W6102">
        <v>-1.6702990000000001E-2</v>
      </c>
      <c r="X6102">
        <v>0.99496050000000003</v>
      </c>
      <c r="Y6102">
        <v>-0.22197610000000001</v>
      </c>
      <c r="Z6102">
        <v>2.9479049999999998E-3</v>
      </c>
      <c r="AA6102">
        <v>0.97504760000000001</v>
      </c>
      <c r="AB6102">
        <v>38</v>
      </c>
      <c r="AC6102">
        <v>14.3308</v>
      </c>
      <c r="AD6102">
        <v>-1.1088666260590001</v>
      </c>
      <c r="AE6102">
        <v>4.4144699999999997</v>
      </c>
      <c r="AF6102">
        <v>-3.3572062383407899</v>
      </c>
      <c r="AG6102">
        <v>-1.1088666260590001</v>
      </c>
      <c r="AH6102">
        <v>14.5309805189173</v>
      </c>
      <c r="AI6102">
        <v>94.252226838548495</v>
      </c>
      <c r="AJ6102">
        <v>103.009227525931</v>
      </c>
      <c r="AK6102">
        <v>14.954926070104699</v>
      </c>
      <c r="AL6102">
        <v>90.957055385047497</v>
      </c>
      <c r="AM6102">
        <v>95.674676051962194</v>
      </c>
      <c r="AN6102">
        <v>0.99999995003684305</v>
      </c>
    </row>
    <row r="6103" spans="1:40" x14ac:dyDescent="0.3">
      <c r="A6103" t="str">
        <f>"20200111160624031"</f>
        <v>20200111160624031</v>
      </c>
      <c r="B6103" t="str">
        <f>"1578729984028112"</f>
        <v>1578729984028112</v>
      </c>
      <c r="C6103" t="s">
        <v>40</v>
      </c>
      <c r="D6103">
        <v>5.0764459999999998</v>
      </c>
      <c r="E6103">
        <v>0.45444899999999999</v>
      </c>
      <c r="F6103" t="s">
        <v>97</v>
      </c>
      <c r="G6103">
        <v>-217.66730000000001</v>
      </c>
      <c r="H6103" s="1">
        <v>-2.711154E-6</v>
      </c>
      <c r="I6103">
        <v>-57.830649999999999</v>
      </c>
      <c r="J6103">
        <v>-231.55940000000001</v>
      </c>
      <c r="K6103">
        <v>1.1088129999999901</v>
      </c>
      <c r="L6103">
        <v>-62.077419999999996</v>
      </c>
      <c r="M6103">
        <v>0.99739310000000003</v>
      </c>
      <c r="N6103">
        <v>0</v>
      </c>
      <c r="O6103">
        <v>7.0988579999999996E-2</v>
      </c>
      <c r="P6103">
        <v>0.98522220000000005</v>
      </c>
      <c r="Q6103">
        <v>-2.9670559999999999E-2</v>
      </c>
      <c r="R6103">
        <v>0.1686917</v>
      </c>
      <c r="S6103">
        <v>2.887985</v>
      </c>
      <c r="T6103">
        <v>-0.22763530000000001</v>
      </c>
      <c r="U6103">
        <v>0.87426759999999903</v>
      </c>
      <c r="V6103">
        <v>-9.8370700000000005E-2</v>
      </c>
      <c r="W6103">
        <v>-1.648788E-2</v>
      </c>
      <c r="X6103">
        <v>0.99501320000000004</v>
      </c>
      <c r="Y6103">
        <v>-0.2206369</v>
      </c>
      <c r="Z6103">
        <v>3.0449600000000002E-3</v>
      </c>
      <c r="AA6103">
        <v>0.97535130000000003</v>
      </c>
      <c r="AB6103">
        <v>38</v>
      </c>
      <c r="AC6103">
        <v>13.892099999999999</v>
      </c>
      <c r="AD6103">
        <v>-1.10881571115399</v>
      </c>
      <c r="AE6103">
        <v>4.2467699999999899</v>
      </c>
      <c r="AF6103">
        <v>-3.2309668380525198</v>
      </c>
      <c r="AG6103">
        <v>-1.10881571115399</v>
      </c>
      <c r="AH6103">
        <v>14.0765311856442</v>
      </c>
      <c r="AI6103">
        <v>94.390220777540705</v>
      </c>
      <c r="AJ6103">
        <v>102.927110968645</v>
      </c>
      <c r="AK6103">
        <v>14.4850733242987</v>
      </c>
      <c r="AL6103">
        <v>90.944728785638901</v>
      </c>
      <c r="AM6103">
        <v>95.646126093174402</v>
      </c>
      <c r="AN6103">
        <v>0.99999995648981099</v>
      </c>
    </row>
    <row r="6104" spans="1:40" x14ac:dyDescent="0.3">
      <c r="A6104" t="str">
        <f>"20200111160624041"</f>
        <v>20200111160624041</v>
      </c>
      <c r="B6104" t="str">
        <f>"1578729984038848"</f>
        <v>1578729984038848</v>
      </c>
      <c r="C6104" t="s">
        <v>40</v>
      </c>
      <c r="D6104">
        <v>4.9936119999999997</v>
      </c>
      <c r="E6104">
        <v>0.45447579999999999</v>
      </c>
      <c r="F6104" t="s">
        <v>97</v>
      </c>
      <c r="G6104">
        <v>-217.5556</v>
      </c>
      <c r="H6104" s="1">
        <v>-2.659772E-6</v>
      </c>
      <c r="I6104">
        <v>-57.850059999999999</v>
      </c>
      <c r="J6104">
        <v>-231.37209999999999</v>
      </c>
      <c r="K6104">
        <v>1.108765</v>
      </c>
      <c r="L6104">
        <v>-62.064700000000002</v>
      </c>
      <c r="M6104">
        <v>0.99744549999999998</v>
      </c>
      <c r="N6104">
        <v>0</v>
      </c>
      <c r="O6104">
        <v>7.0221779999999998E-2</v>
      </c>
      <c r="P6104">
        <v>0.98546529999999999</v>
      </c>
      <c r="Q6104">
        <v>-2.9750349999999998E-2</v>
      </c>
      <c r="R6104">
        <v>0.16725209999999999</v>
      </c>
      <c r="S6104">
        <v>2.8888090000000002</v>
      </c>
      <c r="T6104">
        <v>-0.22873470000000001</v>
      </c>
      <c r="U6104">
        <v>0.87203980000000003</v>
      </c>
      <c r="V6104">
        <v>-9.7684229999999997E-2</v>
      </c>
      <c r="W6104">
        <v>-1.641716E-2</v>
      </c>
      <c r="X6104">
        <v>0.99508200000000002</v>
      </c>
      <c r="Y6104">
        <v>-0.220614</v>
      </c>
      <c r="Z6104">
        <v>3.1170849999999999E-3</v>
      </c>
      <c r="AA6104">
        <v>0.97535620000000001</v>
      </c>
      <c r="AB6104">
        <v>38</v>
      </c>
      <c r="AC6104">
        <v>13.8164999999999</v>
      </c>
      <c r="AD6104">
        <v>-1.108767659772</v>
      </c>
      <c r="AE6104">
        <v>4.2146400000000002</v>
      </c>
      <c r="AF6104">
        <v>-3.21498968650763</v>
      </c>
      <c r="AG6104">
        <v>-1.108767659772</v>
      </c>
      <c r="AH6104">
        <v>13.9959112723174</v>
      </c>
      <c r="AI6104">
        <v>94.415046009896002</v>
      </c>
      <c r="AJ6104">
        <v>102.936939419487</v>
      </c>
      <c r="AK6104">
        <v>14.403161345700701</v>
      </c>
      <c r="AL6104">
        <v>90.940676276749599</v>
      </c>
      <c r="AM6104">
        <v>95.606591919218204</v>
      </c>
      <c r="AN6104">
        <v>0.99999995932857799</v>
      </c>
    </row>
    <row r="6105" spans="1:40" x14ac:dyDescent="0.3">
      <c r="A6105" t="str">
        <f>"20200111160624053"</f>
        <v>20200111160624053</v>
      </c>
      <c r="B6105" t="str">
        <f>"1578729984048610"</f>
        <v>1578729984048610</v>
      </c>
      <c r="C6105" t="s">
        <v>40</v>
      </c>
      <c r="D6105">
        <v>4.9923570000000002</v>
      </c>
      <c r="E6105">
        <v>0.45443990000000001</v>
      </c>
      <c r="F6105" t="s">
        <v>97</v>
      </c>
      <c r="G6105">
        <v>-217.45419999999999</v>
      </c>
      <c r="H6105" s="1">
        <v>-2.6099089999999998E-6</v>
      </c>
      <c r="I6105">
        <v>-57.885919999999999</v>
      </c>
      <c r="J6105">
        <v>-231.17769999999999</v>
      </c>
      <c r="K6105">
        <v>1.108719</v>
      </c>
      <c r="L6105">
        <v>-62.051789999999997</v>
      </c>
      <c r="M6105">
        <v>0.99750209999999995</v>
      </c>
      <c r="N6105">
        <v>0</v>
      </c>
      <c r="O6105">
        <v>6.9390389999999996E-2</v>
      </c>
      <c r="P6105">
        <v>0.98574410000000001</v>
      </c>
      <c r="Q6105">
        <v>-3.0106569999999999E-2</v>
      </c>
      <c r="R6105">
        <v>0.16553699999999999</v>
      </c>
      <c r="S6105">
        <v>2.8900450000000002</v>
      </c>
      <c r="T6105">
        <v>-0.23023469999999999</v>
      </c>
      <c r="U6105">
        <v>0.86770630000000004</v>
      </c>
      <c r="V6105">
        <v>-9.67861E-2</v>
      </c>
      <c r="W6105">
        <v>-1.663423E-2</v>
      </c>
      <c r="X6105">
        <v>0.9951662</v>
      </c>
      <c r="Y6105">
        <v>-0.2199643</v>
      </c>
      <c r="Z6105">
        <v>3.1757420000000001E-3</v>
      </c>
      <c r="AA6105">
        <v>0.97550269999999994</v>
      </c>
      <c r="AB6105">
        <v>38</v>
      </c>
      <c r="AC6105">
        <v>13.7235</v>
      </c>
      <c r="AD6105">
        <v>-1.108721609909</v>
      </c>
      <c r="AE6105">
        <v>4.16587</v>
      </c>
      <c r="AF6105">
        <v>-3.1844334204612799</v>
      </c>
      <c r="AG6105">
        <v>-1.108721609909</v>
      </c>
      <c r="AH6105">
        <v>13.896461664603001</v>
      </c>
      <c r="AI6105">
        <v>94.446867637226305</v>
      </c>
      <c r="AJ6105">
        <v>102.906733410795</v>
      </c>
      <c r="AK6105">
        <v>14.299703724672501</v>
      </c>
      <c r="AL6105">
        <v>90.953115126107093</v>
      </c>
      <c r="AM6105">
        <v>95.554900551688306</v>
      </c>
      <c r="AN6105">
        <v>1.0000000061916701</v>
      </c>
    </row>
    <row r="6106" spans="1:40" x14ac:dyDescent="0.3">
      <c r="A6106" t="str">
        <f>"20200111160624065"</f>
        <v>20200111160624065</v>
      </c>
      <c r="B6106" t="str">
        <f>"1578729984058368"</f>
        <v>1578729984058368</v>
      </c>
      <c r="C6106" t="s">
        <v>40</v>
      </c>
      <c r="D6106">
        <v>5.0089709999999998</v>
      </c>
      <c r="E6106">
        <v>0.4543141</v>
      </c>
      <c r="F6106" t="s">
        <v>97</v>
      </c>
      <c r="G6106">
        <v>-217.40880000000001</v>
      </c>
      <c r="H6106" s="1">
        <v>-2.5805889999999998E-6</v>
      </c>
      <c r="I6106">
        <v>-57.9413699999999</v>
      </c>
      <c r="J6106">
        <v>-230.98910000000001</v>
      </c>
      <c r="K6106">
        <v>1.1086750000000001</v>
      </c>
      <c r="L6106">
        <v>-62.03931</v>
      </c>
      <c r="M6106">
        <v>0.99755689999999997</v>
      </c>
      <c r="N6106">
        <v>0</v>
      </c>
      <c r="O6106">
        <v>6.8575029999999995E-2</v>
      </c>
      <c r="P6106">
        <v>0.98603430000000003</v>
      </c>
      <c r="Q6106">
        <v>-3.0308000000000002E-2</v>
      </c>
      <c r="R6106">
        <v>0.16376199999999999</v>
      </c>
      <c r="S6106">
        <v>2.891327</v>
      </c>
      <c r="T6106">
        <v>-0.2328191</v>
      </c>
      <c r="U6106">
        <v>0.86312869999999997</v>
      </c>
      <c r="V6106">
        <v>-9.5810790000000007E-2</v>
      </c>
      <c r="W6106">
        <v>-1.6705390000000001E-2</v>
      </c>
      <c r="X6106">
        <v>0.99525940000000002</v>
      </c>
      <c r="Y6106">
        <v>-0.21921489999999999</v>
      </c>
      <c r="Z6106">
        <v>3.2447940000000001E-3</v>
      </c>
      <c r="AA6106">
        <v>0.97567119999999996</v>
      </c>
      <c r="AB6106">
        <v>38</v>
      </c>
      <c r="AC6106">
        <v>13.5802999999999</v>
      </c>
      <c r="AD6106">
        <v>-1.1086775805889999</v>
      </c>
      <c r="AE6106">
        <v>4.0979400000000004</v>
      </c>
      <c r="AF6106">
        <v>-3.1377718296261401</v>
      </c>
      <c r="AG6106">
        <v>-1.1086775805889999</v>
      </c>
      <c r="AH6106">
        <v>13.7454014069772</v>
      </c>
      <c r="AI6106">
        <v>94.496213910344395</v>
      </c>
      <c r="AJ6106">
        <v>102.859019448247</v>
      </c>
      <c r="AK6106">
        <v>14.142518795159001</v>
      </c>
      <c r="AL6106">
        <v>90.957192841958701</v>
      </c>
      <c r="AM6106">
        <v>95.498757080141303</v>
      </c>
      <c r="AN6106">
        <v>1.0000000254119099</v>
      </c>
    </row>
    <row r="6107" spans="1:40" x14ac:dyDescent="0.3">
      <c r="A6107" t="str">
        <f>"20200111160624075"</f>
        <v>20200111160624075</v>
      </c>
      <c r="B6107" t="str">
        <f>"1578729984068127"</f>
        <v>1578729984068127</v>
      </c>
      <c r="C6107" t="s">
        <v>40</v>
      </c>
      <c r="D6107">
        <v>4.9983149999999998</v>
      </c>
      <c r="E6107">
        <v>0.45411940000000001</v>
      </c>
      <c r="F6107" t="s">
        <v>97</v>
      </c>
      <c r="G6107">
        <v>-217.31319999999999</v>
      </c>
      <c r="H6107" s="1">
        <v>-2.5330869999999998E-6</v>
      </c>
      <c r="I6107">
        <v>-57.978140000000003</v>
      </c>
      <c r="J6107">
        <v>-230.80019999999999</v>
      </c>
      <c r="K6107">
        <v>1.108641</v>
      </c>
      <c r="L6107">
        <v>-62.027099999999997</v>
      </c>
      <c r="M6107">
        <v>0.99761290000000002</v>
      </c>
      <c r="N6107">
        <v>0</v>
      </c>
      <c r="O6107">
        <v>6.7733489999999993E-2</v>
      </c>
      <c r="P6107">
        <v>0.98633559999999998</v>
      </c>
      <c r="Q6107">
        <v>-3.0621160000000001E-2</v>
      </c>
      <c r="R6107">
        <v>0.16187789999999999</v>
      </c>
      <c r="S6107">
        <v>2.8926240000000001</v>
      </c>
      <c r="T6107">
        <v>-0.23450019999999999</v>
      </c>
      <c r="U6107">
        <v>0.85897829999999997</v>
      </c>
      <c r="V6107">
        <v>-9.4752110000000001E-2</v>
      </c>
      <c r="W6107">
        <v>-1.6903049999999999E-2</v>
      </c>
      <c r="X6107">
        <v>0.99535739999999995</v>
      </c>
      <c r="Y6107">
        <v>-0.21862480000000001</v>
      </c>
      <c r="Z6107">
        <v>3.3101879999999999E-3</v>
      </c>
      <c r="AA6107">
        <v>0.97580339999999999</v>
      </c>
      <c r="AB6107">
        <v>38</v>
      </c>
      <c r="AC6107">
        <v>13.486999999999901</v>
      </c>
      <c r="AD6107">
        <v>-1.1086435330869999</v>
      </c>
      <c r="AE6107">
        <v>4.0489599999999903</v>
      </c>
      <c r="AF6107">
        <v>-3.1067985448741502</v>
      </c>
      <c r="AG6107">
        <v>-1.1086435330869999</v>
      </c>
      <c r="AH6107">
        <v>13.6457149125703</v>
      </c>
      <c r="AI6107">
        <v>94.5293741721527</v>
      </c>
      <c r="AJ6107">
        <v>102.82622216320399</v>
      </c>
      <c r="AK6107">
        <v>14.0387614538118</v>
      </c>
      <c r="AL6107">
        <v>90.968519535285907</v>
      </c>
      <c r="AM6107">
        <v>95.437831548927093</v>
      </c>
      <c r="AN6107">
        <v>1.00000001459175</v>
      </c>
    </row>
    <row r="6108" spans="1:40" x14ac:dyDescent="0.3">
      <c r="A6108" t="str">
        <f>"20200111160624087"</f>
        <v>20200111160624087</v>
      </c>
      <c r="B6108" t="str">
        <f>"1578729984078863"</f>
        <v>1578729984078863</v>
      </c>
      <c r="C6108" t="s">
        <v>40</v>
      </c>
      <c r="D6108">
        <v>5.1429799999999997</v>
      </c>
      <c r="E6108">
        <v>0.45376379999999999</v>
      </c>
      <c r="F6108" t="s">
        <v>97</v>
      </c>
      <c r="G6108">
        <v>-217.18520000000001</v>
      </c>
      <c r="H6108" s="1">
        <v>-2.4735110000000002E-6</v>
      </c>
      <c r="I6108">
        <v>-58.0043199999999</v>
      </c>
      <c r="J6108">
        <v>-230.61709999999999</v>
      </c>
      <c r="K6108">
        <v>1.1086020000000001</v>
      </c>
      <c r="L6108">
        <v>-62.015320000000003</v>
      </c>
      <c r="M6108">
        <v>0.99766699999999997</v>
      </c>
      <c r="N6108">
        <v>0</v>
      </c>
      <c r="O6108">
        <v>6.6911090000000006E-2</v>
      </c>
      <c r="P6108">
        <v>0.98669030000000002</v>
      </c>
      <c r="Q6108">
        <v>-3.0767679999999999E-2</v>
      </c>
      <c r="R6108">
        <v>0.15967379999999901</v>
      </c>
      <c r="S6108">
        <v>2.8939210000000002</v>
      </c>
      <c r="T6108">
        <v>-0.23564570000000001</v>
      </c>
      <c r="U6108">
        <v>0.85504150000000001</v>
      </c>
      <c r="V6108">
        <v>-9.3351329999999996E-2</v>
      </c>
      <c r="W6108">
        <v>-1.6943360000000001E-2</v>
      </c>
      <c r="X6108">
        <v>0.99548910000000002</v>
      </c>
      <c r="Y6108">
        <v>-0.2180841</v>
      </c>
      <c r="Z6108">
        <v>3.3689589999999999E-3</v>
      </c>
      <c r="AA6108">
        <v>0.97592420000000002</v>
      </c>
      <c r="AB6108">
        <v>38</v>
      </c>
      <c r="AC6108">
        <v>13.431899999999899</v>
      </c>
      <c r="AD6108">
        <v>-1.1086044735109899</v>
      </c>
      <c r="AE6108">
        <v>4.0110000000000001</v>
      </c>
      <c r="AF6108">
        <v>-3.0838961941610101</v>
      </c>
      <c r="AG6108">
        <v>-1.1086044735109899</v>
      </c>
      <c r="AH6108">
        <v>13.5852311039152</v>
      </c>
      <c r="AI6108">
        <v>94.549953948408501</v>
      </c>
      <c r="AJ6108">
        <v>102.78960202133401</v>
      </c>
      <c r="AK6108">
        <v>13.9749033542932</v>
      </c>
      <c r="AL6108">
        <v>90.970829426253701</v>
      </c>
      <c r="AM6108">
        <v>95.357207278774794</v>
      </c>
      <c r="AN6108">
        <v>1.0000000482398299</v>
      </c>
    </row>
    <row r="6109" spans="1:40" x14ac:dyDescent="0.3">
      <c r="A6109" t="str">
        <f>"20200111160624098"</f>
        <v>20200111160624098</v>
      </c>
      <c r="B6109" t="str">
        <f>"1578729984088624"</f>
        <v>1578729984088624</v>
      </c>
      <c r="C6109" t="s">
        <v>40</v>
      </c>
      <c r="D6109">
        <v>5.0336290000000004</v>
      </c>
      <c r="E6109">
        <v>0.45366610000000002</v>
      </c>
      <c r="F6109" t="s">
        <v>97</v>
      </c>
      <c r="G6109">
        <v>-217.02619999999999</v>
      </c>
      <c r="H6109" s="1">
        <v>-2.4028000000000001E-6</v>
      </c>
      <c r="I6109">
        <v>-58.018529999999998</v>
      </c>
      <c r="J6109">
        <v>-230.43020000000001</v>
      </c>
      <c r="K6109">
        <v>1.1085719999999999</v>
      </c>
      <c r="L6109">
        <v>-62.003540000000001</v>
      </c>
      <c r="M6109">
        <v>0.99772249999999996</v>
      </c>
      <c r="N6109">
        <v>0</v>
      </c>
      <c r="O6109">
        <v>6.6058790000000006E-2</v>
      </c>
      <c r="P6109">
        <v>0.98706110000000002</v>
      </c>
      <c r="Q6109">
        <v>-3.1259380000000003E-2</v>
      </c>
      <c r="R6109">
        <v>0.1572694</v>
      </c>
      <c r="S6109">
        <v>2.8953090000000001</v>
      </c>
      <c r="T6109">
        <v>-0.23617070000000001</v>
      </c>
      <c r="U6109">
        <v>0.85144039999999999</v>
      </c>
      <c r="V6109">
        <v>-9.1780819999999999E-2</v>
      </c>
      <c r="W6109">
        <v>-1.7337290000000002E-2</v>
      </c>
      <c r="X6109">
        <v>0.99562830000000002</v>
      </c>
      <c r="Y6109">
        <v>-0.21767039999999999</v>
      </c>
      <c r="Z6109">
        <v>3.4264569999999999E-3</v>
      </c>
      <c r="AA6109">
        <v>0.97601629999999995</v>
      </c>
      <c r="AB6109">
        <v>37</v>
      </c>
      <c r="AC6109">
        <v>13.404</v>
      </c>
      <c r="AD6109">
        <v>-1.1085744028</v>
      </c>
      <c r="AE6109">
        <v>3.9850099999999902</v>
      </c>
      <c r="AF6109">
        <v>-3.0714667215357299</v>
      </c>
      <c r="AG6109">
        <v>-1.1085744028</v>
      </c>
      <c r="AH6109">
        <v>13.552812104817001</v>
      </c>
      <c r="AI6109">
        <v>94.561035132397606</v>
      </c>
      <c r="AJ6109">
        <v>102.769215873668</v>
      </c>
      <c r="AK6109">
        <v>13.9406442095234</v>
      </c>
      <c r="AL6109">
        <v>90.993403309784398</v>
      </c>
      <c r="AM6109">
        <v>95.266858481122696</v>
      </c>
      <c r="AN6109">
        <v>1.0000000061526499</v>
      </c>
    </row>
    <row r="6110" spans="1:40" x14ac:dyDescent="0.3">
      <c r="A6110" t="str">
        <f>"20200111160624109"</f>
        <v>20200111160624109</v>
      </c>
      <c r="B6110" t="str">
        <f>"1578729984098384"</f>
        <v>1578729984098384</v>
      </c>
      <c r="C6110" t="s">
        <v>40</v>
      </c>
      <c r="D6110">
        <v>4.999555</v>
      </c>
      <c r="E6110">
        <v>0.45417099999999999</v>
      </c>
      <c r="F6110" t="s">
        <v>97</v>
      </c>
      <c r="G6110">
        <v>-216.9821</v>
      </c>
      <c r="H6110" s="1">
        <v>-2.3730910000000002E-6</v>
      </c>
      <c r="I6110">
        <v>-58.079360000000001</v>
      </c>
      <c r="J6110">
        <v>-230.25450000000001</v>
      </c>
      <c r="K6110">
        <v>1.10854599999999</v>
      </c>
      <c r="L6110">
        <v>-61.992579999999997</v>
      </c>
      <c r="M6110">
        <v>0.99777450000000001</v>
      </c>
      <c r="N6110">
        <v>0</v>
      </c>
      <c r="O6110">
        <v>6.525193E-2</v>
      </c>
      <c r="P6110">
        <v>0.98738649999999994</v>
      </c>
      <c r="Q6110">
        <v>-3.1778559999999997E-2</v>
      </c>
      <c r="R6110">
        <v>0.15510639999999901</v>
      </c>
      <c r="S6110">
        <v>2.8970950000000002</v>
      </c>
      <c r="T6110">
        <v>-0.2388189</v>
      </c>
      <c r="U6110">
        <v>0.84536739999999999</v>
      </c>
      <c r="V6110">
        <v>-9.0408489999999994E-2</v>
      </c>
      <c r="W6110">
        <v>-1.77708E-2</v>
      </c>
      <c r="X6110">
        <v>0.99574620000000003</v>
      </c>
      <c r="Y6110">
        <v>-0.2164034</v>
      </c>
      <c r="Z6110">
        <v>3.4771810000000002E-3</v>
      </c>
      <c r="AA6110">
        <v>0.97629790000000005</v>
      </c>
      <c r="AB6110">
        <v>37</v>
      </c>
      <c r="AC6110">
        <v>13.272399999999999</v>
      </c>
      <c r="AD6110">
        <v>-1.10854837309099</v>
      </c>
      <c r="AE6110">
        <v>3.9132199999999999</v>
      </c>
      <c r="AF6110">
        <v>-3.0193687085135901</v>
      </c>
      <c r="AG6110">
        <v>-1.10854837309099</v>
      </c>
      <c r="AH6110">
        <v>13.4133890799611</v>
      </c>
      <c r="AI6110">
        <v>94.609640364597794</v>
      </c>
      <c r="AJ6110">
        <v>102.685897147907</v>
      </c>
      <c r="AK6110">
        <v>13.7936388782603</v>
      </c>
      <c r="AL6110">
        <v>91.018245441719998</v>
      </c>
      <c r="AM6110">
        <v>95.187929159759193</v>
      </c>
      <c r="AN6110">
        <v>0.99999999560557995</v>
      </c>
    </row>
    <row r="6111" spans="1:40" x14ac:dyDescent="0.3">
      <c r="A6111" t="str">
        <f>"20200111160624120"</f>
        <v>20200111160624120</v>
      </c>
      <c r="B6111" t="str">
        <f>"1578729984108144"</f>
        <v>1578729984108144</v>
      </c>
      <c r="C6111" t="s">
        <v>40</v>
      </c>
      <c r="D6111">
        <v>5.3013070000000004</v>
      </c>
      <c r="E6111">
        <v>0.45417099999999999</v>
      </c>
      <c r="F6111" t="s">
        <v>97</v>
      </c>
      <c r="G6111">
        <v>-216.92070000000001</v>
      </c>
      <c r="H6111" s="1">
        <v>-2.333922E-6</v>
      </c>
      <c r="I6111">
        <v>-58.151530000000001</v>
      </c>
      <c r="J6111">
        <v>-230.0547</v>
      </c>
      <c r="K6111">
        <v>1.1085210000000001</v>
      </c>
      <c r="L6111">
        <v>-61.980319999999899</v>
      </c>
      <c r="M6111">
        <v>0.99783330000000003</v>
      </c>
      <c r="N6111">
        <v>0</v>
      </c>
      <c r="O6111">
        <v>6.4327300000000004E-2</v>
      </c>
      <c r="P6111">
        <v>0.98769600000000002</v>
      </c>
      <c r="Q6111">
        <v>-3.2296610000000003E-2</v>
      </c>
      <c r="R6111">
        <v>0.1530145</v>
      </c>
      <c r="S6111">
        <v>2.899384</v>
      </c>
      <c r="T6111">
        <v>-0.24104819999999999</v>
      </c>
      <c r="U6111">
        <v>0.83520509999999903</v>
      </c>
      <c r="V6111">
        <v>-8.92263999999999E-2</v>
      </c>
      <c r="W6111">
        <v>-1.8197680000000001E-2</v>
      </c>
      <c r="X6111">
        <v>0.99584510000000004</v>
      </c>
      <c r="Y6111">
        <v>-0.2139394</v>
      </c>
      <c r="Z6111">
        <v>3.4829409999999998E-3</v>
      </c>
      <c r="AA6111">
        <v>0.97684070000000001</v>
      </c>
      <c r="AB6111">
        <v>37</v>
      </c>
      <c r="AC6111">
        <v>13.133999999999901</v>
      </c>
      <c r="AD6111">
        <v>-1.108523333922</v>
      </c>
      <c r="AE6111">
        <v>3.8287899999999802</v>
      </c>
      <c r="AF6111">
        <v>-2.95649209517829</v>
      </c>
      <c r="AG6111">
        <v>-1.108523333922</v>
      </c>
      <c r="AH6111">
        <v>13.2660125528612</v>
      </c>
      <c r="AI6111">
        <v>94.662737458632805</v>
      </c>
      <c r="AJ6111">
        <v>102.563742776845</v>
      </c>
      <c r="AK6111">
        <v>13.636596296120601</v>
      </c>
      <c r="AL6111">
        <v>91.042707832133402</v>
      </c>
      <c r="AM6111">
        <v>95.119954186197603</v>
      </c>
      <c r="AN6111">
        <v>0.99999998460417605</v>
      </c>
    </row>
    <row r="6112" spans="1:40" x14ac:dyDescent="0.3">
      <c r="A6112" t="str">
        <f>"20200111160624187"</f>
        <v>20200111160624187</v>
      </c>
      <c r="B6112" t="str">
        <f>"1578729984178415"</f>
        <v>1578729984178415</v>
      </c>
      <c r="C6112" t="s">
        <v>40</v>
      </c>
      <c r="D6112">
        <v>5.0749690000000003</v>
      </c>
      <c r="E6112">
        <v>0.51104609999999995</v>
      </c>
      <c r="F6112" t="s">
        <v>97</v>
      </c>
      <c r="G6112">
        <v>-216.79660000000001</v>
      </c>
      <c r="H6112" s="1">
        <v>-2.2736659999999998E-6</v>
      </c>
      <c r="I6112">
        <v>-58.191249999999997</v>
      </c>
      <c r="J6112">
        <v>-228.94409999999999</v>
      </c>
      <c r="K6112">
        <v>1.10843799999999</v>
      </c>
      <c r="L6112">
        <v>-61.915559999999999</v>
      </c>
      <c r="M6112">
        <v>0.99815010000000004</v>
      </c>
      <c r="N6112">
        <v>0</v>
      </c>
      <c r="O6112">
        <v>5.9118829999999997E-2</v>
      </c>
      <c r="P6112">
        <v>0.98888319999999996</v>
      </c>
      <c r="Q6112">
        <v>-3.5905550000000001E-2</v>
      </c>
      <c r="R6112">
        <v>0.14429510000000001</v>
      </c>
      <c r="S6112">
        <v>2.9010009999999999</v>
      </c>
      <c r="T6112">
        <v>-0.24255570000000001</v>
      </c>
      <c r="U6112">
        <v>0.829070999999999</v>
      </c>
      <c r="V6112">
        <v>-8.5664180000000006E-2</v>
      </c>
      <c r="W6112">
        <v>-2.1420069999999999E-2</v>
      </c>
      <c r="X6112">
        <v>0.99609380000000003</v>
      </c>
      <c r="Y6112">
        <v>-0.2169499</v>
      </c>
      <c r="Z6112">
        <v>4.0506769999999999E-3</v>
      </c>
      <c r="AA6112">
        <v>0.9761744</v>
      </c>
      <c r="AB6112">
        <v>37</v>
      </c>
      <c r="AC6112">
        <v>12.1474999999999</v>
      </c>
      <c r="AD6112">
        <v>-1.10844027366599</v>
      </c>
      <c r="AE6112">
        <v>3.72431</v>
      </c>
      <c r="AF6112">
        <v>-2.9769194491390301</v>
      </c>
      <c r="AG6112">
        <v>-1.10844027366599</v>
      </c>
      <c r="AH6112">
        <v>12.2531907354895</v>
      </c>
      <c r="AI6112">
        <v>95.023631118563102</v>
      </c>
      <c r="AJ6112">
        <v>103.655472883879</v>
      </c>
      <c r="AK6112">
        <v>12.658253135691099</v>
      </c>
      <c r="AL6112">
        <v>91.227373459079402</v>
      </c>
      <c r="AM6112">
        <v>94.915349350670496</v>
      </c>
      <c r="AN6112">
        <v>1.0000000147661501</v>
      </c>
    </row>
    <row r="6113" spans="1:40" x14ac:dyDescent="0.3">
      <c r="A6113" t="str">
        <f>"20200111160624198"</f>
        <v>20200111160624198</v>
      </c>
      <c r="B6113" t="str">
        <f>"1578729984188176"</f>
        <v>1578729984188176</v>
      </c>
      <c r="C6113" t="s">
        <v>40</v>
      </c>
      <c r="D6113">
        <v>5.0446019999999896</v>
      </c>
      <c r="E6113">
        <v>0.51929250000000005</v>
      </c>
      <c r="F6113" t="s">
        <v>97</v>
      </c>
      <c r="G6113">
        <v>-215.66990000000001</v>
      </c>
      <c r="H6113" s="1">
        <v>-1.409552E-6</v>
      </c>
      <c r="I6113">
        <v>-60.337690000000002</v>
      </c>
      <c r="J6113">
        <v>-228.76130000000001</v>
      </c>
      <c r="K6113">
        <v>1.108436</v>
      </c>
      <c r="L6113">
        <v>-61.905459999999998</v>
      </c>
      <c r="M6113">
        <v>0.99819999999999998</v>
      </c>
      <c r="N6113">
        <v>0</v>
      </c>
      <c r="O6113">
        <v>5.82581E-2</v>
      </c>
      <c r="P6113">
        <v>0.98895200000000005</v>
      </c>
      <c r="Q6113">
        <v>-3.6462340000000003E-2</v>
      </c>
      <c r="R6113">
        <v>0.1436828</v>
      </c>
      <c r="S6113">
        <v>2.9731290000000001</v>
      </c>
      <c r="T6113">
        <v>-0.2482654</v>
      </c>
      <c r="U6113">
        <v>0.35339359999999997</v>
      </c>
      <c r="V6113">
        <v>-8.5909739999999998E-2</v>
      </c>
      <c r="W6113">
        <v>-2.192734E-2</v>
      </c>
      <c r="X6113">
        <v>0.99606159999999999</v>
      </c>
      <c r="Y6113">
        <v>-5.9968359999999998E-2</v>
      </c>
      <c r="Z6113">
        <v>-2.3429039999999998E-3</v>
      </c>
      <c r="AA6113">
        <v>0.99819760000000002</v>
      </c>
      <c r="AB6113">
        <v>37</v>
      </c>
      <c r="AC6113">
        <v>13.091399999999901</v>
      </c>
      <c r="AD6113">
        <v>-1.108437409552</v>
      </c>
      <c r="AE6113">
        <v>1.5677699999999899</v>
      </c>
      <c r="AF6113">
        <v>-0.79671845740324199</v>
      </c>
      <c r="AG6113">
        <v>-1.108437409552</v>
      </c>
      <c r="AH6113">
        <v>13.068145860628301</v>
      </c>
      <c r="AI6113">
        <v>94.839269222898693</v>
      </c>
      <c r="AJ6113">
        <v>93.488802017582898</v>
      </c>
      <c r="AK6113">
        <v>13.1392476963454</v>
      </c>
      <c r="AL6113">
        <v>91.256444734826303</v>
      </c>
      <c r="AM6113">
        <v>94.929528649263105</v>
      </c>
      <c r="AN6113">
        <v>1.00000000133045</v>
      </c>
    </row>
    <row r="6114" spans="1:40" x14ac:dyDescent="0.3">
      <c r="A6114" t="str">
        <f>"20200111160624210"</f>
        <v>20200111160624210</v>
      </c>
      <c r="B6114" t="str">
        <f>"1578729984198505"</f>
        <v>1578729984198505</v>
      </c>
      <c r="C6114" t="s">
        <v>40</v>
      </c>
      <c r="D6114">
        <v>5.0937140000000003</v>
      </c>
      <c r="E6114">
        <v>0.52369250000000001</v>
      </c>
      <c r="F6114" t="s">
        <v>97</v>
      </c>
      <c r="G6114">
        <v>-215.12020000000001</v>
      </c>
      <c r="H6114" s="1">
        <v>-1.2225919999999999E-6</v>
      </c>
      <c r="I6114">
        <v>-60.597920000000002</v>
      </c>
      <c r="J6114">
        <v>-228.57400000000001</v>
      </c>
      <c r="K6114">
        <v>1.1084320000000001</v>
      </c>
      <c r="L6114">
        <v>-61.895290000000003</v>
      </c>
      <c r="M6114">
        <v>0.99825050000000004</v>
      </c>
      <c r="N6114">
        <v>0</v>
      </c>
      <c r="O6114">
        <v>5.737565E-2</v>
      </c>
      <c r="P6114">
        <v>0.98899499999999996</v>
      </c>
      <c r="Q6114">
        <v>-3.6659530000000003E-2</v>
      </c>
      <c r="R6114">
        <v>0.14333479999999901</v>
      </c>
      <c r="S6114">
        <v>2.9830320000000001</v>
      </c>
      <c r="T6114">
        <v>-0.24239240000000001</v>
      </c>
      <c r="U6114">
        <v>0.28591919999999998</v>
      </c>
      <c r="V6114">
        <v>-8.6441409999999996E-2</v>
      </c>
      <c r="W6114">
        <v>-2.20763E-2</v>
      </c>
      <c r="X6114">
        <v>0.99601229999999996</v>
      </c>
      <c r="Y6114">
        <v>-3.8196729999999998E-2</v>
      </c>
      <c r="Z6114">
        <v>-3.0934980000000001E-3</v>
      </c>
      <c r="AA6114">
        <v>0.99926539999999997</v>
      </c>
      <c r="AB6114">
        <v>37</v>
      </c>
      <c r="AC6114">
        <v>13.453799999999999</v>
      </c>
      <c r="AD6114">
        <v>-1.1084332225919999</v>
      </c>
      <c r="AE6114">
        <v>1.2973699999999999</v>
      </c>
      <c r="AF6114">
        <v>-0.51973772400101004</v>
      </c>
      <c r="AG6114">
        <v>-1.1084332225919999</v>
      </c>
      <c r="AH6114">
        <v>13.415852402115901</v>
      </c>
      <c r="AI6114">
        <v>94.719591599155194</v>
      </c>
      <c r="AJ6114">
        <v>92.218561512536098</v>
      </c>
      <c r="AK6114">
        <v>13.4715940848162</v>
      </c>
      <c r="AL6114">
        <v>91.264981593631802</v>
      </c>
      <c r="AM6114">
        <v>94.960128605431194</v>
      </c>
      <c r="AN6114">
        <v>0.99999999106788395</v>
      </c>
    </row>
    <row r="6115" spans="1:40" x14ac:dyDescent="0.3">
      <c r="A6115" t="str">
        <f>"20200111160624220"</f>
        <v>20200111160624220</v>
      </c>
      <c r="B6115" t="str">
        <f>"1578729984218019"</f>
        <v>1578729984218019</v>
      </c>
      <c r="C6115" t="s">
        <v>40</v>
      </c>
      <c r="D6115">
        <v>5.1045720000000001</v>
      </c>
      <c r="E6115">
        <v>0.52822599999999997</v>
      </c>
      <c r="F6115" t="s">
        <v>42</v>
      </c>
      <c r="G6115">
        <v>-227.61019999999999</v>
      </c>
      <c r="H6115">
        <v>1.026227</v>
      </c>
      <c r="I6115">
        <v>-61.814480000000003</v>
      </c>
      <c r="J6115">
        <v>-228.38460000000001</v>
      </c>
      <c r="K6115">
        <v>1.1084320000000001</v>
      </c>
      <c r="L6115">
        <v>-61.885129999999997</v>
      </c>
      <c r="M6115">
        <v>0.99830090000000005</v>
      </c>
      <c r="N6115">
        <v>0</v>
      </c>
      <c r="O6115">
        <v>5.6482869999999998E-2</v>
      </c>
      <c r="P6115">
        <v>0.98905399999999999</v>
      </c>
      <c r="Q6115">
        <v>-3.7073429999999997E-2</v>
      </c>
      <c r="R6115">
        <v>0.14282120000000001</v>
      </c>
      <c r="S6115">
        <v>2.9876100000000001</v>
      </c>
      <c r="T6115">
        <v>-0.25479230000000003</v>
      </c>
      <c r="U6115">
        <v>0.25070189999999998</v>
      </c>
      <c r="V6115">
        <v>-8.6817790000000006E-2</v>
      </c>
      <c r="W6115">
        <v>-2.2445050000000001E-2</v>
      </c>
      <c r="X6115">
        <v>0.9959713</v>
      </c>
      <c r="Y6115">
        <v>-2.730057E-2</v>
      </c>
      <c r="Z6115">
        <v>-3.6356520000000001E-3</v>
      </c>
      <c r="AA6115">
        <v>0.99962070000000003</v>
      </c>
      <c r="AB6115">
        <v>37</v>
      </c>
      <c r="AC6115">
        <v>0.77440000000001397</v>
      </c>
      <c r="AD6115">
        <v>-8.2204999999999806E-2</v>
      </c>
      <c r="AE6115">
        <v>7.0650000000000504E-2</v>
      </c>
      <c r="AF6115">
        <v>-2.6496262080371299E-2</v>
      </c>
      <c r="AG6115">
        <v>-8.2204999999999806E-2</v>
      </c>
      <c r="AH6115">
        <v>0.768565311107967</v>
      </c>
      <c r="AI6115">
        <v>96.101492928855095</v>
      </c>
      <c r="AJ6115">
        <v>91.974487990567098</v>
      </c>
      <c r="AK6115">
        <v>0.77340309759382098</v>
      </c>
      <c r="AL6115">
        <v>91.286114676913201</v>
      </c>
      <c r="AM6115">
        <v>94.9818214097875</v>
      </c>
      <c r="AN6115">
        <v>0.99999996967683702</v>
      </c>
    </row>
    <row r="6116" spans="1:40" x14ac:dyDescent="0.3">
      <c r="A6116" t="str">
        <f>"20200111160624232"</f>
        <v>20200111160624232</v>
      </c>
      <c r="B6116" t="str">
        <f>"1578729984228755"</f>
        <v>1578729984228755</v>
      </c>
      <c r="C6116" t="s">
        <v>40</v>
      </c>
      <c r="D6116">
        <v>5.1153950000000004</v>
      </c>
      <c r="E6116">
        <v>0.52932069999999998</v>
      </c>
      <c r="F6116" t="s">
        <v>97</v>
      </c>
      <c r="G6116">
        <v>-215.83160000000001</v>
      </c>
      <c r="H6116" s="1">
        <v>-1.631601E-6</v>
      </c>
      <c r="I6116">
        <v>-60.988039999999998</v>
      </c>
      <c r="J6116">
        <v>-228.20509999999999</v>
      </c>
      <c r="K6116">
        <v>1.108433</v>
      </c>
      <c r="L6116">
        <v>-61.875729999999997</v>
      </c>
      <c r="M6116">
        <v>0.99834789999999995</v>
      </c>
      <c r="N6116">
        <v>0</v>
      </c>
      <c r="O6116">
        <v>5.5635110000000002E-2</v>
      </c>
      <c r="P6116">
        <v>0.98907670000000003</v>
      </c>
      <c r="Q6116">
        <v>-3.7390850000000003E-2</v>
      </c>
      <c r="R6116">
        <v>0.14258180000000001</v>
      </c>
      <c r="S6116">
        <v>2.9924010000000001</v>
      </c>
      <c r="T6116">
        <v>-0.26423059999999998</v>
      </c>
      <c r="U6116">
        <v>0.21383669999999999</v>
      </c>
      <c r="V6116">
        <v>-8.7424169999999995E-2</v>
      </c>
      <c r="W6116">
        <v>-2.2722969999999999E-2</v>
      </c>
      <c r="X6116">
        <v>0.99591200000000002</v>
      </c>
      <c r="Y6116">
        <v>-1.5822220000000001E-2</v>
      </c>
      <c r="Z6116">
        <v>-4.1967280000000003E-3</v>
      </c>
      <c r="AA6116">
        <v>0.99986600000000003</v>
      </c>
      <c r="AB6116">
        <v>37</v>
      </c>
      <c r="AC6116">
        <v>12.3734999999999</v>
      </c>
      <c r="AD6116">
        <v>-1.1084346316010001</v>
      </c>
      <c r="AE6116">
        <v>0.88768999999999898</v>
      </c>
      <c r="AF6116">
        <v>-0.19627580096057001</v>
      </c>
      <c r="AG6116">
        <v>-1.1084346316010001</v>
      </c>
      <c r="AH6116">
        <v>12.3054798299121</v>
      </c>
      <c r="AI6116">
        <v>95.146461694744502</v>
      </c>
      <c r="AJ6116">
        <v>90.913806014268204</v>
      </c>
      <c r="AK6116">
        <v>12.3568598505829</v>
      </c>
      <c r="AL6116">
        <v>91.302042323451801</v>
      </c>
      <c r="AM6116">
        <v>95.016737242700799</v>
      </c>
      <c r="AN6116">
        <v>1.0000000153049</v>
      </c>
    </row>
    <row r="6117" spans="1:40" x14ac:dyDescent="0.3">
      <c r="A6117" t="str">
        <f>"20200111160624244"</f>
        <v>20200111160624244</v>
      </c>
      <c r="B6117" t="str">
        <f>"1578729984238518"</f>
        <v>1578729984238518</v>
      </c>
      <c r="C6117" t="s">
        <v>40</v>
      </c>
      <c r="D6117">
        <v>5.0905740000000002</v>
      </c>
      <c r="E6117">
        <v>0.53013829999999995</v>
      </c>
      <c r="F6117" t="s">
        <v>42</v>
      </c>
      <c r="G6117">
        <v>-227.2867</v>
      </c>
      <c r="H6117">
        <v>1.0257609999999999</v>
      </c>
      <c r="I6117">
        <v>-61.812899999999999</v>
      </c>
      <c r="J6117">
        <v>-228.0069</v>
      </c>
      <c r="K6117">
        <v>1.1084309999999999</v>
      </c>
      <c r="L6117">
        <v>-61.865450000000003</v>
      </c>
      <c r="M6117">
        <v>0.99839920000000004</v>
      </c>
      <c r="N6117">
        <v>0</v>
      </c>
      <c r="O6117">
        <v>5.4698620000000003E-2</v>
      </c>
      <c r="P6117">
        <v>0.98910509999999996</v>
      </c>
      <c r="Q6117">
        <v>-3.7657910000000003E-2</v>
      </c>
      <c r="R6117">
        <v>0.14231359999999901</v>
      </c>
      <c r="S6117">
        <v>2.9934539999999998</v>
      </c>
      <c r="T6117">
        <v>-0.26948290000000003</v>
      </c>
      <c r="U6117">
        <v>0.20458979999999999</v>
      </c>
      <c r="V6117">
        <v>-8.8089959999999995E-2</v>
      </c>
      <c r="W6117">
        <v>-2.294788E-2</v>
      </c>
      <c r="X6117">
        <v>0.99584819999999996</v>
      </c>
      <c r="Y6117">
        <v>-1.3672449999999999E-2</v>
      </c>
      <c r="Z6117">
        <v>-4.2914729999999996E-3</v>
      </c>
      <c r="AA6117">
        <v>0.99989729999999999</v>
      </c>
      <c r="AB6117">
        <v>37</v>
      </c>
      <c r="AC6117">
        <v>0.72020000000000495</v>
      </c>
      <c r="AD6117">
        <v>-8.2669999999999799E-2</v>
      </c>
      <c r="AE6117">
        <v>5.2550000000003601E-2</v>
      </c>
      <c r="AF6117">
        <v>-1.2904158506636801E-2</v>
      </c>
      <c r="AG6117">
        <v>-8.2669999999999799E-2</v>
      </c>
      <c r="AH6117">
        <v>0.71265592514029497</v>
      </c>
      <c r="AI6117">
        <v>96.615814777748596</v>
      </c>
      <c r="AJ6117">
        <v>91.037349170649094</v>
      </c>
      <c r="AK6117">
        <v>0.71755091376454505</v>
      </c>
      <c r="AL6117">
        <v>91.314932043308104</v>
      </c>
      <c r="AM6117">
        <v>95.055067820363504</v>
      </c>
      <c r="AN6117">
        <v>1.00000004184626</v>
      </c>
    </row>
    <row r="6118" spans="1:40" x14ac:dyDescent="0.3">
      <c r="A6118" t="str">
        <f>"20200111160624254"</f>
        <v>20200111160624254</v>
      </c>
      <c r="B6118" t="str">
        <f>"1578729984248274"</f>
        <v>1578729984248274</v>
      </c>
      <c r="C6118" t="s">
        <v>40</v>
      </c>
      <c r="D6118">
        <v>5.1049800000000003</v>
      </c>
      <c r="E6118">
        <v>0.53082850000000004</v>
      </c>
      <c r="F6118" t="s">
        <v>42</v>
      </c>
      <c r="G6118">
        <v>-226.96199999999999</v>
      </c>
      <c r="H6118">
        <v>1.01271</v>
      </c>
      <c r="I6118">
        <v>-61.79665</v>
      </c>
      <c r="J6118">
        <v>-227.82650000000001</v>
      </c>
      <c r="K6118">
        <v>1.1084290000000001</v>
      </c>
      <c r="L6118">
        <v>-61.856319999999997</v>
      </c>
      <c r="M6118">
        <v>0.99844529999999998</v>
      </c>
      <c r="N6118">
        <v>0</v>
      </c>
      <c r="O6118">
        <v>5.3840289999999999E-2</v>
      </c>
      <c r="P6118">
        <v>0.98908039999999997</v>
      </c>
      <c r="Q6118">
        <v>-3.8324839999999999E-2</v>
      </c>
      <c r="R6118">
        <v>0.14230799999999999</v>
      </c>
      <c r="S6118">
        <v>2.994202</v>
      </c>
      <c r="T6118">
        <v>-0.2742231</v>
      </c>
      <c r="U6118">
        <v>0.19747919999999999</v>
      </c>
      <c r="V6118">
        <v>-8.8944319999999993E-2</v>
      </c>
      <c r="W6118">
        <v>-2.3580170000000001E-2</v>
      </c>
      <c r="X6118">
        <v>0.99575749999999996</v>
      </c>
      <c r="Y6118">
        <v>-1.2159659999999999E-2</v>
      </c>
      <c r="Z6118">
        <v>-4.3568369999999997E-3</v>
      </c>
      <c r="AA6118">
        <v>0.99991660000000004</v>
      </c>
      <c r="AB6118">
        <v>37</v>
      </c>
      <c r="AC6118">
        <v>0.86449999999999205</v>
      </c>
      <c r="AD6118">
        <v>-9.5719000000000096E-2</v>
      </c>
      <c r="AE6118">
        <v>5.9669999999997003E-2</v>
      </c>
      <c r="AF6118">
        <v>-1.2876548048859401E-2</v>
      </c>
      <c r="AG6118">
        <v>-9.5719000000000096E-2</v>
      </c>
      <c r="AH6118">
        <v>0.85601442290880003</v>
      </c>
      <c r="AI6118">
        <v>96.379558643177802</v>
      </c>
      <c r="AJ6118">
        <v>90.861803492142101</v>
      </c>
      <c r="AK6118">
        <v>0.86144565973631804</v>
      </c>
      <c r="AL6118">
        <v>91.351169376902604</v>
      </c>
      <c r="AM6118">
        <v>95.104300237754202</v>
      </c>
      <c r="AN6118">
        <v>1.00000005764186</v>
      </c>
    </row>
    <row r="6119" spans="1:40" x14ac:dyDescent="0.3">
      <c r="A6119" t="str">
        <f>"20200111160624265"</f>
        <v>20200111160624265</v>
      </c>
      <c r="B6119" t="str">
        <f>"1578729984258035"</f>
        <v>1578729984258035</v>
      </c>
      <c r="C6119" t="s">
        <v>40</v>
      </c>
      <c r="D6119">
        <v>5.0748530000000001</v>
      </c>
      <c r="E6119">
        <v>0.53145399999999998</v>
      </c>
      <c r="F6119" t="s">
        <v>42</v>
      </c>
      <c r="G6119">
        <v>-226.95410000000001</v>
      </c>
      <c r="H6119">
        <v>1.026877</v>
      </c>
      <c r="I6119">
        <v>-61.800460000000001</v>
      </c>
      <c r="J6119">
        <v>-227.64359999999999</v>
      </c>
      <c r="K6119">
        <v>1.108422</v>
      </c>
      <c r="L6119">
        <v>-61.847200000000001</v>
      </c>
      <c r="M6119">
        <v>0.99849149999999998</v>
      </c>
      <c r="N6119">
        <v>0</v>
      </c>
      <c r="O6119">
        <v>5.2968420000000002E-2</v>
      </c>
      <c r="P6119">
        <v>0.98908370000000001</v>
      </c>
      <c r="Q6119">
        <v>-3.9049859999999999E-2</v>
      </c>
      <c r="R6119">
        <v>0.14208670000000001</v>
      </c>
      <c r="S6119">
        <v>2.9946290000000002</v>
      </c>
      <c r="T6119">
        <v>-0.27986519999999998</v>
      </c>
      <c r="U6119">
        <v>0.19216920000000001</v>
      </c>
      <c r="V6119">
        <v>-8.9595670000000002E-2</v>
      </c>
      <c r="W6119">
        <v>-2.4271419999999998E-2</v>
      </c>
      <c r="X6119">
        <v>0.99568239999999997</v>
      </c>
      <c r="Y6119">
        <v>-1.126511E-2</v>
      </c>
      <c r="Z6119">
        <v>-4.4063749999999997E-3</v>
      </c>
      <c r="AA6119">
        <v>0.99992689999999995</v>
      </c>
      <c r="AB6119">
        <v>37</v>
      </c>
      <c r="AC6119">
        <v>0.68949999999998102</v>
      </c>
      <c r="AD6119">
        <v>-8.1544999999999895E-2</v>
      </c>
      <c r="AE6119">
        <v>4.6739999999999698E-2</v>
      </c>
      <c r="AF6119">
        <v>-1.0009465595317501E-2</v>
      </c>
      <c r="AG6119">
        <v>-8.1544999999999895E-2</v>
      </c>
      <c r="AH6119">
        <v>0.68151903441607797</v>
      </c>
      <c r="AI6119">
        <v>96.822378299922903</v>
      </c>
      <c r="AJ6119">
        <v>90.841442240089904</v>
      </c>
      <c r="AK6119">
        <v>0.68645318172321601</v>
      </c>
      <c r="AL6119">
        <v>91.390786554436701</v>
      </c>
      <c r="AM6119">
        <v>95.141865745500496</v>
      </c>
      <c r="AN6119">
        <v>0.99999996379066203</v>
      </c>
    </row>
    <row r="6120" spans="1:40" x14ac:dyDescent="0.3">
      <c r="A6120" t="str">
        <f>"20200111160624276"</f>
        <v>20200111160624276</v>
      </c>
      <c r="B6120" t="str">
        <f>"1578729984268771"</f>
        <v>1578729984268771</v>
      </c>
      <c r="C6120" t="s">
        <v>40</v>
      </c>
      <c r="D6120">
        <v>5.1581700000000001</v>
      </c>
      <c r="E6120">
        <v>0.53182180000000001</v>
      </c>
      <c r="F6120" t="s">
        <v>42</v>
      </c>
      <c r="G6120">
        <v>-226.63050000000001</v>
      </c>
      <c r="H6120">
        <v>1.0124409999999999</v>
      </c>
      <c r="I6120">
        <v>-61.784089999999999</v>
      </c>
      <c r="J6120">
        <v>-227.45959999999999</v>
      </c>
      <c r="K6120">
        <v>1.108414</v>
      </c>
      <c r="L6120">
        <v>-61.838230000000003</v>
      </c>
      <c r="M6120">
        <v>0.99853749999999997</v>
      </c>
      <c r="N6120">
        <v>0</v>
      </c>
      <c r="O6120">
        <v>5.2084159999999997E-2</v>
      </c>
      <c r="P6120">
        <v>0.98904449999999999</v>
      </c>
      <c r="Q6120">
        <v>-4.028325E-2</v>
      </c>
      <c r="R6120">
        <v>0.14201520000000001</v>
      </c>
      <c r="S6120">
        <v>2.995117</v>
      </c>
      <c r="T6120">
        <v>-0.28373900000000002</v>
      </c>
      <c r="U6120">
        <v>0.186554</v>
      </c>
      <c r="V6120">
        <v>-9.0413830000000001E-2</v>
      </c>
      <c r="W6120">
        <v>-2.5473539999999999E-2</v>
      </c>
      <c r="X6120">
        <v>0.99557850000000003</v>
      </c>
      <c r="Y6120">
        <v>-1.027845E-2</v>
      </c>
      <c r="Z6120">
        <v>-4.429929E-3</v>
      </c>
      <c r="AA6120">
        <v>0.99993739999999998</v>
      </c>
      <c r="AB6120">
        <v>37</v>
      </c>
      <c r="AC6120">
        <v>0.82909999999998196</v>
      </c>
      <c r="AD6120">
        <v>-9.5973000000000003E-2</v>
      </c>
      <c r="AE6120">
        <v>5.4140000000003803E-2</v>
      </c>
      <c r="AF6120">
        <v>-1.0735744695415101E-2</v>
      </c>
      <c r="AG6120">
        <v>-9.5973000000000003E-2</v>
      </c>
      <c r="AH6120">
        <v>0.81985565434784302</v>
      </c>
      <c r="AI6120">
        <v>96.676138622450594</v>
      </c>
      <c r="AJ6120">
        <v>90.750226827633796</v>
      </c>
      <c r="AK6120">
        <v>0.82552369251844904</v>
      </c>
      <c r="AL6120">
        <v>91.459684144005294</v>
      </c>
      <c r="AM6120">
        <v>95.189103074103798</v>
      </c>
      <c r="AN6120">
        <v>1.00000005577882</v>
      </c>
    </row>
    <row r="6121" spans="1:40" x14ac:dyDescent="0.3">
      <c r="A6121" t="str">
        <f>"20200111160624287"</f>
        <v>20200111160624287</v>
      </c>
      <c r="B6121" t="str">
        <f>"1578729984278531"</f>
        <v>1578729984278531</v>
      </c>
      <c r="C6121" t="s">
        <v>40</v>
      </c>
      <c r="D6121">
        <v>5.1644509999999997</v>
      </c>
      <c r="E6121">
        <v>0.53219069999999902</v>
      </c>
      <c r="F6121" t="s">
        <v>42</v>
      </c>
      <c r="G6121">
        <v>-226.62180000000001</v>
      </c>
      <c r="H6121">
        <v>1.027895</v>
      </c>
      <c r="I6121">
        <v>-61.786949999999997</v>
      </c>
      <c r="J6121">
        <v>-227.2783</v>
      </c>
      <c r="K6121">
        <v>1.1084020000000001</v>
      </c>
      <c r="L6121">
        <v>-61.829500000000003</v>
      </c>
      <c r="M6121">
        <v>0.99858270000000005</v>
      </c>
      <c r="N6121">
        <v>0</v>
      </c>
      <c r="O6121">
        <v>5.1207519999999999E-2</v>
      </c>
      <c r="P6121">
        <v>0.98901629999999996</v>
      </c>
      <c r="Q6121">
        <v>-4.1258309999999999E-2</v>
      </c>
      <c r="R6121">
        <v>0.1419338</v>
      </c>
      <c r="S6121">
        <v>2.9951780000000001</v>
      </c>
      <c r="T6121">
        <v>-0.2878309</v>
      </c>
      <c r="U6121">
        <v>0.18331910000000001</v>
      </c>
      <c r="V6121">
        <v>-9.1211959999999995E-2</v>
      </c>
      <c r="W6121">
        <v>-2.6418750000000001E-2</v>
      </c>
      <c r="X6121">
        <v>0.99548099999999995</v>
      </c>
      <c r="Y6121">
        <v>-1.008148E-2</v>
      </c>
      <c r="Z6121">
        <v>-4.4192220000000004E-3</v>
      </c>
      <c r="AA6121">
        <v>0.99993940000000003</v>
      </c>
      <c r="AB6121">
        <v>37</v>
      </c>
      <c r="AC6121">
        <v>0.65649999999999398</v>
      </c>
      <c r="AD6121">
        <v>-8.0507000000000106E-2</v>
      </c>
      <c r="AE6121">
        <v>4.2550000000005597E-2</v>
      </c>
      <c r="AF6121">
        <v>-8.7419761580618104E-3</v>
      </c>
      <c r="AG6121">
        <v>-8.0507000000000106E-2</v>
      </c>
      <c r="AH6121">
        <v>0.64811191313039596</v>
      </c>
      <c r="AI6121">
        <v>97.080244194720393</v>
      </c>
      <c r="AJ6121">
        <v>90.772780064144499</v>
      </c>
      <c r="AK6121">
        <v>0.65315147641086302</v>
      </c>
      <c r="AL6121">
        <v>91.513859014613303</v>
      </c>
      <c r="AM6121">
        <v>95.235166466801502</v>
      </c>
      <c r="AN6121">
        <v>0.99999999667980199</v>
      </c>
    </row>
    <row r="6122" spans="1:40" x14ac:dyDescent="0.3">
      <c r="A6122" t="str">
        <f>"20200111160624298"</f>
        <v>20200111160624298</v>
      </c>
      <c r="B6122" t="str">
        <f>"1578729984288291"</f>
        <v>1578729984288291</v>
      </c>
      <c r="C6122" t="s">
        <v>40</v>
      </c>
      <c r="D6122">
        <v>5.4162670000000004</v>
      </c>
      <c r="E6122">
        <v>0.5320665</v>
      </c>
      <c r="F6122" t="s">
        <v>42</v>
      </c>
      <c r="G6122">
        <v>-226.2989</v>
      </c>
      <c r="H6122">
        <v>1.0130159999999999</v>
      </c>
      <c r="I6122">
        <v>-61.770850000000003</v>
      </c>
      <c r="J6122">
        <v>-227.0967</v>
      </c>
      <c r="K6122">
        <v>1.1083889999999901</v>
      </c>
      <c r="L6122">
        <v>-61.820950000000003</v>
      </c>
      <c r="M6122">
        <v>0.99862740000000005</v>
      </c>
      <c r="N6122">
        <v>0</v>
      </c>
      <c r="O6122">
        <v>5.03218E-2</v>
      </c>
      <c r="P6122">
        <v>0.98898070000000005</v>
      </c>
      <c r="Q6122">
        <v>-4.235328E-2</v>
      </c>
      <c r="R6122">
        <v>0.1418577</v>
      </c>
      <c r="S6122">
        <v>2.9953159999999999</v>
      </c>
      <c r="T6122">
        <v>-0.29158800000000001</v>
      </c>
      <c r="U6122">
        <v>0.1800842</v>
      </c>
      <c r="V6122">
        <v>-9.2025259999999998E-2</v>
      </c>
      <c r="W6122">
        <v>-2.748567E-2</v>
      </c>
      <c r="X6122">
        <v>0.99537719999999996</v>
      </c>
      <c r="Y6122">
        <v>-9.8913000000000004E-3</v>
      </c>
      <c r="Z6122">
        <v>-4.40004E-3</v>
      </c>
      <c r="AA6122">
        <v>0.99994139999999998</v>
      </c>
      <c r="AB6122">
        <v>37</v>
      </c>
      <c r="AC6122">
        <v>0.79779999999999496</v>
      </c>
      <c r="AD6122">
        <v>-9.5372999999999902E-2</v>
      </c>
      <c r="AE6122">
        <v>5.0100000000000401E-2</v>
      </c>
      <c r="AF6122">
        <v>-9.7467994098549594E-3</v>
      </c>
      <c r="AG6122">
        <v>-9.5372999999999902E-2</v>
      </c>
      <c r="AH6122">
        <v>0.78809201849386201</v>
      </c>
      <c r="AI6122">
        <v>96.899720090861706</v>
      </c>
      <c r="AJ6122">
        <v>90.708574616198504</v>
      </c>
      <c r="AK6122">
        <v>0.79390178160869895</v>
      </c>
      <c r="AL6122">
        <v>91.575011334642397</v>
      </c>
      <c r="AM6122">
        <v>95.282131147765099</v>
      </c>
      <c r="AN6122">
        <v>0.99999994040662599</v>
      </c>
    </row>
    <row r="6123" spans="1:40" x14ac:dyDescent="0.3">
      <c r="A6123" t="str">
        <f>"20200111160624310"</f>
        <v>20200111160624310</v>
      </c>
      <c r="B6123" t="str">
        <f>"1578729984298731"</f>
        <v>1578729984298731</v>
      </c>
      <c r="C6123" t="s">
        <v>40</v>
      </c>
      <c r="D6123">
        <v>5.1716559999999996</v>
      </c>
      <c r="E6123">
        <v>0.53236539999999999</v>
      </c>
      <c r="F6123" t="s">
        <v>42</v>
      </c>
      <c r="G6123">
        <v>-226.2894</v>
      </c>
      <c r="H6123">
        <v>1.0292269999999999</v>
      </c>
      <c r="I6123">
        <v>-61.772509999999997</v>
      </c>
      <c r="J6123">
        <v>-226.91040000000001</v>
      </c>
      <c r="K6123">
        <v>1.1083769999999999</v>
      </c>
      <c r="L6123">
        <v>-61.812379999999997</v>
      </c>
      <c r="M6123">
        <v>0.99867289999999997</v>
      </c>
      <c r="N6123">
        <v>0</v>
      </c>
      <c r="O6123">
        <v>4.9401229999999997E-2</v>
      </c>
      <c r="P6123">
        <v>0.98896660000000003</v>
      </c>
      <c r="Q6123">
        <v>-4.28095E-2</v>
      </c>
      <c r="R6123">
        <v>0.14181820000000001</v>
      </c>
      <c r="S6123">
        <v>2.9949650000000001</v>
      </c>
      <c r="T6123">
        <v>-0.2934774</v>
      </c>
      <c r="U6123">
        <v>0.1805725</v>
      </c>
      <c r="V6123">
        <v>-9.290648E-2</v>
      </c>
      <c r="W6123">
        <v>-2.7913790000000001E-2</v>
      </c>
      <c r="X6123">
        <v>0.99528349999999999</v>
      </c>
      <c r="Y6123">
        <v>-1.0975459999999999E-2</v>
      </c>
      <c r="Z6123">
        <v>-4.2861940000000001E-3</v>
      </c>
      <c r="AA6123">
        <v>0.9999306</v>
      </c>
      <c r="AB6123">
        <v>37</v>
      </c>
      <c r="AC6123">
        <v>0.62100000000000899</v>
      </c>
      <c r="AD6123">
        <v>-7.9149999999999804E-2</v>
      </c>
      <c r="AE6123">
        <v>3.9870000000007601E-2</v>
      </c>
      <c r="AF6123">
        <v>-8.9943798482753495E-3</v>
      </c>
      <c r="AG6123">
        <v>-7.9149999999999804E-2</v>
      </c>
      <c r="AH6123">
        <v>0.61230539886705804</v>
      </c>
      <c r="AI6123">
        <v>97.364741444885496</v>
      </c>
      <c r="AJ6123">
        <v>90.841578310637402</v>
      </c>
      <c r="AK6123">
        <v>0.61746540214865697</v>
      </c>
      <c r="AL6123">
        <v>91.599550094659406</v>
      </c>
      <c r="AM6123">
        <v>95.3329209574662</v>
      </c>
      <c r="AN6123">
        <v>1.0000000195351999</v>
      </c>
    </row>
    <row r="6124" spans="1:40" x14ac:dyDescent="0.3">
      <c r="A6124" t="str">
        <f>"20200111160624321"</f>
        <v>20200111160624321</v>
      </c>
      <c r="B6124" t="str">
        <f>"1578729984318234"</f>
        <v>1578729984318234</v>
      </c>
      <c r="C6124" t="s">
        <v>40</v>
      </c>
      <c r="D6124">
        <v>5.1706050000000001</v>
      </c>
      <c r="E6124">
        <v>0.53275280000000003</v>
      </c>
      <c r="F6124" t="s">
        <v>42</v>
      </c>
      <c r="G6124">
        <v>-225.96680000000001</v>
      </c>
      <c r="H6124">
        <v>1.0155270000000001</v>
      </c>
      <c r="I6124">
        <v>-61.756320000000002</v>
      </c>
      <c r="J6124">
        <v>-226.7252</v>
      </c>
      <c r="K6124">
        <v>1.108365</v>
      </c>
      <c r="L6124">
        <v>-61.803989999999999</v>
      </c>
      <c r="M6124">
        <v>0.99871790000000005</v>
      </c>
      <c r="N6124">
        <v>0</v>
      </c>
      <c r="O6124">
        <v>4.8476940000000003E-2</v>
      </c>
      <c r="P6124">
        <v>0.98900869999999996</v>
      </c>
      <c r="Q6124">
        <v>-4.2737289999999997E-2</v>
      </c>
      <c r="R6124">
        <v>0.1415469</v>
      </c>
      <c r="S6124">
        <v>2.995193</v>
      </c>
      <c r="T6124">
        <v>-0.29468490000000003</v>
      </c>
      <c r="U6124">
        <v>0.17797850000000001</v>
      </c>
      <c r="V6124">
        <v>-9.3554970000000001E-2</v>
      </c>
      <c r="W6124">
        <v>-2.7814970000000001E-2</v>
      </c>
      <c r="X6124">
        <v>0.99522549999999999</v>
      </c>
      <c r="Y6124">
        <v>-1.103019E-2</v>
      </c>
      <c r="Z6124">
        <v>-4.2103710000000001E-3</v>
      </c>
      <c r="AA6124">
        <v>0.99993030000000005</v>
      </c>
      <c r="AB6124">
        <v>37</v>
      </c>
      <c r="AC6124">
        <v>0.75839999999999397</v>
      </c>
      <c r="AD6124">
        <v>-9.2837999999999907E-2</v>
      </c>
      <c r="AE6124">
        <v>4.7670000000003598E-2</v>
      </c>
      <c r="AF6124">
        <v>-1.0685630232831899E-2</v>
      </c>
      <c r="AG6124">
        <v>-9.2837999999999907E-2</v>
      </c>
      <c r="AH6124">
        <v>0.74864505196630005</v>
      </c>
      <c r="AI6124">
        <v>97.068335695851204</v>
      </c>
      <c r="AJ6124">
        <v>90.817743923591806</v>
      </c>
      <c r="AK6124">
        <v>0.75445509526485199</v>
      </c>
      <c r="AL6124">
        <v>91.593885957005</v>
      </c>
      <c r="AM6124">
        <v>95.370239171856497</v>
      </c>
      <c r="AN6124">
        <v>1.0000000004090199</v>
      </c>
    </row>
    <row r="6125" spans="1:40" x14ac:dyDescent="0.3">
      <c r="A6125" t="str">
        <f>"20200111160624332"</f>
        <v>20200111160624332</v>
      </c>
      <c r="B6125" t="str">
        <f>"1578729984327993"</f>
        <v>1578729984327993</v>
      </c>
      <c r="C6125" t="s">
        <v>40</v>
      </c>
      <c r="D6125">
        <v>5.2229799999999997</v>
      </c>
      <c r="E6125">
        <v>0.53293659999999998</v>
      </c>
      <c r="F6125" t="s">
        <v>42</v>
      </c>
      <c r="G6125">
        <v>-225.95580000000001</v>
      </c>
      <c r="H6125">
        <v>1.0323629999999999</v>
      </c>
      <c r="I6125">
        <v>-61.759300000000003</v>
      </c>
      <c r="J6125">
        <v>-226.53729999999999</v>
      </c>
      <c r="K6125">
        <v>1.1083480000000001</v>
      </c>
      <c r="L6125">
        <v>-61.795720000000003</v>
      </c>
      <c r="M6125">
        <v>0.99876379999999998</v>
      </c>
      <c r="N6125">
        <v>0</v>
      </c>
      <c r="O6125">
        <v>4.7518829999999998E-2</v>
      </c>
      <c r="P6125">
        <v>0.98907909999999999</v>
      </c>
      <c r="Q6125">
        <v>-4.2373500000000001E-2</v>
      </c>
      <c r="R6125">
        <v>0.1411644</v>
      </c>
      <c r="S6125">
        <v>2.9956360000000002</v>
      </c>
      <c r="T6125">
        <v>-0.2959156</v>
      </c>
      <c r="U6125">
        <v>0.17407230000000001</v>
      </c>
      <c r="V6125">
        <v>-9.4123090000000006E-2</v>
      </c>
      <c r="W6125">
        <v>-2.7425499999999998E-2</v>
      </c>
      <c r="X6125">
        <v>0.99518280000000003</v>
      </c>
      <c r="Y6125">
        <v>-1.067982E-2</v>
      </c>
      <c r="Z6125">
        <v>-4.1504999999999997E-3</v>
      </c>
      <c r="AA6125">
        <v>0.9999344</v>
      </c>
      <c r="AB6125">
        <v>37</v>
      </c>
      <c r="AC6125">
        <v>0.58149999999997704</v>
      </c>
      <c r="AD6125">
        <v>-7.59849999999999E-2</v>
      </c>
      <c r="AE6125">
        <v>3.64199999999925E-2</v>
      </c>
      <c r="AF6125">
        <v>-8.5974815663605493E-3</v>
      </c>
      <c r="AG6125">
        <v>-7.59849999999999E-2</v>
      </c>
      <c r="AH6125">
        <v>0.57283101160731198</v>
      </c>
      <c r="AI6125">
        <v>97.555229013160996</v>
      </c>
      <c r="AJ6125">
        <v>90.859873880962198</v>
      </c>
      <c r="AK6125">
        <v>0.57791262728317305</v>
      </c>
      <c r="AL6125">
        <v>91.5715623596423</v>
      </c>
      <c r="AM6125">
        <v>95.402888429386806</v>
      </c>
      <c r="AN6125">
        <v>1.0000000597686101</v>
      </c>
    </row>
    <row r="6126" spans="1:40" x14ac:dyDescent="0.3">
      <c r="A6126" t="str">
        <f>"20200111160624344"</f>
        <v>20200111160624344</v>
      </c>
      <c r="B6126" t="str">
        <f>"1578729984338729"</f>
        <v>1578729984338729</v>
      </c>
      <c r="C6126" t="s">
        <v>40</v>
      </c>
      <c r="D6126">
        <v>5.2522330000000004</v>
      </c>
      <c r="E6126">
        <v>0.53299289999999999</v>
      </c>
      <c r="F6126" t="s">
        <v>42</v>
      </c>
      <c r="G6126">
        <v>-225.6344</v>
      </c>
      <c r="H6126">
        <v>1.0192699999999999</v>
      </c>
      <c r="I6126">
        <v>-61.744289999999999</v>
      </c>
      <c r="J6126">
        <v>-226.3391</v>
      </c>
      <c r="K6126">
        <v>1.108333</v>
      </c>
      <c r="L6126">
        <v>-61.787140000000001</v>
      </c>
      <c r="M6126">
        <v>0.99881120000000001</v>
      </c>
      <c r="N6126">
        <v>0</v>
      </c>
      <c r="O6126">
        <v>4.650083E-2</v>
      </c>
      <c r="P6126">
        <v>0.98917390000000005</v>
      </c>
      <c r="Q6126">
        <v>-4.1869959999999998E-2</v>
      </c>
      <c r="R6126">
        <v>0.1406493</v>
      </c>
      <c r="S6126">
        <v>2.995987</v>
      </c>
      <c r="T6126">
        <v>-0.29542849999999998</v>
      </c>
      <c r="U6126">
        <v>0.1714783</v>
      </c>
      <c r="V6126">
        <v>-9.4617489999999999E-2</v>
      </c>
      <c r="W6126">
        <v>-2.6895619999999999E-2</v>
      </c>
      <c r="X6126">
        <v>0.99515030000000004</v>
      </c>
      <c r="Y6126">
        <v>-1.082309E-2</v>
      </c>
      <c r="Z6126">
        <v>-4.0363860000000003E-3</v>
      </c>
      <c r="AA6126">
        <v>0.99993330000000002</v>
      </c>
      <c r="AB6126">
        <v>37</v>
      </c>
      <c r="AC6126">
        <v>0.70470000000000199</v>
      </c>
      <c r="AD6126">
        <v>-8.9062999999999795E-2</v>
      </c>
      <c r="AE6126">
        <v>4.2850000000001297E-2</v>
      </c>
      <c r="AF6126">
        <v>-9.8738635921953796E-3</v>
      </c>
      <c r="AG6126">
        <v>-8.9062999999999795E-2</v>
      </c>
      <c r="AH6126">
        <v>0.69487200834325602</v>
      </c>
      <c r="AI6126">
        <v>97.303151854013905</v>
      </c>
      <c r="AJ6126">
        <v>90.814096168766795</v>
      </c>
      <c r="AK6126">
        <v>0.70062601944991099</v>
      </c>
      <c r="AL6126">
        <v>91.541191389434303</v>
      </c>
      <c r="AM6126">
        <v>95.431275216405595</v>
      </c>
      <c r="AN6126">
        <v>0.99999998168958704</v>
      </c>
    </row>
    <row r="6127" spans="1:40" x14ac:dyDescent="0.3">
      <c r="A6127" t="str">
        <f>"20200111160624366"</f>
        <v>20200111160624366</v>
      </c>
      <c r="B6127" t="str">
        <f>"1578729984358250"</f>
        <v>1578729984358250</v>
      </c>
      <c r="C6127" t="s">
        <v>40</v>
      </c>
      <c r="D6127">
        <v>5.1761699999999999</v>
      </c>
      <c r="E6127">
        <v>0.53311699999999995</v>
      </c>
      <c r="F6127" t="s">
        <v>42</v>
      </c>
      <c r="G6127">
        <v>-225.3099</v>
      </c>
      <c r="H6127">
        <v>1.007476</v>
      </c>
      <c r="I6127">
        <v>-61.728900000000003</v>
      </c>
      <c r="J6127">
        <v>-225.97890000000001</v>
      </c>
      <c r="K6127">
        <v>1.1083050000000001</v>
      </c>
      <c r="L6127">
        <v>-61.772219999999997</v>
      </c>
      <c r="M6127">
        <v>0.99889819999999996</v>
      </c>
      <c r="N6127">
        <v>0</v>
      </c>
      <c r="O6127">
        <v>4.4586510000000003E-2</v>
      </c>
      <c r="P6127">
        <v>0.98941049999999997</v>
      </c>
      <c r="Q6127">
        <v>-4.0993460000000002E-2</v>
      </c>
      <c r="R6127">
        <v>0.1392361</v>
      </c>
      <c r="S6127">
        <v>2.9963069999999998</v>
      </c>
      <c r="T6127">
        <v>-0.29361500000000001</v>
      </c>
      <c r="U6127">
        <v>0.16946410000000001</v>
      </c>
      <c r="V6127">
        <v>-9.5099980000000001E-2</v>
      </c>
      <c r="W6127">
        <v>-2.597505E-2</v>
      </c>
      <c r="X6127">
        <v>0.99512880000000004</v>
      </c>
      <c r="Y6127">
        <v>-1.2046279999999999E-2</v>
      </c>
      <c r="Z6127">
        <v>-3.7649089999999999E-3</v>
      </c>
      <c r="AA6127">
        <v>0.99992040000000004</v>
      </c>
      <c r="AB6127">
        <v>37</v>
      </c>
      <c r="AC6127">
        <v>0.66900000000001103</v>
      </c>
      <c r="AD6127">
        <v>-0.100828999999999</v>
      </c>
      <c r="AE6127">
        <v>4.3319999999994203E-2</v>
      </c>
      <c r="AF6127">
        <v>-1.3147924308176E-2</v>
      </c>
      <c r="AG6127">
        <v>-0.100828999999999</v>
      </c>
      <c r="AH6127">
        <v>0.65543989548331905</v>
      </c>
      <c r="AI6127">
        <v>98.743755209490402</v>
      </c>
      <c r="AJ6127">
        <v>91.149181730568003</v>
      </c>
      <c r="AK6127">
        <v>0.66328034174532702</v>
      </c>
      <c r="AL6127">
        <v>91.488428115900504</v>
      </c>
      <c r="AM6127">
        <v>95.458921671285907</v>
      </c>
      <c r="AN6127">
        <v>1.00000001900397</v>
      </c>
    </row>
    <row r="6128" spans="1:40" x14ac:dyDescent="0.3">
      <c r="A6128" t="str">
        <f>"20200111160624377"</f>
        <v>20200111160624377</v>
      </c>
      <c r="B6128" t="str">
        <f>"1578729984368010"</f>
        <v>1578729984368010</v>
      </c>
      <c r="C6128" t="s">
        <v>40</v>
      </c>
      <c r="D6128">
        <v>5.209149</v>
      </c>
      <c r="E6128">
        <v>0.53336039999999996</v>
      </c>
      <c r="F6128" t="s">
        <v>42</v>
      </c>
      <c r="G6128">
        <v>-224.97829999999999</v>
      </c>
      <c r="H6128">
        <v>1.0108980000000001</v>
      </c>
      <c r="I6128">
        <v>-61.717480000000002</v>
      </c>
      <c r="J6128">
        <v>-225.79580000000001</v>
      </c>
      <c r="K6128">
        <v>1.1082890000000001</v>
      </c>
      <c r="L6128">
        <v>-61.764919999999996</v>
      </c>
      <c r="M6128">
        <v>0.9989422</v>
      </c>
      <c r="N6128">
        <v>0</v>
      </c>
      <c r="O6128">
        <v>4.3586989999999999E-2</v>
      </c>
      <c r="P6128">
        <v>0.98953369999999996</v>
      </c>
      <c r="Q6128">
        <v>-4.1076790000000002E-2</v>
      </c>
      <c r="R6128">
        <v>0.13833219999999999</v>
      </c>
      <c r="S6128">
        <v>2.996918</v>
      </c>
      <c r="T6128">
        <v>-0.29161120000000001</v>
      </c>
      <c r="U6128">
        <v>0.1644592</v>
      </c>
      <c r="V6128">
        <v>-9.5189060000000006E-2</v>
      </c>
      <c r="W6128">
        <v>-2.6038059999999998E-2</v>
      </c>
      <c r="X6128">
        <v>0.99511859999999996</v>
      </c>
      <c r="Y6128">
        <v>-1.1366970000000001E-2</v>
      </c>
      <c r="Z6128">
        <v>-3.6749019999999999E-3</v>
      </c>
      <c r="AA6128">
        <v>0.9999287</v>
      </c>
      <c r="AB6128">
        <v>37</v>
      </c>
      <c r="AC6128">
        <v>0.81750000000002299</v>
      </c>
      <c r="AD6128">
        <v>-9.7390999999999894E-2</v>
      </c>
      <c r="AE6128">
        <v>4.7439999999994598E-2</v>
      </c>
      <c r="AF6128">
        <v>-1.15947089191212E-2</v>
      </c>
      <c r="AG6128">
        <v>-9.7390999999999894E-2</v>
      </c>
      <c r="AH6128">
        <v>0.80737066391347001</v>
      </c>
      <c r="AI6128">
        <v>96.877503796321704</v>
      </c>
      <c r="AJ6128">
        <v>90.822772303565998</v>
      </c>
      <c r="AK6128">
        <v>0.81330611279148501</v>
      </c>
      <c r="AL6128">
        <v>91.492039598281494</v>
      </c>
      <c r="AM6128">
        <v>95.464059770317306</v>
      </c>
      <c r="AN6128">
        <v>0.99999998288910297</v>
      </c>
    </row>
    <row r="6129" spans="1:40" x14ac:dyDescent="0.3">
      <c r="A6129" t="str">
        <f>"20200111160624389"</f>
        <v>20200111160624389</v>
      </c>
      <c r="B6129" t="str">
        <f>"1578729984378745"</f>
        <v>1578729984378745</v>
      </c>
      <c r="C6129" t="s">
        <v>40</v>
      </c>
      <c r="D6129">
        <v>5.4386460000000003</v>
      </c>
      <c r="E6129">
        <v>0.53322389999999997</v>
      </c>
      <c r="F6129" t="s">
        <v>42</v>
      </c>
      <c r="G6129">
        <v>-224.96889999999999</v>
      </c>
      <c r="H6129">
        <v>1.027909</v>
      </c>
      <c r="I6129">
        <v>-61.721020000000003</v>
      </c>
      <c r="J6129">
        <v>-225.6078</v>
      </c>
      <c r="K6129">
        <v>1.1082730000000001</v>
      </c>
      <c r="L6129">
        <v>-61.757599999999996</v>
      </c>
      <c r="M6129">
        <v>0.99898670000000001</v>
      </c>
      <c r="N6129">
        <v>0</v>
      </c>
      <c r="O6129">
        <v>4.254662E-2</v>
      </c>
      <c r="P6129">
        <v>0.98969269999999998</v>
      </c>
      <c r="Q6129">
        <v>-4.1159370000000001E-2</v>
      </c>
      <c r="R6129">
        <v>0.1371667</v>
      </c>
      <c r="S6129">
        <v>2.9973139999999998</v>
      </c>
      <c r="T6129">
        <v>-0.29123379999999999</v>
      </c>
      <c r="U6129">
        <v>0.15978999999999999</v>
      </c>
      <c r="V6129">
        <v>-9.5055570000000006E-2</v>
      </c>
      <c r="W6129">
        <v>-2.6101320000000001E-2</v>
      </c>
      <c r="X6129">
        <v>0.99512970000000001</v>
      </c>
      <c r="Y6129">
        <v>-1.084512E-2</v>
      </c>
      <c r="Z6129">
        <v>-3.594491E-3</v>
      </c>
      <c r="AA6129">
        <v>0.99993469999999995</v>
      </c>
      <c r="AB6129">
        <v>37</v>
      </c>
      <c r="AC6129">
        <v>0.63890000000000602</v>
      </c>
      <c r="AD6129">
        <v>-8.0364000000000102E-2</v>
      </c>
      <c r="AE6129">
        <v>3.6580000000000702E-2</v>
      </c>
      <c r="AF6129">
        <v>-9.2155749444929203E-3</v>
      </c>
      <c r="AG6129">
        <v>-8.0364000000000102E-2</v>
      </c>
      <c r="AH6129">
        <v>0.62994355522560896</v>
      </c>
      <c r="AI6129">
        <v>97.269373454758906</v>
      </c>
      <c r="AJ6129">
        <v>90.838132056725698</v>
      </c>
      <c r="AK6129">
        <v>0.63511588083422799</v>
      </c>
      <c r="AL6129">
        <v>91.495665365887504</v>
      </c>
      <c r="AM6129">
        <v>95.456382935324996</v>
      </c>
      <c r="AN6129">
        <v>0.99999998005792801</v>
      </c>
    </row>
    <row r="6130" spans="1:40" x14ac:dyDescent="0.3">
      <c r="A6130" t="str">
        <f>"20200111160624412"</f>
        <v>20200111160624412</v>
      </c>
      <c r="B6130" t="str">
        <f>"1578729984408565"</f>
        <v>1578729984408565</v>
      </c>
      <c r="C6130" t="s">
        <v>40</v>
      </c>
      <c r="D6130">
        <v>5.1858570000000004</v>
      </c>
      <c r="E6130">
        <v>0.53320040000000002</v>
      </c>
      <c r="F6130" t="s">
        <v>42</v>
      </c>
      <c r="G6130">
        <v>-224.64670000000001</v>
      </c>
      <c r="H6130">
        <v>1.0149030000000001</v>
      </c>
      <c r="I6130">
        <v>-61.707140000000003</v>
      </c>
      <c r="J6130">
        <v>-225.23429999999999</v>
      </c>
      <c r="K6130">
        <v>1.1082430000000001</v>
      </c>
      <c r="L6130">
        <v>-61.7438</v>
      </c>
      <c r="M6130">
        <v>0.99907460000000003</v>
      </c>
      <c r="N6130">
        <v>0</v>
      </c>
      <c r="O6130">
        <v>4.0421489999999997E-2</v>
      </c>
      <c r="P6130">
        <v>0.99006380000000005</v>
      </c>
      <c r="Q6130">
        <v>-4.1843110000000003E-2</v>
      </c>
      <c r="R6130">
        <v>0.13425049999999999</v>
      </c>
      <c r="S6130">
        <v>2.9973299999999998</v>
      </c>
      <c r="T6130">
        <v>-0.29118450000000001</v>
      </c>
      <c r="U6130">
        <v>0.15740970000000001</v>
      </c>
      <c r="V6130">
        <v>-9.4249609999999998E-2</v>
      </c>
      <c r="W6130">
        <v>-2.6751799999999999E-2</v>
      </c>
      <c r="X6130">
        <v>0.99518910000000005</v>
      </c>
      <c r="Y6130">
        <v>-1.2163810000000001E-2</v>
      </c>
      <c r="Z6130">
        <v>-3.3244960000000001E-3</v>
      </c>
      <c r="AA6130">
        <v>0.99992049999999999</v>
      </c>
      <c r="AB6130">
        <v>37</v>
      </c>
      <c r="AC6130">
        <v>0.58759999999998003</v>
      </c>
      <c r="AD6130">
        <v>-9.3339999999999895E-2</v>
      </c>
      <c r="AE6130">
        <v>3.6659999999997597E-2</v>
      </c>
      <c r="AF6130">
        <v>-1.25600959394374E-2</v>
      </c>
      <c r="AG6130">
        <v>-9.3339999999999895E-2</v>
      </c>
      <c r="AH6130">
        <v>0.57416971941869699</v>
      </c>
      <c r="AI6130">
        <v>99.231353877227406</v>
      </c>
      <c r="AJ6130">
        <v>91.253158617352895</v>
      </c>
      <c r="AK6130">
        <v>0.58184274362352695</v>
      </c>
      <c r="AL6130">
        <v>91.532948121816503</v>
      </c>
      <c r="AM6130">
        <v>95.410073869309898</v>
      </c>
      <c r="AN6130">
        <v>0.99999999627360103</v>
      </c>
    </row>
    <row r="6131" spans="1:40" x14ac:dyDescent="0.3">
      <c r="A6131" t="str">
        <f>"20200111160624423"</f>
        <v>20200111160624423</v>
      </c>
      <c r="B6131" t="str">
        <f>"1578729984418324"</f>
        <v>1578729984418324</v>
      </c>
      <c r="C6131" t="s">
        <v>40</v>
      </c>
      <c r="D6131">
        <v>5.2564500000000001</v>
      </c>
      <c r="E6131">
        <v>0.53332690000000005</v>
      </c>
      <c r="F6131" t="s">
        <v>42</v>
      </c>
      <c r="G6131">
        <v>-224.31559999999999</v>
      </c>
      <c r="H6131">
        <v>1.018643</v>
      </c>
      <c r="I6131">
        <v>-61.69849</v>
      </c>
      <c r="J6131">
        <v>-225.04519999999999</v>
      </c>
      <c r="K6131">
        <v>1.1082240000000001</v>
      </c>
      <c r="L6131">
        <v>-61.73706</v>
      </c>
      <c r="M6131">
        <v>0.99911839999999996</v>
      </c>
      <c r="N6131">
        <v>0</v>
      </c>
      <c r="O6131">
        <v>3.9323959999999998E-2</v>
      </c>
      <c r="P6131">
        <v>0.99032439999999999</v>
      </c>
      <c r="Q6131">
        <v>-4.2136270000000003E-2</v>
      </c>
      <c r="R6131">
        <v>0.1322219</v>
      </c>
      <c r="S6131">
        <v>2.9976039999999999</v>
      </c>
      <c r="T6131">
        <v>-0.292213</v>
      </c>
      <c r="U6131">
        <v>0.1485901</v>
      </c>
      <c r="V6131">
        <v>-9.3307849999999998E-2</v>
      </c>
      <c r="W6131">
        <v>-2.703121E-2</v>
      </c>
      <c r="X6131">
        <v>0.99527030000000005</v>
      </c>
      <c r="Y6131">
        <v>-1.032754E-2</v>
      </c>
      <c r="Z6131">
        <v>-3.3188549999999999E-3</v>
      </c>
      <c r="AA6131">
        <v>0.99994119999999997</v>
      </c>
      <c r="AB6131">
        <v>37</v>
      </c>
      <c r="AC6131">
        <v>0.72960000000000402</v>
      </c>
      <c r="AD6131">
        <v>-8.9580999999999897E-2</v>
      </c>
      <c r="AE6131">
        <v>3.8569999999999903E-2</v>
      </c>
      <c r="AF6131">
        <v>-9.7004704902672496E-3</v>
      </c>
      <c r="AG6131">
        <v>-8.9580999999999897E-2</v>
      </c>
      <c r="AH6131">
        <v>0.719732579852292</v>
      </c>
      <c r="AI6131">
        <v>97.094154551861294</v>
      </c>
      <c r="AJ6131">
        <v>90.772178978067402</v>
      </c>
      <c r="AK6131">
        <v>0.72535084006952699</v>
      </c>
      <c r="AL6131">
        <v>91.548962912820301</v>
      </c>
      <c r="AM6131">
        <v>95.3558969109678</v>
      </c>
      <c r="AN6131">
        <v>1.00000000562388</v>
      </c>
    </row>
    <row r="6132" spans="1:40" x14ac:dyDescent="0.3">
      <c r="A6132" t="str">
        <f>"20200111160624434"</f>
        <v>20200111160624434</v>
      </c>
      <c r="B6132" t="str">
        <f>"1578729984428085"</f>
        <v>1578729984428085</v>
      </c>
      <c r="C6132" t="s">
        <v>40</v>
      </c>
      <c r="D6132">
        <v>5.2607379999999999</v>
      </c>
      <c r="E6132">
        <v>0.53341649999999996</v>
      </c>
      <c r="F6132" t="s">
        <v>42</v>
      </c>
      <c r="G6132">
        <v>-224.30369999999999</v>
      </c>
      <c r="H6132">
        <v>1.035571</v>
      </c>
      <c r="I6132">
        <v>-61.702300000000001</v>
      </c>
      <c r="J6132">
        <v>-224.85900000000001</v>
      </c>
      <c r="K6132">
        <v>1.108206</v>
      </c>
      <c r="L6132">
        <v>-61.730739999999997</v>
      </c>
      <c r="M6132">
        <v>0.99916099999999997</v>
      </c>
      <c r="N6132">
        <v>0</v>
      </c>
      <c r="O6132">
        <v>3.821509E-2</v>
      </c>
      <c r="P6132">
        <v>0.99055300000000002</v>
      </c>
      <c r="Q6132">
        <v>-4.2674839999999999E-2</v>
      </c>
      <c r="R6132">
        <v>0.1303212</v>
      </c>
      <c r="S6132">
        <v>2.9979399999999998</v>
      </c>
      <c r="T6132">
        <v>-0.29354570000000002</v>
      </c>
      <c r="U6132">
        <v>0.14144899999999999</v>
      </c>
      <c r="V6132">
        <v>-9.2508240000000005E-2</v>
      </c>
      <c r="W6132">
        <v>-2.755761E-2</v>
      </c>
      <c r="X6132">
        <v>0.99533050000000001</v>
      </c>
      <c r="Y6132">
        <v>-9.0574469999999997E-3</v>
      </c>
      <c r="Z6132">
        <v>-3.287627E-3</v>
      </c>
      <c r="AA6132">
        <v>0.9999536</v>
      </c>
      <c r="AB6132">
        <v>37</v>
      </c>
      <c r="AC6132">
        <v>0.555300000000016</v>
      </c>
      <c r="AD6132">
        <v>-7.2635000000000005E-2</v>
      </c>
      <c r="AE6132">
        <v>2.8440000000003299E-2</v>
      </c>
      <c r="AF6132">
        <v>-7.0753412004361596E-3</v>
      </c>
      <c r="AG6132">
        <v>-7.2635000000000005E-2</v>
      </c>
      <c r="AH6132">
        <v>0.54665277089704101</v>
      </c>
      <c r="AI6132">
        <v>97.568060277297903</v>
      </c>
      <c r="AJ6132">
        <v>90.7415393759522</v>
      </c>
      <c r="AK6132">
        <v>0.55150263427069501</v>
      </c>
      <c r="AL6132">
        <v>91.579134660608602</v>
      </c>
      <c r="AM6132">
        <v>95.309943239886906</v>
      </c>
      <c r="AN6132">
        <v>1.0000000002835201</v>
      </c>
    </row>
    <row r="6133" spans="1:40" x14ac:dyDescent="0.3">
      <c r="A6133" t="str">
        <f>"20200111160624445"</f>
        <v>20200111160624445</v>
      </c>
      <c r="B6133" t="str">
        <f>"1578729984438820"</f>
        <v>1578729984438820</v>
      </c>
      <c r="C6133" t="s">
        <v>40</v>
      </c>
      <c r="D6133">
        <v>5.2814740000000002</v>
      </c>
      <c r="E6133">
        <v>0.53341179999999999</v>
      </c>
      <c r="F6133" t="s">
        <v>42</v>
      </c>
      <c r="G6133">
        <v>-223.98500000000001</v>
      </c>
      <c r="H6133">
        <v>1.0219279999999999</v>
      </c>
      <c r="I6133">
        <v>-61.691400000000002</v>
      </c>
      <c r="J6133">
        <v>-224.66909999999999</v>
      </c>
      <c r="K6133">
        <v>1.1081890000000001</v>
      </c>
      <c r="L6133">
        <v>-61.724429999999998</v>
      </c>
      <c r="M6133">
        <v>0.99920379999999998</v>
      </c>
      <c r="N6133">
        <v>0</v>
      </c>
      <c r="O6133">
        <v>3.7077440000000003E-2</v>
      </c>
      <c r="P6133">
        <v>0.99082119999999996</v>
      </c>
      <c r="Q6133">
        <v>-4.3259400000000003E-2</v>
      </c>
      <c r="R6133">
        <v>0.12807060000000001</v>
      </c>
      <c r="S6133">
        <v>2.9980929999999999</v>
      </c>
      <c r="T6133">
        <v>-0.29595670000000002</v>
      </c>
      <c r="U6133">
        <v>0.13510129999999901</v>
      </c>
      <c r="V6133">
        <v>-9.1387120000000002E-2</v>
      </c>
      <c r="W6133">
        <v>-2.813154E-2</v>
      </c>
      <c r="X6133">
        <v>0.99541800000000003</v>
      </c>
      <c r="Y6133">
        <v>-8.0824539999999993E-3</v>
      </c>
      <c r="Z6133">
        <v>-3.2506319999999998E-3</v>
      </c>
      <c r="AA6133">
        <v>0.99996200000000002</v>
      </c>
      <c r="AB6133">
        <v>37</v>
      </c>
      <c r="AC6133">
        <v>0.68409999999997195</v>
      </c>
      <c r="AD6133">
        <v>-8.6260999999999699E-2</v>
      </c>
      <c r="AE6133">
        <v>3.3030000000003598E-2</v>
      </c>
      <c r="AF6133">
        <v>-7.5205571543488703E-3</v>
      </c>
      <c r="AG6133">
        <v>-8.6260999999999699E-2</v>
      </c>
      <c r="AH6133">
        <v>0.674160270670349</v>
      </c>
      <c r="AI6133">
        <v>97.291112318851702</v>
      </c>
      <c r="AJ6133">
        <v>90.639133349253498</v>
      </c>
      <c r="AK6133">
        <v>0.67969816054718701</v>
      </c>
      <c r="AL6133">
        <v>91.612031196314604</v>
      </c>
      <c r="AM6133">
        <v>95.245493975719796</v>
      </c>
      <c r="AN6133">
        <v>0.99999999198433298</v>
      </c>
    </row>
    <row r="6134" spans="1:40" x14ac:dyDescent="0.3">
      <c r="A6134" t="str">
        <f>"20200111160624455"</f>
        <v>20200111160624455</v>
      </c>
      <c r="B6134" t="str">
        <f>"1578729984448580"</f>
        <v>1578729984448580</v>
      </c>
      <c r="C6134" t="s">
        <v>40</v>
      </c>
      <c r="D6134">
        <v>5.2507279999999996</v>
      </c>
      <c r="E6134">
        <v>0.53341689999999997</v>
      </c>
      <c r="F6134" t="s">
        <v>42</v>
      </c>
      <c r="G6134">
        <v>-223.66319999999999</v>
      </c>
      <c r="H6134">
        <v>1.0081</v>
      </c>
      <c r="I6134">
        <v>-61.681550000000001</v>
      </c>
      <c r="J6134">
        <v>-224.50290000000001</v>
      </c>
      <c r="K6134">
        <v>1.1081719999999999</v>
      </c>
      <c r="L6134">
        <v>-61.719180000000001</v>
      </c>
      <c r="M6134">
        <v>0.99924089999999999</v>
      </c>
      <c r="N6134">
        <v>0</v>
      </c>
      <c r="O6134">
        <v>3.6062230000000001E-2</v>
      </c>
      <c r="P6134">
        <v>0.99108030000000003</v>
      </c>
      <c r="Q6134">
        <v>-4.3728389999999999E-2</v>
      </c>
      <c r="R6134">
        <v>0.12588730000000001</v>
      </c>
      <c r="S6134">
        <v>2.9981840000000002</v>
      </c>
      <c r="T6134">
        <v>-0.29819889999999999</v>
      </c>
      <c r="U6134">
        <v>0.1283569</v>
      </c>
      <c r="V6134">
        <v>-9.0210150000000003E-2</v>
      </c>
      <c r="W6134">
        <v>-2.8593299999999999E-2</v>
      </c>
      <c r="X6134">
        <v>0.99551219999999996</v>
      </c>
      <c r="Y6134">
        <v>-6.8551619999999997E-3</v>
      </c>
      <c r="Z6134">
        <v>-3.2354950000000001E-3</v>
      </c>
      <c r="AA6134">
        <v>0.99997130000000001</v>
      </c>
      <c r="AB6134">
        <v>37</v>
      </c>
      <c r="AC6134">
        <v>0.83970000000002099</v>
      </c>
      <c r="AD6134">
        <v>-0.100071999999999</v>
      </c>
      <c r="AE6134">
        <v>3.7629999999999997E-2</v>
      </c>
      <c r="AF6134">
        <v>-7.2184578798322801E-3</v>
      </c>
      <c r="AG6134">
        <v>-0.100071999999999</v>
      </c>
      <c r="AH6134">
        <v>0.82876361398156095</v>
      </c>
      <c r="AI6134">
        <v>96.884790629919806</v>
      </c>
      <c r="AJ6134">
        <v>90.499028560149199</v>
      </c>
      <c r="AK6134">
        <v>0.83481473344565504</v>
      </c>
      <c r="AL6134">
        <v>91.638498740092302</v>
      </c>
      <c r="AM6134">
        <v>95.1778198517449</v>
      </c>
      <c r="AN6134">
        <v>0.99999999415837604</v>
      </c>
    </row>
    <row r="6135" spans="1:40" x14ac:dyDescent="0.3">
      <c r="A6135" t="str">
        <f>"20200111160624467"</f>
        <v>20200111160624467</v>
      </c>
      <c r="B6135" t="str">
        <f>"1578729984458341"</f>
        <v>1578729984458341</v>
      </c>
      <c r="C6135" t="s">
        <v>40</v>
      </c>
      <c r="D6135">
        <v>5.3376580000000002</v>
      </c>
      <c r="E6135">
        <v>0.53337619999999997</v>
      </c>
      <c r="F6135" t="s">
        <v>42</v>
      </c>
      <c r="G6135">
        <v>-223.6558</v>
      </c>
      <c r="H6135">
        <v>1.0233399999999999</v>
      </c>
      <c r="I6135">
        <v>-61.6849699999999</v>
      </c>
      <c r="J6135">
        <v>-224.32050000000001</v>
      </c>
      <c r="K6135">
        <v>1.1081529999999999</v>
      </c>
      <c r="L6135">
        <v>-61.713560000000001</v>
      </c>
      <c r="M6135">
        <v>0.99928059999999996</v>
      </c>
      <c r="N6135">
        <v>0</v>
      </c>
      <c r="O6135">
        <v>3.494208E-2</v>
      </c>
      <c r="P6135">
        <v>0.99132940000000003</v>
      </c>
      <c r="Q6135">
        <v>-4.3979320000000002E-2</v>
      </c>
      <c r="R6135">
        <v>0.12382310000000001</v>
      </c>
      <c r="S6135">
        <v>2.9983059999999999</v>
      </c>
      <c r="T6135">
        <v>-0.30012090000000002</v>
      </c>
      <c r="U6135">
        <v>0.1217346</v>
      </c>
      <c r="V6135">
        <v>-8.9256769999999999E-2</v>
      </c>
      <c r="W6135">
        <v>-2.8835619999999999E-2</v>
      </c>
      <c r="X6135">
        <v>0.99559120000000001</v>
      </c>
      <c r="Y6135">
        <v>-5.7712639999999999E-3</v>
      </c>
      <c r="Z6135">
        <v>-3.1986710000000002E-3</v>
      </c>
      <c r="AA6135">
        <v>0.99997820000000004</v>
      </c>
      <c r="AB6135">
        <v>37</v>
      </c>
      <c r="AC6135">
        <v>0.66470000000000995</v>
      </c>
      <c r="AD6135">
        <v>-8.4813000000000194E-2</v>
      </c>
      <c r="AE6135">
        <v>2.85900000000083E-2</v>
      </c>
      <c r="AF6135">
        <v>-5.2585575392932503E-3</v>
      </c>
      <c r="AG6135">
        <v>-8.4813000000000194E-2</v>
      </c>
      <c r="AH6135">
        <v>0.65465454509324505</v>
      </c>
      <c r="AI6135">
        <v>97.381536064379205</v>
      </c>
      <c r="AJ6135">
        <v>90.4602223811155</v>
      </c>
      <c r="AK6135">
        <v>0.66014655252272403</v>
      </c>
      <c r="AL6135">
        <v>91.652388287296503</v>
      </c>
      <c r="AM6135">
        <v>95.122986804106603</v>
      </c>
      <c r="AN6135">
        <v>1.0000000507445199</v>
      </c>
    </row>
    <row r="6136" spans="1:40" x14ac:dyDescent="0.3">
      <c r="A6136" t="str">
        <f>"20200111160624478"</f>
        <v>20200111160624478</v>
      </c>
      <c r="B6136" t="str">
        <f>"1578729984468101"</f>
        <v>1578729984468101</v>
      </c>
      <c r="C6136" t="s">
        <v>40</v>
      </c>
      <c r="D6136">
        <v>5.2165089999999896</v>
      </c>
      <c r="E6136">
        <v>0.5332266</v>
      </c>
      <c r="F6136" t="s">
        <v>42</v>
      </c>
      <c r="G6136">
        <v>-223.33459999999999</v>
      </c>
      <c r="H6136">
        <v>1.00879599999999</v>
      </c>
      <c r="I6136">
        <v>-61.675539999999998</v>
      </c>
      <c r="J6136">
        <v>-224.13470000000001</v>
      </c>
      <c r="K6136">
        <v>1.1081369999999999</v>
      </c>
      <c r="L6136">
        <v>-61.7080699999999</v>
      </c>
      <c r="M6136">
        <v>0.99932030000000005</v>
      </c>
      <c r="N6136">
        <v>0</v>
      </c>
      <c r="O6136">
        <v>3.3786770000000001E-2</v>
      </c>
      <c r="P6136">
        <v>0.99160809999999999</v>
      </c>
      <c r="Q6136">
        <v>-4.4044069999999998E-2</v>
      </c>
      <c r="R6136">
        <v>0.1215466</v>
      </c>
      <c r="S6136">
        <v>2.998367</v>
      </c>
      <c r="T6136">
        <v>-0.3021026</v>
      </c>
      <c r="U6136">
        <v>0.11584469999999999</v>
      </c>
      <c r="V6136">
        <v>-8.8123859999999998E-2</v>
      </c>
      <c r="W6136">
        <v>-2.8893599999999998E-2</v>
      </c>
      <c r="X6136">
        <v>0.99569039999999998</v>
      </c>
      <c r="Y6136">
        <v>-4.965461E-3</v>
      </c>
      <c r="Z6136">
        <v>-3.1442620000000001E-3</v>
      </c>
      <c r="AA6136">
        <v>0.9999827</v>
      </c>
      <c r="AB6136">
        <v>37</v>
      </c>
      <c r="AC6136">
        <v>0.80010000000001402</v>
      </c>
      <c r="AD6136">
        <v>-9.9341000000000304E-2</v>
      </c>
      <c r="AE6136">
        <v>3.2529999999987E-2</v>
      </c>
      <c r="AF6136">
        <v>-5.3926939353469297E-3</v>
      </c>
      <c r="AG6136">
        <v>-9.9341000000000304E-2</v>
      </c>
      <c r="AH6136">
        <v>0.78860531046095705</v>
      </c>
      <c r="AI6136">
        <v>97.179593388992103</v>
      </c>
      <c r="AJ6136">
        <v>90.391797750529307</v>
      </c>
      <c r="AK6136">
        <v>0.79485599394865403</v>
      </c>
      <c r="AL6136">
        <v>91.655711742472405</v>
      </c>
      <c r="AM6136">
        <v>95.057800388604406</v>
      </c>
      <c r="AN6136">
        <v>1.0000000137372</v>
      </c>
    </row>
    <row r="6137" spans="1:40" x14ac:dyDescent="0.3">
      <c r="A6137" t="str">
        <f>"20200111160624501"</f>
        <v>20200111160624501</v>
      </c>
      <c r="B6137" t="str">
        <f>"1578729984498357"</f>
        <v>1578729984498357</v>
      </c>
      <c r="C6137" t="s">
        <v>40</v>
      </c>
      <c r="D6137">
        <v>5.089207</v>
      </c>
      <c r="E6137">
        <v>0.43675730000000001</v>
      </c>
      <c r="F6137" t="s">
        <v>42</v>
      </c>
      <c r="G6137">
        <v>-223.32599999999999</v>
      </c>
      <c r="H6137">
        <v>1.026294</v>
      </c>
      <c r="I6137">
        <v>-61.67841</v>
      </c>
      <c r="J6137">
        <v>-223.7671</v>
      </c>
      <c r="K6137">
        <v>1.108107</v>
      </c>
      <c r="L6137">
        <v>-61.697850000000003</v>
      </c>
      <c r="M6137">
        <v>0.99939549999999999</v>
      </c>
      <c r="N6137">
        <v>0</v>
      </c>
      <c r="O6137">
        <v>3.1478390000000002E-2</v>
      </c>
      <c r="P6137">
        <v>0.99214250000000004</v>
      </c>
      <c r="Q6137">
        <v>-4.3669569999999998E-2</v>
      </c>
      <c r="R6137">
        <v>0.117245</v>
      </c>
      <c r="S6137">
        <v>2.998383</v>
      </c>
      <c r="T6137">
        <v>-0.30338929999999997</v>
      </c>
      <c r="U6137">
        <v>0.11022949999999999</v>
      </c>
      <c r="V6137">
        <v>-8.6106799999999997E-2</v>
      </c>
      <c r="W6137">
        <v>-2.8507850000000001E-2</v>
      </c>
      <c r="X6137">
        <v>0.99587800000000004</v>
      </c>
      <c r="Y6137">
        <v>-5.3923549999999997E-3</v>
      </c>
      <c r="Z6137">
        <v>-2.9034120000000002E-3</v>
      </c>
      <c r="AA6137">
        <v>0.99998120000000001</v>
      </c>
      <c r="AB6137">
        <v>37</v>
      </c>
      <c r="AC6137">
        <v>0.44110000000000499</v>
      </c>
      <c r="AD6137">
        <v>-8.18129999999999E-2</v>
      </c>
      <c r="AE6137">
        <v>1.9440000000003E-2</v>
      </c>
      <c r="AF6137">
        <v>-5.3597124760328399E-3</v>
      </c>
      <c r="AG6137">
        <v>-8.18129999999999E-2</v>
      </c>
      <c r="AH6137">
        <v>0.42683818706971</v>
      </c>
      <c r="AI6137">
        <v>100.849573568252</v>
      </c>
      <c r="AJ6137">
        <v>90.719412590685707</v>
      </c>
      <c r="AK6137">
        <v>0.43464115247843599</v>
      </c>
      <c r="AL6137">
        <v>91.633600752813294</v>
      </c>
      <c r="AM6137">
        <v>94.9416864791379</v>
      </c>
      <c r="AN6137">
        <v>1.0000000347009299</v>
      </c>
    </row>
    <row r="6138" spans="1:40" x14ac:dyDescent="0.3">
      <c r="A6138" t="str">
        <f>"20200111160624545"</f>
        <v>20200111160624545</v>
      </c>
      <c r="B6138" t="str">
        <f>"1578729984538111"</f>
        <v>1578729984538111</v>
      </c>
      <c r="C6138" t="s">
        <v>40</v>
      </c>
      <c r="D6138">
        <v>5.1437589999999904</v>
      </c>
      <c r="E6138">
        <v>0.41983549999999997</v>
      </c>
      <c r="F6138" t="s">
        <v>67</v>
      </c>
      <c r="G6138">
        <v>-204.74860000000001</v>
      </c>
      <c r="H6138" s="1">
        <v>-4.2292500000000002E-6</v>
      </c>
      <c r="I6138">
        <v>-56.116619999999998</v>
      </c>
      <c r="J6138">
        <v>-223.03440000000001</v>
      </c>
      <c r="K6138">
        <v>1.108044</v>
      </c>
      <c r="L6138">
        <v>-61.680079999999997</v>
      </c>
      <c r="M6138">
        <v>0.99953139999999996</v>
      </c>
      <c r="N6138">
        <v>0</v>
      </c>
      <c r="O6138">
        <v>2.6808720000000001E-2</v>
      </c>
      <c r="P6138">
        <v>0.99272729999999998</v>
      </c>
      <c r="Q6138">
        <v>-4.4567820000000001E-2</v>
      </c>
      <c r="R6138">
        <v>0.111833</v>
      </c>
      <c r="S6138">
        <v>2.9151760000000002</v>
      </c>
      <c r="T6138">
        <v>-0.1698527</v>
      </c>
      <c r="U6138">
        <v>0.85549929999999996</v>
      </c>
      <c r="V6138">
        <v>-8.5339109999999996E-2</v>
      </c>
      <c r="W6138">
        <v>-2.9383340000000001E-2</v>
      </c>
      <c r="X6138">
        <v>0.99591859999999999</v>
      </c>
      <c r="Y6138">
        <v>-0.25540479999999999</v>
      </c>
      <c r="Z6138">
        <v>5.7540300000000003E-3</v>
      </c>
      <c r="AA6138">
        <v>0.96681709999999998</v>
      </c>
      <c r="AB6138">
        <v>37</v>
      </c>
      <c r="AC6138">
        <v>18.285799999999899</v>
      </c>
      <c r="AD6138">
        <v>-1.10804822925</v>
      </c>
      <c r="AE6138">
        <v>5.5634600000000001</v>
      </c>
      <c r="AF6138">
        <v>-5.0542014640078401</v>
      </c>
      <c r="AG6138">
        <v>-1.10804822925</v>
      </c>
      <c r="AH6138">
        <v>18.366665407816601</v>
      </c>
      <c r="AI6138">
        <v>93.328979233193195</v>
      </c>
      <c r="AJ6138">
        <v>105.386020125588</v>
      </c>
      <c r="AK6138">
        <v>19.081591168448401</v>
      </c>
      <c r="AL6138">
        <v>91.683783718501999</v>
      </c>
      <c r="AM6138">
        <v>94.897645176482797</v>
      </c>
      <c r="AN6138">
        <v>1.0000000010955501</v>
      </c>
    </row>
    <row r="6139" spans="1:40" x14ac:dyDescent="0.3">
      <c r="A6139" t="str">
        <f>"20200111160624556"</f>
        <v>20200111160624556</v>
      </c>
      <c r="B6139" t="str">
        <f>"1578729984548847"</f>
        <v>1578729984548847</v>
      </c>
      <c r="C6139" t="s">
        <v>40</v>
      </c>
      <c r="D6139">
        <v>5.002129</v>
      </c>
      <c r="E6139">
        <v>0.41235630000000001</v>
      </c>
      <c r="F6139" t="s">
        <v>67</v>
      </c>
      <c r="G6139">
        <v>-202.17670000000001</v>
      </c>
      <c r="H6139" s="1">
        <v>-5.7728379999999998E-6</v>
      </c>
      <c r="I6139">
        <v>-54.696060000000003</v>
      </c>
      <c r="J6139">
        <v>-222.85650000000001</v>
      </c>
      <c r="K6139">
        <v>1.1080239999999999</v>
      </c>
      <c r="L6139">
        <v>-61.67633</v>
      </c>
      <c r="M6139">
        <v>0.99956140000000004</v>
      </c>
      <c r="N6139">
        <v>0</v>
      </c>
      <c r="O6139">
        <v>2.5666899999999999E-2</v>
      </c>
      <c r="P6139">
        <v>0.99276790000000004</v>
      </c>
      <c r="Q6139">
        <v>-4.5246670000000003E-2</v>
      </c>
      <c r="R6139">
        <v>0.11119859999999999</v>
      </c>
      <c r="S6139">
        <v>2.9054720000000001</v>
      </c>
      <c r="T6139">
        <v>-0.1543506</v>
      </c>
      <c r="U6139">
        <v>0.97286989999999995</v>
      </c>
      <c r="V6139">
        <v>-8.5845039999999997E-2</v>
      </c>
      <c r="W6139">
        <v>-3.0056090000000001E-2</v>
      </c>
      <c r="X6139">
        <v>0.99585500000000005</v>
      </c>
      <c r="Y6139">
        <v>-0.29272989999999999</v>
      </c>
      <c r="Z6139">
        <v>6.2389619999999998E-3</v>
      </c>
      <c r="AA6139">
        <v>0.95617479999999999</v>
      </c>
      <c r="AB6139">
        <v>36</v>
      </c>
      <c r="AC6139">
        <v>20.6798</v>
      </c>
      <c r="AD6139">
        <v>-1.108029772838</v>
      </c>
      <c r="AE6139">
        <v>6.9802700000000097</v>
      </c>
      <c r="AF6139">
        <v>-6.4305526463856602</v>
      </c>
      <c r="AG6139">
        <v>-1.108029772838</v>
      </c>
      <c r="AH6139">
        <v>20.798564611141</v>
      </c>
      <c r="AI6139">
        <v>92.913676385133201</v>
      </c>
      <c r="AJ6139">
        <v>107.18069474347401</v>
      </c>
      <c r="AK6139">
        <v>21.7981656842781</v>
      </c>
      <c r="AL6139">
        <v>91.722346559526102</v>
      </c>
      <c r="AM6139">
        <v>94.9268512990528</v>
      </c>
      <c r="AN6139">
        <v>0.99999996023184401</v>
      </c>
    </row>
    <row r="6140" spans="1:40" x14ac:dyDescent="0.3">
      <c r="A6140" t="str">
        <f>"20200111160624568"</f>
        <v>20200111160624568</v>
      </c>
      <c r="B6140" t="str">
        <f>"1578729984558607"</f>
        <v>1578729984558607</v>
      </c>
      <c r="C6140" t="s">
        <v>40</v>
      </c>
      <c r="D6140">
        <v>5.0403419999999999</v>
      </c>
      <c r="E6140">
        <v>0.40857589999999999</v>
      </c>
      <c r="F6140" t="s">
        <v>67</v>
      </c>
      <c r="G6140">
        <v>-202.14060000000001</v>
      </c>
      <c r="H6140" s="1">
        <v>-5.8460410000000001E-6</v>
      </c>
      <c r="I6140">
        <v>-54.314709999999998</v>
      </c>
      <c r="J6140">
        <v>-222.6738</v>
      </c>
      <c r="K6140">
        <v>1.108006</v>
      </c>
      <c r="L6140">
        <v>-61.672640000000001</v>
      </c>
      <c r="M6140">
        <v>0.9995908</v>
      </c>
      <c r="N6140">
        <v>0</v>
      </c>
      <c r="O6140">
        <v>2.44938E-2</v>
      </c>
      <c r="P6140">
        <v>0.99276620000000004</v>
      </c>
      <c r="Q6140">
        <v>-4.6643869999999997E-2</v>
      </c>
      <c r="R6140">
        <v>0.1106333</v>
      </c>
      <c r="S6140">
        <v>2.8993989999999998</v>
      </c>
      <c r="T6140">
        <v>-0.1550802</v>
      </c>
      <c r="U6140">
        <v>1.0303340000000001</v>
      </c>
      <c r="V6140">
        <v>-8.6456270000000002E-2</v>
      </c>
      <c r="W6140">
        <v>-3.1447410000000002E-2</v>
      </c>
      <c r="X6140">
        <v>0.99575919999999896</v>
      </c>
      <c r="Y6140">
        <v>-0.3113012</v>
      </c>
      <c r="Z6140">
        <v>6.8035309999999998E-3</v>
      </c>
      <c r="AA6140">
        <v>0.95028690000000005</v>
      </c>
      <c r="AB6140">
        <v>36</v>
      </c>
      <c r="AC6140">
        <v>20.533199999999901</v>
      </c>
      <c r="AD6140">
        <v>-1.108011846041</v>
      </c>
      <c r="AE6140">
        <v>7.3579299999999996</v>
      </c>
      <c r="AF6140">
        <v>-6.8350928568966696</v>
      </c>
      <c r="AG6140">
        <v>-1.108011846041</v>
      </c>
      <c r="AH6140">
        <v>20.6539834640739</v>
      </c>
      <c r="AI6140">
        <v>92.915554533135406</v>
      </c>
      <c r="AJ6140">
        <v>108.311104118084</v>
      </c>
      <c r="AK6140">
        <v>21.783783361657001</v>
      </c>
      <c r="AL6140">
        <v>91.802100971499499</v>
      </c>
      <c r="AM6140">
        <v>94.962231713461094</v>
      </c>
      <c r="AN6140">
        <v>1.00000000530133</v>
      </c>
    </row>
    <row r="6141" spans="1:40" x14ac:dyDescent="0.3">
      <c r="A6141" t="str">
        <f>"20200111160624578"</f>
        <v>20200111160624578</v>
      </c>
      <c r="B6141" t="str">
        <f>"1578729984568368"</f>
        <v>1578729984568368</v>
      </c>
      <c r="C6141" t="s">
        <v>40</v>
      </c>
      <c r="D6141">
        <v>5.0881809999999996</v>
      </c>
      <c r="E6141">
        <v>0.40607919999999997</v>
      </c>
      <c r="F6141" t="s">
        <v>67</v>
      </c>
      <c r="G6141">
        <v>-203.01679999999999</v>
      </c>
      <c r="H6141" s="1">
        <v>-5.4732569999999996E-6</v>
      </c>
      <c r="I6141">
        <v>-54.485919999999901</v>
      </c>
      <c r="J6141">
        <v>-222.49199999999999</v>
      </c>
      <c r="K6141">
        <v>1.1079870000000001</v>
      </c>
      <c r="L6141">
        <v>-61.66919</v>
      </c>
      <c r="M6141">
        <v>0.99961860000000002</v>
      </c>
      <c r="N6141">
        <v>0</v>
      </c>
      <c r="O6141">
        <v>2.3325800000000001E-2</v>
      </c>
      <c r="P6141">
        <v>0.99274830000000003</v>
      </c>
      <c r="Q6141">
        <v>-4.8074480000000003E-2</v>
      </c>
      <c r="R6141">
        <v>0.11018120000000001</v>
      </c>
      <c r="S6141">
        <v>2.8961939999999999</v>
      </c>
      <c r="T6141">
        <v>-0.16325100000000001</v>
      </c>
      <c r="U6141">
        <v>1.0588679999999999</v>
      </c>
      <c r="V6141">
        <v>-8.7175409999999995E-2</v>
      </c>
      <c r="W6141">
        <v>-3.2872400000000003E-2</v>
      </c>
      <c r="X6141">
        <v>0.99565049999999999</v>
      </c>
      <c r="Y6141">
        <v>-0.32095780000000002</v>
      </c>
      <c r="Z6141">
        <v>7.4844179999999996E-3</v>
      </c>
      <c r="AA6141">
        <v>0.94706389999999996</v>
      </c>
      <c r="AB6141">
        <v>36</v>
      </c>
      <c r="AC6141">
        <v>19.475200000000001</v>
      </c>
      <c r="AD6141">
        <v>-1.1079924732569999</v>
      </c>
      <c r="AE6141">
        <v>7.1832700000000003</v>
      </c>
      <c r="AF6141">
        <v>-6.7078791346436297</v>
      </c>
      <c r="AG6141">
        <v>-1.1079924732569999</v>
      </c>
      <c r="AH6141">
        <v>19.5816827499428</v>
      </c>
      <c r="AI6141">
        <v>93.064087654587297</v>
      </c>
      <c r="AJ6141">
        <v>108.909350900885</v>
      </c>
      <c r="AK6141">
        <v>20.728376422797499</v>
      </c>
      <c r="AL6141">
        <v>91.883789093964694</v>
      </c>
      <c r="AM6141">
        <v>95.003842177090107</v>
      </c>
      <c r="AN6141">
        <v>1.00000003247033</v>
      </c>
    </row>
    <row r="6142" spans="1:40" x14ac:dyDescent="0.3">
      <c r="A6142" t="str">
        <f>"20200111160624590"</f>
        <v>20200111160624590</v>
      </c>
      <c r="B6142" t="str">
        <f>"1578729984578127"</f>
        <v>1578729984578127</v>
      </c>
      <c r="C6142" t="s">
        <v>40</v>
      </c>
      <c r="D6142">
        <v>5.0494019999999997</v>
      </c>
      <c r="E6142">
        <v>0.40353620000000001</v>
      </c>
      <c r="F6142" t="s">
        <v>67</v>
      </c>
      <c r="G6142">
        <v>-203.6086</v>
      </c>
      <c r="H6142" s="1">
        <v>-5.1379070000000004E-6</v>
      </c>
      <c r="I6142">
        <v>-54.638420000000004</v>
      </c>
      <c r="J6142">
        <v>-222.3135</v>
      </c>
      <c r="K6142">
        <v>1.1079680000000001</v>
      </c>
      <c r="L6142">
        <v>-61.666049999999998</v>
      </c>
      <c r="M6142">
        <v>0.99964459999999999</v>
      </c>
      <c r="N6142">
        <v>0</v>
      </c>
      <c r="O6142">
        <v>2.217852E-2</v>
      </c>
      <c r="P6142">
        <v>0.99270309999999995</v>
      </c>
      <c r="Q6142">
        <v>-4.9762210000000001E-2</v>
      </c>
      <c r="R6142">
        <v>0.1098368</v>
      </c>
      <c r="S6142">
        <v>2.894104</v>
      </c>
      <c r="T6142">
        <v>-0.16981250000000001</v>
      </c>
      <c r="U6142">
        <v>1.077545</v>
      </c>
      <c r="V6142">
        <v>-8.7983629999999993E-2</v>
      </c>
      <c r="W6142">
        <v>-3.45549E-2</v>
      </c>
      <c r="X6142">
        <v>0.99552240000000003</v>
      </c>
      <c r="Y6142">
        <v>-0.32759090000000002</v>
      </c>
      <c r="Z6142">
        <v>8.0347549999999993E-3</v>
      </c>
      <c r="AA6142">
        <v>0.94478549999999994</v>
      </c>
      <c r="AB6142">
        <v>36</v>
      </c>
      <c r="AC6142">
        <v>18.704899999999999</v>
      </c>
      <c r="AD6142">
        <v>-1.1079731379069999</v>
      </c>
      <c r="AE6142">
        <v>7.0276300000000003</v>
      </c>
      <c r="AF6142">
        <v>-6.5907441094907</v>
      </c>
      <c r="AG6142">
        <v>-1.1079731379069999</v>
      </c>
      <c r="AH6142">
        <v>18.798378329977801</v>
      </c>
      <c r="AI6142">
        <v>93.183534163007906</v>
      </c>
      <c r="AJ6142">
        <v>109.320754961278</v>
      </c>
      <c r="AK6142">
        <v>19.951053611979798</v>
      </c>
      <c r="AL6142">
        <v>91.980244137978701</v>
      </c>
      <c r="AM6142">
        <v>95.050641417988899</v>
      </c>
      <c r="AN6142">
        <v>1.00000000458187</v>
      </c>
    </row>
    <row r="6143" spans="1:40" x14ac:dyDescent="0.3">
      <c r="A6143" t="str">
        <f>"20200111160624601"</f>
        <v>20200111160624601</v>
      </c>
      <c r="B6143" t="str">
        <f>"1578729984598623"</f>
        <v>1578729984598623</v>
      </c>
      <c r="C6143" t="s">
        <v>40</v>
      </c>
      <c r="D6143">
        <v>5.0478529999999999</v>
      </c>
      <c r="E6143">
        <v>0.40064329999999998</v>
      </c>
      <c r="F6143" t="s">
        <v>67</v>
      </c>
      <c r="G6143">
        <v>-204.03110000000001</v>
      </c>
      <c r="H6143" s="1">
        <v>-4.9016709999999998E-6</v>
      </c>
      <c r="I6143">
        <v>-54.732970000000002</v>
      </c>
      <c r="J6143">
        <v>-222.12430000000001</v>
      </c>
      <c r="K6143">
        <v>1.107952</v>
      </c>
      <c r="L6143">
        <v>-61.662840000000003</v>
      </c>
      <c r="M6143">
        <v>0.99967090000000003</v>
      </c>
      <c r="N6143">
        <v>0</v>
      </c>
      <c r="O6143">
        <v>2.0963369999999999E-2</v>
      </c>
      <c r="P6143">
        <v>0.99265550000000002</v>
      </c>
      <c r="Q6143">
        <v>-5.1453840000000001E-2</v>
      </c>
      <c r="R6143">
        <v>0.1094898</v>
      </c>
      <c r="S6143">
        <v>2.8919220000000001</v>
      </c>
      <c r="T6143">
        <v>-0.1752599</v>
      </c>
      <c r="U6143">
        <v>1.0966800000000001</v>
      </c>
      <c r="V6143">
        <v>-8.8857450000000004E-2</v>
      </c>
      <c r="W6143">
        <v>-3.6241370000000002E-2</v>
      </c>
      <c r="X6143">
        <v>0.99538479999999996</v>
      </c>
      <c r="Y6143">
        <v>-0.33439869999999999</v>
      </c>
      <c r="Z6143">
        <v>8.5588060000000004E-3</v>
      </c>
      <c r="AA6143">
        <v>0.94239280000000003</v>
      </c>
      <c r="AB6143">
        <v>36</v>
      </c>
      <c r="AC6143">
        <v>18.0932</v>
      </c>
      <c r="AD6143">
        <v>-1.107956901671</v>
      </c>
      <c r="AE6143">
        <v>6.9298700000000002</v>
      </c>
      <c r="AF6143">
        <v>-6.5276644885735697</v>
      </c>
      <c r="AG6143">
        <v>-1.107956901671</v>
      </c>
      <c r="AH6143">
        <v>18.175077289003301</v>
      </c>
      <c r="AI6143">
        <v>93.28358268689</v>
      </c>
      <c r="AJ6143">
        <v>109.75598950670199</v>
      </c>
      <c r="AK6143">
        <v>19.343510711155499</v>
      </c>
      <c r="AL6143">
        <v>92.076932384604802</v>
      </c>
      <c r="AM6143">
        <v>95.101240538648995</v>
      </c>
      <c r="AN6143">
        <v>0.99999999169550902</v>
      </c>
    </row>
    <row r="6144" spans="1:40" x14ac:dyDescent="0.3">
      <c r="A6144" t="str">
        <f>"20200111160624612"</f>
        <v>20200111160624612</v>
      </c>
      <c r="B6144" t="str">
        <f>"1578729984607943"</f>
        <v>1578729984607943</v>
      </c>
      <c r="C6144" t="s">
        <v>40</v>
      </c>
      <c r="D6144">
        <v>5.0257199999999997</v>
      </c>
      <c r="E6144">
        <v>0.39971430000000002</v>
      </c>
      <c r="F6144" t="s">
        <v>67</v>
      </c>
      <c r="G6144">
        <v>-204.25640000000001</v>
      </c>
      <c r="H6144" s="1">
        <v>-4.7840229999999999E-6</v>
      </c>
      <c r="I6144">
        <v>-54.74588</v>
      </c>
      <c r="J6144">
        <v>-221.94</v>
      </c>
      <c r="K6144">
        <v>1.107944</v>
      </c>
      <c r="L6144">
        <v>-61.660029999999999</v>
      </c>
      <c r="M6144">
        <v>0.99969479999999999</v>
      </c>
      <c r="N6144">
        <v>0</v>
      </c>
      <c r="O6144">
        <v>1.9785919999999999E-2</v>
      </c>
      <c r="P6144">
        <v>0.99261120000000003</v>
      </c>
      <c r="Q6144">
        <v>-5.2368959999999999E-2</v>
      </c>
      <c r="R6144">
        <v>0.1094569</v>
      </c>
      <c r="S6144">
        <v>2.8895420000000001</v>
      </c>
      <c r="T6144">
        <v>-0.17917549999999999</v>
      </c>
      <c r="U6144">
        <v>1.1185909999999999</v>
      </c>
      <c r="V6144">
        <v>-9.0001579999999998E-2</v>
      </c>
      <c r="W6144">
        <v>-3.7150870000000003E-2</v>
      </c>
      <c r="X6144">
        <v>0.99524849999999998</v>
      </c>
      <c r="Y6144">
        <v>-0.34194920000000001</v>
      </c>
      <c r="Z6144">
        <v>9.0410089999999992E-3</v>
      </c>
      <c r="AA6144">
        <v>0.93967489999999998</v>
      </c>
      <c r="AB6144">
        <v>36</v>
      </c>
      <c r="AC6144">
        <v>17.683599999999899</v>
      </c>
      <c r="AD6144">
        <v>-1.107948784023</v>
      </c>
      <c r="AE6144">
        <v>6.9141499999999896</v>
      </c>
      <c r="AF6144">
        <v>-6.5406009239981699</v>
      </c>
      <c r="AG6144">
        <v>-1.107948784023</v>
      </c>
      <c r="AH6144">
        <v>17.756494598399399</v>
      </c>
      <c r="AI6144">
        <v>93.350898298004793</v>
      </c>
      <c r="AJ6144">
        <v>110.22126389772301</v>
      </c>
      <c r="AK6144">
        <v>18.955213303416301</v>
      </c>
      <c r="AL6144">
        <v>92.129077950804898</v>
      </c>
      <c r="AM6144">
        <v>95.167274688729293</v>
      </c>
      <c r="AN6144">
        <v>1.0000000241482501</v>
      </c>
    </row>
    <row r="6145" spans="1:40" x14ac:dyDescent="0.3">
      <c r="A6145" t="str">
        <f>"20200111160624624"</f>
        <v>20200111160624624</v>
      </c>
      <c r="B6145" t="str">
        <f>"1578729984618679"</f>
        <v>1578729984618679</v>
      </c>
      <c r="C6145" t="s">
        <v>40</v>
      </c>
      <c r="D6145">
        <v>4.971088</v>
      </c>
      <c r="E6145">
        <v>0.39848050000000002</v>
      </c>
      <c r="F6145" t="s">
        <v>67</v>
      </c>
      <c r="G6145">
        <v>-204.27420000000001</v>
      </c>
      <c r="H6145" s="1">
        <v>-4.7684230000000004E-6</v>
      </c>
      <c r="I6145">
        <v>-54.775149999999996</v>
      </c>
      <c r="J6145">
        <v>-221.75470000000001</v>
      </c>
      <c r="K6145">
        <v>1.107942</v>
      </c>
      <c r="L6145">
        <v>-61.657319999999999</v>
      </c>
      <c r="M6145">
        <v>0.99971750000000004</v>
      </c>
      <c r="N6145">
        <v>0</v>
      </c>
      <c r="O6145">
        <v>1.8603789999999999E-2</v>
      </c>
      <c r="P6145">
        <v>0.99259869999999994</v>
      </c>
      <c r="Q6145">
        <v>-5.2409480000000001E-2</v>
      </c>
      <c r="R6145">
        <v>0.1095507</v>
      </c>
      <c r="S6145">
        <v>2.8886409999999998</v>
      </c>
      <c r="T6145">
        <v>-0.1811682</v>
      </c>
      <c r="U6145">
        <v>1.125793</v>
      </c>
      <c r="V6145">
        <v>-9.1271329999999998E-2</v>
      </c>
      <c r="W6145">
        <v>-3.7185040000000003E-2</v>
      </c>
      <c r="X6145">
        <v>0.99513160000000001</v>
      </c>
      <c r="Y6145">
        <v>-0.34517309999999901</v>
      </c>
      <c r="Z6145">
        <v>9.3088330000000007E-3</v>
      </c>
      <c r="AA6145">
        <v>0.93849289999999996</v>
      </c>
      <c r="AB6145">
        <v>36</v>
      </c>
      <c r="AC6145">
        <v>17.480499999999999</v>
      </c>
      <c r="AD6145">
        <v>-1.107946768423</v>
      </c>
      <c r="AE6145">
        <v>6.8821700000000003</v>
      </c>
      <c r="AF6145">
        <v>-6.5330168141219103</v>
      </c>
      <c r="AG6145">
        <v>-1.107946768423</v>
      </c>
      <c r="AH6145">
        <v>17.544500362086701</v>
      </c>
      <c r="AI6145">
        <v>93.3868626296629</v>
      </c>
      <c r="AJ6145">
        <v>110.423738626673</v>
      </c>
      <c r="AK6145">
        <v>18.754128817157</v>
      </c>
      <c r="AL6145">
        <v>92.131037062980596</v>
      </c>
      <c r="AM6145">
        <v>95.240384158937204</v>
      </c>
      <c r="AN6145">
        <v>1.0000000420991599</v>
      </c>
    </row>
    <row r="6146" spans="1:40" x14ac:dyDescent="0.3">
      <c r="A6146" t="str">
        <f>"20200111160624756"</f>
        <v>20200111160624756</v>
      </c>
      <c r="B6146" t="str">
        <f>"1578729984748162"</f>
        <v>1578729984748162</v>
      </c>
      <c r="C6146" t="s">
        <v>40</v>
      </c>
      <c r="D6146">
        <v>5.1255220000000001</v>
      </c>
      <c r="E6146">
        <v>0.39756819999999998</v>
      </c>
      <c r="F6146" t="s">
        <v>67</v>
      </c>
      <c r="G6146">
        <v>-203.92500000000001</v>
      </c>
      <c r="H6146" s="1">
        <v>-4.9752820000000004E-6</v>
      </c>
      <c r="I6146">
        <v>-54.644649999999999</v>
      </c>
      <c r="J6146">
        <v>-219.5908</v>
      </c>
      <c r="K6146">
        <v>1.1085590000000001</v>
      </c>
      <c r="L6146">
        <v>-61.640140000000002</v>
      </c>
      <c r="M6146">
        <v>0.99986710000000001</v>
      </c>
      <c r="N6146">
        <v>0</v>
      </c>
      <c r="O6146">
        <v>6.87735E-3</v>
      </c>
      <c r="P6146">
        <v>0.992286</v>
      </c>
      <c r="Q6146">
        <v>-4.52112E-2</v>
      </c>
      <c r="R6146">
        <v>0.11543249999999999</v>
      </c>
      <c r="S6146">
        <v>2.887527</v>
      </c>
      <c r="T6146">
        <v>-0.17943339999999999</v>
      </c>
      <c r="U6146">
        <v>1.1357120000000001</v>
      </c>
      <c r="V6146">
        <v>-0.1087294</v>
      </c>
      <c r="W6146">
        <v>-3.0079519999999998E-2</v>
      </c>
      <c r="X6146">
        <v>0.99361619999999995</v>
      </c>
      <c r="Y6146">
        <v>-0.35902509999999999</v>
      </c>
      <c r="Z6146">
        <v>1.033325E-2</v>
      </c>
      <c r="AA6146">
        <v>0.93327070000000001</v>
      </c>
      <c r="AB6146">
        <v>36</v>
      </c>
      <c r="AC6146">
        <v>15.6657999999999</v>
      </c>
      <c r="AD6146">
        <v>-1.108563975282</v>
      </c>
      <c r="AE6146">
        <v>6.9954900000000002</v>
      </c>
      <c r="AF6146">
        <v>-6.8589378386054696</v>
      </c>
      <c r="AG6146">
        <v>-1.108563975282</v>
      </c>
      <c r="AH6146">
        <v>15.6482146030168</v>
      </c>
      <c r="AI6146">
        <v>93.712353693519503</v>
      </c>
      <c r="AJ6146">
        <v>113.66883850615601</v>
      </c>
      <c r="AK6146">
        <v>17.121348154371901</v>
      </c>
      <c r="AL6146">
        <v>91.723689527290304</v>
      </c>
      <c r="AM6146">
        <v>96.244913197756901</v>
      </c>
      <c r="AN6146">
        <v>1.00000000642511</v>
      </c>
    </row>
    <row r="6147" spans="1:40" x14ac:dyDescent="0.3">
      <c r="A6147" t="str">
        <f>"20200111160624769"</f>
        <v>20200111160624769</v>
      </c>
      <c r="B6147" t="str">
        <f>"1578729984758899"</f>
        <v>1578729984758899</v>
      </c>
      <c r="C6147" t="s">
        <v>40</v>
      </c>
      <c r="D6147">
        <v>5.0774210000000002</v>
      </c>
      <c r="E6147">
        <v>0.396648</v>
      </c>
      <c r="F6147" t="s">
        <v>67</v>
      </c>
      <c r="G6147">
        <v>-200.77709999999999</v>
      </c>
      <c r="H6147" s="1">
        <v>-6.400709E-6</v>
      </c>
      <c r="I6147">
        <v>-54.067210000000003</v>
      </c>
      <c r="J6147">
        <v>-219.41290000000001</v>
      </c>
      <c r="K6147">
        <v>1.1086849999999999</v>
      </c>
      <c r="L6147">
        <v>-61.639499999999998</v>
      </c>
      <c r="M6147">
        <v>0.99987119999999996</v>
      </c>
      <c r="N6147">
        <v>0</v>
      </c>
      <c r="O6147">
        <v>6.2630539999999997E-3</v>
      </c>
      <c r="P6147">
        <v>0.99220030000000004</v>
      </c>
      <c r="Q6147">
        <v>-4.4228530000000002E-2</v>
      </c>
      <c r="R6147">
        <v>0.1165443</v>
      </c>
      <c r="S6147">
        <v>2.8807070000000001</v>
      </c>
      <c r="T6147">
        <v>-0.16974069999999999</v>
      </c>
      <c r="U6147">
        <v>1.159546</v>
      </c>
      <c r="V6147">
        <v>-0.110439</v>
      </c>
      <c r="W6147">
        <v>-2.9126050000000001E-2</v>
      </c>
      <c r="X6147">
        <v>0.99345609999999995</v>
      </c>
      <c r="Y6147">
        <v>-0.36704989999999998</v>
      </c>
      <c r="Z6147">
        <v>1.0045220000000001E-2</v>
      </c>
      <c r="AA6147">
        <v>0.93014699999999995</v>
      </c>
      <c r="AB6147">
        <v>36</v>
      </c>
      <c r="AC6147">
        <v>18.6358</v>
      </c>
      <c r="AD6147">
        <v>-1.1086914007089901</v>
      </c>
      <c r="AE6147">
        <v>7.5722899999999997</v>
      </c>
      <c r="AF6147">
        <v>-7.4328321598205997</v>
      </c>
      <c r="AG6147">
        <v>-1.1086914007089901</v>
      </c>
      <c r="AH6147">
        <v>18.626282165692899</v>
      </c>
      <c r="AI6147">
        <v>93.164304815624405</v>
      </c>
      <c r="AJ6147">
        <v>111.75450869616201</v>
      </c>
      <c r="AK6147">
        <v>20.085183042583399</v>
      </c>
      <c r="AL6147">
        <v>91.669035674971298</v>
      </c>
      <c r="AM6147">
        <v>96.343324435931194</v>
      </c>
      <c r="AN6147">
        <v>1.0000000610683999</v>
      </c>
    </row>
    <row r="6148" spans="1:40" x14ac:dyDescent="0.3">
      <c r="A6148" t="str">
        <f>"20200111160624780"</f>
        <v>20200111160624780</v>
      </c>
      <c r="B6148" t="str">
        <f>"1578729984768658"</f>
        <v>1578729984768658</v>
      </c>
      <c r="C6148" t="s">
        <v>40</v>
      </c>
      <c r="D6148">
        <v>5.1282420000000002</v>
      </c>
      <c r="E6148">
        <v>0.39598359999999999</v>
      </c>
      <c r="F6148" t="s">
        <v>67</v>
      </c>
      <c r="G6148">
        <v>-200.3732</v>
      </c>
      <c r="H6148" s="1">
        <v>-6.5795880000000002E-6</v>
      </c>
      <c r="I6148">
        <v>-53.900799999999997</v>
      </c>
      <c r="J6148">
        <v>-219.23349999999999</v>
      </c>
      <c r="K6148">
        <v>1.1088180000000001</v>
      </c>
      <c r="L6148">
        <v>-61.638890000000004</v>
      </c>
      <c r="M6148">
        <v>0.9998745</v>
      </c>
      <c r="N6148">
        <v>0</v>
      </c>
      <c r="O6148">
        <v>5.7259980000000004E-3</v>
      </c>
      <c r="P6148">
        <v>0.99207979999999996</v>
      </c>
      <c r="Q6148">
        <v>-4.3574250000000002E-2</v>
      </c>
      <c r="R6148">
        <v>0.1178105</v>
      </c>
      <c r="S6148">
        <v>2.8786930000000002</v>
      </c>
      <c r="T6148">
        <v>-0.16762729999999901</v>
      </c>
      <c r="U6148">
        <v>1.1700440000000001</v>
      </c>
      <c r="V6148">
        <v>-0.1122277</v>
      </c>
      <c r="W6148">
        <v>-2.850546E-2</v>
      </c>
      <c r="X6148">
        <v>0.99327359999999998</v>
      </c>
      <c r="Y6148">
        <v>-0.37069419999999997</v>
      </c>
      <c r="Z6148">
        <v>1.005227E-2</v>
      </c>
      <c r="AA6148">
        <v>0.92870059999999999</v>
      </c>
      <c r="AB6148">
        <v>36</v>
      </c>
      <c r="AC6148">
        <v>18.860299999999899</v>
      </c>
      <c r="AD6148">
        <v>-1.1088245795880001</v>
      </c>
      <c r="AE6148">
        <v>7.7380899999999997</v>
      </c>
      <c r="AF6148">
        <v>-7.6074511604046204</v>
      </c>
      <c r="AG6148">
        <v>-1.1088245795880001</v>
      </c>
      <c r="AH6148">
        <v>18.848541723594401</v>
      </c>
      <c r="AI6148">
        <v>93.122526648644396</v>
      </c>
      <c r="AJ6148">
        <v>111.979472732235</v>
      </c>
      <c r="AK6148">
        <v>20.356088283663901</v>
      </c>
      <c r="AL6148">
        <v>91.633463765989305</v>
      </c>
      <c r="AM6148">
        <v>96.446379175801596</v>
      </c>
      <c r="AN6148">
        <v>1.0000000311770301</v>
      </c>
    </row>
    <row r="6149" spans="1:40" x14ac:dyDescent="0.3">
      <c r="A6149" t="str">
        <f>"20200111160625305"</f>
        <v>20200111160625305</v>
      </c>
      <c r="B6149" t="str">
        <f>"1578729985298625"</f>
        <v>1578729985298625</v>
      </c>
      <c r="C6149" t="s">
        <v>40</v>
      </c>
      <c r="D6149">
        <v>5.6070089999999997</v>
      </c>
      <c r="E6149">
        <v>0.322229299999999</v>
      </c>
      <c r="F6149" t="s">
        <v>67</v>
      </c>
      <c r="G6149">
        <v>-200.1319</v>
      </c>
      <c r="H6149" s="1">
        <v>-6.6849619999999997E-6</v>
      </c>
      <c r="I6149">
        <v>-53.810850000000002</v>
      </c>
      <c r="J6149">
        <v>-211.00960000000001</v>
      </c>
      <c r="K6149">
        <v>1.119243</v>
      </c>
      <c r="L6149">
        <v>-61.205539999999999</v>
      </c>
      <c r="M6149">
        <v>0.9922261</v>
      </c>
      <c r="N6149">
        <v>0</v>
      </c>
      <c r="O6149">
        <v>0.12340180000000001</v>
      </c>
      <c r="P6149">
        <v>0.94440599999999997</v>
      </c>
      <c r="Q6149">
        <v>-2.5754309999999999E-2</v>
      </c>
      <c r="R6149">
        <v>0.32777129999999999</v>
      </c>
      <c r="S6149">
        <v>2.876617</v>
      </c>
      <c r="T6149">
        <v>-0.16698350000000001</v>
      </c>
      <c r="U6149">
        <v>1.1788639999999999</v>
      </c>
      <c r="V6149">
        <v>-0.2084463</v>
      </c>
      <c r="W6149">
        <v>-1.4481000000000001E-2</v>
      </c>
      <c r="X6149">
        <v>0.97792659999999998</v>
      </c>
      <c r="Y6149">
        <v>-0.2619049</v>
      </c>
      <c r="Z6149">
        <v>4.7458850000000003E-4</v>
      </c>
      <c r="AA6149">
        <v>0.9650936</v>
      </c>
      <c r="AB6149">
        <v>35</v>
      </c>
      <c r="AC6149">
        <v>10.877700000000001</v>
      </c>
      <c r="AD6149">
        <v>-1.1192496849619999</v>
      </c>
      <c r="AE6149">
        <v>7.39468999999999</v>
      </c>
      <c r="AF6149">
        <v>-5.9525523220574996</v>
      </c>
      <c r="AG6149">
        <v>-1.1192496849619999</v>
      </c>
      <c r="AH6149">
        <v>11.6230129812638</v>
      </c>
      <c r="AI6149">
        <v>94.898832024021999</v>
      </c>
      <c r="AJ6149">
        <v>117.118576719518</v>
      </c>
      <c r="AK6149">
        <v>13.1064880790678</v>
      </c>
      <c r="AL6149">
        <v>90.829729186150203</v>
      </c>
      <c r="AM6149">
        <v>102.03259757507701</v>
      </c>
      <c r="AN6149">
        <v>0.99999999716612498</v>
      </c>
    </row>
    <row r="6150" spans="1:40" x14ac:dyDescent="0.3">
      <c r="A6150" t="str">
        <f>"20200111160625326"</f>
        <v>20200111160625326</v>
      </c>
      <c r="B6150" t="str">
        <f>"1578729985318146"</f>
        <v>1578729985318146</v>
      </c>
      <c r="C6150" t="s">
        <v>40</v>
      </c>
      <c r="D6150">
        <v>5.4952199999999998</v>
      </c>
      <c r="E6150">
        <v>0.32118869999999999</v>
      </c>
      <c r="F6150" t="s">
        <v>67</v>
      </c>
      <c r="G6150">
        <v>-199.15770000000001</v>
      </c>
      <c r="H6150" s="1">
        <v>-3.366667E-6</v>
      </c>
      <c r="I6150">
        <v>-49.564300000000003</v>
      </c>
      <c r="J6150">
        <v>-210.6773</v>
      </c>
      <c r="K6150">
        <v>1.119346</v>
      </c>
      <c r="L6150">
        <v>-61.154169999999901</v>
      </c>
      <c r="M6150">
        <v>0.99092999999999998</v>
      </c>
      <c r="N6150">
        <v>0</v>
      </c>
      <c r="O6150">
        <v>0.1333926</v>
      </c>
      <c r="P6150">
        <v>0.94084420000000002</v>
      </c>
      <c r="Q6150">
        <v>-2.533811E-2</v>
      </c>
      <c r="R6150">
        <v>0.33789079999999999</v>
      </c>
      <c r="S6150">
        <v>2.364487</v>
      </c>
      <c r="T6150">
        <v>-0.22329170000000001</v>
      </c>
      <c r="U6150">
        <v>2.3224490000000002</v>
      </c>
      <c r="V6150">
        <v>-0.20909730000000001</v>
      </c>
      <c r="W6150">
        <v>-1.400358E-2</v>
      </c>
      <c r="X6150">
        <v>0.97779459999999996</v>
      </c>
      <c r="Y6150">
        <v>-0.59827149999999996</v>
      </c>
      <c r="Z6150">
        <v>1.317803E-2</v>
      </c>
      <c r="AA6150">
        <v>0.80118500000000004</v>
      </c>
      <c r="AB6150">
        <v>35</v>
      </c>
      <c r="AC6150">
        <v>11.519599999999899</v>
      </c>
      <c r="AD6150">
        <v>-1.119349366667</v>
      </c>
      <c r="AE6150">
        <v>11.5898699999999</v>
      </c>
      <c r="AF6150">
        <v>-9.9029678469525706</v>
      </c>
      <c r="AG6150">
        <v>-1.119349366667</v>
      </c>
      <c r="AH6150">
        <v>12.9022920483328</v>
      </c>
      <c r="AI6150">
        <v>93.936951605398406</v>
      </c>
      <c r="AJ6150">
        <v>127.507520577561</v>
      </c>
      <c r="AK6150">
        <v>16.3030934267981</v>
      </c>
      <c r="AL6150">
        <v>90.802372233327205</v>
      </c>
      <c r="AM6150">
        <v>102.07065801211</v>
      </c>
      <c r="AN6150">
        <v>1.0000000304546299</v>
      </c>
    </row>
    <row r="6151" spans="1:40" x14ac:dyDescent="0.3">
      <c r="A6151" t="str">
        <f>"20200111160625337"</f>
        <v>20200111160625337</v>
      </c>
      <c r="B6151" t="str">
        <f>"1578729985328882"</f>
        <v>1578729985328882</v>
      </c>
      <c r="C6151" t="s">
        <v>40</v>
      </c>
      <c r="D6151">
        <v>5.477849</v>
      </c>
      <c r="E6151">
        <v>0.32048399999999999</v>
      </c>
      <c r="F6151" t="s">
        <v>67</v>
      </c>
      <c r="G6151">
        <v>-201.0264</v>
      </c>
      <c r="H6151" s="1">
        <v>-6.7195319999999998E-6</v>
      </c>
      <c r="I6151">
        <v>-51.421970000000002</v>
      </c>
      <c r="J6151">
        <v>-210.50980000000001</v>
      </c>
      <c r="K6151">
        <v>1.119356</v>
      </c>
      <c r="L6151">
        <v>-61.126919999999998</v>
      </c>
      <c r="M6151">
        <v>0.99018139999999999</v>
      </c>
      <c r="N6151">
        <v>0</v>
      </c>
      <c r="O6151">
        <v>0.1388269</v>
      </c>
      <c r="P6151">
        <v>0.93893530000000003</v>
      </c>
      <c r="Q6151">
        <v>-2.4807289999999999E-2</v>
      </c>
      <c r="R6151">
        <v>0.34319830000000001</v>
      </c>
      <c r="S6151">
        <v>2.3355100000000002</v>
      </c>
      <c r="T6151">
        <v>-0.27088329999999999</v>
      </c>
      <c r="U6151">
        <v>2.355194</v>
      </c>
      <c r="V6151">
        <v>-0.20926549999999999</v>
      </c>
      <c r="W6151">
        <v>-1.337166E-2</v>
      </c>
      <c r="X6151">
        <v>0.97776739999999995</v>
      </c>
      <c r="Y6151">
        <v>-0.60392349999999995</v>
      </c>
      <c r="Z6151">
        <v>1.582254E-2</v>
      </c>
      <c r="AA6151">
        <v>0.79688530000000002</v>
      </c>
      <c r="AB6151">
        <v>34</v>
      </c>
      <c r="AC6151">
        <v>9.4834000000000103</v>
      </c>
      <c r="AD6151">
        <v>-1.119362719532</v>
      </c>
      <c r="AE6151">
        <v>9.7049499999999895</v>
      </c>
      <c r="AF6151">
        <v>-8.2381589728722897</v>
      </c>
      <c r="AG6151">
        <v>-1.119362719532</v>
      </c>
      <c r="AH6151">
        <v>10.6664460301653</v>
      </c>
      <c r="AI6151">
        <v>94.747792120003197</v>
      </c>
      <c r="AJ6151">
        <v>127.680465842627</v>
      </c>
      <c r="AK6151">
        <v>13.523805199522201</v>
      </c>
      <c r="AL6151">
        <v>90.766162539308993</v>
      </c>
      <c r="AM6151">
        <v>102.08040885998599</v>
      </c>
      <c r="AN6151">
        <v>0.99999996964208204</v>
      </c>
    </row>
    <row r="6152" spans="1:40" x14ac:dyDescent="0.3">
      <c r="A6152" t="str">
        <f>"20200111160625349"</f>
        <v>20200111160625349</v>
      </c>
      <c r="B6152" t="str">
        <f>"1578729985338642"</f>
        <v>1578729985338642</v>
      </c>
      <c r="C6152" t="s">
        <v>40</v>
      </c>
      <c r="D6152">
        <v>5.5180639999999999</v>
      </c>
      <c r="E6152">
        <v>0.31977159999999999</v>
      </c>
      <c r="F6152" t="s">
        <v>42</v>
      </c>
      <c r="G6152">
        <v>-209.82320000000001</v>
      </c>
      <c r="H6152">
        <v>1.033663</v>
      </c>
      <c r="I6152">
        <v>-60.424660000000003</v>
      </c>
      <c r="J6152">
        <v>-210.34360000000001</v>
      </c>
      <c r="K6152">
        <v>1.1193979999999999</v>
      </c>
      <c r="L6152">
        <v>-61.099029999999999</v>
      </c>
      <c r="M6152">
        <v>0.98938749999999998</v>
      </c>
      <c r="N6152">
        <v>0</v>
      </c>
      <c r="O6152">
        <v>0.144367</v>
      </c>
      <c r="P6152">
        <v>0.93690289999999998</v>
      </c>
      <c r="Q6152">
        <v>-2.396883E-2</v>
      </c>
      <c r="R6152">
        <v>0.3487671</v>
      </c>
      <c r="S6152">
        <v>2.3199459999999998</v>
      </c>
      <c r="T6152">
        <v>-0.28958020000000001</v>
      </c>
      <c r="U6152">
        <v>2.3733520000000001</v>
      </c>
      <c r="V6152">
        <v>-0.20961340000000001</v>
      </c>
      <c r="W6152">
        <v>-1.2479209999999999E-2</v>
      </c>
      <c r="X6152">
        <v>0.97770469999999998</v>
      </c>
      <c r="Y6152">
        <v>-0.60499130000000001</v>
      </c>
      <c r="Z6152">
        <v>1.6459789999999998E-2</v>
      </c>
      <c r="AA6152">
        <v>0.79606199999999905</v>
      </c>
      <c r="AB6152">
        <v>34</v>
      </c>
      <c r="AC6152">
        <v>0.52039999999999498</v>
      </c>
      <c r="AD6152">
        <v>-8.5734999999999895E-2</v>
      </c>
      <c r="AE6152">
        <v>0.67437000000001002</v>
      </c>
      <c r="AF6152">
        <v>-0.58622609574288098</v>
      </c>
      <c r="AG6152">
        <v>-8.5734999999999895E-2</v>
      </c>
      <c r="AH6152">
        <v>0.60617608877717</v>
      </c>
      <c r="AI6152">
        <v>95.805271323476305</v>
      </c>
      <c r="AJ6152">
        <v>134.04147796840499</v>
      </c>
      <c r="AK6152">
        <v>0.847620773789865</v>
      </c>
      <c r="AL6152">
        <v>90.715024628117703</v>
      </c>
      <c r="AM6152">
        <v>102.10065405714199</v>
      </c>
      <c r="AN6152">
        <v>0.99999999427193698</v>
      </c>
    </row>
    <row r="6153" spans="1:40" x14ac:dyDescent="0.3">
      <c r="A6153" t="str">
        <f>"20200111160625361"</f>
        <v>20200111160625361</v>
      </c>
      <c r="B6153" t="str">
        <f>"1578729985358163"</f>
        <v>1578729985358163</v>
      </c>
      <c r="C6153" t="s">
        <v>40</v>
      </c>
      <c r="D6153">
        <v>5.5462429999999996</v>
      </c>
      <c r="E6153">
        <v>0.3203356</v>
      </c>
      <c r="F6153" t="s">
        <v>67</v>
      </c>
      <c r="G6153">
        <v>-201.65639999999999</v>
      </c>
      <c r="H6153" s="1">
        <v>-6.3785729999999997E-6</v>
      </c>
      <c r="I6153">
        <v>-52.078360000000004</v>
      </c>
      <c r="J6153">
        <v>-210.17400000000001</v>
      </c>
      <c r="K6153">
        <v>1.1194679999999999</v>
      </c>
      <c r="L6153">
        <v>-61.069760000000002</v>
      </c>
      <c r="M6153">
        <v>0.98852180000000001</v>
      </c>
      <c r="N6153">
        <v>0</v>
      </c>
      <c r="O6153">
        <v>0.15017220000000001</v>
      </c>
      <c r="P6153">
        <v>0.93476599999999999</v>
      </c>
      <c r="Q6153">
        <v>-2.3342740000000001E-2</v>
      </c>
      <c r="R6153">
        <v>0.35449629999999999</v>
      </c>
      <c r="S6153">
        <v>2.3038789999999998</v>
      </c>
      <c r="T6153">
        <v>-0.29687249999999998</v>
      </c>
      <c r="U6153">
        <v>2.392334</v>
      </c>
      <c r="V6153">
        <v>-0.20986959999999999</v>
      </c>
      <c r="W6153">
        <v>-1.1839560000000001E-2</v>
      </c>
      <c r="X6153">
        <v>0.97765769999999996</v>
      </c>
      <c r="Y6153">
        <v>-0.60618689999999997</v>
      </c>
      <c r="Z6153">
        <v>1.6390289999999998E-2</v>
      </c>
      <c r="AA6153">
        <v>0.79515329999999995</v>
      </c>
      <c r="AB6153">
        <v>34</v>
      </c>
      <c r="AC6153">
        <v>8.5176000000000105</v>
      </c>
      <c r="AD6153">
        <v>-1.1194743785729999</v>
      </c>
      <c r="AE6153">
        <v>8.9913999999999898</v>
      </c>
      <c r="AF6153">
        <v>-7.5484566121757002</v>
      </c>
      <c r="AG6153">
        <v>-1.1194743785729999</v>
      </c>
      <c r="AH6153">
        <v>9.6922404890529297</v>
      </c>
      <c r="AI6153">
        <v>95.206758234975695</v>
      </c>
      <c r="AJ6153">
        <v>127.911972699613</v>
      </c>
      <c r="AK6153">
        <v>12.335799358282999</v>
      </c>
      <c r="AL6153">
        <v>90.6783726675568</v>
      </c>
      <c r="AM6153">
        <v>102.115572634911</v>
      </c>
      <c r="AN6153">
        <v>1.0000000012772201</v>
      </c>
    </row>
    <row r="6154" spans="1:40" x14ac:dyDescent="0.3">
      <c r="A6154" t="str">
        <f>"20200111160625371"</f>
        <v>20200111160625371</v>
      </c>
      <c r="B6154" t="str">
        <f>"1578729985368898"</f>
        <v>1578729985368898</v>
      </c>
      <c r="C6154" t="s">
        <v>40</v>
      </c>
      <c r="D6154">
        <v>5.5625150000000003</v>
      </c>
      <c r="E6154">
        <v>0.32112089999999999</v>
      </c>
      <c r="F6154" t="s">
        <v>42</v>
      </c>
      <c r="G6154">
        <v>-209.5239</v>
      </c>
      <c r="H6154">
        <v>1.0298860000000001</v>
      </c>
      <c r="I6154">
        <v>-60.3880699999999</v>
      </c>
      <c r="J6154">
        <v>-210.0104</v>
      </c>
      <c r="K6154">
        <v>1.1195809999999999</v>
      </c>
      <c r="L6154">
        <v>-61.04025</v>
      </c>
      <c r="M6154">
        <v>0.98764439999999998</v>
      </c>
      <c r="N6154">
        <v>0</v>
      </c>
      <c r="O6154">
        <v>0.15583540000000001</v>
      </c>
      <c r="P6154">
        <v>0.93266210000000005</v>
      </c>
      <c r="Q6154">
        <v>-2.265321E-2</v>
      </c>
      <c r="R6154">
        <v>0.36003930000000001</v>
      </c>
      <c r="S6154">
        <v>2.2905880000000001</v>
      </c>
      <c r="T6154">
        <v>-0.31563629999999998</v>
      </c>
      <c r="U6154">
        <v>2.4018860000000002</v>
      </c>
      <c r="V6154">
        <v>-0.21007899999999999</v>
      </c>
      <c r="W6154">
        <v>-1.120024E-2</v>
      </c>
      <c r="X6154">
        <v>0.97762020000000005</v>
      </c>
      <c r="Y6154">
        <v>-0.60531080000000004</v>
      </c>
      <c r="Z6154">
        <v>1.681144E-2</v>
      </c>
      <c r="AA6154">
        <v>0.79581169999999901</v>
      </c>
      <c r="AB6154">
        <v>34</v>
      </c>
      <c r="AC6154">
        <v>0.48650000000000598</v>
      </c>
      <c r="AD6154">
        <v>-8.9694999999999803E-2</v>
      </c>
      <c r="AE6154">
        <v>0.65218000000000798</v>
      </c>
      <c r="AF6154">
        <v>-0.56156147789202604</v>
      </c>
      <c r="AG6154">
        <v>-8.9694999999999803E-2</v>
      </c>
      <c r="AH6154">
        <v>0.57521122077901699</v>
      </c>
      <c r="AI6154">
        <v>96.366610836891695</v>
      </c>
      <c r="AJ6154">
        <v>134.31205677537201</v>
      </c>
      <c r="AK6154">
        <v>0.80886614157557901</v>
      </c>
      <c r="AL6154">
        <v>90.641739935466603</v>
      </c>
      <c r="AM6154">
        <v>102.127754856895</v>
      </c>
      <c r="AN6154">
        <v>0.99999994353254695</v>
      </c>
    </row>
    <row r="6155" spans="1:40" x14ac:dyDescent="0.3">
      <c r="A6155" t="str">
        <f>"20200111160625384"</f>
        <v>20200111160625384</v>
      </c>
      <c r="B6155" t="str">
        <f>"1578729985378657"</f>
        <v>1578729985378657</v>
      </c>
      <c r="C6155" t="s">
        <v>40</v>
      </c>
      <c r="D6155">
        <v>5.6082409999999996</v>
      </c>
      <c r="E6155">
        <v>0.3219611</v>
      </c>
      <c r="F6155" t="s">
        <v>67</v>
      </c>
      <c r="G6155">
        <v>-202.04949999999999</v>
      </c>
      <c r="H6155" s="1">
        <v>-6.1448269999999997E-6</v>
      </c>
      <c r="I6155">
        <v>-52.622610000000002</v>
      </c>
      <c r="J6155">
        <v>-209.8237</v>
      </c>
      <c r="K6155">
        <v>1.119739</v>
      </c>
      <c r="L6155">
        <v>-61.005920000000003</v>
      </c>
      <c r="M6155">
        <v>0.98659940000000002</v>
      </c>
      <c r="N6155">
        <v>0</v>
      </c>
      <c r="O6155">
        <v>0.16231760000000001</v>
      </c>
      <c r="P6155">
        <v>0.93013999999999997</v>
      </c>
      <c r="Q6155">
        <v>-2.2130469999999999E-2</v>
      </c>
      <c r="R6155">
        <v>0.36653750000000002</v>
      </c>
      <c r="S6155">
        <v>2.278702</v>
      </c>
      <c r="T6155">
        <v>-0.3204649</v>
      </c>
      <c r="U6155">
        <v>2.409424</v>
      </c>
      <c r="V6155">
        <v>-0.21048510000000001</v>
      </c>
      <c r="W6155">
        <v>-1.0771879999999999E-2</v>
      </c>
      <c r="X6155">
        <v>0.97753769999999995</v>
      </c>
      <c r="Y6155">
        <v>-0.60337619999999903</v>
      </c>
      <c r="Z6155">
        <v>1.629332E-2</v>
      </c>
      <c r="AA6155">
        <v>0.79729030000000001</v>
      </c>
      <c r="AB6155">
        <v>34</v>
      </c>
      <c r="AC6155">
        <v>7.7742000000000004</v>
      </c>
      <c r="AD6155">
        <v>-1.1197451448269999</v>
      </c>
      <c r="AE6155">
        <v>8.3833099999999998</v>
      </c>
      <c r="AF6155">
        <v>-6.9434412446968103</v>
      </c>
      <c r="AG6155">
        <v>-1.1197451448269999</v>
      </c>
      <c r="AH6155">
        <v>8.9462093198785908</v>
      </c>
      <c r="AI6155">
        <v>95.646904902681797</v>
      </c>
      <c r="AJ6155">
        <v>127.816190682768</v>
      </c>
      <c r="AK6155">
        <v>11.3798008200057</v>
      </c>
      <c r="AL6155">
        <v>90.617195208293097</v>
      </c>
      <c r="AM6155">
        <v>102.151497835832</v>
      </c>
      <c r="AN6155">
        <v>0.99999998282101699</v>
      </c>
    </row>
    <row r="6156" spans="1:40" x14ac:dyDescent="0.3">
      <c r="A6156" t="str">
        <f>"20200111160625395"</f>
        <v>20200111160625395</v>
      </c>
      <c r="B6156" t="str">
        <f>"1578729985388418"</f>
        <v>1578729985388418</v>
      </c>
      <c r="C6156" t="s">
        <v>40</v>
      </c>
      <c r="D6156">
        <v>5.6328469999999999</v>
      </c>
      <c r="E6156">
        <v>0.32236579999999998</v>
      </c>
      <c r="F6156" t="s">
        <v>67</v>
      </c>
      <c r="G6156">
        <v>-202.02780000000001</v>
      </c>
      <c r="H6156" s="1">
        <v>-6.1443629999999996E-6</v>
      </c>
      <c r="I6156">
        <v>-52.677990000000001</v>
      </c>
      <c r="J6156">
        <v>-209.66159999999999</v>
      </c>
      <c r="K6156">
        <v>1.119909</v>
      </c>
      <c r="L6156">
        <v>-60.974299999999999</v>
      </c>
      <c r="M6156">
        <v>0.98565599999999998</v>
      </c>
      <c r="N6156">
        <v>0</v>
      </c>
      <c r="O6156">
        <v>0.16795309999999999</v>
      </c>
      <c r="P6156">
        <v>0.92786939999999996</v>
      </c>
      <c r="Q6156">
        <v>-2.1543690000000001E-2</v>
      </c>
      <c r="R6156">
        <v>0.37228240000000001</v>
      </c>
      <c r="S6156">
        <v>2.2643589999999998</v>
      </c>
      <c r="T6156">
        <v>-0.325235099999999</v>
      </c>
      <c r="U6156">
        <v>2.4188839999999998</v>
      </c>
      <c r="V6156">
        <v>-0.210949</v>
      </c>
      <c r="W6156">
        <v>-1.030848E-2</v>
      </c>
      <c r="X6156">
        <v>0.9774427</v>
      </c>
      <c r="Y6156">
        <v>-0.60286070000000003</v>
      </c>
      <c r="Z6156">
        <v>1.593133E-2</v>
      </c>
      <c r="AA6156">
        <v>0.79768739999999905</v>
      </c>
      <c r="AB6156">
        <v>34</v>
      </c>
      <c r="AC6156">
        <v>7.6337999999999697</v>
      </c>
      <c r="AD6156">
        <v>-1.119915144363</v>
      </c>
      <c r="AE6156">
        <v>8.2963099999999894</v>
      </c>
      <c r="AF6156">
        <v>-6.8287487498975903</v>
      </c>
      <c r="AG6156">
        <v>-1.119915144363</v>
      </c>
      <c r="AH6156">
        <v>8.83176530212166</v>
      </c>
      <c r="AI6156">
        <v>95.728523026160204</v>
      </c>
      <c r="AJ6156">
        <v>127.71130849235099</v>
      </c>
      <c r="AK6156">
        <v>11.219897404680699</v>
      </c>
      <c r="AL6156">
        <v>90.590642865013606</v>
      </c>
      <c r="AM6156">
        <v>102.178629019618</v>
      </c>
      <c r="AN6156">
        <v>0.99999998857210004</v>
      </c>
    </row>
    <row r="6157" spans="1:40" x14ac:dyDescent="0.3">
      <c r="A6157" t="str">
        <f>"20200111160625405"</f>
        <v>20200111160625405</v>
      </c>
      <c r="B6157" t="str">
        <f>"1578729985398177"</f>
        <v>1578729985398177</v>
      </c>
      <c r="C6157" t="s">
        <v>40</v>
      </c>
      <c r="D6157">
        <v>5.5037149999999997</v>
      </c>
      <c r="E6157">
        <v>0.32258029999999999</v>
      </c>
      <c r="F6157" t="s">
        <v>67</v>
      </c>
      <c r="G6157">
        <v>-202.011</v>
      </c>
      <c r="H6157" s="1">
        <v>-6.1448820000000002E-6</v>
      </c>
      <c r="I6157">
        <v>-52.715499999999999</v>
      </c>
      <c r="J6157">
        <v>-209.50739999999999</v>
      </c>
      <c r="K6157">
        <v>1.1200730000000001</v>
      </c>
      <c r="L6157">
        <v>-60.943939999999998</v>
      </c>
      <c r="M6157">
        <v>0.98472749999999998</v>
      </c>
      <c r="N6157">
        <v>0</v>
      </c>
      <c r="O6157">
        <v>0.1733151</v>
      </c>
      <c r="P6157">
        <v>0.92566400000000004</v>
      </c>
      <c r="Q6157">
        <v>-2.078203E-2</v>
      </c>
      <c r="R6157">
        <v>0.37777549999999999</v>
      </c>
      <c r="S6157">
        <v>2.2507320000000002</v>
      </c>
      <c r="T6157">
        <v>-0.32946750000000002</v>
      </c>
      <c r="U6157">
        <v>2.4296570000000002</v>
      </c>
      <c r="V6157">
        <v>-0.2114327</v>
      </c>
      <c r="W6157">
        <v>-9.6685020000000007E-3</v>
      </c>
      <c r="X6157">
        <v>0.97734480000000001</v>
      </c>
      <c r="Y6157">
        <v>-0.60266330000000001</v>
      </c>
      <c r="Z6157">
        <v>1.5567630000000001E-2</v>
      </c>
      <c r="AA6157">
        <v>0.79784370000000004</v>
      </c>
      <c r="AB6157">
        <v>34</v>
      </c>
      <c r="AC6157">
        <v>7.4963999999999897</v>
      </c>
      <c r="AD6157">
        <v>-1.12007914488199</v>
      </c>
      <c r="AE6157">
        <v>8.2284400000000009</v>
      </c>
      <c r="AF6157">
        <v>-6.7362551572055303</v>
      </c>
      <c r="AG6157">
        <v>-1.12007914488199</v>
      </c>
      <c r="AH6157">
        <v>8.7209260470339007</v>
      </c>
      <c r="AI6157">
        <v>95.803852176862506</v>
      </c>
      <c r="AJ6157">
        <v>127.683369647361</v>
      </c>
      <c r="AK6157">
        <v>11.076383071725701</v>
      </c>
      <c r="AL6157">
        <v>90.553972955408497</v>
      </c>
      <c r="AM6157">
        <v>102.206903926571</v>
      </c>
      <c r="AN6157">
        <v>1.00000006232362</v>
      </c>
    </row>
    <row r="6158" spans="1:40" x14ac:dyDescent="0.3">
      <c r="A6158" t="str">
        <f>"20200111160625438"</f>
        <v>20200111160625438</v>
      </c>
      <c r="B6158" t="str">
        <f>"1578729985428434"</f>
        <v>1578729985428434</v>
      </c>
      <c r="C6158" t="s">
        <v>40</v>
      </c>
      <c r="D6158">
        <v>5.6469480000000001</v>
      </c>
      <c r="E6158">
        <v>0.323268099999999</v>
      </c>
      <c r="F6158" t="s">
        <v>67</v>
      </c>
      <c r="G6158">
        <v>-201.95230000000001</v>
      </c>
      <c r="H6158" s="1">
        <v>-6.1694660000000003E-6</v>
      </c>
      <c r="I6158">
        <v>-52.700229999999998</v>
      </c>
      <c r="J6158">
        <v>-209.02250000000001</v>
      </c>
      <c r="K6158">
        <v>1.1205320000000001</v>
      </c>
      <c r="L6158">
        <v>-60.841160000000002</v>
      </c>
      <c r="M6158">
        <v>0.98158160000000005</v>
      </c>
      <c r="N6158">
        <v>0</v>
      </c>
      <c r="O6158">
        <v>0.19033269999999999</v>
      </c>
      <c r="P6158">
        <v>0.91863919999999999</v>
      </c>
      <c r="Q6158">
        <v>-1.8700000000000001E-2</v>
      </c>
      <c r="R6158">
        <v>0.39465470000000002</v>
      </c>
      <c r="S6158">
        <v>2.237228</v>
      </c>
      <c r="T6158">
        <v>-0.33168239999999999</v>
      </c>
      <c r="U6158">
        <v>2.4411619999999998</v>
      </c>
      <c r="V6158">
        <v>-0.2124345</v>
      </c>
      <c r="W6158">
        <v>-7.9597769999999995E-3</v>
      </c>
      <c r="X6158">
        <v>0.97714290000000004</v>
      </c>
      <c r="Y6158">
        <v>-0.59320329999999999</v>
      </c>
      <c r="Z6158">
        <v>1.322387E-2</v>
      </c>
      <c r="AA6158">
        <v>0.80494409999999905</v>
      </c>
      <c r="AB6158">
        <v>34</v>
      </c>
      <c r="AC6158">
        <v>7.0701999999999998</v>
      </c>
      <c r="AD6158">
        <v>-1.1205381694659999</v>
      </c>
      <c r="AE6158">
        <v>8.1409299999999902</v>
      </c>
      <c r="AF6158">
        <v>-6.5751871580086299</v>
      </c>
      <c r="AG6158">
        <v>-1.1205381694659999</v>
      </c>
      <c r="AH6158">
        <v>8.3998972775722294</v>
      </c>
      <c r="AI6158">
        <v>95.996596862684896</v>
      </c>
      <c r="AJ6158">
        <v>128.05277184075501</v>
      </c>
      <c r="AK6158">
        <v>10.7259948827993</v>
      </c>
      <c r="AL6158">
        <v>90.456066438980102</v>
      </c>
      <c r="AM6158">
        <v>102.265452909172</v>
      </c>
      <c r="AN6158">
        <v>1.00000001093027</v>
      </c>
    </row>
    <row r="6159" spans="1:40" x14ac:dyDescent="0.3">
      <c r="A6159" t="str">
        <f>"20200111160625449"</f>
        <v>20200111160625449</v>
      </c>
      <c r="B6159" t="str">
        <f>"1578729985438194"</f>
        <v>1578729985438194</v>
      </c>
      <c r="C6159" t="s">
        <v>40</v>
      </c>
      <c r="D6159">
        <v>5.5277520000000004</v>
      </c>
      <c r="E6159">
        <v>0.323741099999999</v>
      </c>
      <c r="F6159" t="s">
        <v>42</v>
      </c>
      <c r="G6159">
        <v>-208.37530000000001</v>
      </c>
      <c r="H6159">
        <v>1.023425</v>
      </c>
      <c r="I6159">
        <v>-60.110900000000001</v>
      </c>
      <c r="J6159">
        <v>-208.8603</v>
      </c>
      <c r="K6159">
        <v>1.12066</v>
      </c>
      <c r="L6159">
        <v>-60.804690000000001</v>
      </c>
      <c r="M6159">
        <v>0.98044129999999996</v>
      </c>
      <c r="N6159">
        <v>0</v>
      </c>
      <c r="O6159">
        <v>0.19612479999999999</v>
      </c>
      <c r="P6159">
        <v>0.91615469999999999</v>
      </c>
      <c r="Q6159">
        <v>-1.7780359999999999E-2</v>
      </c>
      <c r="R6159">
        <v>0.40043050000000002</v>
      </c>
      <c r="S6159">
        <v>2.1951139999999998</v>
      </c>
      <c r="T6159">
        <v>-0.32930779999999998</v>
      </c>
      <c r="U6159">
        <v>2.4763489999999999</v>
      </c>
      <c r="V6159">
        <v>-0.21283369999999999</v>
      </c>
      <c r="W6159">
        <v>-7.1541309999999898E-3</v>
      </c>
      <c r="X6159">
        <v>0.97706219999999999</v>
      </c>
      <c r="Y6159">
        <v>-0.60175500000000004</v>
      </c>
      <c r="Z6159">
        <v>1.310176E-2</v>
      </c>
      <c r="AA6159">
        <v>0.79857330000000004</v>
      </c>
      <c r="AB6159">
        <v>34</v>
      </c>
      <c r="AC6159">
        <v>0.484999999999985</v>
      </c>
      <c r="AD6159">
        <v>-9.7234999999999905E-2</v>
      </c>
      <c r="AE6159">
        <v>0.69378999999999902</v>
      </c>
      <c r="AF6159">
        <v>-0.57755833545962498</v>
      </c>
      <c r="AG6159">
        <v>-9.7234999999999905E-2</v>
      </c>
      <c r="AH6159">
        <v>0.60370059514414598</v>
      </c>
      <c r="AI6159">
        <v>96.638338916870694</v>
      </c>
      <c r="AJ6159">
        <v>133.73220286834001</v>
      </c>
      <c r="AK6159">
        <v>0.84111989909958096</v>
      </c>
      <c r="AL6159">
        <v>90.409905027865193</v>
      </c>
      <c r="AM6159">
        <v>102.288786171797</v>
      </c>
      <c r="AN6159">
        <v>0.99999995405744602</v>
      </c>
    </row>
    <row r="6160" spans="1:40" x14ac:dyDescent="0.3">
      <c r="A6160" t="str">
        <f>"20200111160625460"</f>
        <v>20200111160625460</v>
      </c>
      <c r="B6160" t="str">
        <f>"1578729985458689"</f>
        <v>1578729985458689</v>
      </c>
      <c r="C6160" t="s">
        <v>40</v>
      </c>
      <c r="D6160">
        <v>5.501582</v>
      </c>
      <c r="E6160">
        <v>0.3247409</v>
      </c>
      <c r="F6160" t="s">
        <v>67</v>
      </c>
      <c r="G6160">
        <v>-201.42310000000001</v>
      </c>
      <c r="H6160" s="1">
        <v>-6.4280339999999998E-6</v>
      </c>
      <c r="I6160">
        <v>-52.32705</v>
      </c>
      <c r="J6160">
        <v>-208.69200000000001</v>
      </c>
      <c r="K6160">
        <v>1.1207769999999999</v>
      </c>
      <c r="L6160">
        <v>-60.76596</v>
      </c>
      <c r="M6160">
        <v>0.97921040000000004</v>
      </c>
      <c r="N6160">
        <v>0</v>
      </c>
      <c r="O6160">
        <v>0.20218369999999999</v>
      </c>
      <c r="P6160">
        <v>0.91353709999999999</v>
      </c>
      <c r="Q6160">
        <v>-1.674407E-2</v>
      </c>
      <c r="R6160">
        <v>0.40641080000000002</v>
      </c>
      <c r="S6160">
        <v>2.1813660000000001</v>
      </c>
      <c r="T6160">
        <v>-0.32869799999999999</v>
      </c>
      <c r="U6160">
        <v>2.486542</v>
      </c>
      <c r="V6160">
        <v>-0.21319840000000001</v>
      </c>
      <c r="W6160">
        <v>-6.2267329999999999E-3</v>
      </c>
      <c r="X6160">
        <v>0.97698910000000005</v>
      </c>
      <c r="Y6160">
        <v>-0.60097440000000002</v>
      </c>
      <c r="Z6160">
        <v>1.2388400000000001E-2</v>
      </c>
      <c r="AA6160">
        <v>0.79917229999999995</v>
      </c>
      <c r="AB6160">
        <v>34</v>
      </c>
      <c r="AC6160">
        <v>7.2689000000000004</v>
      </c>
      <c r="AD6160">
        <v>-1.1207834280339899</v>
      </c>
      <c r="AE6160">
        <v>8.4389099999999999</v>
      </c>
      <c r="AF6160">
        <v>-6.7266145157589596</v>
      </c>
      <c r="AG6160">
        <v>-1.1207834280339899</v>
      </c>
      <c r="AH6160">
        <v>8.7367102626328599</v>
      </c>
      <c r="AI6160">
        <v>95.804017907790893</v>
      </c>
      <c r="AJ6160">
        <v>127.59358514226901</v>
      </c>
      <c r="AK6160">
        <v>11.083032281346499</v>
      </c>
      <c r="AL6160">
        <v>90.356767820909397</v>
      </c>
      <c r="AM6160">
        <v>102.310095015073</v>
      </c>
      <c r="AN6160">
        <v>1.0000000157426101</v>
      </c>
    </row>
    <row r="6161" spans="1:40" x14ac:dyDescent="0.3">
      <c r="A6161" t="str">
        <f>"20200111160625473"</f>
        <v>20200111160625473</v>
      </c>
      <c r="B6161" t="str">
        <f>"1578729985468450"</f>
        <v>1578729985468450</v>
      </c>
      <c r="C6161" t="s">
        <v>40</v>
      </c>
      <c r="D6161">
        <v>5.4913230000000004</v>
      </c>
      <c r="E6161">
        <v>0.3251095</v>
      </c>
      <c r="F6161" t="s">
        <v>42</v>
      </c>
      <c r="G6161">
        <v>-208.07919999999999</v>
      </c>
      <c r="H6161">
        <v>1.027739</v>
      </c>
      <c r="I6161">
        <v>-60.061520000000002</v>
      </c>
      <c r="J6161">
        <v>-208.52160000000001</v>
      </c>
      <c r="K6161">
        <v>1.1208739999999999</v>
      </c>
      <c r="L6161">
        <v>-60.72513</v>
      </c>
      <c r="M6161">
        <v>0.97790359999999998</v>
      </c>
      <c r="N6161">
        <v>0</v>
      </c>
      <c r="O6161">
        <v>0.20841499999999999</v>
      </c>
      <c r="P6161">
        <v>0.91083409999999998</v>
      </c>
      <c r="Q6161">
        <v>-1.555321E-2</v>
      </c>
      <c r="R6161">
        <v>0.41247929999999999</v>
      </c>
      <c r="S6161">
        <v>2.1686399999999999</v>
      </c>
      <c r="T6161">
        <v>-0.3292525</v>
      </c>
      <c r="U6161">
        <v>2.493439</v>
      </c>
      <c r="V6161">
        <v>-0.2135011</v>
      </c>
      <c r="W6161">
        <v>-5.1299650000000002E-3</v>
      </c>
      <c r="X6161">
        <v>0.97692939999999995</v>
      </c>
      <c r="Y6161">
        <v>-0.59932980000000002</v>
      </c>
      <c r="Z6161">
        <v>1.164655E-2</v>
      </c>
      <c r="AA6161">
        <v>0.8004175</v>
      </c>
      <c r="AB6161">
        <v>34</v>
      </c>
      <c r="AC6161">
        <v>0.44240000000002</v>
      </c>
      <c r="AD6161">
        <v>-9.3134999999999898E-2</v>
      </c>
      <c r="AE6161">
        <v>0.66361000000001202</v>
      </c>
      <c r="AF6161">
        <v>-0.54932744911605602</v>
      </c>
      <c r="AG6161">
        <v>-9.3134999999999898E-2</v>
      </c>
      <c r="AH6161">
        <v>0.56332548317904296</v>
      </c>
      <c r="AI6161">
        <v>96.750569029857999</v>
      </c>
      <c r="AJ6161">
        <v>134.27921282537699</v>
      </c>
      <c r="AK6161">
        <v>0.79231961642777504</v>
      </c>
      <c r="AL6161">
        <v>90.293926619693806</v>
      </c>
      <c r="AM6161">
        <v>102.327769191455</v>
      </c>
      <c r="AN6161">
        <v>1.00000004441323</v>
      </c>
    </row>
    <row r="6162" spans="1:40" x14ac:dyDescent="0.3">
      <c r="A6162" t="str">
        <f>"20200111160625484"</f>
        <v>20200111160625484</v>
      </c>
      <c r="B6162" t="str">
        <f>"1578729985478209"</f>
        <v>1578729985478209</v>
      </c>
      <c r="C6162" t="s">
        <v>40</v>
      </c>
      <c r="D6162">
        <v>5.553293</v>
      </c>
      <c r="E6162">
        <v>0.32559349999999998</v>
      </c>
      <c r="F6162" t="s">
        <v>67</v>
      </c>
      <c r="G6162">
        <v>-201.1311</v>
      </c>
      <c r="H6162" s="1">
        <v>-6.5693179999999898E-6</v>
      </c>
      <c r="I6162">
        <v>-52.129930000000002</v>
      </c>
      <c r="J6162">
        <v>-208.3528</v>
      </c>
      <c r="K6162">
        <v>1.1209659999999999</v>
      </c>
      <c r="L6162">
        <v>-60.684139999999999</v>
      </c>
      <c r="M6162">
        <v>0.97656169999999998</v>
      </c>
      <c r="N6162">
        <v>0</v>
      </c>
      <c r="O6162">
        <v>0.21461749999999999</v>
      </c>
      <c r="P6162">
        <v>0.90814019999999995</v>
      </c>
      <c r="Q6162">
        <v>-1.418235E-2</v>
      </c>
      <c r="R6162">
        <v>0.41842600000000002</v>
      </c>
      <c r="S6162">
        <v>2.1537630000000001</v>
      </c>
      <c r="T6162">
        <v>-0.3266521</v>
      </c>
      <c r="U6162">
        <v>2.5048520000000001</v>
      </c>
      <c r="V6162">
        <v>-0.21371709999999999</v>
      </c>
      <c r="W6162">
        <v>-3.845645E-3</v>
      </c>
      <c r="X6162">
        <v>0.97688799999999998</v>
      </c>
      <c r="Y6162">
        <v>-0.5988464</v>
      </c>
      <c r="Z6162">
        <v>1.086988E-2</v>
      </c>
      <c r="AA6162">
        <v>0.80079009999999995</v>
      </c>
      <c r="AB6162">
        <v>34</v>
      </c>
      <c r="AC6162">
        <v>7.2216999999999896</v>
      </c>
      <c r="AD6162">
        <v>-1.1209725693179999</v>
      </c>
      <c r="AE6162">
        <v>8.5542099999999905</v>
      </c>
      <c r="AF6162">
        <v>-6.7371683597479404</v>
      </c>
      <c r="AG6162">
        <v>-1.1209725693179999</v>
      </c>
      <c r="AH6162">
        <v>8.8012590502184196</v>
      </c>
      <c r="AI6162">
        <v>95.775013672298101</v>
      </c>
      <c r="AJ6162">
        <v>127.433253834773</v>
      </c>
      <c r="AK6162">
        <v>11.1403849968393</v>
      </c>
      <c r="AL6162">
        <v>90.220339776356397</v>
      </c>
      <c r="AM6162">
        <v>102.340366253681</v>
      </c>
      <c r="AN6162">
        <v>0.99999997618093694</v>
      </c>
    </row>
    <row r="6163" spans="1:40" x14ac:dyDescent="0.3">
      <c r="A6163" t="str">
        <f>"20200111160625494"</f>
        <v>20200111160625494</v>
      </c>
      <c r="B6163" t="str">
        <f>"1578729985487970"</f>
        <v>1578729985487970</v>
      </c>
      <c r="C6163" t="s">
        <v>40</v>
      </c>
      <c r="D6163">
        <v>5.5707700000000004</v>
      </c>
      <c r="E6163">
        <v>0.3258682</v>
      </c>
      <c r="F6163" t="s">
        <v>67</v>
      </c>
      <c r="G6163">
        <v>-201.0249</v>
      </c>
      <c r="H6163" s="1">
        <v>-6.6188199999999998E-6</v>
      </c>
      <c r="I6163">
        <v>-52.070399999999999</v>
      </c>
      <c r="J6163">
        <v>-208.19730000000001</v>
      </c>
      <c r="K6163">
        <v>1.121041</v>
      </c>
      <c r="L6163">
        <v>-60.644620000000003</v>
      </c>
      <c r="M6163">
        <v>0.97526599999999997</v>
      </c>
      <c r="N6163">
        <v>0</v>
      </c>
      <c r="O6163">
        <v>0.22043189999999999</v>
      </c>
      <c r="P6163">
        <v>0.90548680000000004</v>
      </c>
      <c r="Q6163">
        <v>-1.269384E-2</v>
      </c>
      <c r="R6163">
        <v>0.42418479999999997</v>
      </c>
      <c r="S6163">
        <v>2.1395569999999999</v>
      </c>
      <c r="T6163">
        <v>-0.32729799999999998</v>
      </c>
      <c r="U6163">
        <v>2.515015</v>
      </c>
      <c r="V6163">
        <v>-0.21413450000000001</v>
      </c>
      <c r="W6163">
        <v>-2.4297640000000001E-3</v>
      </c>
      <c r="X6163">
        <v>0.97680120000000004</v>
      </c>
      <c r="Y6163">
        <v>-0.59831829999999997</v>
      </c>
      <c r="Z6163">
        <v>1.024282E-2</v>
      </c>
      <c r="AA6163">
        <v>0.80119309999999999</v>
      </c>
      <c r="AB6163">
        <v>34</v>
      </c>
      <c r="AC6163">
        <v>7.1723999999999997</v>
      </c>
      <c r="AD6163">
        <v>-1.12104761882</v>
      </c>
      <c r="AE6163">
        <v>8.5742199999999897</v>
      </c>
      <c r="AF6163">
        <v>-6.7144928822030803</v>
      </c>
      <c r="AG6163">
        <v>-1.12104761882</v>
      </c>
      <c r="AH6163">
        <v>8.7977312955813503</v>
      </c>
      <c r="AI6163">
        <v>95.783987574855004</v>
      </c>
      <c r="AJ6163">
        <v>127.351138415384</v>
      </c>
      <c r="AK6163">
        <v>11.123903918052701</v>
      </c>
      <c r="AL6163">
        <v>90.139215354371999</v>
      </c>
      <c r="AM6163">
        <v>102.36479190938</v>
      </c>
      <c r="AN6163">
        <v>1.00000003608239</v>
      </c>
    </row>
    <row r="6164" spans="1:40" x14ac:dyDescent="0.3">
      <c r="A6164" t="str">
        <f>"20200111160625506"</f>
        <v>20200111160625506</v>
      </c>
      <c r="B6164" t="str">
        <f>"1578729985498705"</f>
        <v>1578729985498705</v>
      </c>
      <c r="C6164" t="s">
        <v>40</v>
      </c>
      <c r="D6164">
        <v>5.6316090000000001</v>
      </c>
      <c r="E6164">
        <v>0.32645839999999998</v>
      </c>
      <c r="F6164" t="s">
        <v>67</v>
      </c>
      <c r="G6164">
        <v>-200.9135</v>
      </c>
      <c r="H6164" s="1">
        <v>-6.6742340000000001E-6</v>
      </c>
      <c r="I6164">
        <v>-51.985619999999997</v>
      </c>
      <c r="J6164">
        <v>-208.03489999999999</v>
      </c>
      <c r="K6164">
        <v>1.1211230000000001</v>
      </c>
      <c r="L6164">
        <v>-60.602910000000001</v>
      </c>
      <c r="M6164">
        <v>0.97387179999999995</v>
      </c>
      <c r="N6164">
        <v>0</v>
      </c>
      <c r="O6164">
        <v>0.22651450000000001</v>
      </c>
      <c r="P6164">
        <v>0.90278729999999996</v>
      </c>
      <c r="Q6164">
        <v>-1.1122089999999999E-2</v>
      </c>
      <c r="R6164">
        <v>0.42994369999999998</v>
      </c>
      <c r="S6164">
        <v>2.125076</v>
      </c>
      <c r="T6164">
        <v>-0.327071</v>
      </c>
      <c r="U6164">
        <v>2.5263059999999999</v>
      </c>
      <c r="V6164">
        <v>-0.21429570000000001</v>
      </c>
      <c r="W6164">
        <v>-9.2444200000000004E-4</v>
      </c>
      <c r="X6164">
        <v>0.97676839999999998</v>
      </c>
      <c r="Y6164">
        <v>-0.59780559999999905</v>
      </c>
      <c r="Z6164">
        <v>9.5562489999999993E-3</v>
      </c>
      <c r="AA6164">
        <v>0.80158419999999997</v>
      </c>
      <c r="AB6164">
        <v>34</v>
      </c>
      <c r="AC6164">
        <v>7.1213999999999897</v>
      </c>
      <c r="AD6164">
        <v>-1.12112967423399</v>
      </c>
      <c r="AE6164">
        <v>8.6172899999999899</v>
      </c>
      <c r="AF6164">
        <v>-6.7124218613385596</v>
      </c>
      <c r="AG6164">
        <v>-1.12112967423399</v>
      </c>
      <c r="AH6164">
        <v>8.7999418997081005</v>
      </c>
      <c r="AI6164">
        <v>95.784147896533</v>
      </c>
      <c r="AJ6164">
        <v>127.335672736202</v>
      </c>
      <c r="AK6164">
        <v>11.124410835152601</v>
      </c>
      <c r="AL6164">
        <v>90.052966632313797</v>
      </c>
      <c r="AM6164">
        <v>102.374216177881</v>
      </c>
      <c r="AN6164">
        <v>1.0000000044350299</v>
      </c>
    </row>
    <row r="6165" spans="1:40" x14ac:dyDescent="0.3">
      <c r="A6165" t="str">
        <f>"20200111160625516"</f>
        <v>20200111160625516</v>
      </c>
      <c r="B6165" t="str">
        <f>"1578729985508466"</f>
        <v>1578729985508466</v>
      </c>
      <c r="C6165" t="s">
        <v>40</v>
      </c>
      <c r="D6165">
        <v>5.691789</v>
      </c>
      <c r="E6165">
        <v>0.3265422</v>
      </c>
      <c r="F6165" t="s">
        <v>67</v>
      </c>
      <c r="G6165">
        <v>-200.77590000000001</v>
      </c>
      <c r="H6165" s="1">
        <v>-6.7416019999999996E-6</v>
      </c>
      <c r="I6165">
        <v>-51.88776</v>
      </c>
      <c r="J6165">
        <v>-207.8818</v>
      </c>
      <c r="K6165">
        <v>1.1211930000000001</v>
      </c>
      <c r="L6165">
        <v>-60.562100000000001</v>
      </c>
      <c r="M6165">
        <v>0.97250300000000001</v>
      </c>
      <c r="N6165">
        <v>0</v>
      </c>
      <c r="O6165">
        <v>0.2323219</v>
      </c>
      <c r="P6165">
        <v>0.90020509999999998</v>
      </c>
      <c r="Q6165">
        <v>-1.000533E-2</v>
      </c>
      <c r="R6165">
        <v>0.4353513</v>
      </c>
      <c r="S6165">
        <v>2.1116489999999999</v>
      </c>
      <c r="T6165">
        <v>-0.32613429999999999</v>
      </c>
      <c r="U6165">
        <v>2.5352169999999998</v>
      </c>
      <c r="V6165">
        <v>-0.2143516</v>
      </c>
      <c r="W6165">
        <v>1.3953819999999999E-4</v>
      </c>
      <c r="X6165">
        <v>0.97675659999999997</v>
      </c>
      <c r="Y6165">
        <v>-0.59695399999999998</v>
      </c>
      <c r="Z6165">
        <v>8.8596009999999999E-3</v>
      </c>
      <c r="AA6165">
        <v>0.80222649999999995</v>
      </c>
      <c r="AB6165">
        <v>34</v>
      </c>
      <c r="AC6165">
        <v>7.1058999999999903</v>
      </c>
      <c r="AD6165">
        <v>-1.1211997416020001</v>
      </c>
      <c r="AE6165">
        <v>8.6743399999999902</v>
      </c>
      <c r="AF6165">
        <v>-6.71869143969022</v>
      </c>
      <c r="AG6165">
        <v>-1.1211997416020001</v>
      </c>
      <c r="AH6165">
        <v>8.8385634807570597</v>
      </c>
      <c r="AI6165">
        <v>95.766639882802096</v>
      </c>
      <c r="AJ6165">
        <v>127.240517202026</v>
      </c>
      <c r="AK6165">
        <v>11.158768208261399</v>
      </c>
      <c r="AL6165">
        <v>89.992005050367098</v>
      </c>
      <c r="AM6165">
        <v>102.377489489499</v>
      </c>
      <c r="AN6165">
        <v>1.00000004176851</v>
      </c>
    </row>
    <row r="6166" spans="1:40" x14ac:dyDescent="0.3">
      <c r="A6166" t="str">
        <f>"20200111160625527"</f>
        <v>20200111160625527</v>
      </c>
      <c r="B6166" t="str">
        <f>"1578729985518226"</f>
        <v>1578729985518226</v>
      </c>
      <c r="C6166" t="s">
        <v>40</v>
      </c>
      <c r="D6166">
        <v>5.5314569999999996</v>
      </c>
      <c r="E6166">
        <v>0.32705849999999997</v>
      </c>
      <c r="F6166" t="s">
        <v>42</v>
      </c>
      <c r="G6166">
        <v>-207.24619999999999</v>
      </c>
      <c r="H6166">
        <v>1.022311</v>
      </c>
      <c r="I6166">
        <v>-59.789879999999997</v>
      </c>
      <c r="J6166">
        <v>-207.72290000000001</v>
      </c>
      <c r="K6166">
        <v>1.1212610000000001</v>
      </c>
      <c r="L6166">
        <v>-60.5190699999999</v>
      </c>
      <c r="M6166">
        <v>0.97103819999999996</v>
      </c>
      <c r="N6166">
        <v>0</v>
      </c>
      <c r="O6166">
        <v>0.23837130000000001</v>
      </c>
      <c r="P6166">
        <v>0.89748039999999996</v>
      </c>
      <c r="Q6166">
        <v>-9.0690760000000006E-3</v>
      </c>
      <c r="R6166">
        <v>0.4409613</v>
      </c>
      <c r="S6166">
        <v>2.0970149999999999</v>
      </c>
      <c r="T6166">
        <v>-0.3262216</v>
      </c>
      <c r="U6166">
        <v>2.5473940000000002</v>
      </c>
      <c r="V6166">
        <v>-0.2143902</v>
      </c>
      <c r="W6166">
        <v>1.0235939999999901E-3</v>
      </c>
      <c r="X6166">
        <v>0.97674760000000005</v>
      </c>
      <c r="Y6166">
        <v>-0.59661949999999997</v>
      </c>
      <c r="Z6166">
        <v>8.1946220000000004E-3</v>
      </c>
      <c r="AA6166">
        <v>0.80248240000000004</v>
      </c>
      <c r="AB6166">
        <v>34</v>
      </c>
      <c r="AC6166">
        <v>0.476700000000022</v>
      </c>
      <c r="AD6166">
        <v>-9.8950000000000093E-2</v>
      </c>
      <c r="AE6166">
        <v>0.72918999999998801</v>
      </c>
      <c r="AF6166">
        <v>-0.586946211667282</v>
      </c>
      <c r="AG6166">
        <v>-9.8950000000000093E-2</v>
      </c>
      <c r="AH6166">
        <v>0.62868545907537399</v>
      </c>
      <c r="AI6166">
        <v>96.562818830148302</v>
      </c>
      <c r="AJ6166">
        <v>133.03349678407</v>
      </c>
      <c r="AK6166">
        <v>0.86576114739770405</v>
      </c>
      <c r="AL6166">
        <v>89.941352375961102</v>
      </c>
      <c r="AM6166">
        <v>102.379760235093</v>
      </c>
      <c r="AN6166">
        <v>1.00000003985323</v>
      </c>
    </row>
    <row r="6167" spans="1:40" x14ac:dyDescent="0.3">
      <c r="A6167" t="str">
        <f>"20200111160625550"</f>
        <v>20200111160625550</v>
      </c>
      <c r="B6167" t="str">
        <f>"1578729985548482"</f>
        <v>1578729985548482</v>
      </c>
      <c r="C6167" t="s">
        <v>40</v>
      </c>
      <c r="D6167">
        <v>5.5093610000000002</v>
      </c>
      <c r="E6167">
        <v>0.32649489999999998</v>
      </c>
      <c r="F6167" t="s">
        <v>67</v>
      </c>
      <c r="G6167">
        <v>-200.56129999999999</v>
      </c>
      <c r="H6167" s="1">
        <v>-6.8476079999999997E-6</v>
      </c>
      <c r="I6167">
        <v>-51.729030000000002</v>
      </c>
      <c r="J6167">
        <v>-207.399</v>
      </c>
      <c r="K6167">
        <v>1.1213959999999901</v>
      </c>
      <c r="L6167">
        <v>-60.427639999999997</v>
      </c>
      <c r="M6167">
        <v>0.96789570000000003</v>
      </c>
      <c r="N6167">
        <v>0</v>
      </c>
      <c r="O6167">
        <v>0.25082870000000002</v>
      </c>
      <c r="P6167">
        <v>0.89170689999999997</v>
      </c>
      <c r="Q6167">
        <v>-8.3378259999999996E-3</v>
      </c>
      <c r="R6167">
        <v>0.45253660000000001</v>
      </c>
      <c r="S6167">
        <v>2.0831300000000001</v>
      </c>
      <c r="T6167">
        <v>-0.32614769999999998</v>
      </c>
      <c r="U6167">
        <v>2.5567929999999999</v>
      </c>
      <c r="V6167">
        <v>-0.21449579999999999</v>
      </c>
      <c r="W6167">
        <v>1.654927E-3</v>
      </c>
      <c r="X6167">
        <v>0.97672349999999997</v>
      </c>
      <c r="Y6167">
        <v>-0.59044869999999905</v>
      </c>
      <c r="Z6167">
        <v>6.4579080000000001E-3</v>
      </c>
      <c r="AA6167">
        <v>0.80704929999999997</v>
      </c>
      <c r="AB6167">
        <v>34</v>
      </c>
      <c r="AC6167">
        <v>6.8377000000000097</v>
      </c>
      <c r="AD6167">
        <v>-1.12140284760799</v>
      </c>
      <c r="AE6167">
        <v>8.6986100000000004</v>
      </c>
      <c r="AF6167">
        <v>-6.6369598100363003</v>
      </c>
      <c r="AG6167">
        <v>-1.12140284760799</v>
      </c>
      <c r="AH6167">
        <v>8.7117083783313003</v>
      </c>
      <c r="AI6167">
        <v>95.8463622182976</v>
      </c>
      <c r="AJ6167">
        <v>127.30173322372001</v>
      </c>
      <c r="AK6167">
        <v>11.0091163467259</v>
      </c>
      <c r="AL6167">
        <v>89.905179623383702</v>
      </c>
      <c r="AM6167">
        <v>102.385966029911</v>
      </c>
      <c r="AN6167">
        <v>0.99999999122663197</v>
      </c>
    </row>
    <row r="6168" spans="1:40" x14ac:dyDescent="0.3">
      <c r="A6168" t="str">
        <f>"20200111160625561"</f>
        <v>20200111160625561</v>
      </c>
      <c r="B6168" t="str">
        <f>"1578729985558242"</f>
        <v>1578729985558242</v>
      </c>
      <c r="C6168" t="s">
        <v>40</v>
      </c>
      <c r="D6168">
        <v>5.4441199999999998</v>
      </c>
      <c r="E6168">
        <v>0.3269069</v>
      </c>
      <c r="F6168" t="s">
        <v>67</v>
      </c>
      <c r="G6168">
        <v>-199.79130000000001</v>
      </c>
      <c r="H6168" s="1">
        <v>-1.0626090000000001E-5</v>
      </c>
      <c r="I6168">
        <v>-50.817169999999997</v>
      </c>
      <c r="J6168">
        <v>-207.2362</v>
      </c>
      <c r="K6168">
        <v>1.1214580000000001</v>
      </c>
      <c r="L6168">
        <v>-60.380249999999997</v>
      </c>
      <c r="M6168">
        <v>0.96623990000000004</v>
      </c>
      <c r="N6168">
        <v>0</v>
      </c>
      <c r="O6168">
        <v>0.2571348</v>
      </c>
      <c r="P6168">
        <v>0.88859500000000002</v>
      </c>
      <c r="Q6168">
        <v>-8.247608E-3</v>
      </c>
      <c r="R6168">
        <v>0.45861869999999999</v>
      </c>
      <c r="S6168">
        <v>2.04834</v>
      </c>
      <c r="T6168">
        <v>-0.30193130000000001</v>
      </c>
      <c r="U6168">
        <v>2.587555</v>
      </c>
      <c r="V6168">
        <v>-0.2148022</v>
      </c>
      <c r="W6168">
        <v>1.6892579999999999E-3</v>
      </c>
      <c r="X6168">
        <v>0.97665610000000003</v>
      </c>
      <c r="Y6168">
        <v>-0.59673719999999997</v>
      </c>
      <c r="Z6168">
        <v>5.7328569999999896E-3</v>
      </c>
      <c r="AA6168">
        <v>0.80241629999999997</v>
      </c>
      <c r="AB6168">
        <v>34</v>
      </c>
      <c r="AC6168">
        <v>7.4448999999999899</v>
      </c>
      <c r="AD6168">
        <v>-1.12146862609</v>
      </c>
      <c r="AE6168">
        <v>9.5630799999999905</v>
      </c>
      <c r="AF6168">
        <v>-7.26464154221354</v>
      </c>
      <c r="AG6168">
        <v>-1.12146862609</v>
      </c>
      <c r="AH6168">
        <v>9.5718638539647305</v>
      </c>
      <c r="AI6168">
        <v>95.331833946179003</v>
      </c>
      <c r="AJ6168">
        <v>127.196967097206</v>
      </c>
      <c r="AK6168">
        <v>12.0686903289046</v>
      </c>
      <c r="AL6168">
        <v>89.903212598916397</v>
      </c>
      <c r="AM6168">
        <v>102.403941204842</v>
      </c>
      <c r="AN6168">
        <v>0.99999998819232006</v>
      </c>
    </row>
    <row r="6169" spans="1:40" x14ac:dyDescent="0.3">
      <c r="A6169" t="str">
        <f>"20200111160625573"</f>
        <v>20200111160625573</v>
      </c>
      <c r="B6169" t="str">
        <f>"1578729985568001"</f>
        <v>1578729985568001</v>
      </c>
      <c r="C6169" t="s">
        <v>40</v>
      </c>
      <c r="D6169">
        <v>5.4786599999999996</v>
      </c>
      <c r="E6169">
        <v>0.32707269999999999</v>
      </c>
      <c r="F6169" t="s">
        <v>42</v>
      </c>
      <c r="G6169">
        <v>-206.66839999999999</v>
      </c>
      <c r="H6169">
        <v>1.036626</v>
      </c>
      <c r="I6169">
        <v>-59.654339999999998</v>
      </c>
      <c r="J6169">
        <v>-207.0685</v>
      </c>
      <c r="K6169">
        <v>1.121521</v>
      </c>
      <c r="L6169">
        <v>-60.329619999999998</v>
      </c>
      <c r="M6169">
        <v>0.9644741</v>
      </c>
      <c r="N6169">
        <v>0</v>
      </c>
      <c r="O6169">
        <v>0.26368180000000002</v>
      </c>
      <c r="P6169">
        <v>0.88524059999999904</v>
      </c>
      <c r="Q6169">
        <v>-8.5604289999999996E-3</v>
      </c>
      <c r="R6169">
        <v>0.465055</v>
      </c>
      <c r="S6169">
        <v>2.0322879999999999</v>
      </c>
      <c r="T6169">
        <v>-0.30365259999999999</v>
      </c>
      <c r="U6169">
        <v>2.5982669999999999</v>
      </c>
      <c r="V6169">
        <v>-0.2152578</v>
      </c>
      <c r="W6169">
        <v>1.315419E-3</v>
      </c>
      <c r="X6169">
        <v>0.97655639999999999</v>
      </c>
      <c r="Y6169">
        <v>-0.59598869999999904</v>
      </c>
      <c r="Z6169">
        <v>5.0666779999999998E-3</v>
      </c>
      <c r="AA6169">
        <v>0.80297680000000005</v>
      </c>
      <c r="AB6169">
        <v>34</v>
      </c>
      <c r="AC6169">
        <v>0.400100000000008</v>
      </c>
      <c r="AD6169">
        <v>-8.4894999999999901E-2</v>
      </c>
      <c r="AE6169">
        <v>0.675279999999993</v>
      </c>
      <c r="AF6169">
        <v>-0.53955053491091798</v>
      </c>
      <c r="AG6169">
        <v>-8.4894999999999901E-2</v>
      </c>
      <c r="AH6169">
        <v>0.55749711581360695</v>
      </c>
      <c r="AI6169">
        <v>96.244701875581498</v>
      </c>
      <c r="AJ6169">
        <v>134.062783070721</v>
      </c>
      <c r="AK6169">
        <v>0.78046458913146599</v>
      </c>
      <c r="AL6169">
        <v>89.924632023276999</v>
      </c>
      <c r="AM6169">
        <v>102.430662889413</v>
      </c>
      <c r="AN6169">
        <v>1.00000002658447</v>
      </c>
    </row>
    <row r="6170" spans="1:40" x14ac:dyDescent="0.3">
      <c r="A6170" t="str">
        <f>"20200111160625595"</f>
        <v>20200111160625595</v>
      </c>
      <c r="B6170" t="str">
        <f>"1578729985588497"</f>
        <v>1578729985588497</v>
      </c>
      <c r="C6170" t="s">
        <v>40</v>
      </c>
      <c r="D6170">
        <v>5.5950480000000002</v>
      </c>
      <c r="E6170">
        <v>0.32707269999999999</v>
      </c>
      <c r="F6170" t="s">
        <v>67</v>
      </c>
      <c r="G6170">
        <v>-199.70859999999999</v>
      </c>
      <c r="H6170" s="1">
        <v>-1.062753E-5</v>
      </c>
      <c r="I6170">
        <v>-50.7866</v>
      </c>
      <c r="J6170">
        <v>-206.7458</v>
      </c>
      <c r="K6170">
        <v>1.1216360000000001</v>
      </c>
      <c r="L6170">
        <v>-60.229309999999998</v>
      </c>
      <c r="M6170">
        <v>0.9609219</v>
      </c>
      <c r="N6170">
        <v>0</v>
      </c>
      <c r="O6170">
        <v>0.27634760000000003</v>
      </c>
      <c r="P6170">
        <v>0.87824139999999995</v>
      </c>
      <c r="Q6170">
        <v>-1.065578E-2</v>
      </c>
      <c r="R6170">
        <v>0.478099</v>
      </c>
      <c r="S6170">
        <v>2.0140380000000002</v>
      </c>
      <c r="T6170">
        <v>-0.3069112</v>
      </c>
      <c r="U6170">
        <v>2.6114809999999999</v>
      </c>
      <c r="V6170">
        <v>-0.21680260000000001</v>
      </c>
      <c r="W6170">
        <v>-9.1489869999999995E-4</v>
      </c>
      <c r="X6170">
        <v>0.97621500000000005</v>
      </c>
      <c r="Y6170">
        <v>-0.59094460000000004</v>
      </c>
      <c r="Z6170">
        <v>3.5260249999999999E-3</v>
      </c>
      <c r="AA6170">
        <v>0.80670439999999999</v>
      </c>
      <c r="AB6170">
        <v>34</v>
      </c>
      <c r="AC6170">
        <v>7.0372000000000101</v>
      </c>
      <c r="AD6170">
        <v>-1.1216466275299899</v>
      </c>
      <c r="AE6170">
        <v>9.4427099999999893</v>
      </c>
      <c r="AF6170">
        <v>-7.0658271322334301</v>
      </c>
      <c r="AG6170">
        <v>-1.1216466275299899</v>
      </c>
      <c r="AH6170">
        <v>9.2886322593608703</v>
      </c>
      <c r="AI6170">
        <v>95.489729656837298</v>
      </c>
      <c r="AJ6170">
        <v>127.260109805407</v>
      </c>
      <c r="AK6170">
        <v>11.7244485358286</v>
      </c>
      <c r="AL6170">
        <v>90.052419843322994</v>
      </c>
      <c r="AM6170">
        <v>102.52130916956401</v>
      </c>
      <c r="AN6170">
        <v>0.99999996531569502</v>
      </c>
    </row>
    <row r="6171" spans="1:40" x14ac:dyDescent="0.3">
      <c r="A6171" t="str">
        <f>"20200111160625606"</f>
        <v>20200111160625606</v>
      </c>
      <c r="B6171" t="str">
        <f>"1578729985598257"</f>
        <v>1578729985598257</v>
      </c>
      <c r="C6171" t="s">
        <v>40</v>
      </c>
      <c r="D6171">
        <v>5.5103569999999999</v>
      </c>
      <c r="E6171">
        <v>0.2932592</v>
      </c>
      <c r="F6171" t="s">
        <v>42</v>
      </c>
      <c r="G6171">
        <v>-206.1403</v>
      </c>
      <c r="H6171">
        <v>1.024607</v>
      </c>
      <c r="I6171">
        <v>-59.419800000000002</v>
      </c>
      <c r="J6171">
        <v>-206.60059999999999</v>
      </c>
      <c r="K6171">
        <v>1.1216820000000001</v>
      </c>
      <c r="L6171">
        <v>-60.182830000000003</v>
      </c>
      <c r="M6171">
        <v>0.95925550000000004</v>
      </c>
      <c r="N6171">
        <v>0</v>
      </c>
      <c r="O6171">
        <v>0.28207840000000001</v>
      </c>
      <c r="P6171">
        <v>0.87468489999999999</v>
      </c>
      <c r="Q6171">
        <v>-1.1869599999999999E-2</v>
      </c>
      <c r="R6171">
        <v>0.4845467</v>
      </c>
      <c r="S6171">
        <v>1.9748380000000001</v>
      </c>
      <c r="T6171">
        <v>-0.3164573</v>
      </c>
      <c r="U6171">
        <v>2.6401059999999998</v>
      </c>
      <c r="V6171">
        <v>-0.2181264</v>
      </c>
      <c r="W6171">
        <v>-2.2082120000000002E-3</v>
      </c>
      <c r="X6171">
        <v>0.97591810000000001</v>
      </c>
      <c r="Y6171">
        <v>-0.59788750000000002</v>
      </c>
      <c r="Z6171">
        <v>3.4748219999999998E-3</v>
      </c>
      <c r="AA6171">
        <v>0.80157250000000002</v>
      </c>
      <c r="AB6171">
        <v>34</v>
      </c>
      <c r="AC6171">
        <v>0.460299999999989</v>
      </c>
      <c r="AD6171">
        <v>-9.7074999999999995E-2</v>
      </c>
      <c r="AE6171">
        <v>0.76302999999999999</v>
      </c>
      <c r="AF6171">
        <v>-0.59511622069035197</v>
      </c>
      <c r="AG6171">
        <v>-9.7074999999999995E-2</v>
      </c>
      <c r="AH6171">
        <v>0.649161538895211</v>
      </c>
      <c r="AI6171">
        <v>96.290260678505902</v>
      </c>
      <c r="AJ6171">
        <v>132.51291584463499</v>
      </c>
      <c r="AK6171">
        <v>0.88600088901454599</v>
      </c>
      <c r="AL6171">
        <v>90.126521321806905</v>
      </c>
      <c r="AM6171">
        <v>102.599041571681</v>
      </c>
      <c r="AN6171">
        <v>1.0000000702423999</v>
      </c>
    </row>
    <row r="6172" spans="1:40" x14ac:dyDescent="0.3">
      <c r="A6172" t="str">
        <f>"20200111160625616"</f>
        <v>20200111160625616</v>
      </c>
      <c r="B6172" t="str">
        <f>"1578729985608018"</f>
        <v>1578729985608018</v>
      </c>
      <c r="C6172" t="s">
        <v>40</v>
      </c>
      <c r="D6172">
        <v>5.5425950000000004</v>
      </c>
      <c r="E6172">
        <v>0.28792669999999998</v>
      </c>
      <c r="F6172" t="s">
        <v>67</v>
      </c>
      <c r="G6172">
        <v>-196.86689999999999</v>
      </c>
      <c r="H6172" s="1">
        <v>-5.3566189999999898E-6</v>
      </c>
      <c r="I6172">
        <v>-44.75262</v>
      </c>
      <c r="J6172">
        <v>-206.44499999999999</v>
      </c>
      <c r="K6172">
        <v>1.1217349999999999</v>
      </c>
      <c r="L6172">
        <v>-60.131469999999901</v>
      </c>
      <c r="M6172">
        <v>0.9574163</v>
      </c>
      <c r="N6172">
        <v>0</v>
      </c>
      <c r="O6172">
        <v>0.28825980000000001</v>
      </c>
      <c r="P6172">
        <v>0.87083189999999999</v>
      </c>
      <c r="Q6172">
        <v>-1.361164E-2</v>
      </c>
      <c r="R6172">
        <v>0.49139260000000001</v>
      </c>
      <c r="S6172">
        <v>1.8246309999999999</v>
      </c>
      <c r="T6172">
        <v>-0.21026719999999999</v>
      </c>
      <c r="U6172">
        <v>2.892487</v>
      </c>
      <c r="V6172">
        <v>-0.21944369999999999</v>
      </c>
      <c r="W6172">
        <v>-4.0300550000000003E-3</v>
      </c>
      <c r="X6172">
        <v>0.97561679999999995</v>
      </c>
      <c r="Y6172">
        <v>-0.65540909999999997</v>
      </c>
      <c r="Z6172">
        <v>4.2541810000000001E-3</v>
      </c>
      <c r="AA6172">
        <v>0.75526210000000005</v>
      </c>
      <c r="AB6172">
        <v>34</v>
      </c>
      <c r="AC6172">
        <v>9.5780999999999992</v>
      </c>
      <c r="AD6172">
        <v>-1.1217403566189901</v>
      </c>
      <c r="AE6172">
        <v>15.3788499999999</v>
      </c>
      <c r="AF6172">
        <v>-11.918848448818499</v>
      </c>
      <c r="AG6172">
        <v>-1.1217403566189901</v>
      </c>
      <c r="AH6172">
        <v>13.553149919626</v>
      </c>
      <c r="AI6172">
        <v>93.5564492626565</v>
      </c>
      <c r="AJ6172">
        <v>131.32889414227901</v>
      </c>
      <c r="AK6172">
        <v>18.083282957401</v>
      </c>
      <c r="AL6172">
        <v>90.230905777067306</v>
      </c>
      <c r="AM6172">
        <v>102.676466105477</v>
      </c>
      <c r="AN6172">
        <v>0.99999995962761501</v>
      </c>
    </row>
    <row r="6173" spans="1:40" x14ac:dyDescent="0.3">
      <c r="A6173" t="str">
        <f>"20200111160625628"</f>
        <v>20200111160625628</v>
      </c>
      <c r="B6173" t="str">
        <f>"1578729985618754"</f>
        <v>1578729985618754</v>
      </c>
      <c r="C6173" t="s">
        <v>40</v>
      </c>
      <c r="D6173">
        <v>5.5718730000000001</v>
      </c>
      <c r="E6173">
        <v>0.28522750000000002</v>
      </c>
      <c r="F6173" t="s">
        <v>67</v>
      </c>
      <c r="G6173">
        <v>-195.66540000000001</v>
      </c>
      <c r="H6173" s="1">
        <v>-6.1589189999999999E-6</v>
      </c>
      <c r="I6173">
        <v>-42.310189999999999</v>
      </c>
      <c r="J6173">
        <v>-206.28819999999999</v>
      </c>
      <c r="K6173">
        <v>1.121785</v>
      </c>
      <c r="L6173">
        <v>-60.078890000000001</v>
      </c>
      <c r="M6173">
        <v>0.95551379999999997</v>
      </c>
      <c r="N6173">
        <v>0</v>
      </c>
      <c r="O6173">
        <v>0.29450480000000001</v>
      </c>
      <c r="P6173">
        <v>0.86671260000000006</v>
      </c>
      <c r="Q6173">
        <v>-1.529256E-2</v>
      </c>
      <c r="R6173">
        <v>0.4985733</v>
      </c>
      <c r="S6173">
        <v>1.7807919999999999</v>
      </c>
      <c r="T6173">
        <v>-0.18531259999999999</v>
      </c>
      <c r="U6173">
        <v>2.9440919999999999</v>
      </c>
      <c r="V6173">
        <v>-0.22109580000000001</v>
      </c>
      <c r="W6173">
        <v>-5.8009130000000004E-3</v>
      </c>
      <c r="X6173">
        <v>0.97523490000000002</v>
      </c>
      <c r="Y6173">
        <v>-0.66475189999999995</v>
      </c>
      <c r="Z6173">
        <v>3.7181150000000001E-3</v>
      </c>
      <c r="AA6173">
        <v>0.74705489999999997</v>
      </c>
      <c r="AB6173">
        <v>34</v>
      </c>
      <c r="AC6173">
        <v>10.6227999999999</v>
      </c>
      <c r="AD6173">
        <v>-1.1217911589189999</v>
      </c>
      <c r="AE6173">
        <v>17.7686999999999</v>
      </c>
      <c r="AF6173">
        <v>-13.811021953786099</v>
      </c>
      <c r="AG6173">
        <v>-1.1217911589189999</v>
      </c>
      <c r="AH6173">
        <v>15.3401585180798</v>
      </c>
      <c r="AI6173">
        <v>93.110783553872196</v>
      </c>
      <c r="AJ6173">
        <v>131.99727953905401</v>
      </c>
      <c r="AK6173">
        <v>20.671797361913399</v>
      </c>
      <c r="AL6173">
        <v>90.332369677443097</v>
      </c>
      <c r="AM6173">
        <v>102.77362056199</v>
      </c>
      <c r="AN6173">
        <v>1.00000005677364</v>
      </c>
    </row>
    <row r="6174" spans="1:40" x14ac:dyDescent="0.3">
      <c r="A6174" t="str">
        <f>"20200111160625640"</f>
        <v>20200111160625640</v>
      </c>
      <c r="B6174" t="str">
        <f>"1578729985628514"</f>
        <v>1578729985628514</v>
      </c>
      <c r="C6174" t="s">
        <v>40</v>
      </c>
      <c r="D6174">
        <v>5.5762830000000001</v>
      </c>
      <c r="E6174">
        <v>0.28466390000000003</v>
      </c>
      <c r="F6174" t="s">
        <v>67</v>
      </c>
      <c r="G6174">
        <v>-195.86170000000001</v>
      </c>
      <c r="H6174" s="1">
        <v>-6.1873229999999996E-6</v>
      </c>
      <c r="I6174">
        <v>-42.29128</v>
      </c>
      <c r="J6174">
        <v>-206.12549999999999</v>
      </c>
      <c r="K6174">
        <v>1.121831</v>
      </c>
      <c r="L6174">
        <v>-60.023009999999999</v>
      </c>
      <c r="M6174">
        <v>0.95348330000000003</v>
      </c>
      <c r="N6174">
        <v>0</v>
      </c>
      <c r="O6174">
        <v>0.30101409999999901</v>
      </c>
      <c r="P6174">
        <v>0.86220149999999995</v>
      </c>
      <c r="Q6174">
        <v>-1.679083E-2</v>
      </c>
      <c r="R6174">
        <v>0.50628720000000005</v>
      </c>
      <c r="S6174">
        <v>1.7452700000000001</v>
      </c>
      <c r="T6174">
        <v>-0.18777350000000001</v>
      </c>
      <c r="U6174">
        <v>2.977417</v>
      </c>
      <c r="V6174">
        <v>-0.2231107</v>
      </c>
      <c r="W6174">
        <v>-7.4004469999999897E-3</v>
      </c>
      <c r="X6174">
        <v>0.97476499999999999</v>
      </c>
      <c r="Y6174">
        <v>-0.66994419999999899</v>
      </c>
      <c r="Z6174">
        <v>3.5672149999999999E-3</v>
      </c>
      <c r="AA6174">
        <v>0.74240289999999998</v>
      </c>
      <c r="AB6174">
        <v>34</v>
      </c>
      <c r="AC6174">
        <v>10.2637999999999</v>
      </c>
      <c r="AD6174">
        <v>-1.121837187323</v>
      </c>
      <c r="AE6174">
        <v>17.731729999999999</v>
      </c>
      <c r="AF6174">
        <v>-13.777848697809601</v>
      </c>
      <c r="AG6174">
        <v>-1.121837187323</v>
      </c>
      <c r="AH6174">
        <v>15.0806154345607</v>
      </c>
      <c r="AI6174">
        <v>93.143519084799806</v>
      </c>
      <c r="AJ6174">
        <v>132.41523347224299</v>
      </c>
      <c r="AK6174">
        <v>20.457580387223299</v>
      </c>
      <c r="AL6174">
        <v>90.424018259277005</v>
      </c>
      <c r="AM6174">
        <v>102.892164761315</v>
      </c>
      <c r="AN6174">
        <v>0.99999997814764396</v>
      </c>
    </row>
    <row r="6175" spans="1:40" x14ac:dyDescent="0.3">
      <c r="A6175" t="str">
        <f>"20200111160625651"</f>
        <v>20200111160625651</v>
      </c>
      <c r="B6175" t="str">
        <f>"1578729985648034"</f>
        <v>1578729985648034</v>
      </c>
      <c r="C6175" t="s">
        <v>40</v>
      </c>
      <c r="D6175">
        <v>5.5644589999999896</v>
      </c>
      <c r="E6175">
        <v>0.28428930000000002</v>
      </c>
      <c r="F6175" t="s">
        <v>67</v>
      </c>
      <c r="G6175">
        <v>-196.04839999999999</v>
      </c>
      <c r="H6175" s="1">
        <v>-6.1636550000000002E-6</v>
      </c>
      <c r="I6175">
        <v>-42.42474</v>
      </c>
      <c r="J6175">
        <v>-205.96180000000001</v>
      </c>
      <c r="K6175">
        <v>1.121882</v>
      </c>
      <c r="L6175">
        <v>-59.965299999999999</v>
      </c>
      <c r="M6175">
        <v>0.95137799999999995</v>
      </c>
      <c r="N6175">
        <v>0</v>
      </c>
      <c r="O6175">
        <v>0.30760369999999998</v>
      </c>
      <c r="P6175">
        <v>0.85763239999999996</v>
      </c>
      <c r="Q6175">
        <v>-1.8270410000000001E-2</v>
      </c>
      <c r="R6175">
        <v>0.51393849999999996</v>
      </c>
      <c r="S6175">
        <v>1.716019</v>
      </c>
      <c r="T6175">
        <v>-0.19103680000000001</v>
      </c>
      <c r="U6175">
        <v>2.9967959999999998</v>
      </c>
      <c r="V6175">
        <v>-0.2250038</v>
      </c>
      <c r="W6175">
        <v>-8.9758619999999994E-3</v>
      </c>
      <c r="X6175">
        <v>0.97431650000000003</v>
      </c>
      <c r="Y6175">
        <v>-0.67232479999999994</v>
      </c>
      <c r="Z6175">
        <v>3.314806E-3</v>
      </c>
      <c r="AA6175">
        <v>0.74024889999999999</v>
      </c>
      <c r="AB6175">
        <v>34</v>
      </c>
      <c r="AC6175">
        <v>9.9134000000000206</v>
      </c>
      <c r="AD6175">
        <v>-1.121888163655</v>
      </c>
      <c r="AE6175">
        <v>17.540559999999999</v>
      </c>
      <c r="AF6175">
        <v>-13.5979165969747</v>
      </c>
      <c r="AG6175">
        <v>-1.121888163655</v>
      </c>
      <c r="AH6175">
        <v>14.783024105777701</v>
      </c>
      <c r="AI6175">
        <v>93.196914996420304</v>
      </c>
      <c r="AJ6175">
        <v>132.60888003470299</v>
      </c>
      <c r="AK6175">
        <v>20.117151153730401</v>
      </c>
      <c r="AL6175">
        <v>90.514285936930705</v>
      </c>
      <c r="AM6175">
        <v>103.00363517666899</v>
      </c>
      <c r="AN6175">
        <v>0.99999995914266504</v>
      </c>
    </row>
    <row r="6176" spans="1:40" x14ac:dyDescent="0.3">
      <c r="A6176" t="str">
        <f>"20200111160625663"</f>
        <v>20200111160625663</v>
      </c>
      <c r="B6176" t="str">
        <f>"1578729985658769"</f>
        <v>1578729985658769</v>
      </c>
      <c r="C6176" t="s">
        <v>40</v>
      </c>
      <c r="D6176">
        <v>5.514265</v>
      </c>
      <c r="E6176">
        <v>0.28417419999999999</v>
      </c>
      <c r="F6176" t="s">
        <v>67</v>
      </c>
      <c r="G6176">
        <v>-195.99170000000001</v>
      </c>
      <c r="H6176" s="1">
        <v>-6.246531E-6</v>
      </c>
      <c r="I6176">
        <v>-42.158079999999998</v>
      </c>
      <c r="J6176">
        <v>-205.797</v>
      </c>
      <c r="K6176">
        <v>1.121929</v>
      </c>
      <c r="L6176">
        <v>-59.906559999999999</v>
      </c>
      <c r="M6176">
        <v>0.94920610000000005</v>
      </c>
      <c r="N6176">
        <v>0</v>
      </c>
      <c r="O6176">
        <v>0.31424229999999997</v>
      </c>
      <c r="P6176">
        <v>0.85290499999999903</v>
      </c>
      <c r="Q6176">
        <v>-1.9738100000000001E-2</v>
      </c>
      <c r="R6176">
        <v>0.52169290000000001</v>
      </c>
      <c r="S6176">
        <v>1.6876529999999901</v>
      </c>
      <c r="T6176">
        <v>-0.1899035</v>
      </c>
      <c r="U6176">
        <v>3.0142519999999999</v>
      </c>
      <c r="V6176">
        <v>-0.22699620000000001</v>
      </c>
      <c r="W6176">
        <v>-1.054271E-2</v>
      </c>
      <c r="X6176">
        <v>0.9738386</v>
      </c>
      <c r="Y6176">
        <v>-0.67429719999999904</v>
      </c>
      <c r="Z6176">
        <v>2.9631089999999998E-3</v>
      </c>
      <c r="AA6176">
        <v>0.7384541</v>
      </c>
      <c r="AB6176">
        <v>34</v>
      </c>
      <c r="AC6176">
        <v>9.8052999999999795</v>
      </c>
      <c r="AD6176">
        <v>-1.121935246531</v>
      </c>
      <c r="AE6176">
        <v>17.748479999999901</v>
      </c>
      <c r="AF6176">
        <v>-13.7254918558176</v>
      </c>
      <c r="AG6176">
        <v>-1.121935246531</v>
      </c>
      <c r="AH6176">
        <v>14.8410700474787</v>
      </c>
      <c r="AI6176">
        <v>93.176663550402793</v>
      </c>
      <c r="AJ6176">
        <v>132.76362800189099</v>
      </c>
      <c r="AK6176">
        <v>20.246116307472199</v>
      </c>
      <c r="AL6176">
        <v>90.604063965334305</v>
      </c>
      <c r="AM6176">
        <v>103.12103167305401</v>
      </c>
      <c r="AN6176">
        <v>1.0000000211992699</v>
      </c>
    </row>
    <row r="6177" spans="1:40" x14ac:dyDescent="0.3">
      <c r="A6177" t="str">
        <f>"20200111160625675"</f>
        <v>20200111160625675</v>
      </c>
      <c r="B6177" t="str">
        <f>"1578729985668529"</f>
        <v>1578729985668529</v>
      </c>
      <c r="C6177" t="s">
        <v>40</v>
      </c>
      <c r="D6177">
        <v>5.5613210000000004</v>
      </c>
      <c r="E6177">
        <v>0.2846011</v>
      </c>
      <c r="F6177" t="s">
        <v>67</v>
      </c>
      <c r="G6177">
        <v>-195.83969999999999</v>
      </c>
      <c r="H6177" s="1">
        <v>-6.3753349999999997E-6</v>
      </c>
      <c r="I6177">
        <v>-41.722250000000003</v>
      </c>
      <c r="J6177">
        <v>-205.64160000000001</v>
      </c>
      <c r="K6177">
        <v>1.1219749999999999</v>
      </c>
      <c r="L6177">
        <v>-59.848999999999997</v>
      </c>
      <c r="M6177">
        <v>0.94708950000000003</v>
      </c>
      <c r="N6177">
        <v>0</v>
      </c>
      <c r="O6177">
        <v>0.3205653</v>
      </c>
      <c r="P6177">
        <v>0.848058599999999</v>
      </c>
      <c r="Q6177">
        <v>-2.174771E-2</v>
      </c>
      <c r="R6177">
        <v>0.52945580000000003</v>
      </c>
      <c r="S6177">
        <v>1.659424</v>
      </c>
      <c r="T6177">
        <v>-0.1869749</v>
      </c>
      <c r="U6177">
        <v>3.0304869999999999</v>
      </c>
      <c r="V6177">
        <v>-0.22934470000000001</v>
      </c>
      <c r="W6177">
        <v>-1.2658930000000001E-2</v>
      </c>
      <c r="X6177">
        <v>0.97326299999999999</v>
      </c>
      <c r="Y6177">
        <v>-0.67635040000000002</v>
      </c>
      <c r="Z6177">
        <v>2.6126560000000001E-3</v>
      </c>
      <c r="AA6177">
        <v>0.73657539999999999</v>
      </c>
      <c r="AB6177">
        <v>34</v>
      </c>
      <c r="AC6177">
        <v>9.8019000000000105</v>
      </c>
      <c r="AD6177">
        <v>-1.1219813753350001</v>
      </c>
      <c r="AE6177">
        <v>18.126749999999902</v>
      </c>
      <c r="AF6177">
        <v>-13.9858654091412</v>
      </c>
      <c r="AG6177">
        <v>-1.1219813753350001</v>
      </c>
      <c r="AH6177">
        <v>15.0514233375921</v>
      </c>
      <c r="AI6177">
        <v>93.125675363910801</v>
      </c>
      <c r="AJ6177">
        <v>132.89840606778199</v>
      </c>
      <c r="AK6177">
        <v>20.576895245313999</v>
      </c>
      <c r="AL6177">
        <v>90.725322596167999</v>
      </c>
      <c r="AM6177">
        <v>103.25957569069701</v>
      </c>
      <c r="AN6177">
        <v>1.0000000535479101</v>
      </c>
    </row>
    <row r="6178" spans="1:40" x14ac:dyDescent="0.3">
      <c r="A6178" t="str">
        <f>"20200111160625685"</f>
        <v>20200111160625685</v>
      </c>
      <c r="B6178" t="str">
        <f>"1578729985678290"</f>
        <v>1578729985678290</v>
      </c>
      <c r="C6178" t="s">
        <v>40</v>
      </c>
      <c r="D6178">
        <v>5.5660920000000003</v>
      </c>
      <c r="E6178">
        <v>0.28532619999999997</v>
      </c>
      <c r="F6178" t="s">
        <v>67</v>
      </c>
      <c r="G6178">
        <v>-196.1721</v>
      </c>
      <c r="H6178" s="1">
        <v>-6.2511619999999998E-6</v>
      </c>
      <c r="I6178">
        <v>-42.204900000000002</v>
      </c>
      <c r="J6178">
        <v>-205.4922</v>
      </c>
      <c r="K6178">
        <v>1.1220139999999901</v>
      </c>
      <c r="L6178">
        <v>-59.7932699999999</v>
      </c>
      <c r="M6178">
        <v>0.94501009999999996</v>
      </c>
      <c r="N6178">
        <v>0</v>
      </c>
      <c r="O6178">
        <v>0.32664460000000001</v>
      </c>
      <c r="P6178">
        <v>0.84320289999999998</v>
      </c>
      <c r="Q6178">
        <v>-2.3925499999999999E-2</v>
      </c>
      <c r="R6178">
        <v>0.53706279999999995</v>
      </c>
      <c r="S6178">
        <v>1.632965</v>
      </c>
      <c r="T6178">
        <v>-0.1934797</v>
      </c>
      <c r="U6178">
        <v>3.0426329999999999</v>
      </c>
      <c r="V6178">
        <v>-0.23179810000000001</v>
      </c>
      <c r="W6178">
        <v>-1.494646E-2</v>
      </c>
      <c r="X6178">
        <v>0.97264910000000004</v>
      </c>
      <c r="Y6178">
        <v>-0.67778280000000002</v>
      </c>
      <c r="Z6178">
        <v>2.378462E-3</v>
      </c>
      <c r="AA6178">
        <v>0.73525839999999998</v>
      </c>
      <c r="AB6178">
        <v>34</v>
      </c>
      <c r="AC6178">
        <v>9.3200999999999894</v>
      </c>
      <c r="AD6178">
        <v>-1.1220202511620001</v>
      </c>
      <c r="AE6178">
        <v>17.588369999999902</v>
      </c>
      <c r="AF6178">
        <v>-13.5355791581917</v>
      </c>
      <c r="AG6178">
        <v>-1.1220202511620001</v>
      </c>
      <c r="AH6178">
        <v>14.5085220101916</v>
      </c>
      <c r="AI6178">
        <v>93.236483012863303</v>
      </c>
      <c r="AJ6178">
        <v>133.013016379368</v>
      </c>
      <c r="AK6178">
        <v>19.873802945382799</v>
      </c>
      <c r="AL6178">
        <v>90.856400953063897</v>
      </c>
      <c r="AM6178">
        <v>103.40448163409</v>
      </c>
      <c r="AN6178">
        <v>1.0000000137804701</v>
      </c>
    </row>
    <row r="6179" spans="1:40" x14ac:dyDescent="0.3">
      <c r="A6179" t="str">
        <f>"20200111160625695"</f>
        <v>20200111160625695</v>
      </c>
      <c r="B6179" t="str">
        <f>"1578729985688050"</f>
        <v>1578729985688050</v>
      </c>
      <c r="C6179" t="s">
        <v>40</v>
      </c>
      <c r="D6179">
        <v>5.5736309999999998</v>
      </c>
      <c r="E6179">
        <v>0.28606029999999999</v>
      </c>
      <c r="F6179" t="s">
        <v>67</v>
      </c>
      <c r="G6179">
        <v>-196.45840000000001</v>
      </c>
      <c r="H6179" s="1">
        <v>-6.1341019999999999E-6</v>
      </c>
      <c r="I6179">
        <v>-42.650790000000001</v>
      </c>
      <c r="J6179">
        <v>-205.3399</v>
      </c>
      <c r="K6179">
        <v>1.122052</v>
      </c>
      <c r="L6179">
        <v>-59.73471</v>
      </c>
      <c r="M6179">
        <v>0.94282699999999997</v>
      </c>
      <c r="N6179">
        <v>0</v>
      </c>
      <c r="O6179">
        <v>0.33289340000000001</v>
      </c>
      <c r="P6179">
        <v>0.83834330000000001</v>
      </c>
      <c r="Q6179">
        <v>-2.595246E-2</v>
      </c>
      <c r="R6179">
        <v>0.54452480000000003</v>
      </c>
      <c r="S6179">
        <v>1.608322</v>
      </c>
      <c r="T6179">
        <v>-0.1997575</v>
      </c>
      <c r="U6179">
        <v>3.0519409999999998</v>
      </c>
      <c r="V6179">
        <v>-0.23394860000000001</v>
      </c>
      <c r="W6179">
        <v>-1.7072130000000001E-2</v>
      </c>
      <c r="X6179">
        <v>0.97209909999999999</v>
      </c>
      <c r="Y6179">
        <v>-0.67845540000000004</v>
      </c>
      <c r="Z6179">
        <v>2.0757000000000002E-3</v>
      </c>
      <c r="AA6179">
        <v>0.73463869999999998</v>
      </c>
      <c r="AB6179">
        <v>34</v>
      </c>
      <c r="AC6179">
        <v>8.8814999999999795</v>
      </c>
      <c r="AD6179">
        <v>-1.1220581341019999</v>
      </c>
      <c r="AE6179">
        <v>17.083919999999999</v>
      </c>
      <c r="AF6179">
        <v>-13.107779970018701</v>
      </c>
      <c r="AG6179">
        <v>-1.1220581341019999</v>
      </c>
      <c r="AH6179">
        <v>14.0150707786956</v>
      </c>
      <c r="AI6179">
        <v>93.346421037304694</v>
      </c>
      <c r="AJ6179">
        <v>133.08410413953001</v>
      </c>
      <c r="AK6179">
        <v>19.222255828351098</v>
      </c>
      <c r="AL6179">
        <v>90.978208486010203</v>
      </c>
      <c r="AM6179">
        <v>103.531663596176</v>
      </c>
      <c r="AN6179">
        <v>1.0000000326427501</v>
      </c>
    </row>
    <row r="6180" spans="1:40" x14ac:dyDescent="0.3">
      <c r="A6180" t="str">
        <f>"20200111160625707"</f>
        <v>20200111160625707</v>
      </c>
      <c r="B6180" t="str">
        <f>"1578729985698785"</f>
        <v>1578729985698785</v>
      </c>
      <c r="C6180" t="s">
        <v>40</v>
      </c>
      <c r="D6180">
        <v>5.5459779999999999</v>
      </c>
      <c r="E6180">
        <v>0.2868116</v>
      </c>
      <c r="F6180" t="s">
        <v>67</v>
      </c>
      <c r="G6180">
        <v>-196.62219999999999</v>
      </c>
      <c r="H6180" s="1">
        <v>-6.0734990000000001E-6</v>
      </c>
      <c r="I6180">
        <v>-42.886870000000002</v>
      </c>
      <c r="J6180">
        <v>-205.18969999999999</v>
      </c>
      <c r="K6180">
        <v>1.1220909999999999</v>
      </c>
      <c r="L6180">
        <v>-59.67624</v>
      </c>
      <c r="M6180">
        <v>0.94062389999999996</v>
      </c>
      <c r="N6180">
        <v>0</v>
      </c>
      <c r="O6180">
        <v>0.3390687</v>
      </c>
      <c r="P6180">
        <v>0.83324229999999999</v>
      </c>
      <c r="Q6180">
        <v>-2.808192E-2</v>
      </c>
      <c r="R6180">
        <v>0.55219439999999997</v>
      </c>
      <c r="S6180">
        <v>1.583923</v>
      </c>
      <c r="T6180">
        <v>-0.20386760000000001</v>
      </c>
      <c r="U6180">
        <v>3.061096</v>
      </c>
      <c r="V6180">
        <v>-0.23645050000000001</v>
      </c>
      <c r="W6180">
        <v>-1.9311539999999999E-2</v>
      </c>
      <c r="X6180">
        <v>0.97145159999999997</v>
      </c>
      <c r="Y6180">
        <v>-0.67913419999999902</v>
      </c>
      <c r="Z6180">
        <v>1.7339180000000001E-3</v>
      </c>
      <c r="AA6180">
        <v>0.73401209999999995</v>
      </c>
      <c r="AB6180">
        <v>34</v>
      </c>
      <c r="AC6180">
        <v>8.5674999999999901</v>
      </c>
      <c r="AD6180">
        <v>-1.1220970734989999</v>
      </c>
      <c r="AE6180">
        <v>16.789369999999899</v>
      </c>
      <c r="AF6180">
        <v>-12.8436645452314</v>
      </c>
      <c r="AG6180">
        <v>-1.1220970734989999</v>
      </c>
      <c r="AH6180">
        <v>13.7047583746524</v>
      </c>
      <c r="AI6180">
        <v>93.418890009760304</v>
      </c>
      <c r="AJ6180">
        <v>133.142271874805</v>
      </c>
      <c r="AK6180">
        <v>18.815930030173799</v>
      </c>
      <c r="AL6180">
        <v>91.1065385310267</v>
      </c>
      <c r="AM6180">
        <v>103.679740975139</v>
      </c>
      <c r="AN6180">
        <v>0.99999999283498997</v>
      </c>
    </row>
    <row r="6181" spans="1:40" x14ac:dyDescent="0.3">
      <c r="A6181" t="str">
        <f>"20200111160625718"</f>
        <v>20200111160625718</v>
      </c>
      <c r="B6181" t="str">
        <f>"1578729985708546"</f>
        <v>1578729985708546</v>
      </c>
      <c r="C6181" t="s">
        <v>40</v>
      </c>
      <c r="D6181">
        <v>5.5707459999999998</v>
      </c>
      <c r="E6181">
        <v>0.2876649</v>
      </c>
      <c r="F6181" t="s">
        <v>67</v>
      </c>
      <c r="G6181">
        <v>-196.63730000000001</v>
      </c>
      <c r="H6181" s="1">
        <v>-6.0948859999999999E-6</v>
      </c>
      <c r="I6181">
        <v>-42.828040000000001</v>
      </c>
      <c r="J6181">
        <v>-205.0384</v>
      </c>
      <c r="K6181">
        <v>1.1221299999999901</v>
      </c>
      <c r="L6181">
        <v>-59.615940000000002</v>
      </c>
      <c r="M6181">
        <v>0.93834700000000004</v>
      </c>
      <c r="N6181">
        <v>0</v>
      </c>
      <c r="O6181">
        <v>0.3453196</v>
      </c>
      <c r="P6181">
        <v>0.82795509999999894</v>
      </c>
      <c r="Q6181">
        <v>-3.0079169999999999E-2</v>
      </c>
      <c r="R6181">
        <v>0.55998729999999997</v>
      </c>
      <c r="S6181">
        <v>1.55864</v>
      </c>
      <c r="T6181">
        <v>-0.2044984</v>
      </c>
      <c r="U6181">
        <v>3.0705260000000001</v>
      </c>
      <c r="V6181">
        <v>-0.23906169999999999</v>
      </c>
      <c r="W6181">
        <v>-2.142119E-2</v>
      </c>
      <c r="X6181">
        <v>0.97076810000000002</v>
      </c>
      <c r="Y6181">
        <v>-0.67996469999999998</v>
      </c>
      <c r="Z6181">
        <v>1.353281E-3</v>
      </c>
      <c r="AA6181">
        <v>0.7332436</v>
      </c>
      <c r="AB6181">
        <v>34</v>
      </c>
      <c r="AC6181">
        <v>8.40109999999998</v>
      </c>
      <c r="AD6181">
        <v>-1.12213609488599</v>
      </c>
      <c r="AE6181">
        <v>16.7879</v>
      </c>
      <c r="AF6181">
        <v>-12.8077148200835</v>
      </c>
      <c r="AG6181">
        <v>-1.12213609488599</v>
      </c>
      <c r="AH6181">
        <v>13.6333988182304</v>
      </c>
      <c r="AI6181">
        <v>93.432982800724702</v>
      </c>
      <c r="AJ6181">
        <v>133.21139001471801</v>
      </c>
      <c r="AK6181">
        <v>18.739431999528701</v>
      </c>
      <c r="AL6181">
        <v>91.227437621610804</v>
      </c>
      <c r="AM6181">
        <v>103.83440487141699</v>
      </c>
      <c r="AN6181">
        <v>1.0000000338827499</v>
      </c>
    </row>
    <row r="6182" spans="1:40" x14ac:dyDescent="0.3">
      <c r="A6182" t="str">
        <f>"20200111160625730"</f>
        <v>20200111160625730</v>
      </c>
      <c r="B6182" t="str">
        <f>"1578729985718307"</f>
        <v>1578729985718307</v>
      </c>
      <c r="C6182" t="s">
        <v>40</v>
      </c>
      <c r="D6182">
        <v>5.6637300000000002</v>
      </c>
      <c r="E6182">
        <v>0.28868369999999999</v>
      </c>
      <c r="F6182" t="s">
        <v>67</v>
      </c>
      <c r="G6182">
        <v>-196.76499999999999</v>
      </c>
      <c r="H6182" s="1">
        <v>-6.0521419999999999E-6</v>
      </c>
      <c r="I6182">
        <v>-42.998660000000001</v>
      </c>
      <c r="J6182">
        <v>-204.88829999999999</v>
      </c>
      <c r="K6182">
        <v>1.1221669999999999</v>
      </c>
      <c r="L6182">
        <v>-59.554960000000001</v>
      </c>
      <c r="M6182">
        <v>0.93603049999999999</v>
      </c>
      <c r="N6182">
        <v>0</v>
      </c>
      <c r="O6182">
        <v>0.35155049999999999</v>
      </c>
      <c r="P6182">
        <v>0.82262739999999901</v>
      </c>
      <c r="Q6182">
        <v>-3.153131E-2</v>
      </c>
      <c r="R6182">
        <v>0.56770600000000004</v>
      </c>
      <c r="S6182">
        <v>1.5331269999999999</v>
      </c>
      <c r="T6182">
        <v>-0.20794090000000001</v>
      </c>
      <c r="U6182">
        <v>3.0793149999999998</v>
      </c>
      <c r="V6182">
        <v>-0.24165800000000001</v>
      </c>
      <c r="W6182">
        <v>-2.298414E-2</v>
      </c>
      <c r="X6182">
        <v>0.97008930000000004</v>
      </c>
      <c r="Y6182">
        <v>-0.68077619999999905</v>
      </c>
      <c r="Z6182">
        <v>9.8226780000000005E-4</v>
      </c>
      <c r="AA6182">
        <v>0.73249089999999994</v>
      </c>
      <c r="AB6182">
        <v>34</v>
      </c>
      <c r="AC6182">
        <v>8.1233000000000004</v>
      </c>
      <c r="AD6182">
        <v>-1.1221730521419999</v>
      </c>
      <c r="AE6182">
        <v>16.556299999999901</v>
      </c>
      <c r="AF6182">
        <v>-12.596449507357899</v>
      </c>
      <c r="AG6182">
        <v>-1.1221730521419999</v>
      </c>
      <c r="AH6182">
        <v>13.376244125931199</v>
      </c>
      <c r="AI6182">
        <v>93.494988082511298</v>
      </c>
      <c r="AJ6182">
        <v>133.28028915253299</v>
      </c>
      <c r="AK6182">
        <v>18.4079797769033</v>
      </c>
      <c r="AL6182">
        <v>91.317010119207893</v>
      </c>
      <c r="AM6182">
        <v>103.988187203587</v>
      </c>
      <c r="AN6182">
        <v>1.0000000548150101</v>
      </c>
    </row>
    <row r="6183" spans="1:40" x14ac:dyDescent="0.3">
      <c r="A6183" t="str">
        <f>"20200111160625740"</f>
        <v>20200111160625740</v>
      </c>
      <c r="B6183" t="str">
        <f>"1578729985738801"</f>
        <v>1578729985738801</v>
      </c>
      <c r="C6183" t="s">
        <v>40</v>
      </c>
      <c r="D6183">
        <v>5.6290760000000004</v>
      </c>
      <c r="E6183">
        <v>0.290666799999999</v>
      </c>
      <c r="F6183" t="s">
        <v>67</v>
      </c>
      <c r="G6183">
        <v>-197.04140000000001</v>
      </c>
      <c r="H6183" s="1">
        <v>-5.9156630000000004E-6</v>
      </c>
      <c r="I6183">
        <v>-43.49924</v>
      </c>
      <c r="J6183">
        <v>-204.7294</v>
      </c>
      <c r="K6183">
        <v>1.122206</v>
      </c>
      <c r="L6183">
        <v>-59.489350000000002</v>
      </c>
      <c r="M6183">
        <v>0.93351839999999997</v>
      </c>
      <c r="N6183">
        <v>0</v>
      </c>
      <c r="O6183">
        <v>0.35816779999999998</v>
      </c>
      <c r="P6183">
        <v>0.81697949999999997</v>
      </c>
      <c r="Q6183">
        <v>-3.3269939999999998E-2</v>
      </c>
      <c r="R6183">
        <v>0.57570619999999995</v>
      </c>
      <c r="S6183">
        <v>1.508499</v>
      </c>
      <c r="T6183">
        <v>-0.21572839999999999</v>
      </c>
      <c r="U6183">
        <v>3.0865779999999998</v>
      </c>
      <c r="V6183">
        <v>-0.24422479999999999</v>
      </c>
      <c r="W6183">
        <v>-2.4833999999999998E-2</v>
      </c>
      <c r="X6183">
        <v>0.96940059999999995</v>
      </c>
      <c r="Y6183">
        <v>-0.68094980000000005</v>
      </c>
      <c r="Z6183">
        <v>5.5111199999999998E-4</v>
      </c>
      <c r="AA6183">
        <v>0.73232980000000003</v>
      </c>
      <c r="AB6183">
        <v>33</v>
      </c>
      <c r="AC6183">
        <v>7.6879999999999802</v>
      </c>
      <c r="AD6183">
        <v>-1.1222119156629999</v>
      </c>
      <c r="AE6183">
        <v>15.99011</v>
      </c>
      <c r="AF6183">
        <v>-12.1265320138441</v>
      </c>
      <c r="AG6183">
        <v>-1.1222119156629999</v>
      </c>
      <c r="AH6183">
        <v>12.8542793846409</v>
      </c>
      <c r="AI6183">
        <v>93.633615543984703</v>
      </c>
      <c r="AJ6183">
        <v>133.33131669105799</v>
      </c>
      <c r="AK6183">
        <v>17.707191667930999</v>
      </c>
      <c r="AL6183">
        <v>91.423029681581099</v>
      </c>
      <c r="AM6183">
        <v>104.140478225335</v>
      </c>
      <c r="AN6183">
        <v>1.0000000018857</v>
      </c>
    </row>
    <row r="6184" spans="1:40" x14ac:dyDescent="0.3">
      <c r="A6184" t="str">
        <f>"20200111160625753"</f>
        <v>20200111160625753</v>
      </c>
      <c r="B6184" t="str">
        <f>"1578729985748562"</f>
        <v>1578729985748562</v>
      </c>
      <c r="C6184" t="s">
        <v>40</v>
      </c>
      <c r="D6184">
        <v>5.6414569999999999</v>
      </c>
      <c r="E6184">
        <v>0.29169220000000001</v>
      </c>
      <c r="F6184" t="s">
        <v>67</v>
      </c>
      <c r="G6184">
        <v>-197.23390000000001</v>
      </c>
      <c r="H6184" s="1">
        <v>-5.7960120000000004E-6</v>
      </c>
      <c r="I6184">
        <v>-43.921390000000002</v>
      </c>
      <c r="J6184">
        <v>-204.57300000000001</v>
      </c>
      <c r="K6184">
        <v>1.1222449999999999</v>
      </c>
      <c r="L6184">
        <v>-59.423000000000002</v>
      </c>
      <c r="M6184">
        <v>0.93097479999999999</v>
      </c>
      <c r="N6184">
        <v>0</v>
      </c>
      <c r="O6184">
        <v>0.36472830000000001</v>
      </c>
      <c r="P6184">
        <v>0.81145540000000005</v>
      </c>
      <c r="Q6184">
        <v>-3.4563490000000002E-2</v>
      </c>
      <c r="R6184">
        <v>0.58339149999999995</v>
      </c>
      <c r="S6184">
        <v>1.486847</v>
      </c>
      <c r="T6184">
        <v>-0.22260949999999999</v>
      </c>
      <c r="U6184">
        <v>3.088165</v>
      </c>
      <c r="V6184">
        <v>-0.24652879999999999</v>
      </c>
      <c r="W6184">
        <v>-2.6228250000000002E-2</v>
      </c>
      <c r="X6184">
        <v>0.96878050000000004</v>
      </c>
      <c r="Y6184">
        <v>-0.68007550000000005</v>
      </c>
      <c r="Z6184" s="1">
        <v>3.7709249999999998E-5</v>
      </c>
      <c r="AA6184">
        <v>0.73314209999999902</v>
      </c>
      <c r="AB6184">
        <v>33</v>
      </c>
      <c r="AC6184">
        <v>7.33909999999997</v>
      </c>
      <c r="AD6184">
        <v>-1.1222507960120001</v>
      </c>
      <c r="AE6184">
        <v>15.501609999999999</v>
      </c>
      <c r="AF6184">
        <v>-11.706234576761499</v>
      </c>
      <c r="AG6184">
        <v>-1.1222507960120001</v>
      </c>
      <c r="AH6184">
        <v>12.434772403652699</v>
      </c>
      <c r="AI6184">
        <v>93.759677023353305</v>
      </c>
      <c r="AJ6184">
        <v>133.27142763353601</v>
      </c>
      <c r="AK6184">
        <v>17.1148748036894</v>
      </c>
      <c r="AL6184">
        <v>91.502940359335796</v>
      </c>
      <c r="AM6184">
        <v>104.27721470525</v>
      </c>
      <c r="AN6184">
        <v>1.00000001375387</v>
      </c>
    </row>
    <row r="6185" spans="1:40" x14ac:dyDescent="0.3">
      <c r="A6185" t="str">
        <f>"20200111160625765"</f>
        <v>20200111160625765</v>
      </c>
      <c r="B6185" t="str">
        <f>"1578729985758321"</f>
        <v>1578729985758321</v>
      </c>
      <c r="C6185" t="s">
        <v>40</v>
      </c>
      <c r="D6185">
        <v>5.6452070000000001</v>
      </c>
      <c r="E6185">
        <v>0.2927902</v>
      </c>
      <c r="F6185" t="s">
        <v>67</v>
      </c>
      <c r="G6185">
        <v>-197.33359999999999</v>
      </c>
      <c r="H6185" s="1">
        <v>-5.7454219999999901E-6</v>
      </c>
      <c r="I6185">
        <v>-44.096310000000003</v>
      </c>
      <c r="J6185">
        <v>-204.41569999999999</v>
      </c>
      <c r="K6185">
        <v>1.1222829999999999</v>
      </c>
      <c r="L6185">
        <v>-59.355589999999999</v>
      </c>
      <c r="M6185">
        <v>0.92836019999999997</v>
      </c>
      <c r="N6185">
        <v>0</v>
      </c>
      <c r="O6185">
        <v>0.37133290000000002</v>
      </c>
      <c r="P6185">
        <v>0.8057145</v>
      </c>
      <c r="Q6185">
        <v>-3.5766069999999997E-2</v>
      </c>
      <c r="R6185">
        <v>0.59122330000000001</v>
      </c>
      <c r="S6185">
        <v>1.4620359999999999</v>
      </c>
      <c r="T6185">
        <v>-0.2266444</v>
      </c>
      <c r="U6185">
        <v>3.0953059999999999</v>
      </c>
      <c r="V6185">
        <v>-0.2490078</v>
      </c>
      <c r="W6185">
        <v>-2.753796E-2</v>
      </c>
      <c r="X6185">
        <v>0.96810989999999997</v>
      </c>
      <c r="Y6185">
        <v>-0.68030690000000005</v>
      </c>
      <c r="Z6185">
        <v>-4.5516900000000001E-4</v>
      </c>
      <c r="AA6185">
        <v>0.73292729999999995</v>
      </c>
      <c r="AB6185">
        <v>33</v>
      </c>
      <c r="AC6185">
        <v>7.0820999999999898</v>
      </c>
      <c r="AD6185">
        <v>-1.1222887454220001</v>
      </c>
      <c r="AE6185">
        <v>15.25928</v>
      </c>
      <c r="AF6185">
        <v>-11.4866642652946</v>
      </c>
      <c r="AG6185">
        <v>-1.1222887454220001</v>
      </c>
      <c r="AH6185">
        <v>12.1883536363093</v>
      </c>
      <c r="AI6185">
        <v>93.833650145705903</v>
      </c>
      <c r="AJ6185">
        <v>133.302342422061</v>
      </c>
      <c r="AK6185">
        <v>16.785676999615799</v>
      </c>
      <c r="AL6185">
        <v>91.578008369827998</v>
      </c>
      <c r="AM6185">
        <v>104.424395497958</v>
      </c>
      <c r="AN6185">
        <v>1.0000000010898999</v>
      </c>
    </row>
    <row r="6186" spans="1:40" x14ac:dyDescent="0.3">
      <c r="A6186" t="str">
        <f>"20200111160625775"</f>
        <v>20200111160625775</v>
      </c>
      <c r="B6186" t="str">
        <f>"1578729985768081"</f>
        <v>1578729985768081</v>
      </c>
      <c r="C6186" t="s">
        <v>40</v>
      </c>
      <c r="D6186">
        <v>5.5656169999999996</v>
      </c>
      <c r="E6186">
        <v>0.2927902</v>
      </c>
      <c r="F6186" t="s">
        <v>67</v>
      </c>
      <c r="G6186">
        <v>-197.3897</v>
      </c>
      <c r="H6186" s="1">
        <v>-5.7127520000000001E-6</v>
      </c>
      <c r="I6186">
        <v>-44.18788</v>
      </c>
      <c r="J6186">
        <v>-204.26259999999999</v>
      </c>
      <c r="K6186">
        <v>1.1223110000000001</v>
      </c>
      <c r="L6186">
        <v>-59.287840000000003</v>
      </c>
      <c r="M6186">
        <v>0.92573709999999998</v>
      </c>
      <c r="N6186">
        <v>0</v>
      </c>
      <c r="O6186">
        <v>0.3778243</v>
      </c>
      <c r="P6186">
        <v>0.79995859999999996</v>
      </c>
      <c r="Q6186">
        <v>-3.6935700000000002E-2</v>
      </c>
      <c r="R6186">
        <v>0.59891740000000004</v>
      </c>
      <c r="S6186">
        <v>1.4369510000000001</v>
      </c>
      <c r="T6186">
        <v>-0.22952910000000001</v>
      </c>
      <c r="U6186">
        <v>3.1020810000000001</v>
      </c>
      <c r="V6186">
        <v>-0.25148609999999999</v>
      </c>
      <c r="W6186">
        <v>-2.8813160000000001E-2</v>
      </c>
      <c r="X6186">
        <v>0.96743199999999996</v>
      </c>
      <c r="Y6186">
        <v>-0.68065259999999905</v>
      </c>
      <c r="Z6186">
        <v>-9.4917419999999996E-4</v>
      </c>
      <c r="AA6186">
        <v>0.73260579999999997</v>
      </c>
      <c r="AB6186">
        <v>33</v>
      </c>
      <c r="AC6186">
        <v>6.87289999999998</v>
      </c>
      <c r="AD6186">
        <v>-1.122316712752</v>
      </c>
      <c r="AE6186">
        <v>15.099959999999999</v>
      </c>
      <c r="AF6186">
        <v>-11.331466592466899</v>
      </c>
      <c r="AG6186">
        <v>-1.122316712752</v>
      </c>
      <c r="AH6186">
        <v>12.0142169719257</v>
      </c>
      <c r="AI6186">
        <v>93.887707640159405</v>
      </c>
      <c r="AJ6186">
        <v>133.32484800587</v>
      </c>
      <c r="AK6186">
        <v>16.553040185670501</v>
      </c>
      <c r="AL6186">
        <v>91.651100864605894</v>
      </c>
      <c r="AM6186">
        <v>104.571652135505</v>
      </c>
      <c r="AN6186">
        <v>1.00000006565319</v>
      </c>
    </row>
    <row r="6187" spans="1:40" x14ac:dyDescent="0.3">
      <c r="A6187" t="str">
        <f>"20200111160625786"</f>
        <v>20200111160625786</v>
      </c>
      <c r="B6187" t="str">
        <f>"1578729985778818"</f>
        <v>1578729985778818</v>
      </c>
      <c r="C6187" t="s">
        <v>40</v>
      </c>
      <c r="D6187">
        <v>5.6463429999999999</v>
      </c>
      <c r="E6187">
        <v>0.31348199999999998</v>
      </c>
      <c r="F6187" t="s">
        <v>67</v>
      </c>
      <c r="G6187">
        <v>-197.49189999999999</v>
      </c>
      <c r="H6187" s="1">
        <v>-5.6818679999999997E-6</v>
      </c>
      <c r="I6187">
        <v>-44.293230000000001</v>
      </c>
      <c r="J6187">
        <v>-204.12360000000001</v>
      </c>
      <c r="K6187">
        <v>1.122344</v>
      </c>
      <c r="L6187">
        <v>-59.225859999999997</v>
      </c>
      <c r="M6187">
        <v>0.9233093</v>
      </c>
      <c r="N6187">
        <v>0</v>
      </c>
      <c r="O6187">
        <v>0.38371919999999998</v>
      </c>
      <c r="P6187">
        <v>0.7943344</v>
      </c>
      <c r="Q6187">
        <v>-3.8180659999999998E-2</v>
      </c>
      <c r="R6187">
        <v>0.60627980000000004</v>
      </c>
      <c r="S6187">
        <v>1.40683</v>
      </c>
      <c r="T6187">
        <v>-0.2331965</v>
      </c>
      <c r="U6187">
        <v>3.1156009999999998</v>
      </c>
      <c r="V6187">
        <v>-0.25423119999999999</v>
      </c>
      <c r="W6187">
        <v>-3.0171400000000001E-2</v>
      </c>
      <c r="X6187">
        <v>0.96667270000000005</v>
      </c>
      <c r="Y6187">
        <v>-0.68303859999999905</v>
      </c>
      <c r="Z6187">
        <v>-1.312604E-3</v>
      </c>
      <c r="AA6187">
        <v>0.73038119999999995</v>
      </c>
      <c r="AB6187">
        <v>33</v>
      </c>
      <c r="AC6187">
        <v>6.6317000000000199</v>
      </c>
      <c r="AD6187">
        <v>-1.1223496818680001</v>
      </c>
      <c r="AE6187">
        <v>14.9326299999999</v>
      </c>
      <c r="AF6187">
        <v>-11.191377926423099</v>
      </c>
      <c r="AG6187">
        <v>-1.1223496818680001</v>
      </c>
      <c r="AH6187">
        <v>11.798912063307201</v>
      </c>
      <c r="AI6187">
        <v>93.9480411126533</v>
      </c>
      <c r="AJ6187">
        <v>133.48627212793701</v>
      </c>
      <c r="AK6187">
        <v>16.300948885818801</v>
      </c>
      <c r="AL6187">
        <v>91.728956329572995</v>
      </c>
      <c r="AM6187">
        <v>104.73489550199901</v>
      </c>
      <c r="AN6187">
        <v>0.99999996267834401</v>
      </c>
    </row>
    <row r="6188" spans="1:40" x14ac:dyDescent="0.3">
      <c r="A6188" t="str">
        <f>"20200111160625796"</f>
        <v>20200111160625796</v>
      </c>
      <c r="B6188" t="str">
        <f>"1578729985788578"</f>
        <v>1578729985788578</v>
      </c>
      <c r="C6188" t="s">
        <v>40</v>
      </c>
      <c r="D6188">
        <v>5.6120109999999999</v>
      </c>
      <c r="E6188">
        <v>0.31538709999999998</v>
      </c>
      <c r="F6188" t="s">
        <v>67</v>
      </c>
      <c r="G6188">
        <v>-197.15049999999999</v>
      </c>
      <c r="H6188" s="1">
        <v>-5.2525500000000002E-6</v>
      </c>
      <c r="I6188">
        <v>-45.084380000000003</v>
      </c>
      <c r="J6188">
        <v>-203.97980000000001</v>
      </c>
      <c r="K6188">
        <v>1.1223730000000001</v>
      </c>
      <c r="L6188">
        <v>-59.160029999999999</v>
      </c>
      <c r="M6188">
        <v>0.9207301</v>
      </c>
      <c r="N6188">
        <v>0</v>
      </c>
      <c r="O6188">
        <v>0.38986720000000002</v>
      </c>
      <c r="P6188">
        <v>0.78851689999999997</v>
      </c>
      <c r="Q6188">
        <v>-3.9199369999999997E-2</v>
      </c>
      <c r="R6188">
        <v>0.61376260000000005</v>
      </c>
      <c r="S6188">
        <v>1.4778290000000001</v>
      </c>
      <c r="T6188">
        <v>-0.23785990000000001</v>
      </c>
      <c r="U6188">
        <v>2.9970089999999998</v>
      </c>
      <c r="V6188">
        <v>-0.25690819999999998</v>
      </c>
      <c r="W6188">
        <v>-3.1300389999999997E-2</v>
      </c>
      <c r="X6188">
        <v>0.96592880000000003</v>
      </c>
      <c r="Y6188">
        <v>-0.65283789999999997</v>
      </c>
      <c r="Z6188">
        <v>-3.4028090000000001E-3</v>
      </c>
      <c r="AA6188">
        <v>0.75749</v>
      </c>
      <c r="AB6188">
        <v>33</v>
      </c>
      <c r="AC6188">
        <v>6.8293000000000097</v>
      </c>
      <c r="AD6188">
        <v>-1.1223782525499999</v>
      </c>
      <c r="AE6188">
        <v>14.07565</v>
      </c>
      <c r="AF6188">
        <v>-10.245958387084499</v>
      </c>
      <c r="AG6188">
        <v>-1.1223782525499999</v>
      </c>
      <c r="AH6188">
        <v>11.716802046268199</v>
      </c>
      <c r="AI6188">
        <v>94.124460636767395</v>
      </c>
      <c r="AJ6188">
        <v>131.168628947581</v>
      </c>
      <c r="AK6188">
        <v>15.605218563131301</v>
      </c>
      <c r="AL6188">
        <v>91.793673220778402</v>
      </c>
      <c r="AM6188">
        <v>104.89415117294099</v>
      </c>
      <c r="AN6188">
        <v>0.99999999215541602</v>
      </c>
    </row>
    <row r="6189" spans="1:40" x14ac:dyDescent="0.3">
      <c r="A6189" t="str">
        <f>"20200111160625809"</f>
        <v>20200111160625809</v>
      </c>
      <c r="B6189" t="str">
        <f>"1578729985798338"</f>
        <v>1578729985798338</v>
      </c>
      <c r="C6189" t="s">
        <v>40</v>
      </c>
      <c r="D6189">
        <v>5.7057859999999998</v>
      </c>
      <c r="E6189">
        <v>0.31604860000000001</v>
      </c>
      <c r="F6189" t="s">
        <v>67</v>
      </c>
      <c r="G6189">
        <v>-197.13740000000001</v>
      </c>
      <c r="H6189" s="1">
        <v>-5.2467519999999998E-6</v>
      </c>
      <c r="I6189">
        <v>-45.091819999999998</v>
      </c>
      <c r="J6189">
        <v>-203.82679999999999</v>
      </c>
      <c r="K6189">
        <v>1.1224099999999999</v>
      </c>
      <c r="L6189">
        <v>-59.089019999999998</v>
      </c>
      <c r="M6189">
        <v>0.91792669999999998</v>
      </c>
      <c r="N6189">
        <v>0</v>
      </c>
      <c r="O6189">
        <v>0.39642240000000001</v>
      </c>
      <c r="P6189">
        <v>0.78216969999999997</v>
      </c>
      <c r="Q6189">
        <v>-4.0199039999999998E-2</v>
      </c>
      <c r="R6189">
        <v>0.62176719999999996</v>
      </c>
      <c r="S6189">
        <v>1.4585269999999999</v>
      </c>
      <c r="T6189">
        <v>-0.23924619999999999</v>
      </c>
      <c r="U6189">
        <v>2.9987789999999999</v>
      </c>
      <c r="V6189">
        <v>-0.25984819999999997</v>
      </c>
      <c r="W6189">
        <v>-3.2420749999999998E-2</v>
      </c>
      <c r="X6189">
        <v>0.96510510000000005</v>
      </c>
      <c r="Y6189">
        <v>-0.65155410000000002</v>
      </c>
      <c r="Z6189">
        <v>-4.0374039999999996E-3</v>
      </c>
      <c r="AA6189">
        <v>0.75859140000000003</v>
      </c>
      <c r="AB6189">
        <v>33</v>
      </c>
      <c r="AC6189">
        <v>6.6893999999999698</v>
      </c>
      <c r="AD6189">
        <v>-1.1224152467520001</v>
      </c>
      <c r="AE6189">
        <v>13.997199999999999</v>
      </c>
      <c r="AF6189">
        <v>-10.144796447898299</v>
      </c>
      <c r="AG6189">
        <v>-1.1224152467520001</v>
      </c>
      <c r="AH6189">
        <v>11.6298237335668</v>
      </c>
      <c r="AI6189">
        <v>94.159766422533707</v>
      </c>
      <c r="AJ6189">
        <v>131.098474080324</v>
      </c>
      <c r="AK6189">
        <v>15.473509977676899</v>
      </c>
      <c r="AL6189">
        <v>91.857897672046093</v>
      </c>
      <c r="AM6189">
        <v>105.06916412683201</v>
      </c>
      <c r="AN6189">
        <v>1.0000000230599</v>
      </c>
    </row>
    <row r="6190" spans="1:40" x14ac:dyDescent="0.3">
      <c r="A6190" t="str">
        <f>"20200111160625826"</f>
        <v>20200111160625826</v>
      </c>
      <c r="B6190" t="str">
        <f>"1578729985818834"</f>
        <v>1578729985818834</v>
      </c>
      <c r="C6190" t="s">
        <v>40</v>
      </c>
      <c r="D6190">
        <v>5.6296019999999896</v>
      </c>
      <c r="E6190">
        <v>0.31763809999999998</v>
      </c>
      <c r="F6190" t="s">
        <v>67</v>
      </c>
      <c r="G6190">
        <v>-197.40780000000001</v>
      </c>
      <c r="H6190" s="1">
        <v>-5.0573169999999997E-6</v>
      </c>
      <c r="I6190">
        <v>-45.585619999999999</v>
      </c>
      <c r="J6190">
        <v>-203.59309999999999</v>
      </c>
      <c r="K6190">
        <v>1.122458</v>
      </c>
      <c r="L6190">
        <v>-58.9779699999999</v>
      </c>
      <c r="M6190">
        <v>0.91351009999999999</v>
      </c>
      <c r="N6190">
        <v>0</v>
      </c>
      <c r="O6190">
        <v>0.40649590000000002</v>
      </c>
      <c r="P6190">
        <v>0.77358319999999903</v>
      </c>
      <c r="Q6190">
        <v>-4.0986290000000002E-2</v>
      </c>
      <c r="R6190">
        <v>0.63236789999999998</v>
      </c>
      <c r="S6190">
        <v>1.4304809999999999</v>
      </c>
      <c r="T6190">
        <v>-0.2501313</v>
      </c>
      <c r="U6190">
        <v>3.0092469999999998</v>
      </c>
      <c r="V6190">
        <v>-0.2623683</v>
      </c>
      <c r="W6190">
        <v>-3.3323560000000002E-2</v>
      </c>
      <c r="X6190">
        <v>0.96439219999999903</v>
      </c>
      <c r="Y6190">
        <v>-0.64996279999999995</v>
      </c>
      <c r="Z6190">
        <v>-5.1835420000000002E-3</v>
      </c>
      <c r="AA6190">
        <v>0.75994830000000002</v>
      </c>
      <c r="AB6190">
        <v>33</v>
      </c>
      <c r="AC6190">
        <v>6.1852999999999803</v>
      </c>
      <c r="AD6190">
        <v>-1.122463057317</v>
      </c>
      <c r="AE6190">
        <v>13.392349999999899</v>
      </c>
      <c r="AF6190">
        <v>-9.6650553690196208</v>
      </c>
      <c r="AG6190">
        <v>-1.122463057317</v>
      </c>
      <c r="AH6190">
        <v>11.0318424967369</v>
      </c>
      <c r="AI6190">
        <v>94.376367238169706</v>
      </c>
      <c r="AJ6190">
        <v>131.221772377089</v>
      </c>
      <c r="AK6190">
        <v>14.7096827795186</v>
      </c>
      <c r="AL6190">
        <v>91.909652985292595</v>
      </c>
      <c r="AM6190">
        <v>105.21929294176</v>
      </c>
      <c r="AN6190">
        <v>0.99999994995840003</v>
      </c>
    </row>
    <row r="6191" spans="1:40" x14ac:dyDescent="0.3">
      <c r="A6191" t="str">
        <f>"20200111160625842"</f>
        <v>20200111160625842</v>
      </c>
      <c r="B6191" t="str">
        <f>"1578729985838353"</f>
        <v>1578729985838353</v>
      </c>
      <c r="C6191" t="s">
        <v>40</v>
      </c>
      <c r="D6191">
        <v>5.5086849999999998</v>
      </c>
      <c r="E6191">
        <v>0.319185</v>
      </c>
      <c r="F6191" t="s">
        <v>67</v>
      </c>
      <c r="G6191">
        <v>-197.3561</v>
      </c>
      <c r="H6191" s="1">
        <v>-5.089556E-6</v>
      </c>
      <c r="I6191">
        <v>-45.503270000000001</v>
      </c>
      <c r="J6191">
        <v>-203.38839999999999</v>
      </c>
      <c r="K6191">
        <v>1.1224959999999999</v>
      </c>
      <c r="L6191">
        <v>-58.877989999999997</v>
      </c>
      <c r="M6191">
        <v>0.90950430000000004</v>
      </c>
      <c r="N6191">
        <v>0</v>
      </c>
      <c r="O6191">
        <v>0.4153811</v>
      </c>
      <c r="P6191">
        <v>0.76374799999999998</v>
      </c>
      <c r="Q6191">
        <v>-4.2446900000000003E-2</v>
      </c>
      <c r="R6191">
        <v>0.6441173</v>
      </c>
      <c r="S6191">
        <v>1.397186</v>
      </c>
      <c r="T6191">
        <v>-0.25145030000000002</v>
      </c>
      <c r="U6191">
        <v>3.0185550000000001</v>
      </c>
      <c r="V6191">
        <v>-0.2676829</v>
      </c>
      <c r="W6191">
        <v>-3.4993509999999999E-2</v>
      </c>
      <c r="X6191">
        <v>0.96287140000000004</v>
      </c>
      <c r="Y6191">
        <v>-0.65034910000000001</v>
      </c>
      <c r="Z6191">
        <v>-5.9823280000000003E-3</v>
      </c>
      <c r="AA6191">
        <v>0.75961190000000001</v>
      </c>
      <c r="AB6191">
        <v>33</v>
      </c>
      <c r="AC6191">
        <v>6.0322999999999896</v>
      </c>
      <c r="AD6191">
        <v>-1.1225010895559999</v>
      </c>
      <c r="AE6191">
        <v>13.37472</v>
      </c>
      <c r="AF6191">
        <v>-9.6037085523852195</v>
      </c>
      <c r="AG6191">
        <v>-1.1225010895559999</v>
      </c>
      <c r="AH6191">
        <v>10.979184692040199</v>
      </c>
      <c r="AI6191">
        <v>94.400432220156802</v>
      </c>
      <c r="AJ6191">
        <v>131.17682623146399</v>
      </c>
      <c r="AK6191">
        <v>14.6298914267038</v>
      </c>
      <c r="AL6191">
        <v>92.005389843700897</v>
      </c>
      <c r="AM6191">
        <v>105.536187544379</v>
      </c>
      <c r="AN6191">
        <v>1.00000000681624</v>
      </c>
    </row>
    <row r="6192" spans="1:40" x14ac:dyDescent="0.3">
      <c r="A6192" t="str">
        <f>"20200111160625853"</f>
        <v>20200111160625853</v>
      </c>
      <c r="B6192" t="str">
        <f>"1578729985848113"</f>
        <v>1578729985848113</v>
      </c>
      <c r="C6192" t="s">
        <v>40</v>
      </c>
      <c r="D6192">
        <v>5.571771</v>
      </c>
      <c r="E6192">
        <v>0.32045770000000001</v>
      </c>
      <c r="F6192" t="s">
        <v>67</v>
      </c>
      <c r="G6192">
        <v>-197.0395</v>
      </c>
      <c r="H6192" s="1">
        <v>-5.4040689999999998E-6</v>
      </c>
      <c r="I6192">
        <v>-44.716709999999999</v>
      </c>
      <c r="J6192">
        <v>-203.23560000000001</v>
      </c>
      <c r="K6192">
        <v>1.1225290000000001</v>
      </c>
      <c r="L6192">
        <v>-58.801270000000002</v>
      </c>
      <c r="M6192">
        <v>0.90642149999999999</v>
      </c>
      <c r="N6192">
        <v>0</v>
      </c>
      <c r="O6192">
        <v>0.42206559999999999</v>
      </c>
      <c r="P6192">
        <v>0.75741669999999905</v>
      </c>
      <c r="Q6192">
        <v>-4.2976729999999998E-2</v>
      </c>
      <c r="R6192">
        <v>0.65151579999999998</v>
      </c>
      <c r="S6192">
        <v>1.358719</v>
      </c>
      <c r="T6192">
        <v>-0.2402253</v>
      </c>
      <c r="U6192">
        <v>3.03064</v>
      </c>
      <c r="V6192">
        <v>-0.26995019999999997</v>
      </c>
      <c r="W6192">
        <v>-3.5619440000000002E-2</v>
      </c>
      <c r="X6192">
        <v>0.96221520000000005</v>
      </c>
      <c r="Y6192">
        <v>-0.65395249999999905</v>
      </c>
      <c r="Z6192">
        <v>-6.1126000000000002E-3</v>
      </c>
      <c r="AA6192">
        <v>0.75651089999999999</v>
      </c>
      <c r="AB6192">
        <v>33</v>
      </c>
      <c r="AC6192">
        <v>6.1961000000000004</v>
      </c>
      <c r="AD6192">
        <v>-1.122534404069</v>
      </c>
      <c r="AE6192">
        <v>14.0845599999999</v>
      </c>
      <c r="AF6192">
        <v>-10.098963590857499</v>
      </c>
      <c r="AG6192">
        <v>-1.122534404069</v>
      </c>
      <c r="AH6192">
        <v>11.5011838471611</v>
      </c>
      <c r="AI6192">
        <v>94.194599766563897</v>
      </c>
      <c r="AJ6192">
        <v>131.285732388729</v>
      </c>
      <c r="AK6192">
        <v>15.346868702897799</v>
      </c>
      <c r="AL6192">
        <v>92.041275433745696</v>
      </c>
      <c r="AM6192">
        <v>105.671504035924</v>
      </c>
      <c r="AN6192">
        <v>0.99999997304849597</v>
      </c>
    </row>
    <row r="6193" spans="1:40" x14ac:dyDescent="0.3">
      <c r="A6193" t="str">
        <f>"20200111160625864"</f>
        <v>20200111160625864</v>
      </c>
      <c r="B6193" t="str">
        <f>"1578729985858849"</f>
        <v>1578729985858849</v>
      </c>
      <c r="C6193" t="s">
        <v>40</v>
      </c>
      <c r="D6193">
        <v>5.5059620000000002</v>
      </c>
      <c r="E6193">
        <v>0.32130379999999997</v>
      </c>
      <c r="F6193" t="s">
        <v>67</v>
      </c>
      <c r="G6193">
        <v>-196.8715</v>
      </c>
      <c r="H6193" s="1">
        <v>-5.5510650000000002E-6</v>
      </c>
      <c r="I6193">
        <v>-44.336950000000002</v>
      </c>
      <c r="J6193">
        <v>-203.0959</v>
      </c>
      <c r="K6193">
        <v>1.1225639999999999</v>
      </c>
      <c r="L6193">
        <v>-58.73068</v>
      </c>
      <c r="M6193">
        <v>0.90355209999999997</v>
      </c>
      <c r="N6193">
        <v>0</v>
      </c>
      <c r="O6193">
        <v>0.428174</v>
      </c>
      <c r="P6193">
        <v>0.75155450000000001</v>
      </c>
      <c r="Q6193">
        <v>-4.265538E-2</v>
      </c>
      <c r="R6193">
        <v>0.65829040000000005</v>
      </c>
      <c r="S6193">
        <v>1.3358460000000001</v>
      </c>
      <c r="T6193">
        <v>-0.23562559999999999</v>
      </c>
      <c r="U6193">
        <v>3.036133</v>
      </c>
      <c r="V6193">
        <v>-0.27209169999999999</v>
      </c>
      <c r="W6193">
        <v>-3.53879E-2</v>
      </c>
      <c r="X6193">
        <v>0.96162040000000004</v>
      </c>
      <c r="Y6193">
        <v>-0.65415119999999904</v>
      </c>
      <c r="Z6193">
        <v>-6.5031159999999998E-3</v>
      </c>
      <c r="AA6193">
        <v>0.75633589999999995</v>
      </c>
      <c r="AB6193">
        <v>33</v>
      </c>
      <c r="AC6193">
        <v>6.2244000000000002</v>
      </c>
      <c r="AD6193">
        <v>-1.122569551065</v>
      </c>
      <c r="AE6193">
        <v>14.39373</v>
      </c>
      <c r="AF6193">
        <v>-10.288983433305299</v>
      </c>
      <c r="AG6193">
        <v>-1.122569551065</v>
      </c>
      <c r="AH6193">
        <v>11.7285273728346</v>
      </c>
      <c r="AI6193">
        <v>94.115367650392002</v>
      </c>
      <c r="AJ6193">
        <v>131.25922449410999</v>
      </c>
      <c r="AK6193">
        <v>15.642304715838399</v>
      </c>
      <c r="AL6193">
        <v>92.028000754609707</v>
      </c>
      <c r="AM6193">
        <v>105.79892729879199</v>
      </c>
      <c r="AN6193">
        <v>0.99999999518573002</v>
      </c>
    </row>
    <row r="6194" spans="1:40" x14ac:dyDescent="0.3">
      <c r="A6194" t="str">
        <f>"20200111160625875"</f>
        <v>20200111160625875</v>
      </c>
      <c r="B6194" t="str">
        <f>"1578729985868609"</f>
        <v>1578729985868609</v>
      </c>
      <c r="C6194" t="s">
        <v>40</v>
      </c>
      <c r="D6194">
        <v>5.6114269999999999</v>
      </c>
      <c r="E6194">
        <v>0.32157780000000002</v>
      </c>
      <c r="F6194" t="s">
        <v>67</v>
      </c>
      <c r="G6194">
        <v>-196.5094</v>
      </c>
      <c r="H6194" s="1">
        <v>-5.8660929999999996E-6</v>
      </c>
      <c r="I6194">
        <v>-43.46855</v>
      </c>
      <c r="J6194">
        <v>-202.9444</v>
      </c>
      <c r="K6194">
        <v>1.1226069999999999</v>
      </c>
      <c r="L6194">
        <v>-58.651789999999998</v>
      </c>
      <c r="M6194">
        <v>0.90034969999999903</v>
      </c>
      <c r="N6194">
        <v>0</v>
      </c>
      <c r="O6194">
        <v>0.434867</v>
      </c>
      <c r="P6194">
        <v>0.74529219999999996</v>
      </c>
      <c r="Q6194">
        <v>-4.1779070000000001E-2</v>
      </c>
      <c r="R6194">
        <v>0.66542769999999996</v>
      </c>
      <c r="S6194">
        <v>1.3133699999999999</v>
      </c>
      <c r="T6194">
        <v>-0.22384309999999999</v>
      </c>
      <c r="U6194">
        <v>3.043304</v>
      </c>
      <c r="V6194">
        <v>-0.27412589999999998</v>
      </c>
      <c r="W6194">
        <v>-3.4598219999999999E-2</v>
      </c>
      <c r="X6194">
        <v>0.96107129999999996</v>
      </c>
      <c r="Y6194">
        <v>-0.65395619999999999</v>
      </c>
      <c r="Z6194">
        <v>-6.7239810000000004E-3</v>
      </c>
      <c r="AA6194">
        <v>0.75650249999999997</v>
      </c>
      <c r="AB6194">
        <v>33</v>
      </c>
      <c r="AC6194">
        <v>6.4349999999999996</v>
      </c>
      <c r="AD6194">
        <v>-1.1226128660929999</v>
      </c>
      <c r="AE6194">
        <v>15.18324</v>
      </c>
      <c r="AF6194">
        <v>-10.823118188526699</v>
      </c>
      <c r="AG6194">
        <v>-1.1226128660929999</v>
      </c>
      <c r="AH6194">
        <v>12.340867433621399</v>
      </c>
      <c r="AI6194">
        <v>93.912446050614307</v>
      </c>
      <c r="AJ6194">
        <v>131.25122796959701</v>
      </c>
      <c r="AK6194">
        <v>16.452876830030402</v>
      </c>
      <c r="AL6194">
        <v>91.982727596427395</v>
      </c>
      <c r="AM6194">
        <v>105.91971350528</v>
      </c>
      <c r="AN6194">
        <v>1.0000000447808299</v>
      </c>
    </row>
    <row r="6195" spans="1:40" x14ac:dyDescent="0.3">
      <c r="A6195" t="str">
        <f>"20200111160625887"</f>
        <v>20200111160625887</v>
      </c>
      <c r="B6195" t="str">
        <f>"1578729985878369"</f>
        <v>1578729985878369</v>
      </c>
      <c r="C6195" t="s">
        <v>40</v>
      </c>
      <c r="D6195">
        <v>5.8014330000000003</v>
      </c>
      <c r="E6195">
        <v>0.320183</v>
      </c>
      <c r="F6195" t="s">
        <v>67</v>
      </c>
      <c r="G6195">
        <v>-196.28059999999999</v>
      </c>
      <c r="H6195" s="1">
        <v>-6.0558539999999999E-6</v>
      </c>
      <c r="I6195">
        <v>-42.82479</v>
      </c>
      <c r="J6195">
        <v>-202.80260000000001</v>
      </c>
      <c r="K6195">
        <v>1.1226430000000001</v>
      </c>
      <c r="L6195">
        <v>-58.577210000000001</v>
      </c>
      <c r="M6195">
        <v>0.89729369999999997</v>
      </c>
      <c r="N6195">
        <v>0</v>
      </c>
      <c r="O6195">
        <v>0.44113799999999997</v>
      </c>
      <c r="P6195">
        <v>0.7393885</v>
      </c>
      <c r="Q6195">
        <v>-4.0862009999999997E-2</v>
      </c>
      <c r="R6195">
        <v>0.67203800000000002</v>
      </c>
      <c r="S6195">
        <v>1.286041</v>
      </c>
      <c r="T6195">
        <v>-0.21665019999999999</v>
      </c>
      <c r="U6195">
        <v>3.0544129999999998</v>
      </c>
      <c r="V6195">
        <v>-0.27597919999999998</v>
      </c>
      <c r="W6195">
        <v>-3.3760730000000003E-2</v>
      </c>
      <c r="X6195">
        <v>0.96057049999999999</v>
      </c>
      <c r="Y6195">
        <v>-0.65544639999999998</v>
      </c>
      <c r="Z6195">
        <v>-6.9273669999999898E-3</v>
      </c>
      <c r="AA6195">
        <v>0.75520989999999999</v>
      </c>
      <c r="AB6195">
        <v>33</v>
      </c>
      <c r="AC6195">
        <v>6.52200000000001</v>
      </c>
      <c r="AD6195">
        <v>-1.1226490558540001</v>
      </c>
      <c r="AE6195">
        <v>15.752420000000001</v>
      </c>
      <c r="AF6195">
        <v>-11.2103092901498</v>
      </c>
      <c r="AG6195">
        <v>-1.1226490558540001</v>
      </c>
      <c r="AH6195">
        <v>12.747541079301</v>
      </c>
      <c r="AI6195">
        <v>93.783638953742596</v>
      </c>
      <c r="AJ6195">
        <v>131.32870568340999</v>
      </c>
      <c r="AK6195">
        <v>17.012677004278199</v>
      </c>
      <c r="AL6195">
        <v>91.934714996691994</v>
      </c>
      <c r="AM6195">
        <v>106.029760416942</v>
      </c>
      <c r="AN6195">
        <v>0.99999999559651098</v>
      </c>
    </row>
    <row r="6196" spans="1:40" x14ac:dyDescent="0.3">
      <c r="A6196" t="str">
        <f>"20200111160625977"</f>
        <v>20200111160625977</v>
      </c>
      <c r="B6196" t="str">
        <f>"1578729985968162"</f>
        <v>1578729985968162</v>
      </c>
      <c r="C6196" t="s">
        <v>40</v>
      </c>
      <c r="D6196">
        <v>5.7121440000000003</v>
      </c>
      <c r="E6196">
        <v>0.320183</v>
      </c>
      <c r="F6196" t="s">
        <v>67</v>
      </c>
      <c r="G6196">
        <v>-195.9975</v>
      </c>
      <c r="H6196" s="1">
        <v>-6.3459539999999999E-6</v>
      </c>
      <c r="I6196">
        <v>-41.863039999999998</v>
      </c>
      <c r="J6196">
        <v>-201.66560000000001</v>
      </c>
      <c r="K6196">
        <v>1.122889</v>
      </c>
      <c r="L6196">
        <v>-57.928649999999998</v>
      </c>
      <c r="M6196">
        <v>0.87014729999999996</v>
      </c>
      <c r="N6196">
        <v>0</v>
      </c>
      <c r="O6196">
        <v>0.49252439999999997</v>
      </c>
      <c r="P6196">
        <v>0.69203590000000004</v>
      </c>
      <c r="Q6196">
        <v>-4.1314400000000001E-2</v>
      </c>
      <c r="R6196">
        <v>0.72067990000000004</v>
      </c>
      <c r="S6196">
        <v>1.251709</v>
      </c>
      <c r="T6196">
        <v>-0.20649590000000001</v>
      </c>
      <c r="U6196">
        <v>3.074341</v>
      </c>
      <c r="V6196">
        <v>-0.28535139999999998</v>
      </c>
      <c r="W6196">
        <v>-3.4660580000000003E-2</v>
      </c>
      <c r="X6196">
        <v>0.95779599999999998</v>
      </c>
      <c r="Y6196">
        <v>-0.61999579999999999</v>
      </c>
      <c r="Z6196">
        <v>-1.1822259999999999E-2</v>
      </c>
      <c r="AA6196">
        <v>0.78451599999999999</v>
      </c>
      <c r="AB6196">
        <v>33</v>
      </c>
      <c r="AC6196">
        <v>5.6681000000000097</v>
      </c>
      <c r="AD6196">
        <v>-1.1228953459540001</v>
      </c>
      <c r="AE6196">
        <v>16.0656099999999</v>
      </c>
      <c r="AF6196">
        <v>-11.140842488177</v>
      </c>
      <c r="AG6196">
        <v>-1.1228953459540001</v>
      </c>
      <c r="AH6196">
        <v>12.7909093500434</v>
      </c>
      <c r="AI6196">
        <v>93.787384201746704</v>
      </c>
      <c r="AJ6196">
        <v>131.05576398979599</v>
      </c>
      <c r="AK6196">
        <v>16.999606680901898</v>
      </c>
      <c r="AL6196">
        <v>91.986302839137394</v>
      </c>
      <c r="AM6196">
        <v>106.590111265305</v>
      </c>
      <c r="AN6196">
        <v>0.99999997745194702</v>
      </c>
    </row>
    <row r="6197" spans="1:40" x14ac:dyDescent="0.3">
      <c r="A6197" t="str">
        <f>"20200111160625988"</f>
        <v>20200111160625988</v>
      </c>
      <c r="B6197" t="str">
        <f>"1578729985978898"</f>
        <v>1578729985978898</v>
      </c>
      <c r="C6197" t="s">
        <v>40</v>
      </c>
      <c r="D6197">
        <v>5.8587020000000001</v>
      </c>
      <c r="E6197">
        <v>0.28566399999999997</v>
      </c>
      <c r="F6197" t="s">
        <v>41</v>
      </c>
      <c r="G6197">
        <v>-195.78200000000001</v>
      </c>
      <c r="H6197" s="1">
        <v>-1.6770249999999901E-6</v>
      </c>
      <c r="I6197">
        <v>-40.087850000000003</v>
      </c>
      <c r="J6197">
        <v>-201.5325</v>
      </c>
      <c r="K6197">
        <v>1.1229180000000001</v>
      </c>
      <c r="L6197">
        <v>-57.846829999999997</v>
      </c>
      <c r="M6197">
        <v>0.86664619999999903</v>
      </c>
      <c r="N6197">
        <v>0</v>
      </c>
      <c r="O6197">
        <v>0.49865880000000001</v>
      </c>
      <c r="P6197">
        <v>0.68620369999999997</v>
      </c>
      <c r="Q6197">
        <v>-4.2320719999999999E-2</v>
      </c>
      <c r="R6197">
        <v>0.72617730000000003</v>
      </c>
      <c r="S6197">
        <v>1.0397799999999999</v>
      </c>
      <c r="T6197">
        <v>-0.19844339999999999</v>
      </c>
      <c r="U6197">
        <v>3.1529240000000001</v>
      </c>
      <c r="V6197">
        <v>-0.28622130000000001</v>
      </c>
      <c r="W6197">
        <v>-3.5711979999999997E-2</v>
      </c>
      <c r="X6197">
        <v>0.95749779999999995</v>
      </c>
      <c r="Y6197">
        <v>-0.66665189999999996</v>
      </c>
      <c r="Z6197">
        <v>-1.0011809999999999E-2</v>
      </c>
      <c r="AA6197">
        <v>0.74530200000000002</v>
      </c>
      <c r="AB6197">
        <v>33</v>
      </c>
      <c r="AC6197">
        <v>5.7504999999999802</v>
      </c>
      <c r="AD6197">
        <v>-1.1229196770250001</v>
      </c>
      <c r="AE6197">
        <v>17.758979999999902</v>
      </c>
      <c r="AF6197">
        <v>-12.4797062117206</v>
      </c>
      <c r="AG6197">
        <v>-1.1229196770250001</v>
      </c>
      <c r="AH6197">
        <v>13.791239246009001</v>
      </c>
      <c r="AI6197">
        <v>93.454961843228403</v>
      </c>
      <c r="AJ6197">
        <v>132.14197680162499</v>
      </c>
      <c r="AK6197">
        <v>18.633365119391801</v>
      </c>
      <c r="AL6197">
        <v>92.046580890195401</v>
      </c>
      <c r="AM6197">
        <v>106.642789992345</v>
      </c>
      <c r="AN6197">
        <v>1.0000000075470199</v>
      </c>
    </row>
    <row r="6198" spans="1:40" x14ac:dyDescent="0.3">
      <c r="A6198" t="str">
        <f>"20200111160626000"</f>
        <v>20200111160626000</v>
      </c>
      <c r="B6198" t="str">
        <f>"1578729985988659"</f>
        <v>1578729985988659</v>
      </c>
      <c r="C6198" t="s">
        <v>40</v>
      </c>
      <c r="D6198">
        <v>5.6484930000000002</v>
      </c>
      <c r="E6198">
        <v>0.28552759999999999</v>
      </c>
      <c r="F6198" t="s">
        <v>41</v>
      </c>
      <c r="G6198">
        <v>-187.34030000000001</v>
      </c>
      <c r="H6198" s="1">
        <v>-9.5530489999999997E-7</v>
      </c>
      <c r="I6198">
        <v>0.37573770000000001</v>
      </c>
      <c r="J6198">
        <v>-201.38239999999999</v>
      </c>
      <c r="K6198">
        <v>1.1229549999999999</v>
      </c>
      <c r="L6198">
        <v>-57.752989999999997</v>
      </c>
      <c r="M6198">
        <v>0.86261239999999995</v>
      </c>
      <c r="N6198">
        <v>0</v>
      </c>
      <c r="O6198">
        <v>0.50560459999999996</v>
      </c>
      <c r="P6198">
        <v>0.67960229999999999</v>
      </c>
      <c r="Q6198">
        <v>-4.310274E-2</v>
      </c>
      <c r="R6198">
        <v>0.73231329999999994</v>
      </c>
      <c r="S6198">
        <v>0.81773379999999996</v>
      </c>
      <c r="T6198">
        <v>-6.4701079999999994E-2</v>
      </c>
      <c r="U6198">
        <v>3.3547060000000002</v>
      </c>
      <c r="V6198">
        <v>-0.28712919999999997</v>
      </c>
      <c r="W6198">
        <v>-3.654139E-2</v>
      </c>
      <c r="X6198">
        <v>0.95719460000000001</v>
      </c>
      <c r="Y6198">
        <v>-0.71839370000000002</v>
      </c>
      <c r="Z6198">
        <v>-2.6260490000000001E-3</v>
      </c>
      <c r="AA6198">
        <v>0.69563180000000002</v>
      </c>
      <c r="AB6198">
        <v>33</v>
      </c>
      <c r="AC6198">
        <v>14.0420999999999</v>
      </c>
      <c r="AD6198">
        <v>-1.1229559553049</v>
      </c>
      <c r="AE6198">
        <v>58.128727699999999</v>
      </c>
      <c r="AF6198">
        <v>-43.033315606628797</v>
      </c>
      <c r="AG6198">
        <v>-1.1229559553049</v>
      </c>
      <c r="AH6198">
        <v>41.493886026237703</v>
      </c>
      <c r="AI6198">
        <v>91.076169731890403</v>
      </c>
      <c r="AJ6198">
        <v>136.04336907150801</v>
      </c>
      <c r="AK6198">
        <v>59.790215418040503</v>
      </c>
      <c r="AL6198">
        <v>92.094133690352194</v>
      </c>
      <c r="AM6198">
        <v>106.697641782744</v>
      </c>
      <c r="AN6198">
        <v>0.99999997647246497</v>
      </c>
    </row>
    <row r="6199" spans="1:40" x14ac:dyDescent="0.3">
      <c r="A6199" t="str">
        <f>"20200111160626015"</f>
        <v>20200111160626015</v>
      </c>
      <c r="B6199" t="str">
        <f>"1578729986008178"</f>
        <v>1578729986008178</v>
      </c>
      <c r="C6199" t="s">
        <v>40</v>
      </c>
      <c r="D6199">
        <v>5.7280430000000004</v>
      </c>
      <c r="E6199">
        <v>0.28702309999999998</v>
      </c>
      <c r="F6199" t="s">
        <v>41</v>
      </c>
      <c r="G6199">
        <v>-188.1737</v>
      </c>
      <c r="H6199" s="1">
        <v>-4.2234470000000003E-6</v>
      </c>
      <c r="I6199">
        <v>-1.277388</v>
      </c>
      <c r="J6199">
        <v>-201.21639999999999</v>
      </c>
      <c r="K6199">
        <v>1.123</v>
      </c>
      <c r="L6199">
        <v>-57.646790000000003</v>
      </c>
      <c r="M6199">
        <v>0.85803090000000004</v>
      </c>
      <c r="N6199">
        <v>0</v>
      </c>
      <c r="O6199">
        <v>0.51334079999999904</v>
      </c>
      <c r="P6199">
        <v>0.67237829999999998</v>
      </c>
      <c r="Q6199">
        <v>-4.3377140000000002E-2</v>
      </c>
      <c r="R6199">
        <v>0.73893560000000003</v>
      </c>
      <c r="S6199">
        <v>0.78649899999999995</v>
      </c>
      <c r="T6199">
        <v>-6.6865679999999997E-2</v>
      </c>
      <c r="U6199">
        <v>3.3627929999999999</v>
      </c>
      <c r="V6199">
        <v>-0.28789540000000002</v>
      </c>
      <c r="W6199">
        <v>-3.6858500000000002E-2</v>
      </c>
      <c r="X6199">
        <v>0.95695229999999998</v>
      </c>
      <c r="Y6199">
        <v>-0.71863529999999998</v>
      </c>
      <c r="Z6199">
        <v>-2.8973710000000001E-3</v>
      </c>
      <c r="AA6199">
        <v>0.69538120000000003</v>
      </c>
      <c r="AB6199">
        <v>33</v>
      </c>
      <c r="AC6199">
        <v>13.0426999999999</v>
      </c>
      <c r="AD6199">
        <v>-1.1230042234469999</v>
      </c>
      <c r="AE6199">
        <v>56.369402000000001</v>
      </c>
      <c r="AF6199">
        <v>-41.661149636825897</v>
      </c>
      <c r="AG6199">
        <v>-1.1230042234469999</v>
      </c>
      <c r="AH6199">
        <v>40.1179419174508</v>
      </c>
      <c r="AI6199">
        <v>91.112358705454895</v>
      </c>
      <c r="AJ6199">
        <v>136.081068456639</v>
      </c>
      <c r="AK6199">
        <v>57.847746639258403</v>
      </c>
      <c r="AL6199">
        <v>92.112314938302504</v>
      </c>
      <c r="AM6199">
        <v>106.743710855361</v>
      </c>
      <c r="AN6199">
        <v>1.00000000741935</v>
      </c>
    </row>
    <row r="6200" spans="1:40" x14ac:dyDescent="0.3">
      <c r="A6200" t="str">
        <f>"20200111160626027"</f>
        <v>20200111160626027</v>
      </c>
      <c r="B6200" t="str">
        <f>"1578729986018914"</f>
        <v>1578729986018914</v>
      </c>
      <c r="C6200" t="s">
        <v>40</v>
      </c>
      <c r="D6200">
        <v>5.6858339999999998</v>
      </c>
      <c r="E6200">
        <v>0.2880472</v>
      </c>
      <c r="F6200" t="s">
        <v>41</v>
      </c>
      <c r="G6200">
        <v>-190.96539999999999</v>
      </c>
      <c r="H6200" s="1">
        <v>-3.681998E-6</v>
      </c>
      <c r="I6200">
        <v>-12.42684</v>
      </c>
      <c r="J6200">
        <v>-201.05459999999999</v>
      </c>
      <c r="K6200">
        <v>1.1230450000000001</v>
      </c>
      <c r="L6200">
        <v>-57.541629999999998</v>
      </c>
      <c r="M6200">
        <v>0.85346060000000001</v>
      </c>
      <c r="N6200">
        <v>0</v>
      </c>
      <c r="O6200">
        <v>0.52090349999999996</v>
      </c>
      <c r="P6200">
        <v>0.66502919999999999</v>
      </c>
      <c r="Q6200">
        <v>-4.322786E-2</v>
      </c>
      <c r="R6200">
        <v>0.74556529999999999</v>
      </c>
      <c r="S6200">
        <v>0.76203920000000003</v>
      </c>
      <c r="T6200">
        <v>-8.3482150000000005E-2</v>
      </c>
      <c r="U6200">
        <v>3.3615719999999998</v>
      </c>
      <c r="V6200">
        <v>-0.28892109999999999</v>
      </c>
      <c r="W6200">
        <v>-3.6760679999999997E-2</v>
      </c>
      <c r="X6200">
        <v>0.95664689999999997</v>
      </c>
      <c r="Y6200">
        <v>-0.71721780000000002</v>
      </c>
      <c r="Z6200">
        <v>-3.8790750000000001E-3</v>
      </c>
      <c r="AA6200">
        <v>0.69683830000000002</v>
      </c>
      <c r="AB6200">
        <v>33</v>
      </c>
      <c r="AC6200">
        <v>10.0892</v>
      </c>
      <c r="AD6200">
        <v>-1.1230486819979999</v>
      </c>
      <c r="AE6200">
        <v>45.114789999999999</v>
      </c>
      <c r="AF6200">
        <v>-33.232982334172497</v>
      </c>
      <c r="AG6200">
        <v>-1.1230486819979999</v>
      </c>
      <c r="AH6200">
        <v>32.096493158803902</v>
      </c>
      <c r="AI6200">
        <v>91.392437861287902</v>
      </c>
      <c r="AJ6200">
        <v>135.99663230447399</v>
      </c>
      <c r="AK6200">
        <v>46.215551779230204</v>
      </c>
      <c r="AL6200">
        <v>92.106706436849606</v>
      </c>
      <c r="AM6200">
        <v>106.805070077094</v>
      </c>
      <c r="AN6200">
        <v>1.0000000204494399</v>
      </c>
    </row>
    <row r="6201" spans="1:40" x14ac:dyDescent="0.3">
      <c r="A6201" t="str">
        <f>"20200111160626045"</f>
        <v>20200111160626045</v>
      </c>
      <c r="B6201" t="str">
        <f>"1578729986038433"</f>
        <v>1578729986038433</v>
      </c>
      <c r="C6201" t="s">
        <v>40</v>
      </c>
      <c r="D6201">
        <v>5.6936349999999996</v>
      </c>
      <c r="E6201">
        <v>0.29018749999999999</v>
      </c>
      <c r="F6201" t="s">
        <v>41</v>
      </c>
      <c r="G6201">
        <v>-192.62479999999999</v>
      </c>
      <c r="H6201" s="1">
        <v>-1.3275E-6</v>
      </c>
      <c r="I6201">
        <v>-18.94445</v>
      </c>
      <c r="J6201">
        <v>-200.8476</v>
      </c>
      <c r="K6201">
        <v>1.123108</v>
      </c>
      <c r="L6201">
        <v>-57.40399</v>
      </c>
      <c r="M6201">
        <v>0.84744299999999995</v>
      </c>
      <c r="N6201">
        <v>0</v>
      </c>
      <c r="O6201">
        <v>0.53063669999999996</v>
      </c>
      <c r="P6201">
        <v>0.65550129999999995</v>
      </c>
      <c r="Q6201">
        <v>-4.2329319999999997E-2</v>
      </c>
      <c r="R6201">
        <v>0.75400669999999903</v>
      </c>
      <c r="S6201">
        <v>0.73448179999999996</v>
      </c>
      <c r="T6201">
        <v>-9.7851160000000006E-2</v>
      </c>
      <c r="U6201">
        <v>3.3629760000000002</v>
      </c>
      <c r="V6201">
        <v>-0.2901955</v>
      </c>
      <c r="W6201">
        <v>-3.5926100000000002E-2</v>
      </c>
      <c r="X6201">
        <v>0.95629280000000005</v>
      </c>
      <c r="Y6201">
        <v>-0.71472369999999996</v>
      </c>
      <c r="Z6201">
        <v>-4.9521740000000002E-3</v>
      </c>
      <c r="AA6201">
        <v>0.69938940000000005</v>
      </c>
      <c r="AB6201">
        <v>33</v>
      </c>
      <c r="AC6201">
        <v>8.2227999999999994</v>
      </c>
      <c r="AD6201">
        <v>-1.1231093274999999</v>
      </c>
      <c r="AE6201">
        <v>38.459539999999997</v>
      </c>
      <c r="AF6201">
        <v>-28.209685358835099</v>
      </c>
      <c r="AG6201">
        <v>-1.1231093274999999</v>
      </c>
      <c r="AH6201">
        <v>27.3577163206918</v>
      </c>
      <c r="AI6201">
        <v>91.637081603306399</v>
      </c>
      <c r="AJ6201">
        <v>135.87840000099001</v>
      </c>
      <c r="AK6201">
        <v>39.3127506655212</v>
      </c>
      <c r="AL6201">
        <v>92.058856922440796</v>
      </c>
      <c r="AM6201">
        <v>106.880884201208</v>
      </c>
      <c r="AN6201">
        <v>1.00000001610665</v>
      </c>
    </row>
    <row r="6202" spans="1:40" x14ac:dyDescent="0.3">
      <c r="A6202" t="str">
        <f>"20200111160626056"</f>
        <v>20200111160626056</v>
      </c>
      <c r="B6202" t="str">
        <f>"1578729986048194"</f>
        <v>1578729986048194</v>
      </c>
      <c r="C6202" t="s">
        <v>40</v>
      </c>
      <c r="D6202">
        <v>5.7176200000000001</v>
      </c>
      <c r="E6202">
        <v>0.29114869999999998</v>
      </c>
      <c r="F6202" t="s">
        <v>41</v>
      </c>
      <c r="G6202">
        <v>-193.83330000000001</v>
      </c>
      <c r="H6202" s="1">
        <v>-3.7745E-6</v>
      </c>
      <c r="I6202">
        <v>-23.919740000000001</v>
      </c>
      <c r="J6202">
        <v>-200.7073</v>
      </c>
      <c r="K6202">
        <v>1.123149</v>
      </c>
      <c r="L6202">
        <v>-57.308259999999997</v>
      </c>
      <c r="M6202">
        <v>0.84324120000000002</v>
      </c>
      <c r="N6202">
        <v>0</v>
      </c>
      <c r="O6202">
        <v>0.53728860000000001</v>
      </c>
      <c r="P6202">
        <v>0.64913290000000001</v>
      </c>
      <c r="Q6202">
        <v>-4.1674910000000003E-2</v>
      </c>
      <c r="R6202">
        <v>0.7595326</v>
      </c>
      <c r="S6202">
        <v>0.70394899999999905</v>
      </c>
      <c r="T6202">
        <v>-0.1127143</v>
      </c>
      <c r="U6202">
        <v>3.3604430000000001</v>
      </c>
      <c r="V6202">
        <v>-0.29076639999999998</v>
      </c>
      <c r="W6202">
        <v>-3.5304160000000001E-2</v>
      </c>
      <c r="X6202">
        <v>0.95614250000000001</v>
      </c>
      <c r="Y6202">
        <v>-0.7151632</v>
      </c>
      <c r="Z6202">
        <v>-5.9847669999999898E-3</v>
      </c>
      <c r="AA6202">
        <v>0.69893179999999999</v>
      </c>
      <c r="AB6202">
        <v>33</v>
      </c>
      <c r="AC6202">
        <v>6.8739999999999899</v>
      </c>
      <c r="AD6202">
        <v>-1.1231527745000001</v>
      </c>
      <c r="AE6202">
        <v>33.38852</v>
      </c>
      <c r="AF6202">
        <v>-24.437969585192999</v>
      </c>
      <c r="AG6202">
        <v>-1.1231527745000001</v>
      </c>
      <c r="AH6202">
        <v>23.713117557897</v>
      </c>
      <c r="AI6202">
        <v>91.889138270637602</v>
      </c>
      <c r="AJ6202">
        <v>135.86244834045701</v>
      </c>
      <c r="AK6202">
        <v>34.070335688342297</v>
      </c>
      <c r="AL6202">
        <v>92.023199833365794</v>
      </c>
      <c r="AM6202">
        <v>106.914706633862</v>
      </c>
      <c r="AN6202">
        <v>0.99999998169425697</v>
      </c>
    </row>
    <row r="6203" spans="1:40" x14ac:dyDescent="0.3">
      <c r="A6203" t="str">
        <f>"20200111160626067"</f>
        <v>20200111160626067</v>
      </c>
      <c r="B6203" t="str">
        <f>"1578729986058930"</f>
        <v>1578729986058930</v>
      </c>
      <c r="C6203" t="s">
        <v>40</v>
      </c>
      <c r="D6203">
        <v>5.7128439999999996</v>
      </c>
      <c r="E6203">
        <v>0.29195470000000001</v>
      </c>
      <c r="F6203" t="s">
        <v>41</v>
      </c>
      <c r="G6203">
        <v>-194.23519999999999</v>
      </c>
      <c r="H6203" s="1">
        <v>-3.288539E-6</v>
      </c>
      <c r="I6203">
        <v>-25.372</v>
      </c>
      <c r="J6203">
        <v>-200.58160000000001</v>
      </c>
      <c r="K6203">
        <v>1.123184</v>
      </c>
      <c r="L6203">
        <v>-57.221559999999997</v>
      </c>
      <c r="M6203">
        <v>0.83940959999999998</v>
      </c>
      <c r="N6203">
        <v>0</v>
      </c>
      <c r="O6203">
        <v>0.54325500000000004</v>
      </c>
      <c r="P6203">
        <v>0.6434723</v>
      </c>
      <c r="Q6203">
        <v>-4.0904309999999999E-2</v>
      </c>
      <c r="R6203">
        <v>0.76437569999999999</v>
      </c>
      <c r="S6203">
        <v>0.68116759999999998</v>
      </c>
      <c r="T6203">
        <v>-0.1182077</v>
      </c>
      <c r="U6203">
        <v>3.3611759999999999</v>
      </c>
      <c r="V6203">
        <v>-0.29114600000000002</v>
      </c>
      <c r="W6203">
        <v>-3.455772E-2</v>
      </c>
      <c r="X6203">
        <v>0.95605430000000002</v>
      </c>
      <c r="Y6203">
        <v>-0.71477369999999996</v>
      </c>
      <c r="Z6203">
        <v>-6.5540080000000001E-3</v>
      </c>
      <c r="AA6203">
        <v>0.69932510000000003</v>
      </c>
      <c r="AB6203">
        <v>33</v>
      </c>
      <c r="AC6203">
        <v>6.3464000000000098</v>
      </c>
      <c r="AD6203">
        <v>-1.123187288539</v>
      </c>
      <c r="AE6203">
        <v>31.84956</v>
      </c>
      <c r="AF6203">
        <v>-23.262379800367601</v>
      </c>
      <c r="AG6203">
        <v>-1.123187288539</v>
      </c>
      <c r="AH6203">
        <v>22.605626990247099</v>
      </c>
      <c r="AI6203">
        <v>91.983179126339607</v>
      </c>
      <c r="AJ6203">
        <v>135.820323263353</v>
      </c>
      <c r="AK6203">
        <v>32.456343529175797</v>
      </c>
      <c r="AL6203">
        <v>91.980405764341697</v>
      </c>
      <c r="AM6203">
        <v>106.93699882223299</v>
      </c>
      <c r="AN6203">
        <v>1.00000002693804</v>
      </c>
    </row>
    <row r="6204" spans="1:40" x14ac:dyDescent="0.3">
      <c r="A6204" t="str">
        <f>"20200111160626094"</f>
        <v>20200111160626094</v>
      </c>
      <c r="B6204" t="str">
        <f>"1578729986088209"</f>
        <v>1578729986088209</v>
      </c>
      <c r="C6204" t="s">
        <v>40</v>
      </c>
      <c r="D6204">
        <v>5.724424</v>
      </c>
      <c r="E6204">
        <v>0.29436000000000001</v>
      </c>
      <c r="F6204" t="s">
        <v>41</v>
      </c>
      <c r="G6204">
        <v>-194.32140000000001</v>
      </c>
      <c r="H6204" s="1">
        <v>-3.304573E-6</v>
      </c>
      <c r="I6204">
        <v>-25.388100000000001</v>
      </c>
      <c r="J6204">
        <v>-200.27590000000001</v>
      </c>
      <c r="K6204">
        <v>1.123275</v>
      </c>
      <c r="L6204">
        <v>-57.004179999999998</v>
      </c>
      <c r="M6204">
        <v>0.82974619999999999</v>
      </c>
      <c r="N6204">
        <v>0</v>
      </c>
      <c r="O6204">
        <v>0.55790229999999996</v>
      </c>
      <c r="P6204">
        <v>0.63000509999999998</v>
      </c>
      <c r="Q6204">
        <v>-4.0763939999999999E-2</v>
      </c>
      <c r="R6204">
        <v>0.7755204</v>
      </c>
      <c r="S6204">
        <v>0.66113279999999996</v>
      </c>
      <c r="T6204">
        <v>-0.118617899999999</v>
      </c>
      <c r="U6204">
        <v>3.3618769999999998</v>
      </c>
      <c r="V6204">
        <v>-0.29109429999999997</v>
      </c>
      <c r="W6204">
        <v>-3.4443099999999997E-2</v>
      </c>
      <c r="X6204">
        <v>0.95607410000000004</v>
      </c>
      <c r="Y6204">
        <v>-0.70649530000000005</v>
      </c>
      <c r="Z6204">
        <v>-7.4288979999999998E-3</v>
      </c>
      <c r="AA6204">
        <v>0.70767869999999899</v>
      </c>
      <c r="AB6204">
        <v>33</v>
      </c>
      <c r="AC6204">
        <v>5.9544999999999897</v>
      </c>
      <c r="AD6204">
        <v>-1.1232783045729999</v>
      </c>
      <c r="AE6204">
        <v>31.61608</v>
      </c>
      <c r="AF6204">
        <v>-22.8864441977646</v>
      </c>
      <c r="AG6204">
        <v>-1.1232783045729999</v>
      </c>
      <c r="AH6204">
        <v>22.554918652630999</v>
      </c>
      <c r="AI6204">
        <v>92.002097775756994</v>
      </c>
      <c r="AJ6204">
        <v>135.41800413413799</v>
      </c>
      <c r="AK6204">
        <v>32.152378412704103</v>
      </c>
      <c r="AL6204">
        <v>91.973834758996404</v>
      </c>
      <c r="AM6204">
        <v>106.933832744979</v>
      </c>
      <c r="AN6204">
        <v>0.99999995166045297</v>
      </c>
    </row>
    <row r="6205" spans="1:40" x14ac:dyDescent="0.3">
      <c r="A6205" t="str">
        <f>"20200111160626112"</f>
        <v>20200111160626112</v>
      </c>
      <c r="B6205" t="str">
        <f>"1578729986108706"</f>
        <v>1578729986108706</v>
      </c>
      <c r="C6205" t="s">
        <v>40</v>
      </c>
      <c r="D6205">
        <v>5.705559</v>
      </c>
      <c r="E6205">
        <v>0.29605110000000001</v>
      </c>
      <c r="F6205" t="s">
        <v>41</v>
      </c>
      <c r="G6205">
        <v>-194.83150000000001</v>
      </c>
      <c r="H6205" s="1">
        <v>-2.5994559999999999E-6</v>
      </c>
      <c r="I6205">
        <v>-27.348140000000001</v>
      </c>
      <c r="J6205">
        <v>-200.0609</v>
      </c>
      <c r="K6205">
        <v>1.1233569999999999</v>
      </c>
      <c r="L6205">
        <v>-56.846559999999997</v>
      </c>
      <c r="M6205">
        <v>0.82266249999999996</v>
      </c>
      <c r="N6205">
        <v>0</v>
      </c>
      <c r="O6205">
        <v>0.56829549999999995</v>
      </c>
      <c r="P6205">
        <v>0.62134330000000004</v>
      </c>
      <c r="Q6205">
        <v>-4.119515E-2</v>
      </c>
      <c r="R6205">
        <v>0.78245480000000001</v>
      </c>
      <c r="S6205">
        <v>0.61692809999999998</v>
      </c>
      <c r="T6205">
        <v>-0.12728529999999999</v>
      </c>
      <c r="U6205">
        <v>3.3605040000000002</v>
      </c>
      <c r="V6205">
        <v>-0.289663</v>
      </c>
      <c r="W6205">
        <v>-3.4844880000000002E-2</v>
      </c>
      <c r="X6205">
        <v>0.95649419999999996</v>
      </c>
      <c r="Y6205">
        <v>-0.70651049999999904</v>
      </c>
      <c r="Z6205">
        <v>-8.4894719999999996E-3</v>
      </c>
      <c r="AA6205">
        <v>0.70765159999999905</v>
      </c>
      <c r="AB6205">
        <v>33</v>
      </c>
      <c r="AC6205">
        <v>5.2293999999999903</v>
      </c>
      <c r="AD6205">
        <v>-1.1233595994559999</v>
      </c>
      <c r="AE6205">
        <v>29.498419999999999</v>
      </c>
      <c r="AF6205">
        <v>-21.268334688741401</v>
      </c>
      <c r="AG6205">
        <v>-1.1233595994559999</v>
      </c>
      <c r="AH6205">
        <v>21.039077592197899</v>
      </c>
      <c r="AI6205">
        <v>92.150451227359895</v>
      </c>
      <c r="AJ6205">
        <v>135.31047362105801</v>
      </c>
      <c r="AK6205">
        <v>29.937381033626401</v>
      </c>
      <c r="AL6205">
        <v>91.996868815095894</v>
      </c>
      <c r="AM6205">
        <v>106.848318244057</v>
      </c>
      <c r="AN6205">
        <v>0.99999998693242698</v>
      </c>
    </row>
    <row r="6206" spans="1:40" x14ac:dyDescent="0.3">
      <c r="A6206" t="str">
        <f>"20200111160626136"</f>
        <v>20200111160626136</v>
      </c>
      <c r="B6206" t="str">
        <f>"1578729986128226"</f>
        <v>1578729986128226</v>
      </c>
      <c r="C6206" t="s">
        <v>40</v>
      </c>
      <c r="D6206">
        <v>5.8536289999999997</v>
      </c>
      <c r="E6206">
        <v>0.29798560000000002</v>
      </c>
      <c r="F6206" t="s">
        <v>41</v>
      </c>
      <c r="G6206">
        <v>-195.22839999999999</v>
      </c>
      <c r="H6206" s="1">
        <v>-1.8502159999999999E-6</v>
      </c>
      <c r="I6206">
        <v>-29.340769999999999</v>
      </c>
      <c r="J6206">
        <v>-199.7978</v>
      </c>
      <c r="K6206">
        <v>1.1234569999999999</v>
      </c>
      <c r="L6206">
        <v>-56.647739999999999</v>
      </c>
      <c r="M6206">
        <v>0.81363850000000004</v>
      </c>
      <c r="N6206">
        <v>0</v>
      </c>
      <c r="O6206">
        <v>0.58114109999999997</v>
      </c>
      <c r="P6206">
        <v>0.61068409999999995</v>
      </c>
      <c r="Q6206">
        <v>-4.1371699999999997E-2</v>
      </c>
      <c r="R6206">
        <v>0.79079290000000002</v>
      </c>
      <c r="S6206">
        <v>0.59002690000000002</v>
      </c>
      <c r="T6206">
        <v>-0.13715729999999901</v>
      </c>
      <c r="U6206">
        <v>3.3583370000000001</v>
      </c>
      <c r="V6206">
        <v>-0.28758990000000001</v>
      </c>
      <c r="W6206">
        <v>-3.4976550000000002E-2</v>
      </c>
      <c r="X6206">
        <v>0.95711480000000004</v>
      </c>
      <c r="Y6206">
        <v>-0.70077749999999905</v>
      </c>
      <c r="Z6206">
        <v>-9.9866E-3</v>
      </c>
      <c r="AA6206">
        <v>0.71330990000000005</v>
      </c>
      <c r="AB6206">
        <v>33</v>
      </c>
      <c r="AC6206">
        <v>4.5693999999999999</v>
      </c>
      <c r="AD6206">
        <v>-1.1234588502159999</v>
      </c>
      <c r="AE6206">
        <v>27.30697</v>
      </c>
      <c r="AF6206">
        <v>-19.532990168497498</v>
      </c>
      <c r="AG6206">
        <v>-1.1234588502159999</v>
      </c>
      <c r="AH6206">
        <v>19.557459533249599</v>
      </c>
      <c r="AI6206">
        <v>92.327475251939802</v>
      </c>
      <c r="AJ6206">
        <v>134.96413468877299</v>
      </c>
      <c r="AK6206">
        <v>27.663949249979598</v>
      </c>
      <c r="AL6206">
        <v>92.004417475587303</v>
      </c>
      <c r="AM6206">
        <v>106.724254910548</v>
      </c>
      <c r="AN6206">
        <v>1.0000000250054699</v>
      </c>
    </row>
    <row r="6207" spans="1:40" x14ac:dyDescent="0.3">
      <c r="A6207" t="str">
        <f>"20200111160626149"</f>
        <v>20200111160626149</v>
      </c>
      <c r="B6207" t="str">
        <f>"1578729986138962"</f>
        <v>1578729986138962</v>
      </c>
      <c r="C6207" t="s">
        <v>40</v>
      </c>
      <c r="D6207">
        <v>5.7627129999999998</v>
      </c>
      <c r="E6207">
        <v>0.29798560000000002</v>
      </c>
      <c r="F6207" t="s">
        <v>41</v>
      </c>
      <c r="G6207">
        <v>-195.48320000000001</v>
      </c>
      <c r="H6207" s="1">
        <v>-5.1904789999999997E-6</v>
      </c>
      <c r="I6207">
        <v>-30.618829999999999</v>
      </c>
      <c r="J6207">
        <v>-199.6422</v>
      </c>
      <c r="K6207">
        <v>1.1235139999999999</v>
      </c>
      <c r="L6207">
        <v>-56.52704</v>
      </c>
      <c r="M6207">
        <v>0.80810950000000004</v>
      </c>
      <c r="N6207">
        <v>0</v>
      </c>
      <c r="O6207">
        <v>0.58880480000000002</v>
      </c>
      <c r="P6207">
        <v>0.60418430000000001</v>
      </c>
      <c r="Q6207">
        <v>-4.1497050000000001E-2</v>
      </c>
      <c r="R6207">
        <v>0.79576340000000001</v>
      </c>
      <c r="S6207">
        <v>0.55638120000000002</v>
      </c>
      <c r="T6207">
        <v>-0.14487120000000001</v>
      </c>
      <c r="U6207">
        <v>3.3564449999999999</v>
      </c>
      <c r="V6207">
        <v>-0.28637420000000002</v>
      </c>
      <c r="W6207">
        <v>-3.5077169999999998E-2</v>
      </c>
      <c r="X6207">
        <v>0.95747550000000003</v>
      </c>
      <c r="Y6207">
        <v>-0.70090359999999996</v>
      </c>
      <c r="Z6207">
        <v>-1.0989769999999999E-2</v>
      </c>
      <c r="AA6207">
        <v>0.71317140000000001</v>
      </c>
      <c r="AB6207">
        <v>32</v>
      </c>
      <c r="AC6207">
        <v>4.15899999999999</v>
      </c>
      <c r="AD6207">
        <v>-1.1235191904789901</v>
      </c>
      <c r="AE6207">
        <v>25.90821</v>
      </c>
      <c r="AF6207">
        <v>-18.4564723320734</v>
      </c>
      <c r="AG6207">
        <v>-1.1235191904789901</v>
      </c>
      <c r="AH6207">
        <v>18.584229613578099</v>
      </c>
      <c r="AI6207">
        <v>92.456236453959804</v>
      </c>
      <c r="AJ6207">
        <v>134.80238160668799</v>
      </c>
      <c r="AK6207">
        <v>26.215973311058999</v>
      </c>
      <c r="AL6207">
        <v>92.010186243910894</v>
      </c>
      <c r="AM6207">
        <v>106.651554860842</v>
      </c>
      <c r="AN6207">
        <v>0.99999996169054794</v>
      </c>
    </row>
    <row r="6208" spans="1:40" x14ac:dyDescent="0.3">
      <c r="A6208" t="str">
        <f>"20200111160626168"</f>
        <v>20200111160626168</v>
      </c>
      <c r="B6208" t="str">
        <f>"1578729986158489"</f>
        <v>1578729986158489</v>
      </c>
      <c r="C6208" t="s">
        <v>40</v>
      </c>
      <c r="D6208">
        <v>5.7789440000000001</v>
      </c>
      <c r="E6208">
        <v>0.2997938</v>
      </c>
      <c r="F6208" t="s">
        <v>41</v>
      </c>
      <c r="G6208">
        <v>-195.501</v>
      </c>
      <c r="H6208" s="1">
        <v>-1.545305E-6</v>
      </c>
      <c r="I6208">
        <v>-30.220580000000002</v>
      </c>
      <c r="J6208">
        <v>-199.4358</v>
      </c>
      <c r="K6208">
        <v>1.1235999999999999</v>
      </c>
      <c r="L6208">
        <v>-56.363039999999998</v>
      </c>
      <c r="M6208">
        <v>0.80053240000000003</v>
      </c>
      <c r="N6208">
        <v>0</v>
      </c>
      <c r="O6208">
        <v>0.59906539999999997</v>
      </c>
      <c r="P6208">
        <v>0.59641269999999902</v>
      </c>
      <c r="Q6208">
        <v>-4.2219189999999997E-2</v>
      </c>
      <c r="R6208">
        <v>0.80156680000000002</v>
      </c>
      <c r="S6208">
        <v>0.52906799999999998</v>
      </c>
      <c r="T6208">
        <v>-0.14353469999999999</v>
      </c>
      <c r="U6208">
        <v>3.360779</v>
      </c>
      <c r="V6208">
        <v>-0.2834198</v>
      </c>
      <c r="W6208">
        <v>-3.571949E-2</v>
      </c>
      <c r="X6208">
        <v>0.95833049999999997</v>
      </c>
      <c r="Y6208">
        <v>-0.6976038</v>
      </c>
      <c r="Z6208">
        <v>-1.154292E-2</v>
      </c>
      <c r="AA6208">
        <v>0.71639079999999999</v>
      </c>
      <c r="AB6208">
        <v>32</v>
      </c>
      <c r="AC6208">
        <v>3.9348000000000201</v>
      </c>
      <c r="AD6208">
        <v>-1.1236015453049999</v>
      </c>
      <c r="AE6208">
        <v>26.14246</v>
      </c>
      <c r="AF6208">
        <v>-18.539688300591902</v>
      </c>
      <c r="AG6208">
        <v>-1.1236015453049999</v>
      </c>
      <c r="AH6208">
        <v>18.779581671662299</v>
      </c>
      <c r="AI6208">
        <v>92.438066851492394</v>
      </c>
      <c r="AJ6208">
        <v>134.63169996644299</v>
      </c>
      <c r="AK6208">
        <v>26.4131635833036</v>
      </c>
      <c r="AL6208">
        <v>92.047011459136399</v>
      </c>
      <c r="AM6208">
        <v>106.475228415223</v>
      </c>
      <c r="AN6208">
        <v>1.0000000061140699</v>
      </c>
    </row>
    <row r="6209" spans="1:40" x14ac:dyDescent="0.3">
      <c r="A6209" t="str">
        <f>"20200111160626214"</f>
        <v>20200111160626214</v>
      </c>
      <c r="B6209" t="str">
        <f>"1578729986208158"</f>
        <v>1578729986208158</v>
      </c>
      <c r="C6209" t="s">
        <v>40</v>
      </c>
      <c r="D6209">
        <v>5.8000470000000002</v>
      </c>
      <c r="E6209">
        <v>0.30185640000000002</v>
      </c>
      <c r="F6209" t="s">
        <v>41</v>
      </c>
      <c r="G6209">
        <v>-195.27269999999999</v>
      </c>
      <c r="H6209" s="1">
        <v>-2.0734290000000001E-6</v>
      </c>
      <c r="I6209">
        <v>-28.847909999999999</v>
      </c>
      <c r="J6209">
        <v>-198.9478</v>
      </c>
      <c r="K6209">
        <v>1.123801</v>
      </c>
      <c r="L6209">
        <v>-55.95673</v>
      </c>
      <c r="M6209">
        <v>0.78140359999999998</v>
      </c>
      <c r="N6209">
        <v>0</v>
      </c>
      <c r="O6209">
        <v>0.62380919999999995</v>
      </c>
      <c r="P6209">
        <v>0.57434790000000002</v>
      </c>
      <c r="Q6209">
        <v>-4.3191500000000001E-2</v>
      </c>
      <c r="R6209">
        <v>0.81747109999999901</v>
      </c>
      <c r="S6209">
        <v>0.50799559999999999</v>
      </c>
      <c r="T6209">
        <v>-0.13710549999999999</v>
      </c>
      <c r="U6209">
        <v>3.3574830000000002</v>
      </c>
      <c r="V6209">
        <v>-0.27947559999999999</v>
      </c>
      <c r="W6209">
        <v>-3.6628849999999998E-2</v>
      </c>
      <c r="X6209">
        <v>0.95945389999999997</v>
      </c>
      <c r="Y6209">
        <v>-0.67928520000000003</v>
      </c>
      <c r="Z6209">
        <v>-1.2821320000000001E-2</v>
      </c>
      <c r="AA6209">
        <v>0.73376239999999904</v>
      </c>
      <c r="AB6209">
        <v>32</v>
      </c>
      <c r="AC6209">
        <v>3.6751000000000098</v>
      </c>
      <c r="AD6209">
        <v>-1.1238030734289901</v>
      </c>
      <c r="AE6209">
        <v>27.108820000000001</v>
      </c>
      <c r="AF6209">
        <v>-18.861095207652799</v>
      </c>
      <c r="AG6209">
        <v>-1.1238030734289901</v>
      </c>
      <c r="AH6209">
        <v>19.751812119608498</v>
      </c>
      <c r="AI6209">
        <v>92.356323336864804</v>
      </c>
      <c r="AJ6209">
        <v>133.67854367906199</v>
      </c>
      <c r="AK6209">
        <v>27.333823877904599</v>
      </c>
      <c r="AL6209">
        <v>92.099148013537601</v>
      </c>
      <c r="AM6209">
        <v>106.240108135114</v>
      </c>
      <c r="AN6209">
        <v>1.00000003493644</v>
      </c>
    </row>
    <row r="6210" spans="1:40" x14ac:dyDescent="0.3">
      <c r="A6210" t="str">
        <f>"20200111160626225"</f>
        <v>20200111160626225</v>
      </c>
      <c r="B6210" t="str">
        <f>"1578729986218880"</f>
        <v>1578729986218880</v>
      </c>
      <c r="C6210" t="s">
        <v>40</v>
      </c>
      <c r="D6210">
        <v>5.7739260000000003</v>
      </c>
      <c r="E6210">
        <v>0.30289549999999998</v>
      </c>
      <c r="F6210" t="s">
        <v>41</v>
      </c>
      <c r="G6210">
        <v>-195.65100000000001</v>
      </c>
      <c r="H6210" s="1">
        <v>-1.6027689999999999E-6</v>
      </c>
      <c r="I6210">
        <v>-30.179690000000001</v>
      </c>
      <c r="J6210">
        <v>-198.8056</v>
      </c>
      <c r="K6210">
        <v>1.1238649999999999</v>
      </c>
      <c r="L6210">
        <v>-55.833590000000001</v>
      </c>
      <c r="M6210">
        <v>0.77549290000000004</v>
      </c>
      <c r="N6210">
        <v>0</v>
      </c>
      <c r="O6210">
        <v>0.63114159999999997</v>
      </c>
      <c r="P6210">
        <v>0.56713649999999904</v>
      </c>
      <c r="Q6210">
        <v>-4.3583490000000003E-2</v>
      </c>
      <c r="R6210">
        <v>0.82246989999999998</v>
      </c>
      <c r="S6210">
        <v>0.42974849999999998</v>
      </c>
      <c r="T6210">
        <v>-0.1464934</v>
      </c>
      <c r="U6210">
        <v>3.3601679999999998</v>
      </c>
      <c r="V6210">
        <v>-0.27884189999999998</v>
      </c>
      <c r="W6210">
        <v>-3.7026110000000001E-2</v>
      </c>
      <c r="X6210">
        <v>0.959623</v>
      </c>
      <c r="Y6210">
        <v>-0.68913959999999996</v>
      </c>
      <c r="Z6210">
        <v>-1.388614E-2</v>
      </c>
      <c r="AA6210">
        <v>0.72449549999999996</v>
      </c>
      <c r="AB6210">
        <v>32</v>
      </c>
      <c r="AC6210">
        <v>3.1546000000000101</v>
      </c>
      <c r="AD6210">
        <v>-1.1238666027690001</v>
      </c>
      <c r="AE6210">
        <v>25.6539</v>
      </c>
      <c r="AF6210">
        <v>-17.872055488861601</v>
      </c>
      <c r="AG6210">
        <v>-1.1238666027690001</v>
      </c>
      <c r="AH6210">
        <v>18.6049647319375</v>
      </c>
      <c r="AI6210">
        <v>92.494427529438099</v>
      </c>
      <c r="AJ6210">
        <v>133.84894773023501</v>
      </c>
      <c r="AK6210">
        <v>25.822822390559999</v>
      </c>
      <c r="AL6210">
        <v>92.121924816704507</v>
      </c>
      <c r="AM6210">
        <v>106.202513210503</v>
      </c>
      <c r="AN6210">
        <v>1.00000002007317</v>
      </c>
    </row>
    <row r="6211" spans="1:40" x14ac:dyDescent="0.3">
      <c r="A6211" t="str">
        <f>"20200111160626239"</f>
        <v>20200111160626239</v>
      </c>
      <c r="B6211" t="str">
        <f>"1578729986228640"</f>
        <v>1578729986228640</v>
      </c>
      <c r="C6211" t="s">
        <v>40</v>
      </c>
      <c r="D6211">
        <v>5.761342</v>
      </c>
      <c r="E6211">
        <v>0.30398599999999998</v>
      </c>
      <c r="F6211" t="s">
        <v>41</v>
      </c>
      <c r="G6211">
        <v>-195.81970000000001</v>
      </c>
      <c r="H6211" s="1">
        <v>-5.0569139999999998E-6</v>
      </c>
      <c r="I6211">
        <v>-31.18676</v>
      </c>
      <c r="J6211">
        <v>-198.6678</v>
      </c>
      <c r="K6211">
        <v>1.1239319999999999</v>
      </c>
      <c r="L6211">
        <v>-55.711359999999999</v>
      </c>
      <c r="M6211">
        <v>0.76957659999999894</v>
      </c>
      <c r="N6211">
        <v>0</v>
      </c>
      <c r="O6211">
        <v>0.63834150000000001</v>
      </c>
      <c r="P6211">
        <v>0.55972619999999995</v>
      </c>
      <c r="Q6211">
        <v>-4.3910959999999999E-2</v>
      </c>
      <c r="R6211">
        <v>0.82751350000000001</v>
      </c>
      <c r="S6211">
        <v>0.40690609999999999</v>
      </c>
      <c r="T6211">
        <v>-0.1531604</v>
      </c>
      <c r="U6211">
        <v>3.3588559999999998</v>
      </c>
      <c r="V6211">
        <v>-0.27848820000000002</v>
      </c>
      <c r="W6211">
        <v>-3.7368989999999998E-2</v>
      </c>
      <c r="X6211">
        <v>0.95971240000000002</v>
      </c>
      <c r="Y6211">
        <v>-0.68719350000000001</v>
      </c>
      <c r="Z6211">
        <v>-1.5021629999999999E-2</v>
      </c>
      <c r="AA6211">
        <v>0.72631919999999905</v>
      </c>
      <c r="AB6211">
        <v>32</v>
      </c>
      <c r="AC6211">
        <v>2.8480999999999801</v>
      </c>
      <c r="AD6211">
        <v>-1.1239370569139999</v>
      </c>
      <c r="AE6211">
        <v>24.5246</v>
      </c>
      <c r="AF6211">
        <v>-17.022541183260401</v>
      </c>
      <c r="AG6211">
        <v>-1.1239370569139999</v>
      </c>
      <c r="AH6211">
        <v>17.812415146381898</v>
      </c>
      <c r="AI6211">
        <v>92.611871207206207</v>
      </c>
      <c r="AJ6211">
        <v>133.70105504703699</v>
      </c>
      <c r="AK6211">
        <v>24.6639874349375</v>
      </c>
      <c r="AL6211">
        <v>92.141584031435997</v>
      </c>
      <c r="AM6211">
        <v>106.18160873299399</v>
      </c>
      <c r="AN6211">
        <v>1.00000000483331</v>
      </c>
    </row>
    <row r="6212" spans="1:40" x14ac:dyDescent="0.3">
      <c r="A6212" t="str">
        <f>"20200111160626258"</f>
        <v>20200111160626258</v>
      </c>
      <c r="B6212" t="str">
        <f>"1578729986248159"</f>
        <v>1578729986248159</v>
      </c>
      <c r="C6212" t="s">
        <v>40</v>
      </c>
      <c r="D6212">
        <v>5.8005050000000002</v>
      </c>
      <c r="E6212">
        <v>0.30602489999999999</v>
      </c>
      <c r="F6212" t="s">
        <v>41</v>
      </c>
      <c r="G6212">
        <v>-195.9716</v>
      </c>
      <c r="H6212" s="1">
        <v>-4.7675060000000003E-6</v>
      </c>
      <c r="I6212">
        <v>-32.116379999999999</v>
      </c>
      <c r="J6212">
        <v>-198.46600000000001</v>
      </c>
      <c r="K6212">
        <v>1.124026</v>
      </c>
      <c r="L6212">
        <v>-55.528350000000003</v>
      </c>
      <c r="M6212">
        <v>0.76061489999999998</v>
      </c>
      <c r="N6212">
        <v>0</v>
      </c>
      <c r="O6212">
        <v>0.64899289999999998</v>
      </c>
      <c r="P6212">
        <v>0.54887869999999905</v>
      </c>
      <c r="Q6212">
        <v>-4.4870559999999997E-2</v>
      </c>
      <c r="R6212">
        <v>0.83469689999999996</v>
      </c>
      <c r="S6212">
        <v>0.38363649999999999</v>
      </c>
      <c r="T6212">
        <v>-0.1599264</v>
      </c>
      <c r="U6212">
        <v>3.357361</v>
      </c>
      <c r="V6212">
        <v>-0.27757369999999998</v>
      </c>
      <c r="W6212">
        <v>-3.8336599999999998E-2</v>
      </c>
      <c r="X6212">
        <v>0.95993910000000005</v>
      </c>
      <c r="Y6212">
        <v>-0.68198649999999905</v>
      </c>
      <c r="Z6212">
        <v>-1.6524609999999999E-2</v>
      </c>
      <c r="AA6212">
        <v>0.73117809999999905</v>
      </c>
      <c r="AB6212">
        <v>32</v>
      </c>
      <c r="AC6212">
        <v>2.4943999999999802</v>
      </c>
      <c r="AD6212">
        <v>-1.124030767506</v>
      </c>
      <c r="AE6212">
        <v>23.41197</v>
      </c>
      <c r="AF6212">
        <v>-16.154039131605899</v>
      </c>
      <c r="AG6212">
        <v>-1.124030767506</v>
      </c>
      <c r="AH6212">
        <v>17.054943937628401</v>
      </c>
      <c r="AI6212">
        <v>92.739487860327102</v>
      </c>
      <c r="AJ6212">
        <v>133.44604136504</v>
      </c>
      <c r="AK6212">
        <v>23.517813209297401</v>
      </c>
      <c r="AL6212">
        <v>92.197063851495699</v>
      </c>
      <c r="AM6212">
        <v>106.12762805377299</v>
      </c>
      <c r="AN6212">
        <v>0.99999996477002895</v>
      </c>
    </row>
    <row r="6213" spans="1:40" x14ac:dyDescent="0.3">
      <c r="A6213" t="str">
        <f>"20200111160626304"</f>
        <v>20200111160626304</v>
      </c>
      <c r="B6213" t="str">
        <f>"1578729986298912"</f>
        <v>1578729986298912</v>
      </c>
      <c r="C6213" t="s">
        <v>40</v>
      </c>
      <c r="D6213">
        <v>5.6414289999999996</v>
      </c>
      <c r="E6213">
        <v>0.30783749999999999</v>
      </c>
      <c r="F6213" t="s">
        <v>41</v>
      </c>
      <c r="G6213">
        <v>-196.17740000000001</v>
      </c>
      <c r="H6213" s="1">
        <v>-4.2282670000000004E-6</v>
      </c>
      <c r="I6213">
        <v>-33.808199999999999</v>
      </c>
      <c r="J6213">
        <v>-197.99619999999999</v>
      </c>
      <c r="K6213">
        <v>1.1242799999999999</v>
      </c>
      <c r="L6213">
        <v>-55.080869999999997</v>
      </c>
      <c r="M6213">
        <v>0.73817769999999905</v>
      </c>
      <c r="N6213">
        <v>0</v>
      </c>
      <c r="O6213">
        <v>0.67440159999999905</v>
      </c>
      <c r="P6213">
        <v>0.51914850000000001</v>
      </c>
      <c r="Q6213">
        <v>-4.6822660000000002E-2</v>
      </c>
      <c r="R6213">
        <v>0.85340049999999901</v>
      </c>
      <c r="S6213">
        <v>0.35325620000000002</v>
      </c>
      <c r="T6213">
        <v>-0.17349419999999999</v>
      </c>
      <c r="U6213">
        <v>3.3525089999999902</v>
      </c>
      <c r="V6213">
        <v>-0.278665</v>
      </c>
      <c r="W6213">
        <v>-4.043683E-2</v>
      </c>
      <c r="X6213">
        <v>0.95953670000000002</v>
      </c>
      <c r="Y6213">
        <v>-0.66341019999999995</v>
      </c>
      <c r="Z6213">
        <v>-2.0275430000000001E-2</v>
      </c>
      <c r="AA6213">
        <v>0.74798120000000001</v>
      </c>
      <c r="AB6213">
        <v>32</v>
      </c>
      <c r="AC6213">
        <v>1.81879999999998</v>
      </c>
      <c r="AD6213">
        <v>-1.124284228267</v>
      </c>
      <c r="AE6213">
        <v>21.272670000000002</v>
      </c>
      <c r="AF6213">
        <v>-14.438371180733499</v>
      </c>
      <c r="AG6213">
        <v>-1.124284228267</v>
      </c>
      <c r="AH6213">
        <v>15.6476965219973</v>
      </c>
      <c r="AI6213">
        <v>93.022696838721899</v>
      </c>
      <c r="AJ6213">
        <v>132.698205079199</v>
      </c>
      <c r="AK6213">
        <v>21.320904854698199</v>
      </c>
      <c r="AL6213">
        <v>92.317491560395695</v>
      </c>
      <c r="AM6213">
        <v>106.19415303644099</v>
      </c>
      <c r="AN6213">
        <v>0.99999999904616899</v>
      </c>
    </row>
    <row r="6214" spans="1:40" x14ac:dyDescent="0.3">
      <c r="A6214" t="str">
        <f>"20200111160626325"</f>
        <v>20200111160626325</v>
      </c>
      <c r="B6214" t="str">
        <f>"1578729986318090"</f>
        <v>1578729986318090</v>
      </c>
      <c r="C6214" t="s">
        <v>40</v>
      </c>
      <c r="D6214">
        <v>5.6726169999999998</v>
      </c>
      <c r="E6214">
        <v>0.30988130000000003</v>
      </c>
      <c r="F6214" t="s">
        <v>41</v>
      </c>
      <c r="G6214">
        <v>-196.4991</v>
      </c>
      <c r="H6214" s="1">
        <v>-3.9636189999999999E-6</v>
      </c>
      <c r="I6214">
        <v>-34.75356</v>
      </c>
      <c r="J6214">
        <v>-197.78579999999999</v>
      </c>
      <c r="K6214">
        <v>1.1244099999999999</v>
      </c>
      <c r="L6214">
        <v>-54.869570000000003</v>
      </c>
      <c r="M6214">
        <v>0.72732299999999905</v>
      </c>
      <c r="N6214">
        <v>0</v>
      </c>
      <c r="O6214">
        <v>0.68609290000000001</v>
      </c>
      <c r="P6214">
        <v>0.504162</v>
      </c>
      <c r="Q6214">
        <v>-4.7588140000000001E-2</v>
      </c>
      <c r="R6214">
        <v>0.86229690000000003</v>
      </c>
      <c r="S6214">
        <v>0.24708559999999999</v>
      </c>
      <c r="T6214">
        <v>-0.185554</v>
      </c>
      <c r="U6214">
        <v>3.3548580000000001</v>
      </c>
      <c r="V6214">
        <v>-0.28004610000000002</v>
      </c>
      <c r="W6214">
        <v>-4.1302800000000001E-2</v>
      </c>
      <c r="X6214">
        <v>0.95909759999999999</v>
      </c>
      <c r="Y6214">
        <v>-0.67490509999999904</v>
      </c>
      <c r="Z6214">
        <v>-2.2242830000000002E-2</v>
      </c>
      <c r="AA6214">
        <v>0.73756919999999904</v>
      </c>
      <c r="AB6214">
        <v>32</v>
      </c>
      <c r="AC6214">
        <v>1.28669999999999</v>
      </c>
      <c r="AD6214">
        <v>-1.124413963619</v>
      </c>
      <c r="AE6214">
        <v>20.116009999999999</v>
      </c>
      <c r="AF6214">
        <v>-13.7072981283514</v>
      </c>
      <c r="AG6214">
        <v>-1.124413963619</v>
      </c>
      <c r="AH6214">
        <v>14.6936235592438</v>
      </c>
      <c r="AI6214">
        <v>93.202705687373594</v>
      </c>
      <c r="AJ6214">
        <v>133.01099478225899</v>
      </c>
      <c r="AK6214">
        <v>20.126025490440298</v>
      </c>
      <c r="AL6214">
        <v>92.3671495403688</v>
      </c>
      <c r="AM6214">
        <v>106.277231960018</v>
      </c>
      <c r="AN6214">
        <v>0.99999997286940401</v>
      </c>
    </row>
    <row r="6215" spans="1:40" x14ac:dyDescent="0.3">
      <c r="A6215" t="str">
        <f>"20200111160626338"</f>
        <v>20200111160626338</v>
      </c>
      <c r="B6215" t="str">
        <f>"1578729986318090"</f>
        <v>1578729986318090</v>
      </c>
      <c r="C6215" t="s">
        <v>40</v>
      </c>
      <c r="D6215">
        <v>5.6726169999999998</v>
      </c>
      <c r="E6215">
        <v>0.30988130000000003</v>
      </c>
      <c r="F6215" t="s">
        <v>41</v>
      </c>
      <c r="G6215">
        <v>-196.62430000000001</v>
      </c>
      <c r="H6215" s="1">
        <v>-3.691549E-6</v>
      </c>
      <c r="I6215">
        <v>-35.618310000000001</v>
      </c>
      <c r="J6215">
        <v>-197.66480000000001</v>
      </c>
      <c r="K6215">
        <v>1.1244829999999999</v>
      </c>
      <c r="L6215">
        <v>-54.744599999999998</v>
      </c>
      <c r="M6215">
        <v>0.72082690000000005</v>
      </c>
      <c r="N6215">
        <v>0</v>
      </c>
      <c r="O6215">
        <v>0.69291400000000003</v>
      </c>
      <c r="P6215">
        <v>0.49589739999999999</v>
      </c>
      <c r="Q6215">
        <v>-4.7813620000000001E-2</v>
      </c>
      <c r="R6215">
        <v>0.86706380000000005</v>
      </c>
      <c r="S6215">
        <v>0.20213320000000001</v>
      </c>
      <c r="T6215">
        <v>-0.19567010000000001</v>
      </c>
      <c r="U6215">
        <v>3.350098</v>
      </c>
      <c r="V6215">
        <v>-0.28015380000000001</v>
      </c>
      <c r="W6215">
        <v>-4.1558329999999997E-2</v>
      </c>
      <c r="X6215">
        <v>0.95905510000000005</v>
      </c>
      <c r="Y6215">
        <v>-0.67770790000000003</v>
      </c>
      <c r="Z6215">
        <v>-2.3958489999999999E-2</v>
      </c>
      <c r="AA6215">
        <v>0.73494090000000001</v>
      </c>
      <c r="AB6215">
        <v>32</v>
      </c>
      <c r="AC6215">
        <v>1.0405</v>
      </c>
      <c r="AD6215">
        <v>-1.1244866915489999</v>
      </c>
      <c r="AE6215">
        <v>19.126290000000001</v>
      </c>
      <c r="AF6215">
        <v>-13.0227075968162</v>
      </c>
      <c r="AG6215">
        <v>-1.1244866915489999</v>
      </c>
      <c r="AH6215">
        <v>13.956746374388301</v>
      </c>
      <c r="AI6215">
        <v>93.371297492564196</v>
      </c>
      <c r="AJ6215">
        <v>133.017190629982</v>
      </c>
      <c r="AK6215">
        <v>19.121876289492299</v>
      </c>
      <c r="AL6215">
        <v>92.381802930169101</v>
      </c>
      <c r="AM6215">
        <v>106.28384359814901</v>
      </c>
      <c r="AN6215">
        <v>0.99999996564141802</v>
      </c>
    </row>
    <row r="6216" spans="1:40" x14ac:dyDescent="0.3">
      <c r="A6216" t="str">
        <f>"20200111160626359"</f>
        <v>20200111160626359</v>
      </c>
      <c r="B6216" t="str">
        <f>"1578729986348345"</f>
        <v>1578729986348345</v>
      </c>
      <c r="C6216" t="s">
        <v>40</v>
      </c>
      <c r="D6216">
        <v>5.8314300000000001</v>
      </c>
      <c r="E6216">
        <v>0.3120792</v>
      </c>
      <c r="F6216" t="s">
        <v>41</v>
      </c>
      <c r="G6216">
        <v>-196.6874</v>
      </c>
      <c r="H6216" s="1">
        <v>-3.747563E-6</v>
      </c>
      <c r="I6216">
        <v>-35.486640000000001</v>
      </c>
      <c r="J6216">
        <v>-197.4708</v>
      </c>
      <c r="K6216">
        <v>1.1246100000000001</v>
      </c>
      <c r="L6216">
        <v>-54.539580000000001</v>
      </c>
      <c r="M6216">
        <v>0.71004579999999995</v>
      </c>
      <c r="N6216">
        <v>0</v>
      </c>
      <c r="O6216">
        <v>0.70395640000000004</v>
      </c>
      <c r="P6216">
        <v>0.48295490000000002</v>
      </c>
      <c r="Q6216">
        <v>-4.7544500000000003E-2</v>
      </c>
      <c r="R6216">
        <v>0.87435359999999995</v>
      </c>
      <c r="S6216">
        <v>0.17010500000000001</v>
      </c>
      <c r="T6216">
        <v>-0.1957199</v>
      </c>
      <c r="U6216">
        <v>3.3518979999999998</v>
      </c>
      <c r="V6216">
        <v>-0.27961570000000002</v>
      </c>
      <c r="W6216">
        <v>-4.1307200000000002E-2</v>
      </c>
      <c r="X6216">
        <v>0.95922300000000005</v>
      </c>
      <c r="Y6216">
        <v>-0.67338129999999996</v>
      </c>
      <c r="Z6216">
        <v>-2.4992070000000002E-2</v>
      </c>
      <c r="AA6216">
        <v>0.7388728</v>
      </c>
      <c r="AB6216">
        <v>32</v>
      </c>
      <c r="AC6216">
        <v>0.78339999999999999</v>
      </c>
      <c r="AD6216">
        <v>-1.124613747563</v>
      </c>
      <c r="AE6216">
        <v>19.05294</v>
      </c>
      <c r="AF6216">
        <v>-12.933814168388301</v>
      </c>
      <c r="AG6216">
        <v>-1.124613747563</v>
      </c>
      <c r="AH6216">
        <v>13.922223716858699</v>
      </c>
      <c r="AI6216">
        <v>93.3868728098481</v>
      </c>
      <c r="AJ6216">
        <v>132.89223761509001</v>
      </c>
      <c r="AK6216">
        <v>19.036192325301698</v>
      </c>
      <c r="AL6216">
        <v>92.367401806861693</v>
      </c>
      <c r="AM6216">
        <v>106.25152455210301</v>
      </c>
      <c r="AN6216">
        <v>0.99999999409366502</v>
      </c>
    </row>
    <row r="6217" spans="1:40" x14ac:dyDescent="0.3">
      <c r="A6217" t="str">
        <f>"20200111160626381"</f>
        <v>20200111160626381</v>
      </c>
      <c r="B6217" t="str">
        <f>"1578729986378602"</f>
        <v>1578729986378602</v>
      </c>
      <c r="C6217" t="s">
        <v>40</v>
      </c>
      <c r="D6217">
        <v>5.468477</v>
      </c>
      <c r="E6217">
        <v>0.31292449999999999</v>
      </c>
      <c r="F6217" t="s">
        <v>41</v>
      </c>
      <c r="G6217">
        <v>-196.69550000000001</v>
      </c>
      <c r="H6217" s="1">
        <v>-3.7795820000000001E-6</v>
      </c>
      <c r="I6217">
        <v>-35.396740000000001</v>
      </c>
      <c r="J6217">
        <v>-197.26609999999999</v>
      </c>
      <c r="K6217">
        <v>1.124746</v>
      </c>
      <c r="L6217">
        <v>-54.316130000000001</v>
      </c>
      <c r="M6217">
        <v>0.69811509999999999</v>
      </c>
      <c r="N6217">
        <v>0</v>
      </c>
      <c r="O6217">
        <v>0.71578850000000005</v>
      </c>
      <c r="P6217">
        <v>0.46959810000000002</v>
      </c>
      <c r="Q6217">
        <v>-4.616261E-2</v>
      </c>
      <c r="R6217">
        <v>0.88167260000000003</v>
      </c>
      <c r="S6217">
        <v>0.13549800000000001</v>
      </c>
      <c r="T6217">
        <v>-0.1965462</v>
      </c>
      <c r="U6217">
        <v>3.3455509999999999</v>
      </c>
      <c r="V6217">
        <v>-0.27817799999999998</v>
      </c>
      <c r="W6217">
        <v>-3.9909470000000002E-2</v>
      </c>
      <c r="X6217">
        <v>0.9597</v>
      </c>
      <c r="Y6217">
        <v>-0.66850730000000003</v>
      </c>
      <c r="Z6217">
        <v>-2.627498E-2</v>
      </c>
      <c r="AA6217">
        <v>0.74324129999999999</v>
      </c>
      <c r="AB6217">
        <v>32</v>
      </c>
      <c r="AC6217">
        <v>0.57059999999998401</v>
      </c>
      <c r="AD6217">
        <v>-1.1247497795819901</v>
      </c>
      <c r="AE6217">
        <v>18.91939</v>
      </c>
      <c r="AF6217">
        <v>-12.756246043937001</v>
      </c>
      <c r="AG6217">
        <v>-1.1247497795819901</v>
      </c>
      <c r="AH6217">
        <v>13.893534582927799</v>
      </c>
      <c r="AI6217">
        <v>93.4126425994654</v>
      </c>
      <c r="AJ6217">
        <v>132.55636565255799</v>
      </c>
      <c r="AK6217">
        <v>18.894898211081699</v>
      </c>
      <c r="AL6217">
        <v>92.287251809232899</v>
      </c>
      <c r="AM6217">
        <v>106.164724239552</v>
      </c>
      <c r="AN6217">
        <v>0.99999992773983704</v>
      </c>
    </row>
    <row r="6218" spans="1:40" x14ac:dyDescent="0.3">
      <c r="A6218" t="str">
        <f>"20200111160626403"</f>
        <v>20200111160626403</v>
      </c>
      <c r="B6218" t="str">
        <f>"1578729986398122"</f>
        <v>1578729986398122</v>
      </c>
      <c r="C6218" t="s">
        <v>40</v>
      </c>
      <c r="D6218">
        <v>5.5532159999999999</v>
      </c>
      <c r="E6218">
        <v>0.31398779999999998</v>
      </c>
      <c r="F6218" t="s">
        <v>41</v>
      </c>
      <c r="G6218">
        <v>-196.64359999999999</v>
      </c>
      <c r="H6218" s="1">
        <v>-5.0786900000000003E-6</v>
      </c>
      <c r="I6218">
        <v>-31.55219</v>
      </c>
      <c r="J6218">
        <v>-197.0557</v>
      </c>
      <c r="K6218">
        <v>1.124892</v>
      </c>
      <c r="L6218">
        <v>-54.078189999999999</v>
      </c>
      <c r="M6218">
        <v>0.68519799999999997</v>
      </c>
      <c r="N6218">
        <v>0</v>
      </c>
      <c r="O6218">
        <v>0.72816179999999997</v>
      </c>
      <c r="P6218">
        <v>0.45644679999999999</v>
      </c>
      <c r="Q6218">
        <v>-4.3662029999999998E-2</v>
      </c>
      <c r="R6218">
        <v>0.88867870000000004</v>
      </c>
      <c r="S6218">
        <v>9.1491699999999995E-2</v>
      </c>
      <c r="T6218">
        <v>-0.165286299999999</v>
      </c>
      <c r="U6218">
        <v>3.3452449999999998</v>
      </c>
      <c r="V6218">
        <v>-0.27543469999999998</v>
      </c>
      <c r="W6218">
        <v>-3.7340970000000001E-2</v>
      </c>
      <c r="X6218">
        <v>0.96059430000000001</v>
      </c>
      <c r="Y6218">
        <v>-0.66501460000000001</v>
      </c>
      <c r="Z6218">
        <v>-2.3061950000000001E-2</v>
      </c>
      <c r="AA6218">
        <v>0.74647419999999998</v>
      </c>
      <c r="AB6218">
        <v>32</v>
      </c>
      <c r="AC6218">
        <v>0.41210000000000901</v>
      </c>
      <c r="AD6218">
        <v>-1.1248970786900001</v>
      </c>
      <c r="AE6218">
        <v>22.526</v>
      </c>
      <c r="AF6218">
        <v>-15.099203533603101</v>
      </c>
      <c r="AG6218">
        <v>-1.1248970786900001</v>
      </c>
      <c r="AH6218">
        <v>16.645816305676501</v>
      </c>
      <c r="AI6218">
        <v>92.865482116996205</v>
      </c>
      <c r="AJ6218">
        <v>132.21076338607301</v>
      </c>
      <c r="AK6218">
        <v>22.5018786164432</v>
      </c>
      <c r="AL6218">
        <v>92.139977459377505</v>
      </c>
      <c r="AM6218">
        <v>105.999378134989</v>
      </c>
      <c r="AN6218">
        <v>1.00000001559856</v>
      </c>
    </row>
    <row r="6219" spans="1:40" x14ac:dyDescent="0.3">
      <c r="A6219" t="str">
        <f>"20200111160626427"</f>
        <v>20200111160626427</v>
      </c>
      <c r="B6219" t="str">
        <f>"1578729986418415"</f>
        <v>1578729986418415</v>
      </c>
      <c r="C6219" t="s">
        <v>40</v>
      </c>
      <c r="D6219">
        <v>5.6396420000000003</v>
      </c>
      <c r="E6219">
        <v>0.31518570000000001</v>
      </c>
      <c r="F6219" t="s">
        <v>41</v>
      </c>
      <c r="G6219">
        <v>-196.6865</v>
      </c>
      <c r="H6219" s="1">
        <v>-2.3623100000000001E-6</v>
      </c>
      <c r="I6219">
        <v>-29.05142</v>
      </c>
      <c r="J6219">
        <v>-196.84710000000001</v>
      </c>
      <c r="K6219">
        <v>1.125038</v>
      </c>
      <c r="L6219">
        <v>-53.8324</v>
      </c>
      <c r="M6219">
        <v>0.67163070000000002</v>
      </c>
      <c r="N6219">
        <v>0</v>
      </c>
      <c r="O6219">
        <v>0.74069300000000005</v>
      </c>
      <c r="P6219">
        <v>0.4426388</v>
      </c>
      <c r="Q6219">
        <v>-4.1937250000000002E-2</v>
      </c>
      <c r="R6219">
        <v>0.89571880000000004</v>
      </c>
      <c r="S6219">
        <v>4.9316409999999998E-2</v>
      </c>
      <c r="T6219">
        <v>-0.15026349999999999</v>
      </c>
      <c r="U6219">
        <v>3.3430789999999999</v>
      </c>
      <c r="V6219">
        <v>-0.27266600000000002</v>
      </c>
      <c r="W6219">
        <v>-3.5545170000000001E-2</v>
      </c>
      <c r="X6219">
        <v>0.96145190000000003</v>
      </c>
      <c r="Y6219">
        <v>-0.66063369999999999</v>
      </c>
      <c r="Z6219">
        <v>-2.1883900000000001E-2</v>
      </c>
      <c r="AA6219">
        <v>0.75038930000000004</v>
      </c>
      <c r="AB6219">
        <v>32</v>
      </c>
      <c r="AC6219">
        <v>0.16060000000001601</v>
      </c>
      <c r="AD6219">
        <v>-1.12504036231</v>
      </c>
      <c r="AE6219">
        <v>24.78098</v>
      </c>
      <c r="AF6219">
        <v>-16.493083390233501</v>
      </c>
      <c r="AG6219">
        <v>-1.12504036231</v>
      </c>
      <c r="AH6219">
        <v>18.427624244438501</v>
      </c>
      <c r="AI6219">
        <v>92.604701616660293</v>
      </c>
      <c r="AJ6219">
        <v>131.82916373774401</v>
      </c>
      <c r="AK6219">
        <v>24.756107344011902</v>
      </c>
      <c r="AL6219">
        <v>92.037017362772602</v>
      </c>
      <c r="AM6219">
        <v>105.833239414418</v>
      </c>
      <c r="AN6219">
        <v>0.99999998133996904</v>
      </c>
    </row>
    <row r="6220" spans="1:40" x14ac:dyDescent="0.3">
      <c r="A6220" t="str">
        <f>"20200111160626450"</f>
        <v>20200111160626450</v>
      </c>
      <c r="B6220" t="str">
        <f>"1578729986438910"</f>
        <v>1578729986438910</v>
      </c>
      <c r="C6220" t="s">
        <v>40</v>
      </c>
      <c r="D6220">
        <v>5.5084070000000001</v>
      </c>
      <c r="E6220">
        <v>0.3165249</v>
      </c>
      <c r="F6220" t="s">
        <v>41</v>
      </c>
      <c r="G6220">
        <v>-196.79849999999999</v>
      </c>
      <c r="H6220" s="1">
        <v>-3.027639E-6</v>
      </c>
      <c r="I6220">
        <v>-27.569980000000001</v>
      </c>
      <c r="J6220">
        <v>-196.6438</v>
      </c>
      <c r="K6220">
        <v>1.125186</v>
      </c>
      <c r="L6220">
        <v>-53.583500000000001</v>
      </c>
      <c r="M6220">
        <v>0.6576611</v>
      </c>
      <c r="N6220">
        <v>0</v>
      </c>
      <c r="O6220">
        <v>0.75312250000000003</v>
      </c>
      <c r="P6220">
        <v>0.42944650000000001</v>
      </c>
      <c r="Q6220">
        <v>-4.1590769999999999E-2</v>
      </c>
      <c r="R6220">
        <v>0.90213410000000005</v>
      </c>
      <c r="S6220">
        <v>6.17981E-3</v>
      </c>
      <c r="T6220">
        <v>-0.143059299999999</v>
      </c>
      <c r="U6220">
        <v>3.3395079999999999</v>
      </c>
      <c r="V6220">
        <v>-0.26881090000000002</v>
      </c>
      <c r="W6220">
        <v>-3.5079430000000002E-2</v>
      </c>
      <c r="X6220">
        <v>0.96255400000000002</v>
      </c>
      <c r="Y6220">
        <v>-0.65627690000000005</v>
      </c>
      <c r="Z6220">
        <v>-2.1711330000000001E-2</v>
      </c>
      <c r="AA6220">
        <v>0.75420769999999904</v>
      </c>
      <c r="AB6220">
        <v>32</v>
      </c>
      <c r="AC6220">
        <v>-0.15469999999999101</v>
      </c>
      <c r="AD6220">
        <v>-1.125189027639</v>
      </c>
      <c r="AE6220">
        <v>26.01352</v>
      </c>
      <c r="AF6220">
        <v>-17.194903391441599</v>
      </c>
      <c r="AG6220">
        <v>-1.125189027639</v>
      </c>
      <c r="AH6220">
        <v>19.456038641118901</v>
      </c>
      <c r="AI6220">
        <v>92.481312315916398</v>
      </c>
      <c r="AJ6220">
        <v>131.46968104065201</v>
      </c>
      <c r="AK6220">
        <v>25.989770922300199</v>
      </c>
      <c r="AL6220">
        <v>92.010315665402501</v>
      </c>
      <c r="AM6220">
        <v>105.603368051747</v>
      </c>
      <c r="AN6220">
        <v>1.00000003464196</v>
      </c>
    </row>
    <row r="6221" spans="1:40" x14ac:dyDescent="0.3">
      <c r="A6221" t="str">
        <f>"20200111160626472"</f>
        <v>20200111160626472</v>
      </c>
      <c r="B6221" t="str">
        <f>"1578729986468190"</f>
        <v>1578729986468190</v>
      </c>
      <c r="C6221" t="s">
        <v>40</v>
      </c>
      <c r="D6221">
        <v>5.6446620000000003</v>
      </c>
      <c r="E6221">
        <v>0.31871729999999998</v>
      </c>
      <c r="F6221" t="s">
        <v>41</v>
      </c>
      <c r="G6221">
        <v>-196.90880000000001</v>
      </c>
      <c r="H6221" s="1">
        <v>-3.3041440000000002E-6</v>
      </c>
      <c r="I6221">
        <v>-26.90502</v>
      </c>
      <c r="J6221">
        <v>-196.4606</v>
      </c>
      <c r="K6221">
        <v>1.1253010000000001</v>
      </c>
      <c r="L6221">
        <v>-53.350859999999997</v>
      </c>
      <c r="M6221">
        <v>0.64441139999999997</v>
      </c>
      <c r="N6221">
        <v>0</v>
      </c>
      <c r="O6221">
        <v>0.76448890000000003</v>
      </c>
      <c r="P6221">
        <v>0.41708309999999998</v>
      </c>
      <c r="Q6221">
        <v>-4.1235920000000002E-2</v>
      </c>
      <c r="R6221">
        <v>0.90793239999999997</v>
      </c>
      <c r="S6221">
        <v>-3.3126830000000003E-2</v>
      </c>
      <c r="T6221">
        <v>-0.14064599999999999</v>
      </c>
      <c r="U6221">
        <v>3.3347470000000001</v>
      </c>
      <c r="V6221">
        <v>-0.2651713</v>
      </c>
      <c r="W6221">
        <v>-3.4602929999999997E-2</v>
      </c>
      <c r="X6221">
        <v>0.9635802</v>
      </c>
      <c r="Y6221">
        <v>-0.65198710000000004</v>
      </c>
      <c r="Z6221">
        <v>-2.215052E-2</v>
      </c>
      <c r="AA6221">
        <v>0.75790649999999904</v>
      </c>
      <c r="AB6221">
        <v>32</v>
      </c>
      <c r="AC6221">
        <v>-0.44820000000001398</v>
      </c>
      <c r="AD6221">
        <v>-1.1253043041440001</v>
      </c>
      <c r="AE6221">
        <v>26.44584</v>
      </c>
      <c r="AF6221">
        <v>-17.3557563407877</v>
      </c>
      <c r="AG6221">
        <v>-1.1253043041440001</v>
      </c>
      <c r="AH6221">
        <v>19.895610035427499</v>
      </c>
      <c r="AI6221">
        <v>92.440593813278596</v>
      </c>
      <c r="AJ6221">
        <v>131.09952492723599</v>
      </c>
      <c r="AK6221">
        <v>26.425818561012001</v>
      </c>
      <c r="AL6221">
        <v>91.982997726979207</v>
      </c>
      <c r="AM6221">
        <v>105.386574139717</v>
      </c>
      <c r="AN6221">
        <v>0.99999999147015695</v>
      </c>
    </row>
    <row r="6222" spans="1:40" x14ac:dyDescent="0.3">
      <c r="A6222" t="str">
        <f>"20200111160626495"</f>
        <v>20200111160626495</v>
      </c>
      <c r="B6222" t="str">
        <f>"1578729986488687"</f>
        <v>1578729986488687</v>
      </c>
      <c r="C6222" t="s">
        <v>40</v>
      </c>
      <c r="D6222">
        <v>5.6938599999999999</v>
      </c>
      <c r="E6222">
        <v>0.3202295</v>
      </c>
      <c r="F6222" t="s">
        <v>41</v>
      </c>
      <c r="G6222">
        <v>-196.96780000000001</v>
      </c>
      <c r="H6222" s="1">
        <v>-3.4495319999999998E-6</v>
      </c>
      <c r="I6222">
        <v>-26.50854</v>
      </c>
      <c r="J6222">
        <v>-196.2594</v>
      </c>
      <c r="K6222">
        <v>1.125435</v>
      </c>
      <c r="L6222">
        <v>-53.084870000000002</v>
      </c>
      <c r="M6222">
        <v>0.62904179999999998</v>
      </c>
      <c r="N6222">
        <v>0</v>
      </c>
      <c r="O6222">
        <v>0.77718310000000002</v>
      </c>
      <c r="P6222">
        <v>0.40153739999999999</v>
      </c>
      <c r="Q6222">
        <v>-4.0602140000000002E-2</v>
      </c>
      <c r="R6222">
        <v>0.91494219999999904</v>
      </c>
      <c r="S6222">
        <v>-6.2850950000000003E-2</v>
      </c>
      <c r="T6222">
        <v>-0.1394667</v>
      </c>
      <c r="U6222">
        <v>3.3267519999999902</v>
      </c>
      <c r="V6222">
        <v>-0.26242910000000003</v>
      </c>
      <c r="W6222">
        <v>-3.3882660000000002E-2</v>
      </c>
      <c r="X6222">
        <v>0.9643562</v>
      </c>
      <c r="Y6222">
        <v>-0.64362559999999902</v>
      </c>
      <c r="Z6222">
        <v>-2.294937E-2</v>
      </c>
      <c r="AA6222">
        <v>0.76499640000000002</v>
      </c>
      <c r="AB6222">
        <v>32</v>
      </c>
      <c r="AC6222">
        <v>-0.70840000000001102</v>
      </c>
      <c r="AD6222">
        <v>-1.125438449532</v>
      </c>
      <c r="AE6222">
        <v>26.576329999999899</v>
      </c>
      <c r="AF6222">
        <v>-17.239813710806299</v>
      </c>
      <c r="AG6222">
        <v>-1.125438449532</v>
      </c>
      <c r="AH6222">
        <v>20.175865280549999</v>
      </c>
      <c r="AI6222">
        <v>92.428357171029802</v>
      </c>
      <c r="AJ6222">
        <v>130.513128529889</v>
      </c>
      <c r="AK6222">
        <v>26.5620655880881</v>
      </c>
      <c r="AL6222">
        <v>91.941705112550594</v>
      </c>
      <c r="AM6222">
        <v>105.223198066031</v>
      </c>
      <c r="AN6222">
        <v>0.99999997382696204</v>
      </c>
    </row>
    <row r="6223" spans="1:40" x14ac:dyDescent="0.3">
      <c r="A6223" t="str">
        <f>"20200111160626517"</f>
        <v>20200111160626517</v>
      </c>
      <c r="B6223" t="str">
        <f>"1578729986508426"</f>
        <v>1578729986508426</v>
      </c>
      <c r="C6223" t="s">
        <v>40</v>
      </c>
      <c r="D6223">
        <v>5.6920149999999996</v>
      </c>
      <c r="E6223">
        <v>0.32184059999999998</v>
      </c>
      <c r="F6223" t="s">
        <v>41</v>
      </c>
      <c r="G6223">
        <v>-197.13810000000001</v>
      </c>
      <c r="H6223" s="1">
        <v>-3.578342E-6</v>
      </c>
      <c r="I6223">
        <v>-26.218789999999998</v>
      </c>
      <c r="J6223">
        <v>-196.08920000000001</v>
      </c>
      <c r="K6223">
        <v>1.1255489999999999</v>
      </c>
      <c r="L6223">
        <v>-52.850859999999997</v>
      </c>
      <c r="M6223">
        <v>0.61532810000000004</v>
      </c>
      <c r="N6223">
        <v>0</v>
      </c>
      <c r="O6223">
        <v>0.78808409999999995</v>
      </c>
      <c r="P6223">
        <v>0.38757979999999997</v>
      </c>
      <c r="Q6223">
        <v>-3.9869130000000003E-2</v>
      </c>
      <c r="R6223">
        <v>0.92097359999999995</v>
      </c>
      <c r="S6223">
        <v>-0.10859679999999999</v>
      </c>
      <c r="T6223">
        <v>-0.1390941</v>
      </c>
      <c r="U6223">
        <v>3.3204039999999999</v>
      </c>
      <c r="V6223">
        <v>-0.26023649999999998</v>
      </c>
      <c r="W6223">
        <v>-3.3079310000000001E-2</v>
      </c>
      <c r="X6223">
        <v>0.96497809999999995</v>
      </c>
      <c r="Y6223">
        <v>-0.64077439999999997</v>
      </c>
      <c r="Z6223">
        <v>-2.3643029999999999E-2</v>
      </c>
      <c r="AA6223">
        <v>0.76736510000000002</v>
      </c>
      <c r="AB6223">
        <v>31</v>
      </c>
      <c r="AC6223">
        <v>-1.0488999999999999</v>
      </c>
      <c r="AD6223">
        <v>-1.125552578342</v>
      </c>
      <c r="AE6223">
        <v>26.632069999999899</v>
      </c>
      <c r="AF6223">
        <v>-17.185970747381699</v>
      </c>
      <c r="AG6223">
        <v>-1.125552578342</v>
      </c>
      <c r="AH6223">
        <v>20.3096720275874</v>
      </c>
      <c r="AI6223">
        <v>92.422489267495294</v>
      </c>
      <c r="AJ6223">
        <v>130.237778136988</v>
      </c>
      <c r="AK6223">
        <v>26.629067520374001</v>
      </c>
      <c r="AL6223">
        <v>91.895650666183599</v>
      </c>
      <c r="AM6223">
        <v>105.09255162717599</v>
      </c>
      <c r="AN6223">
        <v>1.0000000050809601</v>
      </c>
    </row>
    <row r="6224" spans="1:40" x14ac:dyDescent="0.3">
      <c r="A6224" t="str">
        <f>"20200111160626538"</f>
        <v>20200111160626538</v>
      </c>
      <c r="B6224" t="str">
        <f>"1578729986528921"</f>
        <v>1578729986528921</v>
      </c>
      <c r="C6224" t="s">
        <v>40</v>
      </c>
      <c r="D6224">
        <v>5.6529910000000001</v>
      </c>
      <c r="E6224">
        <v>0.32311899999999999</v>
      </c>
      <c r="F6224" t="s">
        <v>41</v>
      </c>
      <c r="G6224">
        <v>-197.27860000000001</v>
      </c>
      <c r="H6224" s="1">
        <v>-3.6572829999999999E-6</v>
      </c>
      <c r="I6224">
        <v>-26.060079999999999</v>
      </c>
      <c r="J6224">
        <v>-195.91759999999999</v>
      </c>
      <c r="K6224">
        <v>1.125667</v>
      </c>
      <c r="L6224">
        <v>-52.60568</v>
      </c>
      <c r="M6224">
        <v>0.60077069999999999</v>
      </c>
      <c r="N6224">
        <v>0</v>
      </c>
      <c r="O6224">
        <v>0.79923569999999999</v>
      </c>
      <c r="P6224">
        <v>0.37207279999999998</v>
      </c>
      <c r="Q6224">
        <v>-3.9098620000000001E-2</v>
      </c>
      <c r="R6224">
        <v>0.92737970000000003</v>
      </c>
      <c r="S6224">
        <v>-0.14709469999999999</v>
      </c>
      <c r="T6224">
        <v>-0.1392003</v>
      </c>
      <c r="U6224">
        <v>3.3132929999999998</v>
      </c>
      <c r="V6224">
        <v>-0.25877289999999997</v>
      </c>
      <c r="W6224">
        <v>-3.2267030000000002E-2</v>
      </c>
      <c r="X6224">
        <v>0.96539909999999995</v>
      </c>
      <c r="Y6224">
        <v>-0.63563899999999995</v>
      </c>
      <c r="Z6224">
        <v>-2.4484990000000002E-2</v>
      </c>
      <c r="AA6224">
        <v>0.77159809999999995</v>
      </c>
      <c r="AB6224">
        <v>31</v>
      </c>
      <c r="AC6224">
        <v>-1.36100000000001</v>
      </c>
      <c r="AD6224">
        <v>-1.125670657283</v>
      </c>
      <c r="AE6224">
        <v>26.5456</v>
      </c>
      <c r="AF6224">
        <v>-17.007604785459399</v>
      </c>
      <c r="AG6224">
        <v>-1.125670657283</v>
      </c>
      <c r="AH6224">
        <v>20.365046340559299</v>
      </c>
      <c r="AI6224">
        <v>92.429345134299197</v>
      </c>
      <c r="AJ6224">
        <v>129.86650781570799</v>
      </c>
      <c r="AK6224">
        <v>26.556748058077002</v>
      </c>
      <c r="AL6224">
        <v>91.849085599679796</v>
      </c>
      <c r="AM6224">
        <v>105.005259858662</v>
      </c>
      <c r="AN6224">
        <v>0.99999999864012001</v>
      </c>
    </row>
    <row r="6225" spans="1:40" x14ac:dyDescent="0.3">
      <c r="A6225" t="str">
        <f>"20200111160626560"</f>
        <v>20200111160626560</v>
      </c>
      <c r="B6225" t="str">
        <f>"1578729986558202"</f>
        <v>1578729986558202</v>
      </c>
      <c r="C6225" t="s">
        <v>40</v>
      </c>
      <c r="D6225">
        <v>5.9532020000000001</v>
      </c>
      <c r="E6225">
        <v>0.3253895</v>
      </c>
      <c r="F6225" t="s">
        <v>41</v>
      </c>
      <c r="G6225">
        <v>-197.60759999999999</v>
      </c>
      <c r="H6225" s="1">
        <v>-4.5288069999999997E-6</v>
      </c>
      <c r="I6225">
        <v>-23.670549999999999</v>
      </c>
      <c r="J6225">
        <v>-195.7544</v>
      </c>
      <c r="K6225">
        <v>1.1257870000000001</v>
      </c>
      <c r="L6225">
        <v>-52.362949999999998</v>
      </c>
      <c r="M6225">
        <v>0.58617509999999995</v>
      </c>
      <c r="N6225">
        <v>0</v>
      </c>
      <c r="O6225">
        <v>0.80999989999999999</v>
      </c>
      <c r="P6225">
        <v>0.35625250000000003</v>
      </c>
      <c r="Q6225">
        <v>-3.9365610000000002E-2</v>
      </c>
      <c r="R6225">
        <v>0.9335601</v>
      </c>
      <c r="S6225">
        <v>-0.19314580000000001</v>
      </c>
      <c r="T6225">
        <v>-0.12865219999999999</v>
      </c>
      <c r="U6225">
        <v>3.3069760000000001</v>
      </c>
      <c r="V6225">
        <v>-0.25765310000000002</v>
      </c>
      <c r="W6225">
        <v>-3.2505069999999997E-2</v>
      </c>
      <c r="X6225">
        <v>0.96569059999999995</v>
      </c>
      <c r="Y6225">
        <v>-0.63242730000000003</v>
      </c>
      <c r="Z6225">
        <v>-2.3333219999999998E-2</v>
      </c>
      <c r="AA6225">
        <v>0.77426830000000002</v>
      </c>
      <c r="AB6225">
        <v>31</v>
      </c>
      <c r="AC6225">
        <v>-1.85319999999998</v>
      </c>
      <c r="AD6225">
        <v>-1.125791528807</v>
      </c>
      <c r="AE6225">
        <v>28.692399999999999</v>
      </c>
      <c r="AF6225">
        <v>-18.2945532791909</v>
      </c>
      <c r="AG6225">
        <v>-1.125791528807</v>
      </c>
      <c r="AH6225">
        <v>22.1239348336243</v>
      </c>
      <c r="AI6225">
        <v>92.245704384791594</v>
      </c>
      <c r="AJ6225">
        <v>129.58776327263899</v>
      </c>
      <c r="AK6225">
        <v>28.730238056339601</v>
      </c>
      <c r="AL6225">
        <v>91.862731410603502</v>
      </c>
      <c r="AM6225">
        <v>104.938928492861</v>
      </c>
      <c r="AN6225">
        <v>1.00000001722183</v>
      </c>
    </row>
    <row r="6226" spans="1:40" x14ac:dyDescent="0.3">
      <c r="A6226" t="str">
        <f>"20200111160626585"</f>
        <v>20200111160626585</v>
      </c>
      <c r="B6226" t="str">
        <f>"1578729986578699"</f>
        <v>1578729986578699</v>
      </c>
      <c r="C6226" t="s">
        <v>40</v>
      </c>
      <c r="D6226">
        <v>5.7037139999999997</v>
      </c>
      <c r="E6226">
        <v>0.32674629999999999</v>
      </c>
      <c r="F6226" t="s">
        <v>41</v>
      </c>
      <c r="G6226">
        <v>-197.7354</v>
      </c>
      <c r="H6226" s="1">
        <v>-4.3506140000000003E-6</v>
      </c>
      <c r="I6226">
        <v>-24.260809999999999</v>
      </c>
      <c r="J6226">
        <v>-195.57769999999999</v>
      </c>
      <c r="K6226">
        <v>1.1259209999999999</v>
      </c>
      <c r="L6226">
        <v>-52.08896</v>
      </c>
      <c r="M6226">
        <v>0.56948699999999997</v>
      </c>
      <c r="N6226">
        <v>0</v>
      </c>
      <c r="O6226">
        <v>0.82181709999999997</v>
      </c>
      <c r="P6226">
        <v>0.33818510000000002</v>
      </c>
      <c r="Q6226">
        <v>-3.9931170000000002E-2</v>
      </c>
      <c r="R6226">
        <v>0.94023199999999996</v>
      </c>
      <c r="S6226">
        <v>-0.2323914</v>
      </c>
      <c r="T6226">
        <v>-0.132065299999999</v>
      </c>
      <c r="U6226">
        <v>3.2966310000000001</v>
      </c>
      <c r="V6226">
        <v>-0.25648339999999997</v>
      </c>
      <c r="W6226">
        <v>-3.3039260000000001E-2</v>
      </c>
      <c r="X6226">
        <v>0.96598379999999995</v>
      </c>
      <c r="Y6226">
        <v>-0.62588129999999997</v>
      </c>
      <c r="Z6226">
        <v>-2.482492E-2</v>
      </c>
      <c r="AA6226">
        <v>0.77952310000000002</v>
      </c>
      <c r="AB6226">
        <v>31</v>
      </c>
      <c r="AC6226">
        <v>-2.1577000000000002</v>
      </c>
      <c r="AD6226">
        <v>-1.1259253506139999</v>
      </c>
      <c r="AE6226">
        <v>27.828150000000001</v>
      </c>
      <c r="AF6226">
        <v>-17.595027780298</v>
      </c>
      <c r="AG6226">
        <v>-1.1259253506139999</v>
      </c>
      <c r="AH6226">
        <v>21.608964770855</v>
      </c>
      <c r="AI6226">
        <v>92.313749219757895</v>
      </c>
      <c r="AJ6226">
        <v>129.15408921990101</v>
      </c>
      <c r="AK6226">
        <v>27.889067194021901</v>
      </c>
      <c r="AL6226">
        <v>91.893354697364202</v>
      </c>
      <c r="AM6226">
        <v>104.869806393239</v>
      </c>
      <c r="AN6226">
        <v>1.0000000145196699</v>
      </c>
    </row>
    <row r="6227" spans="1:40" x14ac:dyDescent="0.3">
      <c r="A6227" t="str">
        <f>"20200111160626607"</f>
        <v>20200111160626607</v>
      </c>
      <c r="B6227" t="str">
        <f>"1578729986598218"</f>
        <v>1578729986598218</v>
      </c>
      <c r="C6227" t="s">
        <v>40</v>
      </c>
      <c r="D6227">
        <v>5.736567</v>
      </c>
      <c r="E6227">
        <v>0.32817439999999998</v>
      </c>
      <c r="F6227" t="s">
        <v>41</v>
      </c>
      <c r="G6227">
        <v>-198.00110000000001</v>
      </c>
      <c r="H6227" s="1">
        <v>-4.4133639999999998E-6</v>
      </c>
      <c r="I6227">
        <v>-24.2149</v>
      </c>
      <c r="J6227">
        <v>-195.41849999999999</v>
      </c>
      <c r="K6227">
        <v>1.1260380000000001</v>
      </c>
      <c r="L6227">
        <v>-51.829859999999996</v>
      </c>
      <c r="M6227">
        <v>0.55350200000000005</v>
      </c>
      <c r="N6227">
        <v>0</v>
      </c>
      <c r="O6227">
        <v>0.83266569999999995</v>
      </c>
      <c r="P6227">
        <v>0.3209805</v>
      </c>
      <c r="Q6227">
        <v>-4.0762920000000001E-2</v>
      </c>
      <c r="R6227">
        <v>0.94620820000000005</v>
      </c>
      <c r="S6227">
        <v>-0.28585820000000001</v>
      </c>
      <c r="T6227">
        <v>-0.13280799999999901</v>
      </c>
      <c r="U6227">
        <v>3.2878720000000001</v>
      </c>
      <c r="V6227">
        <v>-0.2553801</v>
      </c>
      <c r="W6227">
        <v>-3.3838559999999997E-2</v>
      </c>
      <c r="X6227">
        <v>0.96624840000000001</v>
      </c>
      <c r="Y6227">
        <v>-0.62355319999999903</v>
      </c>
      <c r="Z6227">
        <v>-2.569805E-2</v>
      </c>
      <c r="AA6227">
        <v>0.78135849999999996</v>
      </c>
      <c r="AB6227">
        <v>31</v>
      </c>
      <c r="AC6227">
        <v>-2.58260000000001</v>
      </c>
      <c r="AD6227">
        <v>-1.1260424133639999</v>
      </c>
      <c r="AE6227">
        <v>27.61496</v>
      </c>
      <c r="AF6227">
        <v>-17.409327341501001</v>
      </c>
      <c r="AG6227">
        <v>-1.1260424133639999</v>
      </c>
      <c r="AH6227">
        <v>21.532335528702799</v>
      </c>
      <c r="AI6227">
        <v>92.328723950916697</v>
      </c>
      <c r="AJ6227">
        <v>128.95623769617299</v>
      </c>
      <c r="AK6227">
        <v>27.712706892702901</v>
      </c>
      <c r="AL6227">
        <v>91.939176854382495</v>
      </c>
      <c r="AM6227">
        <v>104.80478113571699</v>
      </c>
      <c r="AN6227">
        <v>1.00000000706072</v>
      </c>
    </row>
    <row r="6228" spans="1:40" x14ac:dyDescent="0.3">
      <c r="A6228" t="str">
        <f>"20200111160626631"</f>
        <v>20200111160626631</v>
      </c>
      <c r="B6228" t="str">
        <f>"1578729986618317"</f>
        <v>1578729986618317</v>
      </c>
      <c r="C6228" t="s">
        <v>40</v>
      </c>
      <c r="D6228">
        <v>5.6731689999999997</v>
      </c>
      <c r="E6228">
        <v>0.3295824</v>
      </c>
      <c r="F6228" t="s">
        <v>41</v>
      </c>
      <c r="G6228">
        <v>-198.24520000000001</v>
      </c>
      <c r="H6228" s="1">
        <v>-4.4733519999999998E-6</v>
      </c>
      <c r="I6228">
        <v>-24.165859999999999</v>
      </c>
      <c r="J6228">
        <v>-195.2559</v>
      </c>
      <c r="K6228">
        <v>1.126144</v>
      </c>
      <c r="L6228">
        <v>-51.552759999999999</v>
      </c>
      <c r="M6228">
        <v>0.53620480000000004</v>
      </c>
      <c r="N6228">
        <v>0</v>
      </c>
      <c r="O6228">
        <v>0.84390689999999902</v>
      </c>
      <c r="P6228">
        <v>0.3033477</v>
      </c>
      <c r="Q6228">
        <v>-4.1073110000000003E-2</v>
      </c>
      <c r="R6228">
        <v>0.95199429999999996</v>
      </c>
      <c r="S6228">
        <v>-0.3349915</v>
      </c>
      <c r="T6228">
        <v>-0.13344529999999999</v>
      </c>
      <c r="U6228">
        <v>3.2784119999999999</v>
      </c>
      <c r="V6228">
        <v>-0.25337100000000001</v>
      </c>
      <c r="W6228">
        <v>-3.4071530000000003E-2</v>
      </c>
      <c r="X6228">
        <v>0.96676899999999999</v>
      </c>
      <c r="Y6228">
        <v>-0.61921470000000001</v>
      </c>
      <c r="Z6228">
        <v>-2.662575E-2</v>
      </c>
      <c r="AA6228">
        <v>0.78477019999999997</v>
      </c>
      <c r="AB6228">
        <v>31</v>
      </c>
      <c r="AC6228">
        <v>-2.9893000000000098</v>
      </c>
      <c r="AD6228">
        <v>-1.126148473352</v>
      </c>
      <c r="AE6228">
        <v>27.386900000000001</v>
      </c>
      <c r="AF6228">
        <v>-17.1815982003213</v>
      </c>
      <c r="AG6228">
        <v>-1.126148473352</v>
      </c>
      <c r="AH6228">
        <v>21.4765176834523</v>
      </c>
      <c r="AI6228">
        <v>92.344694051114203</v>
      </c>
      <c r="AJ6228">
        <v>128.660432999287</v>
      </c>
      <c r="AK6228">
        <v>27.526647796434599</v>
      </c>
      <c r="AL6228">
        <v>91.9525327359855</v>
      </c>
      <c r="AM6228">
        <v>104.685798642488</v>
      </c>
      <c r="AN6228">
        <v>1.0000000160792699</v>
      </c>
    </row>
    <row r="6229" spans="1:40" x14ac:dyDescent="0.3">
      <c r="A6229" t="str">
        <f>"20200111160626653"</f>
        <v>20200111160626653</v>
      </c>
      <c r="B6229" t="str">
        <f>"1578729986648573"</f>
        <v>1578729986648573</v>
      </c>
      <c r="C6229" t="s">
        <v>40</v>
      </c>
      <c r="D6229">
        <v>5.6842139999999999</v>
      </c>
      <c r="E6229">
        <v>0.33172220000000002</v>
      </c>
      <c r="F6229" t="s">
        <v>41</v>
      </c>
      <c r="G6229">
        <v>-198.5325</v>
      </c>
      <c r="H6229" s="1">
        <v>-4.6673129999999999E-6</v>
      </c>
      <c r="I6229">
        <v>-23.74567</v>
      </c>
      <c r="J6229">
        <v>-195.10249999999999</v>
      </c>
      <c r="K6229">
        <v>1.126244</v>
      </c>
      <c r="L6229">
        <v>-51.278750000000002</v>
      </c>
      <c r="M6229">
        <v>0.51889669999999999</v>
      </c>
      <c r="N6229">
        <v>0</v>
      </c>
      <c r="O6229">
        <v>0.854657</v>
      </c>
      <c r="P6229">
        <v>0.28672379999999997</v>
      </c>
      <c r="Q6229">
        <v>-4.1865079999999999E-2</v>
      </c>
      <c r="R6229">
        <v>0.95709809999999995</v>
      </c>
      <c r="S6229">
        <v>-0.38511659999999998</v>
      </c>
      <c r="T6229">
        <v>-0.1323608</v>
      </c>
      <c r="U6229">
        <v>3.2682799999999999</v>
      </c>
      <c r="V6229">
        <v>-0.25045329999999999</v>
      </c>
      <c r="W6229">
        <v>-3.4744110000000002E-2</v>
      </c>
      <c r="X6229">
        <v>0.96750499999999995</v>
      </c>
      <c r="Y6229">
        <v>-0.61534580000000005</v>
      </c>
      <c r="Z6229">
        <v>-2.7177130000000001E-2</v>
      </c>
      <c r="AA6229">
        <v>0.78778859999999995</v>
      </c>
      <c r="AB6229">
        <v>31</v>
      </c>
      <c r="AC6229">
        <v>-3.43</v>
      </c>
      <c r="AD6229">
        <v>-1.1262486673129899</v>
      </c>
      <c r="AE6229">
        <v>27.533079999999899</v>
      </c>
      <c r="AF6229">
        <v>-17.192619087947701</v>
      </c>
      <c r="AG6229">
        <v>-1.1262486673129899</v>
      </c>
      <c r="AH6229">
        <v>21.7190844009322</v>
      </c>
      <c r="AI6229">
        <v>92.328272619037904</v>
      </c>
      <c r="AJ6229">
        <v>128.36479968840101</v>
      </c>
      <c r="AK6229">
        <v>27.723153038186499</v>
      </c>
      <c r="AL6229">
        <v>91.991091661173897</v>
      </c>
      <c r="AM6229">
        <v>104.513292946429</v>
      </c>
      <c r="AN6229">
        <v>0.99999996684279002</v>
      </c>
    </row>
    <row r="6230" spans="1:40" x14ac:dyDescent="0.3">
      <c r="A6230" t="str">
        <f>"20200111160626673"</f>
        <v>20200111160626673</v>
      </c>
      <c r="B6230" t="str">
        <f>"1578729986668093"</f>
        <v>1578729986668093</v>
      </c>
      <c r="C6230" t="s">
        <v>40</v>
      </c>
      <c r="D6230">
        <v>5.6501390000000002</v>
      </c>
      <c r="E6230">
        <v>0.3331635</v>
      </c>
      <c r="F6230" t="s">
        <v>41</v>
      </c>
      <c r="G6230">
        <v>-198.68299999999999</v>
      </c>
      <c r="H6230" s="1">
        <v>-4.6430350000000002E-6</v>
      </c>
      <c r="I6230">
        <v>-23.895420000000001</v>
      </c>
      <c r="J6230">
        <v>-194.97239999999999</v>
      </c>
      <c r="K6230">
        <v>1.1263289999999999</v>
      </c>
      <c r="L6230">
        <v>-51.03528</v>
      </c>
      <c r="M6230">
        <v>0.50335299999999905</v>
      </c>
      <c r="N6230">
        <v>0</v>
      </c>
      <c r="O6230">
        <v>0.86390180000000005</v>
      </c>
      <c r="P6230">
        <v>0.2732118</v>
      </c>
      <c r="Q6230">
        <v>-4.2081149999999998E-2</v>
      </c>
      <c r="R6230">
        <v>0.96103300000000003</v>
      </c>
      <c r="S6230">
        <v>-0.42575069999999998</v>
      </c>
      <c r="T6230">
        <v>-0.13392279999999901</v>
      </c>
      <c r="U6230">
        <v>3.2561650000000002</v>
      </c>
      <c r="V6230">
        <v>-0.24656919999999999</v>
      </c>
      <c r="W6230">
        <v>-3.4794899999999997E-2</v>
      </c>
      <c r="X6230">
        <v>0.96850040000000004</v>
      </c>
      <c r="Y6230">
        <v>-0.61109859999999905</v>
      </c>
      <c r="Z6230">
        <v>-2.8212210000000001E-2</v>
      </c>
      <c r="AA6230">
        <v>0.79105159999999997</v>
      </c>
      <c r="AB6230">
        <v>31</v>
      </c>
      <c r="AC6230">
        <v>-3.7105999999999999</v>
      </c>
      <c r="AD6230">
        <v>-1.1263336430349999</v>
      </c>
      <c r="AE6230">
        <v>27.139859999999999</v>
      </c>
      <c r="AF6230">
        <v>-16.8406610367417</v>
      </c>
      <c r="AG6230">
        <v>-1.1263336430349999</v>
      </c>
      <c r="AH6230">
        <v>21.545344145309599</v>
      </c>
      <c r="AI6230">
        <v>92.358569778318298</v>
      </c>
      <c r="AJ6230">
        <v>128.01253695168199</v>
      </c>
      <c r="AK6230">
        <v>27.3692956790943</v>
      </c>
      <c r="AL6230">
        <v>91.994003328328205</v>
      </c>
      <c r="AM6230">
        <v>104.283419508791</v>
      </c>
      <c r="AN6230">
        <v>1.0000000401274001</v>
      </c>
    </row>
    <row r="6231" spans="1:40" x14ac:dyDescent="0.3">
      <c r="A6231" t="str">
        <f>"20200111160626698"</f>
        <v>20200111160626698</v>
      </c>
      <c r="B6231" t="str">
        <f>"1578729986688589"</f>
        <v>1578729986688589</v>
      </c>
      <c r="C6231" t="s">
        <v>40</v>
      </c>
      <c r="D6231">
        <v>5.7404549999999999</v>
      </c>
      <c r="E6231">
        <v>0.3346401</v>
      </c>
      <c r="F6231" t="s">
        <v>41</v>
      </c>
      <c r="G6231">
        <v>-198.84559999999999</v>
      </c>
      <c r="H6231" s="1">
        <v>-4.7295040000000003E-6</v>
      </c>
      <c r="I6231">
        <v>-23.72608</v>
      </c>
      <c r="J6231">
        <v>-194.8272</v>
      </c>
      <c r="K6231">
        <v>1.126425</v>
      </c>
      <c r="L6231">
        <v>-50.75018</v>
      </c>
      <c r="M6231">
        <v>0.48495509999999997</v>
      </c>
      <c r="N6231">
        <v>0</v>
      </c>
      <c r="O6231">
        <v>0.87436100000000005</v>
      </c>
      <c r="P6231">
        <v>0.2571582</v>
      </c>
      <c r="Q6231">
        <v>-4.2083959999999997E-2</v>
      </c>
      <c r="R6231">
        <v>0.96545259999999999</v>
      </c>
      <c r="S6231">
        <v>-0.4604645</v>
      </c>
      <c r="T6231">
        <v>-0.1339062</v>
      </c>
      <c r="U6231">
        <v>3.2467039999999998</v>
      </c>
      <c r="V6231">
        <v>-0.2422078</v>
      </c>
      <c r="W6231">
        <v>-3.460941E-2</v>
      </c>
      <c r="X6231">
        <v>0.96960690000000005</v>
      </c>
      <c r="Y6231">
        <v>-0.60291269999999997</v>
      </c>
      <c r="Z6231">
        <v>-2.9045319999999999E-2</v>
      </c>
      <c r="AA6231">
        <v>0.7972783</v>
      </c>
      <c r="AB6231">
        <v>31</v>
      </c>
      <c r="AC6231">
        <v>-4.0183999999999802</v>
      </c>
      <c r="AD6231">
        <v>-1.126429729504</v>
      </c>
      <c r="AE6231">
        <v>27.024100000000001</v>
      </c>
      <c r="AF6231">
        <v>-16.593389394346801</v>
      </c>
      <c r="AG6231">
        <v>-1.126429729504</v>
      </c>
      <c r="AH6231">
        <v>21.6466559949444</v>
      </c>
      <c r="AI6231">
        <v>92.364925081357399</v>
      </c>
      <c r="AJ6231">
        <v>127.472211494961</v>
      </c>
      <c r="AK6231">
        <v>27.2981158927021</v>
      </c>
      <c r="AL6231">
        <v>91.983369238821695</v>
      </c>
      <c r="AM6231">
        <v>104.02545767124001</v>
      </c>
      <c r="AN6231">
        <v>0.99999998508449806</v>
      </c>
    </row>
    <row r="6232" spans="1:40" x14ac:dyDescent="0.3">
      <c r="A6232" t="str">
        <f>"20200111160626720"</f>
        <v>20200111160626720</v>
      </c>
      <c r="B6232" t="str">
        <f>"1578729986718567"</f>
        <v>1578729986718567</v>
      </c>
      <c r="C6232" t="s">
        <v>40</v>
      </c>
      <c r="D6232">
        <v>5.7069409999999996</v>
      </c>
      <c r="E6232">
        <v>0.33611570000000002</v>
      </c>
      <c r="F6232" t="s">
        <v>42</v>
      </c>
      <c r="G6232">
        <v>-194.97739999999999</v>
      </c>
      <c r="H6232">
        <v>1.085486</v>
      </c>
      <c r="I6232">
        <v>-49.783479999999997</v>
      </c>
      <c r="J6232">
        <v>-194.69319999999999</v>
      </c>
      <c r="K6232">
        <v>1.1264970000000001</v>
      </c>
      <c r="L6232">
        <v>-50.473050000000001</v>
      </c>
      <c r="M6232">
        <v>0.46686909999999998</v>
      </c>
      <c r="N6232">
        <v>0</v>
      </c>
      <c r="O6232">
        <v>0.88414910000000002</v>
      </c>
      <c r="P6232">
        <v>0.24680769999999999</v>
      </c>
      <c r="Q6232">
        <v>-4.1642319999999997E-2</v>
      </c>
      <c r="R6232">
        <v>0.96816930000000001</v>
      </c>
      <c r="S6232">
        <v>-0.50329590000000002</v>
      </c>
      <c r="T6232">
        <v>-0.1370043</v>
      </c>
      <c r="U6232">
        <v>3.2354430000000001</v>
      </c>
      <c r="V6232">
        <v>-0.2326696</v>
      </c>
      <c r="W6232">
        <v>-3.3746209999999999E-2</v>
      </c>
      <c r="X6232">
        <v>0.97197020000000001</v>
      </c>
      <c r="Y6232">
        <v>-0.59719440000000001</v>
      </c>
      <c r="Z6232">
        <v>-3.0500309999999999E-2</v>
      </c>
      <c r="AA6232">
        <v>0.80151649999999997</v>
      </c>
      <c r="AB6232">
        <v>31</v>
      </c>
      <c r="AC6232">
        <v>-0.28419999999999801</v>
      </c>
      <c r="AD6232">
        <v>-4.1010999999999902E-2</v>
      </c>
      <c r="AE6232">
        <v>0.68957000000000301</v>
      </c>
      <c r="AF6232">
        <v>-0.57157584426347596</v>
      </c>
      <c r="AG6232">
        <v>-4.1010999999999902E-2</v>
      </c>
      <c r="AH6232">
        <v>0.47563522718533802</v>
      </c>
      <c r="AI6232">
        <v>93.156814078384102</v>
      </c>
      <c r="AJ6232">
        <v>140.23456077227999</v>
      </c>
      <c r="AK6232">
        <v>0.74472123456106298</v>
      </c>
      <c r="AL6232">
        <v>91.933882560619296</v>
      </c>
      <c r="AM6232">
        <v>103.462104954518</v>
      </c>
      <c r="AN6232">
        <v>1.0000000095707799</v>
      </c>
    </row>
    <row r="6233" spans="1:40" x14ac:dyDescent="0.3">
      <c r="A6233" t="str">
        <f>"20200111160626763"</f>
        <v>20200111160626763</v>
      </c>
      <c r="B6233" t="str">
        <f>"1578729986758582"</f>
        <v>1578729986758582</v>
      </c>
      <c r="C6233" t="s">
        <v>40</v>
      </c>
      <c r="D6233">
        <v>5.5194669999999997</v>
      </c>
      <c r="E6233">
        <v>0.38618789999999997</v>
      </c>
      <c r="F6233" t="s">
        <v>42</v>
      </c>
      <c r="G6233">
        <v>-194.84299999999999</v>
      </c>
      <c r="H6233">
        <v>1.0871010000000001</v>
      </c>
      <c r="I6233">
        <v>-49.55489</v>
      </c>
      <c r="J6233">
        <v>-194.46369999999999</v>
      </c>
      <c r="K6233">
        <v>1.12663</v>
      </c>
      <c r="L6233">
        <v>-49.959380000000003</v>
      </c>
      <c r="M6233">
        <v>0.43284250000000002</v>
      </c>
      <c r="N6233">
        <v>0</v>
      </c>
      <c r="O6233">
        <v>0.90129360000000003</v>
      </c>
      <c r="P6233">
        <v>0.2240212</v>
      </c>
      <c r="Q6233">
        <v>-4.301696E-2</v>
      </c>
      <c r="R6233">
        <v>0.97363449999999996</v>
      </c>
      <c r="S6233">
        <v>-0.52653499999999998</v>
      </c>
      <c r="T6233">
        <v>-0.13846700000000001</v>
      </c>
      <c r="U6233">
        <v>3.2268979999999998</v>
      </c>
      <c r="V6233">
        <v>-0.21834410000000001</v>
      </c>
      <c r="W6233">
        <v>-3.4479290000000003E-2</v>
      </c>
      <c r="X6233">
        <v>0.97526250000000003</v>
      </c>
      <c r="Y6233">
        <v>-0.57230029999999998</v>
      </c>
      <c r="Z6233">
        <v>-3.2383259999999997E-2</v>
      </c>
      <c r="AA6233">
        <v>0.81940449999999998</v>
      </c>
      <c r="AB6233">
        <v>31</v>
      </c>
      <c r="AC6233">
        <v>-0.37930000000000003</v>
      </c>
      <c r="AD6233">
        <v>-3.9528999999999898E-2</v>
      </c>
      <c r="AE6233">
        <v>0.40448999999999502</v>
      </c>
      <c r="AF6233">
        <v>-0.51440903448364095</v>
      </c>
      <c r="AG6233">
        <v>-3.9528999999999898E-2</v>
      </c>
      <c r="AH6233">
        <v>0.199405548180074</v>
      </c>
      <c r="AI6233">
        <v>94.098165070969202</v>
      </c>
      <c r="AJ6233">
        <v>158.81167372785399</v>
      </c>
      <c r="AK6233">
        <v>0.55312003149803501</v>
      </c>
      <c r="AL6233">
        <v>91.975909517757401</v>
      </c>
      <c r="AM6233">
        <v>102.61942015536</v>
      </c>
      <c r="AN6233">
        <v>0.99999995567498101</v>
      </c>
    </row>
    <row r="6234" spans="1:40" x14ac:dyDescent="0.3">
      <c r="A6234" t="str">
        <f>"20200111160626786"</f>
        <v>20200111160626786</v>
      </c>
      <c r="B6234" t="str">
        <f>"1578729986778103"</f>
        <v>1578729986778103</v>
      </c>
      <c r="C6234" t="s">
        <v>40</v>
      </c>
      <c r="D6234">
        <v>5.2426629999999896</v>
      </c>
      <c r="E6234">
        <v>0.41593859999999999</v>
      </c>
      <c r="F6234" t="s">
        <v>42</v>
      </c>
      <c r="G6234">
        <v>-194.5224</v>
      </c>
      <c r="H6234">
        <v>1.0661320000000001</v>
      </c>
      <c r="I6234">
        <v>-49.105240000000002</v>
      </c>
      <c r="J6234">
        <v>-194.34630000000001</v>
      </c>
      <c r="K6234">
        <v>1.1267049999999901</v>
      </c>
      <c r="L6234">
        <v>-49.673070000000003</v>
      </c>
      <c r="M6234">
        <v>0.41360629999999998</v>
      </c>
      <c r="N6234">
        <v>0</v>
      </c>
      <c r="O6234">
        <v>0.9102806</v>
      </c>
      <c r="P6234">
        <v>0.2115504</v>
      </c>
      <c r="Q6234">
        <v>-4.376033E-2</v>
      </c>
      <c r="R6234">
        <v>0.976387</v>
      </c>
      <c r="S6234">
        <v>-0.21481320000000001</v>
      </c>
      <c r="T6234">
        <v>-0.2210416</v>
      </c>
      <c r="U6234">
        <v>3.1208800000000001</v>
      </c>
      <c r="V6234">
        <v>-0.21006440000000001</v>
      </c>
      <c r="W6234">
        <v>-3.4844979999999998E-2</v>
      </c>
      <c r="X6234">
        <v>0.9770664</v>
      </c>
      <c r="Y6234">
        <v>-0.47502800000000001</v>
      </c>
      <c r="Z6234">
        <v>-5.680934E-2</v>
      </c>
      <c r="AA6234">
        <v>0.878135</v>
      </c>
      <c r="AB6234">
        <v>31</v>
      </c>
      <c r="AC6234">
        <v>-0.17609999999999101</v>
      </c>
      <c r="AD6234">
        <v>-6.0572999999999697E-2</v>
      </c>
      <c r="AE6234">
        <v>0.56782999999999995</v>
      </c>
      <c r="AF6234">
        <v>-0.39116088583194802</v>
      </c>
      <c r="AG6234">
        <v>-6.0572999999999697E-2</v>
      </c>
      <c r="AH6234">
        <v>0.439556377383514</v>
      </c>
      <c r="AI6234">
        <v>95.877607395473404</v>
      </c>
      <c r="AJ6234">
        <v>131.66586100479299</v>
      </c>
      <c r="AK6234">
        <v>0.59151139957937704</v>
      </c>
      <c r="AL6234">
        <v>91.996874547233801</v>
      </c>
      <c r="AM6234">
        <v>102.13360687191</v>
      </c>
      <c r="AN6234">
        <v>0.99999998739375995</v>
      </c>
    </row>
    <row r="6235" spans="1:40" x14ac:dyDescent="0.3">
      <c r="A6235" t="str">
        <f>"20200111160626830"</f>
        <v>20200111160626830</v>
      </c>
      <c r="B6235" t="str">
        <f>"1578729986828855"</f>
        <v>1578729986828855</v>
      </c>
      <c r="C6235" t="s">
        <v>40</v>
      </c>
      <c r="D6235">
        <v>5.7303160000000002</v>
      </c>
      <c r="E6235">
        <v>0.42298730000000001</v>
      </c>
      <c r="F6235" t="s">
        <v>42</v>
      </c>
      <c r="G6235">
        <v>-194.35480000000001</v>
      </c>
      <c r="H6235">
        <v>1.0265610000000001</v>
      </c>
      <c r="I6235">
        <v>-48.605960000000003</v>
      </c>
      <c r="J6235">
        <v>-194.1388</v>
      </c>
      <c r="K6235">
        <v>1.1268530000000001</v>
      </c>
      <c r="L6235">
        <v>-49.117429999999999</v>
      </c>
      <c r="M6235">
        <v>0.37576340000000003</v>
      </c>
      <c r="N6235">
        <v>0</v>
      </c>
      <c r="O6235">
        <v>0.92654139999999996</v>
      </c>
      <c r="P6235">
        <v>0.18776609999999999</v>
      </c>
      <c r="Q6235">
        <v>-4.3130830000000002E-2</v>
      </c>
      <c r="R6235">
        <v>0.98126630000000004</v>
      </c>
      <c r="S6235">
        <v>-2.4673460000000001E-2</v>
      </c>
      <c r="T6235">
        <v>-0.28761959999999998</v>
      </c>
      <c r="U6235">
        <v>3.0650019999999998</v>
      </c>
      <c r="V6235">
        <v>-0.19357820000000001</v>
      </c>
      <c r="W6235">
        <v>-3.3448899999999997E-2</v>
      </c>
      <c r="X6235">
        <v>0.98051449999999996</v>
      </c>
      <c r="Y6235">
        <v>-0.38317879999999999</v>
      </c>
      <c r="Z6235">
        <v>-7.9597580000000001E-2</v>
      </c>
      <c r="AA6235">
        <v>0.92023809999999995</v>
      </c>
      <c r="AB6235">
        <v>30</v>
      </c>
      <c r="AC6235">
        <v>-0.21600000000000799</v>
      </c>
      <c r="AD6235">
        <v>-0.10029200000000001</v>
      </c>
      <c r="AE6235">
        <v>0.51147000000000198</v>
      </c>
      <c r="AF6235">
        <v>-0.379988916076475</v>
      </c>
      <c r="AG6235">
        <v>-0.10029200000000001</v>
      </c>
      <c r="AH6235">
        <v>0.38038465587667902</v>
      </c>
      <c r="AI6235">
        <v>100.56608790678099</v>
      </c>
      <c r="AJ6235">
        <v>134.97018015995499</v>
      </c>
      <c r="AK6235">
        <v>0.54693925442538305</v>
      </c>
      <c r="AL6235">
        <v>91.916838316650995</v>
      </c>
      <c r="AM6235">
        <v>101.168007355245</v>
      </c>
      <c r="AN6235">
        <v>1.00000001656834</v>
      </c>
    </row>
    <row r="6236" spans="1:40" x14ac:dyDescent="0.3">
      <c r="A6236" t="str">
        <f>"20200111160626852"</f>
        <v>20200111160626852</v>
      </c>
      <c r="B6236" t="str">
        <f>"1578729986848375"</f>
        <v>1578729986848375</v>
      </c>
      <c r="C6236" t="s">
        <v>40</v>
      </c>
      <c r="D6236">
        <v>5.6990270000000001</v>
      </c>
      <c r="E6236">
        <v>0.42489589999999999</v>
      </c>
      <c r="F6236" t="s">
        <v>41</v>
      </c>
      <c r="G6236">
        <v>-194.33420000000001</v>
      </c>
      <c r="H6236" s="1">
        <v>-3.4006979999999998E-6</v>
      </c>
      <c r="I6236">
        <v>-35.171930000000003</v>
      </c>
      <c r="J6236">
        <v>-194.04830000000001</v>
      </c>
      <c r="K6236">
        <v>1.1269149999999999</v>
      </c>
      <c r="L6236">
        <v>-48.850160000000002</v>
      </c>
      <c r="M6236">
        <v>0.3573442</v>
      </c>
      <c r="N6236">
        <v>0</v>
      </c>
      <c r="O6236">
        <v>0.93379909999999999</v>
      </c>
      <c r="P6236">
        <v>0.1759107</v>
      </c>
      <c r="Q6236">
        <v>-4.2753859999999998E-2</v>
      </c>
      <c r="R6236">
        <v>0.9834773</v>
      </c>
      <c r="S6236">
        <v>-4.278564E-2</v>
      </c>
      <c r="T6236">
        <v>-0.24682689999999999</v>
      </c>
      <c r="U6236">
        <v>3.0546259999999998</v>
      </c>
      <c r="V6236">
        <v>-0.18602099999999999</v>
      </c>
      <c r="W6236">
        <v>-3.2716099999999998E-2</v>
      </c>
      <c r="X6236">
        <v>0.98200089999999995</v>
      </c>
      <c r="Y6236">
        <v>-0.37036839999999999</v>
      </c>
      <c r="Z6236">
        <v>-6.9696090000000002E-2</v>
      </c>
      <c r="AA6236">
        <v>0.92626660000000005</v>
      </c>
      <c r="AB6236">
        <v>30</v>
      </c>
      <c r="AC6236">
        <v>-0.28589999999999799</v>
      </c>
      <c r="AD6236">
        <v>-1.126918400698</v>
      </c>
      <c r="AE6236">
        <v>13.678229999999999</v>
      </c>
      <c r="AF6236">
        <v>-5.1209013761920197</v>
      </c>
      <c r="AG6236">
        <v>-1.126918400698</v>
      </c>
      <c r="AH6236">
        <v>12.587208216187999</v>
      </c>
      <c r="AI6236">
        <v>94.740611616291105</v>
      </c>
      <c r="AJ6236">
        <v>112.138151900273</v>
      </c>
      <c r="AK6236">
        <v>13.635665978022001</v>
      </c>
      <c r="AL6236">
        <v>91.874829077337495</v>
      </c>
      <c r="AM6236">
        <v>100.72647517702799</v>
      </c>
      <c r="AN6236">
        <v>0.99999996162050897</v>
      </c>
    </row>
    <row r="6237" spans="1:40" x14ac:dyDescent="0.3">
      <c r="A6237" t="str">
        <f>"20200111160626875"</f>
        <v>20200111160626875</v>
      </c>
      <c r="B6237" t="str">
        <f>"1578729986868871"</f>
        <v>1578729986868871</v>
      </c>
      <c r="C6237" t="s">
        <v>40</v>
      </c>
      <c r="D6237">
        <v>5.5264629999999997</v>
      </c>
      <c r="E6237">
        <v>0.42690679999999998</v>
      </c>
      <c r="F6237" t="s">
        <v>41</v>
      </c>
      <c r="G6237">
        <v>-194.36080000000001</v>
      </c>
      <c r="H6237" s="1">
        <v>-3.8345859999999997E-6</v>
      </c>
      <c r="I6237">
        <v>-34.018140000000002</v>
      </c>
      <c r="J6237">
        <v>-193.9581</v>
      </c>
      <c r="K6237">
        <v>1.1269720000000001</v>
      </c>
      <c r="L6237">
        <v>-48.564819999999997</v>
      </c>
      <c r="M6237">
        <v>0.33753620000000001</v>
      </c>
      <c r="N6237">
        <v>0</v>
      </c>
      <c r="O6237">
        <v>0.94113930000000001</v>
      </c>
      <c r="P6237">
        <v>0.16236539999999999</v>
      </c>
      <c r="Q6237">
        <v>-4.2813219999999999E-2</v>
      </c>
      <c r="R6237">
        <v>0.9858015</v>
      </c>
      <c r="S6237">
        <v>-6.4300540000000003E-2</v>
      </c>
      <c r="T6237">
        <v>-0.23187360000000001</v>
      </c>
      <c r="U6237">
        <v>3.0518190000000001</v>
      </c>
      <c r="V6237">
        <v>-0.17878359999999999</v>
      </c>
      <c r="W6237">
        <v>-3.2432160000000002E-2</v>
      </c>
      <c r="X6237">
        <v>0.9833537</v>
      </c>
      <c r="Y6237">
        <v>-0.35726210000000003</v>
      </c>
      <c r="Z6237">
        <v>-6.6579369999999999E-2</v>
      </c>
      <c r="AA6237">
        <v>0.93162809999999996</v>
      </c>
      <c r="AB6237">
        <v>30</v>
      </c>
      <c r="AC6237">
        <v>-0.40270000000000999</v>
      </c>
      <c r="AD6237">
        <v>-1.1269758345859999</v>
      </c>
      <c r="AE6237">
        <v>14.54668</v>
      </c>
      <c r="AF6237">
        <v>-5.2583536908639896</v>
      </c>
      <c r="AG6237">
        <v>-1.1269758345859999</v>
      </c>
      <c r="AH6237">
        <v>13.475915704314801</v>
      </c>
      <c r="AI6237">
        <v>94.454792972968704</v>
      </c>
      <c r="AJ6237">
        <v>111.315918863297</v>
      </c>
      <c r="AK6237">
        <v>14.5093301754341</v>
      </c>
      <c r="AL6237">
        <v>91.8585518781464</v>
      </c>
      <c r="AM6237">
        <v>100.30439628411401</v>
      </c>
      <c r="AN6237">
        <v>0.99999995996745705</v>
      </c>
    </row>
    <row r="6238" spans="1:40" x14ac:dyDescent="0.3">
      <c r="A6238" t="str">
        <f>"20200111160626899"</f>
        <v>20200111160626899</v>
      </c>
      <c r="B6238" t="str">
        <f>"1578729986888392"</f>
        <v>1578729986888392</v>
      </c>
      <c r="C6238" t="s">
        <v>40</v>
      </c>
      <c r="D6238">
        <v>5.6422480000000004</v>
      </c>
      <c r="E6238">
        <v>0.42894880000000002</v>
      </c>
      <c r="F6238" t="s">
        <v>41</v>
      </c>
      <c r="G6238">
        <v>-194.39060000000001</v>
      </c>
      <c r="H6238" s="1">
        <v>-3.8543959999999998E-6</v>
      </c>
      <c r="I6238">
        <v>-33.975479999999997</v>
      </c>
      <c r="J6238">
        <v>-193.87190000000001</v>
      </c>
      <c r="K6238">
        <v>1.1270199999999999</v>
      </c>
      <c r="L6238">
        <v>-48.26999</v>
      </c>
      <c r="M6238">
        <v>0.31692930000000002</v>
      </c>
      <c r="N6238">
        <v>0</v>
      </c>
      <c r="O6238">
        <v>0.94827649999999997</v>
      </c>
      <c r="P6238">
        <v>0.1477955</v>
      </c>
      <c r="Q6238">
        <v>-4.2543089999999999E-2</v>
      </c>
      <c r="R6238">
        <v>0.98810249999999999</v>
      </c>
      <c r="S6238">
        <v>-9.0347289999999997E-2</v>
      </c>
      <c r="T6238">
        <v>-0.23543829999999999</v>
      </c>
      <c r="U6238">
        <v>3.047882</v>
      </c>
      <c r="V6238">
        <v>-0.171871</v>
      </c>
      <c r="W6238">
        <v>-3.183184E-2</v>
      </c>
      <c r="X6238">
        <v>0.98460510000000001</v>
      </c>
      <c r="Y6238">
        <v>-0.34484039999999999</v>
      </c>
      <c r="Z6238">
        <v>-6.8678279999999994E-2</v>
      </c>
      <c r="AA6238">
        <v>0.93614549999999996</v>
      </c>
      <c r="AB6238">
        <v>30</v>
      </c>
      <c r="AC6238">
        <v>-0.51869999999999505</v>
      </c>
      <c r="AD6238">
        <v>-1.1270238543960001</v>
      </c>
      <c r="AE6238">
        <v>14.294510000000001</v>
      </c>
      <c r="AF6238">
        <v>-4.9920516776305597</v>
      </c>
      <c r="AG6238">
        <v>-1.1270238543960001</v>
      </c>
      <c r="AH6238">
        <v>13.310318635046499</v>
      </c>
      <c r="AI6238">
        <v>94.532951720457703</v>
      </c>
      <c r="AJ6238">
        <v>110.558619696481</v>
      </c>
      <c r="AK6238">
        <v>14.2602715572663</v>
      </c>
      <c r="AL6238">
        <v>91.824138130822703</v>
      </c>
      <c r="AM6238">
        <v>99.901688561348905</v>
      </c>
      <c r="AN6238">
        <v>1.00000005481239</v>
      </c>
    </row>
    <row r="6239" spans="1:40" x14ac:dyDescent="0.3">
      <c r="A6239" t="str">
        <f>"20200111160626920"</f>
        <v>20200111160626920</v>
      </c>
      <c r="B6239" t="str">
        <f>"1578729986918646"</f>
        <v>1578729986918646</v>
      </c>
      <c r="C6239" t="s">
        <v>40</v>
      </c>
      <c r="D6239">
        <v>5.6358949999999997</v>
      </c>
      <c r="E6239">
        <v>0.43133640000000001</v>
      </c>
      <c r="F6239" t="s">
        <v>41</v>
      </c>
      <c r="G6239">
        <v>-194.41849999999999</v>
      </c>
      <c r="H6239" s="1">
        <v>-3.7395360000000001E-6</v>
      </c>
      <c r="I6239">
        <v>-34.327559999999998</v>
      </c>
      <c r="J6239">
        <v>-193.79490000000001</v>
      </c>
      <c r="K6239">
        <v>1.127051</v>
      </c>
      <c r="L6239">
        <v>-47.984250000000003</v>
      </c>
      <c r="M6239">
        <v>0.29682839999999999</v>
      </c>
      <c r="N6239">
        <v>0</v>
      </c>
      <c r="O6239">
        <v>0.95475860000000001</v>
      </c>
      <c r="P6239">
        <v>0.1333386</v>
      </c>
      <c r="Q6239">
        <v>-4.1712920000000001E-2</v>
      </c>
      <c r="R6239">
        <v>0.99019239999999997</v>
      </c>
      <c r="S6239">
        <v>-0.1193237</v>
      </c>
      <c r="T6239">
        <v>-0.24600759999999999</v>
      </c>
      <c r="U6239">
        <v>3.0433650000000001</v>
      </c>
      <c r="V6239">
        <v>-0.16551260000000001</v>
      </c>
      <c r="W6239">
        <v>-3.069676E-2</v>
      </c>
      <c r="X6239">
        <v>0.98572979999999999</v>
      </c>
      <c r="Y6239">
        <v>-0.33392379999999999</v>
      </c>
      <c r="Z6239">
        <v>-7.277662E-2</v>
      </c>
      <c r="AA6239">
        <v>0.93978640000000002</v>
      </c>
      <c r="AB6239">
        <v>30</v>
      </c>
      <c r="AC6239">
        <v>-0.62359999999998195</v>
      </c>
      <c r="AD6239">
        <v>-1.127054739536</v>
      </c>
      <c r="AE6239">
        <v>13.656689999999999</v>
      </c>
      <c r="AF6239">
        <v>-4.6184556746201704</v>
      </c>
      <c r="AG6239">
        <v>-1.127054739536</v>
      </c>
      <c r="AH6239">
        <v>12.769067653889101</v>
      </c>
      <c r="AI6239">
        <v>94.744793142442404</v>
      </c>
      <c r="AJ6239">
        <v>109.884596646644</v>
      </c>
      <c r="AK6239">
        <v>13.6253247283849</v>
      </c>
      <c r="AL6239">
        <v>91.759071169624093</v>
      </c>
      <c r="AM6239">
        <v>99.531547643918898</v>
      </c>
      <c r="AN6239">
        <v>0.99999997522064799</v>
      </c>
    </row>
    <row r="6240" spans="1:40" x14ac:dyDescent="0.3">
      <c r="A6240" t="str">
        <f>"20200111160626943"</f>
        <v>20200111160626943</v>
      </c>
      <c r="B6240" t="str">
        <f>"1578729986938167"</f>
        <v>1578729986938167</v>
      </c>
      <c r="C6240" t="s">
        <v>40</v>
      </c>
      <c r="D6240">
        <v>5.80396</v>
      </c>
      <c r="E6240">
        <v>0.43326419999999999</v>
      </c>
      <c r="F6240" t="s">
        <v>41</v>
      </c>
      <c r="G6240">
        <v>-194.4205</v>
      </c>
      <c r="H6240" s="1">
        <v>-3.5614470000000001E-6</v>
      </c>
      <c r="I6240">
        <v>-34.850760000000001</v>
      </c>
      <c r="J6240">
        <v>-193.72620000000001</v>
      </c>
      <c r="K6240">
        <v>1.127067</v>
      </c>
      <c r="L6240">
        <v>-47.705840000000002</v>
      </c>
      <c r="M6240">
        <v>0.27713369999999998</v>
      </c>
      <c r="N6240">
        <v>0</v>
      </c>
      <c r="O6240">
        <v>0.96065959999999995</v>
      </c>
      <c r="P6240">
        <v>0.11958390000000001</v>
      </c>
      <c r="Q6240">
        <v>-4.0922350000000003E-2</v>
      </c>
      <c r="R6240">
        <v>0.99198039999999998</v>
      </c>
      <c r="S6240">
        <v>-0.14471439999999999</v>
      </c>
      <c r="T6240">
        <v>-0.26072469999999998</v>
      </c>
      <c r="U6240">
        <v>3.038208</v>
      </c>
      <c r="V6240">
        <v>-0.158971</v>
      </c>
      <c r="W6240">
        <v>-2.9595110000000001E-2</v>
      </c>
      <c r="X6240">
        <v>0.98683960000000004</v>
      </c>
      <c r="Y6240">
        <v>-0.32240000000000002</v>
      </c>
      <c r="Z6240">
        <v>-7.8142989999999996E-2</v>
      </c>
      <c r="AA6240">
        <v>0.94337260000000001</v>
      </c>
      <c r="AB6240">
        <v>30</v>
      </c>
      <c r="AC6240">
        <v>-0.69429999999999803</v>
      </c>
      <c r="AD6240">
        <v>-1.127070561447</v>
      </c>
      <c r="AE6240">
        <v>12.855079999999999</v>
      </c>
      <c r="AF6240">
        <v>-4.1980834982162802</v>
      </c>
      <c r="AG6240">
        <v>-1.127070561447</v>
      </c>
      <c r="AH6240">
        <v>12.0664645236178</v>
      </c>
      <c r="AI6240">
        <v>95.041497799970799</v>
      </c>
      <c r="AJ6240">
        <v>109.183465573219</v>
      </c>
      <c r="AK6240">
        <v>12.8255120446789</v>
      </c>
      <c r="AL6240">
        <v>91.695922488188003</v>
      </c>
      <c r="AM6240">
        <v>99.151217161695001</v>
      </c>
      <c r="AN6240">
        <v>1.0000000227525301</v>
      </c>
    </row>
    <row r="6241" spans="1:40" x14ac:dyDescent="0.3">
      <c r="A6241" t="str">
        <f>"20200111160626966"</f>
        <v>20200111160626966</v>
      </c>
      <c r="B6241" t="str">
        <f>"1578729986958665"</f>
        <v>1578729986958665</v>
      </c>
      <c r="C6241" t="s">
        <v>40</v>
      </c>
      <c r="D6241">
        <v>5.7140829999999996</v>
      </c>
      <c r="E6241">
        <v>0.4523432</v>
      </c>
      <c r="F6241" t="s">
        <v>41</v>
      </c>
      <c r="G6241">
        <v>-194.45259999999999</v>
      </c>
      <c r="H6241" s="1">
        <v>-3.5634699999999999E-6</v>
      </c>
      <c r="I6241">
        <v>-34.86271</v>
      </c>
      <c r="J6241">
        <v>-193.66059999999999</v>
      </c>
      <c r="K6241">
        <v>1.127086</v>
      </c>
      <c r="L6241">
        <v>-47.411409999999997</v>
      </c>
      <c r="M6241">
        <v>0.25619180000000003</v>
      </c>
      <c r="N6241">
        <v>0</v>
      </c>
      <c r="O6241">
        <v>0.9664547</v>
      </c>
      <c r="P6241">
        <v>0.1051086</v>
      </c>
      <c r="Q6241">
        <v>-3.9288330000000003E-2</v>
      </c>
      <c r="R6241">
        <v>0.99368440000000002</v>
      </c>
      <c r="S6241">
        <v>-0.17160029999999901</v>
      </c>
      <c r="T6241">
        <v>-0.26625090000000001</v>
      </c>
      <c r="U6241">
        <v>3.0339659999999999</v>
      </c>
      <c r="V6241">
        <v>-0.15200369999999999</v>
      </c>
      <c r="W6241">
        <v>-2.7630330000000002E-2</v>
      </c>
      <c r="X6241">
        <v>0.98799369999999997</v>
      </c>
      <c r="Y6241">
        <v>-0.31019409999999997</v>
      </c>
      <c r="Z6241">
        <v>-8.0816330000000006E-2</v>
      </c>
      <c r="AA6241">
        <v>0.94723190000000002</v>
      </c>
      <c r="AB6241">
        <v>30</v>
      </c>
      <c r="AC6241">
        <v>-0.79200000000000104</v>
      </c>
      <c r="AD6241">
        <v>-1.12708956347</v>
      </c>
      <c r="AE6241">
        <v>12.548699999999901</v>
      </c>
      <c r="AF6241">
        <v>-3.9492326218942999</v>
      </c>
      <c r="AG6241">
        <v>-1.12708956347</v>
      </c>
      <c r="AH6241">
        <v>11.8317510383828</v>
      </c>
      <c r="AI6241">
        <v>95.163175840910895</v>
      </c>
      <c r="AJ6241">
        <v>108.458112665321</v>
      </c>
      <c r="AK6241">
        <v>12.5242605298752</v>
      </c>
      <c r="AL6241">
        <v>91.583302709266306</v>
      </c>
      <c r="AM6241">
        <v>98.746426779859902</v>
      </c>
      <c r="AN6241">
        <v>1.00000005559464</v>
      </c>
    </row>
    <row r="6242" spans="1:40" x14ac:dyDescent="0.3">
      <c r="A6242" t="str">
        <f>"20200111160627012"</f>
        <v>20200111160627012</v>
      </c>
      <c r="B6242" t="str">
        <f>"1578729987008439"</f>
        <v>1578729987008439</v>
      </c>
      <c r="C6242" t="s">
        <v>40</v>
      </c>
      <c r="D6242">
        <v>5.9201920000000001</v>
      </c>
      <c r="E6242">
        <v>0.45673039999999998</v>
      </c>
      <c r="F6242" t="s">
        <v>41</v>
      </c>
      <c r="G6242">
        <v>-193.89230000000001</v>
      </c>
      <c r="H6242" s="1">
        <v>-2.567502E-6</v>
      </c>
      <c r="I6242">
        <v>-36.840069999999997</v>
      </c>
      <c r="J6242">
        <v>-193.55029999999999</v>
      </c>
      <c r="K6242">
        <v>1.1270880000000001</v>
      </c>
      <c r="L6242">
        <v>-46.825679999999998</v>
      </c>
      <c r="M6242">
        <v>0.21424029999999999</v>
      </c>
      <c r="N6242">
        <v>0</v>
      </c>
      <c r="O6242">
        <v>0.9766108</v>
      </c>
      <c r="P6242">
        <v>7.479152E-2</v>
      </c>
      <c r="Q6242">
        <v>-4.0489230000000001E-2</v>
      </c>
      <c r="R6242">
        <v>0.99637690000000001</v>
      </c>
      <c r="S6242">
        <v>-6.6055299999999997E-2</v>
      </c>
      <c r="T6242">
        <v>-0.32127729999999999</v>
      </c>
      <c r="U6242">
        <v>3.0133670000000001</v>
      </c>
      <c r="V6242">
        <v>-0.13939560000000001</v>
      </c>
      <c r="W6242">
        <v>-2.8240890000000001E-2</v>
      </c>
      <c r="X6242">
        <v>0.98983399999999999</v>
      </c>
      <c r="Y6242">
        <v>-0.2354994</v>
      </c>
      <c r="Z6242">
        <v>-0.1008233</v>
      </c>
      <c r="AA6242">
        <v>0.96663060000000001</v>
      </c>
      <c r="AB6242">
        <v>30</v>
      </c>
      <c r="AC6242">
        <v>-0.34200000000001202</v>
      </c>
      <c r="AD6242">
        <v>-1.12709056750199</v>
      </c>
      <c r="AE6242">
        <v>9.9856099999999905</v>
      </c>
      <c r="AF6242">
        <v>-2.4426493716857101</v>
      </c>
      <c r="AG6242">
        <v>-1.12709056750199</v>
      </c>
      <c r="AH6242">
        <v>9.5587579761949897</v>
      </c>
      <c r="AI6242">
        <v>96.517260952255199</v>
      </c>
      <c r="AJ6242">
        <v>104.33462331120499</v>
      </c>
      <c r="AK6242">
        <v>9.9300917995666005</v>
      </c>
      <c r="AL6242">
        <v>91.618298943889798</v>
      </c>
      <c r="AM6242">
        <v>98.016091886803295</v>
      </c>
      <c r="AN6242">
        <v>1.0000000143616701</v>
      </c>
    </row>
    <row r="6243" spans="1:40" x14ac:dyDescent="0.3">
      <c r="A6243" t="str">
        <f>"20200111160627035"</f>
        <v>20200111160627035</v>
      </c>
      <c r="B6243" t="str">
        <f>"1578729987028935"</f>
        <v>1578729987028935</v>
      </c>
      <c r="C6243" t="s">
        <v>40</v>
      </c>
      <c r="D6243">
        <v>5.9911479999999999</v>
      </c>
      <c r="E6243">
        <v>0.45681579999999999</v>
      </c>
      <c r="F6243" t="s">
        <v>41</v>
      </c>
      <c r="G6243">
        <v>-193.9358</v>
      </c>
      <c r="H6243" s="1">
        <v>-2.2828329999999998E-6</v>
      </c>
      <c r="I6243">
        <v>-37.530639999999998</v>
      </c>
      <c r="J6243">
        <v>-193.5034</v>
      </c>
      <c r="K6243">
        <v>1.127065</v>
      </c>
      <c r="L6243">
        <v>-46.522579999999998</v>
      </c>
      <c r="M6243">
        <v>0.1924139</v>
      </c>
      <c r="N6243">
        <v>0</v>
      </c>
      <c r="O6243">
        <v>0.98114420000000002</v>
      </c>
      <c r="P6243">
        <v>5.8079850000000002E-2</v>
      </c>
      <c r="Q6243">
        <v>-4.5360780000000003E-2</v>
      </c>
      <c r="R6243">
        <v>0.99728090000000003</v>
      </c>
      <c r="S6243">
        <v>-0.12466430000000001</v>
      </c>
      <c r="T6243">
        <v>-0.36443379999999997</v>
      </c>
      <c r="U6243">
        <v>3.0054630000000002</v>
      </c>
      <c r="V6243">
        <v>-0.13368369999999999</v>
      </c>
      <c r="W6243">
        <v>-3.2851869999999998E-2</v>
      </c>
      <c r="X6243">
        <v>0.99047940000000001</v>
      </c>
      <c r="Y6243">
        <v>-0.23264850000000001</v>
      </c>
      <c r="Z6243">
        <v>-0.1153018</v>
      </c>
      <c r="AA6243">
        <v>0.9657019</v>
      </c>
      <c r="AB6243">
        <v>30</v>
      </c>
      <c r="AC6243">
        <v>-0.43240000000000101</v>
      </c>
      <c r="AD6243">
        <v>-1.127067282833</v>
      </c>
      <c r="AE6243">
        <v>8.9919399999999907</v>
      </c>
      <c r="AF6243">
        <v>-2.1215261806166299</v>
      </c>
      <c r="AG6243">
        <v>-1.127067282833</v>
      </c>
      <c r="AH6243">
        <v>8.6057555287866307</v>
      </c>
      <c r="AI6243">
        <v>97.246819834922505</v>
      </c>
      <c r="AJ6243">
        <v>103.848651555017</v>
      </c>
      <c r="AK6243">
        <v>8.9347737641372902</v>
      </c>
      <c r="AL6243">
        <v>91.882612219406795</v>
      </c>
      <c r="AM6243">
        <v>97.6866855381394</v>
      </c>
      <c r="AN6243">
        <v>1.00000000941627</v>
      </c>
    </row>
    <row r="6244" spans="1:40" x14ac:dyDescent="0.3">
      <c r="A6244" t="str">
        <f>"20200111160627055"</f>
        <v>20200111160627055</v>
      </c>
      <c r="B6244" t="str">
        <f>"1578729987048455"</f>
        <v>1578729987048455</v>
      </c>
      <c r="C6244" t="s">
        <v>40</v>
      </c>
      <c r="D6244">
        <v>5.7442219999999997</v>
      </c>
      <c r="E6244">
        <v>0.45824740000000003</v>
      </c>
      <c r="F6244" t="s">
        <v>41</v>
      </c>
      <c r="G6244">
        <v>-194.01499999999999</v>
      </c>
      <c r="H6244" s="1">
        <v>-2.220294E-6</v>
      </c>
      <c r="I6244">
        <v>-37.725520000000003</v>
      </c>
      <c r="J6244">
        <v>-193.4708</v>
      </c>
      <c r="K6244">
        <v>1.1270290000000001</v>
      </c>
      <c r="L6244">
        <v>-46.279240000000001</v>
      </c>
      <c r="M6244">
        <v>0.17487510000000001</v>
      </c>
      <c r="N6244">
        <v>0</v>
      </c>
      <c r="O6244">
        <v>0.9844214</v>
      </c>
      <c r="P6244">
        <v>4.5550350000000003E-2</v>
      </c>
      <c r="Q6244">
        <v>-4.9882410000000002E-2</v>
      </c>
      <c r="R6244">
        <v>0.99771580000000004</v>
      </c>
      <c r="S6244">
        <v>-0.1745148</v>
      </c>
      <c r="T6244">
        <v>-0.38446520000000001</v>
      </c>
      <c r="U6244">
        <v>3.0008539999999999</v>
      </c>
      <c r="V6244">
        <v>-0.12823199999999901</v>
      </c>
      <c r="W6244">
        <v>-3.7128689999999999E-2</v>
      </c>
      <c r="X6244">
        <v>0.99104890000000001</v>
      </c>
      <c r="Y6244">
        <v>-0.23130909999999999</v>
      </c>
      <c r="Z6244">
        <v>-0.1223171</v>
      </c>
      <c r="AA6244">
        <v>0.96516040000000003</v>
      </c>
      <c r="AB6244">
        <v>30</v>
      </c>
      <c r="AC6244">
        <v>-0.54419999999998903</v>
      </c>
      <c r="AD6244">
        <v>-1.127031220294</v>
      </c>
      <c r="AE6244">
        <v>8.5537199999999896</v>
      </c>
      <c r="AF6244">
        <v>-1.99735800076868</v>
      </c>
      <c r="AG6244">
        <v>-1.127031220294</v>
      </c>
      <c r="AH6244">
        <v>8.1851598695361893</v>
      </c>
      <c r="AI6244">
        <v>97.619050856198598</v>
      </c>
      <c r="AJ6244">
        <v>103.713419389826</v>
      </c>
      <c r="AK6244">
        <v>8.50038119407699</v>
      </c>
      <c r="AL6244">
        <v>92.127806402794505</v>
      </c>
      <c r="AM6244">
        <v>97.372550268486606</v>
      </c>
      <c r="AN6244">
        <v>0.99999995381816198</v>
      </c>
    </row>
    <row r="6245" spans="1:40" x14ac:dyDescent="0.3">
      <c r="A6245" t="str">
        <f>"20200111160627078"</f>
        <v>20200111160627078</v>
      </c>
      <c r="B6245" t="str">
        <f>"1578729987068951"</f>
        <v>1578729987068951</v>
      </c>
      <c r="C6245" t="s">
        <v>40</v>
      </c>
      <c r="D6245">
        <v>5.9916340000000003</v>
      </c>
      <c r="E6245">
        <v>0.45924429999999999</v>
      </c>
      <c r="F6245" t="s">
        <v>41</v>
      </c>
      <c r="G6245">
        <v>-194.04640000000001</v>
      </c>
      <c r="H6245" s="1">
        <v>-2.2410229999999998E-6</v>
      </c>
      <c r="I6245">
        <v>-37.696689999999997</v>
      </c>
      <c r="J6245">
        <v>-193.43610000000001</v>
      </c>
      <c r="K6245">
        <v>1.126968</v>
      </c>
      <c r="L6245">
        <v>-45.974670000000003</v>
      </c>
      <c r="M6245">
        <v>0.15296799999999999</v>
      </c>
      <c r="N6245">
        <v>0</v>
      </c>
      <c r="O6245">
        <v>0.98806269999999996</v>
      </c>
      <c r="P6245">
        <v>2.7947099999999999E-2</v>
      </c>
      <c r="Q6245">
        <v>-5.2264249999999998E-2</v>
      </c>
      <c r="R6245">
        <v>0.99824210000000002</v>
      </c>
      <c r="S6245">
        <v>-0.20095830000000001</v>
      </c>
      <c r="T6245">
        <v>-0.39347300000000002</v>
      </c>
      <c r="U6245">
        <v>2.9963679999999999</v>
      </c>
      <c r="V6245">
        <v>-0.12359389999999899</v>
      </c>
      <c r="W6245">
        <v>-3.929676E-2</v>
      </c>
      <c r="X6245">
        <v>0.99155450000000001</v>
      </c>
      <c r="Y6245">
        <v>-0.21822259999999999</v>
      </c>
      <c r="Z6245">
        <v>-0.1261912</v>
      </c>
      <c r="AA6245">
        <v>0.96770590000000001</v>
      </c>
      <c r="AB6245">
        <v>30</v>
      </c>
      <c r="AC6245">
        <v>-0.61029999999999496</v>
      </c>
      <c r="AD6245">
        <v>-1.126970241023</v>
      </c>
      <c r="AE6245">
        <v>8.2779799999999994</v>
      </c>
      <c r="AF6245">
        <v>-1.8357514953149801</v>
      </c>
      <c r="AG6245">
        <v>-1.126970241023</v>
      </c>
      <c r="AH6245">
        <v>7.9407720962332098</v>
      </c>
      <c r="AI6245">
        <v>97.872656475895496</v>
      </c>
      <c r="AJ6245">
        <v>103.016986175797</v>
      </c>
      <c r="AK6245">
        <v>8.2277522423210208</v>
      </c>
      <c r="AL6245">
        <v>92.252118368119199</v>
      </c>
      <c r="AM6245">
        <v>97.105078829525596</v>
      </c>
      <c r="AN6245">
        <v>1.0000000069669699</v>
      </c>
    </row>
    <row r="6246" spans="1:40" x14ac:dyDescent="0.3">
      <c r="A6246" t="str">
        <f>"20200111160627101"</f>
        <v>20200111160627101</v>
      </c>
      <c r="B6246" t="str">
        <f>"1578729987088471"</f>
        <v>1578729987088471</v>
      </c>
      <c r="C6246" t="s">
        <v>40</v>
      </c>
      <c r="D6246">
        <v>5.7278219999999997</v>
      </c>
      <c r="E6246">
        <v>0.45895839999999999</v>
      </c>
      <c r="F6246" t="s">
        <v>41</v>
      </c>
      <c r="G6246">
        <v>-194.1317</v>
      </c>
      <c r="H6246" s="1">
        <v>-2.3406449999999998E-6</v>
      </c>
      <c r="I6246">
        <v>-37.517339999999997</v>
      </c>
      <c r="J6246">
        <v>-193.4101</v>
      </c>
      <c r="K6246">
        <v>1.1268590000000001</v>
      </c>
      <c r="L6246">
        <v>-45.693480000000001</v>
      </c>
      <c r="M6246">
        <v>0.13287019999999999</v>
      </c>
      <c r="N6246">
        <v>0</v>
      </c>
      <c r="O6246">
        <v>0.99096580000000001</v>
      </c>
      <c r="P6246">
        <v>1.060875E-2</v>
      </c>
      <c r="Q6246">
        <v>-5.315566E-2</v>
      </c>
      <c r="R6246">
        <v>0.99852989999999997</v>
      </c>
      <c r="S6246">
        <v>-0.2460022</v>
      </c>
      <c r="T6246">
        <v>-0.39860180000000001</v>
      </c>
      <c r="U6246">
        <v>2.9913020000000001</v>
      </c>
      <c r="V6246">
        <v>-0.1206446</v>
      </c>
      <c r="W6246">
        <v>-4.0051870000000003E-2</v>
      </c>
      <c r="X6246">
        <v>0.99188750000000003</v>
      </c>
      <c r="Y6246">
        <v>-0.21298059999999999</v>
      </c>
      <c r="Z6246">
        <v>-0.12859909999999999</v>
      </c>
      <c r="AA6246">
        <v>0.96855639999999998</v>
      </c>
      <c r="AB6246">
        <v>30</v>
      </c>
      <c r="AC6246">
        <v>-0.72159999999999502</v>
      </c>
      <c r="AD6246">
        <v>-1.1268613406450001</v>
      </c>
      <c r="AE6246">
        <v>8.1761399999999895</v>
      </c>
      <c r="AF6246">
        <v>-1.76841387699521</v>
      </c>
      <c r="AG6246">
        <v>-1.1268613406450001</v>
      </c>
      <c r="AH6246">
        <v>7.8595858925665496</v>
      </c>
      <c r="AI6246">
        <v>97.962708455839305</v>
      </c>
      <c r="AJ6246">
        <v>102.680432417424</v>
      </c>
      <c r="AK6246">
        <v>8.1345064093662494</v>
      </c>
      <c r="AL6246">
        <v>92.295416994550905</v>
      </c>
      <c r="AM6246">
        <v>96.934897278794693</v>
      </c>
      <c r="AN6246">
        <v>1.00000004222795</v>
      </c>
    </row>
    <row r="6247" spans="1:40" x14ac:dyDescent="0.3">
      <c r="A6247" t="str">
        <f>"20200111160627127"</f>
        <v>20200111160627127</v>
      </c>
      <c r="B6247" t="str">
        <f>"1578729987118727"</f>
        <v>1578729987118727</v>
      </c>
      <c r="C6247" t="s">
        <v>40</v>
      </c>
      <c r="D6247">
        <v>5.693524</v>
      </c>
      <c r="E6247">
        <v>0.47273080000000001</v>
      </c>
      <c r="F6247" t="s">
        <v>41</v>
      </c>
      <c r="G6247">
        <v>-194.74940000000001</v>
      </c>
      <c r="H6247" s="1">
        <v>-4.5231480000000004E-6</v>
      </c>
      <c r="I6247">
        <v>-32.197360000000003</v>
      </c>
      <c r="J6247">
        <v>-193.38650000000001</v>
      </c>
      <c r="K6247">
        <v>1.126622</v>
      </c>
      <c r="L6247">
        <v>-45.355350000000001</v>
      </c>
      <c r="M6247">
        <v>0.109052</v>
      </c>
      <c r="N6247">
        <v>0</v>
      </c>
      <c r="O6247">
        <v>0.99387009999999998</v>
      </c>
      <c r="P6247">
        <v>-1.1210100000000001E-2</v>
      </c>
      <c r="Q6247">
        <v>-5.5369380000000003E-2</v>
      </c>
      <c r="R6247">
        <v>0.99840300000000004</v>
      </c>
      <c r="S6247">
        <v>-0.29713440000000002</v>
      </c>
      <c r="T6247">
        <v>-0.25000699999999998</v>
      </c>
      <c r="U6247">
        <v>2.9942630000000001</v>
      </c>
      <c r="V6247">
        <v>-0.11843330000000001</v>
      </c>
      <c r="W6247">
        <v>-4.2170150000000003E-2</v>
      </c>
      <c r="X6247">
        <v>0.99206609999999995</v>
      </c>
      <c r="Y6247">
        <v>-0.20636389999999999</v>
      </c>
      <c r="Z6247">
        <v>-8.1366030000000006E-2</v>
      </c>
      <c r="AA6247">
        <v>0.97508640000000002</v>
      </c>
      <c r="AB6247">
        <v>30</v>
      </c>
      <c r="AC6247">
        <v>-1.36289999999999</v>
      </c>
      <c r="AD6247">
        <v>-1.1266265231479999</v>
      </c>
      <c r="AE6247">
        <v>13.15799</v>
      </c>
      <c r="AF6247">
        <v>-2.7698200730444502</v>
      </c>
      <c r="AG6247">
        <v>-1.1266265231479999</v>
      </c>
      <c r="AH6247">
        <v>12.837720782260501</v>
      </c>
      <c r="AI6247">
        <v>94.903120468510494</v>
      </c>
      <c r="AJ6247">
        <v>102.17529596141701</v>
      </c>
      <c r="AK6247">
        <v>13.1813605308019</v>
      </c>
      <c r="AL6247">
        <v>92.4168884147265</v>
      </c>
      <c r="AM6247">
        <v>96.807777306371307</v>
      </c>
      <c r="AN6247">
        <v>0.99999995743456005</v>
      </c>
    </row>
    <row r="6248" spans="1:40" x14ac:dyDescent="0.3">
      <c r="A6248" t="str">
        <f>"20200111160627413"</f>
        <v>20200111160627413</v>
      </c>
      <c r="B6248" t="str">
        <f>"1578729987408599"</f>
        <v>1578729987408599</v>
      </c>
      <c r="C6248" t="s">
        <v>40</v>
      </c>
      <c r="D6248">
        <v>5.5355239999999997</v>
      </c>
      <c r="E6248">
        <v>0.47273080000000001</v>
      </c>
      <c r="F6248" t="s">
        <v>41</v>
      </c>
      <c r="G6248">
        <v>-194.13589999999999</v>
      </c>
      <c r="H6248" s="1">
        <v>-2.7537009999999998E-6</v>
      </c>
      <c r="I6248">
        <v>-36.557110000000002</v>
      </c>
      <c r="J6248">
        <v>-193.49639999999999</v>
      </c>
      <c r="K6248">
        <v>1.1156200000000001</v>
      </c>
      <c r="L6248">
        <v>-41.670839999999998</v>
      </c>
      <c r="M6248">
        <v>-6.046791E-2</v>
      </c>
      <c r="N6248">
        <v>0</v>
      </c>
      <c r="O6248">
        <v>0.99804789999999999</v>
      </c>
      <c r="P6248">
        <v>-7.8721369999999999E-2</v>
      </c>
      <c r="Q6248">
        <v>-7.7123490000000003E-2</v>
      </c>
      <c r="R6248">
        <v>0.99390889999999998</v>
      </c>
      <c r="S6248">
        <v>-0.25389099999999998</v>
      </c>
      <c r="T6248">
        <v>-0.38169199999999998</v>
      </c>
      <c r="U6248">
        <v>2.9807739999999998</v>
      </c>
      <c r="V6248">
        <v>-1.7626739999999998E-2</v>
      </c>
      <c r="W6248">
        <v>-6.178931E-2</v>
      </c>
      <c r="X6248">
        <v>0.99793359999999998</v>
      </c>
      <c r="Y6248">
        <v>-2.377429E-2</v>
      </c>
      <c r="Z6248">
        <v>-0.12642490000000001</v>
      </c>
      <c r="AA6248">
        <v>0.99169119999999999</v>
      </c>
      <c r="AB6248">
        <v>29</v>
      </c>
      <c r="AC6248">
        <v>-0.63949999999999796</v>
      </c>
      <c r="AD6248">
        <v>-1.1156227537009999</v>
      </c>
      <c r="AE6248">
        <v>5.1137300000000101</v>
      </c>
      <c r="AF6248">
        <v>-0.314344444217175</v>
      </c>
      <c r="AG6248">
        <v>-1.1156227537009999</v>
      </c>
      <c r="AH6248">
        <v>4.9128202080052699</v>
      </c>
      <c r="AI6248">
        <v>102.76872974880401</v>
      </c>
      <c r="AJ6248">
        <v>93.661052269878198</v>
      </c>
      <c r="AK6248">
        <v>5.0476954102214302</v>
      </c>
      <c r="AL6248">
        <v>93.542523141962505</v>
      </c>
      <c r="AM6248">
        <v>91.011923837475294</v>
      </c>
      <c r="AN6248">
        <v>1.00000004540113</v>
      </c>
    </row>
    <row r="6249" spans="1:40" x14ac:dyDescent="0.3">
      <c r="A6249" t="str">
        <f>"20200111160627437"</f>
        <v>20200111160627437</v>
      </c>
      <c r="B6249" t="str">
        <f>"1578729987428118"</f>
        <v>1578729987428118</v>
      </c>
      <c r="C6249" t="s">
        <v>40</v>
      </c>
      <c r="D6249">
        <v>6.583367</v>
      </c>
      <c r="E6249">
        <v>0.50545470000000003</v>
      </c>
      <c r="F6249" t="s">
        <v>42</v>
      </c>
      <c r="G6249">
        <v>-193.6251</v>
      </c>
      <c r="H6249">
        <v>0.98902089999999998</v>
      </c>
      <c r="I6249">
        <v>-40.835590000000003</v>
      </c>
      <c r="J6249">
        <v>-193.5205</v>
      </c>
      <c r="K6249">
        <v>1.11452</v>
      </c>
      <c r="L6249">
        <v>-41.354100000000003</v>
      </c>
      <c r="M6249">
        <v>-6.4262570000000005E-2</v>
      </c>
      <c r="N6249">
        <v>0</v>
      </c>
      <c r="O6249">
        <v>0.99781379999999997</v>
      </c>
      <c r="P6249">
        <v>-7.9452869999999995E-2</v>
      </c>
      <c r="Q6249">
        <v>-7.9632560000000005E-2</v>
      </c>
      <c r="R6249">
        <v>0.9936528</v>
      </c>
      <c r="S6249">
        <v>-0.45443729999999899</v>
      </c>
      <c r="T6249">
        <v>-0.4467873</v>
      </c>
      <c r="U6249">
        <v>2.9477229999999999</v>
      </c>
      <c r="V6249">
        <v>-1.472438E-2</v>
      </c>
      <c r="W6249">
        <v>-6.4411189999999993E-2</v>
      </c>
      <c r="X6249">
        <v>0.9978148</v>
      </c>
      <c r="Y6249">
        <v>-8.6844649999999995E-2</v>
      </c>
      <c r="Z6249">
        <v>-0.14826129999999901</v>
      </c>
      <c r="AA6249">
        <v>0.98512770000000005</v>
      </c>
      <c r="AB6249">
        <v>29</v>
      </c>
      <c r="AC6249">
        <v>-0.104600000000004</v>
      </c>
      <c r="AD6249">
        <v>-0.1254991</v>
      </c>
      <c r="AE6249">
        <v>0.51850999999999903</v>
      </c>
      <c r="AF6249">
        <v>-6.7272140106880804E-2</v>
      </c>
      <c r="AG6249">
        <v>-0.1254991</v>
      </c>
      <c r="AH6249">
        <v>0.49622726286518698</v>
      </c>
      <c r="AI6249">
        <v>104.069350726088</v>
      </c>
      <c r="AJ6249">
        <v>97.720361799950595</v>
      </c>
      <c r="AK6249">
        <v>0.51625290444320504</v>
      </c>
      <c r="AL6249">
        <v>93.693045997480993</v>
      </c>
      <c r="AM6249">
        <v>90.845431037040399</v>
      </c>
      <c r="AN6249">
        <v>0.99999999193132005</v>
      </c>
    </row>
    <row r="6250" spans="1:40" x14ac:dyDescent="0.3">
      <c r="A6250" t="str">
        <f>"20200111160627458"</f>
        <v>20200111160627458</v>
      </c>
      <c r="B6250" t="str">
        <f>"1578729987448615"</f>
        <v>1578729987448615</v>
      </c>
      <c r="C6250" t="s">
        <v>40</v>
      </c>
      <c r="D6250">
        <v>5.5431019999999904</v>
      </c>
      <c r="E6250">
        <v>0.50520399999999999</v>
      </c>
      <c r="F6250" t="s">
        <v>42</v>
      </c>
      <c r="G6250">
        <v>-193.57210000000001</v>
      </c>
      <c r="H6250">
        <v>1.0033559999999999</v>
      </c>
      <c r="I6250">
        <v>-40.571080000000002</v>
      </c>
      <c r="J6250">
        <v>-193.5401</v>
      </c>
      <c r="K6250">
        <v>1.1135630000000001</v>
      </c>
      <c r="L6250">
        <v>-41.094569999999997</v>
      </c>
      <c r="M6250">
        <v>-6.6206169999999995E-2</v>
      </c>
      <c r="N6250">
        <v>0</v>
      </c>
      <c r="O6250">
        <v>0.99768880000000004</v>
      </c>
      <c r="P6250">
        <v>-8.0322450000000004E-2</v>
      </c>
      <c r="Q6250">
        <v>-7.8708769999999997E-2</v>
      </c>
      <c r="R6250">
        <v>0.99365650000000005</v>
      </c>
      <c r="S6250">
        <v>-0.19584660000000001</v>
      </c>
      <c r="T6250">
        <v>-0.42160989999999998</v>
      </c>
      <c r="U6250">
        <v>2.9697269999999998</v>
      </c>
      <c r="V6250">
        <v>-1.381348E-2</v>
      </c>
      <c r="W6250">
        <v>-6.3580269999999994E-2</v>
      </c>
      <c r="X6250">
        <v>0.99788109999999997</v>
      </c>
      <c r="Y6250">
        <v>1.059138E-3</v>
      </c>
      <c r="Z6250">
        <v>-0.13995150000000001</v>
      </c>
      <c r="AA6250">
        <v>0.99015779999999998</v>
      </c>
      <c r="AB6250">
        <v>29</v>
      </c>
      <c r="AC6250">
        <v>-3.2000000000010603E-2</v>
      </c>
      <c r="AD6250">
        <v>-0.110206999999999</v>
      </c>
      <c r="AE6250">
        <v>0.52349000000000201</v>
      </c>
      <c r="AF6250">
        <v>2.61699199938483E-3</v>
      </c>
      <c r="AG6250">
        <v>-0.110206999999999</v>
      </c>
      <c r="AH6250">
        <v>0.50228167590189698</v>
      </c>
      <c r="AI6250">
        <v>102.375157754905</v>
      </c>
      <c r="AJ6250">
        <v>89.701479773190599</v>
      </c>
      <c r="AK6250">
        <v>0.51423663175909895</v>
      </c>
      <c r="AL6250">
        <v>93.645340054388996</v>
      </c>
      <c r="AM6250">
        <v>90.793084022217599</v>
      </c>
      <c r="AN6250">
        <v>0.99999997635009596</v>
      </c>
    </row>
    <row r="6251" spans="1:40" x14ac:dyDescent="0.3">
      <c r="A6251" t="str">
        <f>"20200111160627479"</f>
        <v>20200111160627479</v>
      </c>
      <c r="B6251" t="str">
        <f>"1578729987468135"</f>
        <v>1578729987468135</v>
      </c>
      <c r="C6251" t="s">
        <v>40</v>
      </c>
      <c r="D6251">
        <v>6.2648539999999997</v>
      </c>
      <c r="E6251">
        <v>0.50603370000000003</v>
      </c>
      <c r="F6251" t="s">
        <v>42</v>
      </c>
      <c r="G6251">
        <v>-193.59360000000001</v>
      </c>
      <c r="H6251">
        <v>1.037104</v>
      </c>
      <c r="I6251">
        <v>-40.294629999999998</v>
      </c>
      <c r="J6251">
        <v>-193.5607</v>
      </c>
      <c r="K6251">
        <v>1.1124830000000001</v>
      </c>
      <c r="L6251">
        <v>-40.815489999999997</v>
      </c>
      <c r="M6251">
        <v>-6.719464E-2</v>
      </c>
      <c r="N6251">
        <v>0</v>
      </c>
      <c r="O6251">
        <v>0.99762470000000003</v>
      </c>
      <c r="P6251">
        <v>-8.1987569999999996E-2</v>
      </c>
      <c r="Q6251">
        <v>-7.4108800000000002E-2</v>
      </c>
      <c r="R6251">
        <v>0.99387420000000004</v>
      </c>
      <c r="S6251">
        <v>-0.19960020000000001</v>
      </c>
      <c r="T6251">
        <v>-0.2848214</v>
      </c>
      <c r="U6251">
        <v>2.9804689999999998</v>
      </c>
      <c r="V6251">
        <v>-1.467214E-2</v>
      </c>
      <c r="W6251">
        <v>-5.9069000000000003E-2</v>
      </c>
      <c r="X6251">
        <v>0.99814610000000004</v>
      </c>
      <c r="Y6251">
        <v>6.8449769999999997E-4</v>
      </c>
      <c r="Z6251">
        <v>-9.4702739999999994E-2</v>
      </c>
      <c r="AA6251">
        <v>0.99550530000000004</v>
      </c>
      <c r="AB6251">
        <v>29</v>
      </c>
      <c r="AC6251">
        <v>-3.29000000000121E-2</v>
      </c>
      <c r="AD6251">
        <v>-7.5378999999999793E-2</v>
      </c>
      <c r="AE6251">
        <v>0.52086000000000598</v>
      </c>
      <c r="AF6251">
        <v>2.1329038745206601E-3</v>
      </c>
      <c r="AG6251">
        <v>-7.5378999999999793E-2</v>
      </c>
      <c r="AH6251">
        <v>0.51122887796045702</v>
      </c>
      <c r="AI6251">
        <v>98.387564984210599</v>
      </c>
      <c r="AJ6251">
        <v>89.760957007065699</v>
      </c>
      <c r="AK6251">
        <v>0.51676059116446305</v>
      </c>
      <c r="AL6251">
        <v>93.386375516691103</v>
      </c>
      <c r="AM6251">
        <v>90.842152425528596</v>
      </c>
      <c r="AN6251">
        <v>1.0000000276991901</v>
      </c>
    </row>
    <row r="6252" spans="1:40" x14ac:dyDescent="0.3">
      <c r="A6252" t="str">
        <f>"20200111160627503"</f>
        <v>20200111160627503</v>
      </c>
      <c r="B6252" t="str">
        <f>"1578729987498391"</f>
        <v>1578729987498391</v>
      </c>
      <c r="C6252" t="s">
        <v>40</v>
      </c>
      <c r="D6252">
        <v>5.5398300000000003</v>
      </c>
      <c r="E6252">
        <v>0.50741289999999994</v>
      </c>
      <c r="F6252" t="s">
        <v>41</v>
      </c>
      <c r="G6252">
        <v>-194.47110000000001</v>
      </c>
      <c r="H6252" s="1">
        <v>-2.618086E-6</v>
      </c>
      <c r="I6252">
        <v>-27.081189999999999</v>
      </c>
      <c r="J6252">
        <v>-193.58189999999999</v>
      </c>
      <c r="K6252">
        <v>1.1113150000000001</v>
      </c>
      <c r="L6252">
        <v>-40.512970000000003</v>
      </c>
      <c r="M6252">
        <v>-6.7040890000000006E-2</v>
      </c>
      <c r="N6252">
        <v>0</v>
      </c>
      <c r="O6252">
        <v>0.99763670000000004</v>
      </c>
      <c r="P6252">
        <v>-8.1382830000000003E-2</v>
      </c>
      <c r="Q6252">
        <v>-6.9131429999999994E-2</v>
      </c>
      <c r="R6252">
        <v>0.99428249999999996</v>
      </c>
      <c r="S6252">
        <v>-0.19783020000000001</v>
      </c>
      <c r="T6252">
        <v>-0.24171860000000001</v>
      </c>
      <c r="U6252">
        <v>2.9841609999999998</v>
      </c>
      <c r="V6252">
        <v>-1.4383440000000001E-2</v>
      </c>
      <c r="W6252">
        <v>-5.4154569999999999E-2</v>
      </c>
      <c r="X6252">
        <v>0.99842889999999995</v>
      </c>
      <c r="Y6252">
        <v>1.1167729999999999E-3</v>
      </c>
      <c r="Z6252">
        <v>-8.0376710000000004E-2</v>
      </c>
      <c r="AA6252">
        <v>0.99676390000000004</v>
      </c>
      <c r="AB6252">
        <v>29</v>
      </c>
      <c r="AC6252">
        <v>-0.88920000000001598</v>
      </c>
      <c r="AD6252">
        <v>-1.1113176180859901</v>
      </c>
      <c r="AE6252">
        <v>13.4317799999999</v>
      </c>
      <c r="AF6252">
        <v>1.3290861163989301E-2</v>
      </c>
      <c r="AG6252">
        <v>-1.1113176180859901</v>
      </c>
      <c r="AH6252">
        <v>13.370048070703</v>
      </c>
      <c r="AI6252">
        <v>94.751497028020196</v>
      </c>
      <c r="AJ6252">
        <v>89.943043585488596</v>
      </c>
      <c r="AK6252">
        <v>13.4161614818908</v>
      </c>
      <c r="AL6252">
        <v>93.104347130445603</v>
      </c>
      <c r="AM6252">
        <v>90.825350110966099</v>
      </c>
      <c r="AN6252">
        <v>0.99999993457666203</v>
      </c>
    </row>
    <row r="6253" spans="1:40" x14ac:dyDescent="0.3">
      <c r="A6253" t="str">
        <f>"20200111160627659"</f>
        <v>20200111160627659</v>
      </c>
      <c r="B6253" t="str">
        <f>"1578729987648695"</f>
        <v>1578729987648695</v>
      </c>
      <c r="C6253" t="s">
        <v>40</v>
      </c>
      <c r="D6253">
        <v>5.4840210000000003</v>
      </c>
      <c r="E6253">
        <v>0.50829179999999996</v>
      </c>
      <c r="F6253" t="s">
        <v>41</v>
      </c>
      <c r="G6253">
        <v>-194.47819999999999</v>
      </c>
      <c r="H6253" s="1">
        <v>-3.0591070000000001E-6</v>
      </c>
      <c r="I6253">
        <v>-26.05753</v>
      </c>
      <c r="J6253">
        <v>-193.67920000000001</v>
      </c>
      <c r="K6253">
        <v>1.1069180000000001</v>
      </c>
      <c r="L6253">
        <v>-38.49823</v>
      </c>
      <c r="M6253">
        <v>-4.2979290000000003E-2</v>
      </c>
      <c r="N6253">
        <v>0</v>
      </c>
      <c r="O6253">
        <v>0.9989692</v>
      </c>
      <c r="P6253">
        <v>-1.9867719999999998E-2</v>
      </c>
      <c r="Q6253">
        <v>-6.7333080000000003E-2</v>
      </c>
      <c r="R6253">
        <v>0.99753270000000005</v>
      </c>
      <c r="S6253">
        <v>-0.18515010000000001</v>
      </c>
      <c r="T6253">
        <v>-0.2295691</v>
      </c>
      <c r="U6253">
        <v>2.9861149999999999</v>
      </c>
      <c r="V6253">
        <v>2.2596330000000001E-2</v>
      </c>
      <c r="W6253">
        <v>-5.294331E-2</v>
      </c>
      <c r="X6253">
        <v>0.9983419</v>
      </c>
      <c r="Y6253">
        <v>-1.8744819999999999E-2</v>
      </c>
      <c r="Z6253">
        <v>-7.6466989999999999E-2</v>
      </c>
      <c r="AA6253">
        <v>0.99689589999999995</v>
      </c>
      <c r="AB6253">
        <v>29</v>
      </c>
      <c r="AC6253">
        <v>-0.79899999999997795</v>
      </c>
      <c r="AD6253">
        <v>-1.106921059107</v>
      </c>
      <c r="AE6253">
        <v>12.4407</v>
      </c>
      <c r="AF6253">
        <v>-0.26145072324993501</v>
      </c>
      <c r="AG6253">
        <v>-1.106921059107</v>
      </c>
      <c r="AH6253">
        <v>12.3660499626481</v>
      </c>
      <c r="AI6253">
        <v>95.113942324102595</v>
      </c>
      <c r="AJ6253">
        <v>91.211202571624199</v>
      </c>
      <c r="AK6253">
        <v>12.4182455439765</v>
      </c>
      <c r="AL6253">
        <v>93.034846911626104</v>
      </c>
      <c r="AM6253">
        <v>88.703396776368294</v>
      </c>
      <c r="AN6253">
        <v>1.0000000687494099</v>
      </c>
    </row>
    <row r="6254" spans="1:40" x14ac:dyDescent="0.3">
      <c r="A6254" t="str">
        <f>"20200111160627680"</f>
        <v>20200111160627680</v>
      </c>
      <c r="B6254" t="str">
        <f>"1578729987668218"</f>
        <v>1578729987668218</v>
      </c>
      <c r="C6254" t="s">
        <v>40</v>
      </c>
      <c r="D6254">
        <v>5.4907859999999999</v>
      </c>
      <c r="E6254">
        <v>0.50929530000000001</v>
      </c>
      <c r="F6254" t="s">
        <v>41</v>
      </c>
      <c r="G6254">
        <v>-193.64449999999999</v>
      </c>
      <c r="H6254" s="1">
        <v>-4.2562440000000004E-6</v>
      </c>
      <c r="I6254">
        <v>-22.405750000000001</v>
      </c>
      <c r="J6254">
        <v>-193.68610000000001</v>
      </c>
      <c r="K6254">
        <v>1.1066689999999999</v>
      </c>
      <c r="L6254">
        <v>-38.223570000000002</v>
      </c>
      <c r="M6254">
        <v>-3.8214560000000002E-2</v>
      </c>
      <c r="N6254">
        <v>0</v>
      </c>
      <c r="O6254">
        <v>0.99916329999999998</v>
      </c>
      <c r="P6254">
        <v>-1.0262169999999999E-2</v>
      </c>
      <c r="Q6254">
        <v>-6.9755460000000005E-2</v>
      </c>
      <c r="R6254">
        <v>0.99751129999999999</v>
      </c>
      <c r="S6254">
        <v>6.4392090000000004E-3</v>
      </c>
      <c r="T6254">
        <v>-0.20591860000000001</v>
      </c>
      <c r="U6254">
        <v>2.993652</v>
      </c>
      <c r="V6254">
        <v>2.73837E-2</v>
      </c>
      <c r="W6254">
        <v>-5.5459029999999999E-2</v>
      </c>
      <c r="X6254">
        <v>0.99808540000000001</v>
      </c>
      <c r="Y6254">
        <v>4.0362820000000001E-2</v>
      </c>
      <c r="Z6254">
        <v>-6.8519750000000004E-2</v>
      </c>
      <c r="AA6254">
        <v>0.99683290000000002</v>
      </c>
      <c r="AB6254">
        <v>29</v>
      </c>
      <c r="AC6254">
        <v>4.16000000000167E-2</v>
      </c>
      <c r="AD6254">
        <v>-1.106673256244</v>
      </c>
      <c r="AE6254">
        <v>15.817819999999999</v>
      </c>
      <c r="AF6254">
        <v>0.64295762353206198</v>
      </c>
      <c r="AG6254">
        <v>-1.106673256244</v>
      </c>
      <c r="AH6254">
        <v>15.7276883943165</v>
      </c>
      <c r="AI6254">
        <v>94.021615249057604</v>
      </c>
      <c r="AJ6254">
        <v>87.6590166390571</v>
      </c>
      <c r="AK6254">
        <v>15.7796800484186</v>
      </c>
      <c r="AL6254">
        <v>93.179199431678796</v>
      </c>
      <c r="AM6254">
        <v>88.4284141055833</v>
      </c>
      <c r="AN6254">
        <v>1.0000000183636899</v>
      </c>
    </row>
    <row r="6255" spans="1:40" x14ac:dyDescent="0.3">
      <c r="A6255" t="str">
        <f>"20200111160627703"</f>
        <v>20200111160627703</v>
      </c>
      <c r="B6255" t="str">
        <f>"1578729987698471"</f>
        <v>1578729987698471</v>
      </c>
      <c r="C6255" t="s">
        <v>40</v>
      </c>
      <c r="D6255">
        <v>5.4934479999999999</v>
      </c>
      <c r="E6255">
        <v>0.50924269999999905</v>
      </c>
      <c r="F6255" t="s">
        <v>42</v>
      </c>
      <c r="G6255">
        <v>-193.6748</v>
      </c>
      <c r="H6255">
        <v>1.045585</v>
      </c>
      <c r="I6255">
        <v>-37.443739999999998</v>
      </c>
      <c r="J6255">
        <v>-193.69200000000001</v>
      </c>
      <c r="K6255">
        <v>1.1064590000000001</v>
      </c>
      <c r="L6255">
        <v>-37.928040000000003</v>
      </c>
      <c r="M6255">
        <v>-3.2929340000000001E-2</v>
      </c>
      <c r="N6255">
        <v>0</v>
      </c>
      <c r="O6255">
        <v>0.99935189999999996</v>
      </c>
      <c r="P6255">
        <v>-1.9201489999999999E-3</v>
      </c>
      <c r="Q6255">
        <v>-7.2346610000000006E-2</v>
      </c>
      <c r="R6255">
        <v>0.99737770000000003</v>
      </c>
      <c r="S6255">
        <v>4.2724610000000003E-2</v>
      </c>
      <c r="T6255">
        <v>-0.23401189999999999</v>
      </c>
      <c r="U6255">
        <v>2.9915470000000002</v>
      </c>
      <c r="V6255">
        <v>3.0389880000000001E-2</v>
      </c>
      <c r="W6255">
        <v>-5.8126650000000002E-2</v>
      </c>
      <c r="X6255">
        <v>0.99784649999999997</v>
      </c>
      <c r="Y6255">
        <v>4.7158600000000002E-2</v>
      </c>
      <c r="Z6255">
        <v>-7.7875390000000003E-2</v>
      </c>
      <c r="AA6255">
        <v>0.99584709999999999</v>
      </c>
      <c r="AB6255">
        <v>29</v>
      </c>
      <c r="AC6255">
        <v>1.7200000000002501E-2</v>
      </c>
      <c r="AD6255">
        <v>-6.0874000000000102E-2</v>
      </c>
      <c r="AE6255">
        <v>0.48429999999999701</v>
      </c>
      <c r="AF6255">
        <v>3.2625232943578102E-2</v>
      </c>
      <c r="AG6255">
        <v>-6.0874000000000102E-2</v>
      </c>
      <c r="AH6255">
        <v>0.47596053878126798</v>
      </c>
      <c r="AI6255">
        <v>97.271519203286303</v>
      </c>
      <c r="AJ6255">
        <v>86.078732228666496</v>
      </c>
      <c r="AK6255">
        <v>0.48094540664983698</v>
      </c>
      <c r="AL6255">
        <v>93.332290177675603</v>
      </c>
      <c r="AM6255">
        <v>88.255569550930801</v>
      </c>
      <c r="AN6255">
        <v>0.999999944904441</v>
      </c>
    </row>
    <row r="6256" spans="1:40" x14ac:dyDescent="0.3">
      <c r="A6256" t="str">
        <f>"20200111160627724"</f>
        <v>20200111160627724</v>
      </c>
      <c r="B6256" t="str">
        <f>"1578729987718967"</f>
        <v>1578729987718967</v>
      </c>
      <c r="C6256" t="s">
        <v>40</v>
      </c>
      <c r="D6256">
        <v>5.499924</v>
      </c>
      <c r="E6256">
        <v>0.5087372</v>
      </c>
      <c r="F6256" t="s">
        <v>42</v>
      </c>
      <c r="G6256">
        <v>-193.6754</v>
      </c>
      <c r="H6256">
        <v>1.041814</v>
      </c>
      <c r="I6256">
        <v>-37.189630000000001</v>
      </c>
      <c r="J6256">
        <v>-193.69569999999999</v>
      </c>
      <c r="K6256">
        <v>1.10632</v>
      </c>
      <c r="L6256">
        <v>-37.652340000000002</v>
      </c>
      <c r="M6256">
        <v>-2.7883430000000001E-2</v>
      </c>
      <c r="N6256">
        <v>0</v>
      </c>
      <c r="O6256">
        <v>0.9995058</v>
      </c>
      <c r="P6256">
        <v>4.8119060000000003E-3</v>
      </c>
      <c r="Q6256">
        <v>-7.3279410000000003E-2</v>
      </c>
      <c r="R6256">
        <v>0.99729979999999996</v>
      </c>
      <c r="S6256">
        <v>6.692505E-2</v>
      </c>
      <c r="T6256">
        <v>-0.26157150000000001</v>
      </c>
      <c r="U6256">
        <v>2.9890439999999998</v>
      </c>
      <c r="V6256">
        <v>3.2055199999999999E-2</v>
      </c>
      <c r="W6256">
        <v>-5.9111650000000002E-2</v>
      </c>
      <c r="X6256">
        <v>0.99773659999999997</v>
      </c>
      <c r="Y6256">
        <v>5.0170090000000001E-2</v>
      </c>
      <c r="Z6256">
        <v>-8.706034E-2</v>
      </c>
      <c r="AA6256">
        <v>0.99493889999999996</v>
      </c>
      <c r="AB6256">
        <v>29</v>
      </c>
      <c r="AC6256">
        <v>2.02999999999917E-2</v>
      </c>
      <c r="AD6256">
        <v>-6.4505999999999897E-2</v>
      </c>
      <c r="AE6256">
        <v>0.46271000000000101</v>
      </c>
      <c r="AF6256">
        <v>3.2563748831427902E-2</v>
      </c>
      <c r="AG6256">
        <v>-6.4505999999999897E-2</v>
      </c>
      <c r="AH6256">
        <v>0.45317349366002901</v>
      </c>
      <c r="AI6256">
        <v>98.080663035822894</v>
      </c>
      <c r="AJ6256">
        <v>85.889953735900804</v>
      </c>
      <c r="AK6256">
        <v>0.45889828625741502</v>
      </c>
      <c r="AL6256">
        <v>93.388823475012302</v>
      </c>
      <c r="AM6256">
        <v>88.159838840989494</v>
      </c>
      <c r="AN6256">
        <v>1.0000000229961601</v>
      </c>
    </row>
    <row r="6257" spans="1:40" x14ac:dyDescent="0.3">
      <c r="A6257" t="str">
        <f>"20200111160627748"</f>
        <v>20200111160627748</v>
      </c>
      <c r="B6257" t="str">
        <f>"1578729987738487"</f>
        <v>1578729987738487</v>
      </c>
      <c r="C6257" t="s">
        <v>40</v>
      </c>
      <c r="D6257">
        <v>5.479895</v>
      </c>
      <c r="E6257">
        <v>0.50812800000000002</v>
      </c>
      <c r="F6257" t="s">
        <v>42</v>
      </c>
      <c r="G6257">
        <v>-193.6688</v>
      </c>
      <c r="H6257">
        <v>1.018151</v>
      </c>
      <c r="I6257">
        <v>-36.687930000000001</v>
      </c>
      <c r="J6257">
        <v>-193.69800000000001</v>
      </c>
      <c r="K6257">
        <v>1.1062430000000001</v>
      </c>
      <c r="L6257">
        <v>-37.356479999999998</v>
      </c>
      <c r="M6257">
        <v>-2.2395979999999999E-2</v>
      </c>
      <c r="N6257">
        <v>0</v>
      </c>
      <c r="O6257">
        <v>0.99964410000000004</v>
      </c>
      <c r="P6257">
        <v>9.9934589999999997E-3</v>
      </c>
      <c r="Q6257">
        <v>-7.2350929999999994E-2</v>
      </c>
      <c r="R6257">
        <v>0.99732920000000003</v>
      </c>
      <c r="S6257">
        <v>8.2885739999999999E-2</v>
      </c>
      <c r="T6257">
        <v>-0.27289059999999998</v>
      </c>
      <c r="U6257">
        <v>2.9876710000000002</v>
      </c>
      <c r="V6257">
        <v>3.1759780000000001E-2</v>
      </c>
      <c r="W6257">
        <v>-5.8209200000000003E-2</v>
      </c>
      <c r="X6257">
        <v>0.99779910000000005</v>
      </c>
      <c r="Y6257">
        <v>4.9999920000000003E-2</v>
      </c>
      <c r="Z6257">
        <v>-9.0851829999999995E-2</v>
      </c>
      <c r="AA6257">
        <v>0.99460850000000001</v>
      </c>
      <c r="AB6257">
        <v>29</v>
      </c>
      <c r="AC6257">
        <v>2.91999999999745E-2</v>
      </c>
      <c r="AD6257">
        <v>-8.8092000000000004E-2</v>
      </c>
      <c r="AE6257">
        <v>0.66854999999999598</v>
      </c>
      <c r="AF6257">
        <v>4.3414739122909399E-2</v>
      </c>
      <c r="AG6257">
        <v>-8.8092000000000004E-2</v>
      </c>
      <c r="AH6257">
        <v>0.65635418142829705</v>
      </c>
      <c r="AI6257">
        <v>97.627750230258201</v>
      </c>
      <c r="AJ6257">
        <v>86.215666568766807</v>
      </c>
      <c r="AK6257">
        <v>0.66366094620334504</v>
      </c>
      <c r="AL6257">
        <v>93.337027718041099</v>
      </c>
      <c r="AM6257">
        <v>88.176900350830707</v>
      </c>
      <c r="AN6257">
        <v>1.0000000192755401</v>
      </c>
    </row>
    <row r="6258" spans="1:40" x14ac:dyDescent="0.3">
      <c r="A6258" t="str">
        <f>"20200111160627769"</f>
        <v>20200111160627769</v>
      </c>
      <c r="B6258" t="str">
        <f>"1578729987758983"</f>
        <v>1578729987758983</v>
      </c>
      <c r="C6258" t="s">
        <v>40</v>
      </c>
      <c r="D6258">
        <v>5.4425220000000003</v>
      </c>
      <c r="E6258">
        <v>0.50750299999999904</v>
      </c>
      <c r="F6258" t="s">
        <v>42</v>
      </c>
      <c r="G6258">
        <v>-193.66890000000001</v>
      </c>
      <c r="H6258">
        <v>1.019995</v>
      </c>
      <c r="I6258">
        <v>-36.430500000000002</v>
      </c>
      <c r="J6258">
        <v>-193.6987</v>
      </c>
      <c r="K6258">
        <v>1.1062160000000001</v>
      </c>
      <c r="L6258">
        <v>-37.081940000000003</v>
      </c>
      <c r="M6258">
        <v>-1.7269429999999999E-2</v>
      </c>
      <c r="N6258">
        <v>0</v>
      </c>
      <c r="O6258">
        <v>0.99974609999999997</v>
      </c>
      <c r="P6258">
        <v>1.214228E-2</v>
      </c>
      <c r="Q6258">
        <v>-6.9676650000000007E-2</v>
      </c>
      <c r="R6258">
        <v>0.99749569999999999</v>
      </c>
      <c r="S6258">
        <v>9.3627929999999998E-2</v>
      </c>
      <c r="T6258">
        <v>-0.2780801</v>
      </c>
      <c r="U6258">
        <v>2.9869080000000001</v>
      </c>
      <c r="V6258">
        <v>2.8819259999999999E-2</v>
      </c>
      <c r="W6258">
        <v>-5.5524339999999998E-2</v>
      </c>
      <c r="X6258">
        <v>0.99804130000000002</v>
      </c>
      <c r="Y6258">
        <v>4.8454110000000002E-2</v>
      </c>
      <c r="Z6258">
        <v>-9.2601020000000006E-2</v>
      </c>
      <c r="AA6258">
        <v>0.99452359999999995</v>
      </c>
      <c r="AB6258">
        <v>29</v>
      </c>
      <c r="AC6258">
        <v>2.97999999999944E-2</v>
      </c>
      <c r="AD6258">
        <v>-8.6221000000000103E-2</v>
      </c>
      <c r="AE6258">
        <v>0.65144000000000002</v>
      </c>
      <c r="AF6258">
        <v>4.0341516028711298E-2</v>
      </c>
      <c r="AG6258">
        <v>-8.6221000000000103E-2</v>
      </c>
      <c r="AH6258">
        <v>0.639646409096291</v>
      </c>
      <c r="AI6258">
        <v>97.661858402502702</v>
      </c>
      <c r="AJ6258">
        <v>86.391222966704404</v>
      </c>
      <c r="AK6258">
        <v>0.64669082831463898</v>
      </c>
      <c r="AL6258">
        <v>93.182947350063898</v>
      </c>
      <c r="AM6258">
        <v>88.345997044998299</v>
      </c>
      <c r="AN6258">
        <v>0.99999996929253598</v>
      </c>
    </row>
    <row r="6259" spans="1:40" x14ac:dyDescent="0.3">
      <c r="A6259" t="str">
        <f>"20200111160627792"</f>
        <v>20200111160627792</v>
      </c>
      <c r="B6259" t="str">
        <f>"1578729987788263"</f>
        <v>1578729987788263</v>
      </c>
      <c r="C6259" t="s">
        <v>40</v>
      </c>
      <c r="D6259">
        <v>5.5509890000000004</v>
      </c>
      <c r="E6259">
        <v>0.50641270000000005</v>
      </c>
      <c r="F6259" t="s">
        <v>42</v>
      </c>
      <c r="G6259">
        <v>-193.66970000000001</v>
      </c>
      <c r="H6259">
        <v>1.022122</v>
      </c>
      <c r="I6259">
        <v>-36.173250000000003</v>
      </c>
      <c r="J6259">
        <v>-193.6978</v>
      </c>
      <c r="K6259">
        <v>1.106225</v>
      </c>
      <c r="L6259">
        <v>-36.789949999999997</v>
      </c>
      <c r="M6259">
        <v>-1.181039E-2</v>
      </c>
      <c r="N6259">
        <v>0</v>
      </c>
      <c r="O6259">
        <v>0.99982570000000004</v>
      </c>
      <c r="P6259">
        <v>1.4019520000000001E-2</v>
      </c>
      <c r="Q6259">
        <v>-6.599642E-2</v>
      </c>
      <c r="R6259">
        <v>0.99772139999999998</v>
      </c>
      <c r="S6259">
        <v>9.4711299999999998E-2</v>
      </c>
      <c r="T6259">
        <v>-0.27617340000000001</v>
      </c>
      <c r="U6259">
        <v>2.9870909999999999</v>
      </c>
      <c r="V6259">
        <v>2.52888E-2</v>
      </c>
      <c r="W6259">
        <v>-5.1823290000000001E-2</v>
      </c>
      <c r="X6259">
        <v>0.998336</v>
      </c>
      <c r="Y6259">
        <v>4.3360030000000001E-2</v>
      </c>
      <c r="Z6259">
        <v>-9.198713E-2</v>
      </c>
      <c r="AA6259">
        <v>0.99481569999999997</v>
      </c>
      <c r="AB6259">
        <v>28</v>
      </c>
      <c r="AC6259">
        <v>2.80999999999949E-2</v>
      </c>
      <c r="AD6259">
        <v>-8.4102999999999997E-2</v>
      </c>
      <c r="AE6259">
        <v>0.61669999999999403</v>
      </c>
      <c r="AF6259">
        <v>3.4737545364521401E-2</v>
      </c>
      <c r="AG6259">
        <v>-8.4102999999999997E-2</v>
      </c>
      <c r="AH6259">
        <v>0.60509461049439395</v>
      </c>
      <c r="AI6259">
        <v>97.900086907331399</v>
      </c>
      <c r="AJ6259">
        <v>86.7143443265511</v>
      </c>
      <c r="AK6259">
        <v>0.61189827530098095</v>
      </c>
      <c r="AL6259">
        <v>92.970586552345296</v>
      </c>
      <c r="AM6259">
        <v>88.548953738663897</v>
      </c>
      <c r="AN6259">
        <v>0.99999997284393105</v>
      </c>
    </row>
    <row r="6260" spans="1:40" x14ac:dyDescent="0.3">
      <c r="A6260" t="str">
        <f>"20200111160627814"</f>
        <v>20200111160627814</v>
      </c>
      <c r="B6260" t="str">
        <f>"1578729987808759"</f>
        <v>1578729987808759</v>
      </c>
      <c r="C6260" t="s">
        <v>40</v>
      </c>
      <c r="D6260">
        <v>5.468839</v>
      </c>
      <c r="E6260">
        <v>0.50586690000000001</v>
      </c>
      <c r="F6260" t="s">
        <v>42</v>
      </c>
      <c r="G6260">
        <v>-193.6711</v>
      </c>
      <c r="H6260">
        <v>1.0261480000000001</v>
      </c>
      <c r="I6260">
        <v>-35.91534</v>
      </c>
      <c r="J6260">
        <v>-193.69560000000001</v>
      </c>
      <c r="K6260">
        <v>1.106255</v>
      </c>
      <c r="L6260">
        <v>-36.513550000000002</v>
      </c>
      <c r="M6260">
        <v>-6.6620550000000001E-3</v>
      </c>
      <c r="N6260">
        <v>0</v>
      </c>
      <c r="O6260">
        <v>0.99987349999999997</v>
      </c>
      <c r="P6260">
        <v>1.3809899999999899E-2</v>
      </c>
      <c r="Q6260">
        <v>-6.3794069999999994E-2</v>
      </c>
      <c r="R6260">
        <v>0.99786750000000002</v>
      </c>
      <c r="S6260">
        <v>9.1354370000000004E-2</v>
      </c>
      <c r="T6260">
        <v>-0.27361210000000002</v>
      </c>
      <c r="U6260">
        <v>2.987457</v>
      </c>
      <c r="V6260">
        <v>1.9966589999999999E-2</v>
      </c>
      <c r="W6260">
        <v>-4.9579209999999999E-2</v>
      </c>
      <c r="X6260">
        <v>0.99857059999999997</v>
      </c>
      <c r="Y6260">
        <v>3.7096730000000001E-2</v>
      </c>
      <c r="Z6260">
        <v>-9.1149670000000002E-2</v>
      </c>
      <c r="AA6260">
        <v>0.99514599999999998</v>
      </c>
      <c r="AB6260">
        <v>28</v>
      </c>
      <c r="AC6260">
        <v>2.4500000000017501E-2</v>
      </c>
      <c r="AD6260">
        <v>-8.0106999999999901E-2</v>
      </c>
      <c r="AE6260">
        <v>0.59821000000000102</v>
      </c>
      <c r="AF6260">
        <v>2.7984201830925599E-2</v>
      </c>
      <c r="AG6260">
        <v>-8.0106999999999901E-2</v>
      </c>
      <c r="AH6260">
        <v>0.58751567741019495</v>
      </c>
      <c r="AI6260">
        <v>97.755640325961394</v>
      </c>
      <c r="AJ6260">
        <v>87.272982129532906</v>
      </c>
      <c r="AK6260">
        <v>0.59361175713076497</v>
      </c>
      <c r="AL6260">
        <v>92.841844543427001</v>
      </c>
      <c r="AM6260">
        <v>88.854513726954593</v>
      </c>
      <c r="AN6260">
        <v>1.0000000029824001</v>
      </c>
    </row>
    <row r="6261" spans="1:40" x14ac:dyDescent="0.3">
      <c r="A6261" t="str">
        <f>"20200111160627839"</f>
        <v>20200111160627839</v>
      </c>
      <c r="B6261" t="str">
        <f>"1578729987828278"</f>
        <v>1578729987828278</v>
      </c>
      <c r="C6261" t="s">
        <v>40</v>
      </c>
      <c r="D6261">
        <v>5.4040800000000004</v>
      </c>
      <c r="E6261">
        <v>0.50530730000000001</v>
      </c>
      <c r="F6261" t="s">
        <v>42</v>
      </c>
      <c r="G6261">
        <v>-193.67080000000001</v>
      </c>
      <c r="H6261">
        <v>1.0284899999999999</v>
      </c>
      <c r="I6261">
        <v>-35.658549999999998</v>
      </c>
      <c r="J6261">
        <v>-193.69139999999999</v>
      </c>
      <c r="K6261">
        <v>1.1062940000000001</v>
      </c>
      <c r="L6261">
        <v>-36.201419999999999</v>
      </c>
      <c r="M6261">
        <v>-8.9579149999999903E-4</v>
      </c>
      <c r="N6261">
        <v>0</v>
      </c>
      <c r="O6261">
        <v>0.9998956</v>
      </c>
      <c r="P6261">
        <v>1.326725E-2</v>
      </c>
      <c r="Q6261">
        <v>-6.2496919999999997E-2</v>
      </c>
      <c r="R6261">
        <v>0.99795699999999998</v>
      </c>
      <c r="S6261">
        <v>8.6227419999999999E-2</v>
      </c>
      <c r="T6261">
        <v>-0.27161220000000003</v>
      </c>
      <c r="U6261">
        <v>2.987854</v>
      </c>
      <c r="V6261">
        <v>1.368576E-2</v>
      </c>
      <c r="W6261">
        <v>-4.8231980000000001E-2</v>
      </c>
      <c r="X6261">
        <v>0.99874240000000003</v>
      </c>
      <c r="Y6261">
        <v>2.962445E-2</v>
      </c>
      <c r="Z6261">
        <v>-9.0493539999999997E-2</v>
      </c>
      <c r="AA6261">
        <v>0.99545629999999996</v>
      </c>
      <c r="AB6261">
        <v>28</v>
      </c>
      <c r="AC6261">
        <v>2.0599999999973299E-2</v>
      </c>
      <c r="AD6261">
        <v>-7.7804000000000206E-2</v>
      </c>
      <c r="AE6261">
        <v>0.54286999999999996</v>
      </c>
      <c r="AF6261">
        <v>2.0662531055059798E-2</v>
      </c>
      <c r="AG6261">
        <v>-7.7804000000000206E-2</v>
      </c>
      <c r="AH6261">
        <v>0.53194068093305102</v>
      </c>
      <c r="AI6261">
        <v>98.315146146833996</v>
      </c>
      <c r="AJ6261">
        <v>87.775539676711006</v>
      </c>
      <c r="AK6261">
        <v>0.53799748199886499</v>
      </c>
      <c r="AL6261">
        <v>92.764561468897298</v>
      </c>
      <c r="AM6261">
        <v>89.214925476938703</v>
      </c>
      <c r="AN6261">
        <v>1.0000000027396201</v>
      </c>
    </row>
    <row r="6262" spans="1:40" x14ac:dyDescent="0.3">
      <c r="A6262" t="str">
        <f>"20200111160627860"</f>
        <v>20200111160627860</v>
      </c>
      <c r="B6262" t="str">
        <f>"1578729987848776"</f>
        <v>1578729987848776</v>
      </c>
      <c r="C6262" t="s">
        <v>40</v>
      </c>
      <c r="D6262">
        <v>5.3676959999999996</v>
      </c>
      <c r="E6262">
        <v>0.50479779999999996</v>
      </c>
      <c r="F6262" t="s">
        <v>42</v>
      </c>
      <c r="G6262">
        <v>-193.66980000000001</v>
      </c>
      <c r="H6262">
        <v>1.0336639999999999</v>
      </c>
      <c r="I6262">
        <v>-35.400659999999903</v>
      </c>
      <c r="J6262">
        <v>-193.68620000000001</v>
      </c>
      <c r="K6262">
        <v>1.106347</v>
      </c>
      <c r="L6262">
        <v>-35.923549999999999</v>
      </c>
      <c r="M6262">
        <v>4.1802159999999996E-3</v>
      </c>
      <c r="N6262">
        <v>0</v>
      </c>
      <c r="O6262">
        <v>0.99988739999999998</v>
      </c>
      <c r="P6262">
        <v>1.224248E-2</v>
      </c>
      <c r="Q6262">
        <v>-6.009598E-2</v>
      </c>
      <c r="R6262">
        <v>0.99811749999999999</v>
      </c>
      <c r="S6262">
        <v>8.0032350000000002E-2</v>
      </c>
      <c r="T6262">
        <v>-0.27079340000000002</v>
      </c>
      <c r="U6262">
        <v>2.9880979999999999</v>
      </c>
      <c r="V6262">
        <v>7.6218830000000003E-3</v>
      </c>
      <c r="W6262">
        <v>-4.5780800000000003E-2</v>
      </c>
      <c r="X6262">
        <v>0.99892239999999999</v>
      </c>
      <c r="Y6262">
        <v>2.2485519999999998E-2</v>
      </c>
      <c r="Z6262">
        <v>-9.0225540000000007E-2</v>
      </c>
      <c r="AA6262">
        <v>0.99566750000000004</v>
      </c>
      <c r="AB6262">
        <v>28</v>
      </c>
      <c r="AC6262">
        <v>1.6400000000004401E-2</v>
      </c>
      <c r="AD6262">
        <v>-7.2682999999999998E-2</v>
      </c>
      <c r="AE6262">
        <v>0.52289000000000296</v>
      </c>
      <c r="AF6262">
        <v>1.39446668061463E-2</v>
      </c>
      <c r="AG6262">
        <v>-7.2682999999999998E-2</v>
      </c>
      <c r="AH6262">
        <v>0.51305073005775703</v>
      </c>
      <c r="AI6262">
        <v>98.060397593151905</v>
      </c>
      <c r="AJ6262">
        <v>88.443089836146001</v>
      </c>
      <c r="AK6262">
        <v>0.51836119051693297</v>
      </c>
      <c r="AL6262">
        <v>92.623963837929196</v>
      </c>
      <c r="AM6262">
        <v>89.562835658274096</v>
      </c>
      <c r="AN6262">
        <v>0.999999967985432</v>
      </c>
    </row>
    <row r="6263" spans="1:40" x14ac:dyDescent="0.3">
      <c r="A6263" t="str">
        <f>"20200111160627882"</f>
        <v>20200111160627882</v>
      </c>
      <c r="B6263" t="str">
        <f>"1578729987879032"</f>
        <v>1578729987879032</v>
      </c>
      <c r="C6263" t="s">
        <v>40</v>
      </c>
      <c r="D6263">
        <v>5.3097159999999999</v>
      </c>
      <c r="E6263">
        <v>0.50442889999999996</v>
      </c>
      <c r="F6263" t="s">
        <v>42</v>
      </c>
      <c r="G6263">
        <v>-193.667</v>
      </c>
      <c r="H6263">
        <v>1.0365979999999999</v>
      </c>
      <c r="I6263">
        <v>-35.142850000000003</v>
      </c>
      <c r="J6263">
        <v>-193.67930000000001</v>
      </c>
      <c r="K6263">
        <v>1.106406</v>
      </c>
      <c r="L6263">
        <v>-35.633479999999999</v>
      </c>
      <c r="M6263">
        <v>9.4087690000000009E-3</v>
      </c>
      <c r="N6263">
        <v>0</v>
      </c>
      <c r="O6263">
        <v>0.99985210000000002</v>
      </c>
      <c r="P6263">
        <v>1.215725E-2</v>
      </c>
      <c r="Q6263">
        <v>-5.6519390000000003E-2</v>
      </c>
      <c r="R6263">
        <v>0.99832750000000003</v>
      </c>
      <c r="S6263">
        <v>7.2662350000000001E-2</v>
      </c>
      <c r="T6263">
        <v>-0.26670749999999999</v>
      </c>
      <c r="U6263">
        <v>2.9887079999999999</v>
      </c>
      <c r="V6263">
        <v>2.3553049999999998E-3</v>
      </c>
      <c r="W6263">
        <v>-4.2162409999999997E-2</v>
      </c>
      <c r="X6263">
        <v>0.999108</v>
      </c>
      <c r="Y6263">
        <v>1.480092E-2</v>
      </c>
      <c r="Z6263">
        <v>-8.8861419999999997E-2</v>
      </c>
      <c r="AA6263">
        <v>0.99593399999999999</v>
      </c>
      <c r="AB6263">
        <v>28</v>
      </c>
      <c r="AC6263">
        <v>1.23000000000104E-2</v>
      </c>
      <c r="AD6263">
        <v>-6.9807999999999995E-2</v>
      </c>
      <c r="AE6263">
        <v>0.49062999999999501</v>
      </c>
      <c r="AF6263">
        <v>7.5304009322652299E-3</v>
      </c>
      <c r="AG6263">
        <v>-6.9807999999999995E-2</v>
      </c>
      <c r="AH6263">
        <v>0.48099278502438603</v>
      </c>
      <c r="AI6263">
        <v>98.256861256971305</v>
      </c>
      <c r="AJ6263">
        <v>89.103053188116903</v>
      </c>
      <c r="AK6263">
        <v>0.48609044739401702</v>
      </c>
      <c r="AL6263">
        <v>92.4164444332485</v>
      </c>
      <c r="AM6263">
        <v>89.864930732233503</v>
      </c>
      <c r="AN6263">
        <v>1.0000000059713201</v>
      </c>
    </row>
    <row r="6264" spans="1:40" x14ac:dyDescent="0.3">
      <c r="A6264" t="str">
        <f>"20200111160627904"</f>
        <v>20200111160627904</v>
      </c>
      <c r="B6264" t="str">
        <f>"1578729987898552"</f>
        <v>1578729987898552</v>
      </c>
      <c r="C6264" t="s">
        <v>40</v>
      </c>
      <c r="D6264">
        <v>5.2366359999999998</v>
      </c>
      <c r="E6264">
        <v>0.50485389999999997</v>
      </c>
      <c r="F6264" t="s">
        <v>42</v>
      </c>
      <c r="G6264">
        <v>-193.6619</v>
      </c>
      <c r="H6264">
        <v>1.040689</v>
      </c>
      <c r="I6264">
        <v>-34.883989999999997</v>
      </c>
      <c r="J6264">
        <v>-193.67150000000001</v>
      </c>
      <c r="K6264">
        <v>1.106476</v>
      </c>
      <c r="L6264">
        <v>-35.362090000000002</v>
      </c>
      <c r="M6264">
        <v>1.421591E-2</v>
      </c>
      <c r="N6264">
        <v>0</v>
      </c>
      <c r="O6264">
        <v>0.9997954</v>
      </c>
      <c r="P6264">
        <v>1.1569589999999999E-2</v>
      </c>
      <c r="Q6264">
        <v>-5.3389649999999997E-2</v>
      </c>
      <c r="R6264">
        <v>0.99850669999999997</v>
      </c>
      <c r="S6264">
        <v>6.9107059999999998E-2</v>
      </c>
      <c r="T6264">
        <v>-0.26205519999999999</v>
      </c>
      <c r="U6264">
        <v>2.9893489999999998</v>
      </c>
      <c r="V6264">
        <v>-2.9987519999999999E-3</v>
      </c>
      <c r="W6264">
        <v>-3.8991310000000001E-2</v>
      </c>
      <c r="X6264">
        <v>0.99923499999999998</v>
      </c>
      <c r="Y6264">
        <v>8.8074190000000004E-3</v>
      </c>
      <c r="Z6264">
        <v>-8.7301599999999993E-2</v>
      </c>
      <c r="AA6264">
        <v>0.996143</v>
      </c>
      <c r="AB6264">
        <v>28</v>
      </c>
      <c r="AC6264">
        <v>9.6000000000060395E-3</v>
      </c>
      <c r="AD6264">
        <v>-6.5786999999999998E-2</v>
      </c>
      <c r="AE6264">
        <v>0.47809999999999703</v>
      </c>
      <c r="AF6264">
        <v>2.7496582684912699E-3</v>
      </c>
      <c r="AG6264">
        <v>-6.5786999999999998E-2</v>
      </c>
      <c r="AH6264">
        <v>0.46930590134086803</v>
      </c>
      <c r="AI6264">
        <v>97.979553866358202</v>
      </c>
      <c r="AJ6264">
        <v>89.664308480318894</v>
      </c>
      <c r="AK6264">
        <v>0.47390243618592898</v>
      </c>
      <c r="AL6264">
        <v>92.234604076264105</v>
      </c>
      <c r="AM6264">
        <v>90.171946856947102</v>
      </c>
      <c r="AN6264">
        <v>0.99999994999703501</v>
      </c>
    </row>
    <row r="6265" spans="1:40" x14ac:dyDescent="0.3">
      <c r="A6265" t="str">
        <f>"20200111160627926"</f>
        <v>20200111160627926</v>
      </c>
      <c r="B6265" t="str">
        <f>"1578729987919048"</f>
        <v>1578729987919048</v>
      </c>
      <c r="C6265" t="s">
        <v>40</v>
      </c>
      <c r="D6265">
        <v>5.33765</v>
      </c>
      <c r="E6265">
        <v>0.50518640000000004</v>
      </c>
      <c r="F6265" t="s">
        <v>42</v>
      </c>
      <c r="G6265">
        <v>-193.64850000000001</v>
      </c>
      <c r="H6265">
        <v>1.0238370000000001</v>
      </c>
      <c r="I6265">
        <v>-34.387450000000001</v>
      </c>
      <c r="J6265">
        <v>-193.66159999999999</v>
      </c>
      <c r="K6265">
        <v>1.1065700000000001</v>
      </c>
      <c r="L6265">
        <v>-35.067869999999999</v>
      </c>
      <c r="M6265">
        <v>1.9300979999999999E-2</v>
      </c>
      <c r="N6265">
        <v>0</v>
      </c>
      <c r="O6265">
        <v>0.9997104</v>
      </c>
      <c r="P6265">
        <v>1.039179E-2</v>
      </c>
      <c r="Q6265">
        <v>-5.1768979999999999E-2</v>
      </c>
      <c r="R6265">
        <v>0.99860499999999996</v>
      </c>
      <c r="S6265">
        <v>7.0419309999999999E-2</v>
      </c>
      <c r="T6265">
        <v>-0.2534112</v>
      </c>
      <c r="U6265">
        <v>2.9901119999999999</v>
      </c>
      <c r="V6265">
        <v>-9.2334050000000001E-3</v>
      </c>
      <c r="W6265">
        <v>-3.7326419999999999E-2</v>
      </c>
      <c r="X6265">
        <v>0.9992605</v>
      </c>
      <c r="Y6265">
        <v>4.1581400000000003E-3</v>
      </c>
      <c r="Z6265">
        <v>-8.4411490000000006E-2</v>
      </c>
      <c r="AA6265">
        <v>0.99642229999999998</v>
      </c>
      <c r="AB6265">
        <v>28</v>
      </c>
      <c r="AC6265">
        <v>1.30999999999801E-2</v>
      </c>
      <c r="AD6265">
        <v>-8.2732999999999904E-2</v>
      </c>
      <c r="AE6265">
        <v>0.68041999999999703</v>
      </c>
      <c r="AF6265" s="1">
        <v>-3.6037750585268398E-5</v>
      </c>
      <c r="AG6265">
        <v>-8.2732999999999904E-2</v>
      </c>
      <c r="AH6265">
        <v>0.67063484019858199</v>
      </c>
      <c r="AI6265">
        <v>97.032771650953705</v>
      </c>
      <c r="AJ6265">
        <v>90.003078890158804</v>
      </c>
      <c r="AK6265">
        <v>0.67571875767651801</v>
      </c>
      <c r="AL6265">
        <v>92.139143188837807</v>
      </c>
      <c r="AM6265">
        <v>90.529411580977495</v>
      </c>
      <c r="AN6265">
        <v>1.0000000321290701</v>
      </c>
    </row>
    <row r="6266" spans="1:40" x14ac:dyDescent="0.3">
      <c r="A6266" t="str">
        <f>"20200111160627950"</f>
        <v>20200111160627950</v>
      </c>
      <c r="B6266" t="str">
        <f>"1578729987938567"</f>
        <v>1578729987938567</v>
      </c>
      <c r="C6266" t="s">
        <v>40</v>
      </c>
      <c r="D6266">
        <v>5.3892620000000004</v>
      </c>
      <c r="E6266">
        <v>0.50544650000000002</v>
      </c>
      <c r="F6266" t="s">
        <v>42</v>
      </c>
      <c r="G6266">
        <v>-193.63980000000001</v>
      </c>
      <c r="H6266">
        <v>1.0285799999999901</v>
      </c>
      <c r="I6266">
        <v>-34.130949999999999</v>
      </c>
      <c r="J6266">
        <v>-193.6507</v>
      </c>
      <c r="K6266">
        <v>1.10667</v>
      </c>
      <c r="L6266">
        <v>-34.781979999999997</v>
      </c>
      <c r="M6266">
        <v>2.41321E-2</v>
      </c>
      <c r="N6266">
        <v>0</v>
      </c>
      <c r="O6266">
        <v>0.99960570000000004</v>
      </c>
      <c r="P6266">
        <v>8.8856219999999993E-3</v>
      </c>
      <c r="Q6266">
        <v>-5.0943330000000002E-2</v>
      </c>
      <c r="R6266">
        <v>0.99866200000000005</v>
      </c>
      <c r="S6266">
        <v>6.9564819999999999E-2</v>
      </c>
      <c r="T6266">
        <v>-0.2488543</v>
      </c>
      <c r="U6266">
        <v>2.99057</v>
      </c>
      <c r="V6266">
        <v>-1.5550430000000001E-2</v>
      </c>
      <c r="W6266">
        <v>-3.645967E-2</v>
      </c>
      <c r="X6266">
        <v>0.99921409999999999</v>
      </c>
      <c r="Y6266">
        <v>-9.5977029999999997E-4</v>
      </c>
      <c r="Z6266">
        <v>-8.2879099999999997E-2</v>
      </c>
      <c r="AA6266">
        <v>0.99655910000000003</v>
      </c>
      <c r="AB6266">
        <v>28</v>
      </c>
      <c r="AC6266">
        <v>1.08999999999923E-2</v>
      </c>
      <c r="AD6266">
        <v>-7.8090000000000201E-2</v>
      </c>
      <c r="AE6266">
        <v>0.651029999999998</v>
      </c>
      <c r="AF6266">
        <v>-4.74723293985394E-3</v>
      </c>
      <c r="AG6266">
        <v>-7.8090000000000201E-2</v>
      </c>
      <c r="AH6266">
        <v>0.64187102800811402</v>
      </c>
      <c r="AI6266">
        <v>96.936325327147401</v>
      </c>
      <c r="AJ6266">
        <v>90.423747825860104</v>
      </c>
      <c r="AK6266">
        <v>0.646621219043095</v>
      </c>
      <c r="AL6266">
        <v>92.089448369424204</v>
      </c>
      <c r="AM6266">
        <v>90.891602799469794</v>
      </c>
      <c r="AN6266">
        <v>0.99999997052425105</v>
      </c>
    </row>
    <row r="6267" spans="1:40" x14ac:dyDescent="0.3">
      <c r="A6267" t="str">
        <f>"20200111160627971"</f>
        <v>20200111160627971</v>
      </c>
      <c r="B6267" t="str">
        <f>"1578729987968823"</f>
        <v>1578729987968823</v>
      </c>
      <c r="C6267" t="s">
        <v>40</v>
      </c>
      <c r="D6267">
        <v>5.4747510000000004</v>
      </c>
      <c r="E6267">
        <v>0.50585199999999997</v>
      </c>
      <c r="F6267" t="s">
        <v>42</v>
      </c>
      <c r="G6267">
        <v>-193.6302</v>
      </c>
      <c r="H6267">
        <v>1.031801</v>
      </c>
      <c r="I6267">
        <v>-33.874200000000002</v>
      </c>
      <c r="J6267">
        <v>-193.63929999999999</v>
      </c>
      <c r="K6267">
        <v>1.106779</v>
      </c>
      <c r="L6267">
        <v>-34.511470000000003</v>
      </c>
      <c r="M6267">
        <v>2.8564280000000001E-2</v>
      </c>
      <c r="N6267">
        <v>0</v>
      </c>
      <c r="O6267">
        <v>0.99948899999999996</v>
      </c>
      <c r="P6267">
        <v>6.4593080000000004E-3</v>
      </c>
      <c r="Q6267">
        <v>-5.0791219999999998E-2</v>
      </c>
      <c r="R6267">
        <v>0.99868840000000003</v>
      </c>
      <c r="S6267">
        <v>6.7276000000000002E-2</v>
      </c>
      <c r="T6267">
        <v>-0.24653919999999999</v>
      </c>
      <c r="U6267">
        <v>2.9908450000000002</v>
      </c>
      <c r="V6267">
        <v>-2.23936E-2</v>
      </c>
      <c r="W6267">
        <v>-3.626588E-2</v>
      </c>
      <c r="X6267">
        <v>0.99909130000000002</v>
      </c>
      <c r="Y6267">
        <v>-6.1568150000000004E-3</v>
      </c>
      <c r="Z6267">
        <v>-8.2091399999999995E-2</v>
      </c>
      <c r="AA6267">
        <v>0.99660579999999999</v>
      </c>
      <c r="AB6267">
        <v>28</v>
      </c>
      <c r="AC6267">
        <v>9.0999999999894499E-3</v>
      </c>
      <c r="AD6267">
        <v>-7.4978000000000197E-2</v>
      </c>
      <c r="AE6267">
        <v>0.63727</v>
      </c>
      <c r="AF6267">
        <v>-8.9844032195893105E-3</v>
      </c>
      <c r="AG6267">
        <v>-7.4978000000000197E-2</v>
      </c>
      <c r="AH6267">
        <v>0.62857053659296402</v>
      </c>
      <c r="AI6267">
        <v>96.801603671690202</v>
      </c>
      <c r="AJ6267">
        <v>90.818895103036795</v>
      </c>
      <c r="AK6267">
        <v>0.63309030908550401</v>
      </c>
      <c r="AL6267">
        <v>92.078337493091595</v>
      </c>
      <c r="AM6267">
        <v>91.284010749853195</v>
      </c>
      <c r="AN6267">
        <v>1.00000005655441</v>
      </c>
    </row>
    <row r="6268" spans="1:40" x14ac:dyDescent="0.3">
      <c r="A6268" t="str">
        <f>"20200111160627995"</f>
        <v>20200111160627995</v>
      </c>
      <c r="B6268" t="str">
        <f>"1578729987988344"</f>
        <v>1578729987988344</v>
      </c>
      <c r="C6268" t="s">
        <v>40</v>
      </c>
      <c r="D6268">
        <v>5.3650630000000001</v>
      </c>
      <c r="E6268">
        <v>0.50595299999999999</v>
      </c>
      <c r="F6268" t="s">
        <v>42</v>
      </c>
      <c r="G6268">
        <v>-193.62010000000001</v>
      </c>
      <c r="H6268">
        <v>1.0335650000000001</v>
      </c>
      <c r="I6268">
        <v>-33.613950000000003</v>
      </c>
      <c r="J6268">
        <v>-193.62559999999999</v>
      </c>
      <c r="K6268">
        <v>1.1069420000000001</v>
      </c>
      <c r="L6268">
        <v>-34.215119999999999</v>
      </c>
      <c r="M6268">
        <v>3.3194609999999999E-2</v>
      </c>
      <c r="N6268">
        <v>0</v>
      </c>
      <c r="O6268">
        <v>0.99934610000000001</v>
      </c>
      <c r="P6268">
        <v>5.2154619999999997E-3</v>
      </c>
      <c r="Q6268">
        <v>-4.9383969999999999E-2</v>
      </c>
      <c r="R6268">
        <v>0.99876620000000005</v>
      </c>
      <c r="S6268">
        <v>6.3461299999999998E-2</v>
      </c>
      <c r="T6268">
        <v>-0.24384249999999999</v>
      </c>
      <c r="U6268">
        <v>2.9911189999999999</v>
      </c>
      <c r="V6268">
        <v>-2.8239150000000001E-2</v>
      </c>
      <c r="W6268">
        <v>-3.4834530000000002E-2</v>
      </c>
      <c r="X6268">
        <v>0.9989941</v>
      </c>
      <c r="Y6268">
        <v>-1.206048E-2</v>
      </c>
      <c r="Z6268">
        <v>-8.1173540000000002E-2</v>
      </c>
      <c r="AA6268">
        <v>0.99662700000000004</v>
      </c>
      <c r="AB6268">
        <v>28</v>
      </c>
      <c r="AC6268">
        <v>5.4999999999836204E-3</v>
      </c>
      <c r="AD6268">
        <v>-7.3376999999999998E-2</v>
      </c>
      <c r="AE6268">
        <v>0.60116999999999599</v>
      </c>
      <c r="AF6268">
        <v>-1.42484319157423E-2</v>
      </c>
      <c r="AG6268">
        <v>-7.3376999999999998E-2</v>
      </c>
      <c r="AH6268">
        <v>0.59219942598658504</v>
      </c>
      <c r="AI6268">
        <v>97.061261973228596</v>
      </c>
      <c r="AJ6268">
        <v>91.378281540155797</v>
      </c>
      <c r="AK6268">
        <v>0.596898117001469</v>
      </c>
      <c r="AL6268">
        <v>91.996275311691605</v>
      </c>
      <c r="AM6268">
        <v>91.619182100327393</v>
      </c>
      <c r="AN6268">
        <v>1.0000000529539199</v>
      </c>
    </row>
    <row r="6269" spans="1:40" x14ac:dyDescent="0.3">
      <c r="A6269" t="str">
        <f>"20200111160628016"</f>
        <v>20200111160628016</v>
      </c>
      <c r="B6269" t="str">
        <f>"1578729988008839"</f>
        <v>1578729988008839</v>
      </c>
      <c r="C6269" t="s">
        <v>40</v>
      </c>
      <c r="D6269">
        <v>5.2470429999999997</v>
      </c>
      <c r="E6269">
        <v>0.50633879999999998</v>
      </c>
      <c r="F6269" t="s">
        <v>41</v>
      </c>
      <c r="G6269">
        <v>-193.3468</v>
      </c>
      <c r="H6269" s="1">
        <v>-4.8797390000000001E-6</v>
      </c>
      <c r="I6269">
        <v>-20.418369999999999</v>
      </c>
      <c r="J6269">
        <v>-193.61179999999999</v>
      </c>
      <c r="K6269">
        <v>1.107143</v>
      </c>
      <c r="L6269">
        <v>-33.938450000000003</v>
      </c>
      <c r="M6269">
        <v>3.7250949999999998E-2</v>
      </c>
      <c r="N6269">
        <v>0</v>
      </c>
      <c r="O6269">
        <v>0.99920339999999996</v>
      </c>
      <c r="P6269">
        <v>3.8479999999999999E-3</v>
      </c>
      <c r="Q6269">
        <v>-4.746301E-2</v>
      </c>
      <c r="R6269">
        <v>0.99886560000000002</v>
      </c>
      <c r="S6269">
        <v>6.045532E-2</v>
      </c>
      <c r="T6269">
        <v>-0.2400167</v>
      </c>
      <c r="U6269">
        <v>2.9915159999999998</v>
      </c>
      <c r="V6269">
        <v>-3.3629949999999999E-2</v>
      </c>
      <c r="W6269">
        <v>-3.2901769999999997E-2</v>
      </c>
      <c r="X6269">
        <v>0.99889269999999997</v>
      </c>
      <c r="Y6269">
        <v>-1.7120989999999999E-2</v>
      </c>
      <c r="Z6269">
        <v>-7.9878370000000004E-2</v>
      </c>
      <c r="AA6269">
        <v>0.99665760000000003</v>
      </c>
      <c r="AB6269">
        <v>28</v>
      </c>
      <c r="AC6269">
        <v>0.26499999999998602</v>
      </c>
      <c r="AD6269">
        <v>-1.107147879739</v>
      </c>
      <c r="AE6269">
        <v>13.52008</v>
      </c>
      <c r="AF6269">
        <v>-0.23728084584351999</v>
      </c>
      <c r="AG6269">
        <v>-1.107147879739</v>
      </c>
      <c r="AH6269">
        <v>13.430538513204899</v>
      </c>
      <c r="AI6269">
        <v>94.711796273522793</v>
      </c>
      <c r="AJ6269">
        <v>91.012154261636795</v>
      </c>
      <c r="AK6269">
        <v>13.4781839793829</v>
      </c>
      <c r="AL6269">
        <v>91.885472724009404</v>
      </c>
      <c r="AM6269">
        <v>91.928261840875805</v>
      </c>
      <c r="AN6269">
        <v>1.0000000630597099</v>
      </c>
    </row>
    <row r="6270" spans="1:40" x14ac:dyDescent="0.3">
      <c r="A6270" t="str">
        <f>"20200111160628039"</f>
        <v>20200111160628039</v>
      </c>
      <c r="B6270" t="str">
        <f>"1578729988028359"</f>
        <v>1578729988028359</v>
      </c>
      <c r="C6270" t="s">
        <v>40</v>
      </c>
      <c r="D6270">
        <v>5.3514780000000002</v>
      </c>
      <c r="E6270">
        <v>0.50656749999999995</v>
      </c>
      <c r="F6270" t="s">
        <v>41</v>
      </c>
      <c r="G6270">
        <v>-193.3349</v>
      </c>
      <c r="H6270" s="1">
        <v>-1.1112780000000001E-6</v>
      </c>
      <c r="I6270">
        <v>-19.888860000000001</v>
      </c>
      <c r="J6270">
        <v>-193.5968</v>
      </c>
      <c r="K6270">
        <v>1.1074170000000001</v>
      </c>
      <c r="L6270">
        <v>-33.653289999999998</v>
      </c>
      <c r="M6270">
        <v>4.1105900000000001E-2</v>
      </c>
      <c r="N6270">
        <v>0</v>
      </c>
      <c r="O6270">
        <v>0.99905250000000001</v>
      </c>
      <c r="P6270">
        <v>3.2877399999999999E-3</v>
      </c>
      <c r="Q6270">
        <v>-4.5996349999999998E-2</v>
      </c>
      <c r="R6270">
        <v>0.99893620000000005</v>
      </c>
      <c r="S6270">
        <v>5.8975220000000002E-2</v>
      </c>
      <c r="T6270">
        <v>-0.23577519999999999</v>
      </c>
      <c r="U6270">
        <v>2.9919739999999999</v>
      </c>
      <c r="V6270">
        <v>-3.8012959999999998E-2</v>
      </c>
      <c r="W6270">
        <v>-3.1443680000000002E-2</v>
      </c>
      <c r="X6270">
        <v>0.99878239999999996</v>
      </c>
      <c r="Y6270">
        <v>-2.1472229999999998E-2</v>
      </c>
      <c r="Z6270">
        <v>-7.8442949999999997E-2</v>
      </c>
      <c r="AA6270">
        <v>0.9966874</v>
      </c>
      <c r="AB6270">
        <v>28</v>
      </c>
      <c r="AC6270">
        <v>0.26189999999999702</v>
      </c>
      <c r="AD6270">
        <v>-1.1074181112779999</v>
      </c>
      <c r="AE6270">
        <v>13.764430000000001</v>
      </c>
      <c r="AF6270">
        <v>-0.30222293676043699</v>
      </c>
      <c r="AG6270">
        <v>-1.1074181112779999</v>
      </c>
      <c r="AH6270">
        <v>13.6750736400659</v>
      </c>
      <c r="AI6270">
        <v>94.628628696212601</v>
      </c>
      <c r="AJ6270">
        <v>91.266046592533002</v>
      </c>
      <c r="AK6270">
        <v>13.723168462054099</v>
      </c>
      <c r="AL6270">
        <v>91.801887186671195</v>
      </c>
      <c r="AM6270">
        <v>92.179585340988297</v>
      </c>
      <c r="AN6270">
        <v>0.999999986344831</v>
      </c>
    </row>
    <row r="6271" spans="1:40" x14ac:dyDescent="0.3">
      <c r="A6271" t="str">
        <f>"20200111160628061"</f>
        <v>20200111160628061</v>
      </c>
      <c r="B6271" t="str">
        <f>"1578729988058615"</f>
        <v>1578729988058615</v>
      </c>
      <c r="C6271" t="s">
        <v>40</v>
      </c>
      <c r="D6271">
        <v>5.3974219999999997</v>
      </c>
      <c r="E6271">
        <v>0.50682119999999997</v>
      </c>
      <c r="F6271" t="s">
        <v>41</v>
      </c>
      <c r="G6271">
        <v>-193.31639999999999</v>
      </c>
      <c r="H6271" s="1">
        <v>-1.3151919999999999E-6</v>
      </c>
      <c r="I6271">
        <v>-19.402069999999998</v>
      </c>
      <c r="J6271">
        <v>-193.58179999999999</v>
      </c>
      <c r="K6271">
        <v>1.107748</v>
      </c>
      <c r="L6271">
        <v>-33.380740000000003</v>
      </c>
      <c r="M6271">
        <v>4.4421469999999998E-2</v>
      </c>
      <c r="N6271">
        <v>0</v>
      </c>
      <c r="O6271">
        <v>0.99891079999999999</v>
      </c>
      <c r="P6271">
        <v>2.2983470000000001E-3</v>
      </c>
      <c r="Q6271">
        <v>-4.5480369999999999E-2</v>
      </c>
      <c r="R6271">
        <v>0.99896260000000003</v>
      </c>
      <c r="S6271">
        <v>5.8868410000000003E-2</v>
      </c>
      <c r="T6271">
        <v>-0.2325208</v>
      </c>
      <c r="U6271">
        <v>2.9922789999999999</v>
      </c>
      <c r="V6271">
        <v>-4.2290519999999998E-2</v>
      </c>
      <c r="W6271">
        <v>-3.0946540000000002E-2</v>
      </c>
      <c r="X6271">
        <v>0.99862600000000001</v>
      </c>
      <c r="Y6271">
        <v>-2.4826150000000002E-2</v>
      </c>
      <c r="Z6271">
        <v>-7.7339450000000004E-2</v>
      </c>
      <c r="AA6271">
        <v>0.99669569999999996</v>
      </c>
      <c r="AB6271">
        <v>28</v>
      </c>
      <c r="AC6271">
        <v>0.26539999999999903</v>
      </c>
      <c r="AD6271">
        <v>-1.1077493151919999</v>
      </c>
      <c r="AE6271">
        <v>13.978669999999999</v>
      </c>
      <c r="AF6271">
        <v>-0.35365830461594899</v>
      </c>
      <c r="AG6271">
        <v>-1.1077493151919999</v>
      </c>
      <c r="AH6271">
        <v>13.889466471524701</v>
      </c>
      <c r="AI6271">
        <v>94.558480722327801</v>
      </c>
      <c r="AJ6271">
        <v>91.458569407183404</v>
      </c>
      <c r="AK6271">
        <v>13.938058028482301</v>
      </c>
      <c r="AL6271">
        <v>91.773389211385094</v>
      </c>
      <c r="AM6271">
        <v>92.424953231105405</v>
      </c>
      <c r="AN6271">
        <v>1.0000000321479201</v>
      </c>
    </row>
    <row r="6272" spans="1:40" x14ac:dyDescent="0.3">
      <c r="A6272" t="str">
        <f>"20200111160628083"</f>
        <v>20200111160628083</v>
      </c>
      <c r="B6272" t="str">
        <f>"1578729988078138"</f>
        <v>1578729988078138</v>
      </c>
      <c r="C6272" t="s">
        <v>40</v>
      </c>
      <c r="D6272">
        <v>5.4133610000000001</v>
      </c>
      <c r="E6272">
        <v>0.50702479999999905</v>
      </c>
      <c r="F6272" t="s">
        <v>41</v>
      </c>
      <c r="G6272">
        <v>-193.30670000000001</v>
      </c>
      <c r="H6272" s="1">
        <v>-1.42841E-6</v>
      </c>
      <c r="I6272">
        <v>-19.13214</v>
      </c>
      <c r="J6272">
        <v>-193.56569999999999</v>
      </c>
      <c r="K6272">
        <v>1.108144</v>
      </c>
      <c r="L6272">
        <v>-33.097380000000001</v>
      </c>
      <c r="M6272">
        <v>4.744131E-2</v>
      </c>
      <c r="N6272">
        <v>0</v>
      </c>
      <c r="O6272">
        <v>0.99877229999999995</v>
      </c>
      <c r="P6272">
        <v>2.8796619999999998E-3</v>
      </c>
      <c r="Q6272">
        <v>-4.5163880000000003E-2</v>
      </c>
      <c r="R6272">
        <v>0.99897550000000002</v>
      </c>
      <c r="S6272">
        <v>5.776978E-2</v>
      </c>
      <c r="T6272">
        <v>-0.23264019999999999</v>
      </c>
      <c r="U6272">
        <v>2.9923709999999999</v>
      </c>
      <c r="V6272">
        <v>-4.4700730000000001E-2</v>
      </c>
      <c r="W6272">
        <v>-3.0671049999999998E-2</v>
      </c>
      <c r="X6272">
        <v>0.99852949999999996</v>
      </c>
      <c r="Y6272">
        <v>-2.8214820000000002E-2</v>
      </c>
      <c r="Z6272">
        <v>-7.7357229999999999E-2</v>
      </c>
      <c r="AA6272">
        <v>0.99660409999999999</v>
      </c>
      <c r="AB6272">
        <v>28</v>
      </c>
      <c r="AC6272">
        <v>0.25899999999998602</v>
      </c>
      <c r="AD6272">
        <v>-1.1081454284100001</v>
      </c>
      <c r="AE6272">
        <v>13.96524</v>
      </c>
      <c r="AF6272">
        <v>-0.401362002116322</v>
      </c>
      <c r="AG6272">
        <v>-1.1081454284100001</v>
      </c>
      <c r="AH6272">
        <v>13.874470803425501</v>
      </c>
      <c r="AI6272">
        <v>94.564583568683105</v>
      </c>
      <c r="AJ6272">
        <v>91.656995615111597</v>
      </c>
      <c r="AK6272">
        <v>13.924439587371401</v>
      </c>
      <c r="AL6272">
        <v>91.7575973303897</v>
      </c>
      <c r="AM6272">
        <v>92.563223549403801</v>
      </c>
      <c r="AN6272">
        <v>1.00000001547044</v>
      </c>
    </row>
    <row r="6273" spans="1:40" x14ac:dyDescent="0.3">
      <c r="A6273" t="str">
        <f>"20200111160628105"</f>
        <v>20200111160628105</v>
      </c>
      <c r="B6273" t="str">
        <f>"1578729988098631"</f>
        <v>1578729988098631</v>
      </c>
      <c r="C6273" t="s">
        <v>40</v>
      </c>
      <c r="D6273">
        <v>5.4585819999999998</v>
      </c>
      <c r="E6273">
        <v>0.50712199999999996</v>
      </c>
      <c r="F6273" t="s">
        <v>41</v>
      </c>
      <c r="G6273">
        <v>-193.2757</v>
      </c>
      <c r="H6273" s="1">
        <v>-1.524607E-6</v>
      </c>
      <c r="I6273">
        <v>-18.888649999999998</v>
      </c>
      <c r="J6273">
        <v>-193.55029999999999</v>
      </c>
      <c r="K6273">
        <v>1.1085119999999999</v>
      </c>
      <c r="L6273">
        <v>-32.831209999999999</v>
      </c>
      <c r="M6273">
        <v>4.982528E-2</v>
      </c>
      <c r="N6273">
        <v>0</v>
      </c>
      <c r="O6273">
        <v>0.99865649999999995</v>
      </c>
      <c r="P6273">
        <v>3.79693E-3</v>
      </c>
      <c r="Q6273">
        <v>-4.5157450000000002E-2</v>
      </c>
      <c r="R6273">
        <v>0.99897270000000005</v>
      </c>
      <c r="S6273">
        <v>6.1080929999999999E-2</v>
      </c>
      <c r="T6273">
        <v>-0.233374</v>
      </c>
      <c r="U6273">
        <v>2.99234</v>
      </c>
      <c r="V6273">
        <v>-4.6142370000000002E-2</v>
      </c>
      <c r="W6273">
        <v>-3.0712030000000001E-2</v>
      </c>
      <c r="X6273">
        <v>0.99846259999999998</v>
      </c>
      <c r="Y6273">
        <v>-2.9498690000000001E-2</v>
      </c>
      <c r="Z6273">
        <v>-7.7584739999999999E-2</v>
      </c>
      <c r="AA6273">
        <v>0.99654920000000002</v>
      </c>
      <c r="AB6273">
        <v>28</v>
      </c>
      <c r="AC6273">
        <v>0.27459999999999202</v>
      </c>
      <c r="AD6273">
        <v>-1.1085135246069999</v>
      </c>
      <c r="AE6273">
        <v>13.94256</v>
      </c>
      <c r="AF6273">
        <v>-0.41786313132017699</v>
      </c>
      <c r="AG6273">
        <v>-1.1085135246069999</v>
      </c>
      <c r="AH6273">
        <v>13.851399535130099</v>
      </c>
      <c r="AI6273">
        <v>94.573499912787398</v>
      </c>
      <c r="AJ6273">
        <v>91.727950647757396</v>
      </c>
      <c r="AK6273">
        <v>13.901966800153</v>
      </c>
      <c r="AL6273">
        <v>91.759946523891102</v>
      </c>
      <c r="AM6273">
        <v>92.6459512739156</v>
      </c>
      <c r="AN6273">
        <v>0.99999995534734798</v>
      </c>
    </row>
    <row r="6274" spans="1:40" x14ac:dyDescent="0.3">
      <c r="A6274" t="str">
        <f>"20200111160628128"</f>
        <v>20200111160628128</v>
      </c>
      <c r="B6274" t="str">
        <f>"1578729988118153"</f>
        <v>1578729988118153</v>
      </c>
      <c r="C6274" t="s">
        <v>40</v>
      </c>
      <c r="D6274">
        <v>5.4225649999999996</v>
      </c>
      <c r="E6274">
        <v>0.50723499999999999</v>
      </c>
      <c r="F6274" t="s">
        <v>41</v>
      </c>
      <c r="G6274">
        <v>-193.2449</v>
      </c>
      <c r="H6274" s="1">
        <v>-1.6032350000000001E-6</v>
      </c>
      <c r="I6274">
        <v>-18.68629</v>
      </c>
      <c r="J6274">
        <v>-193.5326</v>
      </c>
      <c r="K6274">
        <v>1.108905</v>
      </c>
      <c r="L6274">
        <v>-32.531489999999998</v>
      </c>
      <c r="M6274">
        <v>5.1991570000000001E-2</v>
      </c>
      <c r="N6274">
        <v>0</v>
      </c>
      <c r="O6274">
        <v>0.9985463</v>
      </c>
      <c r="P6274">
        <v>4.6115180000000002E-3</v>
      </c>
      <c r="Q6274">
        <v>-4.7193440000000003E-2</v>
      </c>
      <c r="R6274">
        <v>0.99887510000000002</v>
      </c>
      <c r="S6274">
        <v>6.4590449999999994E-2</v>
      </c>
      <c r="T6274">
        <v>-0.2344977</v>
      </c>
      <c r="U6274">
        <v>2.9922490000000002</v>
      </c>
      <c r="V6274">
        <v>-4.746939E-2</v>
      </c>
      <c r="W6274">
        <v>-3.2804899999999998E-2</v>
      </c>
      <c r="X6274">
        <v>0.9983339</v>
      </c>
      <c r="Y6274">
        <v>-3.0498709999999998E-2</v>
      </c>
      <c r="Z6274">
        <v>-7.7943349999999995E-2</v>
      </c>
      <c r="AA6274">
        <v>0.99649120000000002</v>
      </c>
      <c r="AB6274">
        <v>28</v>
      </c>
      <c r="AC6274">
        <v>0.28770000000000001</v>
      </c>
      <c r="AD6274">
        <v>-1.1089066032349999</v>
      </c>
      <c r="AE6274">
        <v>13.8452</v>
      </c>
      <c r="AF6274">
        <v>-0.42983944718230099</v>
      </c>
      <c r="AG6274">
        <v>-1.1089066032349999</v>
      </c>
      <c r="AH6274">
        <v>13.7532424765821</v>
      </c>
      <c r="AI6274">
        <v>94.607474460110097</v>
      </c>
      <c r="AJ6274">
        <v>91.790121283684002</v>
      </c>
      <c r="AK6274">
        <v>13.8045686069763</v>
      </c>
      <c r="AL6274">
        <v>91.879919527511902</v>
      </c>
      <c r="AM6274">
        <v>92.722284375190497</v>
      </c>
      <c r="AN6274">
        <v>1.0000000401700899</v>
      </c>
    </row>
    <row r="6275" spans="1:40" x14ac:dyDescent="0.3">
      <c r="A6275" t="str">
        <f>"20200111160628152"</f>
        <v>20200111160628152</v>
      </c>
      <c r="B6275" t="str">
        <f>"1578729988148407"</f>
        <v>1578729988148407</v>
      </c>
      <c r="C6275" t="s">
        <v>40</v>
      </c>
      <c r="D6275">
        <v>5.7547879999999996</v>
      </c>
      <c r="E6275">
        <v>0.50749880000000003</v>
      </c>
      <c r="F6275" t="s">
        <v>41</v>
      </c>
      <c r="G6275">
        <v>-193.22059999999999</v>
      </c>
      <c r="H6275" s="1">
        <v>-1.53126E-6</v>
      </c>
      <c r="I6275">
        <v>-18.838989999999999</v>
      </c>
      <c r="J6275">
        <v>-193.51589999999999</v>
      </c>
      <c r="K6275">
        <v>1.109218</v>
      </c>
      <c r="L6275">
        <v>-32.250639999999997</v>
      </c>
      <c r="M6275">
        <v>5.363685E-2</v>
      </c>
      <c r="N6275">
        <v>0</v>
      </c>
      <c r="O6275">
        <v>0.99845950000000006</v>
      </c>
      <c r="P6275">
        <v>4.4017739999999998E-3</v>
      </c>
      <c r="Q6275">
        <v>-4.7780349999999999E-2</v>
      </c>
      <c r="R6275">
        <v>0.99884810000000002</v>
      </c>
      <c r="S6275">
        <v>6.8161009999999994E-2</v>
      </c>
      <c r="T6275">
        <v>-0.24227950000000001</v>
      </c>
      <c r="U6275">
        <v>2.9916079999999998</v>
      </c>
      <c r="V6275">
        <v>-4.9299139999999998E-2</v>
      </c>
      <c r="W6275">
        <v>-3.3438699999999898E-2</v>
      </c>
      <c r="X6275">
        <v>0.99822409999999995</v>
      </c>
      <c r="Y6275">
        <v>-3.095699E-2</v>
      </c>
      <c r="Z6275">
        <v>-8.0518339999999994E-2</v>
      </c>
      <c r="AA6275">
        <v>0.9962723</v>
      </c>
      <c r="AB6275">
        <v>28</v>
      </c>
      <c r="AC6275">
        <v>0.29529999999999701</v>
      </c>
      <c r="AD6275">
        <v>-1.1092195312599999</v>
      </c>
      <c r="AE6275">
        <v>13.41165</v>
      </c>
      <c r="AF6275">
        <v>-0.42167344588244599</v>
      </c>
      <c r="AG6275">
        <v>-1.1092195312599999</v>
      </c>
      <c r="AH6275">
        <v>13.3171326134088</v>
      </c>
      <c r="AI6275">
        <v>94.758953788105003</v>
      </c>
      <c r="AJ6275">
        <v>91.813606574774397</v>
      </c>
      <c r="AK6275">
        <v>13.3698989340461</v>
      </c>
      <c r="AL6275">
        <v>91.9162536947658</v>
      </c>
      <c r="AM6275">
        <v>92.827360636916694</v>
      </c>
      <c r="AN6275">
        <v>0.99999995284161802</v>
      </c>
    </row>
    <row r="6276" spans="1:40" x14ac:dyDescent="0.3">
      <c r="A6276" t="str">
        <f>"20200111160628172"</f>
        <v>20200111160628172</v>
      </c>
      <c r="B6276" t="str">
        <f>"1578729988168903"</f>
        <v>1578729988168903</v>
      </c>
      <c r="C6276" t="s">
        <v>40</v>
      </c>
      <c r="D6276">
        <v>5.4425499999999998</v>
      </c>
      <c r="E6276">
        <v>0.5076117</v>
      </c>
      <c r="F6276" t="s">
        <v>41</v>
      </c>
      <c r="G6276">
        <v>-193.19919999999999</v>
      </c>
      <c r="H6276" s="1">
        <v>-1.561025E-6</v>
      </c>
      <c r="I6276">
        <v>-18.756340000000002</v>
      </c>
      <c r="J6276">
        <v>-193.5</v>
      </c>
      <c r="K6276">
        <v>1.1094729999999999</v>
      </c>
      <c r="L6276">
        <v>-31.984279999999998</v>
      </c>
      <c r="M6276">
        <v>5.4858200000000003E-2</v>
      </c>
      <c r="N6276">
        <v>0</v>
      </c>
      <c r="O6276">
        <v>0.99839339999999999</v>
      </c>
      <c r="P6276">
        <v>3.6185280000000002E-3</v>
      </c>
      <c r="Q6276">
        <v>-4.7865970000000001E-2</v>
      </c>
      <c r="R6276">
        <v>0.99884720000000005</v>
      </c>
      <c r="S6276">
        <v>7.0205690000000001E-2</v>
      </c>
      <c r="T6276">
        <v>-0.24589</v>
      </c>
      <c r="U6276">
        <v>2.9913940000000001</v>
      </c>
      <c r="V6276">
        <v>-5.128133E-2</v>
      </c>
      <c r="W6276">
        <v>-3.3565909999999997E-2</v>
      </c>
      <c r="X6276">
        <v>0.99812000000000001</v>
      </c>
      <c r="Y6276">
        <v>-3.1499720000000002E-2</v>
      </c>
      <c r="Z6276">
        <v>-8.1706600000000004E-2</v>
      </c>
      <c r="AA6276">
        <v>0.99615849999999995</v>
      </c>
      <c r="AB6276">
        <v>28</v>
      </c>
      <c r="AC6276">
        <v>0.300800000000009</v>
      </c>
      <c r="AD6276">
        <v>-1.1094745610250001</v>
      </c>
      <c r="AE6276">
        <v>13.22794</v>
      </c>
      <c r="AF6276">
        <v>-0.42241696591738198</v>
      </c>
      <c r="AG6276">
        <v>-1.1094745610250001</v>
      </c>
      <c r="AH6276">
        <v>13.1321855339647</v>
      </c>
      <c r="AI6276">
        <v>94.826689461564101</v>
      </c>
      <c r="AJ6276">
        <v>91.842371709862903</v>
      </c>
      <c r="AK6276">
        <v>13.185737248752</v>
      </c>
      <c r="AL6276">
        <v>91.923546314008107</v>
      </c>
      <c r="AM6276">
        <v>92.941151912962297</v>
      </c>
      <c r="AN6276">
        <v>0.99999998976034798</v>
      </c>
    </row>
    <row r="6277" spans="1:40" x14ac:dyDescent="0.3">
      <c r="A6277" t="str">
        <f>"20200111160628194"</f>
        <v>20200111160628194</v>
      </c>
      <c r="B6277" t="str">
        <f>"1578729988188423"</f>
        <v>1578729988188423</v>
      </c>
      <c r="C6277" t="s">
        <v>40</v>
      </c>
      <c r="D6277">
        <v>5.537032</v>
      </c>
      <c r="E6277">
        <v>0.50769620000000004</v>
      </c>
      <c r="F6277" t="s">
        <v>41</v>
      </c>
      <c r="G6277">
        <v>-193.18860000000001</v>
      </c>
      <c r="H6277" s="1">
        <v>-1.648953E-6</v>
      </c>
      <c r="I6277">
        <v>-18.54476</v>
      </c>
      <c r="J6277">
        <v>-193.48429999999999</v>
      </c>
      <c r="K6277">
        <v>1.1097109999999999</v>
      </c>
      <c r="L6277">
        <v>-31.72064</v>
      </c>
      <c r="M6277">
        <v>5.5732030000000002E-2</v>
      </c>
      <c r="N6277">
        <v>0</v>
      </c>
      <c r="O6277">
        <v>0.99834520000000004</v>
      </c>
      <c r="P6277">
        <v>2.7294680000000001E-3</v>
      </c>
      <c r="Q6277">
        <v>-4.7438180000000003E-2</v>
      </c>
      <c r="R6277">
        <v>0.99887040000000005</v>
      </c>
      <c r="S6277">
        <v>6.9320679999999996E-2</v>
      </c>
      <c r="T6277">
        <v>-0.24694650000000001</v>
      </c>
      <c r="U6277">
        <v>2.9913639999999999</v>
      </c>
      <c r="V6277">
        <v>-5.3022920000000001E-2</v>
      </c>
      <c r="W6277">
        <v>-3.318016E-2</v>
      </c>
      <c r="X6277">
        <v>0.99804190000000004</v>
      </c>
      <c r="Y6277">
        <v>-3.2669490000000002E-2</v>
      </c>
      <c r="Z6277">
        <v>-8.2048889999999999E-2</v>
      </c>
      <c r="AA6277">
        <v>0.99609270000000005</v>
      </c>
      <c r="AB6277">
        <v>28</v>
      </c>
      <c r="AC6277">
        <v>0.29569999999998198</v>
      </c>
      <c r="AD6277">
        <v>-1.109712648953</v>
      </c>
      <c r="AE6277">
        <v>13.175879999999999</v>
      </c>
      <c r="AF6277">
        <v>-0.436060311928407</v>
      </c>
      <c r="AG6277">
        <v>-1.109712648953</v>
      </c>
      <c r="AH6277">
        <v>13.079148554909001</v>
      </c>
      <c r="AI6277">
        <v>94.847018820455006</v>
      </c>
      <c r="AJ6277">
        <v>91.909540540677199</v>
      </c>
      <c r="AK6277">
        <v>13.133382568107301</v>
      </c>
      <c r="AL6277">
        <v>91.901432141013998</v>
      </c>
      <c r="AM6277">
        <v>93.041090910109403</v>
      </c>
      <c r="AN6277">
        <v>0.99999999360928005</v>
      </c>
    </row>
    <row r="6278" spans="1:40" x14ac:dyDescent="0.3">
      <c r="A6278" t="str">
        <f>"20200111160628217"</f>
        <v>20200111160628217</v>
      </c>
      <c r="B6278" t="str">
        <f>"1578729988208919"</f>
        <v>1578729988208919</v>
      </c>
      <c r="C6278" t="s">
        <v>40</v>
      </c>
      <c r="D6278">
        <v>5.5004160000000004</v>
      </c>
      <c r="E6278">
        <v>0.50779750000000001</v>
      </c>
      <c r="F6278" t="s">
        <v>41</v>
      </c>
      <c r="G6278">
        <v>-193.18209999999999</v>
      </c>
      <c r="H6278" s="1">
        <v>-1.763205E-6</v>
      </c>
      <c r="I6278">
        <v>-18.27441</v>
      </c>
      <c r="J6278">
        <v>-193.46680000000001</v>
      </c>
      <c r="K6278">
        <v>1.109982</v>
      </c>
      <c r="L6278">
        <v>-31.426179999999999</v>
      </c>
      <c r="M6278">
        <v>5.633838E-2</v>
      </c>
      <c r="N6278">
        <v>0</v>
      </c>
      <c r="O6278">
        <v>0.99831130000000001</v>
      </c>
      <c r="P6278">
        <v>1.905304E-3</v>
      </c>
      <c r="Q6278">
        <v>-4.6529630000000002E-2</v>
      </c>
      <c r="R6278">
        <v>0.99891509999999994</v>
      </c>
      <c r="S6278">
        <v>6.7230219999999993E-2</v>
      </c>
      <c r="T6278">
        <v>-0.2468862</v>
      </c>
      <c r="U6278">
        <v>2.9914860000000001</v>
      </c>
      <c r="V6278">
        <v>-5.4429749999999999E-2</v>
      </c>
      <c r="W6278">
        <v>-3.2320750000000002E-2</v>
      </c>
      <c r="X6278">
        <v>0.99799439999999995</v>
      </c>
      <c r="Y6278">
        <v>-3.3973080000000003E-2</v>
      </c>
      <c r="Z6278">
        <v>-8.2020339999999997E-2</v>
      </c>
      <c r="AA6278">
        <v>0.99605140000000003</v>
      </c>
      <c r="AB6278">
        <v>28</v>
      </c>
      <c r="AC6278">
        <v>0.284700000000015</v>
      </c>
      <c r="AD6278">
        <v>-1.109983763205</v>
      </c>
      <c r="AE6278">
        <v>13.151770000000001</v>
      </c>
      <c r="AF6278">
        <v>-0.45354687562927598</v>
      </c>
      <c r="AG6278">
        <v>-1.109983763205</v>
      </c>
      <c r="AH6278">
        <v>13.0539780792742</v>
      </c>
      <c r="AI6278">
        <v>94.857270129853802</v>
      </c>
      <c r="AJ6278">
        <v>91.989881765909203</v>
      </c>
      <c r="AK6278">
        <v>13.108932543008301</v>
      </c>
      <c r="AL6278">
        <v>91.852165085431807</v>
      </c>
      <c r="AM6278">
        <v>93.121769377752003</v>
      </c>
      <c r="AN6278">
        <v>1.00000002549849</v>
      </c>
    </row>
    <row r="6279" spans="1:40" x14ac:dyDescent="0.3">
      <c r="A6279" t="str">
        <f>"20200111160628241"</f>
        <v>20200111160628241</v>
      </c>
      <c r="B6279" t="str">
        <f>"1578729988228439"</f>
        <v>1578729988228439</v>
      </c>
      <c r="C6279" t="s">
        <v>40</v>
      </c>
      <c r="D6279">
        <v>5.5295420000000002</v>
      </c>
      <c r="E6279">
        <v>0.5078937</v>
      </c>
      <c r="F6279" t="s">
        <v>41</v>
      </c>
      <c r="G6279">
        <v>-193.17160000000001</v>
      </c>
      <c r="H6279" s="1">
        <v>-1.9231869999999999E-6</v>
      </c>
      <c r="I6279">
        <v>-17.89499</v>
      </c>
      <c r="J6279">
        <v>-193.4504</v>
      </c>
      <c r="K6279">
        <v>1.1102339999999999</v>
      </c>
      <c r="L6279">
        <v>-31.147639999999999</v>
      </c>
      <c r="M6279">
        <v>5.6594510000000001E-2</v>
      </c>
      <c r="N6279">
        <v>0</v>
      </c>
      <c r="O6279">
        <v>0.99829699999999999</v>
      </c>
      <c r="P6279">
        <v>2.0044680000000001E-3</v>
      </c>
      <c r="Q6279">
        <v>-4.4158269999999999E-2</v>
      </c>
      <c r="R6279">
        <v>0.99902250000000004</v>
      </c>
      <c r="S6279">
        <v>6.5261840000000002E-2</v>
      </c>
      <c r="T6279">
        <v>-0.24541370000000001</v>
      </c>
      <c r="U6279">
        <v>2.9916990000000001</v>
      </c>
      <c r="V6279">
        <v>-5.456979E-2</v>
      </c>
      <c r="W6279">
        <v>-2.9995480000000001E-2</v>
      </c>
      <c r="X6279">
        <v>0.99805929999999998</v>
      </c>
      <c r="Y6279">
        <v>-3.4885220000000002E-2</v>
      </c>
      <c r="Z6279">
        <v>-8.1526169999999995E-2</v>
      </c>
      <c r="AA6279">
        <v>0.99606050000000002</v>
      </c>
      <c r="AB6279">
        <v>28</v>
      </c>
      <c r="AC6279">
        <v>0.278799999999989</v>
      </c>
      <c r="AD6279">
        <v>-1.110235923187</v>
      </c>
      <c r="AE6279">
        <v>13.252649999999999</v>
      </c>
      <c r="AF6279">
        <v>-0.46846293738984801</v>
      </c>
      <c r="AG6279">
        <v>-1.110235923187</v>
      </c>
      <c r="AH6279">
        <v>13.154902382141801</v>
      </c>
      <c r="AI6279">
        <v>94.821125086166901</v>
      </c>
      <c r="AJ6279">
        <v>92.039514302760793</v>
      </c>
      <c r="AK6279">
        <v>13.2099787286931</v>
      </c>
      <c r="AL6279">
        <v>91.718872264219399</v>
      </c>
      <c r="AM6279">
        <v>93.129582185034593</v>
      </c>
      <c r="AN6279">
        <v>0.99999997855878198</v>
      </c>
    </row>
    <row r="6280" spans="1:40" x14ac:dyDescent="0.3">
      <c r="A6280" t="str">
        <f>"20200111160628262"</f>
        <v>20200111160628262</v>
      </c>
      <c r="B6280" t="str">
        <f>"1578729988258695"</f>
        <v>1578729988258695</v>
      </c>
      <c r="C6280" t="s">
        <v>40</v>
      </c>
      <c r="D6280">
        <v>5.6900839999999997</v>
      </c>
      <c r="E6280">
        <v>0.50794799999999996</v>
      </c>
      <c r="F6280" t="s">
        <v>41</v>
      </c>
      <c r="G6280">
        <v>-193.14420000000001</v>
      </c>
      <c r="H6280" s="1">
        <v>-2.1693390000000002E-6</v>
      </c>
      <c r="I6280">
        <v>-17.30424</v>
      </c>
      <c r="J6280">
        <v>-193.43459999999999</v>
      </c>
      <c r="K6280">
        <v>1.110473</v>
      </c>
      <c r="L6280">
        <v>-30.874300000000002</v>
      </c>
      <c r="M6280">
        <v>5.6559180000000001E-2</v>
      </c>
      <c r="N6280">
        <v>0</v>
      </c>
      <c r="O6280">
        <v>0.99829920000000005</v>
      </c>
      <c r="P6280">
        <v>3.4208910000000001E-3</v>
      </c>
      <c r="Q6280">
        <v>-4.2888290000000003E-2</v>
      </c>
      <c r="R6280">
        <v>0.99907400000000002</v>
      </c>
      <c r="S6280">
        <v>6.6177369999999999E-2</v>
      </c>
      <c r="T6280">
        <v>-0.23997250000000001</v>
      </c>
      <c r="U6280">
        <v>2.9921880000000001</v>
      </c>
      <c r="V6280">
        <v>-5.3104430000000001E-2</v>
      </c>
      <c r="W6280">
        <v>-2.8768459999999999E-2</v>
      </c>
      <c r="X6280">
        <v>0.99817449999999996</v>
      </c>
      <c r="Y6280">
        <v>-3.4545529999999998E-2</v>
      </c>
      <c r="Z6280">
        <v>-7.9717789999999997E-2</v>
      </c>
      <c r="AA6280">
        <v>0.99621870000000001</v>
      </c>
      <c r="AB6280">
        <v>28</v>
      </c>
      <c r="AC6280">
        <v>0.29039999999997601</v>
      </c>
      <c r="AD6280">
        <v>-1.110475169339</v>
      </c>
      <c r="AE6280">
        <v>13.57006</v>
      </c>
      <c r="AF6280">
        <v>-0.474477162463119</v>
      </c>
      <c r="AG6280">
        <v>-1.110475169339</v>
      </c>
      <c r="AH6280">
        <v>13.4745673439639</v>
      </c>
      <c r="AI6280">
        <v>94.708346795847604</v>
      </c>
      <c r="AJ6280">
        <v>92.016711215231297</v>
      </c>
      <c r="AK6280">
        <v>13.528571572284999</v>
      </c>
      <c r="AL6280">
        <v>91.648538758867403</v>
      </c>
      <c r="AM6280">
        <v>93.045353217029799</v>
      </c>
      <c r="AN6280">
        <v>1.00000001861332</v>
      </c>
    </row>
    <row r="6281" spans="1:40" x14ac:dyDescent="0.3">
      <c r="A6281" t="str">
        <f>"20200111160628285"</f>
        <v>20200111160628285</v>
      </c>
      <c r="B6281" t="str">
        <f>"1578729988278215"</f>
        <v>1578729988278215</v>
      </c>
      <c r="C6281" t="s">
        <v>40</v>
      </c>
      <c r="D6281">
        <v>5.5275639999999999</v>
      </c>
      <c r="E6281">
        <v>0.56271700000000002</v>
      </c>
      <c r="F6281" t="s">
        <v>41</v>
      </c>
      <c r="G6281">
        <v>-193.1036</v>
      </c>
      <c r="H6281" s="1">
        <v>-2.3526059999999999E-6</v>
      </c>
      <c r="I6281">
        <v>-16.851859999999999</v>
      </c>
      <c r="J6281">
        <v>-193.4195</v>
      </c>
      <c r="K6281">
        <v>1.1106780000000001</v>
      </c>
      <c r="L6281">
        <v>-30.605989999999998</v>
      </c>
      <c r="M6281">
        <v>5.6248119999999999E-2</v>
      </c>
      <c r="N6281">
        <v>0</v>
      </c>
      <c r="O6281">
        <v>0.99831689999999995</v>
      </c>
      <c r="P6281">
        <v>6.3403859999999999E-3</v>
      </c>
      <c r="Q6281">
        <v>-4.363997E-2</v>
      </c>
      <c r="R6281">
        <v>0.9990272</v>
      </c>
      <c r="S6281">
        <v>7.0632929999999997E-2</v>
      </c>
      <c r="T6281">
        <v>-0.23697399999999999</v>
      </c>
      <c r="U6281">
        <v>2.9923709999999999</v>
      </c>
      <c r="V6281">
        <v>-4.9859290000000001E-2</v>
      </c>
      <c r="W6281">
        <v>-2.9556209999999999E-2</v>
      </c>
      <c r="X6281">
        <v>0.99831890000000001</v>
      </c>
      <c r="Y6281">
        <v>-3.2750979999999999E-2</v>
      </c>
      <c r="Z6281">
        <v>-7.8726299999999999E-2</v>
      </c>
      <c r="AA6281">
        <v>0.99635819999999997</v>
      </c>
      <c r="AB6281">
        <v>28</v>
      </c>
      <c r="AC6281">
        <v>0.31589999999999901</v>
      </c>
      <c r="AD6281">
        <v>-1.1106803526060001</v>
      </c>
      <c r="AE6281">
        <v>13.7541299999999</v>
      </c>
      <c r="AF6281">
        <v>-0.45535358987779601</v>
      </c>
      <c r="AG6281">
        <v>-1.1106803526060001</v>
      </c>
      <c r="AH6281">
        <v>13.6610844610172</v>
      </c>
      <c r="AI6281">
        <v>94.645498218006594</v>
      </c>
      <c r="AJ6281">
        <v>91.909085853882004</v>
      </c>
      <c r="AK6281">
        <v>13.7137225576619</v>
      </c>
      <c r="AL6281">
        <v>91.693692623173206</v>
      </c>
      <c r="AM6281">
        <v>92.8591617669762</v>
      </c>
      <c r="AN6281">
        <v>1.00000007222303</v>
      </c>
    </row>
    <row r="6282" spans="1:40" x14ac:dyDescent="0.3">
      <c r="A6282" t="str">
        <f>"20200111160628305"</f>
        <v>20200111160628305</v>
      </c>
      <c r="B6282" t="str">
        <f>"1578729988298711"</f>
        <v>1578729988298711</v>
      </c>
      <c r="C6282" t="s">
        <v>40</v>
      </c>
      <c r="D6282">
        <v>5.5217049999999999</v>
      </c>
      <c r="E6282">
        <v>0.5655829</v>
      </c>
      <c r="F6282" t="s">
        <v>42</v>
      </c>
      <c r="G6282">
        <v>-193.2544</v>
      </c>
      <c r="H6282">
        <v>1.0298130000000001</v>
      </c>
      <c r="I6282">
        <v>-29.649480000000001</v>
      </c>
      <c r="J6282">
        <v>-193.40520000000001</v>
      </c>
      <c r="K6282">
        <v>1.110846</v>
      </c>
      <c r="L6282">
        <v>-30.346309999999999</v>
      </c>
      <c r="M6282">
        <v>5.5706329999999998E-2</v>
      </c>
      <c r="N6282">
        <v>0</v>
      </c>
      <c r="O6282">
        <v>0.9983474</v>
      </c>
      <c r="P6282">
        <v>1.0354189999999999E-2</v>
      </c>
      <c r="Q6282">
        <v>-4.6425290000000001E-2</v>
      </c>
      <c r="R6282">
        <v>0.99886810000000004</v>
      </c>
      <c r="S6282">
        <v>0.51533509999999905</v>
      </c>
      <c r="T6282">
        <v>-0.25266129999999998</v>
      </c>
      <c r="U6282">
        <v>2.9886170000000001</v>
      </c>
      <c r="V6282">
        <v>-4.5285850000000002E-2</v>
      </c>
      <c r="W6282">
        <v>-3.2367689999999998E-2</v>
      </c>
      <c r="X6282">
        <v>0.99844960000000005</v>
      </c>
      <c r="Y6282">
        <v>0.11417049999999999</v>
      </c>
      <c r="Z6282">
        <v>-8.3160970000000001E-2</v>
      </c>
      <c r="AA6282">
        <v>0.98997440000000003</v>
      </c>
      <c r="AB6282">
        <v>28</v>
      </c>
      <c r="AC6282">
        <v>0.15080000000000299</v>
      </c>
      <c r="AD6282">
        <v>-8.1033000000000105E-2</v>
      </c>
      <c r="AE6282">
        <v>0.69682999999999795</v>
      </c>
      <c r="AF6282">
        <v>0.11031898755061401</v>
      </c>
      <c r="AG6282">
        <v>-8.1033000000000105E-2</v>
      </c>
      <c r="AH6282">
        <v>0.69516895301135895</v>
      </c>
      <c r="AI6282">
        <v>96.567280638327603</v>
      </c>
      <c r="AJ6282">
        <v>80.982710810553201</v>
      </c>
      <c r="AK6282">
        <v>0.708517112943718</v>
      </c>
      <c r="AL6282">
        <v>91.854855930883801</v>
      </c>
      <c r="AM6282">
        <v>92.596937312505403</v>
      </c>
      <c r="AN6282">
        <v>1.0000000396531501</v>
      </c>
    </row>
    <row r="6283" spans="1:40" x14ac:dyDescent="0.3">
      <c r="A6283" t="str">
        <f>"20200111160628328"</f>
        <v>20200111160628328</v>
      </c>
      <c r="B6283" t="str">
        <f>"1578729988318528"</f>
        <v>1578729988318528</v>
      </c>
      <c r="C6283" t="s">
        <v>40</v>
      </c>
      <c r="D6283">
        <v>5.4882369999999998</v>
      </c>
      <c r="E6283">
        <v>0.56839910000000005</v>
      </c>
      <c r="F6283" t="s">
        <v>42</v>
      </c>
      <c r="G6283">
        <v>-193.23140000000001</v>
      </c>
      <c r="H6283">
        <v>1.031901</v>
      </c>
      <c r="I6283">
        <v>-29.403210000000001</v>
      </c>
      <c r="J6283">
        <v>-193.3903</v>
      </c>
      <c r="K6283">
        <v>1.1109789999999999</v>
      </c>
      <c r="L6283">
        <v>-30.066500000000001</v>
      </c>
      <c r="M6283">
        <v>5.4932050000000003E-2</v>
      </c>
      <c r="N6283">
        <v>0</v>
      </c>
      <c r="O6283">
        <v>0.99839040000000001</v>
      </c>
      <c r="P6283">
        <v>1.4698940000000001E-2</v>
      </c>
      <c r="Q6283">
        <v>-5.0003440000000003E-2</v>
      </c>
      <c r="R6283">
        <v>0.99864090000000005</v>
      </c>
      <c r="S6283">
        <v>0.55014039999999997</v>
      </c>
      <c r="T6283">
        <v>-0.24996450000000001</v>
      </c>
      <c r="U6283">
        <v>2.986084</v>
      </c>
      <c r="V6283">
        <v>-4.0144180000000002E-2</v>
      </c>
      <c r="W6283">
        <v>-3.5964339999999997E-2</v>
      </c>
      <c r="X6283">
        <v>0.99854639999999995</v>
      </c>
      <c r="Y6283">
        <v>0.1262701</v>
      </c>
      <c r="Z6283">
        <v>-8.2209480000000001E-2</v>
      </c>
      <c r="AA6283">
        <v>0.98858360000000001</v>
      </c>
      <c r="AB6283">
        <v>28</v>
      </c>
      <c r="AC6283">
        <v>0.158899999999988</v>
      </c>
      <c r="AD6283">
        <v>-7.9078000000000204E-2</v>
      </c>
      <c r="AE6283">
        <v>0.66329000000000304</v>
      </c>
      <c r="AF6283">
        <v>0.120599405213082</v>
      </c>
      <c r="AG6283">
        <v>-7.9078000000000204E-2</v>
      </c>
      <c r="AH6283">
        <v>0.66211757807091598</v>
      </c>
      <c r="AI6283">
        <v>96.701458579724601</v>
      </c>
      <c r="AJ6283">
        <v>79.677196079988505</v>
      </c>
      <c r="AK6283">
        <v>0.67764093280456805</v>
      </c>
      <c r="AL6283">
        <v>92.0610494641885</v>
      </c>
      <c r="AM6283">
        <v>92.302200590073397</v>
      </c>
      <c r="AN6283">
        <v>0.99999995094623195</v>
      </c>
    </row>
    <row r="6284" spans="1:40" x14ac:dyDescent="0.3">
      <c r="A6284" t="str">
        <f>"20200111160628351"</f>
        <v>20200111160628351</v>
      </c>
      <c r="B6284" t="str">
        <f>"1578729988348771"</f>
        <v>1578729988348771</v>
      </c>
      <c r="C6284" t="s">
        <v>40</v>
      </c>
      <c r="D6284">
        <v>5.5613469999999996</v>
      </c>
      <c r="E6284">
        <v>0.57084840000000003</v>
      </c>
      <c r="F6284" t="s">
        <v>42</v>
      </c>
      <c r="G6284">
        <v>-193.21180000000001</v>
      </c>
      <c r="H6284">
        <v>1.0324850000000001</v>
      </c>
      <c r="I6284">
        <v>-29.157789999999999</v>
      </c>
      <c r="J6284">
        <v>-193.37559999999999</v>
      </c>
      <c r="K6284">
        <v>1.1110789999999999</v>
      </c>
      <c r="L6284">
        <v>-29.7851</v>
      </c>
      <c r="M6284">
        <v>5.401574E-2</v>
      </c>
      <c r="N6284">
        <v>0</v>
      </c>
      <c r="O6284">
        <v>0.99844049999999995</v>
      </c>
      <c r="P6284">
        <v>1.7929580000000001E-2</v>
      </c>
      <c r="Q6284">
        <v>-5.3556640000000003E-2</v>
      </c>
      <c r="R6284">
        <v>0.99840379999999995</v>
      </c>
      <c r="S6284">
        <v>0.58515930000000005</v>
      </c>
      <c r="T6284">
        <v>-0.2576445</v>
      </c>
      <c r="U6284">
        <v>2.9825740000000001</v>
      </c>
      <c r="V6284">
        <v>-3.5973690000000003E-2</v>
      </c>
      <c r="W6284">
        <v>-3.9530969999999999E-2</v>
      </c>
      <c r="X6284">
        <v>0.99857059999999997</v>
      </c>
      <c r="Y6284">
        <v>0.13853959999999901</v>
      </c>
      <c r="Z6284">
        <v>-8.4659609999999996E-2</v>
      </c>
      <c r="AA6284">
        <v>0.98673180000000005</v>
      </c>
      <c r="AB6284">
        <v>28</v>
      </c>
      <c r="AC6284">
        <v>0.16379999999997999</v>
      </c>
      <c r="AD6284">
        <v>-7.8593999999999997E-2</v>
      </c>
      <c r="AE6284">
        <v>0.62730999999999704</v>
      </c>
      <c r="AF6284">
        <v>0.127794888991834</v>
      </c>
      <c r="AG6284">
        <v>-7.8593999999999997E-2</v>
      </c>
      <c r="AH6284">
        <v>0.62604295642559804</v>
      </c>
      <c r="AI6284">
        <v>97.012402524937499</v>
      </c>
      <c r="AJ6284">
        <v>78.462653890111596</v>
      </c>
      <c r="AK6284">
        <v>0.64376885120246197</v>
      </c>
      <c r="AL6284">
        <v>92.265548010175806</v>
      </c>
      <c r="AM6284">
        <v>92.063198781546106</v>
      </c>
      <c r="AN6284">
        <v>1.0000000235728499</v>
      </c>
    </row>
    <row r="6285" spans="1:40" x14ac:dyDescent="0.3">
      <c r="A6285" t="str">
        <f>"20200111160628376"</f>
        <v>20200111160628376</v>
      </c>
      <c r="B6285" t="str">
        <f>"1578729988368291"</f>
        <v>1578729988368291</v>
      </c>
      <c r="C6285" t="s">
        <v>40</v>
      </c>
      <c r="D6285">
        <v>5.5126359999999996</v>
      </c>
      <c r="E6285">
        <v>0.57144910000000004</v>
      </c>
      <c r="F6285" t="s">
        <v>42</v>
      </c>
      <c r="G6285">
        <v>-193.1944</v>
      </c>
      <c r="H6285">
        <v>1.0387390000000001</v>
      </c>
      <c r="I6285">
        <v>-28.907389999999999</v>
      </c>
      <c r="J6285">
        <v>-193.3605</v>
      </c>
      <c r="K6285">
        <v>1.1111390000000001</v>
      </c>
      <c r="L6285">
        <v>-29.48517</v>
      </c>
      <c r="M6285">
        <v>5.2924230000000003E-2</v>
      </c>
      <c r="N6285">
        <v>0</v>
      </c>
      <c r="O6285">
        <v>0.99849900000000003</v>
      </c>
      <c r="P6285">
        <v>1.9787079999999999E-2</v>
      </c>
      <c r="Q6285">
        <v>-5.650111E-2</v>
      </c>
      <c r="R6285">
        <v>0.99820640000000005</v>
      </c>
      <c r="S6285">
        <v>0.61532589999999998</v>
      </c>
      <c r="T6285">
        <v>-0.2456412</v>
      </c>
      <c r="U6285">
        <v>2.9805600000000001</v>
      </c>
      <c r="V6285">
        <v>-3.3003560000000001E-2</v>
      </c>
      <c r="W6285">
        <v>-4.2486820000000002E-2</v>
      </c>
      <c r="X6285">
        <v>0.99855179999999999</v>
      </c>
      <c r="Y6285">
        <v>0.14940429999999999</v>
      </c>
      <c r="Z6285">
        <v>-8.0658800000000003E-2</v>
      </c>
      <c r="AA6285">
        <v>0.98548080000000005</v>
      </c>
      <c r="AB6285">
        <v>28</v>
      </c>
      <c r="AC6285">
        <v>0.1661</v>
      </c>
      <c r="AD6285">
        <v>-7.2400000000000006E-2</v>
      </c>
      <c r="AE6285">
        <v>0.57777999999999696</v>
      </c>
      <c r="AF6285">
        <v>0.13335153389764501</v>
      </c>
      <c r="AG6285">
        <v>-7.2400000000000006E-2</v>
      </c>
      <c r="AH6285">
        <v>0.57738767151317405</v>
      </c>
      <c r="AI6285">
        <v>96.965657949493206</v>
      </c>
      <c r="AJ6285">
        <v>76.995187158669097</v>
      </c>
      <c r="AK6285">
        <v>0.59699322844422598</v>
      </c>
      <c r="AL6285">
        <v>92.435048366727003</v>
      </c>
      <c r="AM6285">
        <v>91.893018055414103</v>
      </c>
      <c r="AN6285">
        <v>1.0000000310648101</v>
      </c>
    </row>
    <row r="6286" spans="1:40" x14ac:dyDescent="0.3">
      <c r="A6286" t="str">
        <f>"20200111160628395"</f>
        <v>20200111160628395</v>
      </c>
      <c r="B6286" t="str">
        <f>"1578729988388787"</f>
        <v>1578729988388787</v>
      </c>
      <c r="C6286" t="s">
        <v>40</v>
      </c>
      <c r="D6286">
        <v>5.5355819999999998</v>
      </c>
      <c r="E6286">
        <v>0.57094319999999998</v>
      </c>
      <c r="F6286" t="s">
        <v>42</v>
      </c>
      <c r="G6286">
        <v>-193.18700000000001</v>
      </c>
      <c r="H6286">
        <v>1.0419639999999999</v>
      </c>
      <c r="I6286">
        <v>-28.660309999999999</v>
      </c>
      <c r="J6286">
        <v>-193.3485</v>
      </c>
      <c r="K6286">
        <v>1.111165</v>
      </c>
      <c r="L6286">
        <v>-29.24127</v>
      </c>
      <c r="M6286">
        <v>5.197214E-2</v>
      </c>
      <c r="N6286">
        <v>0</v>
      </c>
      <c r="O6286">
        <v>0.99854920000000003</v>
      </c>
      <c r="P6286">
        <v>2.0580190000000002E-2</v>
      </c>
      <c r="Q6286">
        <v>-5.9264440000000002E-2</v>
      </c>
      <c r="R6286">
        <v>0.99803010000000003</v>
      </c>
      <c r="S6286">
        <v>0.6257935</v>
      </c>
      <c r="T6286">
        <v>-0.2498302</v>
      </c>
      <c r="U6286">
        <v>2.9788510000000001</v>
      </c>
      <c r="V6286">
        <v>-3.1240339999999998E-2</v>
      </c>
      <c r="W6286">
        <v>-4.5258329999999999E-2</v>
      </c>
      <c r="X6286">
        <v>0.99848669999999995</v>
      </c>
      <c r="Y6286">
        <v>0.15375359999999999</v>
      </c>
      <c r="Z6286">
        <v>-8.202052E-2</v>
      </c>
      <c r="AA6286">
        <v>0.9846992</v>
      </c>
      <c r="AB6286">
        <v>27</v>
      </c>
      <c r="AC6286">
        <v>0.16149999999998901</v>
      </c>
      <c r="AD6286">
        <v>-6.9200999999999999E-2</v>
      </c>
      <c r="AE6286">
        <v>0.58096000000000003</v>
      </c>
      <c r="AF6286">
        <v>0.129380943714792</v>
      </c>
      <c r="AG6286">
        <v>-6.9200999999999999E-2</v>
      </c>
      <c r="AH6286">
        <v>0.58091800645081604</v>
      </c>
      <c r="AI6286">
        <v>96.632263069333007</v>
      </c>
      <c r="AJ6286">
        <v>77.444121480998206</v>
      </c>
      <c r="AK6286">
        <v>0.59916102778495295</v>
      </c>
      <c r="AL6286">
        <v>92.593997410827598</v>
      </c>
      <c r="AM6286">
        <v>91.792067842757803</v>
      </c>
      <c r="AN6286">
        <v>0.99999998267729695</v>
      </c>
    </row>
    <row r="6287" spans="1:40" x14ac:dyDescent="0.3">
      <c r="A6287" t="str">
        <f>"20200111160628418"</f>
        <v>20200111160628418</v>
      </c>
      <c r="B6287" t="str">
        <f>"1578729988408308"</f>
        <v>1578729988408308</v>
      </c>
      <c r="C6287" t="s">
        <v>40</v>
      </c>
      <c r="D6287">
        <v>5.5094479999999999</v>
      </c>
      <c r="E6287">
        <v>0.57062849999999998</v>
      </c>
      <c r="F6287" t="s">
        <v>42</v>
      </c>
      <c r="G6287">
        <v>-193.1755</v>
      </c>
      <c r="H6287">
        <v>1.0409409999999999</v>
      </c>
      <c r="I6287">
        <v>-28.41658</v>
      </c>
      <c r="J6287">
        <v>-193.3355</v>
      </c>
      <c r="K6287">
        <v>1.1111839999999999</v>
      </c>
      <c r="L6287">
        <v>-28.970580000000002</v>
      </c>
      <c r="M6287">
        <v>5.0868110000000001E-2</v>
      </c>
      <c r="N6287">
        <v>0</v>
      </c>
      <c r="O6287">
        <v>0.99860610000000005</v>
      </c>
      <c r="P6287">
        <v>2.090202E-2</v>
      </c>
      <c r="Q6287">
        <v>-5.957088E-2</v>
      </c>
      <c r="R6287">
        <v>0.99800520000000004</v>
      </c>
      <c r="S6287">
        <v>0.62445069999999903</v>
      </c>
      <c r="T6287">
        <v>-0.25357600000000002</v>
      </c>
      <c r="U6287">
        <v>2.9779969999999998</v>
      </c>
      <c r="V6287">
        <v>-2.9808680000000001E-2</v>
      </c>
      <c r="W6287">
        <v>-4.5570909999999999E-2</v>
      </c>
      <c r="X6287">
        <v>0.99851630000000002</v>
      </c>
      <c r="Y6287">
        <v>0.15445629999999999</v>
      </c>
      <c r="Z6287">
        <v>-8.3271239999999996E-2</v>
      </c>
      <c r="AA6287">
        <v>0.98448420000000003</v>
      </c>
      <c r="AB6287">
        <v>27</v>
      </c>
      <c r="AC6287">
        <v>0.15999999999999601</v>
      </c>
      <c r="AD6287">
        <v>-7.0243E-2</v>
      </c>
      <c r="AE6287">
        <v>0.55399999999999805</v>
      </c>
      <c r="AF6287">
        <v>0.12968474934714599</v>
      </c>
      <c r="AG6287">
        <v>-7.0243E-2</v>
      </c>
      <c r="AH6287">
        <v>0.55321341816785696</v>
      </c>
      <c r="AI6287">
        <v>97.047232152420506</v>
      </c>
      <c r="AJ6287">
        <v>76.8069001117005</v>
      </c>
      <c r="AK6287">
        <v>0.57253584979736905</v>
      </c>
      <c r="AL6287">
        <v>92.611925291344093</v>
      </c>
      <c r="AM6287">
        <v>91.7099415046047</v>
      </c>
      <c r="AN6287">
        <v>1.0000000333036201</v>
      </c>
    </row>
    <row r="6288" spans="1:40" x14ac:dyDescent="0.3">
      <c r="A6288" t="str">
        <f>"20200111160628439"</f>
        <v>20200111160628439</v>
      </c>
      <c r="B6288" t="str">
        <f>"1578729988428803"</f>
        <v>1578729988428803</v>
      </c>
      <c r="C6288" t="s">
        <v>40</v>
      </c>
      <c r="D6288">
        <v>5.5391059999999896</v>
      </c>
      <c r="E6288">
        <v>0.57040609999999903</v>
      </c>
      <c r="F6288" t="s">
        <v>42</v>
      </c>
      <c r="G6288">
        <v>-193.16820000000001</v>
      </c>
      <c r="H6288">
        <v>1.0426850000000001</v>
      </c>
      <c r="I6288">
        <v>-28.17127</v>
      </c>
      <c r="J6288">
        <v>-193.32339999999999</v>
      </c>
      <c r="K6288">
        <v>1.1111979999999999</v>
      </c>
      <c r="L6288">
        <v>-28.708950000000002</v>
      </c>
      <c r="M6288">
        <v>4.9769430000000003E-2</v>
      </c>
      <c r="N6288">
        <v>0</v>
      </c>
      <c r="O6288">
        <v>0.99866149999999998</v>
      </c>
      <c r="P6288">
        <v>1.9704599999999999E-2</v>
      </c>
      <c r="Q6288">
        <v>-5.7151149999999998E-2</v>
      </c>
      <c r="R6288">
        <v>0.99817109999999998</v>
      </c>
      <c r="S6288">
        <v>0.62284849999999903</v>
      </c>
      <c r="T6288">
        <v>-0.2552162</v>
      </c>
      <c r="U6288">
        <v>2.977722</v>
      </c>
      <c r="V6288">
        <v>-2.9916160000000001E-2</v>
      </c>
      <c r="W6288">
        <v>-4.315716E-2</v>
      </c>
      <c r="X6288">
        <v>0.99862030000000002</v>
      </c>
      <c r="Y6288">
        <v>0.1550444</v>
      </c>
      <c r="Z6288">
        <v>-8.3821160000000006E-2</v>
      </c>
      <c r="AA6288">
        <v>0.98434509999999997</v>
      </c>
      <c r="AB6288">
        <v>27</v>
      </c>
      <c r="AC6288">
        <v>0.15519999999997899</v>
      </c>
      <c r="AD6288">
        <v>-6.8512999999999796E-2</v>
      </c>
      <c r="AE6288">
        <v>0.53768000000000105</v>
      </c>
      <c r="AF6288">
        <v>0.12635120157295501</v>
      </c>
      <c r="AG6288">
        <v>-6.8512999999999796E-2</v>
      </c>
      <c r="AH6288">
        <v>0.536694564473707</v>
      </c>
      <c r="AI6288">
        <v>97.083278641481897</v>
      </c>
      <c r="AJ6288">
        <v>76.752386436847999</v>
      </c>
      <c r="AK6288">
        <v>0.55560751690698995</v>
      </c>
      <c r="AL6288">
        <v>92.473491333412298</v>
      </c>
      <c r="AM6288">
        <v>91.715924679727493</v>
      </c>
      <c r="AN6288">
        <v>1.00000001033025</v>
      </c>
    </row>
    <row r="6289" spans="1:40" x14ac:dyDescent="0.3">
      <c r="A6289" t="str">
        <f>"20200111160628463"</f>
        <v>20200111160628463</v>
      </c>
      <c r="B6289" t="str">
        <f>"1578729988459059"</f>
        <v>1578729988459059</v>
      </c>
      <c r="C6289" t="s">
        <v>40</v>
      </c>
      <c r="D6289">
        <v>5.5290359999999996</v>
      </c>
      <c r="E6289">
        <v>0.56999540000000004</v>
      </c>
      <c r="F6289" t="s">
        <v>42</v>
      </c>
      <c r="G6289">
        <v>-193.16079999999999</v>
      </c>
      <c r="H6289">
        <v>1.0457890000000001</v>
      </c>
      <c r="I6289">
        <v>-27.924859999999999</v>
      </c>
      <c r="J6289">
        <v>-193.31010000000001</v>
      </c>
      <c r="K6289">
        <v>1.111219</v>
      </c>
      <c r="L6289">
        <v>-28.41525</v>
      </c>
      <c r="M6289">
        <v>4.8515599999999999E-2</v>
      </c>
      <c r="N6289">
        <v>0</v>
      </c>
      <c r="O6289">
        <v>0.99872329999999998</v>
      </c>
      <c r="P6289">
        <v>1.800299E-2</v>
      </c>
      <c r="Q6289">
        <v>-5.2548900000000003E-2</v>
      </c>
      <c r="R6289">
        <v>0.99845609999999996</v>
      </c>
      <c r="S6289">
        <v>0.61761469999999996</v>
      </c>
      <c r="T6289">
        <v>-0.248505</v>
      </c>
      <c r="U6289">
        <v>2.9790649999999999</v>
      </c>
      <c r="V6289">
        <v>-3.038329E-2</v>
      </c>
      <c r="W6289">
        <v>-3.8560179999999999E-2</v>
      </c>
      <c r="X6289">
        <v>0.99879430000000002</v>
      </c>
      <c r="Y6289">
        <v>0.1545753</v>
      </c>
      <c r="Z6289">
        <v>-8.1621230000000003E-2</v>
      </c>
      <c r="AA6289">
        <v>0.98460369999999997</v>
      </c>
      <c r="AB6289">
        <v>27</v>
      </c>
      <c r="AC6289">
        <v>0.14930000000001001</v>
      </c>
      <c r="AD6289">
        <v>-6.5430000000000099E-2</v>
      </c>
      <c r="AE6289">
        <v>0.49039000000000099</v>
      </c>
      <c r="AF6289">
        <v>0.123321089936586</v>
      </c>
      <c r="AG6289">
        <v>-6.5430000000000099E-2</v>
      </c>
      <c r="AH6289">
        <v>0.48908830326552799</v>
      </c>
      <c r="AI6289">
        <v>97.391105597352293</v>
      </c>
      <c r="AJ6289">
        <v>75.848153814683897</v>
      </c>
      <c r="AK6289">
        <v>0.50862220214447995</v>
      </c>
      <c r="AL6289">
        <v>92.209883348966898</v>
      </c>
      <c r="AM6289">
        <v>91.742398417937096</v>
      </c>
      <c r="AN6289">
        <v>1.0000000427526701</v>
      </c>
    </row>
    <row r="6290" spans="1:40" x14ac:dyDescent="0.3">
      <c r="A6290" t="str">
        <f>"20200111160628506"</f>
        <v>20200111160628506</v>
      </c>
      <c r="B6290" t="str">
        <f>"1578729988499075"</f>
        <v>1578729988499075</v>
      </c>
      <c r="C6290" t="s">
        <v>40</v>
      </c>
      <c r="D6290">
        <v>5.6255179999999996</v>
      </c>
      <c r="E6290">
        <v>0.49992730000000002</v>
      </c>
      <c r="F6290" t="s">
        <v>41</v>
      </c>
      <c r="G6290">
        <v>-190.42740000000001</v>
      </c>
      <c r="H6290" s="1">
        <v>-2.7321169999999999E-6</v>
      </c>
      <c r="I6290">
        <v>-14.307309999999999</v>
      </c>
      <c r="J6290">
        <v>-193.28749999999999</v>
      </c>
      <c r="K6290">
        <v>1.1112249999999999</v>
      </c>
      <c r="L6290">
        <v>-27.892790000000002</v>
      </c>
      <c r="M6290">
        <v>4.6261110000000001E-2</v>
      </c>
      <c r="N6290">
        <v>0</v>
      </c>
      <c r="O6290">
        <v>0.99883040000000001</v>
      </c>
      <c r="P6290">
        <v>1.4900679999999999E-2</v>
      </c>
      <c r="Q6290">
        <v>-4.6844829999999997E-2</v>
      </c>
      <c r="R6290">
        <v>0.99879099999999998</v>
      </c>
      <c r="S6290">
        <v>0.60917659999999996</v>
      </c>
      <c r="T6290">
        <v>-0.2348237</v>
      </c>
      <c r="U6290">
        <v>2.981293</v>
      </c>
      <c r="V6290">
        <v>-3.1255970000000001E-2</v>
      </c>
      <c r="W6290">
        <v>-3.286451E-2</v>
      </c>
      <c r="X6290">
        <v>0.99897100000000005</v>
      </c>
      <c r="Y6290">
        <v>0.15405679999999999</v>
      </c>
      <c r="Z6290">
        <v>-7.7136549999999998E-2</v>
      </c>
      <c r="AA6290">
        <v>0.98504639999999999</v>
      </c>
      <c r="AB6290">
        <v>27</v>
      </c>
      <c r="AC6290">
        <v>2.8600999999999801</v>
      </c>
      <c r="AD6290">
        <v>-1.1112277321170001</v>
      </c>
      <c r="AE6290">
        <v>13.585479999999899</v>
      </c>
      <c r="AF6290">
        <v>2.2143097717373599</v>
      </c>
      <c r="AG6290">
        <v>-1.1112277321170001</v>
      </c>
      <c r="AH6290">
        <v>13.6160254347327</v>
      </c>
      <c r="AI6290">
        <v>94.605431855409293</v>
      </c>
      <c r="AJ6290">
        <v>80.763121273748297</v>
      </c>
      <c r="AK6290">
        <v>13.839586102088701</v>
      </c>
      <c r="AL6290">
        <v>91.883336780635901</v>
      </c>
      <c r="AM6290">
        <v>91.792095195605398</v>
      </c>
      <c r="AN6290">
        <v>1.0000000352595899</v>
      </c>
    </row>
    <row r="6291" spans="1:40" x14ac:dyDescent="0.3">
      <c r="A6291" t="str">
        <f>"20200111160628529"</f>
        <v>20200111160628529</v>
      </c>
      <c r="B6291" t="str">
        <f>"1578729988518595"</f>
        <v>1578729988518595</v>
      </c>
      <c r="C6291" t="s">
        <v>40</v>
      </c>
      <c r="D6291">
        <v>5.5626490000000004</v>
      </c>
      <c r="E6291">
        <v>0.4976508</v>
      </c>
      <c r="F6291" t="s">
        <v>41</v>
      </c>
      <c r="G6291">
        <v>-192.3775</v>
      </c>
      <c r="H6291" s="1">
        <v>-4.5407560000000003E-6</v>
      </c>
      <c r="I6291">
        <v>29.090730000000001</v>
      </c>
      <c r="J6291">
        <v>-193.27590000000001</v>
      </c>
      <c r="K6291">
        <v>1.111219</v>
      </c>
      <c r="L6291">
        <v>-27.612120000000001</v>
      </c>
      <c r="M6291">
        <v>4.5049739999999998E-2</v>
      </c>
      <c r="N6291">
        <v>0</v>
      </c>
      <c r="O6291">
        <v>0.99888580000000005</v>
      </c>
      <c r="P6291">
        <v>1.3622560000000001E-2</v>
      </c>
      <c r="Q6291">
        <v>-4.7046989999999997E-2</v>
      </c>
      <c r="R6291">
        <v>0.99879980000000002</v>
      </c>
      <c r="S6291">
        <v>4.79126E-2</v>
      </c>
      <c r="T6291">
        <v>-5.8506250000000003E-2</v>
      </c>
      <c r="U6291">
        <v>3.0001829999999998</v>
      </c>
      <c r="V6291">
        <v>-3.1321969999999998E-2</v>
      </c>
      <c r="W6291">
        <v>-3.3070879999999997E-2</v>
      </c>
      <c r="X6291">
        <v>0.99896209999999996</v>
      </c>
      <c r="Y6291">
        <v>-2.9099839999999998E-2</v>
      </c>
      <c r="Z6291">
        <v>-1.9462130000000001E-2</v>
      </c>
      <c r="AA6291">
        <v>0.99938700000000003</v>
      </c>
      <c r="AB6291">
        <v>27</v>
      </c>
      <c r="AC6291">
        <v>0.89840000000000897</v>
      </c>
      <c r="AD6291">
        <v>-1.111223540756</v>
      </c>
      <c r="AE6291">
        <v>56.702849999999998</v>
      </c>
      <c r="AF6291">
        <v>-1.6565773970118001</v>
      </c>
      <c r="AG6291">
        <v>-1.111223540756</v>
      </c>
      <c r="AH6291">
        <v>56.6639908418299</v>
      </c>
      <c r="AI6291">
        <v>91.122989706173996</v>
      </c>
      <c r="AJ6291">
        <v>91.674570829994707</v>
      </c>
      <c r="AK6291">
        <v>56.699091038153298</v>
      </c>
      <c r="AL6291">
        <v>91.895167383203301</v>
      </c>
      <c r="AM6291">
        <v>91.795892891758299</v>
      </c>
      <c r="AN6291">
        <v>1.0000000130725299</v>
      </c>
    </row>
    <row r="6292" spans="1:40" x14ac:dyDescent="0.3">
      <c r="A6292" t="str">
        <f>"20200111160628552"</f>
        <v>20200111160628552</v>
      </c>
      <c r="B6292" t="str">
        <f>"1578729988548851"</f>
        <v>1578729988548851</v>
      </c>
      <c r="C6292" t="s">
        <v>40</v>
      </c>
      <c r="D6292">
        <v>5.5153410000000003</v>
      </c>
      <c r="E6292">
        <v>0.49741479999999999</v>
      </c>
      <c r="F6292" t="s">
        <v>41</v>
      </c>
      <c r="G6292">
        <v>-193.15029999999999</v>
      </c>
      <c r="H6292" s="1">
        <v>-1.4286660000000001E-6</v>
      </c>
      <c r="I6292">
        <v>-9.0345289999999991</v>
      </c>
      <c r="J6292">
        <v>-193.2647</v>
      </c>
      <c r="K6292">
        <v>1.1112139999999999</v>
      </c>
      <c r="L6292">
        <v>-27.332180000000001</v>
      </c>
      <c r="M6292">
        <v>4.3851929999999997E-2</v>
      </c>
      <c r="N6292">
        <v>0</v>
      </c>
      <c r="O6292">
        <v>0.99893920000000003</v>
      </c>
      <c r="P6292">
        <v>1.278057E-2</v>
      </c>
      <c r="Q6292">
        <v>-4.7667880000000003E-2</v>
      </c>
      <c r="R6292">
        <v>0.99878149999999999</v>
      </c>
      <c r="S6292">
        <v>2.0248410000000001E-2</v>
      </c>
      <c r="T6292">
        <v>-0.17914040000000001</v>
      </c>
      <c r="U6292">
        <v>2.994904</v>
      </c>
      <c r="V6292">
        <v>-3.0965019999999999E-2</v>
      </c>
      <c r="W6292">
        <v>-3.3694580000000002E-2</v>
      </c>
      <c r="X6292">
        <v>0.99895239999999996</v>
      </c>
      <c r="Y6292">
        <v>-3.7112970000000002E-2</v>
      </c>
      <c r="Z6292">
        <v>-5.9601019999999998E-2</v>
      </c>
      <c r="AA6292">
        <v>0.99753210000000003</v>
      </c>
      <c r="AB6292">
        <v>27</v>
      </c>
      <c r="AC6292">
        <v>0.114400000000017</v>
      </c>
      <c r="AD6292">
        <v>-1.1112154286660001</v>
      </c>
      <c r="AE6292">
        <v>18.297650999999998</v>
      </c>
      <c r="AF6292">
        <v>-0.685647963466263</v>
      </c>
      <c r="AG6292">
        <v>-1.1112154286660001</v>
      </c>
      <c r="AH6292">
        <v>18.217875885496198</v>
      </c>
      <c r="AI6292">
        <v>93.488018824342902</v>
      </c>
      <c r="AJ6292">
        <v>92.155366630246704</v>
      </c>
      <c r="AK6292">
        <v>18.264608253068499</v>
      </c>
      <c r="AL6292">
        <v>91.930922661997599</v>
      </c>
      <c r="AM6292">
        <v>91.775457022424007</v>
      </c>
      <c r="AN6292">
        <v>1.00000002732536</v>
      </c>
    </row>
    <row r="6293" spans="1:40" x14ac:dyDescent="0.3">
      <c r="A6293" t="str">
        <f>"20200111160628575"</f>
        <v>20200111160628575</v>
      </c>
      <c r="B6293" t="str">
        <f>"1578729988568371"</f>
        <v>1578729988568371</v>
      </c>
      <c r="C6293" t="s">
        <v>40</v>
      </c>
      <c r="D6293">
        <v>5.4994519999999998</v>
      </c>
      <c r="E6293">
        <v>0.49681579999999897</v>
      </c>
      <c r="F6293" t="s">
        <v>41</v>
      </c>
      <c r="G6293">
        <v>-193.2029</v>
      </c>
      <c r="H6293" s="1">
        <v>-3.9272549999999999E-6</v>
      </c>
      <c r="I6293">
        <v>-13.14228</v>
      </c>
      <c r="J6293">
        <v>-193.25409999999999</v>
      </c>
      <c r="K6293">
        <v>1.1112150000000001</v>
      </c>
      <c r="L6293">
        <v>-27.06305</v>
      </c>
      <c r="M6293">
        <v>4.2722429999999999E-2</v>
      </c>
      <c r="N6293">
        <v>0</v>
      </c>
      <c r="O6293">
        <v>0.99898819999999999</v>
      </c>
      <c r="P6293">
        <v>1.2100440000000001E-2</v>
      </c>
      <c r="Q6293">
        <v>-4.745344E-2</v>
      </c>
      <c r="R6293">
        <v>0.99880020000000003</v>
      </c>
      <c r="S6293">
        <v>1.3031010000000001E-2</v>
      </c>
      <c r="T6293">
        <v>-0.23432910000000001</v>
      </c>
      <c r="U6293">
        <v>2.9923099999999998</v>
      </c>
      <c r="V6293">
        <v>-3.0518429999999999E-2</v>
      </c>
      <c r="W6293">
        <v>-3.3481650000000002E-2</v>
      </c>
      <c r="X6293">
        <v>0.99897329999999995</v>
      </c>
      <c r="Y6293">
        <v>-3.8388650000000003E-2</v>
      </c>
      <c r="Z6293">
        <v>-7.7935470000000007E-2</v>
      </c>
      <c r="AA6293">
        <v>0.99621899999999997</v>
      </c>
      <c r="AB6293">
        <v>27</v>
      </c>
      <c r="AC6293">
        <v>5.1199999999994299E-2</v>
      </c>
      <c r="AD6293">
        <v>-1.1112189272549999</v>
      </c>
      <c r="AE6293">
        <v>13.920769999999999</v>
      </c>
      <c r="AF6293">
        <v>-0.54019254097204505</v>
      </c>
      <c r="AG6293">
        <v>-1.1112189272549999</v>
      </c>
      <c r="AH6293">
        <v>13.8221720792521</v>
      </c>
      <c r="AI6293">
        <v>94.592857200741605</v>
      </c>
      <c r="AJ6293">
        <v>92.238071499025494</v>
      </c>
      <c r="AK6293">
        <v>13.877285630629199</v>
      </c>
      <c r="AL6293">
        <v>91.918715789245596</v>
      </c>
      <c r="AM6293">
        <v>91.749830114802407</v>
      </c>
      <c r="AN6293">
        <v>1.0000000247846299</v>
      </c>
    </row>
    <row r="6294" spans="1:40" x14ac:dyDescent="0.3">
      <c r="A6294" t="str">
        <f>"20200111160628595"</f>
        <v>20200111160628595</v>
      </c>
      <c r="B6294" t="str">
        <f>"1578729988588867"</f>
        <v>1578729988588867</v>
      </c>
      <c r="C6294" t="s">
        <v>40</v>
      </c>
      <c r="D6294">
        <v>5.5990440000000001</v>
      </c>
      <c r="E6294">
        <v>0.49743480000000001</v>
      </c>
      <c r="F6294" t="s">
        <v>41</v>
      </c>
      <c r="G6294">
        <v>-193.23099999999999</v>
      </c>
      <c r="H6294" s="1">
        <v>-3.7358049999999998E-6</v>
      </c>
      <c r="I6294">
        <v>-13.70656</v>
      </c>
      <c r="J6294">
        <v>-193.24449999999999</v>
      </c>
      <c r="K6294">
        <v>1.1112150000000001</v>
      </c>
      <c r="L6294">
        <v>-26.81146</v>
      </c>
      <c r="M6294">
        <v>4.1695700000000002E-2</v>
      </c>
      <c r="N6294">
        <v>0</v>
      </c>
      <c r="O6294">
        <v>0.99903160000000002</v>
      </c>
      <c r="P6294">
        <v>1.064609E-2</v>
      </c>
      <c r="Q6294">
        <v>-4.620792E-2</v>
      </c>
      <c r="R6294">
        <v>0.99887510000000002</v>
      </c>
      <c r="S6294">
        <v>5.1879880000000001E-3</v>
      </c>
      <c r="T6294">
        <v>-0.2489027</v>
      </c>
      <c r="U6294">
        <v>2.99173</v>
      </c>
      <c r="V6294">
        <v>-3.0952690000000001E-2</v>
      </c>
      <c r="W6294">
        <v>-3.2238490000000002E-2</v>
      </c>
      <c r="X6294">
        <v>0.99900080000000002</v>
      </c>
      <c r="Y6294">
        <v>-3.9973050000000003E-2</v>
      </c>
      <c r="Z6294">
        <v>-8.2769239999999994E-2</v>
      </c>
      <c r="AA6294">
        <v>0.99576679999999995</v>
      </c>
      <c r="AB6294">
        <v>27</v>
      </c>
      <c r="AC6294">
        <v>1.3499999999993399E-2</v>
      </c>
      <c r="AD6294">
        <v>-1.1112187358050001</v>
      </c>
      <c r="AE6294">
        <v>13.104899999999899</v>
      </c>
      <c r="AF6294">
        <v>-0.52917882574151998</v>
      </c>
      <c r="AG6294">
        <v>-1.1112187358050001</v>
      </c>
      <c r="AH6294">
        <v>13.0005893611959</v>
      </c>
      <c r="AI6294">
        <v>94.881430428244499</v>
      </c>
      <c r="AJ6294">
        <v>92.330893177444807</v>
      </c>
      <c r="AK6294">
        <v>13.0587197323037</v>
      </c>
      <c r="AL6294">
        <v>91.847449535847105</v>
      </c>
      <c r="AM6294">
        <v>91.774664574332107</v>
      </c>
      <c r="AN6294">
        <v>0.99999999382817795</v>
      </c>
    </row>
    <row r="6295" spans="1:40" x14ac:dyDescent="0.3">
      <c r="A6295" t="str">
        <f>"20200111160628618"</f>
        <v>20200111160628618</v>
      </c>
      <c r="B6295" t="str">
        <f>"1578729988608387"</f>
        <v>1578729988608387</v>
      </c>
      <c r="C6295" t="s">
        <v>40</v>
      </c>
      <c r="D6295">
        <v>5.497897</v>
      </c>
      <c r="E6295">
        <v>0.49766830000000001</v>
      </c>
      <c r="F6295" t="s">
        <v>41</v>
      </c>
      <c r="G6295">
        <v>-193.2209</v>
      </c>
      <c r="H6295" s="1">
        <v>-3.7136490000000002E-6</v>
      </c>
      <c r="I6295">
        <v>-13.751950000000001</v>
      </c>
      <c r="J6295">
        <v>-193.2345</v>
      </c>
      <c r="K6295">
        <v>1.1112010000000001</v>
      </c>
      <c r="L6295">
        <v>-26.541930000000001</v>
      </c>
      <c r="M6295">
        <v>4.0637399999999997E-2</v>
      </c>
      <c r="N6295">
        <v>0</v>
      </c>
      <c r="O6295">
        <v>0.99907520000000005</v>
      </c>
      <c r="P6295">
        <v>8.9072159999999904E-3</v>
      </c>
      <c r="Q6295">
        <v>-4.4969059999999998E-2</v>
      </c>
      <c r="R6295">
        <v>0.99894870000000002</v>
      </c>
      <c r="S6295">
        <v>5.4168699999999998E-3</v>
      </c>
      <c r="T6295">
        <v>-0.25454719999999997</v>
      </c>
      <c r="U6295">
        <v>2.9915470000000002</v>
      </c>
      <c r="V6295">
        <v>-3.1640349999999998E-2</v>
      </c>
      <c r="W6295">
        <v>-3.1002020000000002E-2</v>
      </c>
      <c r="X6295">
        <v>0.99901839999999997</v>
      </c>
      <c r="Y6295">
        <v>-3.8838560000000001E-2</v>
      </c>
      <c r="Z6295">
        <v>-8.4645490000000004E-2</v>
      </c>
      <c r="AA6295">
        <v>0.99565389999999998</v>
      </c>
      <c r="AB6295">
        <v>27</v>
      </c>
      <c r="AC6295">
        <v>1.35999999999967E-2</v>
      </c>
      <c r="AD6295">
        <v>-1.111204713649</v>
      </c>
      <c r="AE6295">
        <v>12.7899799999999</v>
      </c>
      <c r="AF6295">
        <v>-0.50242164416892199</v>
      </c>
      <c r="AG6295">
        <v>-1.111204713649</v>
      </c>
      <c r="AH6295">
        <v>12.6842215581957</v>
      </c>
      <c r="AI6295">
        <v>95.002727462842898</v>
      </c>
      <c r="AJ6295">
        <v>92.268298361126</v>
      </c>
      <c r="AK6295">
        <v>12.742710856076201</v>
      </c>
      <c r="AL6295">
        <v>91.776569563753796</v>
      </c>
      <c r="AM6295">
        <v>91.8140333896485</v>
      </c>
      <c r="AN6295">
        <v>1.0000000002653799</v>
      </c>
    </row>
    <row r="6296" spans="1:40" x14ac:dyDescent="0.3">
      <c r="A6296" t="str">
        <f>"20200111160628641"</f>
        <v>20200111160628641</v>
      </c>
      <c r="B6296" t="str">
        <f>"1578729988628882"</f>
        <v>1578729988628882</v>
      </c>
      <c r="C6296" t="s">
        <v>40</v>
      </c>
      <c r="D6296">
        <v>5.4826489999999897</v>
      </c>
      <c r="E6296">
        <v>0.49794769999999999</v>
      </c>
      <c r="F6296" t="s">
        <v>41</v>
      </c>
      <c r="G6296">
        <v>-193.22730000000001</v>
      </c>
      <c r="H6296" s="1">
        <v>-3.7535280000000001E-6</v>
      </c>
      <c r="I6296">
        <v>-13.662979999999999</v>
      </c>
      <c r="J6296">
        <v>-193.22460000000001</v>
      </c>
      <c r="K6296">
        <v>1.1111679999999999</v>
      </c>
      <c r="L6296">
        <v>-26.269590000000001</v>
      </c>
      <c r="M6296">
        <v>3.9624079999999999E-2</v>
      </c>
      <c r="N6296">
        <v>0</v>
      </c>
      <c r="O6296">
        <v>0.999116</v>
      </c>
      <c r="P6296">
        <v>6.8551569999999997E-3</v>
      </c>
      <c r="Q6296">
        <v>-4.2958610000000001E-2</v>
      </c>
      <c r="R6296">
        <v>0.99905339999999998</v>
      </c>
      <c r="S6296">
        <v>1.6784669999999999E-3</v>
      </c>
      <c r="T6296">
        <v>-0.25811020000000001</v>
      </c>
      <c r="U6296">
        <v>2.9915159999999998</v>
      </c>
      <c r="V6296">
        <v>-3.2688889999999998E-2</v>
      </c>
      <c r="W6296">
        <v>-2.8993540000000002E-2</v>
      </c>
      <c r="X6296">
        <v>0.99904499999999996</v>
      </c>
      <c r="Y6296">
        <v>-3.9069359999999997E-2</v>
      </c>
      <c r="Z6296">
        <v>-8.5827379999999995E-2</v>
      </c>
      <c r="AA6296">
        <v>0.99554370000000003</v>
      </c>
      <c r="AB6296">
        <v>27</v>
      </c>
      <c r="AC6296">
        <v>-2.7000000000043599E-3</v>
      </c>
      <c r="AD6296">
        <v>-1.1111717535279999</v>
      </c>
      <c r="AE6296">
        <v>12.60661</v>
      </c>
      <c r="AF6296">
        <v>-0.498400372598159</v>
      </c>
      <c r="AG6296">
        <v>-1.1111717535279999</v>
      </c>
      <c r="AH6296">
        <v>12.4994918595968</v>
      </c>
      <c r="AI6296">
        <v>95.076076530219794</v>
      </c>
      <c r="AJ6296">
        <v>92.283382290114503</v>
      </c>
      <c r="AK6296">
        <v>12.558678367781001</v>
      </c>
      <c r="AL6296">
        <v>91.661440221562401</v>
      </c>
      <c r="AM6296">
        <v>91.874057194758805</v>
      </c>
      <c r="AN6296">
        <v>1.0000000504580799</v>
      </c>
    </row>
    <row r="6297" spans="1:40" x14ac:dyDescent="0.3">
      <c r="A6297" t="str">
        <f>"20200111160628664"</f>
        <v>20200111160628664</v>
      </c>
      <c r="B6297" t="str">
        <f>"1578729988659139"</f>
        <v>1578729988659139</v>
      </c>
      <c r="C6297" t="s">
        <v>40</v>
      </c>
      <c r="D6297">
        <v>5.4531850000000004</v>
      </c>
      <c r="E6297">
        <v>0.498415</v>
      </c>
      <c r="F6297" t="s">
        <v>41</v>
      </c>
      <c r="G6297">
        <v>-193.23580000000001</v>
      </c>
      <c r="H6297" s="1">
        <v>-3.849669E-6</v>
      </c>
      <c r="I6297">
        <v>-13.38744</v>
      </c>
      <c r="J6297">
        <v>-193.2148</v>
      </c>
      <c r="K6297">
        <v>1.1111260000000001</v>
      </c>
      <c r="L6297">
        <v>-25.992979999999999</v>
      </c>
      <c r="M6297">
        <v>3.8664440000000001E-2</v>
      </c>
      <c r="N6297">
        <v>0</v>
      </c>
      <c r="O6297">
        <v>0.99915370000000003</v>
      </c>
      <c r="P6297">
        <v>3.6904590000000001E-3</v>
      </c>
      <c r="Q6297">
        <v>-4.1189120000000003E-2</v>
      </c>
      <c r="R6297">
        <v>0.99914460000000005</v>
      </c>
      <c r="S6297">
        <v>-2.5939940000000001E-3</v>
      </c>
      <c r="T6297">
        <v>-0.25805939999999999</v>
      </c>
      <c r="U6297">
        <v>2.9917600000000002</v>
      </c>
      <c r="V6297">
        <v>-3.4902389999999998E-2</v>
      </c>
      <c r="W6297">
        <v>-2.722772E-2</v>
      </c>
      <c r="X6297">
        <v>0.99901969999999995</v>
      </c>
      <c r="Y6297">
        <v>-3.9531379999999998E-2</v>
      </c>
      <c r="Z6297">
        <v>-8.5807709999999995E-2</v>
      </c>
      <c r="AA6297">
        <v>0.9955271</v>
      </c>
      <c r="AB6297">
        <v>27</v>
      </c>
      <c r="AC6297">
        <v>-2.1000000000015E-2</v>
      </c>
      <c r="AD6297">
        <v>-1.1111298496690001</v>
      </c>
      <c r="AE6297">
        <v>12.60554</v>
      </c>
      <c r="AF6297">
        <v>-0.50449862597721495</v>
      </c>
      <c r="AG6297">
        <v>-1.1111298496690001</v>
      </c>
      <c r="AH6297">
        <v>12.4981928375884</v>
      </c>
      <c r="AI6297">
        <v>95.0763113858699</v>
      </c>
      <c r="AJ6297">
        <v>92.311530811349698</v>
      </c>
      <c r="AK6297">
        <v>12.557625277574701</v>
      </c>
      <c r="AL6297">
        <v>91.560226349424099</v>
      </c>
      <c r="AM6297">
        <v>92.000908112790498</v>
      </c>
      <c r="AN6297">
        <v>0.99999994327609798</v>
      </c>
    </row>
    <row r="6298" spans="1:40" x14ac:dyDescent="0.3">
      <c r="A6298" t="str">
        <f>"20200111160628686"</f>
        <v>20200111160628686</v>
      </c>
      <c r="B6298" t="str">
        <f>"1578729988678658"</f>
        <v>1578729988678658</v>
      </c>
      <c r="C6298" t="s">
        <v>40</v>
      </c>
      <c r="D6298">
        <v>5.4225519999999996</v>
      </c>
      <c r="E6298">
        <v>0.49875720000000001</v>
      </c>
      <c r="F6298" t="s">
        <v>41</v>
      </c>
      <c r="G6298">
        <v>-193.2518</v>
      </c>
      <c r="H6298" s="1">
        <v>-3.9320270000000003E-6</v>
      </c>
      <c r="I6298">
        <v>-13.15376</v>
      </c>
      <c r="J6298">
        <v>-193.2056</v>
      </c>
      <c r="K6298">
        <v>1.1110709999999999</v>
      </c>
      <c r="L6298">
        <v>-25.729099999999999</v>
      </c>
      <c r="M6298">
        <v>3.783127E-2</v>
      </c>
      <c r="N6298">
        <v>0</v>
      </c>
      <c r="O6298">
        <v>0.99918560000000001</v>
      </c>
      <c r="P6298">
        <v>1.0599380000000001E-3</v>
      </c>
      <c r="Q6298">
        <v>-3.9966160000000001E-2</v>
      </c>
      <c r="R6298">
        <v>0.99920050000000005</v>
      </c>
      <c r="S6298">
        <v>-8.6212159999999993E-3</v>
      </c>
      <c r="T6298">
        <v>-0.25892569999999998</v>
      </c>
      <c r="U6298">
        <v>2.9919129999999998</v>
      </c>
      <c r="V6298">
        <v>-3.6706099999999998E-2</v>
      </c>
      <c r="W6298">
        <v>-2.600678E-2</v>
      </c>
      <c r="X6298">
        <v>0.99898759999999998</v>
      </c>
      <c r="Y6298">
        <v>-4.0703509999999998E-2</v>
      </c>
      <c r="Z6298">
        <v>-8.6091210000000001E-2</v>
      </c>
      <c r="AA6298">
        <v>0.99545539999999999</v>
      </c>
      <c r="AB6298">
        <v>27</v>
      </c>
      <c r="AC6298">
        <v>-4.6199999999998902E-2</v>
      </c>
      <c r="AD6298">
        <v>-1.1110749320269999</v>
      </c>
      <c r="AE6298">
        <v>12.575340000000001</v>
      </c>
      <c r="AF6298">
        <v>-0.51791191514518398</v>
      </c>
      <c r="AG6298">
        <v>-1.1110749320269999</v>
      </c>
      <c r="AH6298">
        <v>12.467265733917801</v>
      </c>
      <c r="AI6298">
        <v>95.0883444004117</v>
      </c>
      <c r="AJ6298">
        <v>92.378798643826499</v>
      </c>
      <c r="AK6298">
        <v>12.5273874026689</v>
      </c>
      <c r="AL6298">
        <v>91.490246816739798</v>
      </c>
      <c r="AM6298">
        <v>92.104289314651197</v>
      </c>
      <c r="AN6298">
        <v>0.99999995766846805</v>
      </c>
    </row>
    <row r="6299" spans="1:40" x14ac:dyDescent="0.3">
      <c r="A6299" t="str">
        <f>"20200111160628707"</f>
        <v>20200111160628707</v>
      </c>
      <c r="B6299" t="str">
        <f>"1578729988699155"</f>
        <v>1578729988699155</v>
      </c>
      <c r="C6299" t="s">
        <v>40</v>
      </c>
      <c r="D6299">
        <v>5.3912950000000004</v>
      </c>
      <c r="E6299">
        <v>0.49904539999999997</v>
      </c>
      <c r="F6299" t="s">
        <v>41</v>
      </c>
      <c r="G6299">
        <v>-193.26570000000001</v>
      </c>
      <c r="H6299" s="1">
        <v>-4.021718E-6</v>
      </c>
      <c r="I6299">
        <v>-12.89742</v>
      </c>
      <c r="J6299">
        <v>-193.19640000000001</v>
      </c>
      <c r="K6299">
        <v>1.111005</v>
      </c>
      <c r="L6299">
        <v>-25.463100000000001</v>
      </c>
      <c r="M6299">
        <v>3.7072910000000001E-2</v>
      </c>
      <c r="N6299">
        <v>0</v>
      </c>
      <c r="O6299">
        <v>0.99921409999999999</v>
      </c>
      <c r="P6299">
        <v>-6.0216139999999996E-4</v>
      </c>
      <c r="Q6299">
        <v>-4.0615659999999998E-2</v>
      </c>
      <c r="R6299">
        <v>0.99917469999999997</v>
      </c>
      <c r="S6299">
        <v>-1.400757E-2</v>
      </c>
      <c r="T6299">
        <v>-0.25907560000000002</v>
      </c>
      <c r="U6299">
        <v>2.992035</v>
      </c>
      <c r="V6299">
        <v>-3.7611470000000001E-2</v>
      </c>
      <c r="W6299">
        <v>-2.6656610000000001E-2</v>
      </c>
      <c r="X6299">
        <v>0.99893679999999996</v>
      </c>
      <c r="Y6299">
        <v>-4.1737030000000001E-2</v>
      </c>
      <c r="Z6299">
        <v>-8.6138720000000002E-2</v>
      </c>
      <c r="AA6299">
        <v>0.99540850000000003</v>
      </c>
      <c r="AB6299">
        <v>27</v>
      </c>
      <c r="AC6299">
        <v>-6.9299999999998294E-2</v>
      </c>
      <c r="AD6299">
        <v>-1.111009021718</v>
      </c>
      <c r="AE6299">
        <v>12.56568</v>
      </c>
      <c r="AF6299">
        <v>-0.53099364522424697</v>
      </c>
      <c r="AG6299">
        <v>-1.111009021718</v>
      </c>
      <c r="AH6299">
        <v>12.4570914905715</v>
      </c>
      <c r="AI6299">
        <v>95.091947243994099</v>
      </c>
      <c r="AJ6299">
        <v>92.440801586260704</v>
      </c>
      <c r="AK6299">
        <v>12.517804268404101</v>
      </c>
      <c r="AL6299">
        <v>91.5274922402089</v>
      </c>
      <c r="AM6299">
        <v>92.156253561666801</v>
      </c>
      <c r="AN6299">
        <v>0.99999996396324498</v>
      </c>
    </row>
    <row r="6300" spans="1:40" x14ac:dyDescent="0.3">
      <c r="A6300" t="str">
        <f>"20200111160628731"</f>
        <v>20200111160628731</v>
      </c>
      <c r="B6300" t="str">
        <f>"1578729988728435"</f>
        <v>1578729988728435</v>
      </c>
      <c r="C6300" t="s">
        <v>40</v>
      </c>
      <c r="D6300">
        <v>5.3964169999999996</v>
      </c>
      <c r="E6300">
        <v>0.49956650000000002</v>
      </c>
      <c r="F6300" t="s">
        <v>41</v>
      </c>
      <c r="G6300">
        <v>-193.2663</v>
      </c>
      <c r="H6300" s="1">
        <v>-4.0184210000000003E-6</v>
      </c>
      <c r="I6300">
        <v>-12.907450000000001</v>
      </c>
      <c r="J6300">
        <v>-193.18700000000001</v>
      </c>
      <c r="K6300">
        <v>1.110938</v>
      </c>
      <c r="L6300">
        <v>-25.18506</v>
      </c>
      <c r="M6300">
        <v>3.6354169999999998E-2</v>
      </c>
      <c r="N6300">
        <v>0</v>
      </c>
      <c r="O6300">
        <v>0.99924060000000003</v>
      </c>
      <c r="P6300">
        <v>-2.2421580000000002E-3</v>
      </c>
      <c r="Q6300">
        <v>-4.1174780000000001E-2</v>
      </c>
      <c r="R6300">
        <v>0.99914939999999997</v>
      </c>
      <c r="S6300">
        <v>-1.664734E-2</v>
      </c>
      <c r="T6300">
        <v>-0.26472560000000001</v>
      </c>
      <c r="U6300">
        <v>2.9916990000000001</v>
      </c>
      <c r="V6300">
        <v>-3.8533999999999999E-2</v>
      </c>
      <c r="W6300">
        <v>-2.721618E-2</v>
      </c>
      <c r="X6300">
        <v>0.99888659999999996</v>
      </c>
      <c r="Y6300">
        <v>-4.1896259999999998E-2</v>
      </c>
      <c r="Z6300">
        <v>-8.8015629999999997E-2</v>
      </c>
      <c r="AA6300">
        <v>0.99523759999999994</v>
      </c>
      <c r="AB6300">
        <v>27</v>
      </c>
      <c r="AC6300">
        <v>-7.9299999999989199E-2</v>
      </c>
      <c r="AD6300">
        <v>-1.1109420184209999</v>
      </c>
      <c r="AE6300">
        <v>12.277609999999999</v>
      </c>
      <c r="AF6300">
        <v>-0.52136523523631495</v>
      </c>
      <c r="AG6300">
        <v>-1.1109420184209999</v>
      </c>
      <c r="AH6300">
        <v>12.166995357997999</v>
      </c>
      <c r="AI6300">
        <v>95.212330409762004</v>
      </c>
      <c r="AJ6300">
        <v>92.453667749228103</v>
      </c>
      <c r="AK6300">
        <v>12.228728058074999</v>
      </c>
      <c r="AL6300">
        <v>91.559564799655405</v>
      </c>
      <c r="AM6300">
        <v>92.209201049308604</v>
      </c>
      <c r="AN6300">
        <v>1.0000000146346699</v>
      </c>
    </row>
    <row r="6301" spans="1:40" x14ac:dyDescent="0.3">
      <c r="A6301" t="str">
        <f>"20200111160628753"</f>
        <v>20200111160628753</v>
      </c>
      <c r="B6301" t="str">
        <f>"1578729988748931"</f>
        <v>1578729988748931</v>
      </c>
      <c r="C6301" t="s">
        <v>40</v>
      </c>
      <c r="D6301">
        <v>5.3865449999999999</v>
      </c>
      <c r="E6301">
        <v>0.49984770000000001</v>
      </c>
      <c r="F6301" t="s">
        <v>41</v>
      </c>
      <c r="G6301">
        <v>-193.25919999999999</v>
      </c>
      <c r="H6301" s="1">
        <v>-4.0092929999999999E-6</v>
      </c>
      <c r="I6301">
        <v>-12.930580000000001</v>
      </c>
      <c r="J6301">
        <v>-193.1781</v>
      </c>
      <c r="K6301">
        <v>1.1108739999999999</v>
      </c>
      <c r="L6301">
        <v>-24.918610000000001</v>
      </c>
      <c r="M6301">
        <v>3.5735049999999997E-2</v>
      </c>
      <c r="N6301">
        <v>0</v>
      </c>
      <c r="O6301">
        <v>0.99926289999999995</v>
      </c>
      <c r="P6301">
        <v>-3.57048E-3</v>
      </c>
      <c r="Q6301">
        <v>-4.2675119999999997E-2</v>
      </c>
      <c r="R6301">
        <v>0.99908260000000004</v>
      </c>
      <c r="S6301">
        <v>-1.7623900000000001E-2</v>
      </c>
      <c r="T6301">
        <v>-0.27118239999999999</v>
      </c>
      <c r="U6301">
        <v>2.991333</v>
      </c>
      <c r="V6301">
        <v>-3.9242039999999999E-2</v>
      </c>
      <c r="W6301">
        <v>-2.8717389999999999E-2</v>
      </c>
      <c r="X6301">
        <v>0.99881699999999995</v>
      </c>
      <c r="Y6301">
        <v>-4.1601649999999997E-2</v>
      </c>
      <c r="Z6301">
        <v>-9.0159509999999998E-2</v>
      </c>
      <c r="AA6301">
        <v>0.99505809999999995</v>
      </c>
      <c r="AB6301">
        <v>27</v>
      </c>
      <c r="AC6301">
        <v>-8.1099999999992095E-2</v>
      </c>
      <c r="AD6301">
        <v>-1.110878009293</v>
      </c>
      <c r="AE6301">
        <v>11.98803</v>
      </c>
      <c r="AF6301">
        <v>-0.50514572905847399</v>
      </c>
      <c r="AG6301">
        <v>-1.110878009293</v>
      </c>
      <c r="AH6301">
        <v>11.875504069098501</v>
      </c>
      <c r="AI6301">
        <v>95.3393046192312</v>
      </c>
      <c r="AJ6301">
        <v>92.435709757484901</v>
      </c>
      <c r="AK6301">
        <v>11.93804083819</v>
      </c>
      <c r="AL6301">
        <v>91.645611463509795</v>
      </c>
      <c r="AM6301">
        <v>92.249909115033901</v>
      </c>
      <c r="AN6301">
        <v>1.0000000128403801</v>
      </c>
    </row>
    <row r="6302" spans="1:40" x14ac:dyDescent="0.3">
      <c r="A6302" t="str">
        <f>"20200111160628774"</f>
        <v>20200111160628774</v>
      </c>
      <c r="B6302" t="str">
        <f>"1578729988768450"</f>
        <v>1578729988768450</v>
      </c>
      <c r="C6302" t="s">
        <v>40</v>
      </c>
      <c r="D6302">
        <v>5.3904589999999999</v>
      </c>
      <c r="E6302">
        <v>0.50014700000000001</v>
      </c>
      <c r="F6302" t="s">
        <v>41</v>
      </c>
      <c r="G6302">
        <v>-193.25559999999999</v>
      </c>
      <c r="H6302" s="1">
        <v>-3.9948740000000002E-6</v>
      </c>
      <c r="I6302">
        <v>-12.971080000000001</v>
      </c>
      <c r="J6302">
        <v>-193.17</v>
      </c>
      <c r="K6302">
        <v>1.1108209999999901</v>
      </c>
      <c r="L6302">
        <v>-24.674440000000001</v>
      </c>
      <c r="M6302">
        <v>3.5227349999999998E-2</v>
      </c>
      <c r="N6302">
        <v>0</v>
      </c>
      <c r="O6302">
        <v>0.99928099999999997</v>
      </c>
      <c r="P6302">
        <v>-4.0529219999999996E-3</v>
      </c>
      <c r="Q6302">
        <v>-4.391946E-2</v>
      </c>
      <c r="R6302">
        <v>0.99902679999999999</v>
      </c>
      <c r="S6302">
        <v>-1.9409180000000002E-2</v>
      </c>
      <c r="T6302">
        <v>-0.27808500000000003</v>
      </c>
      <c r="U6302">
        <v>2.9908139999999999</v>
      </c>
      <c r="V6302">
        <v>-3.9217259999999997E-2</v>
      </c>
      <c r="W6302">
        <v>-2.996149E-2</v>
      </c>
      <c r="X6302">
        <v>0.99878140000000004</v>
      </c>
      <c r="Y6302">
        <v>-4.1687620000000002E-2</v>
      </c>
      <c r="Z6302">
        <v>-9.2453049999999995E-2</v>
      </c>
      <c r="AA6302">
        <v>0.99484399999999995</v>
      </c>
      <c r="AB6302">
        <v>27</v>
      </c>
      <c r="AC6302">
        <v>-8.5599999999999399E-2</v>
      </c>
      <c r="AD6302">
        <v>-1.1108249948740001</v>
      </c>
      <c r="AE6302">
        <v>11.70336</v>
      </c>
      <c r="AF6302">
        <v>-0.49342080991712201</v>
      </c>
      <c r="AG6302">
        <v>-1.1108249948740001</v>
      </c>
      <c r="AH6302">
        <v>11.5886835035431</v>
      </c>
      <c r="AI6302">
        <v>95.470391627283206</v>
      </c>
      <c r="AJ6302">
        <v>92.438056457360503</v>
      </c>
      <c r="AK6302">
        <v>11.6522522119197</v>
      </c>
      <c r="AL6302">
        <v>91.716923894425506</v>
      </c>
      <c r="AM6302">
        <v>92.248569895058196</v>
      </c>
      <c r="AN6302">
        <v>0.99999998467544304</v>
      </c>
    </row>
    <row r="6303" spans="1:40" x14ac:dyDescent="0.3">
      <c r="A6303" t="str">
        <f>"20200111160628797"</f>
        <v>20200111160628797</v>
      </c>
      <c r="B6303" t="str">
        <f>"1578729988788946"</f>
        <v>1578729988788946</v>
      </c>
      <c r="C6303" t="s">
        <v>40</v>
      </c>
      <c r="D6303">
        <v>5.2716209999999997</v>
      </c>
      <c r="E6303">
        <v>0.50024279999999999</v>
      </c>
      <c r="F6303" t="s">
        <v>41</v>
      </c>
      <c r="G6303">
        <v>-193.24119999999999</v>
      </c>
      <c r="H6303" s="1">
        <v>-3.993564E-6</v>
      </c>
      <c r="I6303">
        <v>-12.96743</v>
      </c>
      <c r="J6303">
        <v>-193.16059999999999</v>
      </c>
      <c r="K6303">
        <v>1.110765</v>
      </c>
      <c r="L6303">
        <v>-24.38748</v>
      </c>
      <c r="M6303">
        <v>3.4697789999999999E-2</v>
      </c>
      <c r="N6303">
        <v>0</v>
      </c>
      <c r="O6303">
        <v>0.99929959999999995</v>
      </c>
      <c r="P6303">
        <v>-4.7313090000000004E-3</v>
      </c>
      <c r="Q6303">
        <v>-4.5167190000000003E-2</v>
      </c>
      <c r="R6303">
        <v>0.99896819999999997</v>
      </c>
      <c r="S6303">
        <v>-1.820374E-2</v>
      </c>
      <c r="T6303">
        <v>-0.28374429999999901</v>
      </c>
      <c r="U6303">
        <v>2.9903870000000001</v>
      </c>
      <c r="V6303">
        <v>-3.9366739999999997E-2</v>
      </c>
      <c r="W6303">
        <v>-3.120918E-2</v>
      </c>
      <c r="X6303">
        <v>0.99873730000000005</v>
      </c>
      <c r="Y6303">
        <v>-4.0756969999999997E-2</v>
      </c>
      <c r="Z6303">
        <v>-9.4335879999999997E-2</v>
      </c>
      <c r="AA6303">
        <v>0.99470579999999997</v>
      </c>
      <c r="AB6303">
        <v>27</v>
      </c>
      <c r="AC6303">
        <v>-8.0600000000004002E-2</v>
      </c>
      <c r="AD6303">
        <v>-1.1107689935639999</v>
      </c>
      <c r="AE6303">
        <v>11.42005</v>
      </c>
      <c r="AF6303">
        <v>-0.472372237872701</v>
      </c>
      <c r="AG6303">
        <v>-1.1107689935639999</v>
      </c>
      <c r="AH6303">
        <v>11.3034448812205</v>
      </c>
      <c r="AI6303">
        <v>95.607469920471004</v>
      </c>
      <c r="AJ6303">
        <v>92.393004684768698</v>
      </c>
      <c r="AK6303">
        <v>11.3677090687159</v>
      </c>
      <c r="AL6303">
        <v>91.788444751187399</v>
      </c>
      <c r="AM6303">
        <v>92.257231229487999</v>
      </c>
      <c r="AN6303">
        <v>0.99999997377289396</v>
      </c>
    </row>
    <row r="6304" spans="1:40" x14ac:dyDescent="0.3">
      <c r="A6304" t="str">
        <f>"20200111160628819"</f>
        <v>20200111160628819</v>
      </c>
      <c r="B6304" t="str">
        <f>"1578729988808467"</f>
        <v>1578729988808467</v>
      </c>
      <c r="C6304" t="s">
        <v>40</v>
      </c>
      <c r="D6304">
        <v>5.3623609999999999</v>
      </c>
      <c r="E6304">
        <v>0.50053320000000001</v>
      </c>
      <c r="F6304" t="s">
        <v>41</v>
      </c>
      <c r="G6304">
        <v>-193.2362</v>
      </c>
      <c r="H6304" s="1">
        <v>-4.0241610000000003E-6</v>
      </c>
      <c r="I6304">
        <v>-12.87487</v>
      </c>
      <c r="J6304">
        <v>-193.15219999999999</v>
      </c>
      <c r="K6304">
        <v>1.110717</v>
      </c>
      <c r="L6304">
        <v>-24.13092</v>
      </c>
      <c r="M6304">
        <v>3.4278139999999999E-2</v>
      </c>
      <c r="N6304">
        <v>0</v>
      </c>
      <c r="O6304">
        <v>0.99931409999999998</v>
      </c>
      <c r="P6304">
        <v>-4.8884030000000004E-3</v>
      </c>
      <c r="Q6304">
        <v>-4.6440370000000002E-2</v>
      </c>
      <c r="R6304">
        <v>0.99890909999999999</v>
      </c>
      <c r="S6304">
        <v>-1.9638059999999999E-2</v>
      </c>
      <c r="T6304">
        <v>-0.28847970000000001</v>
      </c>
      <c r="U6304">
        <v>2.98996</v>
      </c>
      <c r="V6304">
        <v>-3.9104659999999999E-2</v>
      </c>
      <c r="W6304">
        <v>-3.2481870000000003E-2</v>
      </c>
      <c r="X6304">
        <v>0.99870709999999996</v>
      </c>
      <c r="Y6304">
        <v>-4.0814410000000002E-2</v>
      </c>
      <c r="Z6304">
        <v>-9.5911239999999995E-2</v>
      </c>
      <c r="AA6304">
        <v>0.99455280000000001</v>
      </c>
      <c r="AB6304">
        <v>27</v>
      </c>
      <c r="AC6304">
        <v>-8.40000000000031E-2</v>
      </c>
      <c r="AD6304">
        <v>-1.1107210241609999</v>
      </c>
      <c r="AE6304">
        <v>11.25605</v>
      </c>
      <c r="AF6304">
        <v>-0.465294513042525</v>
      </c>
      <c r="AG6304">
        <v>-1.1107210241609999</v>
      </c>
      <c r="AH6304">
        <v>11.138105346936801</v>
      </c>
      <c r="AI6304">
        <v>95.689927116771003</v>
      </c>
      <c r="AJ6304">
        <v>92.392141120575403</v>
      </c>
      <c r="AK6304">
        <v>11.203017044387799</v>
      </c>
      <c r="AL6304">
        <v>91.8614013685483</v>
      </c>
      <c r="AM6304">
        <v>92.242287068768903</v>
      </c>
      <c r="AN6304">
        <v>1.0000000589514</v>
      </c>
    </row>
    <row r="6305" spans="1:40" x14ac:dyDescent="0.3">
      <c r="A6305" t="str">
        <f>"20200111160628842"</f>
        <v>20200111160628842</v>
      </c>
      <c r="B6305" t="str">
        <f>"1578729988838722"</f>
        <v>1578729988838722</v>
      </c>
      <c r="C6305" t="s">
        <v>40</v>
      </c>
      <c r="D6305">
        <v>5.3449439999999999</v>
      </c>
      <c r="E6305">
        <v>0.50110109999999997</v>
      </c>
      <c r="F6305" t="s">
        <v>41</v>
      </c>
      <c r="G6305">
        <v>-193.21960000000001</v>
      </c>
      <c r="H6305" s="1">
        <v>-4.0446789999999996E-6</v>
      </c>
      <c r="I6305">
        <v>-12.80593</v>
      </c>
      <c r="J6305">
        <v>-193.14330000000001</v>
      </c>
      <c r="K6305">
        <v>1.1106689999999999</v>
      </c>
      <c r="L6305">
        <v>-23.856750000000002</v>
      </c>
      <c r="M6305">
        <v>3.3876990000000003E-2</v>
      </c>
      <c r="N6305">
        <v>0</v>
      </c>
      <c r="O6305">
        <v>0.99932779999999999</v>
      </c>
      <c r="P6305">
        <v>-5.0090229999999996E-3</v>
      </c>
      <c r="Q6305">
        <v>-4.7839189999999997E-2</v>
      </c>
      <c r="R6305">
        <v>0.99884249999999997</v>
      </c>
      <c r="S6305">
        <v>-1.7791749999999999E-2</v>
      </c>
      <c r="T6305">
        <v>-0.2932073</v>
      </c>
      <c r="U6305">
        <v>2.989563</v>
      </c>
      <c r="V6305">
        <v>-3.8825209999999999E-2</v>
      </c>
      <c r="W6305">
        <v>-3.3880559999999997E-2</v>
      </c>
      <c r="X6305">
        <v>0.99867150000000005</v>
      </c>
      <c r="Y6305">
        <v>-3.9799050000000002E-2</v>
      </c>
      <c r="Z6305">
        <v>-9.7485180000000005E-2</v>
      </c>
      <c r="AA6305">
        <v>0.99444089999999996</v>
      </c>
      <c r="AB6305">
        <v>27</v>
      </c>
      <c r="AC6305">
        <v>-7.6300000000003296E-2</v>
      </c>
      <c r="AD6305">
        <v>-1.1106730446789901</v>
      </c>
      <c r="AE6305">
        <v>11.05082</v>
      </c>
      <c r="AF6305">
        <v>-0.44615487031439299</v>
      </c>
      <c r="AG6305">
        <v>-1.1106730446789901</v>
      </c>
      <c r="AH6305">
        <v>10.9314722373738</v>
      </c>
      <c r="AI6305">
        <v>95.796735176265003</v>
      </c>
      <c r="AJ6305">
        <v>92.337161071964005</v>
      </c>
      <c r="AK6305">
        <v>10.996805629679701</v>
      </c>
      <c r="AL6305">
        <v>91.941584618825104</v>
      </c>
      <c r="AM6305">
        <v>92.226358683456297</v>
      </c>
      <c r="AN6305">
        <v>1.0000000270948499</v>
      </c>
    </row>
    <row r="6306" spans="1:40" x14ac:dyDescent="0.3">
      <c r="A6306" t="str">
        <f>"20200111160628866"</f>
        <v>20200111160628866</v>
      </c>
      <c r="B6306" t="str">
        <f>"1578729988859219"</f>
        <v>1578729988859219</v>
      </c>
      <c r="C6306" t="s">
        <v>40</v>
      </c>
      <c r="D6306">
        <v>5.3629920000000002</v>
      </c>
      <c r="E6306">
        <v>0.50137679999999996</v>
      </c>
      <c r="F6306" t="s">
        <v>41</v>
      </c>
      <c r="G6306">
        <v>-193.19399999999999</v>
      </c>
      <c r="H6306" s="1">
        <v>-4.0512899999999998E-6</v>
      </c>
      <c r="I6306">
        <v>-12.77319</v>
      </c>
      <c r="J6306">
        <v>-193.13419999999999</v>
      </c>
      <c r="K6306">
        <v>1.1106309999999999</v>
      </c>
      <c r="L6306">
        <v>-23.577179999999998</v>
      </c>
      <c r="M6306">
        <v>3.3509690000000002E-2</v>
      </c>
      <c r="N6306">
        <v>0</v>
      </c>
      <c r="O6306">
        <v>0.99934029999999996</v>
      </c>
      <c r="P6306">
        <v>-5.2455569999999997E-3</v>
      </c>
      <c r="Q6306">
        <v>-4.896967E-2</v>
      </c>
      <c r="R6306">
        <v>0.99878650000000002</v>
      </c>
      <c r="S6306">
        <v>-1.368713E-2</v>
      </c>
      <c r="T6306">
        <v>-0.29953239999999998</v>
      </c>
      <c r="U6306">
        <v>2.9890750000000001</v>
      </c>
      <c r="V6306">
        <v>-3.8694649999999997E-2</v>
      </c>
      <c r="W6306">
        <v>-3.5011790000000001E-2</v>
      </c>
      <c r="X6306">
        <v>0.99863749999999996</v>
      </c>
      <c r="Y6306">
        <v>-3.8066219999999998E-2</v>
      </c>
      <c r="Z6306">
        <v>-9.9589159999999996E-2</v>
      </c>
      <c r="AA6306">
        <v>0.99430019999999997</v>
      </c>
      <c r="AB6306">
        <v>27</v>
      </c>
      <c r="AC6306">
        <v>-5.9800000000024001E-2</v>
      </c>
      <c r="AD6306">
        <v>-1.1106350512899901</v>
      </c>
      <c r="AE6306">
        <v>10.803990000000001</v>
      </c>
      <c r="AF6306">
        <v>-0.41742919212309498</v>
      </c>
      <c r="AG6306">
        <v>-1.1106350512899901</v>
      </c>
      <c r="AH6306">
        <v>10.683027144436499</v>
      </c>
      <c r="AI6306">
        <v>95.930801459344707</v>
      </c>
      <c r="AJ6306">
        <v>92.237640117453196</v>
      </c>
      <c r="AK6306">
        <v>10.748712774856299</v>
      </c>
      <c r="AL6306">
        <v>92.006437908794098</v>
      </c>
      <c r="AM6306">
        <v>92.218954930887804</v>
      </c>
      <c r="AN6306">
        <v>0.99999997889193704</v>
      </c>
    </row>
    <row r="6307" spans="1:40" x14ac:dyDescent="0.3">
      <c r="A6307" t="str">
        <f>"20200111160628886"</f>
        <v>20200111160628886</v>
      </c>
      <c r="B6307" t="str">
        <f>"1578729988878738"</f>
        <v>1578729988878738</v>
      </c>
      <c r="C6307" t="s">
        <v>40</v>
      </c>
      <c r="D6307">
        <v>5.3176259999999997</v>
      </c>
      <c r="E6307">
        <v>0.50150059999999996</v>
      </c>
      <c r="F6307" t="s">
        <v>42</v>
      </c>
      <c r="G6307">
        <v>-193.13800000000001</v>
      </c>
      <c r="H6307">
        <v>1.01532</v>
      </c>
      <c r="I6307">
        <v>-22.638960000000001</v>
      </c>
      <c r="J6307">
        <v>-193.12639999999999</v>
      </c>
      <c r="K6307">
        <v>1.1106069999999999</v>
      </c>
      <c r="L6307">
        <v>-23.333220000000001</v>
      </c>
      <c r="M6307">
        <v>3.321288E-2</v>
      </c>
      <c r="N6307">
        <v>0</v>
      </c>
      <c r="O6307">
        <v>0.99935019999999997</v>
      </c>
      <c r="P6307">
        <v>-5.5998940000000002E-3</v>
      </c>
      <c r="Q6307">
        <v>-4.9848259999999998E-2</v>
      </c>
      <c r="R6307">
        <v>0.99874110000000005</v>
      </c>
      <c r="S6307">
        <v>-1.229858E-2</v>
      </c>
      <c r="T6307">
        <v>-0.30360320000000002</v>
      </c>
      <c r="U6307">
        <v>2.9886780000000002</v>
      </c>
      <c r="V6307">
        <v>-3.8752010000000003E-2</v>
      </c>
      <c r="W6307">
        <v>-3.5892090000000001E-2</v>
      </c>
      <c r="X6307">
        <v>0.99860409999999999</v>
      </c>
      <c r="Y6307">
        <v>-3.7307519999999997E-2</v>
      </c>
      <c r="Z6307">
        <v>-0.1009452</v>
      </c>
      <c r="AA6307">
        <v>0.99419219999999997</v>
      </c>
      <c r="AB6307">
        <v>27</v>
      </c>
      <c r="AC6307">
        <v>-1.1600000000015501E-2</v>
      </c>
      <c r="AD6307">
        <v>-9.52869999999999E-2</v>
      </c>
      <c r="AE6307">
        <v>0.69425999999999899</v>
      </c>
      <c r="AF6307">
        <v>-3.4013680576219202E-2</v>
      </c>
      <c r="AG6307">
        <v>-9.52869999999999E-2</v>
      </c>
      <c r="AH6307">
        <v>0.68067300266169095</v>
      </c>
      <c r="AI6307">
        <v>97.959210659829395</v>
      </c>
      <c r="AJ6307">
        <v>92.860728474283306</v>
      </c>
      <c r="AK6307">
        <v>0.68815134918695298</v>
      </c>
      <c r="AL6307">
        <v>92.056906956507504</v>
      </c>
      <c r="AM6307">
        <v>92.222315211982405</v>
      </c>
      <c r="AN6307">
        <v>1.0000000544701999</v>
      </c>
    </row>
    <row r="6308" spans="1:40" x14ac:dyDescent="0.3">
      <c r="A6308" t="str">
        <f>"20200111160628908"</f>
        <v>20200111160628908</v>
      </c>
      <c r="B6308" t="str">
        <f>"1578729988898259"</f>
        <v>1578729988898259</v>
      </c>
      <c r="C6308" t="s">
        <v>40</v>
      </c>
      <c r="D6308">
        <v>5.3267170000000004</v>
      </c>
      <c r="E6308">
        <v>0.50185199999999996</v>
      </c>
      <c r="F6308" t="s">
        <v>42</v>
      </c>
      <c r="G6308">
        <v>-193.1302</v>
      </c>
      <c r="H6308">
        <v>1.0150760000000001</v>
      </c>
      <c r="I6308">
        <v>-22.401769999999999</v>
      </c>
      <c r="J6308">
        <v>-193.11779999999999</v>
      </c>
      <c r="K6308">
        <v>1.1105969999999901</v>
      </c>
      <c r="L6308">
        <v>-23.0611</v>
      </c>
      <c r="M6308">
        <v>3.2897009999999997E-2</v>
      </c>
      <c r="N6308">
        <v>0</v>
      </c>
      <c r="O6308">
        <v>0.99936069999999999</v>
      </c>
      <c r="P6308">
        <v>-6.3315289999999998E-3</v>
      </c>
      <c r="Q6308">
        <v>-5.0024220000000001E-2</v>
      </c>
      <c r="R6308">
        <v>0.9987279</v>
      </c>
      <c r="S6308">
        <v>-1.249695E-2</v>
      </c>
      <c r="T6308">
        <v>-0.30647829999999998</v>
      </c>
      <c r="U6308">
        <v>2.9884029999999999</v>
      </c>
      <c r="V6308">
        <v>-3.9168399999999999E-2</v>
      </c>
      <c r="W6308">
        <v>-3.60708E-2</v>
      </c>
      <c r="X6308">
        <v>0.99858130000000001</v>
      </c>
      <c r="Y6308">
        <v>-3.7057619999999999E-2</v>
      </c>
      <c r="Z6308">
        <v>-0.1019026</v>
      </c>
      <c r="AA6308">
        <v>0.99410390000000004</v>
      </c>
      <c r="AB6308">
        <v>27</v>
      </c>
      <c r="AC6308">
        <v>-1.24000000000137E-2</v>
      </c>
      <c r="AD6308">
        <v>-9.5520999999999703E-2</v>
      </c>
      <c r="AE6308">
        <v>0.65932999999999697</v>
      </c>
      <c r="AF6308">
        <v>-3.33849294320075E-2</v>
      </c>
      <c r="AG6308">
        <v>-9.5520999999999703E-2</v>
      </c>
      <c r="AH6308">
        <v>0.64503131797596702</v>
      </c>
      <c r="AI6308">
        <v>98.4124635482396</v>
      </c>
      <c r="AJ6308">
        <v>92.962817819196005</v>
      </c>
      <c r="AK6308">
        <v>0.65291976239350702</v>
      </c>
      <c r="AL6308">
        <v>92.067153157296701</v>
      </c>
      <c r="AM6308">
        <v>92.2462208733686</v>
      </c>
      <c r="AN6308">
        <v>0.99999993944044296</v>
      </c>
    </row>
    <row r="6309" spans="1:40" x14ac:dyDescent="0.3">
      <c r="A6309" t="str">
        <f>"20200111160628932"</f>
        <v>20200111160628932</v>
      </c>
      <c r="B6309" t="str">
        <f>"1578729988928446"</f>
        <v>1578729988928446</v>
      </c>
      <c r="C6309" t="s">
        <v>40</v>
      </c>
      <c r="D6309">
        <v>5.3238019999999997</v>
      </c>
      <c r="E6309">
        <v>0.50216430000000001</v>
      </c>
      <c r="F6309" t="s">
        <v>42</v>
      </c>
      <c r="G6309">
        <v>-193.12129999999999</v>
      </c>
      <c r="H6309">
        <v>1.0181359999999999</v>
      </c>
      <c r="I6309">
        <v>-22.162369999999999</v>
      </c>
      <c r="J6309">
        <v>-193.10919999999999</v>
      </c>
      <c r="K6309">
        <v>1.1105959999999999</v>
      </c>
      <c r="L6309">
        <v>-22.789729999999999</v>
      </c>
      <c r="M6309">
        <v>3.2587860000000003E-2</v>
      </c>
      <c r="N6309">
        <v>0</v>
      </c>
      <c r="O6309">
        <v>0.99937089999999995</v>
      </c>
      <c r="P6309">
        <v>-7.341729E-3</v>
      </c>
      <c r="Q6309">
        <v>-4.9229559999999999E-2</v>
      </c>
      <c r="R6309">
        <v>0.99876050000000005</v>
      </c>
      <c r="S6309">
        <v>-1.1810299999999999E-2</v>
      </c>
      <c r="T6309">
        <v>-0.30743530000000002</v>
      </c>
      <c r="U6309">
        <v>2.9883419999999998</v>
      </c>
      <c r="V6309">
        <v>-3.9871379999999998E-2</v>
      </c>
      <c r="W6309">
        <v>-3.5279310000000001E-2</v>
      </c>
      <c r="X6309">
        <v>0.99858179999999996</v>
      </c>
      <c r="Y6309">
        <v>-3.652002E-2</v>
      </c>
      <c r="Z6309">
        <v>-0.1022221</v>
      </c>
      <c r="AA6309">
        <v>0.99409099999999995</v>
      </c>
      <c r="AB6309">
        <v>27</v>
      </c>
      <c r="AC6309">
        <v>-1.21000000000037E-2</v>
      </c>
      <c r="AD6309">
        <v>-9.2459999999999695E-2</v>
      </c>
      <c r="AE6309">
        <v>0.62735999999999503</v>
      </c>
      <c r="AF6309">
        <v>-3.1848381729421303E-2</v>
      </c>
      <c r="AG6309">
        <v>-9.2459999999999695E-2</v>
      </c>
      <c r="AH6309">
        <v>0.61331567462309799</v>
      </c>
      <c r="AI6309">
        <v>98.561666020608399</v>
      </c>
      <c r="AJ6309">
        <v>92.972596962592405</v>
      </c>
      <c r="AK6309">
        <v>0.62106303042217004</v>
      </c>
      <c r="AL6309">
        <v>92.021775141101998</v>
      </c>
      <c r="AM6309">
        <v>92.286491661998198</v>
      </c>
      <c r="AN6309">
        <v>0.99999998397420997</v>
      </c>
    </row>
    <row r="6310" spans="1:40" x14ac:dyDescent="0.3">
      <c r="A6310" t="str">
        <f>"20200111160628952"</f>
        <v>20200111160628952</v>
      </c>
      <c r="B6310" t="str">
        <f>"1578729988948943"</f>
        <v>1578729988948943</v>
      </c>
      <c r="C6310" t="s">
        <v>40</v>
      </c>
      <c r="D6310">
        <v>5.3436329999999996</v>
      </c>
      <c r="E6310">
        <v>0.50242449999999905</v>
      </c>
      <c r="F6310" t="s">
        <v>42</v>
      </c>
      <c r="G6310">
        <v>-193.11269999999999</v>
      </c>
      <c r="H6310">
        <v>1.022151</v>
      </c>
      <c r="I6310">
        <v>-21.922419999999999</v>
      </c>
      <c r="J6310">
        <v>-193.10149999999999</v>
      </c>
      <c r="K6310">
        <v>1.1106020000000001</v>
      </c>
      <c r="L6310">
        <v>-22.541440000000001</v>
      </c>
      <c r="M6310">
        <v>3.2303739999999997E-2</v>
      </c>
      <c r="N6310">
        <v>0</v>
      </c>
      <c r="O6310">
        <v>0.99938020000000005</v>
      </c>
      <c r="P6310">
        <v>-8.2772780000000008E-3</v>
      </c>
      <c r="Q6310">
        <v>-4.7764279999999999E-2</v>
      </c>
      <c r="R6310">
        <v>0.99882439999999995</v>
      </c>
      <c r="S6310">
        <v>-1.231384E-2</v>
      </c>
      <c r="T6310">
        <v>-0.30475649999999999</v>
      </c>
      <c r="U6310">
        <v>2.9886170000000001</v>
      </c>
      <c r="V6310">
        <v>-4.0525760000000001E-2</v>
      </c>
      <c r="W6310">
        <v>-3.3816810000000003E-2</v>
      </c>
      <c r="X6310">
        <v>0.99860610000000005</v>
      </c>
      <c r="Y6310">
        <v>-3.6403409999999997E-2</v>
      </c>
      <c r="Z6310">
        <v>-0.10133300000000001</v>
      </c>
      <c r="AA6310">
        <v>0.99418629999999997</v>
      </c>
      <c r="AB6310">
        <v>27</v>
      </c>
      <c r="AC6310">
        <v>-1.12000000000023E-2</v>
      </c>
      <c r="AD6310">
        <v>-8.8451000000000002E-2</v>
      </c>
      <c r="AE6310">
        <v>0.61901999999999502</v>
      </c>
      <c r="AF6310">
        <v>-3.0568845578106199E-2</v>
      </c>
      <c r="AG6310">
        <v>-8.8451000000000002E-2</v>
      </c>
      <c r="AH6310">
        <v>0.60596693386474598</v>
      </c>
      <c r="AI6310">
        <v>98.294227614141903</v>
      </c>
      <c r="AJ6310">
        <v>92.887917261347496</v>
      </c>
      <c r="AK6310">
        <v>0.61315084494634697</v>
      </c>
      <c r="AL6310">
        <v>91.937929916174397</v>
      </c>
      <c r="AM6310">
        <v>92.323920885498794</v>
      </c>
      <c r="AN6310">
        <v>1.0000000284096799</v>
      </c>
    </row>
    <row r="6311" spans="1:40" x14ac:dyDescent="0.3">
      <c r="A6311" t="str">
        <f>"20200111160628977"</f>
        <v>20200111160628977</v>
      </c>
      <c r="B6311" t="str">
        <f>"1578729988968462"</f>
        <v>1578729988968462</v>
      </c>
      <c r="C6311" t="s">
        <v>40</v>
      </c>
      <c r="D6311">
        <v>5.3302040000000002</v>
      </c>
      <c r="E6311">
        <v>0.50235529999999995</v>
      </c>
      <c r="F6311" t="s">
        <v>42</v>
      </c>
      <c r="G6311">
        <v>-193.1052</v>
      </c>
      <c r="H6311">
        <v>1.024457</v>
      </c>
      <c r="I6311">
        <v>-21.683920000000001</v>
      </c>
      <c r="J6311">
        <v>-193.09280000000001</v>
      </c>
      <c r="K6311">
        <v>1.1106130000000001</v>
      </c>
      <c r="L6311">
        <v>-22.261230000000001</v>
      </c>
      <c r="M6311">
        <v>3.1977230000000002E-2</v>
      </c>
      <c r="N6311">
        <v>0</v>
      </c>
      <c r="O6311">
        <v>0.99939069999999997</v>
      </c>
      <c r="P6311">
        <v>-9.397898E-3</v>
      </c>
      <c r="Q6311">
        <v>-4.6913389999999999E-2</v>
      </c>
      <c r="R6311">
        <v>0.99885480000000004</v>
      </c>
      <c r="S6311">
        <v>-1.304626E-2</v>
      </c>
      <c r="T6311">
        <v>-0.30027789999999999</v>
      </c>
      <c r="U6311">
        <v>2.9890750000000001</v>
      </c>
      <c r="V6311">
        <v>-4.1321169999999997E-2</v>
      </c>
      <c r="W6311">
        <v>-3.2969779999999997E-2</v>
      </c>
      <c r="X6311">
        <v>0.99860179999999998</v>
      </c>
      <c r="Y6311">
        <v>-3.6320560000000002E-2</v>
      </c>
      <c r="Z6311">
        <v>-9.9845349999999999E-2</v>
      </c>
      <c r="AA6311">
        <v>0.9943398</v>
      </c>
      <c r="AB6311">
        <v>27</v>
      </c>
      <c r="AC6311">
        <v>-1.23999999999853E-2</v>
      </c>
      <c r="AD6311">
        <v>-8.6155999999999899E-2</v>
      </c>
      <c r="AE6311">
        <v>0.57730999999999699</v>
      </c>
      <c r="AF6311">
        <v>-3.01842937344542E-2</v>
      </c>
      <c r="AG6311">
        <v>-8.6155999999999899E-2</v>
      </c>
      <c r="AH6311">
        <v>0.56406134957795495</v>
      </c>
      <c r="AI6311">
        <v>98.672146655701894</v>
      </c>
      <c r="AJ6311">
        <v>93.063114820185803</v>
      </c>
      <c r="AK6311">
        <v>0.57140104481174303</v>
      </c>
      <c r="AL6311">
        <v>91.889371643708898</v>
      </c>
      <c r="AM6311">
        <v>92.369491809173894</v>
      </c>
      <c r="AN6311">
        <v>1.00000000022332</v>
      </c>
    </row>
    <row r="6312" spans="1:40" x14ac:dyDescent="0.3">
      <c r="A6312" t="str">
        <f>"20200111160629000"</f>
        <v>20200111160629000</v>
      </c>
      <c r="B6312" t="str">
        <f>"1578729988988959"</f>
        <v>1578729988988959</v>
      </c>
      <c r="C6312" t="s">
        <v>40</v>
      </c>
      <c r="D6312">
        <v>5.3289010000000001</v>
      </c>
      <c r="E6312">
        <v>0.50226090000000001</v>
      </c>
      <c r="F6312" t="s">
        <v>41</v>
      </c>
      <c r="G6312">
        <v>-193.15620000000001</v>
      </c>
      <c r="H6312" s="1">
        <v>-4.6129119999999998E-6</v>
      </c>
      <c r="I6312">
        <v>-11.1031</v>
      </c>
      <c r="J6312">
        <v>-193.08420000000001</v>
      </c>
      <c r="K6312">
        <v>1.1106199999999999</v>
      </c>
      <c r="L6312">
        <v>-21.97888</v>
      </c>
      <c r="M6312">
        <v>3.1640649999999999E-2</v>
      </c>
      <c r="N6312">
        <v>0</v>
      </c>
      <c r="O6312">
        <v>0.99940150000000005</v>
      </c>
      <c r="P6312">
        <v>-1.0152390000000001E-2</v>
      </c>
      <c r="Q6312">
        <v>-4.6646269999999997E-2</v>
      </c>
      <c r="R6312">
        <v>0.99885990000000002</v>
      </c>
      <c r="S6312">
        <v>-1.698303E-2</v>
      </c>
      <c r="T6312">
        <v>-0.29754019999999998</v>
      </c>
      <c r="U6312">
        <v>2.9893190000000001</v>
      </c>
      <c r="V6312">
        <v>-4.1738650000000002E-2</v>
      </c>
      <c r="W6312">
        <v>-3.2706440000000003E-2</v>
      </c>
      <c r="X6312">
        <v>0.99859310000000001</v>
      </c>
      <c r="Y6312">
        <v>-3.7293600000000003E-2</v>
      </c>
      <c r="Z6312">
        <v>-9.8935510000000004E-2</v>
      </c>
      <c r="AA6312">
        <v>0.99439480000000002</v>
      </c>
      <c r="AB6312">
        <v>26</v>
      </c>
      <c r="AC6312">
        <v>-7.2000000000002701E-2</v>
      </c>
      <c r="AD6312">
        <v>-1.1106246129119901</v>
      </c>
      <c r="AE6312">
        <v>10.875780000000001</v>
      </c>
      <c r="AF6312">
        <v>-0.41181993985038201</v>
      </c>
      <c r="AG6312">
        <v>-1.1106246129119901</v>
      </c>
      <c r="AH6312">
        <v>10.755894343197999</v>
      </c>
      <c r="AI6312">
        <v>95.891028638883199</v>
      </c>
      <c r="AJ6312">
        <v>92.192660491188704</v>
      </c>
      <c r="AK6312">
        <v>10.8209216712673</v>
      </c>
      <c r="AL6312">
        <v>91.874275226625301</v>
      </c>
      <c r="AM6312">
        <v>92.393424612755695</v>
      </c>
      <c r="AN6312">
        <v>1.00000000274445</v>
      </c>
    </row>
    <row r="6313" spans="1:40" x14ac:dyDescent="0.3">
      <c r="A6313" t="str">
        <f>"20200111160629022"</f>
        <v>20200111160629022</v>
      </c>
      <c r="B6313" t="str">
        <f>"1578729989018238"</f>
        <v>1578729989018238</v>
      </c>
      <c r="C6313" t="s">
        <v>40</v>
      </c>
      <c r="D6313">
        <v>5.3440919999999998</v>
      </c>
      <c r="E6313">
        <v>0.50224460000000004</v>
      </c>
      <c r="F6313" t="s">
        <v>41</v>
      </c>
      <c r="G6313">
        <v>-193.15899999999999</v>
      </c>
      <c r="H6313" s="1">
        <v>-4.7151890000000001E-6</v>
      </c>
      <c r="I6313">
        <v>-10.80405</v>
      </c>
      <c r="J6313">
        <v>-193.07640000000001</v>
      </c>
      <c r="K6313">
        <v>1.11063</v>
      </c>
      <c r="L6313">
        <v>-21.723420000000001</v>
      </c>
      <c r="M6313">
        <v>3.1330669999999998E-2</v>
      </c>
      <c r="N6313">
        <v>0</v>
      </c>
      <c r="O6313">
        <v>0.9994113</v>
      </c>
      <c r="P6313">
        <v>-1.070553E-2</v>
      </c>
      <c r="Q6313">
        <v>-4.6453889999999998E-2</v>
      </c>
      <c r="R6313">
        <v>0.99886299999999995</v>
      </c>
      <c r="S6313">
        <v>-2.003479E-2</v>
      </c>
      <c r="T6313">
        <v>-0.29710019999999998</v>
      </c>
      <c r="U6313">
        <v>2.9893489999999998</v>
      </c>
      <c r="V6313">
        <v>-4.1982230000000002E-2</v>
      </c>
      <c r="W6313">
        <v>-3.251739E-2</v>
      </c>
      <c r="X6313">
        <v>0.99858899999999995</v>
      </c>
      <c r="Y6313">
        <v>-3.7998799999999999E-2</v>
      </c>
      <c r="Z6313">
        <v>-9.8789470000000004E-2</v>
      </c>
      <c r="AA6313">
        <v>0.99438260000000001</v>
      </c>
      <c r="AB6313">
        <v>26</v>
      </c>
      <c r="AC6313">
        <v>-8.2600000000013496E-2</v>
      </c>
      <c r="AD6313">
        <v>-1.1106347151889999</v>
      </c>
      <c r="AE6313">
        <v>10.919369999999899</v>
      </c>
      <c r="AF6313">
        <v>-0.42035555817912601</v>
      </c>
      <c r="AG6313">
        <v>-1.1106347151889999</v>
      </c>
      <c r="AH6313">
        <v>10.7996993572688</v>
      </c>
      <c r="AI6313">
        <v>95.867211246471697</v>
      </c>
      <c r="AJ6313">
        <v>92.228992397831902</v>
      </c>
      <c r="AK6313">
        <v>10.864792426607501</v>
      </c>
      <c r="AL6313">
        <v>91.863437812629599</v>
      </c>
      <c r="AM6313">
        <v>92.407385738063994</v>
      </c>
      <c r="AN6313">
        <v>0.99999993960458999</v>
      </c>
    </row>
    <row r="6314" spans="1:40" x14ac:dyDescent="0.3">
      <c r="A6314" t="str">
        <f>"20200111160629043"</f>
        <v>20200111160629043</v>
      </c>
      <c r="B6314" t="str">
        <f>"1578729989038734"</f>
        <v>1578729989038734</v>
      </c>
      <c r="C6314" t="s">
        <v>40</v>
      </c>
      <c r="D6314">
        <v>5.340827</v>
      </c>
      <c r="E6314">
        <v>0.50226040000000005</v>
      </c>
      <c r="F6314" t="s">
        <v>41</v>
      </c>
      <c r="G6314">
        <v>-193.15780000000001</v>
      </c>
      <c r="H6314" s="1">
        <v>-4.8079460000000002E-6</v>
      </c>
      <c r="I6314">
        <v>-10.53082</v>
      </c>
      <c r="J6314">
        <v>-193.06890000000001</v>
      </c>
      <c r="K6314">
        <v>1.1106320000000001</v>
      </c>
      <c r="L6314">
        <v>-21.473749999999999</v>
      </c>
      <c r="M6314">
        <v>3.102429E-2</v>
      </c>
      <c r="N6314">
        <v>0</v>
      </c>
      <c r="O6314">
        <v>0.99942089999999995</v>
      </c>
      <c r="P6314">
        <v>-1.087775E-2</v>
      </c>
      <c r="Q6314">
        <v>-4.5359240000000002E-2</v>
      </c>
      <c r="R6314">
        <v>0.99891149999999995</v>
      </c>
      <c r="S6314">
        <v>-2.1728520000000001E-2</v>
      </c>
      <c r="T6314">
        <v>-0.29663420000000001</v>
      </c>
      <c r="U6314">
        <v>2.9893800000000001</v>
      </c>
      <c r="V6314">
        <v>-4.1849900000000002E-2</v>
      </c>
      <c r="W6314">
        <v>-3.1424880000000002E-2</v>
      </c>
      <c r="X6314">
        <v>0.99862960000000001</v>
      </c>
      <c r="Y6314">
        <v>-3.8255869999999997E-2</v>
      </c>
      <c r="Z6314">
        <v>-9.8635760000000003E-2</v>
      </c>
      <c r="AA6314">
        <v>0.99438800000000005</v>
      </c>
      <c r="AB6314">
        <v>26</v>
      </c>
      <c r="AC6314">
        <v>-8.8899999999995302E-2</v>
      </c>
      <c r="AD6314">
        <v>-1.1106368079460001</v>
      </c>
      <c r="AE6314">
        <v>10.94293</v>
      </c>
      <c r="AF6314">
        <v>-0.42401948695682301</v>
      </c>
      <c r="AG6314">
        <v>-1.1106368079460001</v>
      </c>
      <c r="AH6314">
        <v>10.8234190143275</v>
      </c>
      <c r="AI6314">
        <v>95.854396143428005</v>
      </c>
      <c r="AJ6314">
        <v>92.243478665560104</v>
      </c>
      <c r="AK6314">
        <v>10.8885125616031</v>
      </c>
      <c r="AL6314">
        <v>91.800809455130704</v>
      </c>
      <c r="AM6314">
        <v>92.399708976714805</v>
      </c>
      <c r="AN6314">
        <v>1.0000000076045901</v>
      </c>
    </row>
    <row r="6315" spans="1:40" x14ac:dyDescent="0.3">
      <c r="A6315" t="str">
        <f>"20200111160629067"</f>
        <v>20200111160629067</v>
      </c>
      <c r="B6315" t="str">
        <f>"1578729989059230"</f>
        <v>1578729989059230</v>
      </c>
      <c r="C6315" t="s">
        <v>40</v>
      </c>
      <c r="D6315">
        <v>5.3815929999999996</v>
      </c>
      <c r="E6315">
        <v>0.50229670000000004</v>
      </c>
      <c r="F6315" t="s">
        <v>41</v>
      </c>
      <c r="G6315">
        <v>-193.1532</v>
      </c>
      <c r="H6315" s="1">
        <v>-9.4604919999999999E-7</v>
      </c>
      <c r="I6315">
        <v>-10.161289999999999</v>
      </c>
      <c r="J6315">
        <v>-193.0609</v>
      </c>
      <c r="K6315">
        <v>1.1106400000000001</v>
      </c>
      <c r="L6315">
        <v>-21.203340000000001</v>
      </c>
      <c r="M6315">
        <v>3.069067E-2</v>
      </c>
      <c r="N6315">
        <v>0</v>
      </c>
      <c r="O6315">
        <v>0.99943130000000002</v>
      </c>
      <c r="P6315">
        <v>-1.025218E-2</v>
      </c>
      <c r="Q6315">
        <v>-4.4871729999999999E-2</v>
      </c>
      <c r="R6315">
        <v>0.99894019999999994</v>
      </c>
      <c r="S6315">
        <v>-2.2262569999999999E-2</v>
      </c>
      <c r="T6315">
        <v>-0.29352070000000002</v>
      </c>
      <c r="U6315">
        <v>2.9896850000000001</v>
      </c>
      <c r="V6315">
        <v>-4.089288E-2</v>
      </c>
      <c r="W6315">
        <v>-3.0939310000000001E-2</v>
      </c>
      <c r="X6315">
        <v>0.99868440000000003</v>
      </c>
      <c r="Y6315">
        <v>-3.8099939999999999E-2</v>
      </c>
      <c r="Z6315">
        <v>-9.7602240000000007E-2</v>
      </c>
      <c r="AA6315">
        <v>0.99449589999999999</v>
      </c>
      <c r="AB6315">
        <v>26</v>
      </c>
      <c r="AC6315">
        <v>-9.2299999999994498E-2</v>
      </c>
      <c r="AD6315">
        <v>-1.1106409460491999</v>
      </c>
      <c r="AE6315">
        <v>11.04205</v>
      </c>
      <c r="AF6315">
        <v>-0.42685930190312399</v>
      </c>
      <c r="AG6315">
        <v>-1.1106409460491999</v>
      </c>
      <c r="AH6315">
        <v>10.9235099255765</v>
      </c>
      <c r="AI6315">
        <v>95.801164239238204</v>
      </c>
      <c r="AJ6315">
        <v>92.237815418141693</v>
      </c>
      <c r="AK6315">
        <v>10.988120916190899</v>
      </c>
      <c r="AL6315">
        <v>91.772974822055602</v>
      </c>
      <c r="AM6315">
        <v>92.344766079047901</v>
      </c>
      <c r="AN6315">
        <v>0.999999999670665</v>
      </c>
    </row>
    <row r="6316" spans="1:40" x14ac:dyDescent="0.3">
      <c r="A6316" t="str">
        <f>"20200111160629087"</f>
        <v>20200111160629087</v>
      </c>
      <c r="B6316" t="str">
        <f>"1578729989078750"</f>
        <v>1578729989078750</v>
      </c>
      <c r="C6316" t="s">
        <v>40</v>
      </c>
      <c r="D6316">
        <v>5.4434430000000003</v>
      </c>
      <c r="E6316">
        <v>0.50231229999999905</v>
      </c>
      <c r="F6316" t="s">
        <v>42</v>
      </c>
      <c r="G6316">
        <v>-193.06710000000001</v>
      </c>
      <c r="H6316">
        <v>1.01976</v>
      </c>
      <c r="I6316">
        <v>-20.273230000000002</v>
      </c>
      <c r="J6316">
        <v>-193.05359999999999</v>
      </c>
      <c r="K6316">
        <v>1.1106480000000001</v>
      </c>
      <c r="L6316">
        <v>-20.955259999999999</v>
      </c>
      <c r="M6316">
        <v>3.0384209999999998E-2</v>
      </c>
      <c r="N6316">
        <v>0</v>
      </c>
      <c r="O6316">
        <v>0.99944060000000001</v>
      </c>
      <c r="P6316">
        <v>-9.7548180000000002E-3</v>
      </c>
      <c r="Q6316">
        <v>-4.479988E-2</v>
      </c>
      <c r="R6316">
        <v>0.99894830000000001</v>
      </c>
      <c r="S6316">
        <v>-2.0156859999999999E-2</v>
      </c>
      <c r="T6316">
        <v>-0.29213420000000001</v>
      </c>
      <c r="U6316">
        <v>2.989868</v>
      </c>
      <c r="V6316">
        <v>-4.0089600000000003E-2</v>
      </c>
      <c r="W6316">
        <v>-3.0869629999999999E-2</v>
      </c>
      <c r="X6316">
        <v>0.99871909999999997</v>
      </c>
      <c r="Y6316">
        <v>-3.7092989999999999E-2</v>
      </c>
      <c r="Z6316">
        <v>-9.7143119999999999E-2</v>
      </c>
      <c r="AA6316">
        <v>0.99457899999999999</v>
      </c>
      <c r="AB6316">
        <v>26</v>
      </c>
      <c r="AC6316">
        <v>-1.35000000000218E-2</v>
      </c>
      <c r="AD6316">
        <v>-9.0887999999999802E-2</v>
      </c>
      <c r="AE6316">
        <v>0.68203000000000102</v>
      </c>
      <c r="AF6316">
        <v>-3.3621891911637197E-2</v>
      </c>
      <c r="AG6316">
        <v>-9.0887999999999802E-2</v>
      </c>
      <c r="AH6316">
        <v>0.66942155086920196</v>
      </c>
      <c r="AI6316">
        <v>97.722208746901998</v>
      </c>
      <c r="AJ6316">
        <v>92.875281090481195</v>
      </c>
      <c r="AK6316">
        <v>0.67639949211087202</v>
      </c>
      <c r="AL6316">
        <v>91.768980587198897</v>
      </c>
      <c r="AM6316">
        <v>92.298676747991905</v>
      </c>
      <c r="AN6316">
        <v>0.99999997539465302</v>
      </c>
    </row>
    <row r="6317" spans="1:40" x14ac:dyDescent="0.3">
      <c r="A6317" t="str">
        <f>"20200111160629110"</f>
        <v>20200111160629110</v>
      </c>
      <c r="B6317" t="str">
        <f>"1578729989109006"</f>
        <v>1578729989109006</v>
      </c>
      <c r="C6317" t="s">
        <v>40</v>
      </c>
      <c r="D6317">
        <v>5.3507660000000001</v>
      </c>
      <c r="E6317">
        <v>0.50245439999999997</v>
      </c>
      <c r="F6317" t="s">
        <v>42</v>
      </c>
      <c r="G6317">
        <v>-193.05930000000001</v>
      </c>
      <c r="H6317">
        <v>1.020969</v>
      </c>
      <c r="I6317">
        <v>-20.037890000000001</v>
      </c>
      <c r="J6317">
        <v>-193.04560000000001</v>
      </c>
      <c r="K6317">
        <v>1.110654</v>
      </c>
      <c r="L6317">
        <v>-20.678799999999999</v>
      </c>
      <c r="M6317">
        <v>3.0042329999999999E-2</v>
      </c>
      <c r="N6317">
        <v>0</v>
      </c>
      <c r="O6317">
        <v>0.99945099999999998</v>
      </c>
      <c r="P6317">
        <v>-9.5175799999999994E-3</v>
      </c>
      <c r="Q6317">
        <v>-4.4735329999999997E-2</v>
      </c>
      <c r="R6317">
        <v>0.99895350000000005</v>
      </c>
      <c r="S6317">
        <v>-1.8814089999999999E-2</v>
      </c>
      <c r="T6317">
        <v>-0.2922749</v>
      </c>
      <c r="U6317">
        <v>2.989868</v>
      </c>
      <c r="V6317">
        <v>-3.9511049999999999E-2</v>
      </c>
      <c r="W6317">
        <v>-3.080778E-2</v>
      </c>
      <c r="X6317">
        <v>0.99874410000000002</v>
      </c>
      <c r="Y6317">
        <v>-3.6304469999999998E-2</v>
      </c>
      <c r="Z6317">
        <v>-9.7192529999999999E-2</v>
      </c>
      <c r="AA6317">
        <v>0.99460320000000002</v>
      </c>
      <c r="AB6317">
        <v>26</v>
      </c>
      <c r="AC6317">
        <v>-1.37E-2</v>
      </c>
      <c r="AD6317">
        <v>-8.9685000000000001E-2</v>
      </c>
      <c r="AE6317">
        <v>0.64090999999999798</v>
      </c>
      <c r="AF6317">
        <v>-3.2317586625161702E-2</v>
      </c>
      <c r="AG6317">
        <v>-8.9685000000000001E-2</v>
      </c>
      <c r="AH6317">
        <v>0.62791906474161896</v>
      </c>
      <c r="AI6317">
        <v>98.117916186863297</v>
      </c>
      <c r="AJ6317">
        <v>92.946285662244705</v>
      </c>
      <c r="AK6317">
        <v>0.635114302701698</v>
      </c>
      <c r="AL6317">
        <v>91.765435096031993</v>
      </c>
      <c r="AM6317">
        <v>92.265481738826793</v>
      </c>
      <c r="AN6317">
        <v>1.00000000983272</v>
      </c>
    </row>
    <row r="6318" spans="1:40" x14ac:dyDescent="0.3">
      <c r="A6318" t="str">
        <f>"20200111160629136"</f>
        <v>20200111160629136</v>
      </c>
      <c r="B6318" t="str">
        <f>"1578729989128526"</f>
        <v>1578729989128526</v>
      </c>
      <c r="C6318" t="s">
        <v>40</v>
      </c>
      <c r="D6318">
        <v>5.3377780000000001</v>
      </c>
      <c r="E6318">
        <v>0.50251869999999998</v>
      </c>
      <c r="F6318" t="s">
        <v>42</v>
      </c>
      <c r="G6318">
        <v>-193.0506</v>
      </c>
      <c r="H6318">
        <v>1.0247040000000001</v>
      </c>
      <c r="I6318">
        <v>-19.80096</v>
      </c>
      <c r="J6318">
        <v>-193.03710000000001</v>
      </c>
      <c r="K6318">
        <v>1.110662</v>
      </c>
      <c r="L6318">
        <v>-20.38214</v>
      </c>
      <c r="M6318">
        <v>2.9675960000000001E-2</v>
      </c>
      <c r="N6318">
        <v>0</v>
      </c>
      <c r="O6318">
        <v>0.99946199999999996</v>
      </c>
      <c r="P6318">
        <v>-9.8199749999999999E-3</v>
      </c>
      <c r="Q6318">
        <v>-4.4688169999999999E-2</v>
      </c>
      <c r="R6318">
        <v>0.99895270000000003</v>
      </c>
      <c r="S6318">
        <v>-1.698303E-2</v>
      </c>
      <c r="T6318">
        <v>-0.29274309999999998</v>
      </c>
      <c r="U6318">
        <v>2.989868</v>
      </c>
      <c r="V6318">
        <v>-3.944777E-2</v>
      </c>
      <c r="W6318">
        <v>-3.076402E-2</v>
      </c>
      <c r="X6318">
        <v>0.99874790000000002</v>
      </c>
      <c r="Y6318">
        <v>-3.5328949999999998E-2</v>
      </c>
      <c r="Z6318">
        <v>-9.7350229999999996E-2</v>
      </c>
      <c r="AA6318">
        <v>0.99462289999999998</v>
      </c>
      <c r="AB6318">
        <v>26</v>
      </c>
      <c r="AC6318">
        <v>-1.3499999999993399E-2</v>
      </c>
      <c r="AD6318">
        <v>-8.5957999999999896E-2</v>
      </c>
      <c r="AE6318">
        <v>0.58117999999999903</v>
      </c>
      <c r="AF6318">
        <v>-3.0085049311411299E-2</v>
      </c>
      <c r="AG6318">
        <v>-8.5957999999999896E-2</v>
      </c>
      <c r="AH6318">
        <v>0.568102680860192</v>
      </c>
      <c r="AI6318">
        <v>98.592138293536394</v>
      </c>
      <c r="AJ6318">
        <v>93.031384517126696</v>
      </c>
      <c r="AK6318">
        <v>0.57535601496517497</v>
      </c>
      <c r="AL6318">
        <v>91.762926732293394</v>
      </c>
      <c r="AM6318">
        <v>92.261848569354399</v>
      </c>
      <c r="AN6318">
        <v>0.99999995961946997</v>
      </c>
    </row>
    <row r="6319" spans="1:40" x14ac:dyDescent="0.3">
      <c r="A6319" t="str">
        <f>"20200111160629166"</f>
        <v>20200111160629166</v>
      </c>
      <c r="B6319" t="str">
        <f>"1578729989158781"</f>
        <v>1578729989158781</v>
      </c>
      <c r="C6319" t="s">
        <v>40</v>
      </c>
      <c r="D6319">
        <v>5.2905790000000001</v>
      </c>
      <c r="E6319">
        <v>0.50264750000000002</v>
      </c>
      <c r="F6319" t="s">
        <v>41</v>
      </c>
      <c r="G6319">
        <v>-193.10400000000001</v>
      </c>
      <c r="H6319" s="1">
        <v>-1.416234E-6</v>
      </c>
      <c r="I6319">
        <v>-9.0348210000000009</v>
      </c>
      <c r="J6319">
        <v>-193.02709999999999</v>
      </c>
      <c r="K6319">
        <v>1.1106670000000001</v>
      </c>
      <c r="L6319">
        <v>-20.027799999999999</v>
      </c>
      <c r="M6319">
        <v>2.923837E-2</v>
      </c>
      <c r="N6319">
        <v>0</v>
      </c>
      <c r="O6319">
        <v>0.99947490000000005</v>
      </c>
      <c r="P6319">
        <v>-1.153217E-2</v>
      </c>
      <c r="Q6319">
        <v>-4.3754149999999999E-2</v>
      </c>
      <c r="R6319">
        <v>0.99897579999999997</v>
      </c>
      <c r="S6319">
        <v>-1.7639160000000001E-2</v>
      </c>
      <c r="T6319">
        <v>-0.29264489999999999</v>
      </c>
      <c r="U6319">
        <v>2.989868</v>
      </c>
      <c r="V6319">
        <v>-4.072282E-2</v>
      </c>
      <c r="W6319">
        <v>-2.9834920000000001E-2</v>
      </c>
      <c r="X6319">
        <v>0.99872490000000003</v>
      </c>
      <c r="Y6319">
        <v>-3.5109679999999997E-2</v>
      </c>
      <c r="Z6319">
        <v>-9.7320110000000001E-2</v>
      </c>
      <c r="AA6319">
        <v>0.99463369999999995</v>
      </c>
      <c r="AB6319">
        <v>26</v>
      </c>
      <c r="AC6319">
        <v>-7.69000000000232E-2</v>
      </c>
      <c r="AD6319">
        <v>-1.1106684162339999</v>
      </c>
      <c r="AE6319">
        <v>10.992978999999901</v>
      </c>
      <c r="AF6319">
        <v>-0.39429055638196397</v>
      </c>
      <c r="AG6319">
        <v>-1.1106684162339999</v>
      </c>
      <c r="AH6319">
        <v>10.875023437833301</v>
      </c>
      <c r="AI6319">
        <v>95.827608362076802</v>
      </c>
      <c r="AJ6319">
        <v>92.076436316641505</v>
      </c>
      <c r="AK6319">
        <v>10.9387012093345</v>
      </c>
      <c r="AL6319">
        <v>91.709668786442705</v>
      </c>
      <c r="AM6319">
        <v>92.334931201687596</v>
      </c>
      <c r="AN6319">
        <v>0.99999994820008298</v>
      </c>
    </row>
    <row r="6320" spans="1:40" x14ac:dyDescent="0.3">
      <c r="A6320" t="str">
        <f>"20200111160629187"</f>
        <v>20200111160629187</v>
      </c>
      <c r="B6320" t="str">
        <f>"1578729989178302"</f>
        <v>1578729989178302</v>
      </c>
      <c r="C6320" t="s">
        <v>40</v>
      </c>
      <c r="D6320">
        <v>5.3487739999999997</v>
      </c>
      <c r="E6320">
        <v>0.50275170000000002</v>
      </c>
      <c r="F6320" t="s">
        <v>42</v>
      </c>
      <c r="G6320">
        <v>-193.03380000000001</v>
      </c>
      <c r="H6320">
        <v>1.0208469999999901</v>
      </c>
      <c r="I6320">
        <v>-19.102270000000001</v>
      </c>
      <c r="J6320">
        <v>-193.0204</v>
      </c>
      <c r="K6320">
        <v>1.1106769999999999</v>
      </c>
      <c r="L6320">
        <v>-19.784089999999999</v>
      </c>
      <c r="M6320">
        <v>2.8937999999999998E-2</v>
      </c>
      <c r="N6320">
        <v>0</v>
      </c>
      <c r="O6320">
        <v>0.99948380000000003</v>
      </c>
      <c r="P6320">
        <v>-1.2731040000000001E-2</v>
      </c>
      <c r="Q6320">
        <v>-4.2027399999999999E-2</v>
      </c>
      <c r="R6320">
        <v>0.99903540000000002</v>
      </c>
      <c r="S6320">
        <v>-2.1606449999999999E-2</v>
      </c>
      <c r="T6320">
        <v>-0.29018480000000002</v>
      </c>
      <c r="U6320">
        <v>2.9901119999999999</v>
      </c>
      <c r="V6320">
        <v>-4.1624010000000003E-2</v>
      </c>
      <c r="W6320">
        <v>-2.8111049999999999E-2</v>
      </c>
      <c r="X6320">
        <v>0.99873780000000001</v>
      </c>
      <c r="Y6320">
        <v>-3.6129029999999999E-2</v>
      </c>
      <c r="Z6320">
        <v>-9.6500909999999995E-2</v>
      </c>
      <c r="AA6320">
        <v>0.99467689999999997</v>
      </c>
      <c r="AB6320">
        <v>26</v>
      </c>
      <c r="AC6320">
        <v>-1.34000000000185E-2</v>
      </c>
      <c r="AD6320">
        <v>-8.9830000000000298E-2</v>
      </c>
      <c r="AE6320">
        <v>0.68181999999999798</v>
      </c>
      <c r="AF6320">
        <v>-3.2561820959205803E-2</v>
      </c>
      <c r="AG6320">
        <v>-8.9830000000000298E-2</v>
      </c>
      <c r="AH6320">
        <v>0.66952929709948195</v>
      </c>
      <c r="AI6320">
        <v>97.632760790612494</v>
      </c>
      <c r="AJ6320">
        <v>92.784323387979001</v>
      </c>
      <c r="AK6320">
        <v>0.67631293108937796</v>
      </c>
      <c r="AL6320">
        <v>91.610856742499095</v>
      </c>
      <c r="AM6320">
        <v>92.386512995330705</v>
      </c>
      <c r="AN6320">
        <v>0.99999999124471095</v>
      </c>
    </row>
    <row r="6321" spans="1:40" x14ac:dyDescent="0.3">
      <c r="A6321" t="str">
        <f>"20200111160629210"</f>
        <v>20200111160629210</v>
      </c>
      <c r="B6321" t="str">
        <f>"1578729989198798"</f>
        <v>1578729989198798</v>
      </c>
      <c r="C6321" t="s">
        <v>40</v>
      </c>
      <c r="D6321">
        <v>5.3549790000000002</v>
      </c>
      <c r="E6321">
        <v>0.50282669999999996</v>
      </c>
      <c r="F6321" t="s">
        <v>42</v>
      </c>
      <c r="G6321">
        <v>-193.02780000000001</v>
      </c>
      <c r="H6321">
        <v>1.0232209999999999</v>
      </c>
      <c r="I6321">
        <v>-18.867010000000001</v>
      </c>
      <c r="J6321">
        <v>-193.01310000000001</v>
      </c>
      <c r="K6321">
        <v>1.1106830000000001</v>
      </c>
      <c r="L6321">
        <v>-19.519469999999998</v>
      </c>
      <c r="M6321">
        <v>2.8610179999999999E-2</v>
      </c>
      <c r="N6321">
        <v>0</v>
      </c>
      <c r="O6321">
        <v>0.99949350000000003</v>
      </c>
      <c r="P6321">
        <v>-1.3528470000000001E-2</v>
      </c>
      <c r="Q6321">
        <v>-3.9238330000000002E-2</v>
      </c>
      <c r="R6321">
        <v>0.99913830000000003</v>
      </c>
      <c r="S6321">
        <v>-2.4185180000000001E-2</v>
      </c>
      <c r="T6321">
        <v>-0.28519430000000001</v>
      </c>
      <c r="U6321">
        <v>2.9906009999999998</v>
      </c>
      <c r="V6321">
        <v>-4.2098120000000003E-2</v>
      </c>
      <c r="W6321">
        <v>-2.5344640000000002E-2</v>
      </c>
      <c r="X6321">
        <v>0.99879200000000001</v>
      </c>
      <c r="Y6321">
        <v>-3.6659009999999999E-2</v>
      </c>
      <c r="Z6321">
        <v>-9.4841179999999997E-2</v>
      </c>
      <c r="AA6321">
        <v>0.99481719999999896</v>
      </c>
      <c r="AB6321">
        <v>26</v>
      </c>
      <c r="AC6321">
        <v>-1.47000000000048E-2</v>
      </c>
      <c r="AD6321">
        <v>-8.7462000000000095E-2</v>
      </c>
      <c r="AE6321">
        <v>0.65246000000000104</v>
      </c>
      <c r="AF6321">
        <v>-3.2774162412827698E-2</v>
      </c>
      <c r="AG6321">
        <v>-8.7462000000000095E-2</v>
      </c>
      <c r="AH6321">
        <v>0.64027283593500195</v>
      </c>
      <c r="AI6321">
        <v>97.768478828703095</v>
      </c>
      <c r="AJ6321">
        <v>92.930287789603597</v>
      </c>
      <c r="AK6321">
        <v>0.64704949702639702</v>
      </c>
      <c r="AL6321">
        <v>91.452296369358805</v>
      </c>
      <c r="AM6321">
        <v>92.413533304700096</v>
      </c>
      <c r="AN6321">
        <v>1.0000000308741299</v>
      </c>
    </row>
    <row r="6322" spans="1:40" x14ac:dyDescent="0.3">
      <c r="A6322" t="str">
        <f>"20200111160629233"</f>
        <v>20200111160629233</v>
      </c>
      <c r="B6322" t="str">
        <f>"1578729989229054"</f>
        <v>1578729989229054</v>
      </c>
      <c r="C6322" t="s">
        <v>40</v>
      </c>
      <c r="D6322">
        <v>5.3247330000000002</v>
      </c>
      <c r="E6322">
        <v>0.50293829999999995</v>
      </c>
      <c r="F6322" t="s">
        <v>41</v>
      </c>
      <c r="G6322">
        <v>-193.11750000000001</v>
      </c>
      <c r="H6322" s="1">
        <v>-2.0687950000000001E-6</v>
      </c>
      <c r="I6322">
        <v>-7.5220500000000001</v>
      </c>
      <c r="J6322">
        <v>-193.00559999999999</v>
      </c>
      <c r="K6322">
        <v>1.1106689999999999</v>
      </c>
      <c r="L6322">
        <v>-19.245480000000001</v>
      </c>
      <c r="M6322">
        <v>2.827112E-2</v>
      </c>
      <c r="N6322">
        <v>0</v>
      </c>
      <c r="O6322">
        <v>0.99950499999999998</v>
      </c>
      <c r="P6322">
        <v>-1.4121470000000001E-2</v>
      </c>
      <c r="Q6322">
        <v>-3.4488320000000003E-2</v>
      </c>
      <c r="R6322">
        <v>0.99930529999999995</v>
      </c>
      <c r="S6322">
        <v>-2.604675E-2</v>
      </c>
      <c r="T6322">
        <v>-0.2769315</v>
      </c>
      <c r="U6322">
        <v>2.9913639999999999</v>
      </c>
      <c r="V6322">
        <v>-4.2359330000000001E-2</v>
      </c>
      <c r="W6322">
        <v>-2.0722440000000002E-2</v>
      </c>
      <c r="X6322">
        <v>0.99888750000000004</v>
      </c>
      <c r="Y6322">
        <v>-3.6939189999999997E-2</v>
      </c>
      <c r="Z6322">
        <v>-9.2094410000000002E-2</v>
      </c>
      <c r="AA6322">
        <v>0.99506490000000003</v>
      </c>
      <c r="AB6322">
        <v>26</v>
      </c>
      <c r="AC6322">
        <v>-0.111900000000019</v>
      </c>
      <c r="AD6322">
        <v>-1.1106710687950001</v>
      </c>
      <c r="AE6322">
        <v>11.72343</v>
      </c>
      <c r="AF6322">
        <v>-0.43937802955470301</v>
      </c>
      <c r="AG6322">
        <v>-1.1106710687950001</v>
      </c>
      <c r="AH6322">
        <v>11.6113702682072</v>
      </c>
      <c r="AI6322">
        <v>95.460048045878693</v>
      </c>
      <c r="AJ6322">
        <v>92.167057007532193</v>
      </c>
      <c r="AK6322">
        <v>11.672641636807001</v>
      </c>
      <c r="AL6322">
        <v>91.187393363006805</v>
      </c>
      <c r="AM6322">
        <v>92.4282589970922</v>
      </c>
      <c r="AN6322">
        <v>0.999999985006926</v>
      </c>
    </row>
    <row r="6323" spans="1:40" x14ac:dyDescent="0.3">
      <c r="A6323" t="str">
        <f>"20200111160629267"</f>
        <v>20200111160629267</v>
      </c>
      <c r="B6323" t="str">
        <f>"1578729989258335"</f>
        <v>1578729989258335</v>
      </c>
      <c r="C6323" t="s">
        <v>40</v>
      </c>
      <c r="D6323">
        <v>5.3255059999999999</v>
      </c>
      <c r="E6323">
        <v>0.50300299999999998</v>
      </c>
      <c r="F6323" t="s">
        <v>41</v>
      </c>
      <c r="G6323">
        <v>-193.11869999999999</v>
      </c>
      <c r="H6323" s="1">
        <v>-2.418722E-6</v>
      </c>
      <c r="I6323">
        <v>-6.7070979999999896</v>
      </c>
      <c r="J6323">
        <v>-192.99520000000001</v>
      </c>
      <c r="K6323">
        <v>1.1106</v>
      </c>
      <c r="L6323">
        <v>-18.855160000000001</v>
      </c>
      <c r="M6323">
        <v>2.7792910000000001E-2</v>
      </c>
      <c r="N6323">
        <v>0</v>
      </c>
      <c r="O6323">
        <v>0.99952359999999896</v>
      </c>
      <c r="P6323">
        <v>-1.316663E-2</v>
      </c>
      <c r="Q6323">
        <v>-3.0341159999999999E-2</v>
      </c>
      <c r="R6323">
        <v>0.99945289999999998</v>
      </c>
      <c r="S6323">
        <v>-2.6992800000000001E-2</v>
      </c>
      <c r="T6323">
        <v>-0.26508559999999998</v>
      </c>
      <c r="U6323">
        <v>2.9925540000000002</v>
      </c>
      <c r="V6323">
        <v>-4.0933270000000001E-2</v>
      </c>
      <c r="W6323">
        <v>-1.6960019999999999E-2</v>
      </c>
      <c r="X6323">
        <v>0.99901799999999996</v>
      </c>
      <c r="Y6323">
        <v>-3.6775259999999997E-2</v>
      </c>
      <c r="Z6323">
        <v>-8.8153519999999999E-2</v>
      </c>
      <c r="AA6323">
        <v>0.99542779999999997</v>
      </c>
      <c r="AB6323">
        <v>26</v>
      </c>
      <c r="AC6323">
        <v>-0.123499999999978</v>
      </c>
      <c r="AD6323">
        <v>-1.1106024187220001</v>
      </c>
      <c r="AE6323">
        <v>12.148061999999999</v>
      </c>
      <c r="AF6323">
        <v>-0.45729103865375298</v>
      </c>
      <c r="AG6323">
        <v>-1.1106024187220001</v>
      </c>
      <c r="AH6323">
        <v>12.0393212063994</v>
      </c>
      <c r="AI6323">
        <v>95.266724097328606</v>
      </c>
      <c r="AJ6323">
        <v>92.175227060452301</v>
      </c>
      <c r="AK6323">
        <v>12.0990829378661</v>
      </c>
      <c r="AL6323">
        <v>90.971784090316007</v>
      </c>
      <c r="AM6323">
        <v>92.346296542379903</v>
      </c>
      <c r="AN6323">
        <v>1.0000000695976401</v>
      </c>
    </row>
    <row r="6324" spans="1:40" x14ac:dyDescent="0.3">
      <c r="A6324" t="str">
        <f>"20200111160629289"</f>
        <v>20200111160629289</v>
      </c>
      <c r="B6324" t="str">
        <f>"1578729989278830"</f>
        <v>1578729989278830</v>
      </c>
      <c r="C6324" t="s">
        <v>40</v>
      </c>
      <c r="D6324">
        <v>5.3945230000000004</v>
      </c>
      <c r="E6324">
        <v>0.50301899999999999</v>
      </c>
      <c r="F6324" t="s">
        <v>41</v>
      </c>
      <c r="G6324">
        <v>-193.0994</v>
      </c>
      <c r="H6324" s="1">
        <v>-2.828843E-6</v>
      </c>
      <c r="I6324">
        <v>-5.7390879999999997</v>
      </c>
      <c r="J6324">
        <v>-192.98849999999999</v>
      </c>
      <c r="K6324">
        <v>1.110536</v>
      </c>
      <c r="L6324">
        <v>-18.60144</v>
      </c>
      <c r="M6324">
        <v>2.7476029999999999E-2</v>
      </c>
      <c r="N6324">
        <v>0</v>
      </c>
      <c r="O6324">
        <v>0.9995368</v>
      </c>
      <c r="P6324">
        <v>-1.2521610000000001E-2</v>
      </c>
      <c r="Q6324">
        <v>-2.8492320000000002E-2</v>
      </c>
      <c r="R6324">
        <v>0.99951559999999995</v>
      </c>
      <c r="S6324">
        <v>-2.377319E-2</v>
      </c>
      <c r="T6324">
        <v>-0.25348470000000001</v>
      </c>
      <c r="U6324">
        <v>2.9936219999999998</v>
      </c>
      <c r="V6324">
        <v>-3.997436E-2</v>
      </c>
      <c r="W6324">
        <v>-1.543477E-2</v>
      </c>
      <c r="X6324">
        <v>0.99908149999999996</v>
      </c>
      <c r="Y6324">
        <v>-3.5387250000000002E-2</v>
      </c>
      <c r="Z6324">
        <v>-8.4297490000000003E-2</v>
      </c>
      <c r="AA6324">
        <v>0.99581209999999998</v>
      </c>
      <c r="AB6324">
        <v>26</v>
      </c>
      <c r="AC6324">
        <v>-0.110900000000015</v>
      </c>
      <c r="AD6324">
        <v>-1.110538828843</v>
      </c>
      <c r="AE6324">
        <v>12.862352</v>
      </c>
      <c r="AF6324">
        <v>-0.46085947184798098</v>
      </c>
      <c r="AG6324">
        <v>-1.110538828843</v>
      </c>
      <c r="AH6324">
        <v>12.759338582833999</v>
      </c>
      <c r="AI6324">
        <v>94.9711108517768</v>
      </c>
      <c r="AJ6324">
        <v>92.068589105932404</v>
      </c>
      <c r="AK6324">
        <v>12.8158655195252</v>
      </c>
      <c r="AL6324">
        <v>90.8843822846829</v>
      </c>
      <c r="AM6324">
        <v>92.291245593315097</v>
      </c>
      <c r="AN6324">
        <v>1.0000000126123001</v>
      </c>
    </row>
    <row r="6325" spans="1:40" x14ac:dyDescent="0.3">
      <c r="A6325" t="str">
        <f>"20200111160629312"</f>
        <v>20200111160629312</v>
      </c>
      <c r="B6325" t="str">
        <f>"1578729989309086"</f>
        <v>1578729989309086</v>
      </c>
      <c r="C6325" t="s">
        <v>40</v>
      </c>
      <c r="D6325">
        <v>5.1930690000000004</v>
      </c>
      <c r="E6325">
        <v>0.50314060000000005</v>
      </c>
      <c r="F6325" t="s">
        <v>41</v>
      </c>
      <c r="G6325">
        <v>-193.08629999999999</v>
      </c>
      <c r="H6325" s="1">
        <v>-3.0444360000000002E-6</v>
      </c>
      <c r="I6325">
        <v>-5.2284050000000004</v>
      </c>
      <c r="J6325">
        <v>-192.98169999999999</v>
      </c>
      <c r="K6325">
        <v>1.110473</v>
      </c>
      <c r="L6325">
        <v>-18.33832</v>
      </c>
      <c r="M6325">
        <v>2.7144229999999998E-2</v>
      </c>
      <c r="N6325">
        <v>0</v>
      </c>
      <c r="O6325">
        <v>0.99955020000000006</v>
      </c>
      <c r="P6325">
        <v>-1.212923E-2</v>
      </c>
      <c r="Q6325">
        <v>-2.6821620000000001E-2</v>
      </c>
      <c r="R6325">
        <v>0.99956670000000003</v>
      </c>
      <c r="S6325">
        <v>-2.1881100000000001E-2</v>
      </c>
      <c r="T6325">
        <v>-0.24863769999999999</v>
      </c>
      <c r="U6325">
        <v>2.9940799999999999</v>
      </c>
      <c r="V6325">
        <v>-3.9252420000000003E-2</v>
      </c>
      <c r="W6325">
        <v>-1.410295E-2</v>
      </c>
      <c r="X6325">
        <v>0.99912979999999996</v>
      </c>
      <c r="Y6325">
        <v>-3.4425890000000001E-2</v>
      </c>
      <c r="Z6325">
        <v>-8.2686910000000002E-2</v>
      </c>
      <c r="AA6325">
        <v>0.9959808</v>
      </c>
      <c r="AB6325">
        <v>26</v>
      </c>
      <c r="AC6325">
        <v>-0.104600000000004</v>
      </c>
      <c r="AD6325">
        <v>-1.110476044436</v>
      </c>
      <c r="AE6325">
        <v>13.109915000000001</v>
      </c>
      <c r="AF6325">
        <v>-0.45716897839156501</v>
      </c>
      <c r="AG6325">
        <v>-1.110476044436</v>
      </c>
      <c r="AH6325">
        <v>13.008911756053401</v>
      </c>
      <c r="AI6325">
        <v>94.8760997616167</v>
      </c>
      <c r="AJ6325">
        <v>92.012703153797304</v>
      </c>
      <c r="AK6325">
        <v>13.064223880386299</v>
      </c>
      <c r="AL6325">
        <v>90.808066300494701</v>
      </c>
      <c r="AM6325">
        <v>92.249799785158302</v>
      </c>
      <c r="AN6325">
        <v>1.00000000146129</v>
      </c>
    </row>
    <row r="6326" spans="1:40" x14ac:dyDescent="0.3">
      <c r="A6326" t="str">
        <f>"20200111160629334"</f>
        <v>20200111160629334</v>
      </c>
      <c r="B6326" t="str">
        <f>"1578729989328606"</f>
        <v>1578729989328606</v>
      </c>
      <c r="C6326" t="s">
        <v>40</v>
      </c>
      <c r="D6326">
        <v>5.3552530000000003</v>
      </c>
      <c r="E6326">
        <v>0.50318059999999998</v>
      </c>
      <c r="F6326" t="s">
        <v>41</v>
      </c>
      <c r="G6326">
        <v>-193.06970000000001</v>
      </c>
      <c r="H6326" s="1">
        <v>-3.2212990000000002E-6</v>
      </c>
      <c r="I6326">
        <v>-4.8058730000000001</v>
      </c>
      <c r="J6326">
        <v>-192.97470000000001</v>
      </c>
      <c r="K6326">
        <v>1.1104270000000001</v>
      </c>
      <c r="L6326">
        <v>-18.068300000000001</v>
      </c>
      <c r="M6326">
        <v>2.6804339999999999E-2</v>
      </c>
      <c r="N6326">
        <v>0</v>
      </c>
      <c r="O6326">
        <v>0.99956369999999894</v>
      </c>
      <c r="P6326">
        <v>-1.1790760000000001E-2</v>
      </c>
      <c r="Q6326">
        <v>-2.5229089999999999E-2</v>
      </c>
      <c r="R6326">
        <v>0.99961219999999995</v>
      </c>
      <c r="S6326">
        <v>-1.9485470000000001E-2</v>
      </c>
      <c r="T6326">
        <v>-0.24572749999999999</v>
      </c>
      <c r="U6326">
        <v>2.9944760000000001</v>
      </c>
      <c r="V6326">
        <v>-3.8576069999999997E-2</v>
      </c>
      <c r="W6326">
        <v>-1.285114E-2</v>
      </c>
      <c r="X6326">
        <v>0.99917299999999998</v>
      </c>
      <c r="Y6326">
        <v>-3.3288709999999999E-2</v>
      </c>
      <c r="Z6326">
        <v>-8.1717799999999993E-2</v>
      </c>
      <c r="AA6326">
        <v>0.99609939999999997</v>
      </c>
      <c r="AB6326">
        <v>26</v>
      </c>
      <c r="AC6326">
        <v>-9.4999999999998794E-2</v>
      </c>
      <c r="AD6326">
        <v>-1.110430221299</v>
      </c>
      <c r="AE6326">
        <v>13.262426999999899</v>
      </c>
      <c r="AF6326">
        <v>-0.44734794653403998</v>
      </c>
      <c r="AG6326">
        <v>-1.110430221299</v>
      </c>
      <c r="AH6326">
        <v>13.162843722393401</v>
      </c>
      <c r="AI6326">
        <v>94.819340381997705</v>
      </c>
      <c r="AJ6326">
        <v>91.946485765257407</v>
      </c>
      <c r="AK6326">
        <v>13.217171797392799</v>
      </c>
      <c r="AL6326">
        <v>90.736336371571696</v>
      </c>
      <c r="AM6326">
        <v>92.210977279481597</v>
      </c>
      <c r="AN6326">
        <v>0.99999997445247102</v>
      </c>
    </row>
    <row r="6327" spans="1:40" x14ac:dyDescent="0.3">
      <c r="A6327" t="str">
        <f>"20200111160629355"</f>
        <v>20200111160629355</v>
      </c>
      <c r="B6327" t="str">
        <f>"1578729989349102"</f>
        <v>1578729989349102</v>
      </c>
      <c r="C6327" t="s">
        <v>40</v>
      </c>
      <c r="D6327">
        <v>5.4118700000000004</v>
      </c>
      <c r="E6327">
        <v>0.50321419999999994</v>
      </c>
      <c r="F6327" t="s">
        <v>41</v>
      </c>
      <c r="G6327">
        <v>-193.0581</v>
      </c>
      <c r="H6327" s="1">
        <v>-3.4301009999999998E-6</v>
      </c>
      <c r="I6327">
        <v>-4.3119489999999896</v>
      </c>
      <c r="J6327">
        <v>-192.9682</v>
      </c>
      <c r="K6327">
        <v>1.110403</v>
      </c>
      <c r="L6327">
        <v>-17.813510000000001</v>
      </c>
      <c r="M6327">
        <v>2.648677E-2</v>
      </c>
      <c r="N6327">
        <v>0</v>
      </c>
      <c r="O6327">
        <v>0.99957589999999996</v>
      </c>
      <c r="P6327">
        <v>-1.1039530000000001E-2</v>
      </c>
      <c r="Q6327">
        <v>-2.3383399999999999E-2</v>
      </c>
      <c r="R6327">
        <v>0.99966560000000004</v>
      </c>
      <c r="S6327">
        <v>-1.8157960000000001E-2</v>
      </c>
      <c r="T6327">
        <v>-0.24174770000000001</v>
      </c>
      <c r="U6327">
        <v>2.9948429999999999</v>
      </c>
      <c r="V6327">
        <v>-3.750999E-2</v>
      </c>
      <c r="W6327">
        <v>-1.131278E-2</v>
      </c>
      <c r="X6327">
        <v>0.99923220000000001</v>
      </c>
      <c r="Y6327">
        <v>-3.25294E-2</v>
      </c>
      <c r="Z6327">
        <v>-8.0395270000000005E-2</v>
      </c>
      <c r="AA6327">
        <v>0.99623209999999995</v>
      </c>
      <c r="AB6327">
        <v>26</v>
      </c>
      <c r="AC6327">
        <v>-8.9899999999999994E-2</v>
      </c>
      <c r="AD6327">
        <v>-1.1104064301009999</v>
      </c>
      <c r="AE6327">
        <v>13.501561000000001</v>
      </c>
      <c r="AF6327">
        <v>-0.44450097045958697</v>
      </c>
      <c r="AG6327">
        <v>-1.1104064301009999</v>
      </c>
      <c r="AH6327">
        <v>13.403784550008</v>
      </c>
      <c r="AI6327">
        <v>94.7331362333898</v>
      </c>
      <c r="AJ6327">
        <v>91.899366524111102</v>
      </c>
      <c r="AK6327">
        <v>13.4570436506605</v>
      </c>
      <c r="AL6327">
        <v>90.648188385227897</v>
      </c>
      <c r="AM6327">
        <v>92.149806083257303</v>
      </c>
      <c r="AN6327">
        <v>0.99999998392898404</v>
      </c>
    </row>
    <row r="6328" spans="1:40" x14ac:dyDescent="0.3">
      <c r="A6328" t="str">
        <f>"20200111160629378"</f>
        <v>20200111160629378</v>
      </c>
      <c r="B6328" t="str">
        <f>"1578729989368622"</f>
        <v>1578729989368622</v>
      </c>
      <c r="C6328" t="s">
        <v>40</v>
      </c>
      <c r="D6328">
        <v>5.376347</v>
      </c>
      <c r="E6328">
        <v>0.50327529999999998</v>
      </c>
      <c r="F6328" t="s">
        <v>41</v>
      </c>
      <c r="G6328">
        <v>-193.0411</v>
      </c>
      <c r="H6328" s="1">
        <v>-3.64835E-6</v>
      </c>
      <c r="I6328">
        <v>-3.79264</v>
      </c>
      <c r="J6328">
        <v>-192.96170000000001</v>
      </c>
      <c r="K6328">
        <v>1.1103780000000001</v>
      </c>
      <c r="L6328">
        <v>-17.552669999999999</v>
      </c>
      <c r="M6328">
        <v>2.6164710000000001E-2</v>
      </c>
      <c r="N6328">
        <v>0</v>
      </c>
      <c r="O6328">
        <v>0.99958800000000003</v>
      </c>
      <c r="P6328">
        <v>-1.0107120000000001E-2</v>
      </c>
      <c r="Q6328">
        <v>-2.1626090000000001E-2</v>
      </c>
      <c r="R6328">
        <v>0.99971500000000002</v>
      </c>
      <c r="S6328">
        <v>-1.556396E-2</v>
      </c>
      <c r="T6328">
        <v>-0.2372156</v>
      </c>
      <c r="U6328">
        <v>2.9952700000000001</v>
      </c>
      <c r="V6328">
        <v>-3.6257869999999998E-2</v>
      </c>
      <c r="W6328">
        <v>-9.8514039999999994E-3</v>
      </c>
      <c r="X6328">
        <v>0.99929389999999996</v>
      </c>
      <c r="Y6328">
        <v>-3.1344289999999997E-2</v>
      </c>
      <c r="Z6328">
        <v>-7.8889089999999995E-2</v>
      </c>
      <c r="AA6328">
        <v>0.99639049999999996</v>
      </c>
      <c r="AB6328">
        <v>26</v>
      </c>
      <c r="AC6328">
        <v>-7.9399999999992504E-2</v>
      </c>
      <c r="AD6328">
        <v>-1.11038164835</v>
      </c>
      <c r="AE6328">
        <v>13.76003</v>
      </c>
      <c r="AF6328">
        <v>-0.43658220285367</v>
      </c>
      <c r="AG6328">
        <v>-1.11038164835</v>
      </c>
      <c r="AH6328">
        <v>13.66426394964</v>
      </c>
      <c r="AI6328">
        <v>94.643386652499103</v>
      </c>
      <c r="AJ6328">
        <v>91.830015215376505</v>
      </c>
      <c r="AK6328">
        <v>13.716255345766699</v>
      </c>
      <c r="AL6328">
        <v>90.564453006887305</v>
      </c>
      <c r="AM6328">
        <v>92.077979269085603</v>
      </c>
      <c r="AN6328">
        <v>0.99999999093745895</v>
      </c>
    </row>
    <row r="6329" spans="1:40" x14ac:dyDescent="0.3">
      <c r="A6329" t="str">
        <f>"20200111160629402"</f>
        <v>20200111160629402</v>
      </c>
      <c r="B6329" t="str">
        <f>"1578729989398878"</f>
        <v>1578729989398878</v>
      </c>
      <c r="C6329" t="s">
        <v>40</v>
      </c>
      <c r="D6329">
        <v>5.4399559999999996</v>
      </c>
      <c r="E6329">
        <v>0.5033493</v>
      </c>
      <c r="F6329" t="s">
        <v>41</v>
      </c>
      <c r="G6329">
        <v>-193.02180000000001</v>
      </c>
      <c r="H6329" s="1">
        <v>-3.8521169999999998E-6</v>
      </c>
      <c r="I6329">
        <v>-3.2686700000000002</v>
      </c>
      <c r="J6329">
        <v>-192.9545</v>
      </c>
      <c r="K6329">
        <v>1.110355</v>
      </c>
      <c r="L6329">
        <v>-17.265499999999999</v>
      </c>
      <c r="M6329">
        <v>2.5811299999999999E-2</v>
      </c>
      <c r="N6329">
        <v>0</v>
      </c>
      <c r="O6329">
        <v>0.99960070000000001</v>
      </c>
      <c r="P6329">
        <v>-9.3028469999999995E-3</v>
      </c>
      <c r="Q6329">
        <v>-1.9984689999999999E-2</v>
      </c>
      <c r="R6329">
        <v>0.99975700000000001</v>
      </c>
      <c r="S6329">
        <v>-1.260376E-2</v>
      </c>
      <c r="T6329">
        <v>-0.23287359999999999</v>
      </c>
      <c r="U6329">
        <v>2.9956969999999998</v>
      </c>
      <c r="V6329">
        <v>-3.5102290000000001E-2</v>
      </c>
      <c r="W6329">
        <v>-8.5116689999999995E-3</v>
      </c>
      <c r="X6329">
        <v>0.9993474</v>
      </c>
      <c r="Y6329">
        <v>-3.000597E-2</v>
      </c>
      <c r="Z6329">
        <v>-7.7445710000000001E-2</v>
      </c>
      <c r="AA6329">
        <v>0.99654500000000001</v>
      </c>
      <c r="AB6329">
        <v>26</v>
      </c>
      <c r="AC6329">
        <v>-6.7300000000017193E-2</v>
      </c>
      <c r="AD6329">
        <v>-1.110358852117</v>
      </c>
      <c r="AE6329">
        <v>13.996829999999999</v>
      </c>
      <c r="AF6329">
        <v>-0.42589766756681202</v>
      </c>
      <c r="AG6329">
        <v>-1.110358852117</v>
      </c>
      <c r="AH6329">
        <v>13.9029377836194</v>
      </c>
      <c r="AI6329">
        <v>94.564106438419202</v>
      </c>
      <c r="AJ6329">
        <v>91.754629875861696</v>
      </c>
      <c r="AK6329">
        <v>13.9537079164968</v>
      </c>
      <c r="AL6329">
        <v>90.487688636909795</v>
      </c>
      <c r="AM6329">
        <v>92.011699383154806</v>
      </c>
      <c r="AN6329">
        <v>0.99999992257958104</v>
      </c>
    </row>
    <row r="6330" spans="1:40" x14ac:dyDescent="0.3">
      <c r="A6330" t="str">
        <f>"20200111160629780"</f>
        <v>20200111160629780</v>
      </c>
      <c r="B6330" t="str">
        <f>"1578729989768782"</f>
        <v>1578729989768782</v>
      </c>
      <c r="C6330" t="s">
        <v>40</v>
      </c>
      <c r="D6330">
        <v>5.4430839999999998</v>
      </c>
      <c r="E6330">
        <v>0.50356259999999997</v>
      </c>
      <c r="F6330" t="s">
        <v>41</v>
      </c>
      <c r="G6330">
        <v>-193.00149999999999</v>
      </c>
      <c r="H6330" s="1">
        <v>-4.018448E-6</v>
      </c>
      <c r="I6330">
        <v>-2.769339</v>
      </c>
      <c r="J6330">
        <v>-192.8537</v>
      </c>
      <c r="K6330">
        <v>1.1098920000000001</v>
      </c>
      <c r="L6330">
        <v>-12.743040000000001</v>
      </c>
      <c r="M6330">
        <v>2.1938349999999999E-2</v>
      </c>
      <c r="N6330">
        <v>0</v>
      </c>
      <c r="O6330">
        <v>0.9997066</v>
      </c>
      <c r="P6330">
        <v>-2.7192319999999999E-2</v>
      </c>
      <c r="Q6330">
        <v>-3.3452809999999999E-2</v>
      </c>
      <c r="R6330">
        <v>0.99907029999999997</v>
      </c>
      <c r="S6330">
        <v>-9.7045900000000008E-3</v>
      </c>
      <c r="T6330">
        <v>-0.22948859999999999</v>
      </c>
      <c r="U6330">
        <v>2.9960629999999999</v>
      </c>
      <c r="V6330">
        <v>-4.9113009999999999E-2</v>
      </c>
      <c r="W6330">
        <v>-2.3188440000000001E-2</v>
      </c>
      <c r="X6330">
        <v>0.99852399999999997</v>
      </c>
      <c r="Y6330">
        <v>-2.516825E-2</v>
      </c>
      <c r="Z6330">
        <v>-7.6333159999999997E-2</v>
      </c>
      <c r="AA6330">
        <v>0.99676469999999995</v>
      </c>
      <c r="AB6330">
        <v>27</v>
      </c>
      <c r="AC6330">
        <v>-0.147799999999989</v>
      </c>
      <c r="AD6330">
        <v>-1.109896018448</v>
      </c>
      <c r="AE6330">
        <v>9.9737009999999895</v>
      </c>
      <c r="AF6330">
        <v>-0.36209934203799998</v>
      </c>
      <c r="AG6330">
        <v>-1.109896018448</v>
      </c>
      <c r="AH6330">
        <v>9.8461522327042506</v>
      </c>
      <c r="AI6330">
        <v>96.427142463205996</v>
      </c>
      <c r="AJ6330">
        <v>92.106144425101306</v>
      </c>
      <c r="AK6330">
        <v>9.9151247543769205</v>
      </c>
      <c r="AL6330">
        <v>91.328718859705504</v>
      </c>
      <c r="AM6330">
        <v>92.815858480961694</v>
      </c>
      <c r="AN6330">
        <v>0.999999985038446</v>
      </c>
    </row>
    <row r="6331" spans="1:40" x14ac:dyDescent="0.3">
      <c r="A6331" t="str">
        <f>"20200111160629802"</f>
        <v>20200111160629802</v>
      </c>
      <c r="B6331" t="str">
        <f>"1578729989799038"</f>
        <v>1578729989799038</v>
      </c>
      <c r="C6331" t="s">
        <v>40</v>
      </c>
      <c r="D6331">
        <v>5.4689560000000004</v>
      </c>
      <c r="E6331">
        <v>0.50381390000000004</v>
      </c>
      <c r="F6331" t="s">
        <v>41</v>
      </c>
      <c r="G6331">
        <v>-193.11</v>
      </c>
      <c r="H6331" s="1">
        <v>-4.8381509999999998E-6</v>
      </c>
      <c r="I6331">
        <v>-0.41714380000000001</v>
      </c>
      <c r="J6331">
        <v>-192.84719999999999</v>
      </c>
      <c r="K6331">
        <v>1.1097870000000001</v>
      </c>
      <c r="L6331">
        <v>-12.46228</v>
      </c>
      <c r="M6331">
        <v>2.2323800000000001E-2</v>
      </c>
      <c r="N6331">
        <v>0</v>
      </c>
      <c r="O6331">
        <v>0.99969790000000003</v>
      </c>
      <c r="P6331">
        <v>-2.8248470000000001E-2</v>
      </c>
      <c r="Q6331">
        <v>-3.0521929999999999E-2</v>
      </c>
      <c r="R6331">
        <v>0.99913479999999999</v>
      </c>
      <c r="S6331">
        <v>-6.2210080000000001E-2</v>
      </c>
      <c r="T6331">
        <v>-0.26942319999999997</v>
      </c>
      <c r="U6331">
        <v>2.9920650000000002</v>
      </c>
      <c r="V6331">
        <v>-5.0560330000000001E-2</v>
      </c>
      <c r="W6331">
        <v>-2.0220220000000001E-2</v>
      </c>
      <c r="X6331">
        <v>0.99851630000000002</v>
      </c>
      <c r="Y6331">
        <v>-4.3018500000000001E-2</v>
      </c>
      <c r="Z6331">
        <v>-8.9598410000000003E-2</v>
      </c>
      <c r="AA6331">
        <v>0.9950485</v>
      </c>
      <c r="AB6331">
        <v>27</v>
      </c>
      <c r="AC6331">
        <v>-0.26280000000002601</v>
      </c>
      <c r="AD6331">
        <v>-1.1097918381509999</v>
      </c>
      <c r="AE6331">
        <v>12.0451362</v>
      </c>
      <c r="AF6331">
        <v>-0.52716889340823603</v>
      </c>
      <c r="AG6331">
        <v>-1.1097918381509999</v>
      </c>
      <c r="AH6331">
        <v>11.934998428257</v>
      </c>
      <c r="AI6331">
        <v>95.307303636209099</v>
      </c>
      <c r="AJ6331">
        <v>92.529110741787306</v>
      </c>
      <c r="AK6331">
        <v>11.9980720304847</v>
      </c>
      <c r="AL6331">
        <v>91.1586122238878</v>
      </c>
      <c r="AM6331">
        <v>92.898722326233795</v>
      </c>
      <c r="AN6331">
        <v>1.00000000281612</v>
      </c>
    </row>
    <row r="6332" spans="1:40" x14ac:dyDescent="0.3">
      <c r="A6332" t="str">
        <f>"20200111160629824"</f>
        <v>20200111160629824</v>
      </c>
      <c r="B6332" t="str">
        <f>"1578729989818558"</f>
        <v>1578729989818558</v>
      </c>
      <c r="C6332" t="s">
        <v>40</v>
      </c>
      <c r="D6332">
        <v>6.2738829999999997</v>
      </c>
      <c r="E6332">
        <v>0.50388459999999902</v>
      </c>
      <c r="F6332" t="s">
        <v>41</v>
      </c>
      <c r="G6332">
        <v>-193.11789999999999</v>
      </c>
      <c r="H6332" s="1">
        <v>-1.1437919999999999E-6</v>
      </c>
      <c r="I6332">
        <v>0.32154640000000001</v>
      </c>
      <c r="J6332">
        <v>-192.84110000000001</v>
      </c>
      <c r="K6332">
        <v>1.1096820000000001</v>
      </c>
      <c r="L6332">
        <v>-12.209199999999999</v>
      </c>
      <c r="M6332">
        <v>2.283056E-2</v>
      </c>
      <c r="N6332">
        <v>0</v>
      </c>
      <c r="O6332">
        <v>0.99968619999999997</v>
      </c>
      <c r="P6332">
        <v>-2.870758E-2</v>
      </c>
      <c r="Q6332">
        <v>-2.849024E-2</v>
      </c>
      <c r="R6332">
        <v>0.99918169999999995</v>
      </c>
      <c r="S6332">
        <v>-6.3354489999999999E-2</v>
      </c>
      <c r="T6332">
        <v>-0.25981579999999999</v>
      </c>
      <c r="U6332">
        <v>2.9928590000000002</v>
      </c>
      <c r="V6332">
        <v>-5.1530319999999998E-2</v>
      </c>
      <c r="W6332">
        <v>-1.815373E-2</v>
      </c>
      <c r="X6332">
        <v>0.99850640000000002</v>
      </c>
      <c r="Y6332">
        <v>-4.390575E-2</v>
      </c>
      <c r="Z6332">
        <v>-8.6401530000000004E-2</v>
      </c>
      <c r="AA6332">
        <v>0.99529239999999997</v>
      </c>
      <c r="AB6332">
        <v>27</v>
      </c>
      <c r="AC6332">
        <v>-0.27679999999998001</v>
      </c>
      <c r="AD6332">
        <v>-1.1096831437920001</v>
      </c>
      <c r="AE6332">
        <v>12.5307464</v>
      </c>
      <c r="AF6332">
        <v>-0.55844960360665297</v>
      </c>
      <c r="AG6332">
        <v>-1.1096831437920001</v>
      </c>
      <c r="AH6332">
        <v>12.423776455749101</v>
      </c>
      <c r="AI6332">
        <v>95.098953471759202</v>
      </c>
      <c r="AJ6332">
        <v>92.573716745302207</v>
      </c>
      <c r="AK6332">
        <v>12.4857312185474</v>
      </c>
      <c r="AL6332">
        <v>91.040189269958603</v>
      </c>
      <c r="AM6332">
        <v>92.954265396589193</v>
      </c>
      <c r="AN6332">
        <v>0.99999998131658696</v>
      </c>
    </row>
    <row r="6333" spans="1:40" x14ac:dyDescent="0.3">
      <c r="A6333" t="str">
        <f>"20200111160629847"</f>
        <v>20200111160629847</v>
      </c>
      <c r="B6333" t="str">
        <f>"1578729989839054"</f>
        <v>1578729989839054</v>
      </c>
      <c r="C6333" t="s">
        <v>40</v>
      </c>
      <c r="D6333">
        <v>5.6331319999999998</v>
      </c>
      <c r="E6333">
        <v>0.5092835</v>
      </c>
      <c r="F6333" t="s">
        <v>41</v>
      </c>
      <c r="G6333">
        <v>-193.12100000000001</v>
      </c>
      <c r="H6333" s="1">
        <v>-1.3896509999999999E-6</v>
      </c>
      <c r="I6333">
        <v>0.89273250000000004</v>
      </c>
      <c r="J6333">
        <v>-192.834</v>
      </c>
      <c r="K6333">
        <v>1.109551</v>
      </c>
      <c r="L6333">
        <v>-11.92731</v>
      </c>
      <c r="M6333">
        <v>2.3578640000000001E-2</v>
      </c>
      <c r="N6333">
        <v>0</v>
      </c>
      <c r="O6333">
        <v>0.99966860000000002</v>
      </c>
      <c r="P6333">
        <v>-2.798931E-2</v>
      </c>
      <c r="Q6333">
        <v>-2.7234769999999998E-2</v>
      </c>
      <c r="R6333">
        <v>0.99923709999999999</v>
      </c>
      <c r="S6333">
        <v>-6.3934329999999998E-2</v>
      </c>
      <c r="T6333">
        <v>-0.25352770000000002</v>
      </c>
      <c r="U6333">
        <v>2.9933779999999999</v>
      </c>
      <c r="V6333">
        <v>-5.1564350000000002E-2</v>
      </c>
      <c r="W6333">
        <v>-1.685451E-2</v>
      </c>
      <c r="X6333">
        <v>0.99852750000000001</v>
      </c>
      <c r="Y6333">
        <v>-4.4846219999999999E-2</v>
      </c>
      <c r="Z6333">
        <v>-8.4306850000000003E-2</v>
      </c>
      <c r="AA6333">
        <v>0.99543020000000004</v>
      </c>
      <c r="AB6333">
        <v>27</v>
      </c>
      <c r="AC6333">
        <v>-0.286999999999977</v>
      </c>
      <c r="AD6333">
        <v>-1.109552389651</v>
      </c>
      <c r="AE6333">
        <v>12.8200425</v>
      </c>
      <c r="AF6333">
        <v>-0.58483691585098097</v>
      </c>
      <c r="AG6333">
        <v>-1.109552389651</v>
      </c>
      <c r="AH6333">
        <v>12.714518839956</v>
      </c>
      <c r="AI6333">
        <v>94.982129937524107</v>
      </c>
      <c r="AJ6333">
        <v>92.633610053659297</v>
      </c>
      <c r="AK6333">
        <v>12.7762330150604</v>
      </c>
      <c r="AL6333">
        <v>90.965737955691196</v>
      </c>
      <c r="AM6333">
        <v>92.956150540978697</v>
      </c>
      <c r="AN6333">
        <v>1.00000006247725</v>
      </c>
    </row>
    <row r="6334" spans="1:40" x14ac:dyDescent="0.3">
      <c r="A6334" t="str">
        <f>"20200111160629870"</f>
        <v>20200111160629870</v>
      </c>
      <c r="B6334" t="str">
        <f>"1578729989858574"</f>
        <v>1578729989858574</v>
      </c>
      <c r="C6334" t="s">
        <v>40</v>
      </c>
      <c r="D6334">
        <v>5.52447</v>
      </c>
      <c r="E6334">
        <v>0.51005249999999902</v>
      </c>
      <c r="F6334" t="s">
        <v>100</v>
      </c>
      <c r="G6334">
        <v>-192.20099999999999</v>
      </c>
      <c r="H6334">
        <v>27.15174</v>
      </c>
      <c r="I6334">
        <v>391.87</v>
      </c>
      <c r="J6334">
        <v>-192.82669999999999</v>
      </c>
      <c r="K6334">
        <v>1.109442</v>
      </c>
      <c r="L6334">
        <v>-11.65616</v>
      </c>
      <c r="M6334">
        <v>2.4436329999999999E-2</v>
      </c>
      <c r="N6334">
        <v>0</v>
      </c>
      <c r="O6334">
        <v>0.99964770000000003</v>
      </c>
      <c r="P6334">
        <v>-2.72652E-2</v>
      </c>
      <c r="Q6334">
        <v>-2.6400980000000001E-2</v>
      </c>
      <c r="R6334">
        <v>0.99927960000000005</v>
      </c>
      <c r="S6334">
        <v>4.7149660000000001E-3</v>
      </c>
      <c r="T6334">
        <v>0.1939776</v>
      </c>
      <c r="U6334">
        <v>3.0077210000000001</v>
      </c>
      <c r="V6334">
        <v>-5.1701270000000001E-2</v>
      </c>
      <c r="W6334">
        <v>-1.59784E-2</v>
      </c>
      <c r="X6334">
        <v>0.9985347</v>
      </c>
      <c r="Y6334">
        <v>-2.2873709999999998E-2</v>
      </c>
      <c r="Z6334">
        <v>6.4322229999999994E-2</v>
      </c>
      <c r="AA6334">
        <v>0.99766699999999997</v>
      </c>
      <c r="AB6334">
        <v>27</v>
      </c>
      <c r="AC6334">
        <v>0.62569999999999404</v>
      </c>
      <c r="AD6334">
        <v>26.042297999999999</v>
      </c>
      <c r="AE6334">
        <v>403.52616</v>
      </c>
      <c r="AF6334">
        <v>-9.19740741666552</v>
      </c>
      <c r="AG6334">
        <v>26.042297999999999</v>
      </c>
      <c r="AH6334">
        <v>401.747664242837</v>
      </c>
      <c r="AI6334">
        <v>86.292100769994704</v>
      </c>
      <c r="AJ6334">
        <v>91.311471450964902</v>
      </c>
      <c r="AK6334">
        <v>402.69588936675802</v>
      </c>
      <c r="AL6334">
        <v>90.9155338995634</v>
      </c>
      <c r="AM6334">
        <v>92.963964763063899</v>
      </c>
      <c r="AN6334">
        <v>0.99999993884512905</v>
      </c>
    </row>
    <row r="6335" spans="1:40" x14ac:dyDescent="0.3">
      <c r="A6335" t="str">
        <f>"20200111160629894"</f>
        <v>20200111160629894</v>
      </c>
      <c r="B6335" t="str">
        <f>"1578729989888830"</f>
        <v>1578729989888830</v>
      </c>
      <c r="C6335" t="s">
        <v>40</v>
      </c>
      <c r="D6335">
        <v>6.5335660000000004</v>
      </c>
      <c r="E6335">
        <v>0.51064309999999902</v>
      </c>
      <c r="F6335" t="s">
        <v>41</v>
      </c>
      <c r="G6335">
        <v>-192.87440000000001</v>
      </c>
      <c r="H6335" s="1">
        <v>-1.540871E-6</v>
      </c>
      <c r="I6335">
        <v>1.3981619999999999</v>
      </c>
      <c r="J6335">
        <v>-192.8186</v>
      </c>
      <c r="K6335">
        <v>1.109335</v>
      </c>
      <c r="L6335">
        <v>-11.37079</v>
      </c>
      <c r="M6335">
        <v>2.5475419999999999E-2</v>
      </c>
      <c r="N6335">
        <v>0</v>
      </c>
      <c r="O6335">
        <v>0.99962150000000005</v>
      </c>
      <c r="P6335">
        <v>-2.6253829999999999E-2</v>
      </c>
      <c r="Q6335">
        <v>-2.548597E-2</v>
      </c>
      <c r="R6335">
        <v>0.99933039999999995</v>
      </c>
      <c r="S6335">
        <v>-1.094055E-2</v>
      </c>
      <c r="T6335">
        <v>-0.25454759999999998</v>
      </c>
      <c r="U6335">
        <v>2.9951479999999999</v>
      </c>
      <c r="V6335">
        <v>-5.1731069999999997E-2</v>
      </c>
      <c r="W6335">
        <v>-1.502306E-2</v>
      </c>
      <c r="X6335">
        <v>0.99854799999999999</v>
      </c>
      <c r="Y6335">
        <v>-2.911505E-2</v>
      </c>
      <c r="Z6335">
        <v>-8.4621979999999999E-2</v>
      </c>
      <c r="AA6335">
        <v>0.99598770000000003</v>
      </c>
      <c r="AB6335">
        <v>27</v>
      </c>
      <c r="AC6335">
        <v>-5.5800000000004901E-2</v>
      </c>
      <c r="AD6335">
        <v>-1.1093365408710001</v>
      </c>
      <c r="AE6335">
        <v>12.768952000000001</v>
      </c>
      <c r="AF6335">
        <v>-0.37823905748257503</v>
      </c>
      <c r="AG6335">
        <v>-1.1093365408710001</v>
      </c>
      <c r="AH6335">
        <v>12.6677747021711</v>
      </c>
      <c r="AI6335">
        <v>95.002494276550493</v>
      </c>
      <c r="AJ6335">
        <v>91.710250251979303</v>
      </c>
      <c r="AK6335">
        <v>12.7218791163289</v>
      </c>
      <c r="AL6335">
        <v>90.860790355622797</v>
      </c>
      <c r="AM6335">
        <v>92.965630678136606</v>
      </c>
      <c r="AN6335">
        <v>0.99999995211955295</v>
      </c>
    </row>
    <row r="6336" spans="1:40" x14ac:dyDescent="0.3">
      <c r="A6336" t="str">
        <f>"20200111160629914"</f>
        <v>20200111160629914</v>
      </c>
      <c r="B6336" t="str">
        <f>"1578729989908350"</f>
        <v>1578729989908350</v>
      </c>
      <c r="C6336" t="s">
        <v>40</v>
      </c>
      <c r="D6336">
        <v>5.5472250000000001</v>
      </c>
      <c r="E6336">
        <v>0.51152240000000004</v>
      </c>
      <c r="F6336" t="s">
        <v>41</v>
      </c>
      <c r="G6336">
        <v>-192.83250000000001</v>
      </c>
      <c r="H6336" s="1">
        <v>-1.6575309999999901E-6</v>
      </c>
      <c r="I6336">
        <v>1.6960759999999999</v>
      </c>
      <c r="J6336">
        <v>-192.81120000000001</v>
      </c>
      <c r="K6336">
        <v>1.1092580000000001</v>
      </c>
      <c r="L6336">
        <v>-11.11905</v>
      </c>
      <c r="M6336">
        <v>2.649994E-2</v>
      </c>
      <c r="N6336">
        <v>0</v>
      </c>
      <c r="O6336">
        <v>0.9995946</v>
      </c>
      <c r="P6336">
        <v>-2.575216E-2</v>
      </c>
      <c r="Q6336">
        <v>-2.489943E-2</v>
      </c>
      <c r="R6336">
        <v>0.99935819999999997</v>
      </c>
      <c r="S6336">
        <v>-3.1738280000000001E-3</v>
      </c>
      <c r="T6336">
        <v>-0.25430469999999999</v>
      </c>
      <c r="U6336">
        <v>2.9954529999999999</v>
      </c>
      <c r="V6336">
        <v>-5.2255790000000003E-2</v>
      </c>
      <c r="W6336">
        <v>-1.440404E-2</v>
      </c>
      <c r="X6336">
        <v>0.99852989999999997</v>
      </c>
      <c r="Y6336">
        <v>-2.7556730000000002E-2</v>
      </c>
      <c r="Z6336">
        <v>-8.4532019999999999E-2</v>
      </c>
      <c r="AA6336">
        <v>0.99603960000000002</v>
      </c>
      <c r="AB6336">
        <v>27</v>
      </c>
      <c r="AC6336">
        <v>-2.1299999999996499E-2</v>
      </c>
      <c r="AD6336">
        <v>-1.1092596575309901</v>
      </c>
      <c r="AE6336">
        <v>12.815125999999999</v>
      </c>
      <c r="AF6336">
        <v>-0.35822702394974398</v>
      </c>
      <c r="AG6336">
        <v>-1.1092596575309901</v>
      </c>
      <c r="AH6336">
        <v>12.7147965346495</v>
      </c>
      <c r="AI6336">
        <v>94.983985881830193</v>
      </c>
      <c r="AJ6336">
        <v>91.613825937897602</v>
      </c>
      <c r="AK6336">
        <v>12.7681178920798</v>
      </c>
      <c r="AL6336">
        <v>90.825319197260697</v>
      </c>
      <c r="AM6336">
        <v>92.995711430438803</v>
      </c>
      <c r="AN6336">
        <v>1.00000005257542</v>
      </c>
    </row>
    <row r="6337" spans="1:40" x14ac:dyDescent="0.3">
      <c r="A6337" t="str">
        <f>"20200111160629936"</f>
        <v>20200111160629936</v>
      </c>
      <c r="B6337" t="str">
        <f>"1578729989928846"</f>
        <v>1578729989928846</v>
      </c>
      <c r="C6337" t="s">
        <v>40</v>
      </c>
      <c r="D6337">
        <v>5.5407820000000001</v>
      </c>
      <c r="E6337">
        <v>0.51178939999999995</v>
      </c>
      <c r="F6337" t="s">
        <v>41</v>
      </c>
      <c r="G6337">
        <v>-192.7833</v>
      </c>
      <c r="H6337" s="1">
        <v>-2.1421690000000002E-6</v>
      </c>
      <c r="I6337">
        <v>2.8563000000000001</v>
      </c>
      <c r="J6337">
        <v>-192.80260000000001</v>
      </c>
      <c r="K6337">
        <v>1.109181</v>
      </c>
      <c r="L6337">
        <v>-10.8429</v>
      </c>
      <c r="M6337">
        <v>2.7725010000000001E-2</v>
      </c>
      <c r="N6337">
        <v>0</v>
      </c>
      <c r="O6337">
        <v>0.99956109999999998</v>
      </c>
      <c r="P6337">
        <v>-2.5337040000000002E-2</v>
      </c>
      <c r="Q6337">
        <v>-2.4374920000000001E-2</v>
      </c>
      <c r="R6337">
        <v>0.99938179999999999</v>
      </c>
      <c r="S6337">
        <v>5.9814450000000002E-3</v>
      </c>
      <c r="T6337">
        <v>-0.23781260000000001</v>
      </c>
      <c r="U6337">
        <v>2.9961549999999999</v>
      </c>
      <c r="V6337">
        <v>-5.3066090000000003E-2</v>
      </c>
      <c r="W6337">
        <v>-1.384614E-2</v>
      </c>
      <c r="X6337">
        <v>0.99849500000000002</v>
      </c>
      <c r="Y6337">
        <v>-2.5737099999999999E-2</v>
      </c>
      <c r="Z6337">
        <v>-7.9064999999999996E-2</v>
      </c>
      <c r="AA6337">
        <v>0.99653709999999995</v>
      </c>
      <c r="AB6337">
        <v>27</v>
      </c>
      <c r="AC6337">
        <v>1.9300000000015399E-2</v>
      </c>
      <c r="AD6337">
        <v>-1.1091831421689999</v>
      </c>
      <c r="AE6337">
        <v>13.699199999999999</v>
      </c>
      <c r="AF6337">
        <v>-0.35819039713789902</v>
      </c>
      <c r="AG6337">
        <v>-1.1091831421689999</v>
      </c>
      <c r="AH6337">
        <v>13.605277082032</v>
      </c>
      <c r="AI6337">
        <v>94.659177856457802</v>
      </c>
      <c r="AJ6337">
        <v>91.508095588732402</v>
      </c>
      <c r="AK6337">
        <v>13.6551145027179</v>
      </c>
      <c r="AL6337">
        <v>90.793350739300493</v>
      </c>
      <c r="AM6337">
        <v>93.042183719002395</v>
      </c>
      <c r="AN6337">
        <v>0.99999999526289296</v>
      </c>
    </row>
    <row r="6338" spans="1:40" x14ac:dyDescent="0.3">
      <c r="A6338" t="str">
        <f>"20200111160631243"</f>
        <v>20200111160631243</v>
      </c>
      <c r="B6338" t="str">
        <f>"1578729991238798"</f>
        <v>1578729991238798</v>
      </c>
      <c r="C6338" t="s">
        <v>40</v>
      </c>
      <c r="D6338">
        <v>6.11097</v>
      </c>
      <c r="E6338">
        <v>0.47759810000000003</v>
      </c>
      <c r="F6338" t="s">
        <v>41</v>
      </c>
      <c r="G6338">
        <v>-192.76240000000001</v>
      </c>
      <c r="H6338" s="1">
        <v>-2.069136E-6</v>
      </c>
      <c r="I6338">
        <v>2.6990349999999999</v>
      </c>
      <c r="J6338">
        <v>-192.14760000000001</v>
      </c>
      <c r="K6338">
        <v>1.110981</v>
      </c>
      <c r="L6338">
        <v>5.0116880000000004</v>
      </c>
      <c r="M6338">
        <v>2.4404889999999999E-2</v>
      </c>
      <c r="N6338">
        <v>0</v>
      </c>
      <c r="O6338">
        <v>0.99960470000000001</v>
      </c>
      <c r="P6338">
        <v>-1.8907819999999999E-2</v>
      </c>
      <c r="Q6338">
        <v>-3.897581E-2</v>
      </c>
      <c r="R6338">
        <v>0.99906119999999998</v>
      </c>
      <c r="S6338">
        <v>8.9111329999999999E-3</v>
      </c>
      <c r="T6338">
        <v>-0.24540200000000001</v>
      </c>
      <c r="U6338">
        <v>2.9960939999999998</v>
      </c>
      <c r="V6338">
        <v>-4.3253769999999997E-2</v>
      </c>
      <c r="W6338">
        <v>-2.5093830000000001E-2</v>
      </c>
      <c r="X6338">
        <v>0.99874890000000005</v>
      </c>
      <c r="Y6338">
        <v>-2.1443719999999999E-2</v>
      </c>
      <c r="Z6338">
        <v>-8.1587960000000001E-2</v>
      </c>
      <c r="AA6338">
        <v>0.99643539999999997</v>
      </c>
      <c r="AB6338">
        <v>26</v>
      </c>
      <c r="AC6338">
        <v>-0.61480000000000201</v>
      </c>
      <c r="AD6338">
        <v>-1.1109830691359901</v>
      </c>
      <c r="AE6338">
        <v>-2.3126530000000001</v>
      </c>
      <c r="AF6338">
        <v>-0.45919435770190897</v>
      </c>
      <c r="AG6338">
        <v>-1.1109830691359901</v>
      </c>
      <c r="AH6338">
        <v>-1.9143429894180799</v>
      </c>
      <c r="AI6338">
        <v>119.437713102418</v>
      </c>
      <c r="AJ6338">
        <v>-103.488715894149</v>
      </c>
      <c r="AK6338">
        <v>2.2604981573065399</v>
      </c>
      <c r="AL6338">
        <v>91.437921520638696</v>
      </c>
      <c r="AM6338">
        <v>92.479813315090993</v>
      </c>
      <c r="AN6338">
        <v>0.99999997708724497</v>
      </c>
    </row>
    <row r="6339" spans="1:40" x14ac:dyDescent="0.3">
      <c r="A6339" t="str">
        <f>"20200111160631266"</f>
        <v>20200111160631266</v>
      </c>
      <c r="B6339" t="str">
        <f>"1578729991259295"</f>
        <v>1578729991259295</v>
      </c>
      <c r="C6339" t="s">
        <v>40</v>
      </c>
      <c r="D6339">
        <v>5.344652</v>
      </c>
      <c r="E6339">
        <v>0.413827</v>
      </c>
      <c r="F6339" t="s">
        <v>100</v>
      </c>
      <c r="G6339">
        <v>-221.11429999999999</v>
      </c>
      <c r="H6339">
        <v>10.952669999999999</v>
      </c>
      <c r="I6339">
        <v>391.87</v>
      </c>
      <c r="J6339">
        <v>-192.14230000000001</v>
      </c>
      <c r="K6339">
        <v>1.110975</v>
      </c>
      <c r="L6339">
        <v>5.2663880000000001</v>
      </c>
      <c r="M6339">
        <v>2.3657419999999998E-2</v>
      </c>
      <c r="N6339">
        <v>0</v>
      </c>
      <c r="O6339">
        <v>0.99962269999999998</v>
      </c>
      <c r="P6339">
        <v>-1.9257349999999999E-2</v>
      </c>
      <c r="Q6339">
        <v>-3.9148080000000002E-2</v>
      </c>
      <c r="R6339">
        <v>0.99904780000000004</v>
      </c>
      <c r="S6339">
        <v>-0.22474669999999999</v>
      </c>
      <c r="T6339">
        <v>7.6359629999999998E-2</v>
      </c>
      <c r="U6339">
        <v>3.0015559999999999</v>
      </c>
      <c r="V6339">
        <v>-4.2856400000000003E-2</v>
      </c>
      <c r="W6339">
        <v>-2.526544E-2</v>
      </c>
      <c r="X6339">
        <v>0.99876169999999997</v>
      </c>
      <c r="Y6339">
        <v>-9.8216499999999998E-2</v>
      </c>
      <c r="Z6339">
        <v>2.532419E-2</v>
      </c>
      <c r="AA6339">
        <v>0.99484280000000003</v>
      </c>
      <c r="AB6339">
        <v>26</v>
      </c>
      <c r="AC6339">
        <v>-28.971999999999898</v>
      </c>
      <c r="AD6339">
        <v>9.8416949999999996</v>
      </c>
      <c r="AE6339">
        <v>386.603612</v>
      </c>
      <c r="AF6339">
        <v>-38.086280813345198</v>
      </c>
      <c r="AG6339">
        <v>9.8416949999999996</v>
      </c>
      <c r="AH6339">
        <v>385.56145292810402</v>
      </c>
      <c r="AI6339">
        <v>88.544886257064107</v>
      </c>
      <c r="AJ6339">
        <v>95.641452646583801</v>
      </c>
      <c r="AK6339">
        <v>387.56297260019102</v>
      </c>
      <c r="AL6339">
        <v>91.447757173353395</v>
      </c>
      <c r="AM6339">
        <v>92.457028005950704</v>
      </c>
      <c r="AN6339">
        <v>0.99999997343312097</v>
      </c>
    </row>
    <row r="6340" spans="1:40" x14ac:dyDescent="0.3">
      <c r="A6340" t="str">
        <f>"20200111160631286"</f>
        <v>20200111160631286</v>
      </c>
      <c r="B6340" t="str">
        <f>"1578729991278814"</f>
        <v>1578729991278814</v>
      </c>
      <c r="C6340" t="s">
        <v>40</v>
      </c>
      <c r="D6340">
        <v>5.3781080000000001</v>
      </c>
      <c r="E6340">
        <v>0.4139736</v>
      </c>
      <c r="F6340" t="s">
        <v>55</v>
      </c>
      <c r="G6340">
        <v>-212.22540000000001</v>
      </c>
      <c r="H6340">
        <v>0.72601949999999904</v>
      </c>
      <c r="I6340">
        <v>86.352819999999994</v>
      </c>
      <c r="J6340">
        <v>-192.13720000000001</v>
      </c>
      <c r="K6340">
        <v>1.110967</v>
      </c>
      <c r="L6340">
        <v>5.5175169999999998</v>
      </c>
      <c r="M6340">
        <v>2.2930720000000002E-2</v>
      </c>
      <c r="N6340">
        <v>0</v>
      </c>
      <c r="O6340">
        <v>0.99963959999999996</v>
      </c>
      <c r="P6340">
        <v>-1.9459290000000001E-2</v>
      </c>
      <c r="Q6340">
        <v>-3.904241E-2</v>
      </c>
      <c r="R6340">
        <v>0.99904809999999999</v>
      </c>
      <c r="S6340">
        <v>-0.74006649999999996</v>
      </c>
      <c r="T6340">
        <v>-1.418471E-2</v>
      </c>
      <c r="U6340">
        <v>2.9880369999999998</v>
      </c>
      <c r="V6340">
        <v>-4.233311E-2</v>
      </c>
      <c r="W6340">
        <v>-2.515877E-2</v>
      </c>
      <c r="X6340">
        <v>0.99878670000000003</v>
      </c>
      <c r="Y6340">
        <v>-0.26260689999999998</v>
      </c>
      <c r="Z6340">
        <v>-4.5925540000000004E-3</v>
      </c>
      <c r="AA6340">
        <v>0.96489199999999997</v>
      </c>
      <c r="AB6340">
        <v>26</v>
      </c>
      <c r="AC6340">
        <v>-20.088200000000001</v>
      </c>
      <c r="AD6340">
        <v>-0.3849475</v>
      </c>
      <c r="AE6340">
        <v>80.835302999999996</v>
      </c>
      <c r="AF6340">
        <v>-21.936240693020299</v>
      </c>
      <c r="AG6340">
        <v>-0.3849475</v>
      </c>
      <c r="AH6340">
        <v>80.351645751278895</v>
      </c>
      <c r="AI6340">
        <v>90.2647993199773</v>
      </c>
      <c r="AJ6340">
        <v>105.269822205249</v>
      </c>
      <c r="AK6340">
        <v>83.293059826487905</v>
      </c>
      <c r="AL6340">
        <v>91.441643502592996</v>
      </c>
      <c r="AM6340">
        <v>92.427002348156705</v>
      </c>
      <c r="AN6340">
        <v>0.99999996400353697</v>
      </c>
    </row>
    <row r="6341" spans="1:40" x14ac:dyDescent="0.3">
      <c r="A6341" t="str">
        <f>"20200111160631311"</f>
        <v>20200111160631311</v>
      </c>
      <c r="B6341" t="str">
        <f>"1578729991299310"</f>
        <v>1578729991299310</v>
      </c>
      <c r="C6341" t="s">
        <v>40</v>
      </c>
      <c r="D6341">
        <v>5.3073739999999896</v>
      </c>
      <c r="E6341">
        <v>0.41397489999999998</v>
      </c>
      <c r="F6341" t="s">
        <v>41</v>
      </c>
      <c r="G6341">
        <v>-201.3408</v>
      </c>
      <c r="H6341">
        <v>7.9986039999999994E-2</v>
      </c>
      <c r="I6341">
        <v>42.470410000000001</v>
      </c>
      <c r="J6341">
        <v>-192.1317</v>
      </c>
      <c r="K6341">
        <v>1.110959</v>
      </c>
      <c r="L6341">
        <v>5.794556</v>
      </c>
      <c r="M6341">
        <v>2.213909E-2</v>
      </c>
      <c r="N6341">
        <v>0</v>
      </c>
      <c r="O6341">
        <v>0.99965749999999998</v>
      </c>
      <c r="P6341">
        <v>-1.963061E-2</v>
      </c>
      <c r="Q6341">
        <v>-3.9187079999999999E-2</v>
      </c>
      <c r="R6341">
        <v>0.99903909999999996</v>
      </c>
      <c r="S6341">
        <v>-0.74348449999999999</v>
      </c>
      <c r="T6341">
        <v>-8.3284140000000006E-2</v>
      </c>
      <c r="U6341">
        <v>2.9851070000000002</v>
      </c>
      <c r="V6341">
        <v>-4.1714290000000001E-2</v>
      </c>
      <c r="W6341">
        <v>-2.5302669999999999E-2</v>
      </c>
      <c r="X6341">
        <v>0.99880919999999895</v>
      </c>
      <c r="Y6341">
        <v>-0.2630188</v>
      </c>
      <c r="Z6341">
        <v>-2.6976030000000002E-2</v>
      </c>
      <c r="AA6341">
        <v>0.96441350000000003</v>
      </c>
      <c r="AB6341">
        <v>26</v>
      </c>
      <c r="AC6341">
        <v>-9.2090999999999994</v>
      </c>
      <c r="AD6341">
        <v>-1.0309729599999999</v>
      </c>
      <c r="AE6341">
        <v>36.675854000000001</v>
      </c>
      <c r="AF6341">
        <v>-10.0114497192531</v>
      </c>
      <c r="AG6341">
        <v>-1.0309729599999999</v>
      </c>
      <c r="AH6341">
        <v>36.435878216222697</v>
      </c>
      <c r="AI6341">
        <v>91.562888978027502</v>
      </c>
      <c r="AJ6341">
        <v>105.363945596279</v>
      </c>
      <c r="AK6341">
        <v>37.800334021180298</v>
      </c>
      <c r="AL6341">
        <v>91.449890848203196</v>
      </c>
      <c r="AM6341">
        <v>92.3915124244146</v>
      </c>
      <c r="AN6341">
        <v>1.00000006255198</v>
      </c>
    </row>
    <row r="6342" spans="1:40" x14ac:dyDescent="0.3">
      <c r="A6342" t="str">
        <f>"20200111160631343"</f>
        <v>20200111160631343</v>
      </c>
      <c r="B6342" t="str">
        <f>"1578729991338350"</f>
        <v>1578729991338350</v>
      </c>
      <c r="C6342" t="s">
        <v>40</v>
      </c>
      <c r="D6342">
        <v>5.3390430000000002</v>
      </c>
      <c r="E6342">
        <v>0.41387449999999998</v>
      </c>
      <c r="F6342" t="s">
        <v>41</v>
      </c>
      <c r="G6342">
        <v>-199.72309999999999</v>
      </c>
      <c r="H6342" s="1">
        <v>-4.8525249999999998E-6</v>
      </c>
      <c r="I6342">
        <v>36.177990000000001</v>
      </c>
      <c r="J6342">
        <v>-192.12469999999999</v>
      </c>
      <c r="K6342">
        <v>1.1109450000000001</v>
      </c>
      <c r="L6342">
        <v>6.1685790000000003</v>
      </c>
      <c r="M6342">
        <v>2.108312E-2</v>
      </c>
      <c r="N6342">
        <v>0</v>
      </c>
      <c r="O6342">
        <v>0.99968029999999997</v>
      </c>
      <c r="P6342">
        <v>-2.1519E-2</v>
      </c>
      <c r="Q6342">
        <v>-4.0293130000000003E-2</v>
      </c>
      <c r="R6342">
        <v>0.99895610000000001</v>
      </c>
      <c r="S6342">
        <v>-0.7455444</v>
      </c>
      <c r="T6342">
        <v>-0.10910739999999899</v>
      </c>
      <c r="U6342">
        <v>2.9839479999999998</v>
      </c>
      <c r="V6342">
        <v>-4.2545100000000002E-2</v>
      </c>
      <c r="W6342">
        <v>-2.6411819999999999E-2</v>
      </c>
      <c r="X6342">
        <v>0.99874540000000001</v>
      </c>
      <c r="Y6342">
        <v>-0.26265100000000002</v>
      </c>
      <c r="Z6342">
        <v>-3.5344149999999998E-2</v>
      </c>
      <c r="AA6342">
        <v>0.96424339999999997</v>
      </c>
      <c r="AB6342">
        <v>26</v>
      </c>
      <c r="AC6342">
        <v>-7.5983999999999901</v>
      </c>
      <c r="AD6342">
        <v>-1.1109498525249999</v>
      </c>
      <c r="AE6342">
        <v>30.009411</v>
      </c>
      <c r="AF6342">
        <v>-8.2188791745713292</v>
      </c>
      <c r="AG6342">
        <v>-1.1109498525249999</v>
      </c>
      <c r="AH6342">
        <v>29.804140611444101</v>
      </c>
      <c r="AI6342">
        <v>92.057966969200507</v>
      </c>
      <c r="AJ6342">
        <v>105.416886269946</v>
      </c>
      <c r="AK6342">
        <v>30.936563837112899</v>
      </c>
      <c r="AL6342">
        <v>91.513461778088001</v>
      </c>
      <c r="AM6342">
        <v>92.439242060089796</v>
      </c>
      <c r="AN6342">
        <v>1.0000000218954399</v>
      </c>
    </row>
    <row r="6343" spans="1:40" x14ac:dyDescent="0.3">
      <c r="A6343" t="str">
        <f>"20200111160631613"</f>
        <v>20200111160631613</v>
      </c>
      <c r="B6343" t="str">
        <f>"1578729991608702"</f>
        <v>1578729991608702</v>
      </c>
      <c r="C6343" t="s">
        <v>40</v>
      </c>
      <c r="D6343">
        <v>6.0632619999999999</v>
      </c>
      <c r="E6343">
        <v>0.50771560000000004</v>
      </c>
      <c r="F6343" t="s">
        <v>41</v>
      </c>
      <c r="G6343">
        <v>-198.47489999999999</v>
      </c>
      <c r="H6343" s="1">
        <v>-2.9765619999999998E-6</v>
      </c>
      <c r="I6343">
        <v>31.31598</v>
      </c>
      <c r="J6343">
        <v>-192.08099999999999</v>
      </c>
      <c r="K6343">
        <v>1.11056</v>
      </c>
      <c r="L6343">
        <v>9.301361</v>
      </c>
      <c r="M6343">
        <v>1.2509579999999999E-2</v>
      </c>
      <c r="N6343">
        <v>0</v>
      </c>
      <c r="O6343">
        <v>0.99984090000000003</v>
      </c>
      <c r="P6343">
        <v>-3.1756529999999998E-2</v>
      </c>
      <c r="Q6343">
        <v>-5.5249489999999998E-2</v>
      </c>
      <c r="R6343">
        <v>0.99796739999999995</v>
      </c>
      <c r="S6343">
        <v>-0.75291439999999998</v>
      </c>
      <c r="T6343">
        <v>-0.13171939999999999</v>
      </c>
      <c r="U6343">
        <v>2.981598</v>
      </c>
      <c r="V6343">
        <v>-4.4192380000000003E-2</v>
      </c>
      <c r="W6343">
        <v>-4.2604549999999998E-2</v>
      </c>
      <c r="X6343">
        <v>0.99811419999999995</v>
      </c>
      <c r="Y6343">
        <v>-0.2567219</v>
      </c>
      <c r="Z6343">
        <v>-4.2720380000000002E-2</v>
      </c>
      <c r="AA6343">
        <v>0.96554070000000003</v>
      </c>
      <c r="AB6343">
        <v>26</v>
      </c>
      <c r="AC6343">
        <v>-6.3939000000000004</v>
      </c>
      <c r="AD6343">
        <v>-1.110562976562</v>
      </c>
      <c r="AE6343">
        <v>22.014619</v>
      </c>
      <c r="AF6343">
        <v>-6.6532011850594301</v>
      </c>
      <c r="AG6343">
        <v>-1.110562976562</v>
      </c>
      <c r="AH6343">
        <v>21.881551068952</v>
      </c>
      <c r="AI6343">
        <v>92.780007813699498</v>
      </c>
      <c r="AJ6343">
        <v>106.912171244025</v>
      </c>
      <c r="AK6343">
        <v>22.8976137035487</v>
      </c>
      <c r="AL6343">
        <v>92.441799901946396</v>
      </c>
      <c r="AM6343">
        <v>92.535165056153701</v>
      </c>
      <c r="AN6343">
        <v>1.0000000351862</v>
      </c>
    </row>
    <row r="6344" spans="1:40" x14ac:dyDescent="0.3">
      <c r="A6344" t="str">
        <f>"20200111160631635"</f>
        <v>20200111160631635</v>
      </c>
      <c r="B6344" t="str">
        <f>"1578729991629198"</f>
        <v>1578729991629198</v>
      </c>
      <c r="C6344" t="s">
        <v>40</v>
      </c>
      <c r="D6344">
        <v>5.6624089999999896</v>
      </c>
      <c r="E6344">
        <v>0.50710189999999999</v>
      </c>
      <c r="F6344" t="s">
        <v>42</v>
      </c>
      <c r="G6344">
        <v>-192.09229999999999</v>
      </c>
      <c r="H6344">
        <v>1.0291629999999901</v>
      </c>
      <c r="I6344">
        <v>10.15532</v>
      </c>
      <c r="J6344">
        <v>-192.07849999999999</v>
      </c>
      <c r="K6344">
        <v>1.110495</v>
      </c>
      <c r="L6344">
        <v>9.5556950000000001</v>
      </c>
      <c r="M6344">
        <v>1.185601E-2</v>
      </c>
      <c r="N6344">
        <v>0</v>
      </c>
      <c r="O6344">
        <v>0.99985270000000004</v>
      </c>
      <c r="P6344">
        <v>-3.4724659999999997E-2</v>
      </c>
      <c r="Q6344">
        <v>-5.6655759999999999E-2</v>
      </c>
      <c r="R6344">
        <v>0.9977897</v>
      </c>
      <c r="S6344">
        <v>-4.0313719999999997E-2</v>
      </c>
      <c r="T6344">
        <v>-0.28494069999999999</v>
      </c>
      <c r="U6344">
        <v>2.9890439999999998</v>
      </c>
      <c r="V6344">
        <v>-4.6505650000000003E-2</v>
      </c>
      <c r="W6344">
        <v>-4.4319419999999998E-2</v>
      </c>
      <c r="X6344">
        <v>0.9979344</v>
      </c>
      <c r="Y6344">
        <v>-2.528E-2</v>
      </c>
      <c r="Z6344">
        <v>-9.4868720000000004E-2</v>
      </c>
      <c r="AA6344">
        <v>0.99516870000000002</v>
      </c>
      <c r="AB6344">
        <v>26</v>
      </c>
      <c r="AC6344">
        <v>-1.3800000000003299E-2</v>
      </c>
      <c r="AD6344">
        <v>-8.1332000000000099E-2</v>
      </c>
      <c r="AE6344">
        <v>0.59962499999999896</v>
      </c>
      <c r="AF6344">
        <v>-2.0531210421908998E-2</v>
      </c>
      <c r="AG6344">
        <v>-8.1332000000000099E-2</v>
      </c>
      <c r="AH6344">
        <v>0.58859614295475804</v>
      </c>
      <c r="AI6344">
        <v>97.862568647942297</v>
      </c>
      <c r="AJ6344">
        <v>91.997761906302202</v>
      </c>
      <c r="AK6344">
        <v>0.59454339145819102</v>
      </c>
      <c r="AL6344">
        <v>92.540147676495494</v>
      </c>
      <c r="AM6344">
        <v>92.6681624128978</v>
      </c>
      <c r="AN6344">
        <v>1.0000000265872</v>
      </c>
    </row>
    <row r="6345" spans="1:40" x14ac:dyDescent="0.3">
      <c r="A6345" t="str">
        <f>"20200111160631657"</f>
        <v>20200111160631657</v>
      </c>
      <c r="B6345" t="str">
        <f>"1578729991648718"</f>
        <v>1578729991648718</v>
      </c>
      <c r="C6345" t="s">
        <v>40</v>
      </c>
      <c r="D6345">
        <v>5.5921310000000002</v>
      </c>
      <c r="E6345">
        <v>0.50711629999999996</v>
      </c>
      <c r="F6345" t="s">
        <v>42</v>
      </c>
      <c r="G6345">
        <v>-192.09360000000001</v>
      </c>
      <c r="H6345">
        <v>1.0301720000000001</v>
      </c>
      <c r="I6345">
        <v>10.394729999999999</v>
      </c>
      <c r="J6345">
        <v>-192.0762</v>
      </c>
      <c r="K6345">
        <v>1.11043</v>
      </c>
      <c r="L6345">
        <v>9.8136899999999994</v>
      </c>
      <c r="M6345">
        <v>1.122836E-2</v>
      </c>
      <c r="N6345">
        <v>0</v>
      </c>
      <c r="O6345">
        <v>0.99986390000000003</v>
      </c>
      <c r="P6345">
        <v>-3.8046209999999997E-2</v>
      </c>
      <c r="Q6345">
        <v>-5.4801309999999999E-2</v>
      </c>
      <c r="R6345">
        <v>0.9977722</v>
      </c>
      <c r="S6345">
        <v>-5.3726200000000002E-2</v>
      </c>
      <c r="T6345">
        <v>-0.28609869999999998</v>
      </c>
      <c r="U6345">
        <v>2.9885250000000001</v>
      </c>
      <c r="V6345">
        <v>-4.9204449999999997E-2</v>
      </c>
      <c r="W6345">
        <v>-4.2795710000000001E-2</v>
      </c>
      <c r="X6345">
        <v>0.99787150000000002</v>
      </c>
      <c r="Y6345">
        <v>-2.911907E-2</v>
      </c>
      <c r="Z6345">
        <v>-9.5259880000000005E-2</v>
      </c>
      <c r="AA6345">
        <v>0.99502650000000004</v>
      </c>
      <c r="AB6345">
        <v>26</v>
      </c>
      <c r="AC6345">
        <v>-1.7400000000009099E-2</v>
      </c>
      <c r="AD6345">
        <v>-8.0258000000000093E-2</v>
      </c>
      <c r="AE6345">
        <v>0.581040000000001</v>
      </c>
      <c r="AF6345">
        <v>-2.34759993413058E-2</v>
      </c>
      <c r="AG6345">
        <v>-8.0258000000000093E-2</v>
      </c>
      <c r="AH6345">
        <v>0.569943543055355</v>
      </c>
      <c r="AI6345">
        <v>98.008838800743604</v>
      </c>
      <c r="AJ6345">
        <v>92.358682325568395</v>
      </c>
      <c r="AK6345">
        <v>0.57604523379641304</v>
      </c>
      <c r="AL6345">
        <v>92.452762548168394</v>
      </c>
      <c r="AM6345">
        <v>92.822934371671394</v>
      </c>
      <c r="AN6345">
        <v>1.0000000406032199</v>
      </c>
    </row>
    <row r="6346" spans="1:40" x14ac:dyDescent="0.3">
      <c r="A6346" t="str">
        <f>"20200111160631678"</f>
        <v>20200111160631678</v>
      </c>
      <c r="B6346" t="str">
        <f>"1578729991669214"</f>
        <v>1578729991669214</v>
      </c>
      <c r="C6346" t="s">
        <v>40</v>
      </c>
      <c r="D6346">
        <v>5.6441210000000002</v>
      </c>
      <c r="E6346">
        <v>0.50583690000000003</v>
      </c>
      <c r="F6346" t="s">
        <v>41</v>
      </c>
      <c r="G6346">
        <v>-192.32830000000001</v>
      </c>
      <c r="H6346" s="1">
        <v>-1.5185749999999999E-6</v>
      </c>
      <c r="I6346">
        <v>21.684840000000001</v>
      </c>
      <c r="J6346">
        <v>-192.07400000000001</v>
      </c>
      <c r="K6346">
        <v>1.1103719999999999</v>
      </c>
      <c r="L6346">
        <v>10.06705</v>
      </c>
      <c r="M6346">
        <v>1.065324E-2</v>
      </c>
      <c r="N6346">
        <v>0</v>
      </c>
      <c r="O6346">
        <v>0.99987429999999999</v>
      </c>
      <c r="P6346">
        <v>-4.1425620000000003E-2</v>
      </c>
      <c r="Q6346">
        <v>-5.116209E-2</v>
      </c>
      <c r="R6346">
        <v>0.99783080000000002</v>
      </c>
      <c r="S6346">
        <v>-6.3491820000000004E-2</v>
      </c>
      <c r="T6346">
        <v>-0.27958470000000002</v>
      </c>
      <c r="U6346">
        <v>2.9889220000000001</v>
      </c>
      <c r="V6346">
        <v>-5.2016300000000001E-2</v>
      </c>
      <c r="W6346">
        <v>-3.9498850000000002E-2</v>
      </c>
      <c r="X6346">
        <v>0.9978648</v>
      </c>
      <c r="Y6346">
        <v>-3.179572E-2</v>
      </c>
      <c r="Z6346">
        <v>-9.3091850000000004E-2</v>
      </c>
      <c r="AA6346">
        <v>0.99514970000000003</v>
      </c>
      <c r="AB6346">
        <v>26</v>
      </c>
      <c r="AC6346">
        <v>-0.25430000000000003</v>
      </c>
      <c r="AD6346">
        <v>-1.1103735185750001</v>
      </c>
      <c r="AE6346">
        <v>11.6177899999999</v>
      </c>
      <c r="AF6346">
        <v>-0.37464064023009003</v>
      </c>
      <c r="AG6346">
        <v>-1.1103735185750001</v>
      </c>
      <c r="AH6346">
        <v>11.509338081871901</v>
      </c>
      <c r="AI6346">
        <v>95.507706969005994</v>
      </c>
      <c r="AJ6346">
        <v>91.864377504052996</v>
      </c>
      <c r="AK6346">
        <v>11.5688438507438</v>
      </c>
      <c r="AL6346">
        <v>92.263706269196703</v>
      </c>
      <c r="AM6346">
        <v>92.983990809101101</v>
      </c>
      <c r="AN6346">
        <v>1.0000000068480199</v>
      </c>
    </row>
    <row r="6347" spans="1:40" x14ac:dyDescent="0.3">
      <c r="A6347" t="str">
        <f>"20200111160631702"</f>
        <v>20200111160631702</v>
      </c>
      <c r="B6347" t="str">
        <f>"1578729991698493"</f>
        <v>1578729991698493</v>
      </c>
      <c r="C6347" t="s">
        <v>40</v>
      </c>
      <c r="D6347">
        <v>5.6307199999999904</v>
      </c>
      <c r="E6347">
        <v>0.50726229999999894</v>
      </c>
      <c r="F6347" t="s">
        <v>100</v>
      </c>
      <c r="G6347">
        <v>-199.85329999999999</v>
      </c>
      <c r="H6347">
        <v>21.05969</v>
      </c>
      <c r="I6347">
        <v>391.87</v>
      </c>
      <c r="J6347">
        <v>-192.07169999999999</v>
      </c>
      <c r="K6347">
        <v>1.1103050000000001</v>
      </c>
      <c r="L6347">
        <v>10.33972</v>
      </c>
      <c r="M6347">
        <v>1.008332E-2</v>
      </c>
      <c r="N6347">
        <v>0</v>
      </c>
      <c r="O6347">
        <v>0.99988460000000001</v>
      </c>
      <c r="P6347">
        <v>-4.3686490000000001E-2</v>
      </c>
      <c r="Q6347">
        <v>-4.7687210000000001E-2</v>
      </c>
      <c r="R6347">
        <v>0.99790650000000003</v>
      </c>
      <c r="S6347">
        <v>-6.1370849999999998E-2</v>
      </c>
      <c r="T6347">
        <v>0.15738070000000001</v>
      </c>
      <c r="U6347">
        <v>3.012054</v>
      </c>
      <c r="V6347">
        <v>-5.3715029999999997E-2</v>
      </c>
      <c r="W6347">
        <v>-3.639945E-2</v>
      </c>
      <c r="X6347">
        <v>0.99789269999999997</v>
      </c>
      <c r="Y6347">
        <v>-3.0423970000000002E-2</v>
      </c>
      <c r="Z6347">
        <v>5.2157660000000002E-2</v>
      </c>
      <c r="AA6347">
        <v>0.99817529999999999</v>
      </c>
      <c r="AB6347">
        <v>26</v>
      </c>
      <c r="AC6347">
        <v>-7.7815999999999903</v>
      </c>
      <c r="AD6347">
        <v>19.949384999999999</v>
      </c>
      <c r="AE6347">
        <v>381.53028</v>
      </c>
      <c r="AF6347">
        <v>-11.5968518396615</v>
      </c>
      <c r="AG6347">
        <v>19.949384999999999</v>
      </c>
      <c r="AH6347">
        <v>380.39284428972599</v>
      </c>
      <c r="AI6347">
        <v>86.999312567108703</v>
      </c>
      <c r="AJ6347">
        <v>91.746207737143493</v>
      </c>
      <c r="AK6347">
        <v>381.09208981727397</v>
      </c>
      <c r="AL6347">
        <v>92.085995596230006</v>
      </c>
      <c r="AM6347">
        <v>93.081170127097195</v>
      </c>
      <c r="AN6347">
        <v>1.0000000325607401</v>
      </c>
    </row>
    <row r="6348" spans="1:40" x14ac:dyDescent="0.3">
      <c r="A6348" t="str">
        <f>"20200111160631723"</f>
        <v>20200111160631723</v>
      </c>
      <c r="B6348" t="str">
        <f>"1578729991718990"</f>
        <v>1578729991718990</v>
      </c>
      <c r="C6348" t="s">
        <v>40</v>
      </c>
      <c r="D6348">
        <v>5.5956229999999998</v>
      </c>
      <c r="E6348">
        <v>0.50733240000000002</v>
      </c>
      <c r="F6348" t="s">
        <v>41</v>
      </c>
      <c r="G6348">
        <v>-192.417</v>
      </c>
      <c r="H6348" s="1">
        <v>-2.2870260000000002E-6</v>
      </c>
      <c r="I6348">
        <v>23.421109999999999</v>
      </c>
      <c r="J6348">
        <v>-192.06970000000001</v>
      </c>
      <c r="K6348">
        <v>1.1102379999999901</v>
      </c>
      <c r="L6348">
        <v>10.593870000000001</v>
      </c>
      <c r="M6348">
        <v>9.6021460000000006E-3</v>
      </c>
      <c r="N6348">
        <v>0</v>
      </c>
      <c r="O6348">
        <v>0.99989340000000004</v>
      </c>
      <c r="P6348">
        <v>-4.4534549999999999E-2</v>
      </c>
      <c r="Q6348">
        <v>-4.5883670000000001E-2</v>
      </c>
      <c r="R6348">
        <v>0.9979536</v>
      </c>
      <c r="S6348">
        <v>-7.8948969999999993E-2</v>
      </c>
      <c r="T6348">
        <v>-0.25384309999999999</v>
      </c>
      <c r="U6348">
        <v>2.990723</v>
      </c>
      <c r="V6348">
        <v>-5.4087549999999998E-2</v>
      </c>
      <c r="W6348">
        <v>-3.495475E-2</v>
      </c>
      <c r="X6348">
        <v>0.99792420000000004</v>
      </c>
      <c r="Y6348">
        <v>-3.5892479999999997E-2</v>
      </c>
      <c r="Z6348">
        <v>-8.4525039999999996E-2</v>
      </c>
      <c r="AA6348">
        <v>0.99577470000000001</v>
      </c>
      <c r="AB6348">
        <v>26</v>
      </c>
      <c r="AC6348">
        <v>-0.34729999999998901</v>
      </c>
      <c r="AD6348">
        <v>-1.11024028702599</v>
      </c>
      <c r="AE6348">
        <v>12.82724</v>
      </c>
      <c r="AF6348">
        <v>-0.46696477594493002</v>
      </c>
      <c r="AG6348">
        <v>-1.11024028702599</v>
      </c>
      <c r="AH6348">
        <v>12.728031619968601</v>
      </c>
      <c r="AI6348">
        <v>94.981841386294306</v>
      </c>
      <c r="AJ6348">
        <v>92.101119574581503</v>
      </c>
      <c r="AK6348">
        <v>12.7848925891393</v>
      </c>
      <c r="AL6348">
        <v>92.003167706922696</v>
      </c>
      <c r="AM6348">
        <v>93.102399059431306</v>
      </c>
      <c r="AN6348">
        <v>1.0000000032791001</v>
      </c>
    </row>
    <row r="6349" spans="1:40" x14ac:dyDescent="0.3">
      <c r="A6349" t="str">
        <f>"20200111160631746"</f>
        <v>20200111160631746</v>
      </c>
      <c r="B6349" t="str">
        <f>"1578729991738510"</f>
        <v>1578729991738510</v>
      </c>
      <c r="C6349" t="s">
        <v>40</v>
      </c>
      <c r="D6349">
        <v>5.6376140000000001</v>
      </c>
      <c r="E6349">
        <v>0.50732949999999999</v>
      </c>
      <c r="F6349" t="s">
        <v>41</v>
      </c>
      <c r="G6349">
        <v>-192.43109999999999</v>
      </c>
      <c r="H6349" s="1">
        <v>-2.5002459999999998E-6</v>
      </c>
      <c r="I6349">
        <v>23.909400000000002</v>
      </c>
      <c r="J6349">
        <v>-192.0677</v>
      </c>
      <c r="K6349">
        <v>1.1101620000000001</v>
      </c>
      <c r="L6349">
        <v>10.85403</v>
      </c>
      <c r="M6349">
        <v>9.1644559999999996E-3</v>
      </c>
      <c r="N6349">
        <v>0</v>
      </c>
      <c r="O6349">
        <v>0.99990159999999995</v>
      </c>
      <c r="P6349">
        <v>-4.5205429999999998E-2</v>
      </c>
      <c r="Q6349">
        <v>-4.5446279999999999E-2</v>
      </c>
      <c r="R6349">
        <v>0.99794349999999998</v>
      </c>
      <c r="S6349">
        <v>-8.1192020000000004E-2</v>
      </c>
      <c r="T6349">
        <v>-0.24939269999999999</v>
      </c>
      <c r="U6349">
        <v>2.9910580000000002</v>
      </c>
      <c r="V6349">
        <v>-5.432464E-2</v>
      </c>
      <c r="W6349">
        <v>-3.4888370000000002E-2</v>
      </c>
      <c r="X6349">
        <v>0.99791370000000001</v>
      </c>
      <c r="Y6349">
        <v>-3.620164E-2</v>
      </c>
      <c r="Z6349">
        <v>-8.3043430000000001E-2</v>
      </c>
      <c r="AA6349">
        <v>0.9958882</v>
      </c>
      <c r="AB6349">
        <v>26</v>
      </c>
      <c r="AC6349">
        <v>-0.36339999999998401</v>
      </c>
      <c r="AD6349">
        <v>-1.1101645002459899</v>
      </c>
      <c r="AE6349">
        <v>13.05537</v>
      </c>
      <c r="AF6349">
        <v>-0.47957176790116002</v>
      </c>
      <c r="AG6349">
        <v>-1.1101645002459899</v>
      </c>
      <c r="AH6349">
        <v>12.9578657910901</v>
      </c>
      <c r="AI6349">
        <v>94.893521088141199</v>
      </c>
      <c r="AJ6349">
        <v>92.119554509024695</v>
      </c>
      <c r="AK6349">
        <v>13.0141745861225</v>
      </c>
      <c r="AL6349">
        <v>91.999361980908006</v>
      </c>
      <c r="AM6349">
        <v>93.116004248009304</v>
      </c>
      <c r="AN6349">
        <v>1.00000005876003</v>
      </c>
    </row>
    <row r="6350" spans="1:40" x14ac:dyDescent="0.3">
      <c r="A6350" t="str">
        <f>"20200111160631767"</f>
        <v>20200111160631767</v>
      </c>
      <c r="B6350" t="str">
        <f>"1578729991759006"</f>
        <v>1578729991759006</v>
      </c>
      <c r="C6350" t="s">
        <v>40</v>
      </c>
      <c r="D6350">
        <v>5.6261919999999996</v>
      </c>
      <c r="E6350">
        <v>0.50769259999999905</v>
      </c>
      <c r="F6350" t="s">
        <v>41</v>
      </c>
      <c r="G6350">
        <v>-192.4358</v>
      </c>
      <c r="H6350" s="1">
        <v>-2.5574939999999999E-6</v>
      </c>
      <c r="I6350">
        <v>24.039950000000001</v>
      </c>
      <c r="J6350">
        <v>-192.06569999999999</v>
      </c>
      <c r="K6350">
        <v>1.1100859999999999</v>
      </c>
      <c r="L6350">
        <v>11.114649999999999</v>
      </c>
      <c r="M6350">
        <v>8.7774540000000005E-3</v>
      </c>
      <c r="N6350">
        <v>0</v>
      </c>
      <c r="O6350">
        <v>0.99990880000000004</v>
      </c>
      <c r="P6350">
        <v>-4.4502229999999997E-2</v>
      </c>
      <c r="Q6350">
        <v>-4.5303179999999998E-2</v>
      </c>
      <c r="R6350">
        <v>0.99798149999999997</v>
      </c>
      <c r="S6350">
        <v>-8.3496089999999995E-2</v>
      </c>
      <c r="T6350">
        <v>-0.2518165</v>
      </c>
      <c r="U6350">
        <v>2.990936</v>
      </c>
      <c r="V6350">
        <v>-5.3238349999999997E-2</v>
      </c>
      <c r="W6350">
        <v>-3.5095750000000002E-2</v>
      </c>
      <c r="X6350">
        <v>0.99796490000000004</v>
      </c>
      <c r="Y6350">
        <v>-3.6580649999999999E-2</v>
      </c>
      <c r="Z6350">
        <v>-8.3847229999999995E-2</v>
      </c>
      <c r="AA6350">
        <v>0.99580690000000005</v>
      </c>
      <c r="AB6350">
        <v>26</v>
      </c>
      <c r="AC6350">
        <v>-0.37010000000000698</v>
      </c>
      <c r="AD6350">
        <v>-1.110088557494</v>
      </c>
      <c r="AE6350">
        <v>12.9253</v>
      </c>
      <c r="AF6350">
        <v>-0.48000521929497397</v>
      </c>
      <c r="AG6350">
        <v>-1.110088557494</v>
      </c>
      <c r="AH6350">
        <v>12.827015916166401</v>
      </c>
      <c r="AI6350">
        <v>94.9427826993076</v>
      </c>
      <c r="AJ6350">
        <v>92.143089744532503</v>
      </c>
      <c r="AK6350">
        <v>12.8839061984173</v>
      </c>
      <c r="AL6350">
        <v>92.011251403263799</v>
      </c>
      <c r="AM6350">
        <v>93.053658554030406</v>
      </c>
      <c r="AN6350">
        <v>0.99999998760539699</v>
      </c>
    </row>
    <row r="6351" spans="1:40" x14ac:dyDescent="0.3">
      <c r="A6351" t="str">
        <f>"20200111160631790"</f>
        <v>20200111160631790</v>
      </c>
      <c r="B6351" t="str">
        <f>"1578729991778528"</f>
        <v>1578729991778528</v>
      </c>
      <c r="C6351" t="s">
        <v>40</v>
      </c>
      <c r="D6351">
        <v>5.6417469999999996</v>
      </c>
      <c r="E6351">
        <v>0.51337959999999905</v>
      </c>
      <c r="F6351" t="s">
        <v>41</v>
      </c>
      <c r="G6351">
        <v>-192.40790000000001</v>
      </c>
      <c r="H6351" s="1">
        <v>-2.5904280000000001E-6</v>
      </c>
      <c r="I6351">
        <v>24.13401</v>
      </c>
      <c r="J6351">
        <v>-192.06379999999999</v>
      </c>
      <c r="K6351">
        <v>1.110012</v>
      </c>
      <c r="L6351">
        <v>11.38058</v>
      </c>
      <c r="M6351">
        <v>8.4243169999999902E-3</v>
      </c>
      <c r="N6351">
        <v>0</v>
      </c>
      <c r="O6351">
        <v>0.9999152</v>
      </c>
      <c r="P6351">
        <v>-4.316797E-2</v>
      </c>
      <c r="Q6351">
        <v>-4.5569020000000002E-2</v>
      </c>
      <c r="R6351">
        <v>0.99802800000000003</v>
      </c>
      <c r="S6351">
        <v>-7.8613279999999994E-2</v>
      </c>
      <c r="T6351">
        <v>-0.25502570000000002</v>
      </c>
      <c r="U6351">
        <v>2.9909970000000001</v>
      </c>
      <c r="V6351">
        <v>-5.1554049999999997E-2</v>
      </c>
      <c r="W6351">
        <v>-3.5689859999999997E-2</v>
      </c>
      <c r="X6351">
        <v>0.99803229999999998</v>
      </c>
      <c r="Y6351">
        <v>-3.4600220000000001E-2</v>
      </c>
      <c r="Z6351">
        <v>-8.4911669999999995E-2</v>
      </c>
      <c r="AA6351">
        <v>0.99578759999999999</v>
      </c>
      <c r="AB6351">
        <v>26</v>
      </c>
      <c r="AC6351">
        <v>-0.344100000000025</v>
      </c>
      <c r="AD6351">
        <v>-1.1100145904279901</v>
      </c>
      <c r="AE6351">
        <v>12.75343</v>
      </c>
      <c r="AF6351">
        <v>-0.448139673363394</v>
      </c>
      <c r="AG6351">
        <v>-1.1100145904279901</v>
      </c>
      <c r="AH6351">
        <v>12.654287377499401</v>
      </c>
      <c r="AI6351">
        <v>95.009941406007201</v>
      </c>
      <c r="AJ6351">
        <v>92.028228465763803</v>
      </c>
      <c r="AK6351">
        <v>12.7107808804237</v>
      </c>
      <c r="AL6351">
        <v>92.045312655195701</v>
      </c>
      <c r="AM6351">
        <v>92.957024973180694</v>
      </c>
      <c r="AN6351">
        <v>1.00000002901075</v>
      </c>
    </row>
    <row r="6352" spans="1:40" x14ac:dyDescent="0.3">
      <c r="A6352" t="str">
        <f>"20200111160631813"</f>
        <v>20200111160631813</v>
      </c>
      <c r="B6352" t="str">
        <f>"1578729991808782"</f>
        <v>1578729991808782</v>
      </c>
      <c r="C6352" t="s">
        <v>40</v>
      </c>
      <c r="D6352">
        <v>6.243055</v>
      </c>
      <c r="E6352">
        <v>0.51708920000000003</v>
      </c>
      <c r="F6352" t="s">
        <v>100</v>
      </c>
      <c r="G6352">
        <v>-192.99279999999999</v>
      </c>
      <c r="H6352">
        <v>19.794319999999999</v>
      </c>
      <c r="I6352">
        <v>391.87</v>
      </c>
      <c r="J6352">
        <v>-192.06180000000001</v>
      </c>
      <c r="K6352">
        <v>1.1099490000000001</v>
      </c>
      <c r="L6352">
        <v>11.65179</v>
      </c>
      <c r="M6352">
        <v>8.1006240000000007E-3</v>
      </c>
      <c r="N6352">
        <v>0</v>
      </c>
      <c r="O6352">
        <v>0.99992099999999995</v>
      </c>
      <c r="P6352">
        <v>-4.1446080000000003E-2</v>
      </c>
      <c r="Q6352">
        <v>-4.5774080000000002E-2</v>
      </c>
      <c r="R6352">
        <v>0.99809159999999997</v>
      </c>
      <c r="S6352">
        <v>-7.3547359999999997E-3</v>
      </c>
      <c r="T6352">
        <v>0.1479249</v>
      </c>
      <c r="U6352">
        <v>3.0123600000000001</v>
      </c>
      <c r="V6352">
        <v>-4.9511880000000001E-2</v>
      </c>
      <c r="W6352">
        <v>-3.621042E-2</v>
      </c>
      <c r="X6352">
        <v>0.99811689999999997</v>
      </c>
      <c r="Y6352">
        <v>-1.053947E-2</v>
      </c>
      <c r="Z6352">
        <v>4.9043040000000003E-2</v>
      </c>
      <c r="AA6352">
        <v>0.99874099999999999</v>
      </c>
      <c r="AB6352">
        <v>27</v>
      </c>
      <c r="AC6352">
        <v>-0.93099999999998295</v>
      </c>
      <c r="AD6352">
        <v>18.684370999999999</v>
      </c>
      <c r="AE6352">
        <v>380.21821</v>
      </c>
      <c r="AF6352">
        <v>-4.0014535991054698</v>
      </c>
      <c r="AG6352">
        <v>18.684370999999999</v>
      </c>
      <c r="AH6352">
        <v>379.28228523367</v>
      </c>
      <c r="AI6352">
        <v>87.179906666684104</v>
      </c>
      <c r="AJ6352">
        <v>90.6044518991704</v>
      </c>
      <c r="AK6352">
        <v>379.76330686711498</v>
      </c>
      <c r="AL6352">
        <v>92.0751579326772</v>
      </c>
      <c r="AM6352">
        <v>92.839846061671807</v>
      </c>
      <c r="AN6352">
        <v>0.99999998342165997</v>
      </c>
    </row>
    <row r="6353" spans="1:40" x14ac:dyDescent="0.3">
      <c r="A6353" t="str">
        <f>"20200111160631834"</f>
        <v>20200111160631834</v>
      </c>
      <c r="B6353" t="str">
        <f>"1578729991828302"</f>
        <v>1578729991828302</v>
      </c>
      <c r="C6353" t="s">
        <v>40</v>
      </c>
      <c r="D6353">
        <v>5.6550250000000002</v>
      </c>
      <c r="E6353">
        <v>0.51749409999999996</v>
      </c>
      <c r="F6353" t="s">
        <v>100</v>
      </c>
      <c r="G6353">
        <v>-188.92920000000001</v>
      </c>
      <c r="H6353">
        <v>13.75159</v>
      </c>
      <c r="I6353">
        <v>391.87</v>
      </c>
      <c r="J6353">
        <v>-192.06010000000001</v>
      </c>
      <c r="K6353">
        <v>1.1099000000000001</v>
      </c>
      <c r="L6353">
        <v>11.90225</v>
      </c>
      <c r="M6353">
        <v>7.8287800000000005E-3</v>
      </c>
      <c r="N6353">
        <v>0</v>
      </c>
      <c r="O6353">
        <v>0.99992590000000003</v>
      </c>
      <c r="P6353">
        <v>-3.874967E-2</v>
      </c>
      <c r="Q6353">
        <v>-4.705173E-2</v>
      </c>
      <c r="R6353">
        <v>0.99814060000000004</v>
      </c>
      <c r="S6353">
        <v>2.4810789999999999E-2</v>
      </c>
      <c r="T6353">
        <v>0.10012260000000001</v>
      </c>
      <c r="U6353">
        <v>3.0113530000000002</v>
      </c>
      <c r="V6353">
        <v>-4.6545309999999999E-2</v>
      </c>
      <c r="W6353">
        <v>-3.7769770000000001E-2</v>
      </c>
      <c r="X6353">
        <v>0.99820180000000003</v>
      </c>
      <c r="Y6353">
        <v>4.0514849999999999E-4</v>
      </c>
      <c r="Z6353">
        <v>3.3227920000000001E-2</v>
      </c>
      <c r="AA6353">
        <v>0.99944770000000005</v>
      </c>
      <c r="AB6353">
        <v>27</v>
      </c>
      <c r="AC6353">
        <v>3.1308999999999898</v>
      </c>
      <c r="AD6353">
        <v>12.641689999999899</v>
      </c>
      <c r="AE6353">
        <v>379.96775000000002</v>
      </c>
      <c r="AF6353">
        <v>0.15581838977644499</v>
      </c>
      <c r="AG6353">
        <v>12.641689999999899</v>
      </c>
      <c r="AH6353">
        <v>379.56050179696098</v>
      </c>
      <c r="AI6353">
        <v>88.092404848799802</v>
      </c>
      <c r="AJ6353">
        <v>89.976478754873199</v>
      </c>
      <c r="AK6353">
        <v>379.77099827367999</v>
      </c>
      <c r="AL6353">
        <v>92.164563424374606</v>
      </c>
      <c r="AM6353">
        <v>92.66972020291</v>
      </c>
      <c r="AN6353">
        <v>0.99999992746604105</v>
      </c>
    </row>
    <row r="6354" spans="1:40" x14ac:dyDescent="0.3">
      <c r="A6354" t="str">
        <f>"20200111160631858"</f>
        <v>20200111160631858</v>
      </c>
      <c r="B6354" t="str">
        <f>"1578729991848798"</f>
        <v>1578729991848798</v>
      </c>
      <c r="C6354" t="s">
        <v>40</v>
      </c>
      <c r="D6354">
        <v>5.5726930000000001</v>
      </c>
      <c r="E6354">
        <v>0.51892629999999995</v>
      </c>
      <c r="F6354" t="s">
        <v>100</v>
      </c>
      <c r="G6354">
        <v>-187.22829999999999</v>
      </c>
      <c r="H6354">
        <v>17.01444</v>
      </c>
      <c r="I6354">
        <v>391.87</v>
      </c>
      <c r="J6354">
        <v>-192.0582</v>
      </c>
      <c r="K6354">
        <v>1.10985</v>
      </c>
      <c r="L6354">
        <v>12.191470000000001</v>
      </c>
      <c r="M6354">
        <v>7.5385259999999898E-3</v>
      </c>
      <c r="N6354">
        <v>0</v>
      </c>
      <c r="O6354">
        <v>0.99993100000000001</v>
      </c>
      <c r="P6354">
        <v>-3.6814619999999999E-2</v>
      </c>
      <c r="Q6354">
        <v>-4.8063479999999999E-2</v>
      </c>
      <c r="R6354">
        <v>0.99816559999999999</v>
      </c>
      <c r="S6354">
        <v>3.8314819999999999E-2</v>
      </c>
      <c r="T6354">
        <v>0.12611820000000001</v>
      </c>
      <c r="U6354">
        <v>3.0130309999999998</v>
      </c>
      <c r="V6354">
        <v>-4.4321529999999998E-2</v>
      </c>
      <c r="W6354">
        <v>-3.9098239999999999E-2</v>
      </c>
      <c r="X6354">
        <v>0.99825189999999997</v>
      </c>
      <c r="Y6354">
        <v>5.1656369999999998E-3</v>
      </c>
      <c r="Z6354">
        <v>4.181721E-2</v>
      </c>
      <c r="AA6354">
        <v>0.999112</v>
      </c>
      <c r="AB6354">
        <v>27</v>
      </c>
      <c r="AC6354">
        <v>4.8299000000000003</v>
      </c>
      <c r="AD6354">
        <v>15.904589999999899</v>
      </c>
      <c r="AE6354">
        <v>379.678529999999</v>
      </c>
      <c r="AF6354">
        <v>1.9639843873930301</v>
      </c>
      <c r="AG6354">
        <v>15.904589999999899</v>
      </c>
      <c r="AH6354">
        <v>379.03914463979203</v>
      </c>
      <c r="AI6354">
        <v>87.597294536411098</v>
      </c>
      <c r="AJ6354">
        <v>89.703125624376</v>
      </c>
      <c r="AK6354">
        <v>379.37776211450199</v>
      </c>
      <c r="AL6354">
        <v>92.2407353602092</v>
      </c>
      <c r="AM6354">
        <v>92.542213975414498</v>
      </c>
      <c r="AN6354">
        <v>0.999999963123123</v>
      </c>
    </row>
    <row r="6355" spans="1:40" x14ac:dyDescent="0.3">
      <c r="A6355" t="str">
        <f>"20200111160631880"</f>
        <v>20200111160631880</v>
      </c>
      <c r="B6355" t="str">
        <f>"1578729991869294"</f>
        <v>1578729991869294</v>
      </c>
      <c r="C6355" t="s">
        <v>40</v>
      </c>
      <c r="D6355">
        <v>5.6262660000000002</v>
      </c>
      <c r="E6355">
        <v>0.51870289999999997</v>
      </c>
      <c r="F6355" t="s">
        <v>42</v>
      </c>
      <c r="G6355">
        <v>-192.0498</v>
      </c>
      <c r="H6355">
        <v>1.0273600000000001</v>
      </c>
      <c r="I6355">
        <v>12.985480000000001</v>
      </c>
      <c r="J6355">
        <v>-192.0564</v>
      </c>
      <c r="K6355">
        <v>1.1098059999999901</v>
      </c>
      <c r="L6355">
        <v>12.45105</v>
      </c>
      <c r="M6355">
        <v>7.2913319999999898E-3</v>
      </c>
      <c r="N6355">
        <v>0</v>
      </c>
      <c r="O6355">
        <v>0.99993540000000003</v>
      </c>
      <c r="P6355">
        <v>-3.4397999999999998E-2</v>
      </c>
      <c r="Q6355">
        <v>-4.9509289999999997E-2</v>
      </c>
      <c r="R6355">
        <v>0.99818119999999999</v>
      </c>
      <c r="S6355">
        <v>3.1097409999999999E-2</v>
      </c>
      <c r="T6355">
        <v>-0.31080580000000002</v>
      </c>
      <c r="U6355">
        <v>2.9916990000000001</v>
      </c>
      <c r="V6355">
        <v>-4.1658109999999998E-2</v>
      </c>
      <c r="W6355">
        <v>-4.0821820000000002E-2</v>
      </c>
      <c r="X6355">
        <v>0.99829760000000001</v>
      </c>
      <c r="Y6355">
        <v>3.0468769999999999E-3</v>
      </c>
      <c r="Z6355">
        <v>-0.10332620000000001</v>
      </c>
      <c r="AA6355">
        <v>0.9946429</v>
      </c>
      <c r="AB6355">
        <v>27</v>
      </c>
      <c r="AC6355">
        <v>6.5999999999917201E-3</v>
      </c>
      <c r="AD6355">
        <v>-8.2445999999999797E-2</v>
      </c>
      <c r="AE6355">
        <v>0.53442999999999996</v>
      </c>
      <c r="AF6355">
        <v>2.64014673855127E-3</v>
      </c>
      <c r="AG6355">
        <v>-8.2445999999999797E-2</v>
      </c>
      <c r="AH6355">
        <v>0.52204177358929604</v>
      </c>
      <c r="AI6355">
        <v>98.974478852251806</v>
      </c>
      <c r="AJ6355">
        <v>89.710237794315802</v>
      </c>
      <c r="AK6355">
        <v>0.52851861524742805</v>
      </c>
      <c r="AL6355">
        <v>92.339568186146195</v>
      </c>
      <c r="AM6355">
        <v>92.389517830921605</v>
      </c>
      <c r="AN6355">
        <v>0.99999995864132096</v>
      </c>
    </row>
    <row r="6356" spans="1:40" x14ac:dyDescent="0.3">
      <c r="A6356" t="str">
        <f>"20200111160631902"</f>
        <v>20200111160631902</v>
      </c>
      <c r="B6356" t="str">
        <f>"1578729991898574"</f>
        <v>1578729991898574</v>
      </c>
      <c r="C6356" t="s">
        <v>40</v>
      </c>
      <c r="D6356">
        <v>5.6706640000000004</v>
      </c>
      <c r="E6356">
        <v>0.51808880000000002</v>
      </c>
      <c r="F6356" t="s">
        <v>42</v>
      </c>
      <c r="G6356">
        <v>-192.04679999999999</v>
      </c>
      <c r="H6356">
        <v>1.0309159999999999</v>
      </c>
      <c r="I6356">
        <v>13.22831</v>
      </c>
      <c r="J6356">
        <v>-192.0547</v>
      </c>
      <c r="K6356">
        <v>1.1097589999999999</v>
      </c>
      <c r="L6356">
        <v>12.73141</v>
      </c>
      <c r="M6356">
        <v>7.0310390000000002E-3</v>
      </c>
      <c r="N6356">
        <v>0</v>
      </c>
      <c r="O6356">
        <v>0.99993989999999999</v>
      </c>
      <c r="P6356">
        <v>-3.259695E-2</v>
      </c>
      <c r="Q6356">
        <v>-4.9883730000000001E-2</v>
      </c>
      <c r="R6356">
        <v>0.99822290000000002</v>
      </c>
      <c r="S6356">
        <v>3.7231449999999999E-2</v>
      </c>
      <c r="T6356">
        <v>-0.30364809999999998</v>
      </c>
      <c r="U6356">
        <v>2.9916990000000001</v>
      </c>
      <c r="V6356">
        <v>-3.9598109999999999E-2</v>
      </c>
      <c r="W6356">
        <v>-4.1496079999999998E-2</v>
      </c>
      <c r="X6356">
        <v>0.99835370000000001</v>
      </c>
      <c r="Y6356">
        <v>5.3493050000000004E-3</v>
      </c>
      <c r="Z6356">
        <v>-0.1009698</v>
      </c>
      <c r="AA6356">
        <v>0.99487510000000001</v>
      </c>
      <c r="AB6356">
        <v>27</v>
      </c>
      <c r="AC6356">
        <v>7.9000000000064505E-3</v>
      </c>
      <c r="AD6356">
        <v>-7.8842999999999996E-2</v>
      </c>
      <c r="AE6356">
        <v>0.49690000000000001</v>
      </c>
      <c r="AF6356">
        <v>4.2977837685044297E-3</v>
      </c>
      <c r="AG6356">
        <v>-7.8842999999999996E-2</v>
      </c>
      <c r="AH6356">
        <v>0.48474242865976802</v>
      </c>
      <c r="AI6356">
        <v>99.237861490684196</v>
      </c>
      <c r="AJ6356">
        <v>89.492022144825597</v>
      </c>
      <c r="AK6356">
        <v>0.49113125713732703</v>
      </c>
      <c r="AL6356">
        <v>92.378233052789994</v>
      </c>
      <c r="AM6356">
        <v>92.2713552831801</v>
      </c>
      <c r="AN6356">
        <v>1.00000002263731</v>
      </c>
    </row>
    <row r="6357" spans="1:40" x14ac:dyDescent="0.3">
      <c r="A6357" t="str">
        <f>"20200111160631925"</f>
        <v>20200111160631925</v>
      </c>
      <c r="B6357" t="str">
        <f>"1578729991919070"</f>
        <v>1578729991919070</v>
      </c>
      <c r="C6357" t="s">
        <v>40</v>
      </c>
      <c r="D6357">
        <v>5.6940210000000002</v>
      </c>
      <c r="E6357">
        <v>0.51840029999999904</v>
      </c>
      <c r="F6357" t="s">
        <v>42</v>
      </c>
      <c r="G6357">
        <v>-192.04509999999999</v>
      </c>
      <c r="H6357">
        <v>1.034033</v>
      </c>
      <c r="I6357">
        <v>13.47186</v>
      </c>
      <c r="J6357">
        <v>-192.053</v>
      </c>
      <c r="K6357">
        <v>1.109731</v>
      </c>
      <c r="L6357">
        <v>13.0061</v>
      </c>
      <c r="M6357">
        <v>6.7783510000000002E-3</v>
      </c>
      <c r="N6357">
        <v>0</v>
      </c>
      <c r="O6357">
        <v>0.99994400000000006</v>
      </c>
      <c r="P6357">
        <v>-3.079811E-2</v>
      </c>
      <c r="Q6357">
        <v>-4.9794190000000002E-2</v>
      </c>
      <c r="R6357">
        <v>0.99828450000000002</v>
      </c>
      <c r="S6357">
        <v>3.779602E-2</v>
      </c>
      <c r="T6357">
        <v>-0.3059231</v>
      </c>
      <c r="U6357">
        <v>2.9912719999999999</v>
      </c>
      <c r="V6357">
        <v>-3.7547850000000001E-2</v>
      </c>
      <c r="W6357">
        <v>-4.1689160000000003E-2</v>
      </c>
      <c r="X6357">
        <v>0.9984248</v>
      </c>
      <c r="Y6357">
        <v>5.7905500000000002E-3</v>
      </c>
      <c r="Z6357">
        <v>-0.1017329</v>
      </c>
      <c r="AA6357">
        <v>0.99479490000000004</v>
      </c>
      <c r="AB6357">
        <v>27</v>
      </c>
      <c r="AC6357">
        <v>7.9000000000064505E-3</v>
      </c>
      <c r="AD6357">
        <v>-7.5698000000000001E-2</v>
      </c>
      <c r="AE6357">
        <v>0.46576000000000101</v>
      </c>
      <c r="AF6357">
        <v>4.6206128208377004E-3</v>
      </c>
      <c r="AG6357">
        <v>-7.5698000000000001E-2</v>
      </c>
      <c r="AH6357">
        <v>0.45381884356532398</v>
      </c>
      <c r="AI6357">
        <v>99.469398000865496</v>
      </c>
      <c r="AJ6357">
        <v>89.416656074261795</v>
      </c>
      <c r="AK6357">
        <v>0.46011202988164501</v>
      </c>
      <c r="AL6357">
        <v>92.389305466672994</v>
      </c>
      <c r="AM6357">
        <v>92.153712517198002</v>
      </c>
      <c r="AN6357">
        <v>0.99999995417808296</v>
      </c>
    </row>
    <row r="6358" spans="1:40" x14ac:dyDescent="0.3">
      <c r="A6358" t="str">
        <f>"20200111160631947"</f>
        <v>20200111160631947</v>
      </c>
      <c r="B6358" t="str">
        <f>"1578729991938590"</f>
        <v>1578729991938590</v>
      </c>
      <c r="C6358" t="s">
        <v>40</v>
      </c>
      <c r="D6358">
        <v>5.6592039999999999</v>
      </c>
      <c r="E6358">
        <v>0.51769560000000003</v>
      </c>
      <c r="F6358" t="s">
        <v>42</v>
      </c>
      <c r="G6358">
        <v>-192.0386</v>
      </c>
      <c r="H6358">
        <v>1.0117480000000001</v>
      </c>
      <c r="I6358">
        <v>13.947839999999999</v>
      </c>
      <c r="J6358">
        <v>-192.0514</v>
      </c>
      <c r="K6358">
        <v>1.1097079999999999</v>
      </c>
      <c r="L6358">
        <v>13.27365</v>
      </c>
      <c r="M6358">
        <v>6.5318269999999996E-3</v>
      </c>
      <c r="N6358">
        <v>0</v>
      </c>
      <c r="O6358">
        <v>0.99994760000000005</v>
      </c>
      <c r="P6358">
        <v>-2.9306289999999999E-2</v>
      </c>
      <c r="Q6358">
        <v>-4.8052070000000002E-2</v>
      </c>
      <c r="R6358">
        <v>0.99841480000000005</v>
      </c>
      <c r="S6358">
        <v>4.5150759999999998E-2</v>
      </c>
      <c r="T6358">
        <v>-0.31121120000000002</v>
      </c>
      <c r="U6358">
        <v>2.991028</v>
      </c>
      <c r="V6358">
        <v>-3.5811799999999998E-2</v>
      </c>
      <c r="W6358">
        <v>-4.0197190000000001E-2</v>
      </c>
      <c r="X6358">
        <v>0.99854980000000004</v>
      </c>
      <c r="Y6358">
        <v>8.4810419999999994E-3</v>
      </c>
      <c r="Z6358">
        <v>-0.1034786</v>
      </c>
      <c r="AA6358">
        <v>0.99459549999999997</v>
      </c>
      <c r="AB6358">
        <v>27</v>
      </c>
      <c r="AC6358">
        <v>1.27999999999985E-2</v>
      </c>
      <c r="AD6358">
        <v>-9.7960000000000005E-2</v>
      </c>
      <c r="AE6358">
        <v>0.67418999999999896</v>
      </c>
      <c r="AF6358">
        <v>8.2223681575561598E-3</v>
      </c>
      <c r="AG6358">
        <v>-9.7960000000000005E-2</v>
      </c>
      <c r="AH6358">
        <v>0.66032338841191796</v>
      </c>
      <c r="AI6358">
        <v>98.437727914189196</v>
      </c>
      <c r="AJ6358">
        <v>89.286587973870198</v>
      </c>
      <c r="AK6358">
        <v>0.66760073863194203</v>
      </c>
      <c r="AL6358">
        <v>92.303750022325005</v>
      </c>
      <c r="AM6358">
        <v>92.0539646228317</v>
      </c>
      <c r="AN6358">
        <v>1.0000000010915799</v>
      </c>
    </row>
    <row r="6359" spans="1:40" x14ac:dyDescent="0.3">
      <c r="A6359" t="str">
        <f>"20200111160631969"</f>
        <v>20200111160631969</v>
      </c>
      <c r="B6359" t="str">
        <f>"1578729991959086"</f>
        <v>1578729991959086</v>
      </c>
      <c r="C6359" t="s">
        <v>40</v>
      </c>
      <c r="D6359">
        <v>5.6538810000000002</v>
      </c>
      <c r="E6359">
        <v>0.51146329999999995</v>
      </c>
      <c r="F6359" t="s">
        <v>42</v>
      </c>
      <c r="G6359">
        <v>-192.0377</v>
      </c>
      <c r="H6359">
        <v>1.0166459999999999</v>
      </c>
      <c r="I6359">
        <v>14.194979999999999</v>
      </c>
      <c r="J6359">
        <v>-192.04990000000001</v>
      </c>
      <c r="K6359">
        <v>1.109693</v>
      </c>
      <c r="L6359">
        <v>13.54501</v>
      </c>
      <c r="M6359">
        <v>6.2805400000000003E-3</v>
      </c>
      <c r="N6359">
        <v>0</v>
      </c>
      <c r="O6359">
        <v>0.99995100000000003</v>
      </c>
      <c r="P6359">
        <v>-2.828338E-2</v>
      </c>
      <c r="Q6359">
        <v>-4.605571E-2</v>
      </c>
      <c r="R6359">
        <v>0.99853840000000005</v>
      </c>
      <c r="S6359">
        <v>4.4372559999999998E-2</v>
      </c>
      <c r="T6359">
        <v>-0.30217169999999999</v>
      </c>
      <c r="U6359">
        <v>2.9915159999999998</v>
      </c>
      <c r="V6359">
        <v>-3.4539060000000003E-2</v>
      </c>
      <c r="W6359">
        <v>-3.8428259999999999E-2</v>
      </c>
      <c r="X6359">
        <v>0.99866429999999995</v>
      </c>
      <c r="Y6359">
        <v>8.4757700000000005E-3</v>
      </c>
      <c r="Z6359">
        <v>-0.1004879</v>
      </c>
      <c r="AA6359">
        <v>0.99490219999999896</v>
      </c>
      <c r="AB6359">
        <v>27</v>
      </c>
      <c r="AC6359">
        <v>1.2200000000007E-2</v>
      </c>
      <c r="AD6359">
        <v>-9.3047000000000102E-2</v>
      </c>
      <c r="AE6359">
        <v>0.64996999999999705</v>
      </c>
      <c r="AF6359">
        <v>7.9545180195778695E-3</v>
      </c>
      <c r="AG6359">
        <v>-9.3047000000000102E-2</v>
      </c>
      <c r="AH6359">
        <v>0.63698430472749801</v>
      </c>
      <c r="AI6359">
        <v>98.310021282260905</v>
      </c>
      <c r="AJ6359">
        <v>89.284540265277499</v>
      </c>
      <c r="AK6359">
        <v>0.64379346302606799</v>
      </c>
      <c r="AL6359">
        <v>92.202319309715804</v>
      </c>
      <c r="AM6359">
        <v>91.9807996555991</v>
      </c>
      <c r="AN6359">
        <v>1.0000000309634001</v>
      </c>
    </row>
    <row r="6360" spans="1:40" x14ac:dyDescent="0.3">
      <c r="A6360" t="str">
        <f>"20200111160631994"</f>
        <v>20200111160631994</v>
      </c>
      <c r="B6360" t="str">
        <f>"1578729991988366"</f>
        <v>1578729991988366</v>
      </c>
      <c r="C6360" t="s">
        <v>40</v>
      </c>
      <c r="D6360">
        <v>5.7454519999999896</v>
      </c>
      <c r="E6360">
        <v>0.51437809999999995</v>
      </c>
      <c r="F6360" t="s">
        <v>100</v>
      </c>
      <c r="G6360">
        <v>-189.5598</v>
      </c>
      <c r="H6360">
        <v>12.27948</v>
      </c>
      <c r="I6360">
        <v>391.87</v>
      </c>
      <c r="J6360">
        <v>-192.04839999999999</v>
      </c>
      <c r="K6360">
        <v>1.1096839999999999</v>
      </c>
      <c r="L6360">
        <v>13.8311799999999</v>
      </c>
      <c r="M6360">
        <v>6.0136069999999998E-3</v>
      </c>
      <c r="N6360">
        <v>0</v>
      </c>
      <c r="O6360">
        <v>0.99995429999999996</v>
      </c>
      <c r="P6360">
        <v>-2.853288E-2</v>
      </c>
      <c r="Q6360">
        <v>-4.388976E-2</v>
      </c>
      <c r="R6360">
        <v>0.99862890000000004</v>
      </c>
      <c r="S6360">
        <v>1.9805909999999999E-2</v>
      </c>
      <c r="T6360">
        <v>8.8840479999999999E-2</v>
      </c>
      <c r="U6360">
        <v>3.009064</v>
      </c>
      <c r="V6360">
        <v>-3.4523020000000001E-2</v>
      </c>
      <c r="W6360">
        <v>-3.6476040000000001E-2</v>
      </c>
      <c r="X6360">
        <v>0.99873809999999996</v>
      </c>
      <c r="Y6360">
        <v>5.6531249999999995E-4</v>
      </c>
      <c r="Z6360">
        <v>2.951032E-2</v>
      </c>
      <c r="AA6360">
        <v>0.99956429999999996</v>
      </c>
      <c r="AB6360">
        <v>27</v>
      </c>
      <c r="AC6360">
        <v>2.4885999999999902</v>
      </c>
      <c r="AD6360">
        <v>11.169796</v>
      </c>
      <c r="AE6360">
        <v>378.03881999999999</v>
      </c>
      <c r="AF6360">
        <v>0.21492769249395699</v>
      </c>
      <c r="AG6360">
        <v>11.169796</v>
      </c>
      <c r="AH6360">
        <v>377.71721438665497</v>
      </c>
      <c r="AI6360">
        <v>88.306151837412202</v>
      </c>
      <c r="AJ6360">
        <v>89.967397704202199</v>
      </c>
      <c r="AK6360">
        <v>377.88239517157899</v>
      </c>
      <c r="AL6360">
        <v>92.090386725163498</v>
      </c>
      <c r="AM6360">
        <v>91.979734317664906</v>
      </c>
      <c r="AN6360">
        <v>1.0000000663977999</v>
      </c>
    </row>
    <row r="6361" spans="1:40" x14ac:dyDescent="0.3">
      <c r="A6361" t="str">
        <f>"20200111160632214"</f>
        <v>20200111160632214</v>
      </c>
      <c r="B6361" t="str">
        <f>"1578729992208942"</f>
        <v>1578729992208942</v>
      </c>
      <c r="C6361" t="s">
        <v>40</v>
      </c>
      <c r="D6361">
        <v>5.6594290000000003</v>
      </c>
      <c r="E6361">
        <v>0.52920789999999995</v>
      </c>
      <c r="F6361" t="s">
        <v>100</v>
      </c>
      <c r="G6361">
        <v>-186.69890000000001</v>
      </c>
      <c r="H6361">
        <v>13.09667</v>
      </c>
      <c r="I6361">
        <v>391.87</v>
      </c>
      <c r="J6361">
        <v>-192.03749999999999</v>
      </c>
      <c r="K6361">
        <v>1.1096509999999999</v>
      </c>
      <c r="L6361">
        <v>16.62302</v>
      </c>
      <c r="M6361">
        <v>3.3736040000000001E-3</v>
      </c>
      <c r="N6361">
        <v>0</v>
      </c>
      <c r="O6361">
        <v>0.99997409999999998</v>
      </c>
      <c r="P6361">
        <v>-2.6275969999999999E-2</v>
      </c>
      <c r="Q6361">
        <v>-2.679875E-2</v>
      </c>
      <c r="R6361">
        <v>0.9992955</v>
      </c>
      <c r="S6361">
        <v>4.2587279999999998E-2</v>
      </c>
      <c r="T6361">
        <v>9.5426919999999998E-2</v>
      </c>
      <c r="U6361">
        <v>3.0095209999999999</v>
      </c>
      <c r="V6361">
        <v>-2.9638060000000001E-2</v>
      </c>
      <c r="W6361">
        <v>-2.046007E-2</v>
      </c>
      <c r="X6361">
        <v>0.99935130000000005</v>
      </c>
      <c r="Y6361">
        <v>1.076891E-2</v>
      </c>
      <c r="Z6361">
        <v>3.1689639999999998E-2</v>
      </c>
      <c r="AA6361">
        <v>0.99943970000000004</v>
      </c>
      <c r="AB6361">
        <v>29</v>
      </c>
      <c r="AC6361">
        <v>5.33859999999998</v>
      </c>
      <c r="AD6361">
        <v>11.987019</v>
      </c>
      <c r="AE6361">
        <v>375.24698000000001</v>
      </c>
      <c r="AF6361">
        <v>4.0684585394999901</v>
      </c>
      <c r="AG6361">
        <v>11.987019</v>
      </c>
      <c r="AH6361">
        <v>374.88038923908101</v>
      </c>
      <c r="AI6361">
        <v>88.168665826622203</v>
      </c>
      <c r="AJ6361">
        <v>89.378211400238399</v>
      </c>
      <c r="AK6361">
        <v>375.09405115975801</v>
      </c>
      <c r="AL6361">
        <v>91.172357434303606</v>
      </c>
      <c r="AM6361">
        <v>91.698740118109598</v>
      </c>
      <c r="AN6361">
        <v>1.0000000249383201</v>
      </c>
    </row>
    <row r="6362" spans="1:40" x14ac:dyDescent="0.3">
      <c r="A6362" t="str">
        <f>"20200111160632236"</f>
        <v>20200111160632236</v>
      </c>
      <c r="B6362" t="str">
        <f>"1578729992228462"</f>
        <v>1578729992228462</v>
      </c>
      <c r="C6362" t="s">
        <v>40</v>
      </c>
      <c r="D6362">
        <v>5.6421289999999997</v>
      </c>
      <c r="E6362">
        <v>0.55491950000000001</v>
      </c>
      <c r="F6362" t="s">
        <v>42</v>
      </c>
      <c r="G6362">
        <v>-191.99950000000001</v>
      </c>
      <c r="H6362">
        <v>1.010151</v>
      </c>
      <c r="I6362">
        <v>17.455590000000001</v>
      </c>
      <c r="J6362">
        <v>-192.0368</v>
      </c>
      <c r="K6362">
        <v>1.109637</v>
      </c>
      <c r="L6362">
        <v>16.903229999999901</v>
      </c>
      <c r="M6362">
        <v>3.1088969999999998E-3</v>
      </c>
      <c r="N6362">
        <v>0</v>
      </c>
      <c r="O6362">
        <v>0.99997539999999996</v>
      </c>
      <c r="P6362">
        <v>-2.6444079999999998E-2</v>
      </c>
      <c r="Q6362">
        <v>-2.6762560000000001E-2</v>
      </c>
      <c r="R6362">
        <v>0.99929199999999996</v>
      </c>
      <c r="S6362">
        <v>0.1362457</v>
      </c>
      <c r="T6362">
        <v>-0.3580643</v>
      </c>
      <c r="U6362">
        <v>2.9960939999999998</v>
      </c>
      <c r="V6362">
        <v>-2.9540830000000001E-2</v>
      </c>
      <c r="W6362">
        <v>-2.0487410000000001E-2</v>
      </c>
      <c r="X6362">
        <v>0.99935359999999995</v>
      </c>
      <c r="Y6362">
        <v>4.2001190000000001E-2</v>
      </c>
      <c r="Z6362">
        <v>-0.1185524</v>
      </c>
      <c r="AA6362">
        <v>0.99205909999999997</v>
      </c>
      <c r="AB6362">
        <v>29</v>
      </c>
      <c r="AC6362">
        <v>3.72999999999876E-2</v>
      </c>
      <c r="AD6362">
        <v>-9.9485999999999894E-2</v>
      </c>
      <c r="AE6362">
        <v>0.55236000000000296</v>
      </c>
      <c r="AF6362">
        <v>3.4469445964076403E-2</v>
      </c>
      <c r="AG6362">
        <v>-9.9485999999999894E-2</v>
      </c>
      <c r="AH6362">
        <v>0.53519057697873296</v>
      </c>
      <c r="AI6362">
        <v>100.509168841004</v>
      </c>
      <c r="AJ6362">
        <v>86.3149019188523</v>
      </c>
      <c r="AK6362">
        <v>0.54544895323751397</v>
      </c>
      <c r="AL6362">
        <v>91.173924251268602</v>
      </c>
      <c r="AM6362">
        <v>91.693166621476607</v>
      </c>
      <c r="AN6362">
        <v>1.00000000621927</v>
      </c>
    </row>
    <row r="6363" spans="1:40" x14ac:dyDescent="0.3">
      <c r="A6363" t="str">
        <f>"20200111160632259"</f>
        <v>20200111160632259</v>
      </c>
      <c r="B6363" t="str">
        <f>"1578729992248958"</f>
        <v>1578729992248958</v>
      </c>
      <c r="C6363" t="s">
        <v>40</v>
      </c>
      <c r="D6363">
        <v>5.6369860000000003</v>
      </c>
      <c r="E6363">
        <v>0.55685909999999905</v>
      </c>
      <c r="F6363" t="s">
        <v>42</v>
      </c>
      <c r="G6363">
        <v>-191.95779999999999</v>
      </c>
      <c r="H6363">
        <v>0.9030378</v>
      </c>
      <c r="I6363">
        <v>17.661739999999899</v>
      </c>
      <c r="J6363">
        <v>-192.03620000000001</v>
      </c>
      <c r="K6363">
        <v>1.1096200000000001</v>
      </c>
      <c r="L6363">
        <v>17.201229999999999</v>
      </c>
      <c r="M6363">
        <v>2.8274900000000002E-3</v>
      </c>
      <c r="N6363">
        <v>0</v>
      </c>
      <c r="O6363">
        <v>0.99997670000000005</v>
      </c>
      <c r="P6363">
        <v>-2.658226E-2</v>
      </c>
      <c r="Q6363">
        <v>-2.6394560000000001E-2</v>
      </c>
      <c r="R6363">
        <v>0.99929809999999997</v>
      </c>
      <c r="S6363">
        <v>0.31156919999999999</v>
      </c>
      <c r="T6363">
        <v>-0.81400749999999999</v>
      </c>
      <c r="U6363">
        <v>2.988556</v>
      </c>
      <c r="V6363">
        <v>-2.9398520000000001E-2</v>
      </c>
      <c r="W6363">
        <v>-2.019907E-2</v>
      </c>
      <c r="X6363">
        <v>0.99936369999999997</v>
      </c>
      <c r="Y6363">
        <v>9.7271029999999994E-2</v>
      </c>
      <c r="Z6363">
        <v>-0.261517</v>
      </c>
      <c r="AA6363">
        <v>0.9602849</v>
      </c>
      <c r="AB6363">
        <v>29</v>
      </c>
      <c r="AC6363">
        <v>7.8400000000016207E-2</v>
      </c>
      <c r="AD6363">
        <v>-0.20658219999999899</v>
      </c>
      <c r="AE6363">
        <v>0.46050999999999898</v>
      </c>
      <c r="AF6363">
        <v>6.4486113900647193E-2</v>
      </c>
      <c r="AG6363">
        <v>-0.20658219999999899</v>
      </c>
      <c r="AH6363">
        <v>0.38536461385424797</v>
      </c>
      <c r="AI6363">
        <v>117.86621395824599</v>
      </c>
      <c r="AJ6363">
        <v>80.500261204904305</v>
      </c>
      <c r="AK6363">
        <v>0.44197347188929897</v>
      </c>
      <c r="AL6363">
        <v>91.157400127402596</v>
      </c>
      <c r="AM6363">
        <v>91.684997654255994</v>
      </c>
      <c r="AN6363">
        <v>1.0000000401423701</v>
      </c>
    </row>
    <row r="6364" spans="1:40" x14ac:dyDescent="0.3">
      <c r="A6364" t="str">
        <f>"20200111160632281"</f>
        <v>20200111160632281</v>
      </c>
      <c r="B6364" t="str">
        <f>"1578729992279215"</f>
        <v>1578729992279215</v>
      </c>
      <c r="C6364" t="s">
        <v>40</v>
      </c>
      <c r="D6364">
        <v>5.5474769999999998</v>
      </c>
      <c r="E6364">
        <v>0.55926500000000001</v>
      </c>
      <c r="F6364" t="s">
        <v>42</v>
      </c>
      <c r="G6364">
        <v>-191.95740000000001</v>
      </c>
      <c r="H6364">
        <v>0.91014309999999998</v>
      </c>
      <c r="I6364">
        <v>17.923259999999999</v>
      </c>
      <c r="J6364">
        <v>-192.03569999999999</v>
      </c>
      <c r="K6364">
        <v>1.10959599999999</v>
      </c>
      <c r="L6364">
        <v>17.487579999999902</v>
      </c>
      <c r="M6364">
        <v>2.5572590000000001E-3</v>
      </c>
      <c r="N6364">
        <v>0</v>
      </c>
      <c r="O6364">
        <v>0.99997789999999998</v>
      </c>
      <c r="P6364">
        <v>-2.6942239999999999E-2</v>
      </c>
      <c r="Q6364">
        <v>-2.6724600000000001E-2</v>
      </c>
      <c r="R6364">
        <v>0.99927969999999999</v>
      </c>
      <c r="S6364">
        <v>0.32597350000000003</v>
      </c>
      <c r="T6364">
        <v>-0.82577149999999999</v>
      </c>
      <c r="U6364">
        <v>2.988953</v>
      </c>
      <c r="V6364">
        <v>-2.9487860000000001E-2</v>
      </c>
      <c r="W6364">
        <v>-2.0615600000000001E-2</v>
      </c>
      <c r="X6364">
        <v>0.99935249999999998</v>
      </c>
      <c r="Y6364">
        <v>0.102002</v>
      </c>
      <c r="Z6364">
        <v>-0.26487359999999999</v>
      </c>
      <c r="AA6364">
        <v>0.95887310000000003</v>
      </c>
      <c r="AB6364">
        <v>29</v>
      </c>
      <c r="AC6364">
        <v>7.8299999999984493E-2</v>
      </c>
      <c r="AD6364">
        <v>-0.19945289999999899</v>
      </c>
      <c r="AE6364">
        <v>0.43568000000000101</v>
      </c>
      <c r="AF6364">
        <v>6.4159815854607297E-2</v>
      </c>
      <c r="AG6364">
        <v>-0.19945289999999899</v>
      </c>
      <c r="AH6364">
        <v>0.362320340868581</v>
      </c>
      <c r="AI6364">
        <v>118.46011063193301</v>
      </c>
      <c r="AJ6364">
        <v>79.958141627279502</v>
      </c>
      <c r="AK6364">
        <v>0.41853789636785799</v>
      </c>
      <c r="AL6364">
        <v>91.1812705820508</v>
      </c>
      <c r="AM6364">
        <v>91.690134206808196</v>
      </c>
      <c r="AN6364">
        <v>0.99999997805349405</v>
      </c>
    </row>
    <row r="6365" spans="1:40" x14ac:dyDescent="0.3">
      <c r="A6365" t="str">
        <f>"20200111160632303"</f>
        <v>20200111160632303</v>
      </c>
      <c r="B6365" t="str">
        <f>"1578729992298734"</f>
        <v>1578729992298734</v>
      </c>
      <c r="C6365" t="s">
        <v>40</v>
      </c>
      <c r="D6365">
        <v>5.5597409999999998</v>
      </c>
      <c r="E6365">
        <v>0.5603979</v>
      </c>
      <c r="F6365" t="s">
        <v>42</v>
      </c>
      <c r="G6365">
        <v>-191.9554</v>
      </c>
      <c r="H6365">
        <v>0.91637639999999998</v>
      </c>
      <c r="I6365">
        <v>18.18561</v>
      </c>
      <c r="J6365">
        <v>-192.0352</v>
      </c>
      <c r="K6365">
        <v>1.1095660000000001</v>
      </c>
      <c r="L6365">
        <v>17.774480000000001</v>
      </c>
      <c r="M6365">
        <v>2.2867759999999999E-3</v>
      </c>
      <c r="N6365">
        <v>0</v>
      </c>
      <c r="O6365">
        <v>0.99997919999999996</v>
      </c>
      <c r="P6365">
        <v>-2.7446089999999999E-2</v>
      </c>
      <c r="Q6365">
        <v>-2.7719259999999999E-2</v>
      </c>
      <c r="R6365">
        <v>0.99923890000000004</v>
      </c>
      <c r="S6365">
        <v>0.34396359999999998</v>
      </c>
      <c r="T6365">
        <v>-0.82746049999999904</v>
      </c>
      <c r="U6365">
        <v>2.9893190000000001</v>
      </c>
      <c r="V6365">
        <v>-2.9720670000000001E-2</v>
      </c>
      <c r="W6365">
        <v>-2.1705430000000001E-2</v>
      </c>
      <c r="X6365">
        <v>0.9993225</v>
      </c>
      <c r="Y6365">
        <v>0.1079456</v>
      </c>
      <c r="Z6365">
        <v>-0.26518150000000001</v>
      </c>
      <c r="AA6365">
        <v>0.95813700000000002</v>
      </c>
      <c r="AB6365">
        <v>29</v>
      </c>
      <c r="AC6365">
        <v>7.9800000000005797E-2</v>
      </c>
      <c r="AD6365">
        <v>-0.19318959999999999</v>
      </c>
      <c r="AE6365">
        <v>0.41113</v>
      </c>
      <c r="AF6365">
        <v>6.5023387562337595E-2</v>
      </c>
      <c r="AG6365">
        <v>-0.19318959999999999</v>
      </c>
      <c r="AH6365">
        <v>0.33914523202677199</v>
      </c>
      <c r="AI6365">
        <v>119.22470581383899</v>
      </c>
      <c r="AJ6365">
        <v>79.146546442735399</v>
      </c>
      <c r="AK6365">
        <v>0.39568895724386199</v>
      </c>
      <c r="AL6365">
        <v>91.243727263573703</v>
      </c>
      <c r="AM6365">
        <v>91.703521285453505</v>
      </c>
      <c r="AN6365">
        <v>0.99999995146149001</v>
      </c>
    </row>
    <row r="6366" spans="1:40" x14ac:dyDescent="0.3">
      <c r="A6366" t="str">
        <f>"20200111160632327"</f>
        <v>20200111160632327</v>
      </c>
      <c r="B6366" t="str">
        <f>"1578729992319229"</f>
        <v>1578729992319229</v>
      </c>
      <c r="C6366" t="s">
        <v>40</v>
      </c>
      <c r="D6366">
        <v>5.6765689999999998</v>
      </c>
      <c r="E6366">
        <v>0.55971719999999903</v>
      </c>
      <c r="F6366" t="s">
        <v>42</v>
      </c>
      <c r="G6366">
        <v>-191.95580000000001</v>
      </c>
      <c r="H6366">
        <v>0.92214890000000005</v>
      </c>
      <c r="I6366">
        <v>18.448820000000001</v>
      </c>
      <c r="J6366">
        <v>-192.03479999999999</v>
      </c>
      <c r="K6366">
        <v>1.109534</v>
      </c>
      <c r="L6366">
        <v>18.073</v>
      </c>
      <c r="M6366">
        <v>2.0057460000000001E-3</v>
      </c>
      <c r="N6366">
        <v>0</v>
      </c>
      <c r="O6366">
        <v>0.99998039999999999</v>
      </c>
      <c r="P6366">
        <v>-2.792944E-2</v>
      </c>
      <c r="Q6366">
        <v>-2.8516179999999999E-2</v>
      </c>
      <c r="R6366">
        <v>0.99920310000000001</v>
      </c>
      <c r="S6366">
        <v>0.3514099</v>
      </c>
      <c r="T6366">
        <v>-0.83068419999999898</v>
      </c>
      <c r="U6366">
        <v>2.9888919999999999</v>
      </c>
      <c r="V6366">
        <v>-2.9923060000000001E-2</v>
      </c>
      <c r="W6366">
        <v>-2.260786E-2</v>
      </c>
      <c r="X6366">
        <v>0.99929650000000003</v>
      </c>
      <c r="Y6366">
        <v>0.1105656</v>
      </c>
      <c r="Z6366">
        <v>-0.26610250000000002</v>
      </c>
      <c r="AA6366">
        <v>0.95758279999999996</v>
      </c>
      <c r="AB6366">
        <v>29</v>
      </c>
      <c r="AC6366">
        <v>7.8999999999979295E-2</v>
      </c>
      <c r="AD6366">
        <v>-0.1873851</v>
      </c>
      <c r="AE6366">
        <v>0.37581999999999999</v>
      </c>
      <c r="AF6366">
        <v>6.3199237228597605E-2</v>
      </c>
      <c r="AG6366">
        <v>-0.1873851</v>
      </c>
      <c r="AH6366">
        <v>0.30367680504091599</v>
      </c>
      <c r="AI6366">
        <v>121.136621226279</v>
      </c>
      <c r="AJ6366">
        <v>78.243784181061898</v>
      </c>
      <c r="AK6366">
        <v>0.36239056445794099</v>
      </c>
      <c r="AL6366">
        <v>91.295445331621707</v>
      </c>
      <c r="AM6366">
        <v>91.715159512929901</v>
      </c>
      <c r="AN6366">
        <v>0.99999999988289601</v>
      </c>
    </row>
    <row r="6367" spans="1:40" x14ac:dyDescent="0.3">
      <c r="A6367" t="str">
        <f>"20200111160632348"</f>
        <v>20200111160632348</v>
      </c>
      <c r="B6367" t="str">
        <f>"1578729992338750"</f>
        <v>1578729992338750</v>
      </c>
      <c r="C6367" t="s">
        <v>40</v>
      </c>
      <c r="D6367">
        <v>5.657375</v>
      </c>
      <c r="E6367">
        <v>0.55931140000000001</v>
      </c>
      <c r="F6367" t="s">
        <v>42</v>
      </c>
      <c r="G6367">
        <v>-191.93379999999999</v>
      </c>
      <c r="H6367">
        <v>0.86424339999999999</v>
      </c>
      <c r="I6367">
        <v>18.94951</v>
      </c>
      <c r="J6367">
        <v>-192.03450000000001</v>
      </c>
      <c r="K6367">
        <v>1.1095090000000001</v>
      </c>
      <c r="L6367">
        <v>18.365259999999999</v>
      </c>
      <c r="M6367">
        <v>1.731235E-3</v>
      </c>
      <c r="N6367">
        <v>0</v>
      </c>
      <c r="O6367">
        <v>0.99998149999999997</v>
      </c>
      <c r="P6367">
        <v>-2.80234E-2</v>
      </c>
      <c r="Q6367">
        <v>-2.85972E-2</v>
      </c>
      <c r="R6367">
        <v>0.99919809999999998</v>
      </c>
      <c r="S6367">
        <v>0.34405520000000001</v>
      </c>
      <c r="T6367">
        <v>-0.83624229999999999</v>
      </c>
      <c r="U6367">
        <v>2.988159</v>
      </c>
      <c r="V6367">
        <v>-2.9742350000000001E-2</v>
      </c>
      <c r="W6367">
        <v>-2.2789480000000001E-2</v>
      </c>
      <c r="X6367">
        <v>0.99929780000000001</v>
      </c>
      <c r="Y6367">
        <v>0.10848339999999899</v>
      </c>
      <c r="Z6367">
        <v>-0.2678816</v>
      </c>
      <c r="AA6367">
        <v>0.95732479999999998</v>
      </c>
      <c r="AB6367">
        <v>29</v>
      </c>
      <c r="AC6367">
        <v>0.100700000000017</v>
      </c>
      <c r="AD6367">
        <v>-0.2452656</v>
      </c>
      <c r="AE6367">
        <v>0.58425000000000005</v>
      </c>
      <c r="AF6367">
        <v>8.5120483787453405E-2</v>
      </c>
      <c r="AG6367">
        <v>-0.2452656</v>
      </c>
      <c r="AH6367">
        <v>0.499019233168288</v>
      </c>
      <c r="AI6367">
        <v>115.850065263552</v>
      </c>
      <c r="AJ6367">
        <v>80.319906998553606</v>
      </c>
      <c r="AK6367">
        <v>0.56251302773841305</v>
      </c>
      <c r="AL6367">
        <v>91.305854033002205</v>
      </c>
      <c r="AM6367">
        <v>91.704805313174205</v>
      </c>
      <c r="AN6367">
        <v>1.0000000304335099</v>
      </c>
    </row>
    <row r="6368" spans="1:40" x14ac:dyDescent="0.3">
      <c r="A6368" t="str">
        <f>"20200111160632370"</f>
        <v>20200111160632370</v>
      </c>
      <c r="B6368" t="str">
        <f>"1578729992369006"</f>
        <v>1578729992369006</v>
      </c>
      <c r="C6368" t="s">
        <v>40</v>
      </c>
      <c r="D6368">
        <v>5.7494509999999996</v>
      </c>
      <c r="E6368">
        <v>0.55983349999999998</v>
      </c>
      <c r="F6368" t="s">
        <v>42</v>
      </c>
      <c r="G6368">
        <v>-191.9376</v>
      </c>
      <c r="H6368">
        <v>0.87091269999999998</v>
      </c>
      <c r="I6368">
        <v>19.215820000000001</v>
      </c>
      <c r="J6368">
        <v>-192.0343</v>
      </c>
      <c r="K6368">
        <v>1.1094949999999999</v>
      </c>
      <c r="L6368">
        <v>18.665710000000001</v>
      </c>
      <c r="M6368">
        <v>1.4492699999999999E-3</v>
      </c>
      <c r="N6368">
        <v>0</v>
      </c>
      <c r="O6368">
        <v>0.9999825</v>
      </c>
      <c r="P6368">
        <v>-2.803626E-2</v>
      </c>
      <c r="Q6368">
        <v>-2.8646700000000001E-2</v>
      </c>
      <c r="R6368">
        <v>0.99919639999999998</v>
      </c>
      <c r="S6368">
        <v>0.34021000000000001</v>
      </c>
      <c r="T6368">
        <v>-0.8381786</v>
      </c>
      <c r="U6368">
        <v>2.9879760000000002</v>
      </c>
      <c r="V6368">
        <v>-2.94735E-2</v>
      </c>
      <c r="W6368">
        <v>-2.2934340000000001E-2</v>
      </c>
      <c r="X6368">
        <v>0.99930240000000004</v>
      </c>
      <c r="Y6368">
        <v>0.10753450000000001</v>
      </c>
      <c r="Z6368">
        <v>-0.26850429999999997</v>
      </c>
      <c r="AA6368">
        <v>0.95725740000000004</v>
      </c>
      <c r="AB6368">
        <v>29</v>
      </c>
      <c r="AC6368">
        <v>9.6699999999998398E-2</v>
      </c>
      <c r="AD6368">
        <v>-0.2385823</v>
      </c>
      <c r="AE6368">
        <v>0.55010999999999999</v>
      </c>
      <c r="AF6368">
        <v>8.1104524487252597E-2</v>
      </c>
      <c r="AG6368">
        <v>-0.2385823</v>
      </c>
      <c r="AH6368">
        <v>0.46534418135285499</v>
      </c>
      <c r="AI6368">
        <v>116.79773207192</v>
      </c>
      <c r="AJ6368">
        <v>80.113267832155003</v>
      </c>
      <c r="AK6368">
        <v>0.52919246487884997</v>
      </c>
      <c r="AL6368">
        <v>91.314156136995905</v>
      </c>
      <c r="AM6368">
        <v>91.689396266687098</v>
      </c>
      <c r="AN6368">
        <v>0.999999978899622</v>
      </c>
    </row>
    <row r="6369" spans="1:40" x14ac:dyDescent="0.3">
      <c r="A6369" t="str">
        <f>"20200111160632403"</f>
        <v>20200111160632403</v>
      </c>
      <c r="B6369" t="str">
        <f>"1578729992399262"</f>
        <v>1578729992399262</v>
      </c>
      <c r="C6369" t="s">
        <v>40</v>
      </c>
      <c r="D6369">
        <v>5.7396919999999998</v>
      </c>
      <c r="E6369">
        <v>0.56088130000000003</v>
      </c>
      <c r="F6369" t="s">
        <v>42</v>
      </c>
      <c r="G6369">
        <v>-191.93989999999999</v>
      </c>
      <c r="H6369">
        <v>0.87807039999999903</v>
      </c>
      <c r="I6369">
        <v>19.48338</v>
      </c>
      <c r="J6369">
        <v>-192.0341</v>
      </c>
      <c r="K6369">
        <v>1.10947</v>
      </c>
      <c r="L6369">
        <v>19.085509999999999</v>
      </c>
      <c r="M6369">
        <v>1.0561310000000001E-3</v>
      </c>
      <c r="N6369">
        <v>0</v>
      </c>
      <c r="O6369">
        <v>0.99998370000000003</v>
      </c>
      <c r="P6369">
        <v>-2.7479969999999999E-2</v>
      </c>
      <c r="Q6369">
        <v>-3.0065000000000001E-2</v>
      </c>
      <c r="R6369">
        <v>0.99917009999999995</v>
      </c>
      <c r="S6369">
        <v>0.34431460000000003</v>
      </c>
      <c r="T6369">
        <v>-0.84563699999999997</v>
      </c>
      <c r="U6369">
        <v>2.9878230000000001</v>
      </c>
      <c r="V6369">
        <v>-2.852325E-2</v>
      </c>
      <c r="W6369">
        <v>-2.447073E-2</v>
      </c>
      <c r="X6369">
        <v>0.9992936</v>
      </c>
      <c r="Y6369">
        <v>0.10915859999999999</v>
      </c>
      <c r="Z6369">
        <v>-0.27068730000000002</v>
      </c>
      <c r="AA6369">
        <v>0.95645840000000004</v>
      </c>
      <c r="AB6369">
        <v>30</v>
      </c>
      <c r="AC6369">
        <v>9.42000000000007E-2</v>
      </c>
      <c r="AD6369">
        <v>-0.23139960000000001</v>
      </c>
      <c r="AE6369">
        <v>0.397870000000001</v>
      </c>
      <c r="AF6369">
        <v>7.1029149764979899E-2</v>
      </c>
      <c r="AG6369">
        <v>-0.23139960000000001</v>
      </c>
      <c r="AH6369">
        <v>0.30142351944109402</v>
      </c>
      <c r="AI6369">
        <v>126.76794225223701</v>
      </c>
      <c r="AJ6369">
        <v>76.740395305913097</v>
      </c>
      <c r="AK6369">
        <v>0.386583824116777</v>
      </c>
      <c r="AL6369">
        <v>91.402209454644193</v>
      </c>
      <c r="AM6369">
        <v>91.634973179443307</v>
      </c>
      <c r="AN6369">
        <v>1.00000004570912</v>
      </c>
    </row>
    <row r="6370" spans="1:40" x14ac:dyDescent="0.3">
      <c r="A6370" t="str">
        <f>"20200111160632425"</f>
        <v>20200111160632425</v>
      </c>
      <c r="B6370" t="str">
        <f>"1578729992418782"</f>
        <v>1578729992418782</v>
      </c>
      <c r="C6370" t="s">
        <v>40</v>
      </c>
      <c r="D6370">
        <v>5.7018389999999997</v>
      </c>
      <c r="E6370">
        <v>0.56144459999999996</v>
      </c>
      <c r="F6370" t="s">
        <v>42</v>
      </c>
      <c r="G6370">
        <v>-191.95359999999999</v>
      </c>
      <c r="H6370">
        <v>0.91500999999999999</v>
      </c>
      <c r="I6370">
        <v>19.764109999999999</v>
      </c>
      <c r="J6370">
        <v>-192.0341</v>
      </c>
      <c r="K6370">
        <v>1.109459</v>
      </c>
      <c r="L6370">
        <v>19.389309999999998</v>
      </c>
      <c r="M6370">
        <v>7.7477250000000002E-4</v>
      </c>
      <c r="N6370">
        <v>0</v>
      </c>
      <c r="O6370">
        <v>0.9999844</v>
      </c>
      <c r="P6370">
        <v>-2.7291389999999999E-2</v>
      </c>
      <c r="Q6370">
        <v>-3.0566139999999999E-2</v>
      </c>
      <c r="R6370">
        <v>0.9991601</v>
      </c>
      <c r="S6370">
        <v>0.35420230000000003</v>
      </c>
      <c r="T6370">
        <v>-0.85581580000000002</v>
      </c>
      <c r="U6370">
        <v>2.9864809999999999</v>
      </c>
      <c r="V6370">
        <v>-2.8053020000000001E-2</v>
      </c>
      <c r="W6370">
        <v>-2.5044750000000001E-2</v>
      </c>
      <c r="X6370">
        <v>0.99929270000000003</v>
      </c>
      <c r="Y6370">
        <v>0.11250930000000001</v>
      </c>
      <c r="Z6370">
        <v>-0.27371450000000003</v>
      </c>
      <c r="AA6370">
        <v>0.95520780000000005</v>
      </c>
      <c r="AB6370">
        <v>30</v>
      </c>
      <c r="AC6370">
        <v>8.0500000000000599E-2</v>
      </c>
      <c r="AD6370">
        <v>-0.19444900000000001</v>
      </c>
      <c r="AE6370">
        <v>0.37480000000000002</v>
      </c>
      <c r="AF6370">
        <v>6.3795514205409298E-2</v>
      </c>
      <c r="AG6370">
        <v>-0.19444900000000001</v>
      </c>
      <c r="AH6370">
        <v>0.29815052636274803</v>
      </c>
      <c r="AI6370">
        <v>122.527620721335</v>
      </c>
      <c r="AJ6370">
        <v>77.922493762892898</v>
      </c>
      <c r="AK6370">
        <v>0.36162690387209301</v>
      </c>
      <c r="AL6370">
        <v>91.435108446585005</v>
      </c>
      <c r="AM6370">
        <v>91.608034975711107</v>
      </c>
      <c r="AN6370">
        <v>1.0000000558534801</v>
      </c>
    </row>
    <row r="6371" spans="1:40" x14ac:dyDescent="0.3">
      <c r="A6371" t="str">
        <f>"20200111160632449"</f>
        <v>20200111160632449</v>
      </c>
      <c r="B6371" t="str">
        <f>"1578729992439278"</f>
        <v>1578729992439278</v>
      </c>
      <c r="C6371" t="s">
        <v>40</v>
      </c>
      <c r="D6371">
        <v>5.7110029999999998</v>
      </c>
      <c r="E6371">
        <v>0.56194500000000003</v>
      </c>
      <c r="F6371" t="s">
        <v>42</v>
      </c>
      <c r="G6371">
        <v>-191.92750000000001</v>
      </c>
      <c r="H6371">
        <v>0.85430030000000001</v>
      </c>
      <c r="I6371">
        <v>20.27477</v>
      </c>
      <c r="J6371">
        <v>-192.0341</v>
      </c>
      <c r="K6371">
        <v>1.10945</v>
      </c>
      <c r="L6371">
        <v>19.70187</v>
      </c>
      <c r="M6371">
        <v>4.9207059999999895E-4</v>
      </c>
      <c r="N6371">
        <v>0</v>
      </c>
      <c r="O6371">
        <v>0.99998489999999995</v>
      </c>
      <c r="P6371">
        <v>-2.813322E-2</v>
      </c>
      <c r="Q6371">
        <v>-3.028134E-2</v>
      </c>
      <c r="R6371">
        <v>0.99914539999999996</v>
      </c>
      <c r="S6371">
        <v>0.35919190000000001</v>
      </c>
      <c r="T6371">
        <v>-0.8604636</v>
      </c>
      <c r="U6371">
        <v>2.985992</v>
      </c>
      <c r="V6371">
        <v>-2.8612579999999999E-2</v>
      </c>
      <c r="W6371">
        <v>-2.4824720000000002E-2</v>
      </c>
      <c r="X6371">
        <v>0.99928220000000001</v>
      </c>
      <c r="Y6371">
        <v>0.11433550000000001</v>
      </c>
      <c r="Z6371">
        <v>-0.27507549999999997</v>
      </c>
      <c r="AA6371">
        <v>0.95459989999999995</v>
      </c>
      <c r="AB6371">
        <v>30</v>
      </c>
      <c r="AC6371">
        <v>0.106599999999986</v>
      </c>
      <c r="AD6371">
        <v>-0.25514969999999998</v>
      </c>
      <c r="AE6371">
        <v>0.57289999999999996</v>
      </c>
      <c r="AF6371">
        <v>8.9214528093953901E-2</v>
      </c>
      <c r="AG6371">
        <v>-0.25514969999999998</v>
      </c>
      <c r="AH6371">
        <v>0.48078068052411599</v>
      </c>
      <c r="AI6371">
        <v>117.555161002484</v>
      </c>
      <c r="AJ6371">
        <v>79.487661466265905</v>
      </c>
      <c r="AK6371">
        <v>0.55155295683945804</v>
      </c>
      <c r="AL6371">
        <v>91.422497913848204</v>
      </c>
      <c r="AM6371">
        <v>91.640109547178099</v>
      </c>
      <c r="AN6371">
        <v>0.99999993084708405</v>
      </c>
    </row>
    <row r="6372" spans="1:40" x14ac:dyDescent="0.3">
      <c r="A6372" t="str">
        <f>"20200111160632470"</f>
        <v>20200111160632470</v>
      </c>
      <c r="B6372" t="str">
        <f>"1578729992458800"</f>
        <v>1578729992458800</v>
      </c>
      <c r="C6372" t="s">
        <v>40</v>
      </c>
      <c r="D6372">
        <v>5.646668</v>
      </c>
      <c r="E6372">
        <v>0.56218029999999997</v>
      </c>
      <c r="F6372" t="s">
        <v>42</v>
      </c>
      <c r="G6372">
        <v>-191.9316</v>
      </c>
      <c r="H6372">
        <v>0.86531209999999903</v>
      </c>
      <c r="I6372">
        <v>20.547989999999999</v>
      </c>
      <c r="J6372">
        <v>-192.0342</v>
      </c>
      <c r="K6372">
        <v>1.10944</v>
      </c>
      <c r="L6372">
        <v>19.992650000000001</v>
      </c>
      <c r="M6372">
        <v>2.3646490000000001E-4</v>
      </c>
      <c r="N6372">
        <v>0</v>
      </c>
      <c r="O6372">
        <v>0.99998529999999997</v>
      </c>
      <c r="P6372">
        <v>-2.8963059999999999E-2</v>
      </c>
      <c r="Q6372">
        <v>-2.8697250000000001E-2</v>
      </c>
      <c r="R6372">
        <v>0.99916850000000001</v>
      </c>
      <c r="S6372">
        <v>0.36167909999999998</v>
      </c>
      <c r="T6372">
        <v>-0.8617572</v>
      </c>
      <c r="U6372">
        <v>2.9866329999999999</v>
      </c>
      <c r="V6372">
        <v>-2.9188309999999999E-2</v>
      </c>
      <c r="W6372">
        <v>-2.3292150000000001E-2</v>
      </c>
      <c r="X6372">
        <v>0.99930249999999998</v>
      </c>
      <c r="Y6372">
        <v>0.1153381</v>
      </c>
      <c r="Z6372">
        <v>-0.27537469999999997</v>
      </c>
      <c r="AA6372">
        <v>0.95439300000000005</v>
      </c>
      <c r="AB6372">
        <v>30</v>
      </c>
      <c r="AC6372">
        <v>0.102599999999995</v>
      </c>
      <c r="AD6372">
        <v>-0.24412790000000001</v>
      </c>
      <c r="AE6372">
        <v>0.55533999999999695</v>
      </c>
      <c r="AF6372">
        <v>8.6335188260697096E-2</v>
      </c>
      <c r="AG6372">
        <v>-0.24412790000000001</v>
      </c>
      <c r="AH6372">
        <v>0.467923254657993</v>
      </c>
      <c r="AI6372">
        <v>117.16083189379501</v>
      </c>
      <c r="AJ6372">
        <v>79.546087763429497</v>
      </c>
      <c r="AK6372">
        <v>0.53479376262270395</v>
      </c>
      <c r="AL6372">
        <v>91.334662611704402</v>
      </c>
      <c r="AM6372">
        <v>91.673058584068698</v>
      </c>
      <c r="AN6372">
        <v>0.99999998409926405</v>
      </c>
    </row>
    <row r="6373" spans="1:40" x14ac:dyDescent="0.3">
      <c r="A6373" t="str">
        <f>"20200111160632493"</f>
        <v>20200111160632493</v>
      </c>
      <c r="B6373" t="str">
        <f>"1578729992489054"</f>
        <v>1578729992489054</v>
      </c>
      <c r="C6373" t="s">
        <v>40</v>
      </c>
      <c r="D6373">
        <v>5.5333300000000003</v>
      </c>
      <c r="E6373">
        <v>0.56270750000000003</v>
      </c>
      <c r="F6373" t="s">
        <v>42</v>
      </c>
      <c r="G6373">
        <v>-191.9341</v>
      </c>
      <c r="H6373">
        <v>0.87175049999999898</v>
      </c>
      <c r="I6373">
        <v>20.820519999999998</v>
      </c>
      <c r="J6373">
        <v>-192.03440000000001</v>
      </c>
      <c r="K6373">
        <v>1.109432</v>
      </c>
      <c r="L6373">
        <v>20.30115</v>
      </c>
      <c r="M6373" s="1">
        <v>-1.6499510000000001E-5</v>
      </c>
      <c r="N6373">
        <v>0</v>
      </c>
      <c r="O6373">
        <v>0.99998549999999997</v>
      </c>
      <c r="P6373">
        <v>-2.8936590000000002E-2</v>
      </c>
      <c r="Q6373">
        <v>-2.641199E-2</v>
      </c>
      <c r="R6373">
        <v>0.99923220000000001</v>
      </c>
      <c r="S6373">
        <v>0.36152649999999997</v>
      </c>
      <c r="T6373">
        <v>-0.85797769999999995</v>
      </c>
      <c r="U6373">
        <v>2.9883419999999998</v>
      </c>
      <c r="V6373">
        <v>-2.891051E-2</v>
      </c>
      <c r="W6373">
        <v>-2.1052060000000001E-2</v>
      </c>
      <c r="X6373">
        <v>0.99936029999999998</v>
      </c>
      <c r="Y6373">
        <v>0.11551939999999999</v>
      </c>
      <c r="Z6373">
        <v>-0.27411239999999998</v>
      </c>
      <c r="AA6373">
        <v>0.95473430000000004</v>
      </c>
      <c r="AB6373">
        <v>30</v>
      </c>
      <c r="AC6373">
        <v>0.100300000000004</v>
      </c>
      <c r="AD6373">
        <v>-0.23768149999999999</v>
      </c>
      <c r="AE6373">
        <v>0.519370000000002</v>
      </c>
      <c r="AF6373">
        <v>8.3458379835620294E-2</v>
      </c>
      <c r="AG6373">
        <v>-0.23768149999999999</v>
      </c>
      <c r="AH6373">
        <v>0.432123006487316</v>
      </c>
      <c r="AI6373">
        <v>118.371349118916</v>
      </c>
      <c r="AJ6373">
        <v>79.068730486723695</v>
      </c>
      <c r="AK6373">
        <v>0.50018805397837496</v>
      </c>
      <c r="AL6373">
        <v>91.206283291535897</v>
      </c>
      <c r="AM6373">
        <v>91.657048364555294</v>
      </c>
      <c r="AN6373">
        <v>1.0000000080173901</v>
      </c>
    </row>
    <row r="6374" spans="1:40" x14ac:dyDescent="0.3">
      <c r="A6374" t="str">
        <f>"20200111160632517"</f>
        <v>20200111160632517</v>
      </c>
      <c r="B6374" t="str">
        <f>"1578729992508573"</f>
        <v>1578729992508573</v>
      </c>
      <c r="C6374" t="s">
        <v>40</v>
      </c>
      <c r="D6374">
        <v>5.300408</v>
      </c>
      <c r="E6374">
        <v>0.56274399999999902</v>
      </c>
      <c r="F6374" t="s">
        <v>42</v>
      </c>
      <c r="G6374">
        <v>-191.9374</v>
      </c>
      <c r="H6374">
        <v>0.88269019999999998</v>
      </c>
      <c r="I6374">
        <v>21.095839999999999</v>
      </c>
      <c r="J6374">
        <v>-192.03469999999999</v>
      </c>
      <c r="K6374">
        <v>1.1094109999999999</v>
      </c>
      <c r="L6374">
        <v>20.622679999999999</v>
      </c>
      <c r="M6374">
        <v>-2.4574390000000002E-4</v>
      </c>
      <c r="N6374">
        <v>0</v>
      </c>
      <c r="O6374">
        <v>0.99998569999999998</v>
      </c>
      <c r="P6374">
        <v>-2.8968850000000001E-2</v>
      </c>
      <c r="Q6374">
        <v>-2.435317E-2</v>
      </c>
      <c r="R6374">
        <v>0.99928360000000005</v>
      </c>
      <c r="S6374">
        <v>0.36506650000000002</v>
      </c>
      <c r="T6374">
        <v>-0.85320229999999997</v>
      </c>
      <c r="U6374">
        <v>2.990326</v>
      </c>
      <c r="V6374">
        <v>-2.871582E-2</v>
      </c>
      <c r="W6374">
        <v>-1.9028940000000001E-2</v>
      </c>
      <c r="X6374">
        <v>0.99940649999999998</v>
      </c>
      <c r="Y6374">
        <v>0.11684079999999999</v>
      </c>
      <c r="Z6374">
        <v>-0.27249600000000002</v>
      </c>
      <c r="AA6374">
        <v>0.9550362</v>
      </c>
      <c r="AB6374">
        <v>30</v>
      </c>
      <c r="AC6374">
        <v>9.7299999999989895E-2</v>
      </c>
      <c r="AD6374">
        <v>-0.2267208</v>
      </c>
      <c r="AE6374">
        <v>0.47316000000000003</v>
      </c>
      <c r="AF6374">
        <v>7.9830944947892599E-2</v>
      </c>
      <c r="AG6374">
        <v>-0.2267208</v>
      </c>
      <c r="AH6374">
        <v>0.38772679362176998</v>
      </c>
      <c r="AI6374">
        <v>119.801058050411</v>
      </c>
      <c r="AJ6374">
        <v>78.365679808702296</v>
      </c>
      <c r="AK6374">
        <v>0.45618786417016</v>
      </c>
      <c r="AL6374">
        <v>91.090343731835603</v>
      </c>
      <c r="AM6374">
        <v>91.645819536107197</v>
      </c>
      <c r="AN6374">
        <v>1.00000002555902</v>
      </c>
    </row>
    <row r="6375" spans="1:40" x14ac:dyDescent="0.3">
      <c r="A6375" t="str">
        <f>"20200111160632539"</f>
        <v>20200111160632539</v>
      </c>
      <c r="B6375" t="str">
        <f>"1578729992529069"</f>
        <v>1578729992529069</v>
      </c>
      <c r="C6375" t="s">
        <v>40</v>
      </c>
      <c r="D6375">
        <v>6.9451669999999996</v>
      </c>
      <c r="E6375">
        <v>0.53365799999999997</v>
      </c>
      <c r="F6375" t="s">
        <v>42</v>
      </c>
      <c r="G6375">
        <v>-191.94309999999999</v>
      </c>
      <c r="H6375">
        <v>0.89689269999999999</v>
      </c>
      <c r="I6375">
        <v>21.373460000000001</v>
      </c>
      <c r="J6375">
        <v>-192.03489999999999</v>
      </c>
      <c r="K6375">
        <v>1.1093850000000001</v>
      </c>
      <c r="L6375">
        <v>20.92398</v>
      </c>
      <c r="M6375">
        <v>-4.173553E-4</v>
      </c>
      <c r="N6375">
        <v>0</v>
      </c>
      <c r="O6375">
        <v>0.99998580000000004</v>
      </c>
      <c r="P6375">
        <v>-3.0235189999999999E-2</v>
      </c>
      <c r="Q6375">
        <v>-2.399339E-2</v>
      </c>
      <c r="R6375">
        <v>0.9992548</v>
      </c>
      <c r="S6375">
        <v>0.36515809999999999</v>
      </c>
      <c r="T6375">
        <v>-0.84695219999999904</v>
      </c>
      <c r="U6375">
        <v>2.9920960000000001</v>
      </c>
      <c r="V6375">
        <v>-2.9812080000000001E-2</v>
      </c>
      <c r="W6375">
        <v>-1.8685810000000001E-2</v>
      </c>
      <c r="X6375">
        <v>0.99938079999999996</v>
      </c>
      <c r="Y6375">
        <v>0.1170402</v>
      </c>
      <c r="Z6375">
        <v>-0.27049649999999997</v>
      </c>
      <c r="AA6375">
        <v>0.95558010000000004</v>
      </c>
      <c r="AB6375">
        <v>30</v>
      </c>
      <c r="AC6375">
        <v>9.1800000000006293E-2</v>
      </c>
      <c r="AD6375">
        <v>-0.2124923</v>
      </c>
      <c r="AE6375">
        <v>0.44948000000000099</v>
      </c>
      <c r="AF6375">
        <v>7.5738328691619006E-2</v>
      </c>
      <c r="AG6375">
        <v>-0.2124923</v>
      </c>
      <c r="AH6375">
        <v>0.37004948293484702</v>
      </c>
      <c r="AI6375">
        <v>119.360566885297</v>
      </c>
      <c r="AJ6375">
        <v>78.432975279913904</v>
      </c>
      <c r="AK6375">
        <v>0.43338884597164901</v>
      </c>
      <c r="AL6375">
        <v>91.070680414241906</v>
      </c>
      <c r="AM6375">
        <v>91.708657974345002</v>
      </c>
      <c r="AN6375">
        <v>0.99999995150896004</v>
      </c>
    </row>
    <row r="6376" spans="1:40" x14ac:dyDescent="0.3">
      <c r="A6376" t="str">
        <f>"20200111160632561"</f>
        <v>20200111160632561</v>
      </c>
      <c r="B6376" t="str">
        <f>"1578729992559327"</f>
        <v>1578729992559327</v>
      </c>
      <c r="C6376" t="s">
        <v>40</v>
      </c>
      <c r="D6376">
        <v>5.2004599999999996</v>
      </c>
      <c r="E6376">
        <v>0.50047219999999903</v>
      </c>
      <c r="F6376" t="s">
        <v>42</v>
      </c>
      <c r="G6376">
        <v>-191.99959999999999</v>
      </c>
      <c r="H6376">
        <v>0.94571450000000001</v>
      </c>
      <c r="I6376">
        <v>21.668980000000001</v>
      </c>
      <c r="J6376">
        <v>-192.0352</v>
      </c>
      <c r="K6376">
        <v>1.1093550000000001</v>
      </c>
      <c r="L6376">
        <v>21.22513</v>
      </c>
      <c r="M6376">
        <v>-5.4159040000000002E-4</v>
      </c>
      <c r="N6376">
        <v>0</v>
      </c>
      <c r="O6376">
        <v>0.99998569999999998</v>
      </c>
      <c r="P6376">
        <v>-3.173956E-2</v>
      </c>
      <c r="Q6376">
        <v>-2.43698E-2</v>
      </c>
      <c r="R6376">
        <v>0.99919899999999995</v>
      </c>
      <c r="S6376">
        <v>0.1412659</v>
      </c>
      <c r="T6376">
        <v>-0.65703269999999903</v>
      </c>
      <c r="U6376">
        <v>2.9907530000000002</v>
      </c>
      <c r="V6376">
        <v>-3.1193789999999999E-2</v>
      </c>
      <c r="W6376">
        <v>-1.9055699999999998E-2</v>
      </c>
      <c r="X6376">
        <v>0.99933170000000004</v>
      </c>
      <c r="Y6376">
        <v>4.6626050000000002E-2</v>
      </c>
      <c r="Z6376">
        <v>-0.21434039999999999</v>
      </c>
      <c r="AA6376">
        <v>0.97564550000000005</v>
      </c>
      <c r="AB6376">
        <v>30</v>
      </c>
      <c r="AC6376">
        <v>3.56000000000165E-2</v>
      </c>
      <c r="AD6376">
        <v>-0.163640499999999</v>
      </c>
      <c r="AE6376">
        <v>0.44384999999999702</v>
      </c>
      <c r="AF6376">
        <v>3.1575782936770602E-2</v>
      </c>
      <c r="AG6376">
        <v>-0.163640499999999</v>
      </c>
      <c r="AH6376">
        <v>0.39101982700471999</v>
      </c>
      <c r="AI6376">
        <v>112.642911710522</v>
      </c>
      <c r="AJ6376">
        <v>85.383247062936505</v>
      </c>
      <c r="AK6376">
        <v>0.42505499458202001</v>
      </c>
      <c r="AL6376">
        <v>91.091877262527007</v>
      </c>
      <c r="AM6376">
        <v>91.787887219206496</v>
      </c>
      <c r="AN6376">
        <v>1.00000000943097</v>
      </c>
    </row>
    <row r="6377" spans="1:40" x14ac:dyDescent="0.3">
      <c r="A6377" t="str">
        <f>"20200111160632583"</f>
        <v>20200111160632583</v>
      </c>
      <c r="B6377" t="str">
        <f>"1578729992578846"</f>
        <v>1578729992578846</v>
      </c>
      <c r="C6377" t="s">
        <v>40</v>
      </c>
      <c r="D6377">
        <v>5.1263069999999997</v>
      </c>
      <c r="E6377">
        <v>0.50152980000000003</v>
      </c>
      <c r="F6377" t="s">
        <v>41</v>
      </c>
      <c r="G6377">
        <v>-192.61369999999999</v>
      </c>
      <c r="H6377" s="1">
        <v>-4.4889609999999997E-6</v>
      </c>
      <c r="I6377">
        <v>38.815399999999997</v>
      </c>
      <c r="J6377">
        <v>-192.03550000000001</v>
      </c>
      <c r="K6377">
        <v>1.1093360000000001</v>
      </c>
      <c r="L6377">
        <v>21.528690000000001</v>
      </c>
      <c r="M6377">
        <v>-6.2367589999999995E-4</v>
      </c>
      <c r="N6377">
        <v>0</v>
      </c>
      <c r="O6377">
        <v>0.99998549999999997</v>
      </c>
      <c r="P6377">
        <v>-3.3156640000000001E-2</v>
      </c>
      <c r="Q6377">
        <v>-2.4137329999999999E-2</v>
      </c>
      <c r="R6377">
        <v>0.99915869999999996</v>
      </c>
      <c r="S6377">
        <v>-9.8495479999999996E-2</v>
      </c>
      <c r="T6377">
        <v>-0.18886310000000001</v>
      </c>
      <c r="U6377">
        <v>2.994659</v>
      </c>
      <c r="V6377">
        <v>-3.2530099999999999E-2</v>
      </c>
      <c r="W6377">
        <v>-1.8791820000000001E-2</v>
      </c>
      <c r="X6377">
        <v>0.99929409999999996</v>
      </c>
      <c r="Y6377">
        <v>-3.218414E-2</v>
      </c>
      <c r="Z6377">
        <v>-6.2908309999999995E-2</v>
      </c>
      <c r="AA6377">
        <v>0.99750019999999995</v>
      </c>
      <c r="AB6377">
        <v>31</v>
      </c>
      <c r="AC6377">
        <v>-0.57819999999998095</v>
      </c>
      <c r="AD6377">
        <v>-1.1093404889609999</v>
      </c>
      <c r="AE6377">
        <v>17.2867099999999</v>
      </c>
      <c r="AF6377">
        <v>-0.565093872746948</v>
      </c>
      <c r="AG6377">
        <v>-1.1093404889609999</v>
      </c>
      <c r="AH6377">
        <v>17.216246925875499</v>
      </c>
      <c r="AI6377">
        <v>93.684816438456494</v>
      </c>
      <c r="AJ6377">
        <v>91.879961067631001</v>
      </c>
      <c r="AK6377">
        <v>17.261202901831101</v>
      </c>
      <c r="AL6377">
        <v>91.076755334027894</v>
      </c>
      <c r="AM6377">
        <v>91.864495631541203</v>
      </c>
      <c r="AN6377">
        <v>1.0000000190998599</v>
      </c>
    </row>
    <row r="6378" spans="1:40" x14ac:dyDescent="0.3">
      <c r="A6378" t="str">
        <f>"20200111160632606"</f>
        <v>20200111160632606</v>
      </c>
      <c r="B6378" t="str">
        <f>"1578729992599341"</f>
        <v>1578729992599341</v>
      </c>
      <c r="C6378" t="s">
        <v>40</v>
      </c>
      <c r="D6378">
        <v>5.1422549999999996</v>
      </c>
      <c r="E6378">
        <v>0.50181690000000001</v>
      </c>
      <c r="F6378" t="s">
        <v>41</v>
      </c>
      <c r="G6378">
        <v>-192.55369999999999</v>
      </c>
      <c r="H6378" s="1">
        <v>-4.142225E-6</v>
      </c>
      <c r="I6378">
        <v>37.827770000000001</v>
      </c>
      <c r="J6378">
        <v>-192.03569999999999</v>
      </c>
      <c r="K6378">
        <v>1.1093219999999999</v>
      </c>
      <c r="L6378">
        <v>21.840610000000002</v>
      </c>
      <c r="M6378">
        <v>-6.7016470000000002E-4</v>
      </c>
      <c r="N6378">
        <v>0</v>
      </c>
      <c r="O6378">
        <v>0.99998520000000002</v>
      </c>
      <c r="P6378">
        <v>-3.3303359999999997E-2</v>
      </c>
      <c r="Q6378">
        <v>-2.3704869999999999E-2</v>
      </c>
      <c r="R6378">
        <v>0.9991641</v>
      </c>
      <c r="S6378">
        <v>-9.5214839999999995E-2</v>
      </c>
      <c r="T6378">
        <v>-0.2038065</v>
      </c>
      <c r="U6378">
        <v>2.9944459999999999</v>
      </c>
      <c r="V6378">
        <v>-3.2632359999999999E-2</v>
      </c>
      <c r="W6378">
        <v>-1.830085E-2</v>
      </c>
      <c r="X6378">
        <v>0.99929990000000002</v>
      </c>
      <c r="Y6378">
        <v>-3.103796E-2</v>
      </c>
      <c r="Z6378">
        <v>-6.7870940000000005E-2</v>
      </c>
      <c r="AA6378">
        <v>0.99721119999999996</v>
      </c>
      <c r="AB6378">
        <v>31</v>
      </c>
      <c r="AC6378">
        <v>-0.51800000000000002</v>
      </c>
      <c r="AD6378">
        <v>-1.10932614222499</v>
      </c>
      <c r="AE6378">
        <v>15.987159999999999</v>
      </c>
      <c r="AF6378">
        <v>-0.50485747210940102</v>
      </c>
      <c r="AG6378">
        <v>-1.10932614222499</v>
      </c>
      <c r="AH6378">
        <v>15.910976155816799</v>
      </c>
      <c r="AI6378">
        <v>93.986254504849597</v>
      </c>
      <c r="AJ6378">
        <v>91.817393246944704</v>
      </c>
      <c r="AK6378">
        <v>15.957589034310301</v>
      </c>
      <c r="AL6378">
        <v>91.048619963133007</v>
      </c>
      <c r="AM6378">
        <v>91.870341762666499</v>
      </c>
      <c r="AN6378">
        <v>1.0000000410849501</v>
      </c>
    </row>
    <row r="6379" spans="1:40" x14ac:dyDescent="0.3">
      <c r="A6379" t="str">
        <f>"20200111160632627"</f>
        <v>20200111160632627</v>
      </c>
      <c r="B6379" t="str">
        <f>"1578729992618862"</f>
        <v>1578729992618862</v>
      </c>
      <c r="C6379" t="s">
        <v>40</v>
      </c>
      <c r="D6379">
        <v>5.0287119999999996</v>
      </c>
      <c r="E6379">
        <v>0.50304819999999995</v>
      </c>
      <c r="F6379" t="s">
        <v>41</v>
      </c>
      <c r="G6379">
        <v>-192.50550000000001</v>
      </c>
      <c r="H6379" s="1">
        <v>-3.7368139999999999E-6</v>
      </c>
      <c r="I6379">
        <v>36.745739999999998</v>
      </c>
      <c r="J6379">
        <v>-192.0359</v>
      </c>
      <c r="K6379">
        <v>1.1093120000000001</v>
      </c>
      <c r="L6379">
        <v>22.137969999999999</v>
      </c>
      <c r="M6379">
        <v>-6.9007379999999998E-4</v>
      </c>
      <c r="N6379">
        <v>0</v>
      </c>
      <c r="O6379">
        <v>0.99998469999999995</v>
      </c>
      <c r="P6379">
        <v>-3.3140240000000001E-2</v>
      </c>
      <c r="Q6379">
        <v>-2.3591480000000001E-2</v>
      </c>
      <c r="R6379">
        <v>0.99917230000000001</v>
      </c>
      <c r="S6379">
        <v>-9.4375609999999999E-2</v>
      </c>
      <c r="T6379">
        <v>-0.2228367</v>
      </c>
      <c r="U6379">
        <v>2.9940799999999999</v>
      </c>
      <c r="V6379">
        <v>-3.2449970000000002E-2</v>
      </c>
      <c r="W6379">
        <v>-1.8112099999999999E-2</v>
      </c>
      <c r="X6379">
        <v>0.99930920000000001</v>
      </c>
      <c r="Y6379">
        <v>-3.072853E-2</v>
      </c>
      <c r="Z6379">
        <v>-7.4184639999999996E-2</v>
      </c>
      <c r="AA6379">
        <v>0.99677099999999996</v>
      </c>
      <c r="AB6379">
        <v>31</v>
      </c>
      <c r="AC6379">
        <v>-0.46960000000001401</v>
      </c>
      <c r="AD6379">
        <v>-1.1093157368140001</v>
      </c>
      <c r="AE6379">
        <v>14.60777</v>
      </c>
      <c r="AF6379">
        <v>-0.45688719387770999</v>
      </c>
      <c r="AG6379">
        <v>-1.1093157368140001</v>
      </c>
      <c r="AH6379">
        <v>14.5244161867248</v>
      </c>
      <c r="AI6379">
        <v>94.365388114715998</v>
      </c>
      <c r="AJ6379">
        <v>91.801730157884606</v>
      </c>
      <c r="AK6379">
        <v>14.5738805016738</v>
      </c>
      <c r="AL6379">
        <v>91.037803673432606</v>
      </c>
      <c r="AM6379">
        <v>91.859878044855094</v>
      </c>
      <c r="AN6379">
        <v>0.99999996296202398</v>
      </c>
    </row>
    <row r="6380" spans="1:40" x14ac:dyDescent="0.3">
      <c r="A6380" t="str">
        <f>"20200111160632650"</f>
        <v>20200111160632650</v>
      </c>
      <c r="B6380" t="str">
        <f>"1578729992639358"</f>
        <v>1578729992639358</v>
      </c>
      <c r="C6380" t="s">
        <v>40</v>
      </c>
      <c r="D6380">
        <v>5.0607030000000002</v>
      </c>
      <c r="E6380">
        <v>0.50380119999999995</v>
      </c>
      <c r="F6380" t="s">
        <v>42</v>
      </c>
      <c r="G6380">
        <v>-192.0633</v>
      </c>
      <c r="H6380">
        <v>1.0306420000000001</v>
      </c>
      <c r="I6380">
        <v>23.093109999999999</v>
      </c>
      <c r="J6380">
        <v>-192.0361</v>
      </c>
      <c r="K6380">
        <v>1.1093</v>
      </c>
      <c r="L6380">
        <v>22.450379999999999</v>
      </c>
      <c r="M6380">
        <v>-6.9399570000000001E-4</v>
      </c>
      <c r="N6380">
        <v>0</v>
      </c>
      <c r="O6380">
        <v>0.99998419999999999</v>
      </c>
      <c r="P6380">
        <v>-3.2378579999999997E-2</v>
      </c>
      <c r="Q6380">
        <v>-2.3284240000000001E-2</v>
      </c>
      <c r="R6380">
        <v>0.99920439999999999</v>
      </c>
      <c r="S6380">
        <v>-8.5510249999999996E-2</v>
      </c>
      <c r="T6380">
        <v>-0.246586</v>
      </c>
      <c r="U6380">
        <v>2.9938349999999998</v>
      </c>
      <c r="V6380">
        <v>-3.1684440000000001E-2</v>
      </c>
      <c r="W6380">
        <v>-1.7714609999999999E-2</v>
      </c>
      <c r="X6380">
        <v>0.99934100000000003</v>
      </c>
      <c r="Y6380">
        <v>-2.7760460000000001E-2</v>
      </c>
      <c r="Z6380">
        <v>-8.2054150000000006E-2</v>
      </c>
      <c r="AA6380">
        <v>0.99624120000000005</v>
      </c>
      <c r="AB6380">
        <v>31</v>
      </c>
      <c r="AC6380">
        <v>-2.71999999999934E-2</v>
      </c>
      <c r="AD6380">
        <v>-7.8657999999999895E-2</v>
      </c>
      <c r="AE6380">
        <v>0.64273000000000002</v>
      </c>
      <c r="AF6380">
        <v>-2.6359845557006999E-2</v>
      </c>
      <c r="AG6380">
        <v>-7.8657999999999895E-2</v>
      </c>
      <c r="AH6380">
        <v>0.63328094609951502</v>
      </c>
      <c r="AI6380">
        <v>97.0742184763279</v>
      </c>
      <c r="AJ6380">
        <v>92.383518044710897</v>
      </c>
      <c r="AK6380">
        <v>0.63869138017863203</v>
      </c>
      <c r="AL6380">
        <v>91.015025406713306</v>
      </c>
      <c r="AM6380">
        <v>91.815973489428899</v>
      </c>
      <c r="AN6380">
        <v>1.0000000727132801</v>
      </c>
    </row>
    <row r="6381" spans="1:40" x14ac:dyDescent="0.3">
      <c r="A6381" t="str">
        <f>"20200111160632672"</f>
        <v>20200111160632672</v>
      </c>
      <c r="B6381" t="str">
        <f>"1578729992668638"</f>
        <v>1578729992668638</v>
      </c>
      <c r="C6381" t="s">
        <v>40</v>
      </c>
      <c r="D6381">
        <v>5.0158360000000002</v>
      </c>
      <c r="E6381">
        <v>0.50437140000000003</v>
      </c>
      <c r="F6381" t="s">
        <v>42</v>
      </c>
      <c r="G6381">
        <v>-192.06010000000001</v>
      </c>
      <c r="H6381">
        <v>1.028661</v>
      </c>
      <c r="I6381">
        <v>23.369209999999999</v>
      </c>
      <c r="J6381">
        <v>-192.03630000000001</v>
      </c>
      <c r="K6381">
        <v>1.1092949999999999</v>
      </c>
      <c r="L6381">
        <v>22.759219999999999</v>
      </c>
      <c r="M6381">
        <v>-6.8863819999999995E-4</v>
      </c>
      <c r="N6381">
        <v>0</v>
      </c>
      <c r="O6381">
        <v>0.99998370000000003</v>
      </c>
      <c r="P6381">
        <v>-3.1237560000000001E-2</v>
      </c>
      <c r="Q6381">
        <v>-2.4771649999999999E-2</v>
      </c>
      <c r="R6381">
        <v>0.99920500000000001</v>
      </c>
      <c r="S6381">
        <v>-7.8338619999999998E-2</v>
      </c>
      <c r="T6381">
        <v>-0.26273999999999997</v>
      </c>
      <c r="U6381">
        <v>2.9937130000000001</v>
      </c>
      <c r="V6381">
        <v>-3.0549509999999998E-2</v>
      </c>
      <c r="W6381">
        <v>-1.9100430000000002E-2</v>
      </c>
      <c r="X6381">
        <v>0.99935070000000004</v>
      </c>
      <c r="Y6381">
        <v>-2.5370239999999999E-2</v>
      </c>
      <c r="Z6381">
        <v>-8.7398890000000007E-2</v>
      </c>
      <c r="AA6381">
        <v>0.99585029999999997</v>
      </c>
      <c r="AB6381">
        <v>31</v>
      </c>
      <c r="AC6381">
        <v>-2.3799999999994201E-2</v>
      </c>
      <c r="AD6381">
        <v>-8.0634000000000094E-2</v>
      </c>
      <c r="AE6381">
        <v>0.60998999999999604</v>
      </c>
      <c r="AF6381">
        <v>-2.29790017063819E-2</v>
      </c>
      <c r="AG6381">
        <v>-8.0634000000000094E-2</v>
      </c>
      <c r="AH6381">
        <v>0.599545739931582</v>
      </c>
      <c r="AI6381">
        <v>97.654297375775897</v>
      </c>
      <c r="AJ6381">
        <v>92.194921264984004</v>
      </c>
      <c r="AK6381">
        <v>0.60538002175949801</v>
      </c>
      <c r="AL6381">
        <v>91.094440623039304</v>
      </c>
      <c r="AM6381">
        <v>91.750949958336804</v>
      </c>
      <c r="AN6381">
        <v>0.99999996028895599</v>
      </c>
    </row>
    <row r="6382" spans="1:40" x14ac:dyDescent="0.3">
      <c r="A6382" t="str">
        <f>"20200111160632694"</f>
        <v>20200111160632694</v>
      </c>
      <c r="B6382" t="str">
        <f>"1578729992689134"</f>
        <v>1578729992689134</v>
      </c>
      <c r="C6382" t="s">
        <v>40</v>
      </c>
      <c r="D6382">
        <v>4.957427</v>
      </c>
      <c r="E6382">
        <v>0.50485379999999902</v>
      </c>
      <c r="F6382" t="s">
        <v>42</v>
      </c>
      <c r="G6382">
        <v>-192.0574</v>
      </c>
      <c r="H6382">
        <v>1.0252289999999999</v>
      </c>
      <c r="I6382">
        <v>23.64499</v>
      </c>
      <c r="J6382">
        <v>-192.03649999999999</v>
      </c>
      <c r="K6382">
        <v>1.1093</v>
      </c>
      <c r="L6382">
        <v>23.07666</v>
      </c>
      <c r="M6382">
        <v>-6.8053769999999996E-4</v>
      </c>
      <c r="N6382">
        <v>0</v>
      </c>
      <c r="O6382">
        <v>0.99998299999999996</v>
      </c>
      <c r="P6382">
        <v>-2.9687979999999999E-2</v>
      </c>
      <c r="Q6382">
        <v>-2.761479E-2</v>
      </c>
      <c r="R6382">
        <v>0.99917769999999995</v>
      </c>
      <c r="S6382">
        <v>-7.1655269999999993E-2</v>
      </c>
      <c r="T6382">
        <v>-0.28406389999999998</v>
      </c>
      <c r="U6382">
        <v>2.9931030000000001</v>
      </c>
      <c r="V6382">
        <v>-2.9007729999999999E-2</v>
      </c>
      <c r="W6382">
        <v>-2.1823249999999999E-2</v>
      </c>
      <c r="X6382">
        <v>0.99934100000000003</v>
      </c>
      <c r="Y6382">
        <v>-2.3145909999999999E-2</v>
      </c>
      <c r="Z6382">
        <v>-9.4455490000000003E-2</v>
      </c>
      <c r="AA6382">
        <v>0.99526000000000003</v>
      </c>
      <c r="AB6382">
        <v>31</v>
      </c>
      <c r="AC6382">
        <v>-2.09000000000116E-2</v>
      </c>
      <c r="AD6382">
        <v>-8.4070999999999702E-2</v>
      </c>
      <c r="AE6382">
        <v>0.568329999999999</v>
      </c>
      <c r="AF6382">
        <v>-2.0074536629062899E-2</v>
      </c>
      <c r="AG6382">
        <v>-8.4070999999999702E-2</v>
      </c>
      <c r="AH6382">
        <v>0.55618986304113105</v>
      </c>
      <c r="AI6382">
        <v>98.5899774959708</v>
      </c>
      <c r="AJ6382">
        <v>92.067076804449101</v>
      </c>
      <c r="AK6382">
        <v>0.56286595545616702</v>
      </c>
      <c r="AL6382">
        <v>91.250479305719097</v>
      </c>
      <c r="AM6382">
        <v>91.662649641020295</v>
      </c>
      <c r="AN6382">
        <v>1.00000006846065</v>
      </c>
    </row>
    <row r="6383" spans="1:40" x14ac:dyDescent="0.3">
      <c r="A6383" t="str">
        <f>"20200111160632717"</f>
        <v>20200111160632717</v>
      </c>
      <c r="B6383" t="str">
        <f>"1578729992708654"</f>
        <v>1578729992708654</v>
      </c>
      <c r="C6383" t="s">
        <v>40</v>
      </c>
      <c r="D6383">
        <v>4.9834129999999996</v>
      </c>
      <c r="E6383">
        <v>0.50508019999999998</v>
      </c>
      <c r="F6383" t="s">
        <v>42</v>
      </c>
      <c r="G6383">
        <v>-192.05439999999999</v>
      </c>
      <c r="H6383">
        <v>1.024235</v>
      </c>
      <c r="I6383">
        <v>23.92427</v>
      </c>
      <c r="J6383">
        <v>-192.0368</v>
      </c>
      <c r="K6383">
        <v>1.1093090000000001</v>
      </c>
      <c r="L6383">
        <v>23.389769999999999</v>
      </c>
      <c r="M6383">
        <v>-6.7385519999999996E-4</v>
      </c>
      <c r="N6383">
        <v>0</v>
      </c>
      <c r="O6383">
        <v>0.99998220000000004</v>
      </c>
      <c r="P6383">
        <v>-2.7739670000000001E-2</v>
      </c>
      <c r="Q6383">
        <v>-2.9561810000000001E-2</v>
      </c>
      <c r="R6383">
        <v>0.99917800000000001</v>
      </c>
      <c r="S6383">
        <v>-6.3659670000000002E-2</v>
      </c>
      <c r="T6383">
        <v>-0.3002995</v>
      </c>
      <c r="U6383">
        <v>2.9922789999999999</v>
      </c>
      <c r="V6383">
        <v>-2.7066630000000001E-2</v>
      </c>
      <c r="W6383">
        <v>-2.3638590000000001E-2</v>
      </c>
      <c r="X6383">
        <v>0.99935410000000002</v>
      </c>
      <c r="Y6383">
        <v>-2.048985E-2</v>
      </c>
      <c r="Z6383">
        <v>-9.9834809999999996E-2</v>
      </c>
      <c r="AA6383">
        <v>0.99479309999999999</v>
      </c>
      <c r="AB6383">
        <v>31</v>
      </c>
      <c r="AC6383">
        <v>-1.75999999999874E-2</v>
      </c>
      <c r="AD6383">
        <v>-8.5074000000000094E-2</v>
      </c>
      <c r="AE6383">
        <v>0.53449999999999698</v>
      </c>
      <c r="AF6383">
        <v>-1.6814307143787999E-2</v>
      </c>
      <c r="AG6383">
        <v>-8.5074000000000094E-2</v>
      </c>
      <c r="AH6383">
        <v>0.52131911109794604</v>
      </c>
      <c r="AI6383">
        <v>99.263658415628598</v>
      </c>
      <c r="AJ6383">
        <v>91.847342553923696</v>
      </c>
      <c r="AK6383">
        <v>0.52848266007190603</v>
      </c>
      <c r="AL6383">
        <v>91.354517605755504</v>
      </c>
      <c r="AM6383">
        <v>91.5514267007417</v>
      </c>
      <c r="AN6383">
        <v>1.00000000129177</v>
      </c>
    </row>
    <row r="6384" spans="1:40" x14ac:dyDescent="0.3">
      <c r="A6384" t="str">
        <f>"20200111160632740"</f>
        <v>20200111160632740</v>
      </c>
      <c r="B6384" t="str">
        <f>"1578729992729150"</f>
        <v>1578729992729150</v>
      </c>
      <c r="C6384" t="s">
        <v>40</v>
      </c>
      <c r="D6384">
        <v>4.9085720000000004</v>
      </c>
      <c r="E6384">
        <v>0.50527820000000001</v>
      </c>
      <c r="F6384" t="s">
        <v>42</v>
      </c>
      <c r="G6384">
        <v>-192.0521</v>
      </c>
      <c r="H6384">
        <v>1.024737</v>
      </c>
      <c r="I6384">
        <v>24.205100000000002</v>
      </c>
      <c r="J6384">
        <v>-192.03700000000001</v>
      </c>
      <c r="K6384">
        <v>1.1093150000000001</v>
      </c>
      <c r="L6384">
        <v>23.709320000000002</v>
      </c>
      <c r="M6384">
        <v>-6.699198E-4</v>
      </c>
      <c r="N6384">
        <v>0</v>
      </c>
      <c r="O6384">
        <v>0.99998129999999996</v>
      </c>
      <c r="P6384">
        <v>-2.5409930000000001E-2</v>
      </c>
      <c r="Q6384">
        <v>-3.0193939999999999E-2</v>
      </c>
      <c r="R6384">
        <v>0.99922100000000003</v>
      </c>
      <c r="S6384">
        <v>-5.6457519999999997E-2</v>
      </c>
      <c r="T6384">
        <v>-0.31032419999999999</v>
      </c>
      <c r="U6384">
        <v>2.99173</v>
      </c>
      <c r="V6384">
        <v>-2.4741280000000001E-2</v>
      </c>
      <c r="W6384">
        <v>-2.4129600000000001E-2</v>
      </c>
      <c r="X6384">
        <v>0.99940260000000003</v>
      </c>
      <c r="Y6384">
        <v>-1.809736E-2</v>
      </c>
      <c r="Z6384">
        <v>-0.1031562</v>
      </c>
      <c r="AA6384">
        <v>0.99450050000000001</v>
      </c>
      <c r="AB6384">
        <v>31</v>
      </c>
      <c r="AC6384">
        <v>-1.5099999999989599E-2</v>
      </c>
      <c r="AD6384">
        <v>-8.4578E-2</v>
      </c>
      <c r="AE6384">
        <v>0.495779999999999</v>
      </c>
      <c r="AF6384">
        <v>-1.43506000906569E-2</v>
      </c>
      <c r="AG6384">
        <v>-8.4578E-2</v>
      </c>
      <c r="AH6384">
        <v>0.48178173583358802</v>
      </c>
      <c r="AI6384">
        <v>99.952633376277404</v>
      </c>
      <c r="AJ6384">
        <v>91.706137274202703</v>
      </c>
      <c r="AK6384">
        <v>0.489359805041022</v>
      </c>
      <c r="AL6384">
        <v>91.382658487670298</v>
      </c>
      <c r="AM6384">
        <v>91.418128627995102</v>
      </c>
      <c r="AN6384">
        <v>0.999999962709478</v>
      </c>
    </row>
    <row r="6385" spans="1:40" x14ac:dyDescent="0.3">
      <c r="A6385" t="str">
        <f>"20200111160632762"</f>
        <v>20200111160632762</v>
      </c>
      <c r="B6385" t="str">
        <f>"1578729992758986"</f>
        <v>1578729992758986</v>
      </c>
      <c r="C6385" t="s">
        <v>40</v>
      </c>
      <c r="D6385">
        <v>4.901688</v>
      </c>
      <c r="E6385">
        <v>0.50558320000000001</v>
      </c>
      <c r="F6385" t="s">
        <v>42</v>
      </c>
      <c r="G6385">
        <v>-192.04939999999999</v>
      </c>
      <c r="H6385">
        <v>1.027372</v>
      </c>
      <c r="I6385">
        <v>24.487649999999999</v>
      </c>
      <c r="J6385">
        <v>-192.03720000000001</v>
      </c>
      <c r="K6385">
        <v>1.109326</v>
      </c>
      <c r="L6385">
        <v>24.022860000000001</v>
      </c>
      <c r="M6385">
        <v>-6.6865309999999999E-4</v>
      </c>
      <c r="N6385">
        <v>0</v>
      </c>
      <c r="O6385">
        <v>0.99998050000000005</v>
      </c>
      <c r="P6385">
        <v>-2.3860639999999999E-2</v>
      </c>
      <c r="Q6385">
        <v>-3.0608320000000001E-2</v>
      </c>
      <c r="R6385">
        <v>0.99924659999999998</v>
      </c>
      <c r="S6385">
        <v>-4.8049929999999998E-2</v>
      </c>
      <c r="T6385">
        <v>-0.31496170000000001</v>
      </c>
      <c r="U6385">
        <v>2.9916079999999998</v>
      </c>
      <c r="V6385">
        <v>-2.319326E-2</v>
      </c>
      <c r="W6385">
        <v>-2.4406600000000001E-2</v>
      </c>
      <c r="X6385">
        <v>0.99943300000000002</v>
      </c>
      <c r="Y6385">
        <v>-1.5302670000000001E-2</v>
      </c>
      <c r="Z6385">
        <v>-0.1046903</v>
      </c>
      <c r="AA6385">
        <v>0.99438709999999997</v>
      </c>
      <c r="AB6385">
        <v>31</v>
      </c>
      <c r="AC6385">
        <v>-1.2199999999978599E-2</v>
      </c>
      <c r="AD6385">
        <v>-8.1953999999999999E-2</v>
      </c>
      <c r="AE6385">
        <v>0.46478999999999698</v>
      </c>
      <c r="AF6385">
        <v>-1.15309525395459E-2</v>
      </c>
      <c r="AG6385">
        <v>-8.1953999999999999E-2</v>
      </c>
      <c r="AH6385">
        <v>0.45079237370129199</v>
      </c>
      <c r="AI6385">
        <v>100.300534365109</v>
      </c>
      <c r="AJ6385">
        <v>91.465266308948898</v>
      </c>
      <c r="AK6385">
        <v>0.45832650498276301</v>
      </c>
      <c r="AL6385">
        <v>91.398534090973598</v>
      </c>
      <c r="AM6385">
        <v>91.329391203026105</v>
      </c>
      <c r="AN6385">
        <v>0.99999996546099301</v>
      </c>
    </row>
    <row r="6386" spans="1:40" x14ac:dyDescent="0.3">
      <c r="A6386" t="str">
        <f>"20200111160632782"</f>
        <v>20200111160632782</v>
      </c>
      <c r="B6386" t="str">
        <f>"1578729992778506"</f>
        <v>1578729992778506</v>
      </c>
      <c r="C6386" t="s">
        <v>40</v>
      </c>
      <c r="D6386">
        <v>5.2190409999999998</v>
      </c>
      <c r="E6386">
        <v>0.5056273</v>
      </c>
      <c r="F6386" t="s">
        <v>42</v>
      </c>
      <c r="G6386">
        <v>-192.04730000000001</v>
      </c>
      <c r="H6386">
        <v>1.030578</v>
      </c>
      <c r="I6386">
        <v>24.771229999999999</v>
      </c>
      <c r="J6386">
        <v>-192.03739999999999</v>
      </c>
      <c r="K6386">
        <v>1.1093379999999999</v>
      </c>
      <c r="L6386">
        <v>24.314060000000001</v>
      </c>
      <c r="M6386">
        <v>-6.6891569999999998E-4</v>
      </c>
      <c r="N6386">
        <v>0</v>
      </c>
      <c r="O6386">
        <v>0.99997970000000003</v>
      </c>
      <c r="P6386">
        <v>-2.2720279999999999E-2</v>
      </c>
      <c r="Q6386">
        <v>-3.0574270000000001E-2</v>
      </c>
      <c r="R6386">
        <v>0.99927429999999995</v>
      </c>
      <c r="S6386">
        <v>-4.058838E-2</v>
      </c>
      <c r="T6386">
        <v>-0.31480029999999998</v>
      </c>
      <c r="U6386">
        <v>2.991638</v>
      </c>
      <c r="V6386">
        <v>-2.205242E-2</v>
      </c>
      <c r="W6386">
        <v>-2.424751E-2</v>
      </c>
      <c r="X6386">
        <v>0.99946270000000004</v>
      </c>
      <c r="Y6386">
        <v>-1.2822679999999999E-2</v>
      </c>
      <c r="Z6386">
        <v>-0.10463989999999999</v>
      </c>
      <c r="AA6386">
        <v>0.99442750000000002</v>
      </c>
      <c r="AB6386">
        <v>31</v>
      </c>
      <c r="AC6386">
        <v>-9.9000000000160002E-3</v>
      </c>
      <c r="AD6386">
        <v>-7.87599999999999E-2</v>
      </c>
      <c r="AE6386">
        <v>0.45716999999999702</v>
      </c>
      <c r="AF6386">
        <v>-9.3177668073108101E-3</v>
      </c>
      <c r="AG6386">
        <v>-7.87599999999999E-2</v>
      </c>
      <c r="AH6386">
        <v>0.444004872768749</v>
      </c>
      <c r="AI6386">
        <v>100.056636922425</v>
      </c>
      <c r="AJ6386">
        <v>91.202217349174603</v>
      </c>
      <c r="AK6386">
        <v>0.45103246603838698</v>
      </c>
      <c r="AL6386">
        <v>91.389416200607599</v>
      </c>
      <c r="AM6386">
        <v>91.263984753699305</v>
      </c>
      <c r="AN6386">
        <v>0.99999996983017203</v>
      </c>
    </row>
    <row r="6387" spans="1:40" x14ac:dyDescent="0.3">
      <c r="A6387" t="str">
        <f>"20200111160632805"</f>
        <v>20200111160632805</v>
      </c>
      <c r="B6387" t="str">
        <f>"1578729992799002"</f>
        <v>1578729992799002</v>
      </c>
      <c r="C6387" t="s">
        <v>40</v>
      </c>
      <c r="D6387">
        <v>5.2665660000000001</v>
      </c>
      <c r="E6387">
        <v>0.50587459999999995</v>
      </c>
      <c r="F6387" t="s">
        <v>42</v>
      </c>
      <c r="G6387">
        <v>-192.04640000000001</v>
      </c>
      <c r="H6387">
        <v>1.0310699999999999</v>
      </c>
      <c r="I6387">
        <v>25.054189999999998</v>
      </c>
      <c r="J6387">
        <v>-192.0376</v>
      </c>
      <c r="K6387">
        <v>1.109345</v>
      </c>
      <c r="L6387">
        <v>24.638120000000001</v>
      </c>
      <c r="M6387">
        <v>-6.6980360000000005E-4</v>
      </c>
      <c r="N6387">
        <v>0</v>
      </c>
      <c r="O6387">
        <v>0.99997879999999995</v>
      </c>
      <c r="P6387">
        <v>-2.238041E-2</v>
      </c>
      <c r="Q6387">
        <v>-3.062815E-2</v>
      </c>
      <c r="R6387">
        <v>0.99928030000000001</v>
      </c>
      <c r="S6387">
        <v>-3.7063600000000002E-2</v>
      </c>
      <c r="T6387">
        <v>-0.31636219999999998</v>
      </c>
      <c r="U6387">
        <v>2.9916689999999999</v>
      </c>
      <c r="V6387">
        <v>-2.1711709999999999E-2</v>
      </c>
      <c r="W6387">
        <v>-2.4163250000000001E-2</v>
      </c>
      <c r="X6387">
        <v>0.99947220000000003</v>
      </c>
      <c r="Y6387">
        <v>-1.164954E-2</v>
      </c>
      <c r="Z6387">
        <v>-0.10515380000000001</v>
      </c>
      <c r="AA6387">
        <v>0.99438769999999999</v>
      </c>
      <c r="AB6387">
        <v>32</v>
      </c>
      <c r="AC6387">
        <v>-8.8000000000079091E-3</v>
      </c>
      <c r="AD6387">
        <v>-7.8274999999999803E-2</v>
      </c>
      <c r="AE6387">
        <v>0.416069999999997</v>
      </c>
      <c r="AF6387">
        <v>-8.2301502360382101E-3</v>
      </c>
      <c r="AG6387">
        <v>-7.8274999999999803E-2</v>
      </c>
      <c r="AH6387">
        <v>0.40185928681704097</v>
      </c>
      <c r="AI6387">
        <v>101.01992742287401</v>
      </c>
      <c r="AJ6387">
        <v>91.173263817244703</v>
      </c>
      <c r="AK6387">
        <v>0.409494319129104</v>
      </c>
      <c r="AL6387">
        <v>91.384587043228095</v>
      </c>
      <c r="AM6387">
        <v>91.244450547383494</v>
      </c>
      <c r="AN6387">
        <v>0.99999996978726202</v>
      </c>
    </row>
    <row r="6388" spans="1:40" x14ac:dyDescent="0.3">
      <c r="A6388" t="str">
        <f>"20200111160632828"</f>
        <v>20200111160632828</v>
      </c>
      <c r="B6388" t="str">
        <f>"1578729992818523"</f>
        <v>1578729992818523</v>
      </c>
      <c r="C6388" t="s">
        <v>40</v>
      </c>
      <c r="D6388">
        <v>4.8976470000000001</v>
      </c>
      <c r="E6388">
        <v>0.50644809999999996</v>
      </c>
      <c r="F6388" t="s">
        <v>42</v>
      </c>
      <c r="G6388">
        <v>-192.04849999999999</v>
      </c>
      <c r="H6388">
        <v>1.006894</v>
      </c>
      <c r="I6388">
        <v>25.610109999999999</v>
      </c>
      <c r="J6388">
        <v>-192.0378</v>
      </c>
      <c r="K6388">
        <v>1.109353</v>
      </c>
      <c r="L6388">
        <v>24.954409999999999</v>
      </c>
      <c r="M6388">
        <v>-6.706867E-4</v>
      </c>
      <c r="N6388">
        <v>0</v>
      </c>
      <c r="O6388">
        <v>0.99997800000000003</v>
      </c>
      <c r="P6388">
        <v>-2.2017680000000001E-2</v>
      </c>
      <c r="Q6388">
        <v>-3.1430670000000001E-2</v>
      </c>
      <c r="R6388">
        <v>0.99926340000000002</v>
      </c>
      <c r="S6388">
        <v>-3.3935550000000002E-2</v>
      </c>
      <c r="T6388">
        <v>-0.31534250000000003</v>
      </c>
      <c r="U6388">
        <v>2.99173</v>
      </c>
      <c r="V6388">
        <v>-2.1348200000000001E-2</v>
      </c>
      <c r="W6388">
        <v>-2.4832300000000002E-2</v>
      </c>
      <c r="X6388">
        <v>0.99946369999999896</v>
      </c>
      <c r="Y6388">
        <v>-1.0609250000000001E-2</v>
      </c>
      <c r="Z6388">
        <v>-0.1048177</v>
      </c>
      <c r="AA6388">
        <v>0.99443479999999995</v>
      </c>
      <c r="AB6388">
        <v>32</v>
      </c>
      <c r="AC6388">
        <v>-1.06999999999857E-2</v>
      </c>
      <c r="AD6388">
        <v>-0.10245899999999999</v>
      </c>
      <c r="AE6388">
        <v>0.65569999999999895</v>
      </c>
      <c r="AF6388">
        <v>-1.00157311227656E-2</v>
      </c>
      <c r="AG6388">
        <v>-0.10245899999999999</v>
      </c>
      <c r="AH6388">
        <v>0.64008238609298496</v>
      </c>
      <c r="AI6388">
        <v>99.093181288931603</v>
      </c>
      <c r="AJ6388">
        <v>90.896466307550597</v>
      </c>
      <c r="AK6388">
        <v>0.64830827739387398</v>
      </c>
      <c r="AL6388">
        <v>91.422932197036502</v>
      </c>
      <c r="AM6388">
        <v>91.223632028613096</v>
      </c>
      <c r="AN6388">
        <v>1.0000000381920999</v>
      </c>
    </row>
    <row r="6389" spans="1:40" x14ac:dyDescent="0.3">
      <c r="A6389" t="str">
        <f>"20200111160632851"</f>
        <v>20200111160632851</v>
      </c>
      <c r="B6389" t="str">
        <f>"1578729992848782"</f>
        <v>1578729992848782</v>
      </c>
      <c r="C6389" t="s">
        <v>40</v>
      </c>
      <c r="D6389">
        <v>4.8867929999999999</v>
      </c>
      <c r="E6389">
        <v>0.51588670000000003</v>
      </c>
      <c r="F6389" t="s">
        <v>42</v>
      </c>
      <c r="G6389">
        <v>-192.04679999999999</v>
      </c>
      <c r="H6389">
        <v>1.010194</v>
      </c>
      <c r="I6389">
        <v>25.896350000000002</v>
      </c>
      <c r="J6389">
        <v>-192.03800000000001</v>
      </c>
      <c r="K6389">
        <v>1.1093649999999999</v>
      </c>
      <c r="L6389">
        <v>25.2883</v>
      </c>
      <c r="M6389">
        <v>-6.7151669999999995E-4</v>
      </c>
      <c r="N6389">
        <v>0</v>
      </c>
      <c r="O6389">
        <v>0.99997709999999995</v>
      </c>
      <c r="P6389">
        <v>-2.1760680000000001E-2</v>
      </c>
      <c r="Q6389">
        <v>-3.150236E-2</v>
      </c>
      <c r="R6389">
        <v>0.99926669999999995</v>
      </c>
      <c r="S6389">
        <v>-2.8457639999999999E-2</v>
      </c>
      <c r="T6389">
        <v>-0.3149285</v>
      </c>
      <c r="U6389">
        <v>2.9916689999999999</v>
      </c>
      <c r="V6389">
        <v>-2.1090399999999999E-2</v>
      </c>
      <c r="W6389">
        <v>-2.4768680000000001E-2</v>
      </c>
      <c r="X6389">
        <v>0.99947070000000005</v>
      </c>
      <c r="Y6389">
        <v>-8.7881000000000001E-3</v>
      </c>
      <c r="Z6389">
        <v>-0.10468570000000001</v>
      </c>
      <c r="AA6389">
        <v>0.99446650000000003</v>
      </c>
      <c r="AB6389">
        <v>32</v>
      </c>
      <c r="AC6389">
        <v>-8.8000000000079091E-3</v>
      </c>
      <c r="AD6389">
        <v>-9.9170999999999898E-2</v>
      </c>
      <c r="AE6389">
        <v>0.60805000000000198</v>
      </c>
      <c r="AF6389">
        <v>-8.1742781748510799E-3</v>
      </c>
      <c r="AG6389">
        <v>-9.9170999999999898E-2</v>
      </c>
      <c r="AH6389">
        <v>0.592303467114358</v>
      </c>
      <c r="AI6389">
        <v>99.504135551257207</v>
      </c>
      <c r="AJ6389">
        <v>90.790678992872998</v>
      </c>
      <c r="AK6389">
        <v>0.60060394872192602</v>
      </c>
      <c r="AL6389">
        <v>91.419285991798802</v>
      </c>
      <c r="AM6389">
        <v>91.208851445304504</v>
      </c>
      <c r="AN6389">
        <v>0.99999998631979603</v>
      </c>
    </row>
    <row r="6390" spans="1:40" x14ac:dyDescent="0.3">
      <c r="A6390" t="str">
        <f>"20200111160632875"</f>
        <v>20200111160632875</v>
      </c>
      <c r="B6390" t="str">
        <f>"1578729992869278"</f>
        <v>1578729992869278</v>
      </c>
      <c r="C6390" t="s">
        <v>40</v>
      </c>
      <c r="D6390">
        <v>4.8817259999999996</v>
      </c>
      <c r="E6390">
        <v>0.5151694</v>
      </c>
      <c r="F6390" t="s">
        <v>42</v>
      </c>
      <c r="G6390">
        <v>-192.0213</v>
      </c>
      <c r="H6390">
        <v>1.0461129999999901</v>
      </c>
      <c r="I6390">
        <v>26.200620000000001</v>
      </c>
      <c r="J6390">
        <v>-192.03829999999999</v>
      </c>
      <c r="K6390">
        <v>1.10938</v>
      </c>
      <c r="L6390">
        <v>25.621459999999999</v>
      </c>
      <c r="M6390">
        <v>-6.7243879999999998E-4</v>
      </c>
      <c r="N6390">
        <v>0</v>
      </c>
      <c r="O6390">
        <v>0.99997619999999998</v>
      </c>
      <c r="P6390">
        <v>-2.1683629999999999E-2</v>
      </c>
      <c r="Q6390">
        <v>-3.1450640000000002E-2</v>
      </c>
      <c r="R6390">
        <v>0.99927010000000005</v>
      </c>
      <c r="S6390">
        <v>5.4565429999999998E-2</v>
      </c>
      <c r="T6390">
        <v>-0.2077833</v>
      </c>
      <c r="U6390">
        <v>2.996826</v>
      </c>
      <c r="V6390">
        <v>-2.1012340000000001E-2</v>
      </c>
      <c r="W6390">
        <v>-2.4585610000000001E-2</v>
      </c>
      <c r="X6390">
        <v>0.9994769</v>
      </c>
      <c r="Y6390">
        <v>1.883348E-2</v>
      </c>
      <c r="Z6390">
        <v>-6.9156529999999994E-2</v>
      </c>
      <c r="AA6390">
        <v>0.99742810000000004</v>
      </c>
      <c r="AB6390">
        <v>32</v>
      </c>
      <c r="AC6390">
        <v>1.69999999999959E-2</v>
      </c>
      <c r="AD6390">
        <v>-6.3267000000000101E-2</v>
      </c>
      <c r="AE6390">
        <v>0.57916000000000101</v>
      </c>
      <c r="AF6390">
        <v>1.7184564469735299E-2</v>
      </c>
      <c r="AG6390">
        <v>-6.3267000000000101E-2</v>
      </c>
      <c r="AH6390">
        <v>0.57232464518634196</v>
      </c>
      <c r="AI6390">
        <v>96.305268708070798</v>
      </c>
      <c r="AJ6390">
        <v>88.280159182547607</v>
      </c>
      <c r="AK6390">
        <v>0.57606728950070296</v>
      </c>
      <c r="AL6390">
        <v>91.408793607608104</v>
      </c>
      <c r="AM6390">
        <v>91.204371083658899</v>
      </c>
      <c r="AN6390">
        <v>1.0000000221424701</v>
      </c>
    </row>
    <row r="6391" spans="1:40" x14ac:dyDescent="0.3">
      <c r="A6391" t="str">
        <f>"20200111160632896"</f>
        <v>20200111160632896</v>
      </c>
      <c r="B6391" t="str">
        <f>"1578729992888797"</f>
        <v>1578729992888797</v>
      </c>
      <c r="C6391" t="s">
        <v>40</v>
      </c>
      <c r="D6391">
        <v>4.9869409999999998</v>
      </c>
      <c r="E6391">
        <v>0.51453779999999905</v>
      </c>
      <c r="F6391" t="s">
        <v>42</v>
      </c>
      <c r="G6391">
        <v>-192.02430000000001</v>
      </c>
      <c r="H6391">
        <v>1.045356</v>
      </c>
      <c r="I6391">
        <v>26.486319999999999</v>
      </c>
      <c r="J6391">
        <v>-192.0385</v>
      </c>
      <c r="K6391">
        <v>1.109389</v>
      </c>
      <c r="L6391">
        <v>25.929320000000001</v>
      </c>
      <c r="M6391">
        <v>-6.7316539999999904E-4</v>
      </c>
      <c r="N6391">
        <v>0</v>
      </c>
      <c r="O6391">
        <v>0.99997539999999996</v>
      </c>
      <c r="P6391">
        <v>-2.2257329999999999E-2</v>
      </c>
      <c r="Q6391">
        <v>-3.1452140000000003E-2</v>
      </c>
      <c r="R6391">
        <v>0.99925739999999996</v>
      </c>
      <c r="S6391">
        <v>4.8156740000000003E-2</v>
      </c>
      <c r="T6391">
        <v>-0.22180559999999999</v>
      </c>
      <c r="U6391">
        <v>2.9962460000000002</v>
      </c>
      <c r="V6391">
        <v>-2.1585730000000001E-2</v>
      </c>
      <c r="W6391">
        <v>-2.4469299999999999E-2</v>
      </c>
      <c r="X6391">
        <v>0.99946749999999995</v>
      </c>
      <c r="Y6391">
        <v>1.6699530000000001E-2</v>
      </c>
      <c r="Z6391">
        <v>-7.3815909999999998E-2</v>
      </c>
      <c r="AA6391">
        <v>0.99713209999999997</v>
      </c>
      <c r="AB6391">
        <v>32</v>
      </c>
      <c r="AC6391">
        <v>1.4199999999988199E-2</v>
      </c>
      <c r="AD6391">
        <v>-6.4033000000000007E-2</v>
      </c>
      <c r="AE6391">
        <v>0.55700000000000205</v>
      </c>
      <c r="AF6391">
        <v>1.4384971929959099E-2</v>
      </c>
      <c r="AG6391">
        <v>-6.4033000000000007E-2</v>
      </c>
      <c r="AH6391">
        <v>0.54972984924194301</v>
      </c>
      <c r="AI6391">
        <v>96.641668100366999</v>
      </c>
      <c r="AJ6391">
        <v>88.501063493957204</v>
      </c>
      <c r="AK6391">
        <v>0.55363350662147903</v>
      </c>
      <c r="AL6391">
        <v>91.402127579519501</v>
      </c>
      <c r="AM6391">
        <v>91.237237816302795</v>
      </c>
      <c r="AN6391">
        <v>0.99999998696918602</v>
      </c>
    </row>
    <row r="6392" spans="1:40" x14ac:dyDescent="0.3">
      <c r="A6392" t="str">
        <f>"20200111160632918"</f>
        <v>20200111160632918</v>
      </c>
      <c r="B6392" t="str">
        <f>"1578729992909294"</f>
        <v>1578729992909294</v>
      </c>
      <c r="C6392" t="s">
        <v>40</v>
      </c>
      <c r="D6392">
        <v>4.9164789999999998</v>
      </c>
      <c r="E6392">
        <v>0.51418430000000004</v>
      </c>
      <c r="F6392" t="s">
        <v>42</v>
      </c>
      <c r="G6392">
        <v>-192.02709999999999</v>
      </c>
      <c r="H6392">
        <v>1.042141</v>
      </c>
      <c r="I6392">
        <v>26.77045</v>
      </c>
      <c r="J6392">
        <v>-192.03870000000001</v>
      </c>
      <c r="K6392">
        <v>1.1094010000000001</v>
      </c>
      <c r="L6392">
        <v>26.245239999999999</v>
      </c>
      <c r="M6392">
        <v>-6.7377589999999905E-4</v>
      </c>
      <c r="N6392">
        <v>0</v>
      </c>
      <c r="O6392">
        <v>0.99997449999999999</v>
      </c>
      <c r="P6392">
        <v>-2.2846950000000001E-2</v>
      </c>
      <c r="Q6392">
        <v>-3.1014079999999999E-2</v>
      </c>
      <c r="R6392">
        <v>0.99925779999999997</v>
      </c>
      <c r="S6392">
        <v>4.0313719999999997E-2</v>
      </c>
      <c r="T6392">
        <v>-0.23949709999999999</v>
      </c>
      <c r="U6392">
        <v>2.9955750000000001</v>
      </c>
      <c r="V6392">
        <v>-2.2174599999999999E-2</v>
      </c>
      <c r="W6392">
        <v>-2.391478E-2</v>
      </c>
      <c r="X6392">
        <v>0.99946800000000002</v>
      </c>
      <c r="Y6392">
        <v>1.4087479999999999E-2</v>
      </c>
      <c r="Z6392">
        <v>-7.9688439999999999E-2</v>
      </c>
      <c r="AA6392">
        <v>0.9967203</v>
      </c>
      <c r="AB6392">
        <v>32</v>
      </c>
      <c r="AC6392">
        <v>1.1600000000015501E-2</v>
      </c>
      <c r="AD6392">
        <v>-6.7260000000000097E-2</v>
      </c>
      <c r="AE6392">
        <v>0.52520999999999696</v>
      </c>
      <c r="AF6392">
        <v>1.17610905757299E-2</v>
      </c>
      <c r="AG6392">
        <v>-6.7260000000000097E-2</v>
      </c>
      <c r="AH6392">
        <v>0.51673172028135095</v>
      </c>
      <c r="AI6392">
        <v>97.414267882897093</v>
      </c>
      <c r="AJ6392">
        <v>88.696142505990295</v>
      </c>
      <c r="AK6392">
        <v>0.52122346608384196</v>
      </c>
      <c r="AL6392">
        <v>91.370346663728995</v>
      </c>
      <c r="AM6392">
        <v>91.270978750677401</v>
      </c>
      <c r="AN6392">
        <v>0.99999995630580296</v>
      </c>
    </row>
    <row r="6393" spans="1:40" x14ac:dyDescent="0.3">
      <c r="A6393" t="str">
        <f>"20200111160632940"</f>
        <v>20200111160632940</v>
      </c>
      <c r="B6393" t="str">
        <f>"1578729992928816"</f>
        <v>1578729992928816</v>
      </c>
      <c r="C6393" t="s">
        <v>40</v>
      </c>
      <c r="D6393">
        <v>4.9372509999999998</v>
      </c>
      <c r="E6393">
        <v>0.51374179999999903</v>
      </c>
      <c r="F6393" t="s">
        <v>42</v>
      </c>
      <c r="G6393">
        <v>-192.0291</v>
      </c>
      <c r="H6393">
        <v>1.0421990000000001</v>
      </c>
      <c r="I6393">
        <v>27.057950000000002</v>
      </c>
      <c r="J6393">
        <v>-192.03890000000001</v>
      </c>
      <c r="K6393">
        <v>1.1094040000000001</v>
      </c>
      <c r="L6393">
        <v>26.558589999999999</v>
      </c>
      <c r="M6393">
        <v>-6.741227E-4</v>
      </c>
      <c r="N6393">
        <v>0</v>
      </c>
      <c r="O6393">
        <v>0.99997380000000002</v>
      </c>
      <c r="P6393">
        <v>-2.3204010000000001E-2</v>
      </c>
      <c r="Q6393">
        <v>-3.058555E-2</v>
      </c>
      <c r="R6393">
        <v>0.99926280000000001</v>
      </c>
      <c r="S6393">
        <v>3.5034179999999998E-2</v>
      </c>
      <c r="T6393">
        <v>-0.24768670000000001</v>
      </c>
      <c r="U6393">
        <v>2.9953310000000002</v>
      </c>
      <c r="V6393">
        <v>-2.2531369999999998E-2</v>
      </c>
      <c r="W6393">
        <v>-2.337608E-2</v>
      </c>
      <c r="X6393">
        <v>0.99947280000000005</v>
      </c>
      <c r="Y6393">
        <v>1.232978E-2</v>
      </c>
      <c r="Z6393">
        <v>-8.2403710000000005E-2</v>
      </c>
      <c r="AA6393">
        <v>0.99652280000000004</v>
      </c>
      <c r="AB6393">
        <v>32</v>
      </c>
      <c r="AC6393">
        <v>9.8000000000126805E-3</v>
      </c>
      <c r="AD6393">
        <v>-6.7205000000000098E-2</v>
      </c>
      <c r="AE6393">
        <v>0.49935999999999903</v>
      </c>
      <c r="AF6393">
        <v>9.9563721982336394E-3</v>
      </c>
      <c r="AG6393">
        <v>-6.7205000000000098E-2</v>
      </c>
      <c r="AH6393">
        <v>0.49047306263114598</v>
      </c>
      <c r="AI6393">
        <v>97.8005395513716</v>
      </c>
      <c r="AJ6393">
        <v>88.837082374847895</v>
      </c>
      <c r="AK6393">
        <v>0.49515600222467798</v>
      </c>
      <c r="AL6393">
        <v>91.339472747213705</v>
      </c>
      <c r="AM6393">
        <v>91.291414621471304</v>
      </c>
      <c r="AN6393">
        <v>0.99999999084504099</v>
      </c>
    </row>
    <row r="6394" spans="1:40" x14ac:dyDescent="0.3">
      <c r="A6394" t="str">
        <f>"20200111160632963"</f>
        <v>20200111160632963</v>
      </c>
      <c r="B6394" t="str">
        <f>"1578729992959069"</f>
        <v>1578729992959069</v>
      </c>
      <c r="C6394" t="s">
        <v>40</v>
      </c>
      <c r="D6394">
        <v>5.0078740000000002</v>
      </c>
      <c r="E6394">
        <v>0.51318279999999905</v>
      </c>
      <c r="F6394" t="s">
        <v>42</v>
      </c>
      <c r="G6394">
        <v>-192.0309</v>
      </c>
      <c r="H6394">
        <v>1.043005</v>
      </c>
      <c r="I6394">
        <v>27.34665</v>
      </c>
      <c r="J6394">
        <v>-192.03909999999999</v>
      </c>
      <c r="K6394">
        <v>1.109407</v>
      </c>
      <c r="L6394">
        <v>26.89725</v>
      </c>
      <c r="M6394">
        <v>-6.7454769999999997E-4</v>
      </c>
      <c r="N6394">
        <v>0</v>
      </c>
      <c r="O6394">
        <v>0.99997290000000005</v>
      </c>
      <c r="P6394">
        <v>-2.3274159999999999E-2</v>
      </c>
      <c r="Q6394">
        <v>-3.1944769999999997E-2</v>
      </c>
      <c r="R6394">
        <v>0.99921859999999996</v>
      </c>
      <c r="S6394">
        <v>3.0059809999999999E-2</v>
      </c>
      <c r="T6394">
        <v>-0.25236039999999998</v>
      </c>
      <c r="U6394">
        <v>2.9951780000000001</v>
      </c>
      <c r="V6394">
        <v>-2.2600760000000001E-2</v>
      </c>
      <c r="W6394">
        <v>-2.4625149999999998E-2</v>
      </c>
      <c r="X6394">
        <v>0.99944129999999998</v>
      </c>
      <c r="Y6394">
        <v>1.0674660000000001E-2</v>
      </c>
      <c r="Z6394">
        <v>-8.3953539999999993E-2</v>
      </c>
      <c r="AA6394">
        <v>0.99641250000000003</v>
      </c>
      <c r="AB6394">
        <v>32</v>
      </c>
      <c r="AC6394">
        <v>8.1999999999879895E-3</v>
      </c>
      <c r="AD6394">
        <v>-6.6402000000000003E-2</v>
      </c>
      <c r="AE6394">
        <v>0.44940000000000002</v>
      </c>
      <c r="AF6394">
        <v>8.3215316904482802E-3</v>
      </c>
      <c r="AG6394">
        <v>-6.6402000000000003E-2</v>
      </c>
      <c r="AH6394">
        <v>0.43979587950979798</v>
      </c>
      <c r="AI6394">
        <v>98.584364456827899</v>
      </c>
      <c r="AJ6394">
        <v>88.916015861399998</v>
      </c>
      <c r="AK6394">
        <v>0.444858279823442</v>
      </c>
      <c r="AL6394">
        <v>91.411059726279206</v>
      </c>
      <c r="AM6394">
        <v>91.295431259695803</v>
      </c>
      <c r="AN6394">
        <v>1.00000005225539</v>
      </c>
    </row>
    <row r="6395" spans="1:40" x14ac:dyDescent="0.3">
      <c r="A6395" t="str">
        <f>"20200111160632985"</f>
        <v>20200111160632985</v>
      </c>
      <c r="B6395" t="str">
        <f>"1578729992978589"</f>
        <v>1578729992978589</v>
      </c>
      <c r="C6395" t="s">
        <v>40</v>
      </c>
      <c r="D6395">
        <v>5.0198109999999998</v>
      </c>
      <c r="E6395">
        <v>0.513046</v>
      </c>
      <c r="F6395" t="s">
        <v>42</v>
      </c>
      <c r="G6395">
        <v>-192.03290000000001</v>
      </c>
      <c r="H6395">
        <v>1.0449329999999999</v>
      </c>
      <c r="I6395">
        <v>27.636949999999999</v>
      </c>
      <c r="J6395">
        <v>-192.0394</v>
      </c>
      <c r="K6395">
        <v>1.1094120000000001</v>
      </c>
      <c r="L6395">
        <v>27.212489999999999</v>
      </c>
      <c r="M6395">
        <v>-6.7496859999999995E-4</v>
      </c>
      <c r="N6395">
        <v>0</v>
      </c>
      <c r="O6395">
        <v>0.99997230000000004</v>
      </c>
      <c r="P6395">
        <v>-2.3384820000000001E-2</v>
      </c>
      <c r="Q6395">
        <v>-3.320915E-2</v>
      </c>
      <c r="R6395">
        <v>0.99917480000000003</v>
      </c>
      <c r="S6395">
        <v>2.505493E-2</v>
      </c>
      <c r="T6395">
        <v>-0.26101390000000002</v>
      </c>
      <c r="U6395">
        <v>2.9945979999999999</v>
      </c>
      <c r="V6395">
        <v>-2.2711599999999998E-2</v>
      </c>
      <c r="W6395">
        <v>-2.5797179999999999E-2</v>
      </c>
      <c r="X6395">
        <v>0.9994092</v>
      </c>
      <c r="Y6395">
        <v>9.0097800000000002E-3</v>
      </c>
      <c r="Z6395">
        <v>-8.682906E-2</v>
      </c>
      <c r="AA6395">
        <v>0.99618249999999997</v>
      </c>
      <c r="AB6395">
        <v>32</v>
      </c>
      <c r="AC6395">
        <v>6.4999999999883996E-3</v>
      </c>
      <c r="AD6395">
        <v>-6.4479000000000106E-2</v>
      </c>
      <c r="AE6395">
        <v>0.42445999999999601</v>
      </c>
      <c r="AF6395">
        <v>6.6334647312824204E-3</v>
      </c>
      <c r="AG6395">
        <v>-6.4479000000000106E-2</v>
      </c>
      <c r="AH6395">
        <v>0.41488384539574902</v>
      </c>
      <c r="AI6395">
        <v>98.832816980874696</v>
      </c>
      <c r="AJ6395">
        <v>89.083991447439701</v>
      </c>
      <c r="AK6395">
        <v>0.41991683636847099</v>
      </c>
      <c r="AL6395">
        <v>91.478233483055007</v>
      </c>
      <c r="AM6395">
        <v>91.301824007908394</v>
      </c>
      <c r="AN6395">
        <v>1.00000003015757</v>
      </c>
    </row>
    <row r="6396" spans="1:40" x14ac:dyDescent="0.3">
      <c r="A6396" t="str">
        <f>"20200111160633008"</f>
        <v>20200111160633008</v>
      </c>
      <c r="B6396" t="str">
        <f>"1578729992999086"</f>
        <v>1578729992999086</v>
      </c>
      <c r="C6396" t="s">
        <v>40</v>
      </c>
      <c r="D6396">
        <v>5.1141050000000003</v>
      </c>
      <c r="E6396">
        <v>0.51291409999999904</v>
      </c>
      <c r="F6396" t="s">
        <v>42</v>
      </c>
      <c r="G6396">
        <v>-192.0316</v>
      </c>
      <c r="H6396">
        <v>1.0210669999999999</v>
      </c>
      <c r="I6396">
        <v>28.20083</v>
      </c>
      <c r="J6396">
        <v>-192.03960000000001</v>
      </c>
      <c r="K6396">
        <v>1.1094139999999999</v>
      </c>
      <c r="L6396">
        <v>27.539490000000001</v>
      </c>
      <c r="M6396">
        <v>-6.7547979999999896E-4</v>
      </c>
      <c r="N6396">
        <v>0</v>
      </c>
      <c r="O6396">
        <v>0.99997159999999996</v>
      </c>
      <c r="P6396">
        <v>-2.333375E-2</v>
      </c>
      <c r="Q6396">
        <v>-3.3533920000000002E-2</v>
      </c>
      <c r="R6396">
        <v>0.99916519999999998</v>
      </c>
      <c r="S6396">
        <v>2.3345950000000001E-2</v>
      </c>
      <c r="T6396">
        <v>-0.26763740000000003</v>
      </c>
      <c r="U6396">
        <v>2.9941409999999999</v>
      </c>
      <c r="V6396">
        <v>-2.2659990000000001E-2</v>
      </c>
      <c r="W6396">
        <v>-2.6035579999999999E-2</v>
      </c>
      <c r="X6396">
        <v>0.99940410000000002</v>
      </c>
      <c r="Y6396">
        <v>8.4414889999999999E-3</v>
      </c>
      <c r="Z6396">
        <v>-8.90291E-2</v>
      </c>
      <c r="AA6396">
        <v>0.99599329999999997</v>
      </c>
      <c r="AB6396">
        <v>32</v>
      </c>
      <c r="AC6396">
        <v>8.0000000000097701E-3</v>
      </c>
      <c r="AD6396">
        <v>-8.8346999999999898E-2</v>
      </c>
      <c r="AE6396">
        <v>0.66133999999999904</v>
      </c>
      <c r="AF6396">
        <v>8.2986587135356893E-3</v>
      </c>
      <c r="AG6396">
        <v>-8.8346999999999898E-2</v>
      </c>
      <c r="AH6396">
        <v>0.64974104595023996</v>
      </c>
      <c r="AI6396">
        <v>97.742547098059703</v>
      </c>
      <c r="AJ6396">
        <v>89.268243448059295</v>
      </c>
      <c r="AK6396">
        <v>0.65577243532947904</v>
      </c>
      <c r="AL6396">
        <v>91.491897519312602</v>
      </c>
      <c r="AM6396">
        <v>91.298873374318404</v>
      </c>
      <c r="AN6396">
        <v>0.99999994083477095</v>
      </c>
    </row>
    <row r="6397" spans="1:40" x14ac:dyDescent="0.3">
      <c r="A6397" t="str">
        <f>"20200111160633442"</f>
        <v>20200111160633442</v>
      </c>
      <c r="B6397" t="str">
        <f>"1578729993439261"</f>
        <v>1578729993439261</v>
      </c>
      <c r="C6397" t="s">
        <v>40</v>
      </c>
      <c r="D6397">
        <v>5.605048</v>
      </c>
      <c r="E6397">
        <v>0.5688358</v>
      </c>
      <c r="F6397" t="s">
        <v>42</v>
      </c>
      <c r="G6397">
        <v>-191.92320000000001</v>
      </c>
      <c r="H6397">
        <v>1.0344880000000001</v>
      </c>
      <c r="I6397">
        <v>34.386240000000001</v>
      </c>
      <c r="J6397">
        <v>-192.0437</v>
      </c>
      <c r="K6397">
        <v>1.1100699999999999</v>
      </c>
      <c r="L6397">
        <v>33.928190000000001</v>
      </c>
      <c r="M6397">
        <v>-6.8198199999999895E-4</v>
      </c>
      <c r="N6397">
        <v>0</v>
      </c>
      <c r="O6397">
        <v>0.99993319999999997</v>
      </c>
      <c r="P6397">
        <v>-1.9328910000000001E-2</v>
      </c>
      <c r="Q6397">
        <v>-3.3905739999999997E-2</v>
      </c>
      <c r="R6397">
        <v>0.99923810000000002</v>
      </c>
      <c r="S6397">
        <v>0.38337710000000003</v>
      </c>
      <c r="T6397">
        <v>-0.2411903</v>
      </c>
      <c r="U6397">
        <v>3.0029910000000002</v>
      </c>
      <c r="V6397">
        <v>-1.864795E-2</v>
      </c>
      <c r="W6397">
        <v>-2.2373069999999998E-2</v>
      </c>
      <c r="X6397">
        <v>0.99957569999999996</v>
      </c>
      <c r="Y6397">
        <v>0.12691379999999999</v>
      </c>
      <c r="Z6397">
        <v>-7.9414929999999995E-2</v>
      </c>
      <c r="AA6397">
        <v>0.98872959999999999</v>
      </c>
      <c r="AB6397">
        <v>33</v>
      </c>
      <c r="AC6397">
        <v>0.120499999999992</v>
      </c>
      <c r="AD6397">
        <v>-7.5582000000000205E-2</v>
      </c>
      <c r="AE6397">
        <v>0.45805000000000001</v>
      </c>
      <c r="AF6397">
        <v>0.117812246927145</v>
      </c>
      <c r="AG6397">
        <v>-7.5582000000000205E-2</v>
      </c>
      <c r="AH6397">
        <v>0.44659501979205801</v>
      </c>
      <c r="AI6397">
        <v>99.293641067679502</v>
      </c>
      <c r="AJ6397">
        <v>75.221977790090506</v>
      </c>
      <c r="AK6397">
        <v>0.46801653384585801</v>
      </c>
      <c r="AL6397">
        <v>91.281989528523297</v>
      </c>
      <c r="AM6397">
        <v>91.068778385336103</v>
      </c>
      <c r="AN6397">
        <v>0.99999994016545601</v>
      </c>
    </row>
    <row r="6398" spans="1:40" x14ac:dyDescent="0.3">
      <c r="A6398" t="str">
        <f>"20200111160633464"</f>
        <v>20200111160633464</v>
      </c>
      <c r="B6398" t="str">
        <f>"1578729993458780"</f>
        <v>1578729993458780</v>
      </c>
      <c r="C6398" t="s">
        <v>40</v>
      </c>
      <c r="D6398">
        <v>5.6137860000000002</v>
      </c>
      <c r="E6398">
        <v>0.56932989999999895</v>
      </c>
      <c r="F6398" t="s">
        <v>41</v>
      </c>
      <c r="G6398">
        <v>-189.85740000000001</v>
      </c>
      <c r="H6398" s="1">
        <v>-3.4148950000000002E-6</v>
      </c>
      <c r="I6398">
        <v>47.534030000000001</v>
      </c>
      <c r="J6398">
        <v>-192.04390000000001</v>
      </c>
      <c r="K6398">
        <v>1.110104</v>
      </c>
      <c r="L6398">
        <v>34.253270000000001</v>
      </c>
      <c r="M6398">
        <v>-6.8209259999999904E-4</v>
      </c>
      <c r="N6398">
        <v>0</v>
      </c>
      <c r="O6398">
        <v>0.99992899999999996</v>
      </c>
      <c r="P6398">
        <v>-1.7212870000000002E-2</v>
      </c>
      <c r="Q6398">
        <v>-3.406845E-2</v>
      </c>
      <c r="R6398">
        <v>0.99927129999999997</v>
      </c>
      <c r="S6398">
        <v>0.48258970000000001</v>
      </c>
      <c r="T6398">
        <v>-0.2450331</v>
      </c>
      <c r="U6398">
        <v>3.0032960000000002</v>
      </c>
      <c r="V6398">
        <v>-1.65322E-2</v>
      </c>
      <c r="W6398">
        <v>-2.2172899999999999E-2</v>
      </c>
      <c r="X6398">
        <v>0.99961750000000005</v>
      </c>
      <c r="Y6398">
        <v>0.1588128</v>
      </c>
      <c r="Z6398">
        <v>-8.0290210000000001E-2</v>
      </c>
      <c r="AA6398">
        <v>0.98403859999999999</v>
      </c>
      <c r="AB6398">
        <v>33</v>
      </c>
      <c r="AC6398">
        <v>2.1864999999999899</v>
      </c>
      <c r="AD6398">
        <v>-1.1101074148950001</v>
      </c>
      <c r="AE6398">
        <v>13.280760000000001</v>
      </c>
      <c r="AF6398">
        <v>2.18072444001761</v>
      </c>
      <c r="AG6398">
        <v>-1.1101074148950001</v>
      </c>
      <c r="AH6398">
        <v>13.189543404031999</v>
      </c>
      <c r="AI6398">
        <v>94.746858535900003</v>
      </c>
      <c r="AJ6398">
        <v>80.611798261624401</v>
      </c>
      <c r="AK6398">
        <v>13.414617130680201</v>
      </c>
      <c r="AL6398">
        <v>91.270517647853296</v>
      </c>
      <c r="AM6398">
        <v>90.947501356921705</v>
      </c>
      <c r="AN6398">
        <v>1.0000000487187399</v>
      </c>
    </row>
    <row r="6399" spans="1:40" x14ac:dyDescent="0.3">
      <c r="A6399" t="str">
        <f>"20200111160633486"</f>
        <v>20200111160633486</v>
      </c>
      <c r="B6399" t="str">
        <f>"1578729993479277"</f>
        <v>1578729993479277</v>
      </c>
      <c r="C6399" t="s">
        <v>40</v>
      </c>
      <c r="D6399">
        <v>5.6369749999999996</v>
      </c>
      <c r="E6399">
        <v>0.56919709999999901</v>
      </c>
      <c r="F6399" t="s">
        <v>42</v>
      </c>
      <c r="G6399">
        <v>-191.87780000000001</v>
      </c>
      <c r="H6399">
        <v>1.0237780000000001</v>
      </c>
      <c r="I6399">
        <v>35.26596</v>
      </c>
      <c r="J6399">
        <v>-192.04409999999999</v>
      </c>
      <c r="K6399">
        <v>1.1101270000000001</v>
      </c>
      <c r="L6399">
        <v>34.580199999999998</v>
      </c>
      <c r="M6399">
        <v>-6.8203100000000004E-4</v>
      </c>
      <c r="N6399">
        <v>0</v>
      </c>
      <c r="O6399">
        <v>0.99992499999999995</v>
      </c>
      <c r="P6399">
        <v>-1.547315E-2</v>
      </c>
      <c r="Q6399">
        <v>-3.4651120000000001E-2</v>
      </c>
      <c r="R6399">
        <v>0.99927969999999999</v>
      </c>
      <c r="S6399">
        <v>0.4921722</v>
      </c>
      <c r="T6399">
        <v>-0.25589699999999999</v>
      </c>
      <c r="U6399">
        <v>3.0019529999999999</v>
      </c>
      <c r="V6399">
        <v>-1.47923E-2</v>
      </c>
      <c r="W6399">
        <v>-2.2430459999999999E-2</v>
      </c>
      <c r="X6399">
        <v>0.99963900000000006</v>
      </c>
      <c r="Y6399">
        <v>0.16189439999999999</v>
      </c>
      <c r="Z6399">
        <v>-8.3819710000000006E-2</v>
      </c>
      <c r="AA6399">
        <v>0.98324180000000005</v>
      </c>
      <c r="AB6399">
        <v>33</v>
      </c>
      <c r="AC6399">
        <v>0.16629999999997799</v>
      </c>
      <c r="AD6399">
        <v>-8.6348999999999995E-2</v>
      </c>
      <c r="AE6399">
        <v>0.68576000000000104</v>
      </c>
      <c r="AF6399">
        <v>0.16430728321655499</v>
      </c>
      <c r="AG6399">
        <v>-8.6348999999999995E-2</v>
      </c>
      <c r="AH6399">
        <v>0.67553066302121001</v>
      </c>
      <c r="AI6399">
        <v>97.080041750464304</v>
      </c>
      <c r="AJ6399">
        <v>76.329572620951396</v>
      </c>
      <c r="AK6399">
        <v>0.70056741988254201</v>
      </c>
      <c r="AL6399">
        <v>91.285278438271206</v>
      </c>
      <c r="AM6399">
        <v>90.8477805544603</v>
      </c>
      <c r="AN6399">
        <v>1.0000000339980499</v>
      </c>
    </row>
    <row r="6400" spans="1:40" x14ac:dyDescent="0.3">
      <c r="A6400" t="str">
        <f>"20200111160633509"</f>
        <v>20200111160633509</v>
      </c>
      <c r="B6400" t="str">
        <f>"1578729993498800"</f>
        <v>1578729993498800</v>
      </c>
      <c r="C6400" t="s">
        <v>40</v>
      </c>
      <c r="D6400">
        <v>5.6696530000000003</v>
      </c>
      <c r="E6400">
        <v>0.56876300000000002</v>
      </c>
      <c r="F6400" t="s">
        <v>42</v>
      </c>
      <c r="G6400">
        <v>-191.88229999999999</v>
      </c>
      <c r="H6400">
        <v>1.0240899999999999</v>
      </c>
      <c r="I6400">
        <v>35.558480000000003</v>
      </c>
      <c r="J6400">
        <v>-192.0444</v>
      </c>
      <c r="K6400">
        <v>1.1101379999999901</v>
      </c>
      <c r="L6400">
        <v>34.920470000000002</v>
      </c>
      <c r="M6400">
        <v>-6.819695E-4</v>
      </c>
      <c r="N6400">
        <v>0</v>
      </c>
      <c r="O6400">
        <v>0.99992130000000001</v>
      </c>
      <c r="P6400">
        <v>-1.425017E-2</v>
      </c>
      <c r="Q6400">
        <v>-3.6227170000000003E-2</v>
      </c>
      <c r="R6400">
        <v>0.99924190000000002</v>
      </c>
      <c r="S6400">
        <v>0.49588009999999899</v>
      </c>
      <c r="T6400">
        <v>-0.26391799999999999</v>
      </c>
      <c r="U6400">
        <v>3.000702</v>
      </c>
      <c r="V6400">
        <v>-1.356924E-2</v>
      </c>
      <c r="W6400">
        <v>-2.370717E-2</v>
      </c>
      <c r="X6400">
        <v>0.99962689999999998</v>
      </c>
      <c r="Y6400">
        <v>0.1631059</v>
      </c>
      <c r="Z6400">
        <v>-8.6445469999999996E-2</v>
      </c>
      <c r="AA6400">
        <v>0.98281410000000002</v>
      </c>
      <c r="AB6400">
        <v>33</v>
      </c>
      <c r="AC6400">
        <v>0.16210000000000899</v>
      </c>
      <c r="AD6400">
        <v>-8.6047999999999902E-2</v>
      </c>
      <c r="AE6400">
        <v>0.63800999999999397</v>
      </c>
      <c r="AF6400">
        <v>0.15980455825053699</v>
      </c>
      <c r="AG6400">
        <v>-8.6047999999999902E-2</v>
      </c>
      <c r="AH6400">
        <v>0.62718277638334596</v>
      </c>
      <c r="AI6400">
        <v>97.573053429908398</v>
      </c>
      <c r="AJ6400">
        <v>75.705346572437406</v>
      </c>
      <c r="AK6400">
        <v>0.65291652616055795</v>
      </c>
      <c r="AL6400">
        <v>91.358447990098199</v>
      </c>
      <c r="AM6400">
        <v>90.777702597261097</v>
      </c>
      <c r="AN6400">
        <v>1.0000000466935901</v>
      </c>
    </row>
    <row r="6401" spans="1:40" x14ac:dyDescent="0.3">
      <c r="A6401" t="str">
        <f>"20200111160633532"</f>
        <v>20200111160633532</v>
      </c>
      <c r="B6401" t="str">
        <f>"1578729993529053"</f>
        <v>1578729993529053</v>
      </c>
      <c r="C6401" t="s">
        <v>40</v>
      </c>
      <c r="D6401">
        <v>5.616282</v>
      </c>
      <c r="E6401">
        <v>0.56906219999999996</v>
      </c>
      <c r="F6401" t="s">
        <v>42</v>
      </c>
      <c r="G6401">
        <v>-191.89070000000001</v>
      </c>
      <c r="H6401">
        <v>1.024618</v>
      </c>
      <c r="I6401">
        <v>35.849960000000003</v>
      </c>
      <c r="J6401">
        <v>-192.0446</v>
      </c>
      <c r="K6401">
        <v>1.110142</v>
      </c>
      <c r="L6401">
        <v>35.250790000000002</v>
      </c>
      <c r="M6401">
        <v>-6.8200409999999998E-4</v>
      </c>
      <c r="N6401">
        <v>0</v>
      </c>
      <c r="O6401">
        <v>0.99991799999999997</v>
      </c>
      <c r="P6401">
        <v>-1.406635E-2</v>
      </c>
      <c r="Q6401">
        <v>-3.7749159999999997E-2</v>
      </c>
      <c r="R6401">
        <v>0.99918819999999997</v>
      </c>
      <c r="S6401">
        <v>0.49546810000000002</v>
      </c>
      <c r="T6401">
        <v>-0.2759665</v>
      </c>
      <c r="U6401">
        <v>2.9993289999999999</v>
      </c>
      <c r="V6401">
        <v>-1.338579E-2</v>
      </c>
      <c r="W6401">
        <v>-2.4973169999999999E-2</v>
      </c>
      <c r="X6401">
        <v>0.99959849999999995</v>
      </c>
      <c r="Y6401">
        <v>0.16298969999999999</v>
      </c>
      <c r="Z6401">
        <v>-9.0402319999999994E-2</v>
      </c>
      <c r="AA6401">
        <v>0.98247739999999995</v>
      </c>
      <c r="AB6401">
        <v>33</v>
      </c>
      <c r="AC6401">
        <v>0.15389999999999299</v>
      </c>
      <c r="AD6401">
        <v>-8.5523999999999906E-2</v>
      </c>
      <c r="AE6401">
        <v>0.59916999999999299</v>
      </c>
      <c r="AF6401">
        <v>0.15141464490255099</v>
      </c>
      <c r="AG6401">
        <v>-8.5523999999999906E-2</v>
      </c>
      <c r="AH6401">
        <v>0.58782969868730595</v>
      </c>
      <c r="AI6401">
        <v>98.019739017297695</v>
      </c>
      <c r="AJ6401">
        <v>75.555601858212697</v>
      </c>
      <c r="AK6401">
        <v>0.61301264581228199</v>
      </c>
      <c r="AL6401">
        <v>91.431006011849405</v>
      </c>
      <c r="AM6401">
        <v>90.7672114688162</v>
      </c>
      <c r="AN6401">
        <v>0.99999999989801103</v>
      </c>
    </row>
    <row r="6402" spans="1:40" x14ac:dyDescent="0.3">
      <c r="A6402" t="str">
        <f>"20200111160634971"</f>
        <v>20200111160634971</v>
      </c>
      <c r="B6402" t="str">
        <f>"1578729994969052"</f>
        <v>1578729994969052</v>
      </c>
      <c r="C6402" t="s">
        <v>40</v>
      </c>
      <c r="D6402">
        <v>5.295966</v>
      </c>
      <c r="E6402">
        <v>0.40428429999999999</v>
      </c>
      <c r="F6402" t="s">
        <v>41</v>
      </c>
      <c r="G6402">
        <v>-193.45359999999999</v>
      </c>
      <c r="H6402" s="1">
        <v>-9.5027399999999995E-7</v>
      </c>
      <c r="I6402">
        <v>79.662219999999905</v>
      </c>
      <c r="J6402">
        <v>-192.05860000000001</v>
      </c>
      <c r="K6402">
        <v>1.11049</v>
      </c>
      <c r="L6402">
        <v>55.417540000000002</v>
      </c>
      <c r="M6402">
        <v>-6.8792810000000001E-4</v>
      </c>
      <c r="N6402">
        <v>0</v>
      </c>
      <c r="O6402">
        <v>0.99989799999999995</v>
      </c>
      <c r="P6402">
        <v>-1.2009209999999999E-2</v>
      </c>
      <c r="Q6402">
        <v>-3.7993319999999997E-2</v>
      </c>
      <c r="R6402">
        <v>0.99920580000000003</v>
      </c>
      <c r="S6402">
        <v>-0.17031859999999999</v>
      </c>
      <c r="T6402">
        <v>-0.1355635</v>
      </c>
      <c r="U6402">
        <v>2.9949340000000002</v>
      </c>
      <c r="V6402">
        <v>-1.132271E-2</v>
      </c>
      <c r="W6402">
        <v>-2.373376E-2</v>
      </c>
      <c r="X6402">
        <v>0.99965420000000005</v>
      </c>
      <c r="Y6402">
        <v>-5.603238E-2</v>
      </c>
      <c r="Z6402">
        <v>-4.5146039999999998E-2</v>
      </c>
      <c r="AA6402">
        <v>0.99740770000000001</v>
      </c>
      <c r="AB6402">
        <v>30</v>
      </c>
      <c r="AC6402">
        <v>-1.39499999999998</v>
      </c>
      <c r="AD6402">
        <v>-1.1104909502739999</v>
      </c>
      <c r="AE6402">
        <v>24.244679999999899</v>
      </c>
      <c r="AF6402">
        <v>-1.37544327306101</v>
      </c>
      <c r="AG6402">
        <v>-1.1104909502739999</v>
      </c>
      <c r="AH6402">
        <v>24.195041294245399</v>
      </c>
      <c r="AI6402">
        <v>92.623656428740006</v>
      </c>
      <c r="AJ6402">
        <v>93.253656972132006</v>
      </c>
      <c r="AK6402">
        <v>24.259535394938801</v>
      </c>
      <c r="AL6402">
        <v>91.359971967104499</v>
      </c>
      <c r="AM6402">
        <v>90.648940158323398</v>
      </c>
      <c r="AN6402">
        <v>1.00000000735156</v>
      </c>
    </row>
    <row r="6403" spans="1:40" x14ac:dyDescent="0.3">
      <c r="A6403" t="str">
        <f>"20200111160635195"</f>
        <v>20200111160635195</v>
      </c>
      <c r="B6403" t="str">
        <f>"1578729995188612"</f>
        <v>1578729995188612</v>
      </c>
      <c r="C6403" t="s">
        <v>40</v>
      </c>
      <c r="D6403">
        <v>5.5768380000000004</v>
      </c>
      <c r="E6403">
        <v>0.51962580000000003</v>
      </c>
      <c r="F6403" t="s">
        <v>101</v>
      </c>
      <c r="G6403">
        <v>-221.0745</v>
      </c>
      <c r="H6403">
        <v>0.66622169999999903</v>
      </c>
      <c r="I6403">
        <v>164.61850000000001</v>
      </c>
      <c r="J6403">
        <v>-192.0607</v>
      </c>
      <c r="K6403">
        <v>1.1105259999999999</v>
      </c>
      <c r="L6403">
        <v>58.405760000000001</v>
      </c>
      <c r="M6403">
        <v>-6.8877320000000001E-4</v>
      </c>
      <c r="N6403">
        <v>0</v>
      </c>
      <c r="O6403">
        <v>0.99989839999999997</v>
      </c>
      <c r="P6403">
        <v>-2.3350639999999999E-2</v>
      </c>
      <c r="Q6403">
        <v>-4.0270380000000001E-2</v>
      </c>
      <c r="R6403">
        <v>0.99891589999999997</v>
      </c>
      <c r="S6403">
        <v>-0.79510499999999995</v>
      </c>
      <c r="T6403">
        <v>-1.2174010000000001E-2</v>
      </c>
      <c r="U6403">
        <v>2.9923709999999999</v>
      </c>
      <c r="V6403">
        <v>-2.2663320000000001E-2</v>
      </c>
      <c r="W6403">
        <v>-2.604596E-2</v>
      </c>
      <c r="X6403">
        <v>0.99940379999999995</v>
      </c>
      <c r="Y6403">
        <v>-0.25613219999999998</v>
      </c>
      <c r="Z6403">
        <v>-3.9322380000000002E-3</v>
      </c>
      <c r="AA6403">
        <v>0.96663370000000004</v>
      </c>
      <c r="AB6403">
        <v>30</v>
      </c>
      <c r="AC6403">
        <v>-29.0138</v>
      </c>
      <c r="AD6403">
        <v>-0.44430429999999999</v>
      </c>
      <c r="AE6403">
        <v>106.21274</v>
      </c>
      <c r="AF6403">
        <v>-28.9401579589283</v>
      </c>
      <c r="AG6403">
        <v>-0.44430429999999999</v>
      </c>
      <c r="AH6403">
        <v>106.23097092223701</v>
      </c>
      <c r="AI6403">
        <v>90.231208483358103</v>
      </c>
      <c r="AJ6403">
        <v>105.239090759783</v>
      </c>
      <c r="AK6403">
        <v>110.10335749685299</v>
      </c>
      <c r="AL6403">
        <v>91.492492382702906</v>
      </c>
      <c r="AM6403">
        <v>91.299064574737002</v>
      </c>
      <c r="AN6403">
        <v>0.99999998678009105</v>
      </c>
    </row>
    <row r="6404" spans="1:40" x14ac:dyDescent="0.3">
      <c r="A6404" t="str">
        <f>"20200111160635219"</f>
        <v>20200111160635219</v>
      </c>
      <c r="B6404" t="str">
        <f>"1578729995209108"</f>
        <v>1578729995209108</v>
      </c>
      <c r="C6404" t="s">
        <v>40</v>
      </c>
      <c r="D6404">
        <v>5.6257320000000002</v>
      </c>
      <c r="E6404">
        <v>0.53183290000000005</v>
      </c>
      <c r="F6404" t="s">
        <v>42</v>
      </c>
      <c r="G6404">
        <v>-192.04079999999999</v>
      </c>
      <c r="H6404">
        <v>0.99341889999999999</v>
      </c>
      <c r="I6404">
        <v>59.223869999999998</v>
      </c>
      <c r="J6404">
        <v>-192.0609</v>
      </c>
      <c r="K6404">
        <v>1.110519</v>
      </c>
      <c r="L6404">
        <v>58.72025</v>
      </c>
      <c r="M6404">
        <v>-6.8884729999999905E-4</v>
      </c>
      <c r="N6404">
        <v>0</v>
      </c>
      <c r="O6404">
        <v>0.99989850000000002</v>
      </c>
      <c r="P6404">
        <v>-2.5069439999999998E-2</v>
      </c>
      <c r="Q6404">
        <v>-4.1077879999999997E-2</v>
      </c>
      <c r="R6404">
        <v>0.99884139999999999</v>
      </c>
      <c r="S6404">
        <v>7.2677610000000004E-2</v>
      </c>
      <c r="T6404">
        <v>-0.4276818</v>
      </c>
      <c r="U6404">
        <v>2.9877319999999998</v>
      </c>
      <c r="V6404">
        <v>-2.4382170000000002E-2</v>
      </c>
      <c r="W6404">
        <v>-2.6857579999999999E-2</v>
      </c>
      <c r="X6404">
        <v>0.99934179999999995</v>
      </c>
      <c r="Y6404">
        <v>2.4761620000000002E-2</v>
      </c>
      <c r="Z6404">
        <v>-0.14165920000000001</v>
      </c>
      <c r="AA6404">
        <v>0.98960570000000003</v>
      </c>
      <c r="AB6404">
        <v>30</v>
      </c>
      <c r="AC6404">
        <v>2.0100000000013499E-2</v>
      </c>
      <c r="AD6404">
        <v>-0.1171001</v>
      </c>
      <c r="AE6404">
        <v>0.50361999999999796</v>
      </c>
      <c r="AF6404">
        <v>1.93997846840251E-2</v>
      </c>
      <c r="AG6404">
        <v>-0.1171001</v>
      </c>
      <c r="AH6404">
        <v>0.47781452676390601</v>
      </c>
      <c r="AI6404">
        <v>103.759416263483</v>
      </c>
      <c r="AJ6404">
        <v>87.675006591387302</v>
      </c>
      <c r="AK6404">
        <v>0.49233678214451099</v>
      </c>
      <c r="AL6404">
        <v>91.539011155244197</v>
      </c>
      <c r="AM6404">
        <v>91.397638262682605</v>
      </c>
      <c r="AN6404">
        <v>0.99999992652229897</v>
      </c>
    </row>
    <row r="6405" spans="1:40" x14ac:dyDescent="0.3">
      <c r="A6405" t="str">
        <f>"20200111160635241"</f>
        <v>20200111160635241</v>
      </c>
      <c r="B6405" t="str">
        <f>"1578729995239364"</f>
        <v>1578729995239364</v>
      </c>
      <c r="C6405" t="s">
        <v>40</v>
      </c>
      <c r="D6405">
        <v>5.6357330000000001</v>
      </c>
      <c r="E6405">
        <v>0.54112069999999901</v>
      </c>
      <c r="F6405" t="s">
        <v>42</v>
      </c>
      <c r="G6405">
        <v>-192.02010000000001</v>
      </c>
      <c r="H6405">
        <v>0.97309920000000005</v>
      </c>
      <c r="I6405">
        <v>59.47824</v>
      </c>
      <c r="J6405">
        <v>-192.06110000000001</v>
      </c>
      <c r="K6405">
        <v>1.1105179999999999</v>
      </c>
      <c r="L6405">
        <v>59.014919999999996</v>
      </c>
      <c r="M6405">
        <v>-6.8892499999999995E-4</v>
      </c>
      <c r="N6405">
        <v>0</v>
      </c>
      <c r="O6405">
        <v>0.99989859999999997</v>
      </c>
      <c r="P6405">
        <v>-2.6425239999999999E-2</v>
      </c>
      <c r="Q6405">
        <v>-4.1559289999999999E-2</v>
      </c>
      <c r="R6405">
        <v>0.99878650000000002</v>
      </c>
      <c r="S6405">
        <v>0.1599884</v>
      </c>
      <c r="T6405">
        <v>-0.54121660000000005</v>
      </c>
      <c r="U6405">
        <v>2.9852599999999998</v>
      </c>
      <c r="V6405">
        <v>-2.5738E-2</v>
      </c>
      <c r="W6405">
        <v>-2.734292E-2</v>
      </c>
      <c r="X6405">
        <v>0.99929469999999998</v>
      </c>
      <c r="Y6405">
        <v>5.3348029999999998E-2</v>
      </c>
      <c r="Z6405">
        <v>-0.1781375</v>
      </c>
      <c r="AA6405">
        <v>0.98255840000000005</v>
      </c>
      <c r="AB6405">
        <v>30</v>
      </c>
      <c r="AC6405">
        <v>4.0999999999996803E-2</v>
      </c>
      <c r="AD6405">
        <v>-0.13741880000000001</v>
      </c>
      <c r="AE6405">
        <v>0.46332000000000301</v>
      </c>
      <c r="AF6405">
        <v>3.8002172947800603E-2</v>
      </c>
      <c r="AG6405">
        <v>-0.13741880000000001</v>
      </c>
      <c r="AH6405">
        <v>0.426099308784324</v>
      </c>
      <c r="AI6405">
        <v>107.808531460823</v>
      </c>
      <c r="AJ6405">
        <v>84.903492148639003</v>
      </c>
      <c r="AK6405">
        <v>0.449320278519313</v>
      </c>
      <c r="AL6405">
        <v>91.566829210801501</v>
      </c>
      <c r="AM6405">
        <v>91.475393406969602</v>
      </c>
      <c r="AN6405">
        <v>0.99999998868310802</v>
      </c>
    </row>
    <row r="6406" spans="1:40" x14ac:dyDescent="0.3">
      <c r="A6406" t="str">
        <f>"20200111160635262"</f>
        <v>20200111160635262</v>
      </c>
      <c r="B6406" t="str">
        <f>"1578729995258885"</f>
        <v>1578729995258885</v>
      </c>
      <c r="C6406" t="s">
        <v>40</v>
      </c>
      <c r="D6406">
        <v>5.6125309999999997</v>
      </c>
      <c r="E6406">
        <v>0.54402329999999999</v>
      </c>
      <c r="F6406" t="s">
        <v>42</v>
      </c>
      <c r="G6406">
        <v>-192.00729999999999</v>
      </c>
      <c r="H6406">
        <v>0.95193079999999997</v>
      </c>
      <c r="I6406">
        <v>59.732030000000002</v>
      </c>
      <c r="J6406">
        <v>-192.06129999999999</v>
      </c>
      <c r="K6406">
        <v>1.1105210000000001</v>
      </c>
      <c r="L6406">
        <v>59.292789999999997</v>
      </c>
      <c r="M6406">
        <v>-6.8900709999999998E-4</v>
      </c>
      <c r="N6406">
        <v>0</v>
      </c>
      <c r="O6406">
        <v>0.99989859999999997</v>
      </c>
      <c r="P6406">
        <v>-2.691756E-2</v>
      </c>
      <c r="Q6406">
        <v>-4.0593490000000003E-2</v>
      </c>
      <c r="R6406">
        <v>0.99881310000000001</v>
      </c>
      <c r="S6406">
        <v>0.2237854</v>
      </c>
      <c r="T6406">
        <v>-0.65948719999999905</v>
      </c>
      <c r="U6406">
        <v>2.9821170000000001</v>
      </c>
      <c r="V6406">
        <v>-2.622994E-2</v>
      </c>
      <c r="W6406">
        <v>-2.6379969999999999E-2</v>
      </c>
      <c r="X6406">
        <v>0.99930779999999997</v>
      </c>
      <c r="Y6406">
        <v>7.3763419999999996E-2</v>
      </c>
      <c r="Z6406">
        <v>-0.21534729999999999</v>
      </c>
      <c r="AA6406">
        <v>0.97374769999999999</v>
      </c>
      <c r="AB6406">
        <v>30</v>
      </c>
      <c r="AC6406">
        <v>5.4000000000001998E-2</v>
      </c>
      <c r="AD6406">
        <v>-0.15859019999999899</v>
      </c>
      <c r="AE6406">
        <v>0.43923999999999802</v>
      </c>
      <c r="AF6406">
        <v>4.8122718168368897E-2</v>
      </c>
      <c r="AG6406">
        <v>-0.15859019999999899</v>
      </c>
      <c r="AH6406">
        <v>0.38921902014175203</v>
      </c>
      <c r="AI6406">
        <v>112.017344625668</v>
      </c>
      <c r="AJ6406">
        <v>82.951766517691993</v>
      </c>
      <c r="AK6406">
        <v>0.42303438770395202</v>
      </c>
      <c r="AL6406">
        <v>91.511636310857398</v>
      </c>
      <c r="AM6406">
        <v>91.503560626611005</v>
      </c>
      <c r="AN6406">
        <v>0.99999999585522203</v>
      </c>
    </row>
    <row r="6407" spans="1:40" x14ac:dyDescent="0.3">
      <c r="A6407" t="str">
        <f>"20200111160635284"</f>
        <v>20200111160635284</v>
      </c>
      <c r="B6407" t="str">
        <f>"1578729995279380"</f>
        <v>1578729995279380</v>
      </c>
      <c r="C6407" t="s">
        <v>40</v>
      </c>
      <c r="D6407">
        <v>5.465878</v>
      </c>
      <c r="E6407">
        <v>0.54676689999999994</v>
      </c>
      <c r="F6407" t="s">
        <v>42</v>
      </c>
      <c r="G6407">
        <v>-192.00399999999999</v>
      </c>
      <c r="H6407">
        <v>0.94777979999999995</v>
      </c>
      <c r="I6407">
        <v>59.994030000000002</v>
      </c>
      <c r="J6407">
        <v>-192.0615</v>
      </c>
      <c r="K6407">
        <v>1.11053</v>
      </c>
      <c r="L6407">
        <v>59.577089999999998</v>
      </c>
      <c r="M6407">
        <v>-6.8909319999999996E-4</v>
      </c>
      <c r="N6407">
        <v>0</v>
      </c>
      <c r="O6407">
        <v>0.99989859999999997</v>
      </c>
      <c r="P6407">
        <v>-2.6318540000000001E-2</v>
      </c>
      <c r="Q6407">
        <v>-3.9197019999999999E-2</v>
      </c>
      <c r="R6407">
        <v>0.99888489999999996</v>
      </c>
      <c r="S6407">
        <v>0.2431335</v>
      </c>
      <c r="T6407">
        <v>-0.69205360000000005</v>
      </c>
      <c r="U6407">
        <v>2.981995</v>
      </c>
      <c r="V6407">
        <v>-2.563141E-2</v>
      </c>
      <c r="W6407">
        <v>-2.498591E-2</v>
      </c>
      <c r="X6407">
        <v>0.9993592</v>
      </c>
      <c r="Y6407">
        <v>7.9860680000000003E-2</v>
      </c>
      <c r="Z6407">
        <v>-0.2253532</v>
      </c>
      <c r="AA6407">
        <v>0.97099860000000005</v>
      </c>
      <c r="AB6407">
        <v>30</v>
      </c>
      <c r="AC6407">
        <v>5.7499999999976098E-2</v>
      </c>
      <c r="AD6407">
        <v>-0.16275019999999901</v>
      </c>
      <c r="AE6407">
        <v>0.41693999999999598</v>
      </c>
      <c r="AF6407">
        <v>5.0270615168401298E-2</v>
      </c>
      <c r="AG6407">
        <v>-0.16275019999999901</v>
      </c>
      <c r="AH6407">
        <v>0.36267179534364102</v>
      </c>
      <c r="AI6407">
        <v>113.965316052394</v>
      </c>
      <c r="AJ6407">
        <v>82.108409608856803</v>
      </c>
      <c r="AK6407">
        <v>0.40068141145706998</v>
      </c>
      <c r="AL6407">
        <v>91.4317361337161</v>
      </c>
      <c r="AM6407">
        <v>91.469191186058893</v>
      </c>
      <c r="AN6407">
        <v>1.00000003775087</v>
      </c>
    </row>
    <row r="6408" spans="1:40" x14ac:dyDescent="0.3">
      <c r="A6408" t="str">
        <f>"20200111160635307"</f>
        <v>20200111160635307</v>
      </c>
      <c r="B6408" t="str">
        <f>"1578729995298900"</f>
        <v>1578729995298900</v>
      </c>
      <c r="C6408" t="s">
        <v>40</v>
      </c>
      <c r="D6408">
        <v>5.6762230000000002</v>
      </c>
      <c r="E6408">
        <v>0.54872299999999996</v>
      </c>
      <c r="F6408" t="s">
        <v>42</v>
      </c>
      <c r="G6408">
        <v>-191.9796</v>
      </c>
      <c r="H6408">
        <v>0.89252670000000001</v>
      </c>
      <c r="I6408">
        <v>60.495429999999999</v>
      </c>
      <c r="J6408">
        <v>-192.0617</v>
      </c>
      <c r="K6408">
        <v>1.1105309999999999</v>
      </c>
      <c r="L6408">
        <v>59.883360000000003</v>
      </c>
      <c r="M6408">
        <v>-6.8918349999999996E-4</v>
      </c>
      <c r="N6408">
        <v>0</v>
      </c>
      <c r="O6408">
        <v>0.99989870000000003</v>
      </c>
      <c r="P6408">
        <v>-2.5120030000000002E-2</v>
      </c>
      <c r="Q6408">
        <v>-3.7553499999999997E-2</v>
      </c>
      <c r="R6408">
        <v>0.9989789</v>
      </c>
      <c r="S6408">
        <v>0.26550289999999999</v>
      </c>
      <c r="T6408">
        <v>-0.70802860000000001</v>
      </c>
      <c r="U6408">
        <v>2.9825740000000001</v>
      </c>
      <c r="V6408">
        <v>-2.4432450000000001E-2</v>
      </c>
      <c r="W6408">
        <v>-2.3344739999999999E-2</v>
      </c>
      <c r="X6408">
        <v>0.99942889999999995</v>
      </c>
      <c r="Y6408">
        <v>8.6974659999999995E-2</v>
      </c>
      <c r="Z6408">
        <v>-0.2301011</v>
      </c>
      <c r="AA6408">
        <v>0.96927240000000003</v>
      </c>
      <c r="AB6408">
        <v>30</v>
      </c>
      <c r="AC6408">
        <v>8.2099999999996898E-2</v>
      </c>
      <c r="AD6408">
        <v>-0.21800429999999901</v>
      </c>
      <c r="AE6408">
        <v>0.612070000000009</v>
      </c>
      <c r="AF6408">
        <v>7.3377622146081303E-2</v>
      </c>
      <c r="AG6408">
        <v>-0.21800429999999901</v>
      </c>
      <c r="AH6408">
        <v>0.54419620180036699</v>
      </c>
      <c r="AI6408">
        <v>111.653374710012</v>
      </c>
      <c r="AJ6408">
        <v>82.320741139896001</v>
      </c>
      <c r="AK6408">
        <v>0.59081270831309096</v>
      </c>
      <c r="AL6408">
        <v>91.337676563188595</v>
      </c>
      <c r="AM6408">
        <v>91.400397267031906</v>
      </c>
      <c r="AN6408">
        <v>1.00000002382693</v>
      </c>
    </row>
    <row r="6409" spans="1:40" x14ac:dyDescent="0.3">
      <c r="A6409" t="str">
        <f>"20200111160635331"</f>
        <v>20200111160635331</v>
      </c>
      <c r="B6409" t="str">
        <f>"1578729995319397"</f>
        <v>1578729995319397</v>
      </c>
      <c r="C6409" t="s">
        <v>40</v>
      </c>
      <c r="D6409">
        <v>5.6290979999999999</v>
      </c>
      <c r="E6409">
        <v>0.55028690000000002</v>
      </c>
      <c r="F6409" t="s">
        <v>42</v>
      </c>
      <c r="G6409">
        <v>-191.97800000000001</v>
      </c>
      <c r="H6409">
        <v>0.89967189999999997</v>
      </c>
      <c r="I6409">
        <v>60.761479999999999</v>
      </c>
      <c r="J6409">
        <v>-192.06190000000001</v>
      </c>
      <c r="K6409">
        <v>1.1105259999999999</v>
      </c>
      <c r="L6409">
        <v>60.188720000000004</v>
      </c>
      <c r="M6409">
        <v>-6.8927219999999996E-4</v>
      </c>
      <c r="N6409">
        <v>0</v>
      </c>
      <c r="O6409">
        <v>0.99989870000000003</v>
      </c>
      <c r="P6409">
        <v>-2.31337E-2</v>
      </c>
      <c r="Q6409">
        <v>-3.6416289999999997E-2</v>
      </c>
      <c r="R6409">
        <v>0.99906890000000004</v>
      </c>
      <c r="S6409">
        <v>0.28376770000000001</v>
      </c>
      <c r="T6409">
        <v>-0.71636809999999995</v>
      </c>
      <c r="U6409">
        <v>2.983276</v>
      </c>
      <c r="V6409">
        <v>-2.2445710000000001E-2</v>
      </c>
      <c r="W6409">
        <v>-2.220987E-2</v>
      </c>
      <c r="X6409">
        <v>0.99950130000000004</v>
      </c>
      <c r="Y6409">
        <v>9.2783560000000001E-2</v>
      </c>
      <c r="Z6409">
        <v>-0.23249069999999999</v>
      </c>
      <c r="AA6409">
        <v>0.96816279999999999</v>
      </c>
      <c r="AB6409">
        <v>29</v>
      </c>
      <c r="AC6409">
        <v>8.3900000000028202E-2</v>
      </c>
      <c r="AD6409">
        <v>-0.21085409999999999</v>
      </c>
      <c r="AE6409">
        <v>0.57276000000000904</v>
      </c>
      <c r="AF6409">
        <v>7.4420813436177402E-2</v>
      </c>
      <c r="AG6409">
        <v>-0.21085409999999999</v>
      </c>
      <c r="AH6409">
        <v>0.50561774855994002</v>
      </c>
      <c r="AI6409">
        <v>112.419946546823</v>
      </c>
      <c r="AJ6409">
        <v>81.626875156496396</v>
      </c>
      <c r="AK6409">
        <v>0.55285370272626</v>
      </c>
      <c r="AL6409">
        <v>91.272636496633595</v>
      </c>
      <c r="AM6409">
        <v>91.286469889553203</v>
      </c>
      <c r="AN6409">
        <v>0.99999996846225503</v>
      </c>
    </row>
    <row r="6410" spans="1:40" x14ac:dyDescent="0.3">
      <c r="A6410" t="str">
        <f>"20200111160635351"</f>
        <v>20200111160635351</v>
      </c>
      <c r="B6410" t="str">
        <f>"1578729995338918"</f>
        <v>1578729995338918</v>
      </c>
      <c r="C6410" t="s">
        <v>40</v>
      </c>
      <c r="D6410">
        <v>5.5882839999999998</v>
      </c>
      <c r="E6410">
        <v>0.55104709999999901</v>
      </c>
      <c r="F6410" t="s">
        <v>42</v>
      </c>
      <c r="G6410">
        <v>-191.97710000000001</v>
      </c>
      <c r="H6410">
        <v>0.90718290000000001</v>
      </c>
      <c r="I6410">
        <v>61.027790000000003</v>
      </c>
      <c r="J6410">
        <v>-192.06209999999999</v>
      </c>
      <c r="K6410">
        <v>1.1105130000000001</v>
      </c>
      <c r="L6410">
        <v>60.458979999999997</v>
      </c>
      <c r="M6410">
        <v>-6.8935350000000003E-4</v>
      </c>
      <c r="N6410">
        <v>0</v>
      </c>
      <c r="O6410">
        <v>0.99989879999999998</v>
      </c>
      <c r="P6410">
        <v>-2.1367589999999999E-2</v>
      </c>
      <c r="Q6410">
        <v>-3.6622309999999998E-2</v>
      </c>
      <c r="R6410">
        <v>0.99910069999999995</v>
      </c>
      <c r="S6410">
        <v>0.3010254</v>
      </c>
      <c r="T6410">
        <v>-0.72299959999999996</v>
      </c>
      <c r="U6410">
        <v>2.9833980000000002</v>
      </c>
      <c r="V6410">
        <v>-2.0679779999999998E-2</v>
      </c>
      <c r="W6410">
        <v>-2.2418509999999999E-2</v>
      </c>
      <c r="X6410">
        <v>0.99953479999999995</v>
      </c>
      <c r="Y6410">
        <v>9.8279660000000005E-2</v>
      </c>
      <c r="Z6410">
        <v>-0.23439119999999999</v>
      </c>
      <c r="AA6410">
        <v>0.96716179999999996</v>
      </c>
      <c r="AB6410">
        <v>29</v>
      </c>
      <c r="AC6410">
        <v>8.4999999999979495E-2</v>
      </c>
      <c r="AD6410">
        <v>-0.20333009999999899</v>
      </c>
      <c r="AE6410">
        <v>0.56880999999999904</v>
      </c>
      <c r="AF6410">
        <v>7.5904747871533507E-2</v>
      </c>
      <c r="AG6410">
        <v>-0.20333009999999899</v>
      </c>
      <c r="AH6410">
        <v>0.50556088720843795</v>
      </c>
      <c r="AI6410">
        <v>111.68916796825</v>
      </c>
      <c r="AJ6410">
        <v>81.461407799388198</v>
      </c>
      <c r="AK6410">
        <v>0.55017858099932804</v>
      </c>
      <c r="AL6410">
        <v>91.284593587099806</v>
      </c>
      <c r="AM6410">
        <v>91.185246474384698</v>
      </c>
      <c r="AN6410">
        <v>1.0000000296512499</v>
      </c>
    </row>
    <row r="6411" spans="1:40" x14ac:dyDescent="0.3">
      <c r="A6411" t="str">
        <f>"20200111160635375"</f>
        <v>20200111160635375</v>
      </c>
      <c r="B6411" t="str">
        <f>"1578729995369172"</f>
        <v>1578729995369172</v>
      </c>
      <c r="C6411" t="s">
        <v>40</v>
      </c>
      <c r="D6411">
        <v>5.4934010000000004</v>
      </c>
      <c r="E6411">
        <v>0.55275180000000002</v>
      </c>
      <c r="F6411" t="s">
        <v>42</v>
      </c>
      <c r="G6411">
        <v>-191.97540000000001</v>
      </c>
      <c r="H6411">
        <v>0.90609609999999996</v>
      </c>
      <c r="I6411">
        <v>61.289879999999997</v>
      </c>
      <c r="J6411">
        <v>-192.06229999999999</v>
      </c>
      <c r="K6411">
        <v>1.110501</v>
      </c>
      <c r="L6411">
        <v>60.77261</v>
      </c>
      <c r="M6411">
        <v>-6.8944479999999897E-4</v>
      </c>
      <c r="N6411">
        <v>0</v>
      </c>
      <c r="O6411">
        <v>0.99989879999999998</v>
      </c>
      <c r="P6411">
        <v>-1.87114E-2</v>
      </c>
      <c r="Q6411">
        <v>-3.7452659999999999E-2</v>
      </c>
      <c r="R6411">
        <v>0.99912319999999999</v>
      </c>
      <c r="S6411">
        <v>0.3108978</v>
      </c>
      <c r="T6411">
        <v>-0.73374879999999998</v>
      </c>
      <c r="U6411">
        <v>2.9824519999999999</v>
      </c>
      <c r="V6411">
        <v>-1.8023190000000001E-2</v>
      </c>
      <c r="W6411">
        <v>-2.3252060000000001E-2</v>
      </c>
      <c r="X6411">
        <v>0.99956719999999999</v>
      </c>
      <c r="Y6411">
        <v>0.10139529999999999</v>
      </c>
      <c r="Z6411">
        <v>-0.2376752</v>
      </c>
      <c r="AA6411">
        <v>0.96603799999999995</v>
      </c>
      <c r="AB6411">
        <v>29</v>
      </c>
      <c r="AC6411">
        <v>8.6899999999985697E-2</v>
      </c>
      <c r="AD6411">
        <v>-0.2044049</v>
      </c>
      <c r="AE6411">
        <v>0.51727000000000301</v>
      </c>
      <c r="AF6411">
        <v>7.5752424065121199E-2</v>
      </c>
      <c r="AG6411">
        <v>-0.2044049</v>
      </c>
      <c r="AH6411">
        <v>0.44901919306622401</v>
      </c>
      <c r="AI6411">
        <v>114.174458949545</v>
      </c>
      <c r="AJ6411">
        <v>80.424004478955197</v>
      </c>
      <c r="AK6411">
        <v>0.49913728435931798</v>
      </c>
      <c r="AL6411">
        <v>91.332364926448605</v>
      </c>
      <c r="AM6411">
        <v>91.032987908459901</v>
      </c>
      <c r="AN6411">
        <v>1.00000004049392</v>
      </c>
    </row>
    <row r="6412" spans="1:40" x14ac:dyDescent="0.3">
      <c r="A6412" t="str">
        <f>"20200111160635396"</f>
        <v>20200111160635396</v>
      </c>
      <c r="B6412" t="str">
        <f>"1578729995388692"</f>
        <v>1578729995388692</v>
      </c>
      <c r="C6412" t="s">
        <v>40</v>
      </c>
      <c r="D6412">
        <v>5.6657529999999996</v>
      </c>
      <c r="E6412">
        <v>0.55375419999999997</v>
      </c>
      <c r="F6412" t="s">
        <v>42</v>
      </c>
      <c r="G6412">
        <v>-191.9751</v>
      </c>
      <c r="H6412">
        <v>0.91395210000000005</v>
      </c>
      <c r="I6412">
        <v>61.555810000000001</v>
      </c>
      <c r="J6412">
        <v>-192.0624</v>
      </c>
      <c r="K6412">
        <v>1.1105020000000001</v>
      </c>
      <c r="L6412">
        <v>61.058320000000002</v>
      </c>
      <c r="M6412">
        <v>-6.8951820000000004E-4</v>
      </c>
      <c r="N6412">
        <v>0</v>
      </c>
      <c r="O6412">
        <v>0.99989890000000003</v>
      </c>
      <c r="P6412">
        <v>-1.5121529999999999E-2</v>
      </c>
      <c r="Q6412">
        <v>-3.8541590000000001E-2</v>
      </c>
      <c r="R6412">
        <v>0.99914259999999999</v>
      </c>
      <c r="S6412">
        <v>0.33097840000000001</v>
      </c>
      <c r="T6412">
        <v>-0.7480599</v>
      </c>
      <c r="U6412">
        <v>2.980804</v>
      </c>
      <c r="V6412">
        <v>-1.44332E-2</v>
      </c>
      <c r="W6412">
        <v>-2.4343839999999999E-2</v>
      </c>
      <c r="X6412">
        <v>0.99959949999999997</v>
      </c>
      <c r="Y6412">
        <v>0.10776330000000001</v>
      </c>
      <c r="Z6412">
        <v>-0.24200240000000001</v>
      </c>
      <c r="AA6412">
        <v>0.96427269999999998</v>
      </c>
      <c r="AB6412">
        <v>29</v>
      </c>
      <c r="AC6412">
        <v>8.7299999999999003E-2</v>
      </c>
      <c r="AD6412">
        <v>-0.1965499</v>
      </c>
      <c r="AE6412">
        <v>0.49749000000000598</v>
      </c>
      <c r="AF6412">
        <v>7.61168454224221E-2</v>
      </c>
      <c r="AG6412">
        <v>-0.1965499</v>
      </c>
      <c r="AH6412">
        <v>0.43201122577034801</v>
      </c>
      <c r="AI6412">
        <v>114.135395935538</v>
      </c>
      <c r="AJ6412">
        <v>80.007510630985493</v>
      </c>
      <c r="AK6412">
        <v>0.48068631823536401</v>
      </c>
      <c r="AL6412">
        <v>91.394937020905402</v>
      </c>
      <c r="AM6412">
        <v>90.827235290317901</v>
      </c>
      <c r="AN6412">
        <v>1.0000000501042099</v>
      </c>
    </row>
    <row r="6413" spans="1:40" x14ac:dyDescent="0.3">
      <c r="A6413" t="str">
        <f>"20200111160635419"</f>
        <v>20200111160635419</v>
      </c>
      <c r="B6413" t="str">
        <f>"1578729995409188"</f>
        <v>1578729995409188</v>
      </c>
      <c r="C6413" t="s">
        <v>40</v>
      </c>
      <c r="D6413">
        <v>5.6325440000000002</v>
      </c>
      <c r="E6413">
        <v>0.55446680000000004</v>
      </c>
      <c r="F6413" t="s">
        <v>42</v>
      </c>
      <c r="G6413">
        <v>-191.9735</v>
      </c>
      <c r="H6413">
        <v>0.91566119999999995</v>
      </c>
      <c r="I6413">
        <v>61.818579999999997</v>
      </c>
      <c r="J6413">
        <v>-192.0626</v>
      </c>
      <c r="K6413">
        <v>1.110498</v>
      </c>
      <c r="L6413">
        <v>61.356749999999998</v>
      </c>
      <c r="M6413">
        <v>-6.8959309999999999E-4</v>
      </c>
      <c r="N6413">
        <v>0</v>
      </c>
      <c r="O6413">
        <v>0.99989890000000003</v>
      </c>
      <c r="P6413">
        <v>-1.142371E-2</v>
      </c>
      <c r="Q6413">
        <v>-3.8674310000000003E-2</v>
      </c>
      <c r="R6413">
        <v>0.99918660000000004</v>
      </c>
      <c r="S6413">
        <v>0.348205599999999</v>
      </c>
      <c r="T6413">
        <v>-0.76330209999999998</v>
      </c>
      <c r="U6413">
        <v>2.9783940000000002</v>
      </c>
      <c r="V6413">
        <v>-1.0735730000000001E-2</v>
      </c>
      <c r="W6413">
        <v>-2.4479230000000001E-2</v>
      </c>
      <c r="X6413">
        <v>0.9996427</v>
      </c>
      <c r="Y6413">
        <v>0.11321639999999999</v>
      </c>
      <c r="Z6413">
        <v>-0.2466701</v>
      </c>
      <c r="AA6413">
        <v>0.96246350000000003</v>
      </c>
      <c r="AB6413">
        <v>29</v>
      </c>
      <c r="AC6413">
        <v>8.91000000000019E-2</v>
      </c>
      <c r="AD6413">
        <v>-0.1948368</v>
      </c>
      <c r="AE6413">
        <v>0.46183000000000601</v>
      </c>
      <c r="AF6413">
        <v>7.6321967789989495E-2</v>
      </c>
      <c r="AG6413">
        <v>-0.1948368</v>
      </c>
      <c r="AH6413">
        <v>0.39413635575469402</v>
      </c>
      <c r="AI6413">
        <v>115.88836666060899</v>
      </c>
      <c r="AJ6413">
        <v>79.040681240004403</v>
      </c>
      <c r="AK6413">
        <v>0.44623972069860302</v>
      </c>
      <c r="AL6413">
        <v>91.402696667400406</v>
      </c>
      <c r="AM6413">
        <v>90.615308221596806</v>
      </c>
      <c r="AN6413">
        <v>1.00000000813165</v>
      </c>
    </row>
    <row r="6414" spans="1:40" x14ac:dyDescent="0.3">
      <c r="A6414" t="str">
        <f>"20200111160635441"</f>
        <v>20200111160635441</v>
      </c>
      <c r="B6414" t="str">
        <f>"1578729995439445"</f>
        <v>1578729995439445</v>
      </c>
      <c r="C6414" t="s">
        <v>40</v>
      </c>
      <c r="D6414">
        <v>5.6361100000000004</v>
      </c>
      <c r="E6414">
        <v>0.55521960000000004</v>
      </c>
      <c r="F6414" t="s">
        <v>42</v>
      </c>
      <c r="G6414">
        <v>-191.97370000000001</v>
      </c>
      <c r="H6414">
        <v>0.92159800000000003</v>
      </c>
      <c r="I6414">
        <v>62.082970000000003</v>
      </c>
      <c r="J6414">
        <v>-192.06280000000001</v>
      </c>
      <c r="K6414">
        <v>1.110492</v>
      </c>
      <c r="L6414">
        <v>61.64508</v>
      </c>
      <c r="M6414">
        <v>-6.8967639999999999E-4</v>
      </c>
      <c r="N6414">
        <v>0</v>
      </c>
      <c r="O6414">
        <v>0.99989899999999998</v>
      </c>
      <c r="P6414">
        <v>-8.6621030000000009E-3</v>
      </c>
      <c r="Q6414">
        <v>-3.8215480000000003E-2</v>
      </c>
      <c r="R6414">
        <v>0.99923200000000001</v>
      </c>
      <c r="S6414">
        <v>0.36355589999999999</v>
      </c>
      <c r="T6414">
        <v>-0.77424809999999999</v>
      </c>
      <c r="U6414">
        <v>2.9766240000000002</v>
      </c>
      <c r="V6414">
        <v>-7.9739700000000004E-3</v>
      </c>
      <c r="W6414">
        <v>-2.4022990000000001E-2</v>
      </c>
      <c r="X6414">
        <v>0.9996796</v>
      </c>
      <c r="Y6414">
        <v>0.11807140000000001</v>
      </c>
      <c r="Z6414">
        <v>-0.24998229999999999</v>
      </c>
      <c r="AA6414">
        <v>0.96102449999999995</v>
      </c>
      <c r="AB6414">
        <v>29</v>
      </c>
      <c r="AC6414">
        <v>8.91000000000019E-2</v>
      </c>
      <c r="AD6414">
        <v>-0.18889400000000001</v>
      </c>
      <c r="AE6414">
        <v>0.43788999999998801</v>
      </c>
      <c r="AF6414">
        <v>7.5848953609601602E-2</v>
      </c>
      <c r="AG6414">
        <v>-0.18889400000000001</v>
      </c>
      <c r="AH6414">
        <v>0.37145505326524703</v>
      </c>
      <c r="AI6414">
        <v>116.48447772495901</v>
      </c>
      <c r="AJ6414">
        <v>78.459189778774402</v>
      </c>
      <c r="AK6414">
        <v>0.42357155664180102</v>
      </c>
      <c r="AL6414">
        <v>91.376548368142494</v>
      </c>
      <c r="AM6414">
        <v>90.457011564291193</v>
      </c>
      <c r="AN6414">
        <v>0.99999999545113005</v>
      </c>
    </row>
    <row r="6415" spans="1:40" x14ac:dyDescent="0.3">
      <c r="A6415" t="str">
        <f>"20200111160635462"</f>
        <v>20200111160635462</v>
      </c>
      <c r="B6415" t="str">
        <f>"1578729995458965"</f>
        <v>1578729995458965</v>
      </c>
      <c r="C6415" t="s">
        <v>40</v>
      </c>
      <c r="D6415">
        <v>5.3359709999999998</v>
      </c>
      <c r="E6415">
        <v>0.55652170000000001</v>
      </c>
      <c r="F6415" t="s">
        <v>42</v>
      </c>
      <c r="G6415">
        <v>-191.97399999999999</v>
      </c>
      <c r="H6415">
        <v>0.92536470000000004</v>
      </c>
      <c r="I6415">
        <v>62.346020000000003</v>
      </c>
      <c r="J6415">
        <v>-192.06299999999999</v>
      </c>
      <c r="K6415">
        <v>1.1104799999999999</v>
      </c>
      <c r="L6415">
        <v>61.918520000000001</v>
      </c>
      <c r="M6415">
        <v>-6.8975630000000002E-4</v>
      </c>
      <c r="N6415">
        <v>0</v>
      </c>
      <c r="O6415">
        <v>0.99989899999999998</v>
      </c>
      <c r="P6415">
        <v>-6.2506970000000004E-3</v>
      </c>
      <c r="Q6415">
        <v>-3.8035190000000003E-2</v>
      </c>
      <c r="R6415">
        <v>0.99925679999999995</v>
      </c>
      <c r="S6415">
        <v>0.3769073</v>
      </c>
      <c r="T6415">
        <v>-0.78587479999999998</v>
      </c>
      <c r="U6415">
        <v>2.9755250000000002</v>
      </c>
      <c r="V6415">
        <v>-5.5624269999999896E-3</v>
      </c>
      <c r="W6415">
        <v>-2.3845379999999999E-2</v>
      </c>
      <c r="X6415">
        <v>0.99970020000000004</v>
      </c>
      <c r="Y6415">
        <v>0.1222461</v>
      </c>
      <c r="Z6415">
        <v>-0.25345210000000001</v>
      </c>
      <c r="AA6415">
        <v>0.95959260000000002</v>
      </c>
      <c r="AB6415">
        <v>29</v>
      </c>
      <c r="AC6415">
        <v>8.89999999999702E-2</v>
      </c>
      <c r="AD6415">
        <v>-0.18511530000000001</v>
      </c>
      <c r="AE6415">
        <v>0.42750000000000199</v>
      </c>
      <c r="AF6415">
        <v>7.5691870302721606E-2</v>
      </c>
      <c r="AG6415">
        <v>-0.18511530000000001</v>
      </c>
      <c r="AH6415">
        <v>0.36232334960296497</v>
      </c>
      <c r="AI6415">
        <v>116.57033866766</v>
      </c>
      <c r="AJ6415">
        <v>78.200215324431596</v>
      </c>
      <c r="AK6415">
        <v>0.41385401193117199</v>
      </c>
      <c r="AL6415">
        <v>91.366369120199906</v>
      </c>
      <c r="AM6415">
        <v>90.318795877083403</v>
      </c>
      <c r="AN6415">
        <v>1.0000000163107501</v>
      </c>
    </row>
    <row r="6416" spans="1:40" x14ac:dyDescent="0.3">
      <c r="A6416" t="str">
        <f>"20200111160635486"</f>
        <v>20200111160635486</v>
      </c>
      <c r="B6416" t="str">
        <f>"1578729995479460"</f>
        <v>1578729995479460</v>
      </c>
      <c r="C6416" t="s">
        <v>40</v>
      </c>
      <c r="D6416">
        <v>5.4446960000000004</v>
      </c>
      <c r="E6416">
        <v>0.55714770000000002</v>
      </c>
      <c r="F6416" t="s">
        <v>42</v>
      </c>
      <c r="G6416">
        <v>-191.97139999999999</v>
      </c>
      <c r="H6416">
        <v>0.92727020000000004</v>
      </c>
      <c r="I6416">
        <v>62.607990000000001</v>
      </c>
      <c r="J6416">
        <v>-192.06319999999999</v>
      </c>
      <c r="K6416">
        <v>1.1104540000000001</v>
      </c>
      <c r="L6416">
        <v>62.22278</v>
      </c>
      <c r="M6416">
        <v>-6.8984489999999999E-4</v>
      </c>
      <c r="N6416">
        <v>0</v>
      </c>
      <c r="O6416">
        <v>0.99989899999999998</v>
      </c>
      <c r="P6416">
        <v>-4.3914189999999997E-3</v>
      </c>
      <c r="Q6416">
        <v>-3.9320029999999999E-2</v>
      </c>
      <c r="R6416">
        <v>0.99921700000000002</v>
      </c>
      <c r="S6416">
        <v>0.3943024</v>
      </c>
      <c r="T6416">
        <v>-0.79042840000000003</v>
      </c>
      <c r="U6416">
        <v>2.9746090000000001</v>
      </c>
      <c r="V6416">
        <v>-3.7031949999999998E-3</v>
      </c>
      <c r="W6416">
        <v>-2.513394E-2</v>
      </c>
      <c r="X6416">
        <v>0.99967720000000004</v>
      </c>
      <c r="Y6416">
        <v>0.12775590000000001</v>
      </c>
      <c r="Z6416">
        <v>-0.25471969999999999</v>
      </c>
      <c r="AA6416">
        <v>0.95853869999999997</v>
      </c>
      <c r="AB6416">
        <v>29</v>
      </c>
      <c r="AC6416">
        <v>9.1800000000006293E-2</v>
      </c>
      <c r="AD6416">
        <v>-0.18318380000000001</v>
      </c>
      <c r="AE6416">
        <v>0.385209999999993</v>
      </c>
      <c r="AF6416">
        <v>7.5837440820078303E-2</v>
      </c>
      <c r="AG6416">
        <v>-0.18318380000000001</v>
      </c>
      <c r="AH6416">
        <v>0.31725732611761998</v>
      </c>
      <c r="AI6416">
        <v>119.317549847921</v>
      </c>
      <c r="AJ6416">
        <v>76.556243671358502</v>
      </c>
      <c r="AK6416">
        <v>0.37411205939915998</v>
      </c>
      <c r="AL6416">
        <v>91.440220394875894</v>
      </c>
      <c r="AM6416">
        <v>90.212244986367693</v>
      </c>
      <c r="AN6416">
        <v>0.99999996639648503</v>
      </c>
    </row>
    <row r="6417" spans="1:40" x14ac:dyDescent="0.3">
      <c r="A6417" t="str">
        <f>"20200111160635519"</f>
        <v>20200111160635519</v>
      </c>
      <c r="B6417" t="str">
        <f>"1578729995508743"</f>
        <v>1578729995508743</v>
      </c>
      <c r="C6417" t="s">
        <v>40</v>
      </c>
      <c r="D6417">
        <v>5.6536309999999999</v>
      </c>
      <c r="E6417">
        <v>0.51988699999999999</v>
      </c>
      <c r="F6417" t="s">
        <v>42</v>
      </c>
      <c r="G6417">
        <v>-191.94290000000001</v>
      </c>
      <c r="H6417">
        <v>0.87333179999999999</v>
      </c>
      <c r="I6417">
        <v>63.106290000000001</v>
      </c>
      <c r="J6417">
        <v>-192.0635</v>
      </c>
      <c r="K6417">
        <v>1.1104099999999999</v>
      </c>
      <c r="L6417">
        <v>62.658869999999901</v>
      </c>
      <c r="M6417">
        <v>-6.8997419999999995E-4</v>
      </c>
      <c r="N6417">
        <v>0</v>
      </c>
      <c r="O6417">
        <v>0.99989910000000004</v>
      </c>
      <c r="P6417">
        <v>-6.2331590000000003E-3</v>
      </c>
      <c r="Q6417">
        <v>-4.147021E-2</v>
      </c>
      <c r="R6417">
        <v>0.99912029999999996</v>
      </c>
      <c r="S6417">
        <v>0.40423579999999998</v>
      </c>
      <c r="T6417">
        <v>-0.79782410000000004</v>
      </c>
      <c r="U6417">
        <v>2.9727169999999998</v>
      </c>
      <c r="V6417">
        <v>-5.5447780000000002E-3</v>
      </c>
      <c r="W6417">
        <v>-2.728972E-2</v>
      </c>
      <c r="X6417">
        <v>0.99961219999999995</v>
      </c>
      <c r="Y6417">
        <v>0.13090009999999999</v>
      </c>
      <c r="Z6417">
        <v>-0.2569902</v>
      </c>
      <c r="AA6417">
        <v>0.95750780000000002</v>
      </c>
      <c r="AB6417">
        <v>29</v>
      </c>
      <c r="AC6417">
        <v>0.120599999999996</v>
      </c>
      <c r="AD6417">
        <v>-0.23707819999999999</v>
      </c>
      <c r="AE6417">
        <v>0.44742000000000798</v>
      </c>
      <c r="AF6417">
        <v>9.5825935916078603E-2</v>
      </c>
      <c r="AG6417">
        <v>-0.23707819999999999</v>
      </c>
      <c r="AH6417">
        <v>0.354535709258267</v>
      </c>
      <c r="AI6417">
        <v>122.84371710033599</v>
      </c>
      <c r="AJ6417">
        <v>74.875168280674899</v>
      </c>
      <c r="AK6417">
        <v>0.43713184744272998</v>
      </c>
      <c r="AL6417">
        <v>91.563779901137494</v>
      </c>
      <c r="AM6417">
        <v>90.317812367135303</v>
      </c>
      <c r="AN6417">
        <v>1.00000001188479</v>
      </c>
    </row>
    <row r="6418" spans="1:40" x14ac:dyDescent="0.3">
      <c r="A6418" t="str">
        <f>"20200111160635541"</f>
        <v>20200111160635541</v>
      </c>
      <c r="B6418" t="str">
        <f>"1578729995538996"</f>
        <v>1578729995538996</v>
      </c>
      <c r="C6418" t="s">
        <v>40</v>
      </c>
      <c r="D6418">
        <v>5.2853719999999997</v>
      </c>
      <c r="E6418">
        <v>0.51130489999999995</v>
      </c>
      <c r="F6418" t="s">
        <v>42</v>
      </c>
      <c r="G6418">
        <v>-192.03360000000001</v>
      </c>
      <c r="H6418">
        <v>0.98092880000000005</v>
      </c>
      <c r="I6418">
        <v>63.415419999999997</v>
      </c>
      <c r="J6418">
        <v>-192.06370000000001</v>
      </c>
      <c r="K6418">
        <v>1.1103940000000001</v>
      </c>
      <c r="L6418">
        <v>62.940860000000001</v>
      </c>
      <c r="M6418">
        <v>-6.9005529999999996E-4</v>
      </c>
      <c r="N6418">
        <v>0</v>
      </c>
      <c r="O6418">
        <v>0.99989910000000004</v>
      </c>
      <c r="P6418">
        <v>-8.4826290000000002E-3</v>
      </c>
      <c r="Q6418">
        <v>-4.2852830000000001E-2</v>
      </c>
      <c r="R6418">
        <v>0.99904539999999997</v>
      </c>
      <c r="S6418">
        <v>0.1177521</v>
      </c>
      <c r="T6418">
        <v>-0.51039509999999999</v>
      </c>
      <c r="U6418">
        <v>2.9821780000000002</v>
      </c>
      <c r="V6418">
        <v>-7.7947349999999997E-3</v>
      </c>
      <c r="W6418">
        <v>-2.867604E-2</v>
      </c>
      <c r="X6418">
        <v>0.99955839999999996</v>
      </c>
      <c r="Y6418">
        <v>3.957952E-2</v>
      </c>
      <c r="Z6418">
        <v>-0.16856559999999901</v>
      </c>
      <c r="AA6418">
        <v>0.98489550000000003</v>
      </c>
      <c r="AB6418">
        <v>29</v>
      </c>
      <c r="AC6418">
        <v>3.0100000000004401E-2</v>
      </c>
      <c r="AD6418">
        <v>-0.1294652</v>
      </c>
      <c r="AE6418">
        <v>0.47455999999999599</v>
      </c>
      <c r="AF6418">
        <v>2.83276375429014E-2</v>
      </c>
      <c r="AG6418">
        <v>-0.1294652</v>
      </c>
      <c r="AH6418">
        <v>0.44179024619198798</v>
      </c>
      <c r="AI6418">
        <v>106.30135819219799</v>
      </c>
      <c r="AJ6418">
        <v>86.331210965557503</v>
      </c>
      <c r="AK6418">
        <v>0.46123997516496701</v>
      </c>
      <c r="AL6418">
        <v>91.643241272019395</v>
      </c>
      <c r="AM6418">
        <v>90.446793669408905</v>
      </c>
      <c r="AN6418">
        <v>1.00000003408718</v>
      </c>
    </row>
    <row r="6419" spans="1:40" x14ac:dyDescent="0.3">
      <c r="A6419" t="str">
        <f>"20200111160635563"</f>
        <v>20200111160635563</v>
      </c>
      <c r="B6419" t="str">
        <f>"1578729995559492"</f>
        <v>1578729995559492</v>
      </c>
      <c r="C6419" t="s">
        <v>40</v>
      </c>
      <c r="D6419">
        <v>5.270162</v>
      </c>
      <c r="E6419">
        <v>0.51087729999999998</v>
      </c>
      <c r="F6419" t="s">
        <v>42</v>
      </c>
      <c r="G6419">
        <v>-192.05109999999999</v>
      </c>
      <c r="H6419">
        <v>1.0136229999999999</v>
      </c>
      <c r="I6419">
        <v>63.691490000000002</v>
      </c>
      <c r="J6419">
        <v>-192.06389999999999</v>
      </c>
      <c r="K6419">
        <v>1.110376</v>
      </c>
      <c r="L6419">
        <v>63.222900000000003</v>
      </c>
      <c r="M6419">
        <v>-6.9012679999999995E-4</v>
      </c>
      <c r="N6419">
        <v>0</v>
      </c>
      <c r="O6419">
        <v>0.99989919999999999</v>
      </c>
      <c r="P6419">
        <v>-1.113022E-2</v>
      </c>
      <c r="Q6419">
        <v>-4.5235839999999999E-2</v>
      </c>
      <c r="R6419">
        <v>0.99891430000000003</v>
      </c>
      <c r="S6419">
        <v>4.9728389999999997E-2</v>
      </c>
      <c r="T6419">
        <v>-0.38507400000000003</v>
      </c>
      <c r="U6419">
        <v>2.986755</v>
      </c>
      <c r="V6419">
        <v>-1.0442089999999999E-2</v>
      </c>
      <c r="W6419">
        <v>-3.1063420000000001E-2</v>
      </c>
      <c r="X6419">
        <v>0.99946279999999998</v>
      </c>
      <c r="Y6419">
        <v>1.720081E-2</v>
      </c>
      <c r="Z6419">
        <v>-0.12785060000000001</v>
      </c>
      <c r="AA6419">
        <v>0.99164430000000003</v>
      </c>
      <c r="AB6419">
        <v>29</v>
      </c>
      <c r="AC6419">
        <v>1.27999999999985E-2</v>
      </c>
      <c r="AD6419">
        <v>-9.6753000000000006E-2</v>
      </c>
      <c r="AE6419">
        <v>0.46858999999999901</v>
      </c>
      <c r="AF6419">
        <v>1.25871901893485E-2</v>
      </c>
      <c r="AG6419">
        <v>-9.6753000000000006E-2</v>
      </c>
      <c r="AH6419">
        <v>0.44943472399647499</v>
      </c>
      <c r="AI6419">
        <v>102.144433467742</v>
      </c>
      <c r="AJ6419">
        <v>88.395752793836706</v>
      </c>
      <c r="AK6419">
        <v>0.45990341540333302</v>
      </c>
      <c r="AL6419">
        <v>91.780089343227104</v>
      </c>
      <c r="AM6419">
        <v>90.598587480320404</v>
      </c>
      <c r="AN6419">
        <v>0.99999993094474904</v>
      </c>
    </row>
    <row r="6420" spans="1:40" x14ac:dyDescent="0.3">
      <c r="A6420" t="str">
        <f>"20200111160635587"</f>
        <v>20200111160635587</v>
      </c>
      <c r="B6420" t="str">
        <f>"1578729995579012"</f>
        <v>1578729995579012</v>
      </c>
      <c r="C6420" t="s">
        <v>40</v>
      </c>
      <c r="D6420">
        <v>5.089626</v>
      </c>
      <c r="E6420">
        <v>0.51129420000000003</v>
      </c>
      <c r="F6420" t="s">
        <v>42</v>
      </c>
      <c r="G6420">
        <v>-192.05459999999999</v>
      </c>
      <c r="H6420">
        <v>1.0141169999999999</v>
      </c>
      <c r="I6420">
        <v>63.9512</v>
      </c>
      <c r="J6420">
        <v>-192.0641</v>
      </c>
      <c r="K6420">
        <v>1.11036</v>
      </c>
      <c r="L6420">
        <v>63.526339999999998</v>
      </c>
      <c r="M6420">
        <v>-6.9019820000000001E-4</v>
      </c>
      <c r="N6420">
        <v>0</v>
      </c>
      <c r="O6420">
        <v>0.99989919999999999</v>
      </c>
      <c r="P6420">
        <v>-1.408587E-2</v>
      </c>
      <c r="Q6420">
        <v>-4.7703530000000001E-2</v>
      </c>
      <c r="R6420">
        <v>0.99876220000000004</v>
      </c>
      <c r="S6420">
        <v>3.7857059999999998E-2</v>
      </c>
      <c r="T6420">
        <v>-0.3946288</v>
      </c>
      <c r="U6420">
        <v>2.9858090000000002</v>
      </c>
      <c r="V6420">
        <v>-1.3398159999999999E-2</v>
      </c>
      <c r="W6420">
        <v>-3.3535990000000002E-2</v>
      </c>
      <c r="X6420">
        <v>0.99934769999999995</v>
      </c>
      <c r="Y6420">
        <v>1.3258900000000001E-2</v>
      </c>
      <c r="Z6420">
        <v>-0.13101769999999999</v>
      </c>
      <c r="AA6420">
        <v>0.99129129999999999</v>
      </c>
      <c r="AB6420">
        <v>29</v>
      </c>
      <c r="AC6420">
        <v>9.5000000000027198E-3</v>
      </c>
      <c r="AD6420">
        <v>-9.6242999999999995E-2</v>
      </c>
      <c r="AE6420">
        <v>0.42485999999999502</v>
      </c>
      <c r="AF6420">
        <v>9.3154774832695693E-3</v>
      </c>
      <c r="AG6420">
        <v>-9.6242999999999995E-2</v>
      </c>
      <c r="AH6420">
        <v>0.40412587635562502</v>
      </c>
      <c r="AI6420">
        <v>103.3920944748</v>
      </c>
      <c r="AJ6420">
        <v>88.679512814463493</v>
      </c>
      <c r="AK6420">
        <v>0.41553245012867901</v>
      </c>
      <c r="AL6420">
        <v>91.921831040048801</v>
      </c>
      <c r="AM6420">
        <v>90.768113072098998</v>
      </c>
      <c r="AN6420">
        <v>0.99999999940597695</v>
      </c>
    </row>
    <row r="6421" spans="1:40" x14ac:dyDescent="0.3">
      <c r="A6421" t="str">
        <f>"20200111160635609"</f>
        <v>20200111160635609</v>
      </c>
      <c r="B6421" t="str">
        <f>"1578729995599508"</f>
        <v>1578729995599508</v>
      </c>
      <c r="C6421" t="s">
        <v>40</v>
      </c>
      <c r="D6421">
        <v>5.1300429999999997</v>
      </c>
      <c r="E6421">
        <v>0.51134199999999996</v>
      </c>
      <c r="F6421" t="s">
        <v>42</v>
      </c>
      <c r="G6421">
        <v>-192.054</v>
      </c>
      <c r="H6421">
        <v>0.98537490000000005</v>
      </c>
      <c r="I6421">
        <v>64.455060000000003</v>
      </c>
      <c r="J6421">
        <v>-192.0643</v>
      </c>
      <c r="K6421">
        <v>1.110352</v>
      </c>
      <c r="L6421">
        <v>63.815159999999999</v>
      </c>
      <c r="M6421">
        <v>-6.9027309999999996E-4</v>
      </c>
      <c r="N6421">
        <v>0</v>
      </c>
      <c r="O6421">
        <v>0.99989930000000005</v>
      </c>
      <c r="P6421">
        <v>-1.648993E-2</v>
      </c>
      <c r="Q6421">
        <v>-4.9679800000000003E-2</v>
      </c>
      <c r="R6421">
        <v>0.99862899999999999</v>
      </c>
      <c r="S6421">
        <v>3.225708E-2</v>
      </c>
      <c r="T6421">
        <v>-0.40172049999999998</v>
      </c>
      <c r="U6421">
        <v>2.984985</v>
      </c>
      <c r="V6421">
        <v>-1.580206E-2</v>
      </c>
      <c r="W6421">
        <v>-3.5516909999999999E-2</v>
      </c>
      <c r="X6421">
        <v>0.99924420000000003</v>
      </c>
      <c r="Y6421">
        <v>1.1399579999999999E-2</v>
      </c>
      <c r="Z6421">
        <v>-0.13336970000000001</v>
      </c>
      <c r="AA6421">
        <v>0.99100080000000002</v>
      </c>
      <c r="AB6421">
        <v>29</v>
      </c>
      <c r="AC6421">
        <v>1.03000000000008E-2</v>
      </c>
      <c r="AD6421">
        <v>-0.12497709999999999</v>
      </c>
      <c r="AE6421">
        <v>0.63990000000000402</v>
      </c>
      <c r="AF6421">
        <v>1.0347158423946699E-2</v>
      </c>
      <c r="AG6421">
        <v>-0.12497709999999999</v>
      </c>
      <c r="AH6421">
        <v>0.61638680412424796</v>
      </c>
      <c r="AI6421">
        <v>101.460200869875</v>
      </c>
      <c r="AJ6421">
        <v>89.038277871044798</v>
      </c>
      <c r="AK6421">
        <v>0.62901433331074796</v>
      </c>
      <c r="AL6421">
        <v>92.035396993441793</v>
      </c>
      <c r="AM6421">
        <v>90.906000637894707</v>
      </c>
      <c r="AN6421">
        <v>1.00000006361491</v>
      </c>
    </row>
    <row r="6422" spans="1:40" x14ac:dyDescent="0.3">
      <c r="A6422" t="str">
        <f>"20200111160635632"</f>
        <v>20200111160635632</v>
      </c>
      <c r="B6422" t="str">
        <f>"1578729995628788"</f>
        <v>1578729995628788</v>
      </c>
      <c r="C6422" t="s">
        <v>40</v>
      </c>
      <c r="D6422">
        <v>5.1122430000000003</v>
      </c>
      <c r="E6422">
        <v>0.51185670000000005</v>
      </c>
      <c r="F6422" t="s">
        <v>42</v>
      </c>
      <c r="G6422">
        <v>-192.0564</v>
      </c>
      <c r="H6422">
        <v>0.98892279999999999</v>
      </c>
      <c r="I6422">
        <v>64.715319999999906</v>
      </c>
      <c r="J6422">
        <v>-192.06450000000001</v>
      </c>
      <c r="K6422">
        <v>1.1103459999999901</v>
      </c>
      <c r="L6422">
        <v>64.119019999999907</v>
      </c>
      <c r="M6422">
        <v>-6.9036819999999997E-4</v>
      </c>
      <c r="N6422">
        <v>0</v>
      </c>
      <c r="O6422">
        <v>0.99989930000000005</v>
      </c>
      <c r="P6422">
        <v>-1.7482359999999999E-2</v>
      </c>
      <c r="Q6422">
        <v>-4.9826370000000002E-2</v>
      </c>
      <c r="R6422">
        <v>0.99860490000000002</v>
      </c>
      <c r="S6422">
        <v>2.554321E-2</v>
      </c>
      <c r="T6422">
        <v>-0.402619</v>
      </c>
      <c r="U6422">
        <v>2.9844970000000002</v>
      </c>
      <c r="V6422">
        <v>-1.6793990000000002E-2</v>
      </c>
      <c r="W6422">
        <v>-3.5667030000000002E-2</v>
      </c>
      <c r="X6422">
        <v>0.99922259999999996</v>
      </c>
      <c r="Y6422">
        <v>9.171907E-3</v>
      </c>
      <c r="Z6422">
        <v>-0.13368720000000001</v>
      </c>
      <c r="AA6422">
        <v>0.99098120000000001</v>
      </c>
      <c r="AB6422">
        <v>29</v>
      </c>
      <c r="AC6422">
        <v>8.1000000000130898E-3</v>
      </c>
      <c r="AD6422">
        <v>-0.121423199999999</v>
      </c>
      <c r="AE6422">
        <v>0.59629999999999905</v>
      </c>
      <c r="AF6422">
        <v>8.1728859849529208E-3</v>
      </c>
      <c r="AG6422">
        <v>-0.121423199999999</v>
      </c>
      <c r="AH6422">
        <v>0.57255796322491304</v>
      </c>
      <c r="AI6422">
        <v>101.97221981456499</v>
      </c>
      <c r="AJ6422">
        <v>89.182196209245703</v>
      </c>
      <c r="AK6422">
        <v>0.58534862331419601</v>
      </c>
      <c r="AL6422">
        <v>92.044003839545397</v>
      </c>
      <c r="AM6422">
        <v>90.962882706393401</v>
      </c>
      <c r="AN6422">
        <v>0.99999998973994997</v>
      </c>
    </row>
    <row r="6423" spans="1:40" x14ac:dyDescent="0.3">
      <c r="A6423" t="str">
        <f>"20200111160635653"</f>
        <v>20200111160635653</v>
      </c>
      <c r="B6423" t="str">
        <f>"1578729995649284"</f>
        <v>1578729995649284</v>
      </c>
      <c r="C6423" t="s">
        <v>40</v>
      </c>
      <c r="D6423">
        <v>5.1702279999999998</v>
      </c>
      <c r="E6423">
        <v>0.51186379999999998</v>
      </c>
      <c r="F6423" t="s">
        <v>42</v>
      </c>
      <c r="G6423">
        <v>-192.0566</v>
      </c>
      <c r="H6423">
        <v>0.99899360000000004</v>
      </c>
      <c r="I6423">
        <v>64.978390000000005</v>
      </c>
      <c r="J6423">
        <v>-192.06469999999999</v>
      </c>
      <c r="K6423">
        <v>1.110349</v>
      </c>
      <c r="L6423">
        <v>64.393369999999905</v>
      </c>
      <c r="M6423">
        <v>-6.904573E-4</v>
      </c>
      <c r="N6423">
        <v>0</v>
      </c>
      <c r="O6423">
        <v>0.99989930000000005</v>
      </c>
      <c r="P6423">
        <v>-1.7758070000000001E-2</v>
      </c>
      <c r="Q6423">
        <v>-4.8470659999999999E-2</v>
      </c>
      <c r="R6423">
        <v>0.99866679999999997</v>
      </c>
      <c r="S6423">
        <v>2.7297970000000001E-2</v>
      </c>
      <c r="T6423">
        <v>-0.3868299</v>
      </c>
      <c r="U6423">
        <v>2.9853519999999998</v>
      </c>
      <c r="V6423">
        <v>-1.706972E-2</v>
      </c>
      <c r="W6423">
        <v>-3.4313509999999998E-2</v>
      </c>
      <c r="X6423">
        <v>0.99926530000000002</v>
      </c>
      <c r="Y6423">
        <v>9.7582880000000004E-3</v>
      </c>
      <c r="Z6423">
        <v>-0.128496</v>
      </c>
      <c r="AA6423">
        <v>0.99166200000000004</v>
      </c>
      <c r="AB6423">
        <v>29</v>
      </c>
      <c r="AC6423">
        <v>8.0999999999846698E-3</v>
      </c>
      <c r="AD6423">
        <v>-0.11135539999999999</v>
      </c>
      <c r="AE6423">
        <v>0.58502000000001397</v>
      </c>
      <c r="AF6423">
        <v>8.2066898332127502E-3</v>
      </c>
      <c r="AG6423">
        <v>-0.11135539999999999</v>
      </c>
      <c r="AH6423">
        <v>0.56456345088967297</v>
      </c>
      <c r="AI6423">
        <v>101.156737196706</v>
      </c>
      <c r="AJ6423">
        <v>89.167187363143697</v>
      </c>
      <c r="AK6423">
        <v>0.57549914417628301</v>
      </c>
      <c r="AL6423">
        <v>91.966405378710206</v>
      </c>
      <c r="AM6423">
        <v>90.978646811614993</v>
      </c>
      <c r="AN6423">
        <v>0.99999996604674302</v>
      </c>
    </row>
    <row r="6424" spans="1:40" x14ac:dyDescent="0.3">
      <c r="A6424" t="str">
        <f>"20200111160635676"</f>
        <v>20200111160635676</v>
      </c>
      <c r="B6424" t="str">
        <f>"1578729995668804"</f>
        <v>1578729995668804</v>
      </c>
      <c r="C6424" t="s">
        <v>40</v>
      </c>
      <c r="D6424">
        <v>5.1396990000000002</v>
      </c>
      <c r="E6424">
        <v>0.51213260000000005</v>
      </c>
      <c r="F6424" t="s">
        <v>42</v>
      </c>
      <c r="G6424">
        <v>-192.05709999999999</v>
      </c>
      <c r="H6424">
        <v>1.002837</v>
      </c>
      <c r="I6424">
        <v>65.238140000000001</v>
      </c>
      <c r="J6424">
        <v>-192.06489999999999</v>
      </c>
      <c r="K6424">
        <v>1.110347</v>
      </c>
      <c r="L6424">
        <v>64.687899999999999</v>
      </c>
      <c r="M6424">
        <v>-6.9054179999999998E-4</v>
      </c>
      <c r="N6424">
        <v>0</v>
      </c>
      <c r="O6424">
        <v>0.99989939999999999</v>
      </c>
      <c r="P6424">
        <v>-1.7111850000000001E-2</v>
      </c>
      <c r="Q6424">
        <v>-4.6731059999999998E-2</v>
      </c>
      <c r="R6424">
        <v>0.99876089999999995</v>
      </c>
      <c r="S6424">
        <v>2.632141E-2</v>
      </c>
      <c r="T6424">
        <v>-0.38003579999999998</v>
      </c>
      <c r="U6424">
        <v>2.9860229999999999</v>
      </c>
      <c r="V6424">
        <v>-1.6423130000000001E-2</v>
      </c>
      <c r="W6424">
        <v>-3.257591E-2</v>
      </c>
      <c r="X6424">
        <v>0.99933430000000001</v>
      </c>
      <c r="Y6424">
        <v>9.4345850000000005E-3</v>
      </c>
      <c r="Z6424">
        <v>-0.1262479</v>
      </c>
      <c r="AA6424">
        <v>0.9919538</v>
      </c>
      <c r="AB6424">
        <v>29</v>
      </c>
      <c r="AC6424">
        <v>7.80000000000313E-3</v>
      </c>
      <c r="AD6424">
        <v>-0.10750999999999999</v>
      </c>
      <c r="AE6424">
        <v>0.55024000000000195</v>
      </c>
      <c r="AF6424">
        <v>7.8792597435758307E-3</v>
      </c>
      <c r="AG6424">
        <v>-0.10750999999999999</v>
      </c>
      <c r="AH6424">
        <v>0.53000493948523397</v>
      </c>
      <c r="AI6424">
        <v>101.46546923211601</v>
      </c>
      <c r="AJ6424">
        <v>89.148281380708298</v>
      </c>
      <c r="AK6424">
        <v>0.54085646775540497</v>
      </c>
      <c r="AL6424">
        <v>91.866792470908607</v>
      </c>
      <c r="AM6424">
        <v>90.941518105205802</v>
      </c>
      <c r="AN6424">
        <v>0.99999997613390701</v>
      </c>
    </row>
    <row r="6425" spans="1:40" x14ac:dyDescent="0.3">
      <c r="A6425" t="str">
        <f>"20200111160635699"</f>
        <v>20200111160635699</v>
      </c>
      <c r="B6425" t="str">
        <f>"1578729995689300"</f>
        <v>1578729995689300</v>
      </c>
      <c r="C6425" t="s">
        <v>40</v>
      </c>
      <c r="D6425">
        <v>5.0092980000000003</v>
      </c>
      <c r="E6425">
        <v>0.5124744</v>
      </c>
      <c r="F6425" t="s">
        <v>42</v>
      </c>
      <c r="G6425">
        <v>-192.0566</v>
      </c>
      <c r="H6425">
        <v>1.0093589999999999</v>
      </c>
      <c r="I6425">
        <v>65.498859999999993</v>
      </c>
      <c r="J6425">
        <v>-192.0651</v>
      </c>
      <c r="K6425">
        <v>1.110347</v>
      </c>
      <c r="L6425">
        <v>64.980590000000007</v>
      </c>
      <c r="M6425">
        <v>-6.9061250000000002E-4</v>
      </c>
      <c r="N6425">
        <v>0</v>
      </c>
      <c r="O6425">
        <v>0.99989939999999999</v>
      </c>
      <c r="P6425">
        <v>-1.5490429999999999E-2</v>
      </c>
      <c r="Q6425">
        <v>-4.422239E-2</v>
      </c>
      <c r="R6425">
        <v>0.99890159999999995</v>
      </c>
      <c r="S6425">
        <v>3.048706E-2</v>
      </c>
      <c r="T6425">
        <v>-0.37195489999999998</v>
      </c>
      <c r="U6425">
        <v>2.986847</v>
      </c>
      <c r="V6425">
        <v>-1.4801720000000001E-2</v>
      </c>
      <c r="W6425">
        <v>-3.0068629999999999E-2</v>
      </c>
      <c r="X6425">
        <v>0.99943820000000005</v>
      </c>
      <c r="Y6425">
        <v>1.0818990000000001E-2</v>
      </c>
      <c r="Z6425">
        <v>-0.1235696</v>
      </c>
      <c r="AA6425">
        <v>0.99227690000000002</v>
      </c>
      <c r="AB6425">
        <v>29</v>
      </c>
      <c r="AC6425">
        <v>8.4999999999979502E-3</v>
      </c>
      <c r="AD6425">
        <v>-0.100987999999999</v>
      </c>
      <c r="AE6425">
        <v>0.51826999999998602</v>
      </c>
      <c r="AF6425">
        <v>8.5340179561602305E-3</v>
      </c>
      <c r="AG6425">
        <v>-0.100987999999999</v>
      </c>
      <c r="AH6425">
        <v>0.49931084684507798</v>
      </c>
      <c r="AI6425">
        <v>101.43247264771</v>
      </c>
      <c r="AJ6425">
        <v>89.020819174640494</v>
      </c>
      <c r="AK6425">
        <v>0.50949261759482301</v>
      </c>
      <c r="AL6425">
        <v>91.723065366121006</v>
      </c>
      <c r="AM6425">
        <v>90.848490770903794</v>
      </c>
      <c r="AN6425">
        <v>0.99999996452213702</v>
      </c>
    </row>
    <row r="6426" spans="1:40" x14ac:dyDescent="0.3">
      <c r="A6426" t="str">
        <f>"20200111160635722"</f>
        <v>20200111160635722</v>
      </c>
      <c r="B6426" t="str">
        <f>"1578729995718580"</f>
        <v>1578729995718580</v>
      </c>
      <c r="C6426" t="s">
        <v>40</v>
      </c>
      <c r="D6426">
        <v>5.0819530000000004</v>
      </c>
      <c r="E6426">
        <v>0.51266099999999903</v>
      </c>
      <c r="F6426" t="s">
        <v>42</v>
      </c>
      <c r="G6426">
        <v>-192.05510000000001</v>
      </c>
      <c r="H6426">
        <v>1.0158119999999999</v>
      </c>
      <c r="I6426">
        <v>65.759209999999996</v>
      </c>
      <c r="J6426">
        <v>-192.06530000000001</v>
      </c>
      <c r="K6426">
        <v>1.11036</v>
      </c>
      <c r="L6426">
        <v>65.272030000000001</v>
      </c>
      <c r="M6426">
        <v>-6.9066220000000005E-4</v>
      </c>
      <c r="N6426">
        <v>0</v>
      </c>
      <c r="O6426">
        <v>0.99989899999999998</v>
      </c>
      <c r="P6426">
        <v>-1.281996E-2</v>
      </c>
      <c r="Q6426">
        <v>-4.3774430000000003E-2</v>
      </c>
      <c r="R6426">
        <v>0.99895919999999905</v>
      </c>
      <c r="S6426">
        <v>3.7887570000000002E-2</v>
      </c>
      <c r="T6426">
        <v>-0.36276900000000001</v>
      </c>
      <c r="U6426">
        <v>2.9878230000000001</v>
      </c>
      <c r="V6426">
        <v>-1.213115E-2</v>
      </c>
      <c r="W6426">
        <v>-2.9584849999999999E-2</v>
      </c>
      <c r="X6426">
        <v>0.99948870000000001</v>
      </c>
      <c r="Y6426">
        <v>1.3277890000000001E-2</v>
      </c>
      <c r="Z6426">
        <v>-0.1205205</v>
      </c>
      <c r="AA6426">
        <v>0.992622</v>
      </c>
      <c r="AB6426">
        <v>29</v>
      </c>
      <c r="AC6426">
        <v>1.0199999999997499E-2</v>
      </c>
      <c r="AD6426">
        <v>-9.4547999999999799E-2</v>
      </c>
      <c r="AE6426">
        <v>0.48717999999999501</v>
      </c>
      <c r="AF6426">
        <v>1.01542276017912E-2</v>
      </c>
      <c r="AG6426">
        <v>-9.4547999999999799E-2</v>
      </c>
      <c r="AH6426">
        <v>0.46949746045222801</v>
      </c>
      <c r="AI6426">
        <v>101.383417342036</v>
      </c>
      <c r="AJ6426">
        <v>88.761007788138997</v>
      </c>
      <c r="AK6426">
        <v>0.47903058150109901</v>
      </c>
      <c r="AL6426">
        <v>91.695334338611701</v>
      </c>
      <c r="AM6426">
        <v>90.695385117870401</v>
      </c>
      <c r="AN6426">
        <v>1.00000004478876</v>
      </c>
    </row>
    <row r="6427" spans="1:40" x14ac:dyDescent="0.3">
      <c r="A6427" t="str">
        <f>"20200111160635742"</f>
        <v>20200111160635742</v>
      </c>
      <c r="B6427" t="str">
        <f>"1578729995739076"</f>
        <v>1578729995739076</v>
      </c>
      <c r="C6427" t="s">
        <v>40</v>
      </c>
      <c r="D6427">
        <v>5.0697609999999997</v>
      </c>
      <c r="E6427">
        <v>0.51266880000000004</v>
      </c>
      <c r="F6427" t="s">
        <v>42</v>
      </c>
      <c r="G6427">
        <v>-192.05350000000001</v>
      </c>
      <c r="H6427">
        <v>1.0207580000000001</v>
      </c>
      <c r="I6427">
        <v>66.018389999999997</v>
      </c>
      <c r="J6427">
        <v>-192.06549999999999</v>
      </c>
      <c r="K6427">
        <v>1.1104130000000001</v>
      </c>
      <c r="L6427">
        <v>65.527739999999994</v>
      </c>
      <c r="M6427">
        <v>-6.9068500000000002E-4</v>
      </c>
      <c r="N6427">
        <v>0</v>
      </c>
      <c r="O6427">
        <v>0.99989680000000003</v>
      </c>
      <c r="P6427">
        <v>-9.9536469999999995E-3</v>
      </c>
      <c r="Q6427">
        <v>-4.25776E-2</v>
      </c>
      <c r="R6427">
        <v>0.99904360000000003</v>
      </c>
      <c r="S6427">
        <v>4.7409060000000003E-2</v>
      </c>
      <c r="T6427">
        <v>-0.3587091</v>
      </c>
      <c r="U6427">
        <v>2.9880070000000001</v>
      </c>
      <c r="V6427">
        <v>-9.2647600000000004E-3</v>
      </c>
      <c r="W6427">
        <v>-2.8237789999999999E-2</v>
      </c>
      <c r="X6427">
        <v>0.99955830000000001</v>
      </c>
      <c r="Y6427">
        <v>1.644205E-2</v>
      </c>
      <c r="Z6427">
        <v>-0.1191783</v>
      </c>
      <c r="AA6427">
        <v>0.99273670000000003</v>
      </c>
      <c r="AB6427">
        <v>29</v>
      </c>
      <c r="AC6427">
        <v>1.1999999999972E-2</v>
      </c>
      <c r="AD6427">
        <v>-8.9654999999999804E-2</v>
      </c>
      <c r="AE6427">
        <v>0.49064999999998798</v>
      </c>
      <c r="AF6427">
        <v>1.19404726736187E-2</v>
      </c>
      <c r="AG6427">
        <v>-8.9654999999999804E-2</v>
      </c>
      <c r="AH6427">
        <v>0.474797968151004</v>
      </c>
      <c r="AI6427">
        <v>100.689822720547</v>
      </c>
      <c r="AJ6427">
        <v>88.559398812495203</v>
      </c>
      <c r="AK6427">
        <v>0.48333601611403998</v>
      </c>
      <c r="AL6427">
        <v>91.618121276394803</v>
      </c>
      <c r="AM6427">
        <v>90.531051010674702</v>
      </c>
      <c r="AN6427">
        <v>1.00000000183041</v>
      </c>
    </row>
    <row r="6428" spans="1:40" x14ac:dyDescent="0.3">
      <c r="A6428" t="str">
        <f>"20200111160635766"</f>
        <v>20200111160635766</v>
      </c>
      <c r="B6428" t="str">
        <f>"1578729995758596"</f>
        <v>1578729995758596</v>
      </c>
      <c r="C6428" t="s">
        <v>40</v>
      </c>
      <c r="D6428">
        <v>5.1313129999999996</v>
      </c>
      <c r="E6428">
        <v>0.51264179999999904</v>
      </c>
      <c r="F6428" t="s">
        <v>42</v>
      </c>
      <c r="G6428">
        <v>-192.0513</v>
      </c>
      <c r="H6428">
        <v>1.021997</v>
      </c>
      <c r="I6428">
        <v>66.274959999999993</v>
      </c>
      <c r="J6428">
        <v>-192.06569999999999</v>
      </c>
      <c r="K6428">
        <v>1.110511</v>
      </c>
      <c r="L6428">
        <v>65.827849999999998</v>
      </c>
      <c r="M6428">
        <v>-6.906274E-4</v>
      </c>
      <c r="N6428">
        <v>0</v>
      </c>
      <c r="O6428">
        <v>0.99989209999999995</v>
      </c>
      <c r="P6428">
        <v>-7.1201809999999997E-3</v>
      </c>
      <c r="Q6428">
        <v>-4.1239530000000003E-2</v>
      </c>
      <c r="R6428">
        <v>0.99912389999999995</v>
      </c>
      <c r="S6428">
        <v>5.6396479999999999E-2</v>
      </c>
      <c r="T6428">
        <v>-0.35361290000000001</v>
      </c>
      <c r="U6428">
        <v>2.9883730000000002</v>
      </c>
      <c r="V6428">
        <v>-6.4314730000000001E-3</v>
      </c>
      <c r="W6428">
        <v>-2.6570469999999999E-2</v>
      </c>
      <c r="X6428">
        <v>0.99962629999999997</v>
      </c>
      <c r="Y6428">
        <v>1.942851E-2</v>
      </c>
      <c r="Z6428">
        <v>-0.1174883</v>
      </c>
      <c r="AA6428">
        <v>0.99288419999999999</v>
      </c>
      <c r="AB6428">
        <v>29</v>
      </c>
      <c r="AC6428">
        <v>1.4399999999994801E-2</v>
      </c>
      <c r="AD6428">
        <v>-8.8513999999999898E-2</v>
      </c>
      <c r="AE6428">
        <v>0.44710999999999501</v>
      </c>
      <c r="AF6428">
        <v>1.41546450954041E-2</v>
      </c>
      <c r="AG6428">
        <v>-8.8513999999999898E-2</v>
      </c>
      <c r="AH6428">
        <v>0.43025495570075001</v>
      </c>
      <c r="AI6428">
        <v>101.618844265666</v>
      </c>
      <c r="AJ6428">
        <v>88.115747367282907</v>
      </c>
      <c r="AK6428">
        <v>0.43949335498825398</v>
      </c>
      <c r="AL6428">
        <v>91.522554906828503</v>
      </c>
      <c r="AM6428">
        <v>90.368628931103203</v>
      </c>
      <c r="AN6428">
        <v>1.0000000466863199</v>
      </c>
    </row>
    <row r="6429" spans="1:40" x14ac:dyDescent="0.3">
      <c r="A6429" t="str">
        <f>"20200111160635787"</f>
        <v>20200111160635787</v>
      </c>
      <c r="B6429" t="str">
        <f>"1578729995779092"</f>
        <v>1578729995779092</v>
      </c>
      <c r="C6429" t="s">
        <v>40</v>
      </c>
      <c r="D6429">
        <v>5.1118009999999998</v>
      </c>
      <c r="E6429">
        <v>0.5126423</v>
      </c>
      <c r="F6429" t="s">
        <v>42</v>
      </c>
      <c r="G6429">
        <v>-192.04519999999999</v>
      </c>
      <c r="H6429">
        <v>1.0003959999999901</v>
      </c>
      <c r="I6429">
        <v>66.773039999999995</v>
      </c>
      <c r="J6429">
        <v>-192.0659</v>
      </c>
      <c r="K6429">
        <v>1.1106119999999999</v>
      </c>
      <c r="L6429">
        <v>66.113829999999993</v>
      </c>
      <c r="M6429">
        <v>-6.904627E-4</v>
      </c>
      <c r="N6429">
        <v>0</v>
      </c>
      <c r="O6429">
        <v>0.99988589999999999</v>
      </c>
      <c r="P6429">
        <v>-5.3938959999999996E-3</v>
      </c>
      <c r="Q6429">
        <v>-4.0064330000000002E-2</v>
      </c>
      <c r="R6429">
        <v>0.99918249999999997</v>
      </c>
      <c r="S6429">
        <v>6.4605709999999997E-2</v>
      </c>
      <c r="T6429">
        <v>-0.34821079999999999</v>
      </c>
      <c r="U6429">
        <v>2.9887389999999998</v>
      </c>
      <c r="V6429">
        <v>-4.7047219999999997E-3</v>
      </c>
      <c r="W6429">
        <v>-2.4980140000000001E-2</v>
      </c>
      <c r="X6429">
        <v>0.99967689999999998</v>
      </c>
      <c r="Y6429">
        <v>2.2156579999999999E-2</v>
      </c>
      <c r="Z6429">
        <v>-0.1156972</v>
      </c>
      <c r="AA6429">
        <v>0.99303739999999996</v>
      </c>
      <c r="AB6429">
        <v>28</v>
      </c>
      <c r="AC6429">
        <v>2.0700000000004999E-2</v>
      </c>
      <c r="AD6429">
        <v>-0.11021599999999999</v>
      </c>
      <c r="AE6429">
        <v>0.65921000000000096</v>
      </c>
      <c r="AF6429">
        <v>2.0580470036672498E-2</v>
      </c>
      <c r="AG6429">
        <v>-0.11021599999999999</v>
      </c>
      <c r="AH6429">
        <v>0.64128676959560804</v>
      </c>
      <c r="AI6429">
        <v>99.747055092168907</v>
      </c>
      <c r="AJ6429">
        <v>88.161868357986606</v>
      </c>
      <c r="AK6429">
        <v>0.65101447239005505</v>
      </c>
      <c r="AL6429">
        <v>91.431405454838995</v>
      </c>
      <c r="AM6429">
        <v>90.269645846840305</v>
      </c>
      <c r="AN6429">
        <v>1.00000002309856</v>
      </c>
    </row>
    <row r="6430" spans="1:40" x14ac:dyDescent="0.3">
      <c r="A6430" t="str">
        <f>"20200111160635811"</f>
        <v>20200111160635811</v>
      </c>
      <c r="B6430" t="str">
        <f>"1578729995798618"</f>
        <v>1578729995798618</v>
      </c>
      <c r="C6430" t="s">
        <v>40</v>
      </c>
      <c r="D6430">
        <v>5.1209059999999997</v>
      </c>
      <c r="E6430">
        <v>0.51277189999999995</v>
      </c>
      <c r="F6430" t="s">
        <v>42</v>
      </c>
      <c r="G6430">
        <v>-192.0444</v>
      </c>
      <c r="H6430">
        <v>1.005333</v>
      </c>
      <c r="I6430">
        <v>67.028229999999994</v>
      </c>
      <c r="J6430">
        <v>-192.06610000000001</v>
      </c>
      <c r="K6430">
        <v>1.1106940000000001</v>
      </c>
      <c r="L6430">
        <v>66.403750000000002</v>
      </c>
      <c r="M6430">
        <v>-6.9023369999999997E-4</v>
      </c>
      <c r="N6430">
        <v>0</v>
      </c>
      <c r="O6430">
        <v>0.99987899999999996</v>
      </c>
      <c r="P6430">
        <v>-4.558299E-3</v>
      </c>
      <c r="Q6430">
        <v>-4.0823129999999999E-2</v>
      </c>
      <c r="R6430">
        <v>0.99915600000000004</v>
      </c>
      <c r="S6430">
        <v>6.9961549999999997E-2</v>
      </c>
      <c r="T6430">
        <v>-0.344141799999999</v>
      </c>
      <c r="U6430">
        <v>2.9890140000000001</v>
      </c>
      <c r="V6430">
        <v>-3.8695420000000001E-3</v>
      </c>
      <c r="W6430">
        <v>-2.5289300000000001E-2</v>
      </c>
      <c r="X6430">
        <v>0.99967269999999997</v>
      </c>
      <c r="Y6430">
        <v>2.393646E-2</v>
      </c>
      <c r="Z6430">
        <v>-0.11434809999999999</v>
      </c>
      <c r="AA6430">
        <v>0.99315229999999999</v>
      </c>
      <c r="AB6430">
        <v>28</v>
      </c>
      <c r="AC6430">
        <v>2.1700000000009802E-2</v>
      </c>
      <c r="AD6430">
        <v>-0.105361</v>
      </c>
      <c r="AE6430">
        <v>0.62448000000000503</v>
      </c>
      <c r="AF6430">
        <v>2.15192608024019E-2</v>
      </c>
      <c r="AG6430">
        <v>-0.105361</v>
      </c>
      <c r="AH6430">
        <v>0.60720127446061201</v>
      </c>
      <c r="AI6430">
        <v>99.837839690044703</v>
      </c>
      <c r="AJ6430">
        <v>87.970282569180497</v>
      </c>
      <c r="AK6430">
        <v>0.61665014928488704</v>
      </c>
      <c r="AL6430">
        <v>91.449124627991694</v>
      </c>
      <c r="AM6430">
        <v>90.221779906524205</v>
      </c>
      <c r="AN6430">
        <v>1.0000000145875301</v>
      </c>
    </row>
    <row r="6431" spans="1:40" x14ac:dyDescent="0.3">
      <c r="A6431" t="str">
        <f>"20200111160635831"</f>
        <v>20200111160635831</v>
      </c>
      <c r="B6431" t="str">
        <f>"1578729995828869"</f>
        <v>1578729995828869</v>
      </c>
      <c r="C6431" t="s">
        <v>40</v>
      </c>
      <c r="D6431">
        <v>6.3759079999999999</v>
      </c>
      <c r="E6431">
        <v>0.51246650000000005</v>
      </c>
      <c r="F6431" t="s">
        <v>42</v>
      </c>
      <c r="G6431">
        <v>-192.04429999999999</v>
      </c>
      <c r="H6431">
        <v>1.0088220000000001</v>
      </c>
      <c r="I6431">
        <v>67.281599999999997</v>
      </c>
      <c r="J6431">
        <v>-192.06620000000001</v>
      </c>
      <c r="K6431">
        <v>1.1107549999999999</v>
      </c>
      <c r="L6431">
        <v>66.668030000000002</v>
      </c>
      <c r="M6431">
        <v>-6.9002159999999996E-4</v>
      </c>
      <c r="N6431">
        <v>0</v>
      </c>
      <c r="O6431">
        <v>0.9998726</v>
      </c>
      <c r="P6431">
        <v>-5.1398549999999996E-3</v>
      </c>
      <c r="Q6431">
        <v>-4.2380109999999999E-2</v>
      </c>
      <c r="R6431">
        <v>0.99908830000000004</v>
      </c>
      <c r="S6431">
        <v>7.369995E-2</v>
      </c>
      <c r="T6431">
        <v>-0.34684690000000001</v>
      </c>
      <c r="U6431">
        <v>2.9887079999999999</v>
      </c>
      <c r="V6431">
        <v>-4.4514359999999996E-3</v>
      </c>
      <c r="W6431">
        <v>-2.6441539999999999E-2</v>
      </c>
      <c r="X6431">
        <v>0.99964050000000004</v>
      </c>
      <c r="Y6431">
        <v>2.5177620000000001E-2</v>
      </c>
      <c r="Z6431">
        <v>-0.1152432</v>
      </c>
      <c r="AA6431">
        <v>0.99301819999999996</v>
      </c>
      <c r="AB6431">
        <v>28</v>
      </c>
      <c r="AC6431">
        <v>2.1900000000016399E-2</v>
      </c>
      <c r="AD6431">
        <v>-0.101933</v>
      </c>
      <c r="AE6431">
        <v>0.61356999999999495</v>
      </c>
      <c r="AF6431">
        <v>2.1724599752136E-2</v>
      </c>
      <c r="AG6431">
        <v>-0.101933</v>
      </c>
      <c r="AH6431">
        <v>0.59709614695982105</v>
      </c>
      <c r="AI6431">
        <v>99.681546729057203</v>
      </c>
      <c r="AJ6431">
        <v>87.916283546712194</v>
      </c>
      <c r="AK6431">
        <v>0.60612383506809397</v>
      </c>
      <c r="AL6431">
        <v>91.515165161272193</v>
      </c>
      <c r="AM6431">
        <v>90.255138532063697</v>
      </c>
      <c r="AN6431">
        <v>1.00000004978014</v>
      </c>
    </row>
    <row r="6432" spans="1:40" x14ac:dyDescent="0.3">
      <c r="A6432" t="str">
        <f>"20200111160635854"</f>
        <v>20200111160635854</v>
      </c>
      <c r="B6432" t="str">
        <f>"1578729995849364"</f>
        <v>1578729995849364</v>
      </c>
      <c r="C6432" t="s">
        <v>40</v>
      </c>
      <c r="D6432">
        <v>5.140612</v>
      </c>
      <c r="E6432">
        <v>0.49907499999999999</v>
      </c>
      <c r="F6432" t="s">
        <v>42</v>
      </c>
      <c r="G6432">
        <v>-192.0461</v>
      </c>
      <c r="H6432">
        <v>1.0085489999999999</v>
      </c>
      <c r="I6432">
        <v>67.532019999999903</v>
      </c>
      <c r="J6432">
        <v>-192.06639999999999</v>
      </c>
      <c r="K6432">
        <v>1.110803</v>
      </c>
      <c r="L6432">
        <v>66.943730000000002</v>
      </c>
      <c r="M6432">
        <v>-6.8981849999999998E-4</v>
      </c>
      <c r="N6432">
        <v>0</v>
      </c>
      <c r="O6432">
        <v>0.99986609999999998</v>
      </c>
      <c r="P6432">
        <v>-6.1704100000000003E-3</v>
      </c>
      <c r="Q6432">
        <v>-4.382395E-2</v>
      </c>
      <c r="R6432">
        <v>0.99902020000000002</v>
      </c>
      <c r="S6432">
        <v>6.9732669999999997E-2</v>
      </c>
      <c r="T6432">
        <v>-0.35347879999999998</v>
      </c>
      <c r="U6432">
        <v>2.9880979999999999</v>
      </c>
      <c r="V6432">
        <v>-5.482308E-3</v>
      </c>
      <c r="W6432">
        <v>-2.748184E-2</v>
      </c>
      <c r="X6432">
        <v>0.99960729999999998</v>
      </c>
      <c r="Y6432">
        <v>2.3858710000000002E-2</v>
      </c>
      <c r="Z6432">
        <v>-0.1174439</v>
      </c>
      <c r="AA6432">
        <v>0.99279280000000003</v>
      </c>
      <c r="AB6432">
        <v>28</v>
      </c>
      <c r="AC6432">
        <v>2.02999999999917E-2</v>
      </c>
      <c r="AD6432">
        <v>-0.102254</v>
      </c>
      <c r="AE6432">
        <v>0.58828999999998599</v>
      </c>
      <c r="AF6432">
        <v>2.00993460045556E-2</v>
      </c>
      <c r="AG6432">
        <v>-0.102254</v>
      </c>
      <c r="AH6432">
        <v>0.57104406121467299</v>
      </c>
      <c r="AI6432">
        <v>100.14592235836</v>
      </c>
      <c r="AJ6432">
        <v>87.984161703877703</v>
      </c>
      <c r="AK6432">
        <v>0.58047496420979094</v>
      </c>
      <c r="AL6432">
        <v>91.574791666604099</v>
      </c>
      <c r="AM6432">
        <v>90.314233360451894</v>
      </c>
      <c r="AN6432">
        <v>1.00000003072204</v>
      </c>
    </row>
    <row r="6433" spans="1:40" x14ac:dyDescent="0.3">
      <c r="A6433" t="str">
        <f>"20200111160635877"</f>
        <v>20200111160635877</v>
      </c>
      <c r="B6433" t="str">
        <f>"1578729995868884"</f>
        <v>1578729995868884</v>
      </c>
      <c r="C6433" t="s">
        <v>40</v>
      </c>
      <c r="D6433">
        <v>5.3487809999999998</v>
      </c>
      <c r="E6433">
        <v>0.50701220000000002</v>
      </c>
      <c r="F6433" t="s">
        <v>41</v>
      </c>
      <c r="G6433">
        <v>-192.3262</v>
      </c>
      <c r="H6433" s="1">
        <v>-4.6094259999999997E-6</v>
      </c>
      <c r="I6433">
        <v>99.319239999999994</v>
      </c>
      <c r="J6433">
        <v>-192.06659999999999</v>
      </c>
      <c r="K6433">
        <v>1.110846</v>
      </c>
      <c r="L6433">
        <v>67.238039999999998</v>
      </c>
      <c r="M6433">
        <v>-6.895998E-4</v>
      </c>
      <c r="N6433">
        <v>0</v>
      </c>
      <c r="O6433">
        <v>0.99985919999999895</v>
      </c>
      <c r="P6433">
        <v>-8.0871050000000007E-3</v>
      </c>
      <c r="Q6433">
        <v>-4.4289429999999998E-2</v>
      </c>
      <c r="R6433">
        <v>0.99898600000000004</v>
      </c>
      <c r="S6433">
        <v>-2.4063109999999999E-2</v>
      </c>
      <c r="T6433">
        <v>-0.102871699999999</v>
      </c>
      <c r="U6433">
        <v>2.998291</v>
      </c>
      <c r="V6433">
        <v>-7.3993710000000001E-3</v>
      </c>
      <c r="W6433">
        <v>-2.7533789999999999E-2</v>
      </c>
      <c r="X6433">
        <v>0.99959350000000002</v>
      </c>
      <c r="Y6433">
        <v>-7.3309550000000001E-3</v>
      </c>
      <c r="Z6433">
        <v>-3.4288890000000002E-2</v>
      </c>
      <c r="AA6433">
        <v>0.99938510000000003</v>
      </c>
      <c r="AB6433">
        <v>28</v>
      </c>
      <c r="AC6433">
        <v>-0.25960000000000599</v>
      </c>
      <c r="AD6433">
        <v>-1.110850609426</v>
      </c>
      <c r="AE6433">
        <v>32.081200000000003</v>
      </c>
      <c r="AF6433">
        <v>-0.23718927365680501</v>
      </c>
      <c r="AG6433">
        <v>-1.110850609426</v>
      </c>
      <c r="AH6433">
        <v>32.042955230233702</v>
      </c>
      <c r="AI6433">
        <v>91.985454529140398</v>
      </c>
      <c r="AJ6433">
        <v>90.424108701136205</v>
      </c>
      <c r="AK6433">
        <v>32.063082005863997</v>
      </c>
      <c r="AL6433">
        <v>91.577769337375898</v>
      </c>
      <c r="AM6433">
        <v>90.424117389795796</v>
      </c>
      <c r="AN6433">
        <v>1.0000000127626001</v>
      </c>
    </row>
    <row r="6434" spans="1:40" x14ac:dyDescent="0.3">
      <c r="A6434" t="str">
        <f>"20200111160635900"</f>
        <v>20200111160635900</v>
      </c>
      <c r="B6434" t="str">
        <f>"1578729995889380"</f>
        <v>1578729995889380</v>
      </c>
      <c r="C6434" t="s">
        <v>40</v>
      </c>
      <c r="D6434">
        <v>5.2226359999999996</v>
      </c>
      <c r="E6434">
        <v>0.50811410000000001</v>
      </c>
      <c r="F6434" t="s">
        <v>42</v>
      </c>
      <c r="G6434">
        <v>-192.0609</v>
      </c>
      <c r="H6434">
        <v>1.029048</v>
      </c>
      <c r="I6434">
        <v>68.040019999999998</v>
      </c>
      <c r="J6434">
        <v>-192.0668</v>
      </c>
      <c r="K6434">
        <v>1.1108849999999999</v>
      </c>
      <c r="L6434">
        <v>67.515050000000002</v>
      </c>
      <c r="M6434">
        <v>-6.8938059999999995E-4</v>
      </c>
      <c r="N6434">
        <v>0</v>
      </c>
      <c r="O6434">
        <v>0.99985259999999998</v>
      </c>
      <c r="P6434">
        <v>-1.0693289999999999E-2</v>
      </c>
      <c r="Q6434">
        <v>-4.466146E-2</v>
      </c>
      <c r="R6434">
        <v>0.99894490000000002</v>
      </c>
      <c r="S6434">
        <v>2.0935059999999998E-2</v>
      </c>
      <c r="T6434">
        <v>-0.30494640000000001</v>
      </c>
      <c r="U6434">
        <v>2.9896850000000001</v>
      </c>
      <c r="V6434">
        <v>-1.000563E-2</v>
      </c>
      <c r="W6434">
        <v>-2.7517759999999999E-2</v>
      </c>
      <c r="X6434">
        <v>0.99957130000000005</v>
      </c>
      <c r="Y6434">
        <v>7.655579E-3</v>
      </c>
      <c r="Z6434">
        <v>-0.1014703</v>
      </c>
      <c r="AA6434">
        <v>0.9948091</v>
      </c>
      <c r="AB6434">
        <v>28</v>
      </c>
      <c r="AC6434">
        <v>5.8999999999968999E-3</v>
      </c>
      <c r="AD6434">
        <v>-8.1837000000000104E-2</v>
      </c>
      <c r="AE6434">
        <v>0.52496999999999605</v>
      </c>
      <c r="AF6434">
        <v>6.1134106192964298E-3</v>
      </c>
      <c r="AG6434">
        <v>-8.1837000000000104E-2</v>
      </c>
      <c r="AH6434">
        <v>0.51251263058085395</v>
      </c>
      <c r="AI6434">
        <v>99.071653556366201</v>
      </c>
      <c r="AJ6434">
        <v>89.316590470885302</v>
      </c>
      <c r="AK6434">
        <v>0.51904129398662202</v>
      </c>
      <c r="AL6434">
        <v>91.576850460613898</v>
      </c>
      <c r="AM6434">
        <v>90.573507086726295</v>
      </c>
      <c r="AN6434">
        <v>1.0000000617653999</v>
      </c>
    </row>
    <row r="6435" spans="1:40" x14ac:dyDescent="0.3">
      <c r="A6435" t="str">
        <f>"20200111160635921"</f>
        <v>20200111160635921</v>
      </c>
      <c r="B6435" t="str">
        <f>"1578729995918660"</f>
        <v>1578729995918660</v>
      </c>
      <c r="C6435" t="s">
        <v>40</v>
      </c>
      <c r="D6435">
        <v>5.3891239999999998</v>
      </c>
      <c r="E6435">
        <v>0.50832749999999904</v>
      </c>
      <c r="F6435" t="s">
        <v>42</v>
      </c>
      <c r="G6435">
        <v>-192.06110000000001</v>
      </c>
      <c r="H6435">
        <v>1.031245</v>
      </c>
      <c r="I6435">
        <v>68.288060000000002</v>
      </c>
      <c r="J6435">
        <v>-192.06700000000001</v>
      </c>
      <c r="K6435">
        <v>1.110924</v>
      </c>
      <c r="L6435">
        <v>67.77216</v>
      </c>
      <c r="M6435">
        <v>-6.8915800000000004E-4</v>
      </c>
      <c r="N6435">
        <v>0</v>
      </c>
      <c r="O6435">
        <v>0.99984629999999997</v>
      </c>
      <c r="P6435">
        <v>-1.278433E-2</v>
      </c>
      <c r="Q6435">
        <v>-4.6095839999999999E-2</v>
      </c>
      <c r="R6435">
        <v>0.99885520000000005</v>
      </c>
      <c r="S6435">
        <v>2.1606449999999999E-2</v>
      </c>
      <c r="T6435">
        <v>-0.30804090000000001</v>
      </c>
      <c r="U6435">
        <v>2.9896240000000001</v>
      </c>
      <c r="V6435">
        <v>-1.2097190000000001E-2</v>
      </c>
      <c r="W6435">
        <v>-2.8592820000000001E-2</v>
      </c>
      <c r="X6435">
        <v>0.99951789999999996</v>
      </c>
      <c r="Y6435">
        <v>7.878141E-3</v>
      </c>
      <c r="Z6435">
        <v>-0.1024911</v>
      </c>
      <c r="AA6435">
        <v>0.9947028</v>
      </c>
      <c r="AB6435">
        <v>28</v>
      </c>
      <c r="AC6435">
        <v>5.8999999999968999E-3</v>
      </c>
      <c r="AD6435">
        <v>-7.9679E-2</v>
      </c>
      <c r="AE6435">
        <v>0.51590000000000202</v>
      </c>
      <c r="AF6435">
        <v>6.1098656223925497E-3</v>
      </c>
      <c r="AG6435">
        <v>-7.9679E-2</v>
      </c>
      <c r="AH6435">
        <v>0.503878001861369</v>
      </c>
      <c r="AI6435">
        <v>98.985213680362406</v>
      </c>
      <c r="AJ6435">
        <v>89.305283507894103</v>
      </c>
      <c r="AK6435">
        <v>0.51017557199333796</v>
      </c>
      <c r="AL6435">
        <v>91.638471279752494</v>
      </c>
      <c r="AM6435">
        <v>90.693418387566595</v>
      </c>
      <c r="AN6435">
        <v>0.99999996189092799</v>
      </c>
    </row>
    <row r="6436" spans="1:40" x14ac:dyDescent="0.3">
      <c r="A6436" t="str">
        <f>"20200111160635943"</f>
        <v>20200111160635943</v>
      </c>
      <c r="B6436" t="str">
        <f>"1578729995939156"</f>
        <v>1578729995939156</v>
      </c>
      <c r="C6436" t="s">
        <v>40</v>
      </c>
      <c r="D6436">
        <v>6.4197810000000004</v>
      </c>
      <c r="E6436">
        <v>0.50847920000000002</v>
      </c>
      <c r="F6436" t="s">
        <v>42</v>
      </c>
      <c r="G6436">
        <v>-192.0625</v>
      </c>
      <c r="H6436">
        <v>1.031242</v>
      </c>
      <c r="I6436">
        <v>68.533929999999998</v>
      </c>
      <c r="J6436">
        <v>-192.06720000000001</v>
      </c>
      <c r="K6436">
        <v>1.1109610000000001</v>
      </c>
      <c r="L6436">
        <v>68.041380000000004</v>
      </c>
      <c r="M6436">
        <v>-6.8889769999999997E-4</v>
      </c>
      <c r="N6436">
        <v>0</v>
      </c>
      <c r="O6436">
        <v>0.99983979999999995</v>
      </c>
      <c r="P6436">
        <v>-1.4766680000000001E-2</v>
      </c>
      <c r="Q6436">
        <v>-4.7914669999999999E-2</v>
      </c>
      <c r="R6436">
        <v>0.99874229999999997</v>
      </c>
      <c r="S6436">
        <v>1.7135620000000001E-2</v>
      </c>
      <c r="T6436">
        <v>-0.31268899999999999</v>
      </c>
      <c r="U6436">
        <v>2.9892270000000001</v>
      </c>
      <c r="V6436">
        <v>-1.407972E-2</v>
      </c>
      <c r="W6436">
        <v>-3.0044149999999999E-2</v>
      </c>
      <c r="X6436">
        <v>0.99944940000000004</v>
      </c>
      <c r="Y6436">
        <v>6.3902539999999997E-3</v>
      </c>
      <c r="Z6436">
        <v>-0.10403569999999999</v>
      </c>
      <c r="AA6436">
        <v>0.99455300000000002</v>
      </c>
      <c r="AB6436">
        <v>28</v>
      </c>
      <c r="AC6436">
        <v>4.7000000000139101E-3</v>
      </c>
      <c r="AD6436">
        <v>-7.9719000000000095E-2</v>
      </c>
      <c r="AE6436">
        <v>0.49254999999999399</v>
      </c>
      <c r="AF6436">
        <v>4.9107431552506296E-3</v>
      </c>
      <c r="AG6436">
        <v>-7.9719000000000095E-2</v>
      </c>
      <c r="AH6436">
        <v>0.479974717553519</v>
      </c>
      <c r="AI6436">
        <v>99.429686863947694</v>
      </c>
      <c r="AJ6436">
        <v>89.4138127910213</v>
      </c>
      <c r="AK6436">
        <v>0.48657472586429801</v>
      </c>
      <c r="AL6436">
        <v>91.721662076665098</v>
      </c>
      <c r="AM6436">
        <v>90.807099562447902</v>
      </c>
      <c r="AN6436">
        <v>0.99999999631242997</v>
      </c>
    </row>
    <row r="6437" spans="1:40" x14ac:dyDescent="0.3">
      <c r="A6437" t="str">
        <f>"20200111160635966"</f>
        <v>20200111160635966</v>
      </c>
      <c r="B6437" t="str">
        <f>"1578729995958676"</f>
        <v>1578729995958676</v>
      </c>
      <c r="C6437" t="s">
        <v>40</v>
      </c>
      <c r="D6437">
        <v>5.3367849999999999</v>
      </c>
      <c r="E6437">
        <v>0.51108560000000003</v>
      </c>
      <c r="F6437" t="s">
        <v>42</v>
      </c>
      <c r="G6437">
        <v>-192.06399999999999</v>
      </c>
      <c r="H6437">
        <v>1.032151</v>
      </c>
      <c r="I6437">
        <v>68.779309999999995</v>
      </c>
      <c r="J6437">
        <v>-192.06739999999999</v>
      </c>
      <c r="K6437">
        <v>1.1109910000000001</v>
      </c>
      <c r="L6437">
        <v>68.319400000000002</v>
      </c>
      <c r="M6437">
        <v>-6.8861249999999997E-4</v>
      </c>
      <c r="N6437">
        <v>0</v>
      </c>
      <c r="O6437">
        <v>0.99983330000000004</v>
      </c>
      <c r="P6437">
        <v>-1.525809E-2</v>
      </c>
      <c r="Q6437">
        <v>-4.912627E-2</v>
      </c>
      <c r="R6437">
        <v>0.99867600000000001</v>
      </c>
      <c r="S6437">
        <v>1.196289E-2</v>
      </c>
      <c r="T6437">
        <v>-0.31921919999999998</v>
      </c>
      <c r="U6437">
        <v>2.9886469999999998</v>
      </c>
      <c r="V6437">
        <v>-1.457165E-2</v>
      </c>
      <c r="W6437">
        <v>-3.0899900000000001E-2</v>
      </c>
      <c r="X6437">
        <v>0.99941619999999998</v>
      </c>
      <c r="Y6437">
        <v>4.6688270000000004E-3</v>
      </c>
      <c r="Z6437">
        <v>-0.10620540000000001</v>
      </c>
      <c r="AA6437">
        <v>0.99433329999999998</v>
      </c>
      <c r="AB6437">
        <v>27</v>
      </c>
      <c r="AC6437">
        <v>3.3999999999707602E-3</v>
      </c>
      <c r="AD6437">
        <v>-7.8839999999999993E-2</v>
      </c>
      <c r="AE6437">
        <v>0.45990999999999299</v>
      </c>
      <c r="AF6437">
        <v>3.6106531192297399E-3</v>
      </c>
      <c r="AG6437">
        <v>-7.8839999999999993E-2</v>
      </c>
      <c r="AH6437">
        <v>0.44677900572366802</v>
      </c>
      <c r="AI6437">
        <v>100.00724249388399</v>
      </c>
      <c r="AJ6437">
        <v>89.536973137042196</v>
      </c>
      <c r="AK6437">
        <v>0.45369622256679198</v>
      </c>
      <c r="AL6437">
        <v>91.770715823043801</v>
      </c>
      <c r="AM6437">
        <v>90.835322553489206</v>
      </c>
      <c r="AN6437">
        <v>0.99999993881308402</v>
      </c>
    </row>
    <row r="6438" spans="1:40" x14ac:dyDescent="0.3">
      <c r="A6438" t="str">
        <f>"20200111160635988"</f>
        <v>20200111160635988</v>
      </c>
      <c r="B6438" t="str">
        <f>"1578729995979173"</f>
        <v>1578729995979173</v>
      </c>
      <c r="C6438" t="s">
        <v>40</v>
      </c>
      <c r="D6438">
        <v>5.2656640000000001</v>
      </c>
      <c r="E6438">
        <v>0.50977159999999999</v>
      </c>
      <c r="F6438" t="s">
        <v>100</v>
      </c>
      <c r="G6438">
        <v>-185.5386</v>
      </c>
      <c r="H6438">
        <v>14.75046</v>
      </c>
      <c r="I6438">
        <v>391.87</v>
      </c>
      <c r="J6438">
        <v>-192.0675</v>
      </c>
      <c r="K6438">
        <v>1.11102099999999</v>
      </c>
      <c r="L6438">
        <v>68.594329999999999</v>
      </c>
      <c r="M6438">
        <v>-6.8833049999999997E-4</v>
      </c>
      <c r="N6438">
        <v>0</v>
      </c>
      <c r="O6438">
        <v>0.99982740000000003</v>
      </c>
      <c r="P6438">
        <v>-1.458316E-2</v>
      </c>
      <c r="Q6438">
        <v>-4.9597769999999999E-2</v>
      </c>
      <c r="R6438">
        <v>0.99866279999999996</v>
      </c>
      <c r="S6438">
        <v>6.0760500000000002E-2</v>
      </c>
      <c r="T6438">
        <v>0.1269363</v>
      </c>
      <c r="U6438">
        <v>3.011139</v>
      </c>
      <c r="V6438">
        <v>-1.3896769999999999E-2</v>
      </c>
      <c r="W6438">
        <v>-3.1050560000000001E-2</v>
      </c>
      <c r="X6438">
        <v>0.99942120000000001</v>
      </c>
      <c r="Y6438">
        <v>2.084488E-2</v>
      </c>
      <c r="Z6438">
        <v>4.2109300000000002E-2</v>
      </c>
      <c r="AA6438">
        <v>0.99889550000000005</v>
      </c>
      <c r="AB6438">
        <v>27</v>
      </c>
      <c r="AC6438">
        <v>6.5288999999999904</v>
      </c>
      <c r="AD6438">
        <v>13.639438999999999</v>
      </c>
      <c r="AE6438">
        <v>323.27566999999999</v>
      </c>
      <c r="AF6438">
        <v>6.7394652154763603</v>
      </c>
      <c r="AG6438">
        <v>13.639438999999999</v>
      </c>
      <c r="AH6438">
        <v>322.696896629354</v>
      </c>
      <c r="AI6438">
        <v>87.580245268528003</v>
      </c>
      <c r="AJ6438">
        <v>88.803562136130395</v>
      </c>
      <c r="AK6438">
        <v>323.055323097827</v>
      </c>
      <c r="AL6438">
        <v>91.779352047607205</v>
      </c>
      <c r="AM6438">
        <v>90.796636053582105</v>
      </c>
      <c r="AN6438">
        <v>0.99999999625109304</v>
      </c>
    </row>
    <row r="6439" spans="1:40" x14ac:dyDescent="0.3">
      <c r="A6439" t="str">
        <f>"20200111160636012"</f>
        <v>20200111160636012</v>
      </c>
      <c r="B6439" t="str">
        <f>"1578729996009428"</f>
        <v>1578729996009428</v>
      </c>
      <c r="C6439" t="s">
        <v>40</v>
      </c>
      <c r="D6439">
        <v>5.3713600000000001</v>
      </c>
      <c r="E6439">
        <v>0.50949750000000005</v>
      </c>
      <c r="F6439" t="s">
        <v>42</v>
      </c>
      <c r="G6439">
        <v>-192.0609</v>
      </c>
      <c r="H6439">
        <v>1.0096069999999999</v>
      </c>
      <c r="I6439">
        <v>69.492260000000002</v>
      </c>
      <c r="J6439">
        <v>-192.0677</v>
      </c>
      <c r="K6439">
        <v>1.1110439999999999</v>
      </c>
      <c r="L6439">
        <v>68.873869999999997</v>
      </c>
      <c r="M6439">
        <v>-6.8806770000000002E-4</v>
      </c>
      <c r="N6439">
        <v>0</v>
      </c>
      <c r="O6439">
        <v>0.99982199999999999</v>
      </c>
      <c r="P6439">
        <v>-1.339984E-2</v>
      </c>
      <c r="Q6439">
        <v>-4.8947699999999997E-2</v>
      </c>
      <c r="R6439">
        <v>0.99871149999999997</v>
      </c>
      <c r="S6439">
        <v>2.191162E-2</v>
      </c>
      <c r="T6439">
        <v>-0.33744249999999998</v>
      </c>
      <c r="U6439">
        <v>2.9875790000000002</v>
      </c>
      <c r="V6439">
        <v>-1.2713820000000001E-2</v>
      </c>
      <c r="W6439">
        <v>-3.0107020000000002E-2</v>
      </c>
      <c r="X6439">
        <v>0.99946579999999996</v>
      </c>
      <c r="Y6439">
        <v>7.9758769999999993E-3</v>
      </c>
      <c r="Z6439">
        <v>-0.1122315</v>
      </c>
      <c r="AA6439">
        <v>0.99365009999999998</v>
      </c>
      <c r="AB6439">
        <v>27</v>
      </c>
      <c r="AC6439">
        <v>6.7999999999983603E-3</v>
      </c>
      <c r="AD6439">
        <v>-0.101437</v>
      </c>
      <c r="AE6439">
        <v>0.61839000000000499</v>
      </c>
      <c r="AF6439">
        <v>7.0362651953807696E-3</v>
      </c>
      <c r="AG6439">
        <v>-0.101437</v>
      </c>
      <c r="AH6439">
        <v>0.60218406919826395</v>
      </c>
      <c r="AI6439">
        <v>99.560984814925703</v>
      </c>
      <c r="AJ6439">
        <v>89.330553606168706</v>
      </c>
      <c r="AK6439">
        <v>0.61070829959406903</v>
      </c>
      <c r="AL6439">
        <v>91.725265921410994</v>
      </c>
      <c r="AM6439">
        <v>90.728798264282204</v>
      </c>
      <c r="AN6439">
        <v>0.99999997962095599</v>
      </c>
    </row>
    <row r="6440" spans="1:40" x14ac:dyDescent="0.3">
      <c r="A6440" t="str">
        <f>"20200111160636034"</f>
        <v>20200111160636034</v>
      </c>
      <c r="B6440" t="str">
        <f>"1578729996028948"</f>
        <v>1578729996028948</v>
      </c>
      <c r="C6440" t="s">
        <v>40</v>
      </c>
      <c r="D6440">
        <v>5.335445</v>
      </c>
      <c r="E6440">
        <v>0.4890988</v>
      </c>
      <c r="F6440" t="s">
        <v>42</v>
      </c>
      <c r="G6440">
        <v>-192.0609</v>
      </c>
      <c r="H6440">
        <v>1.0147250000000001</v>
      </c>
      <c r="I6440">
        <v>69.733789999999999</v>
      </c>
      <c r="J6440">
        <v>-192.06790000000001</v>
      </c>
      <c r="K6440">
        <v>1.111067</v>
      </c>
      <c r="L6440">
        <v>69.133969999999906</v>
      </c>
      <c r="M6440">
        <v>-6.8782860000000002E-4</v>
      </c>
      <c r="N6440">
        <v>0</v>
      </c>
      <c r="O6440">
        <v>0.99981739999999997</v>
      </c>
      <c r="P6440">
        <v>-1.193025E-2</v>
      </c>
      <c r="Q6440">
        <v>-4.7638310000000003E-2</v>
      </c>
      <c r="R6440">
        <v>0.99879340000000005</v>
      </c>
      <c r="S6440">
        <v>2.3315430000000002E-2</v>
      </c>
      <c r="T6440">
        <v>-0.33466869999999999</v>
      </c>
      <c r="U6440">
        <v>2.987762</v>
      </c>
      <c r="V6440">
        <v>-1.1244540000000001E-2</v>
      </c>
      <c r="W6440">
        <v>-2.8553249999999999E-2</v>
      </c>
      <c r="X6440">
        <v>0.999529</v>
      </c>
      <c r="Y6440">
        <v>8.4428419999999903E-3</v>
      </c>
      <c r="Z6440">
        <v>-0.1113133</v>
      </c>
      <c r="AA6440">
        <v>0.99374949999999995</v>
      </c>
      <c r="AB6440">
        <v>27</v>
      </c>
      <c r="AC6440">
        <v>7.0000000000049996E-3</v>
      </c>
      <c r="AD6440">
        <v>-9.63419999999999E-2</v>
      </c>
      <c r="AE6440">
        <v>0.59982000000000801</v>
      </c>
      <c r="AF6440">
        <v>7.22624812728724E-3</v>
      </c>
      <c r="AG6440">
        <v>-9.63419999999999E-2</v>
      </c>
      <c r="AH6440">
        <v>0.58473206103995801</v>
      </c>
      <c r="AI6440">
        <v>99.355443740192001</v>
      </c>
      <c r="AJ6440">
        <v>89.291962129185407</v>
      </c>
      <c r="AK6440">
        <v>0.59265975300675999</v>
      </c>
      <c r="AL6440">
        <v>91.636203138481207</v>
      </c>
      <c r="AM6440">
        <v>90.644541086344503</v>
      </c>
      <c r="AN6440">
        <v>0.99999997480318603</v>
      </c>
    </row>
    <row r="6441" spans="1:40" x14ac:dyDescent="0.3">
      <c r="A6441" t="str">
        <f>"20200111160636056"</f>
        <v>20200111160636056</v>
      </c>
      <c r="B6441" t="str">
        <f>"1578729996049445"</f>
        <v>1578729996049445</v>
      </c>
      <c r="C6441" t="s">
        <v>40</v>
      </c>
      <c r="D6441">
        <v>5.2505189999999997</v>
      </c>
      <c r="E6441">
        <v>0.49430879999999999</v>
      </c>
      <c r="F6441" t="s">
        <v>100</v>
      </c>
      <c r="G6441">
        <v>-202.0727</v>
      </c>
      <c r="H6441">
        <v>32.561709999999998</v>
      </c>
      <c r="I6441">
        <v>391.00349999999997</v>
      </c>
      <c r="J6441">
        <v>-192.06809999999999</v>
      </c>
      <c r="K6441">
        <v>1.111089</v>
      </c>
      <c r="L6441">
        <v>69.398160000000004</v>
      </c>
      <c r="M6441">
        <v>-6.8758519999999996E-4</v>
      </c>
      <c r="N6441">
        <v>0</v>
      </c>
      <c r="O6441">
        <v>0.99981330000000002</v>
      </c>
      <c r="P6441">
        <v>-1.0446749999999999E-2</v>
      </c>
      <c r="Q6441">
        <v>-4.6642620000000003E-2</v>
      </c>
      <c r="R6441">
        <v>0.99885699999999999</v>
      </c>
      <c r="S6441">
        <v>-9.3765260000000003E-2</v>
      </c>
      <c r="T6441">
        <v>0.29475639999999997</v>
      </c>
      <c r="U6441">
        <v>3.0165709999999999</v>
      </c>
      <c r="V6441">
        <v>-9.7611680000000006E-3</v>
      </c>
      <c r="W6441">
        <v>-2.7342330000000001E-2</v>
      </c>
      <c r="X6441">
        <v>0.99957850000000004</v>
      </c>
      <c r="Y6441">
        <v>-3.0233880000000001E-2</v>
      </c>
      <c r="Z6441">
        <v>9.720376E-2</v>
      </c>
      <c r="AA6441">
        <v>0.99480519999999995</v>
      </c>
      <c r="AB6441">
        <v>27</v>
      </c>
      <c r="AC6441">
        <v>-10.0046</v>
      </c>
      <c r="AD6441">
        <v>31.450621000000002</v>
      </c>
      <c r="AE6441">
        <v>321.60534000000001</v>
      </c>
      <c r="AF6441">
        <v>-9.6908376441072104</v>
      </c>
      <c r="AG6441">
        <v>31.450621000000002</v>
      </c>
      <c r="AH6441">
        <v>318.56849434882503</v>
      </c>
      <c r="AI6441">
        <v>84.364344480580399</v>
      </c>
      <c r="AJ6441">
        <v>91.742397419916102</v>
      </c>
      <c r="AK6441">
        <v>320.26385916492001</v>
      </c>
      <c r="AL6441">
        <v>91.566795328055804</v>
      </c>
      <c r="AM6441">
        <v>90.559491778728301</v>
      </c>
      <c r="AN6441">
        <v>1.0000000305364001</v>
      </c>
    </row>
    <row r="6442" spans="1:40" x14ac:dyDescent="0.3">
      <c r="A6442" t="str">
        <f>"20200111160636078"</f>
        <v>20200111160636078</v>
      </c>
      <c r="B6442" t="str">
        <f>"1578729996068964"</f>
        <v>1578729996068964</v>
      </c>
      <c r="C6442" t="s">
        <v>40</v>
      </c>
      <c r="D6442">
        <v>5.5159500000000001</v>
      </c>
      <c r="E6442">
        <v>0.51183869999999998</v>
      </c>
      <c r="F6442" t="s">
        <v>100</v>
      </c>
      <c r="G6442">
        <v>-197.25290000000001</v>
      </c>
      <c r="H6442">
        <v>31.094950000000001</v>
      </c>
      <c r="I6442">
        <v>391.87</v>
      </c>
      <c r="J6442">
        <v>-192.06829999999999</v>
      </c>
      <c r="K6442">
        <v>1.1111</v>
      </c>
      <c r="L6442">
        <v>69.658140000000003</v>
      </c>
      <c r="M6442">
        <v>-6.8734809999999999E-4</v>
      </c>
      <c r="N6442">
        <v>0</v>
      </c>
      <c r="O6442">
        <v>0.99980990000000003</v>
      </c>
      <c r="P6442">
        <v>-8.7178159999999998E-3</v>
      </c>
      <c r="Q6442">
        <v>-4.6408659999999997E-2</v>
      </c>
      <c r="R6442">
        <v>0.99888449999999995</v>
      </c>
      <c r="S6442">
        <v>-4.8492430000000003E-2</v>
      </c>
      <c r="T6442">
        <v>0.28043370000000001</v>
      </c>
      <c r="U6442">
        <v>3.016022</v>
      </c>
      <c r="V6442">
        <v>-8.0324819999999901E-3</v>
      </c>
      <c r="W6442">
        <v>-2.693765E-2</v>
      </c>
      <c r="X6442">
        <v>0.99960479999999996</v>
      </c>
      <c r="Y6442">
        <v>-1.531977E-2</v>
      </c>
      <c r="Z6442">
        <v>9.2570570000000005E-2</v>
      </c>
      <c r="AA6442">
        <v>0.99558820000000003</v>
      </c>
      <c r="AB6442">
        <v>27</v>
      </c>
      <c r="AC6442">
        <v>-5.1846000000000103</v>
      </c>
      <c r="AD6442">
        <v>29.98385</v>
      </c>
      <c r="AE6442">
        <v>322.21186</v>
      </c>
      <c r="AF6442">
        <v>-4.9204871825311498</v>
      </c>
      <c r="AG6442">
        <v>29.98385</v>
      </c>
      <c r="AH6442">
        <v>319.44979547973003</v>
      </c>
      <c r="AI6442">
        <v>84.638507715609194</v>
      </c>
      <c r="AJ6442">
        <v>90.882457463434903</v>
      </c>
      <c r="AK6442">
        <v>320.891592733398</v>
      </c>
      <c r="AL6442">
        <v>91.543600442089598</v>
      </c>
      <c r="AM6442">
        <v>90.460399361925099</v>
      </c>
      <c r="AN6442">
        <v>0.99999995696882005</v>
      </c>
    </row>
    <row r="6443" spans="1:40" x14ac:dyDescent="0.3">
      <c r="A6443" t="str">
        <f>"20200111160636101"</f>
        <v>20200111160636101</v>
      </c>
      <c r="B6443" t="str">
        <f>"1578729996089460"</f>
        <v>1578729996089460</v>
      </c>
      <c r="C6443" t="s">
        <v>40</v>
      </c>
      <c r="D6443">
        <v>5.451765</v>
      </c>
      <c r="E6443">
        <v>0.51070519999999997</v>
      </c>
      <c r="F6443" t="s">
        <v>42</v>
      </c>
      <c r="G6443">
        <v>-192.05420000000001</v>
      </c>
      <c r="H6443">
        <v>1.017204</v>
      </c>
      <c r="I6443">
        <v>70.444109999999995</v>
      </c>
      <c r="J6443">
        <v>-192.0685</v>
      </c>
      <c r="K6443">
        <v>1.1111089999999999</v>
      </c>
      <c r="L6443">
        <v>69.922089999999997</v>
      </c>
      <c r="M6443">
        <v>-6.8711659999999997E-4</v>
      </c>
      <c r="N6443">
        <v>0</v>
      </c>
      <c r="O6443">
        <v>0.99980740000000001</v>
      </c>
      <c r="P6443">
        <v>-7.1723960000000002E-3</v>
      </c>
      <c r="Q6443">
        <v>-4.6617810000000003E-2</v>
      </c>
      <c r="R6443">
        <v>0.99888710000000003</v>
      </c>
      <c r="S6443">
        <v>5.3726200000000002E-2</v>
      </c>
      <c r="T6443">
        <v>-0.35687069999999999</v>
      </c>
      <c r="U6443">
        <v>2.987244</v>
      </c>
      <c r="V6443">
        <v>-6.4871640000000001E-3</v>
      </c>
      <c r="W6443">
        <v>-2.7018629999999998E-2</v>
      </c>
      <c r="X6443">
        <v>0.99961390000000006</v>
      </c>
      <c r="Y6443">
        <v>1.8542510000000002E-2</v>
      </c>
      <c r="Z6443">
        <v>-0.1186017</v>
      </c>
      <c r="AA6443">
        <v>0.99276880000000001</v>
      </c>
      <c r="AB6443">
        <v>26</v>
      </c>
      <c r="AC6443">
        <v>1.42999999999915E-2</v>
      </c>
      <c r="AD6443">
        <v>-9.39050000000001E-2</v>
      </c>
      <c r="AE6443">
        <v>0.52201999999999704</v>
      </c>
      <c r="AF6443">
        <v>1.4199605241037701E-2</v>
      </c>
      <c r="AG6443">
        <v>-9.39050000000001E-2</v>
      </c>
      <c r="AH6443">
        <v>0.50565938318760895</v>
      </c>
      <c r="AI6443">
        <v>100.51638390835301</v>
      </c>
      <c r="AJ6443">
        <v>88.391479072928902</v>
      </c>
      <c r="AK6443">
        <v>0.51450091313784296</v>
      </c>
      <c r="AL6443">
        <v>91.548241847278803</v>
      </c>
      <c r="AM6443">
        <v>90.371825462183693</v>
      </c>
      <c r="AN6443">
        <v>1.0000000193685199</v>
      </c>
    </row>
    <row r="6444" spans="1:40" x14ac:dyDescent="0.3">
      <c r="A6444" t="str">
        <f>"20200111160636124"</f>
        <v>20200111160636124</v>
      </c>
      <c r="B6444" t="str">
        <f>"1578729996118740"</f>
        <v>1578729996118740</v>
      </c>
      <c r="C6444" t="s">
        <v>40</v>
      </c>
      <c r="D6444">
        <v>5.563212</v>
      </c>
      <c r="E6444">
        <v>0.50948660000000001</v>
      </c>
      <c r="F6444" t="s">
        <v>42</v>
      </c>
      <c r="G6444">
        <v>-192.0557</v>
      </c>
      <c r="H6444">
        <v>1.0219039999999999</v>
      </c>
      <c r="I6444">
        <v>70.680400000000006</v>
      </c>
      <c r="J6444">
        <v>-192.0686</v>
      </c>
      <c r="K6444">
        <v>1.11112099999999</v>
      </c>
      <c r="L6444">
        <v>70.192809999999994</v>
      </c>
      <c r="M6444">
        <v>-6.8689330000000005E-4</v>
      </c>
      <c r="N6444">
        <v>0</v>
      </c>
      <c r="O6444">
        <v>0.99980599999999997</v>
      </c>
      <c r="P6444">
        <v>-5.80899E-3</v>
      </c>
      <c r="Q6444">
        <v>-4.5834779999999999E-2</v>
      </c>
      <c r="R6444">
        <v>0.99893209999999999</v>
      </c>
      <c r="S6444">
        <v>4.9591059999999999E-2</v>
      </c>
      <c r="T6444">
        <v>-0.35144009999999998</v>
      </c>
      <c r="U6444">
        <v>2.9873050000000001</v>
      </c>
      <c r="V6444">
        <v>-5.1235710000000004E-3</v>
      </c>
      <c r="W6444">
        <v>-2.616419E-2</v>
      </c>
      <c r="X6444">
        <v>0.99964450000000005</v>
      </c>
      <c r="Y6444">
        <v>1.7171599999999999E-2</v>
      </c>
      <c r="Z6444">
        <v>-0.1168222</v>
      </c>
      <c r="AA6444">
        <v>0.99300440000000001</v>
      </c>
      <c r="AB6444">
        <v>26</v>
      </c>
      <c r="AC6444">
        <v>1.29000000000019E-2</v>
      </c>
      <c r="AD6444">
        <v>-8.9216999999999602E-2</v>
      </c>
      <c r="AE6444">
        <v>0.48759000000001101</v>
      </c>
      <c r="AF6444">
        <v>1.2806521532465601E-2</v>
      </c>
      <c r="AG6444">
        <v>-8.9216999999999602E-2</v>
      </c>
      <c r="AH6444">
        <v>0.471796322638808</v>
      </c>
      <c r="AI6444">
        <v>100.704374701465</v>
      </c>
      <c r="AJ6444">
        <v>88.445135187366105</v>
      </c>
      <c r="AK6444">
        <v>0.48032848149809299</v>
      </c>
      <c r="AL6444">
        <v>91.499268795686902</v>
      </c>
      <c r="AM6444">
        <v>90.293660820233299</v>
      </c>
      <c r="AN6444">
        <v>0.99999997109919803</v>
      </c>
    </row>
    <row r="6445" spans="1:40" x14ac:dyDescent="0.3">
      <c r="A6445" t="str">
        <f>"20200111160636144"</f>
        <v>20200111160636144</v>
      </c>
      <c r="B6445" t="str">
        <f>"1578729996139236"</f>
        <v>1578729996139236</v>
      </c>
      <c r="C6445" t="s">
        <v>40</v>
      </c>
      <c r="D6445">
        <v>6.0923809999999996</v>
      </c>
      <c r="E6445">
        <v>0.50899369999999999</v>
      </c>
      <c r="F6445" t="s">
        <v>42</v>
      </c>
      <c r="G6445">
        <v>-192.05459999999999</v>
      </c>
      <c r="H6445">
        <v>1.0024900000000001</v>
      </c>
      <c r="I6445">
        <v>71.135249999999999</v>
      </c>
      <c r="J6445">
        <v>-192.06880000000001</v>
      </c>
      <c r="K6445">
        <v>1.111111</v>
      </c>
      <c r="L6445">
        <v>70.428740000000005</v>
      </c>
      <c r="M6445">
        <v>-6.8672709999999997E-4</v>
      </c>
      <c r="N6445">
        <v>0</v>
      </c>
      <c r="O6445">
        <v>0.99980619999999998</v>
      </c>
      <c r="P6445">
        <v>-4.9105099999999999E-3</v>
      </c>
      <c r="Q6445">
        <v>-4.4702980000000003E-2</v>
      </c>
      <c r="R6445">
        <v>0.99898830000000005</v>
      </c>
      <c r="S6445">
        <v>4.4250490000000003E-2</v>
      </c>
      <c r="T6445">
        <v>-0.3444005</v>
      </c>
      <c r="U6445">
        <v>2.9876710000000002</v>
      </c>
      <c r="V6445">
        <v>-4.2251729999999996E-3</v>
      </c>
      <c r="W6445">
        <v>-2.5040630000000001E-2</v>
      </c>
      <c r="X6445">
        <v>0.9996775</v>
      </c>
      <c r="Y6445">
        <v>1.5398790000000001E-2</v>
      </c>
      <c r="Z6445">
        <v>-0.1145026</v>
      </c>
      <c r="AA6445">
        <v>0.99330359999999995</v>
      </c>
      <c r="AB6445">
        <v>26</v>
      </c>
      <c r="AC6445">
        <v>1.42000000000166E-2</v>
      </c>
      <c r="AD6445">
        <v>-0.108621</v>
      </c>
      <c r="AE6445">
        <v>0.70650999999999398</v>
      </c>
      <c r="AF6445">
        <v>1.43463045576066E-2</v>
      </c>
      <c r="AG6445">
        <v>-0.108621</v>
      </c>
      <c r="AH6445">
        <v>0.69019263631565397</v>
      </c>
      <c r="AI6445">
        <v>98.9418263145526</v>
      </c>
      <c r="AJ6445">
        <v>88.809224686698499</v>
      </c>
      <c r="AK6445">
        <v>0.69883489703921697</v>
      </c>
      <c r="AL6445">
        <v>91.434872401809102</v>
      </c>
      <c r="AM6445">
        <v>90.242161236125398</v>
      </c>
      <c r="AN6445">
        <v>0.99999999462196298</v>
      </c>
    </row>
    <row r="6446" spans="1:40" x14ac:dyDescent="0.3">
      <c r="A6446" t="str">
        <f>"20200111160636167"</f>
        <v>20200111160636167</v>
      </c>
      <c r="B6446" t="str">
        <f>"1578729996158756"</f>
        <v>1578729996158756</v>
      </c>
      <c r="C6446" t="s">
        <v>40</v>
      </c>
      <c r="D6446">
        <v>5.5116779999999999</v>
      </c>
      <c r="E6446">
        <v>0.50724020000000003</v>
      </c>
      <c r="F6446" t="s">
        <v>42</v>
      </c>
      <c r="G6446">
        <v>-192.05529999999999</v>
      </c>
      <c r="H6446">
        <v>1.003851</v>
      </c>
      <c r="I6446">
        <v>71.366819999999905</v>
      </c>
      <c r="J6446">
        <v>-192.06899999999999</v>
      </c>
      <c r="K6446">
        <v>1.111078</v>
      </c>
      <c r="L6446">
        <v>70.696200000000005</v>
      </c>
      <c r="M6446">
        <v>-6.8659159999999995E-4</v>
      </c>
      <c r="N6446">
        <v>0</v>
      </c>
      <c r="O6446">
        <v>0.99980820000000004</v>
      </c>
      <c r="P6446">
        <v>-4.7347650000000002E-3</v>
      </c>
      <c r="Q6446">
        <v>-4.3659870000000003E-2</v>
      </c>
      <c r="R6446">
        <v>0.99903520000000001</v>
      </c>
      <c r="S6446">
        <v>4.2877199999999997E-2</v>
      </c>
      <c r="T6446">
        <v>-0.34163179999999999</v>
      </c>
      <c r="U6446">
        <v>2.987946</v>
      </c>
      <c r="V6446">
        <v>-4.0493700000000001E-3</v>
      </c>
      <c r="W6446">
        <v>-2.4096010000000001E-2</v>
      </c>
      <c r="X6446">
        <v>0.99970139999999996</v>
      </c>
      <c r="Y6446">
        <v>1.494237E-2</v>
      </c>
      <c r="Z6446">
        <v>-0.1135844</v>
      </c>
      <c r="AA6446">
        <v>0.99341599999999997</v>
      </c>
      <c r="AB6446">
        <v>26</v>
      </c>
      <c r="AC6446">
        <v>1.37000000000284E-2</v>
      </c>
      <c r="AD6446">
        <v>-0.107226999999999</v>
      </c>
      <c r="AE6446">
        <v>0.67061999999998501</v>
      </c>
      <c r="AF6446">
        <v>1.3807673407443001E-2</v>
      </c>
      <c r="AG6446">
        <v>-0.107226999999999</v>
      </c>
      <c r="AH6446">
        <v>0.65390008582483505</v>
      </c>
      <c r="AI6446">
        <v>99.310483495380197</v>
      </c>
      <c r="AJ6446">
        <v>88.790329168118504</v>
      </c>
      <c r="AK6446">
        <v>0.66277719002365598</v>
      </c>
      <c r="AL6446">
        <v>91.380733377235202</v>
      </c>
      <c r="AM6446">
        <v>90.232079840852194</v>
      </c>
      <c r="AN6446">
        <v>0.99999995212863702</v>
      </c>
    </row>
    <row r="6447" spans="1:40" x14ac:dyDescent="0.3">
      <c r="A6447" t="str">
        <f>"20200111160636189"</f>
        <v>20200111160636189</v>
      </c>
      <c r="B6447" t="str">
        <f>"1578729996179252"</f>
        <v>1578729996179252</v>
      </c>
      <c r="C6447" t="s">
        <v>40</v>
      </c>
      <c r="D6447">
        <v>5.5214270000000001</v>
      </c>
      <c r="E6447">
        <v>0.50722440000000002</v>
      </c>
      <c r="F6447" t="s">
        <v>100</v>
      </c>
      <c r="G6447">
        <v>-186.14250000000001</v>
      </c>
      <c r="H6447">
        <v>5.8722949999999896</v>
      </c>
      <c r="I6447">
        <v>390.20920000000001</v>
      </c>
      <c r="J6447">
        <v>-192.06909999999999</v>
      </c>
      <c r="K6447">
        <v>1.111046</v>
      </c>
      <c r="L6447">
        <v>70.955629999999999</v>
      </c>
      <c r="M6447">
        <v>-6.8649339999999996E-4</v>
      </c>
      <c r="N6447">
        <v>0</v>
      </c>
      <c r="O6447">
        <v>0.99981120000000001</v>
      </c>
      <c r="P6447">
        <v>-4.9768E-3</v>
      </c>
      <c r="Q6447">
        <v>-4.3309800000000002E-2</v>
      </c>
      <c r="R6447">
        <v>0.99904930000000003</v>
      </c>
      <c r="S6447">
        <v>5.5740360000000003E-2</v>
      </c>
      <c r="T6447">
        <v>4.4780849999999997E-2</v>
      </c>
      <c r="U6447">
        <v>3.0051269999999999</v>
      </c>
      <c r="V6447">
        <v>-4.2920279999999998E-3</v>
      </c>
      <c r="W6447">
        <v>-2.390362E-2</v>
      </c>
      <c r="X6447">
        <v>0.99970510000000001</v>
      </c>
      <c r="Y6447">
        <v>1.9229670000000001E-2</v>
      </c>
      <c r="Z6447">
        <v>1.489717E-2</v>
      </c>
      <c r="AA6447">
        <v>0.99970409999999998</v>
      </c>
      <c r="AB6447">
        <v>26</v>
      </c>
      <c r="AC6447">
        <v>5.9265999999999703</v>
      </c>
      <c r="AD6447">
        <v>4.7612489999999896</v>
      </c>
      <c r="AE6447">
        <v>319.25357000000002</v>
      </c>
      <c r="AF6447">
        <v>6.1444392421338501</v>
      </c>
      <c r="AG6447">
        <v>4.7612489999999896</v>
      </c>
      <c r="AH6447">
        <v>319.178458772287</v>
      </c>
      <c r="AI6447">
        <v>89.145529060966695</v>
      </c>
      <c r="AJ6447">
        <v>88.897146887941901</v>
      </c>
      <c r="AK6447">
        <v>319.27309966530697</v>
      </c>
      <c r="AL6447">
        <v>91.369706937411806</v>
      </c>
      <c r="AM6447">
        <v>90.245986120342593</v>
      </c>
      <c r="AN6447">
        <v>1.00000004575973</v>
      </c>
    </row>
    <row r="6448" spans="1:40" x14ac:dyDescent="0.3">
      <c r="A6448" t="str">
        <f>"20200111160636211"</f>
        <v>20200111160636211</v>
      </c>
      <c r="B6448" t="str">
        <f>"1578729996209508"</f>
        <v>1578729996209508</v>
      </c>
      <c r="C6448" t="s">
        <v>40</v>
      </c>
      <c r="D6448">
        <v>5.6230010000000004</v>
      </c>
      <c r="E6448">
        <v>0.50707999999999998</v>
      </c>
      <c r="F6448" t="s">
        <v>42</v>
      </c>
      <c r="G6448">
        <v>-192.0609</v>
      </c>
      <c r="H6448">
        <v>1.00928</v>
      </c>
      <c r="I6448">
        <v>71.828969999999998</v>
      </c>
      <c r="J6448">
        <v>-192.0693</v>
      </c>
      <c r="K6448">
        <v>1.1109960000000001</v>
      </c>
      <c r="L6448">
        <v>71.2012</v>
      </c>
      <c r="M6448">
        <v>-6.8645350000000002E-4</v>
      </c>
      <c r="N6448">
        <v>0</v>
      </c>
      <c r="O6448">
        <v>0.99981589999999998</v>
      </c>
      <c r="P6448">
        <v>-5.3011409999999997E-3</v>
      </c>
      <c r="Q6448">
        <v>-4.2599239999999997E-2</v>
      </c>
      <c r="R6448">
        <v>0.99907820000000003</v>
      </c>
      <c r="S6448">
        <v>2.793884E-2</v>
      </c>
      <c r="T6448">
        <v>-0.34816809999999998</v>
      </c>
      <c r="U6448">
        <v>2.9878849999999999</v>
      </c>
      <c r="V6448">
        <v>-4.6162319999999996E-3</v>
      </c>
      <c r="W6448">
        <v>-2.3434409999999999E-2</v>
      </c>
      <c r="X6448">
        <v>0.99971469999999996</v>
      </c>
      <c r="Y6448">
        <v>9.9740139999999998E-3</v>
      </c>
      <c r="Z6448">
        <v>-0.1157381</v>
      </c>
      <c r="AA6448">
        <v>0.99322969999999999</v>
      </c>
      <c r="AB6448">
        <v>26</v>
      </c>
      <c r="AC6448">
        <v>8.3999999999946305E-3</v>
      </c>
      <c r="AD6448">
        <v>-0.101715999999999</v>
      </c>
      <c r="AE6448">
        <v>0.62776999999999805</v>
      </c>
      <c r="AF6448">
        <v>8.6051425980137198E-3</v>
      </c>
      <c r="AG6448">
        <v>-0.101715999999999</v>
      </c>
      <c r="AH6448">
        <v>0.61170784911347997</v>
      </c>
      <c r="AI6448">
        <v>99.439959162046407</v>
      </c>
      <c r="AJ6448">
        <v>89.194050174796502</v>
      </c>
      <c r="AK6448">
        <v>0.62016665969896501</v>
      </c>
      <c r="AL6448">
        <v>91.342815738682702</v>
      </c>
      <c r="AM6448">
        <v>90.264564211244704</v>
      </c>
      <c r="AN6448">
        <v>0.99999998128300704</v>
      </c>
    </row>
    <row r="6449" spans="1:40" x14ac:dyDescent="0.3">
      <c r="A6449" t="str">
        <f>"20200111160636234"</f>
        <v>20200111160636234</v>
      </c>
      <c r="B6449" t="str">
        <f>"1578729996229028"</f>
        <v>1578729996229028</v>
      </c>
      <c r="C6449" t="s">
        <v>40</v>
      </c>
      <c r="D6449">
        <v>6.7831380000000001</v>
      </c>
      <c r="E6449">
        <v>0.50570569999999904</v>
      </c>
      <c r="F6449" t="s">
        <v>42</v>
      </c>
      <c r="G6449">
        <v>-192.06039999999999</v>
      </c>
      <c r="H6449">
        <v>1.0292410000000001</v>
      </c>
      <c r="I6449">
        <v>72.067769999999996</v>
      </c>
      <c r="J6449">
        <v>-192.06950000000001</v>
      </c>
      <c r="K6449">
        <v>1.1109209999999901</v>
      </c>
      <c r="L6449">
        <v>71.460880000000003</v>
      </c>
      <c r="M6449">
        <v>-6.865002E-4</v>
      </c>
      <c r="N6449">
        <v>0</v>
      </c>
      <c r="O6449">
        <v>0.99982320000000002</v>
      </c>
      <c r="P6449">
        <v>-5.6849530000000004E-3</v>
      </c>
      <c r="Q6449">
        <v>-4.2233890000000003E-2</v>
      </c>
      <c r="R6449">
        <v>0.99909159999999997</v>
      </c>
      <c r="S6449">
        <v>3.015137E-2</v>
      </c>
      <c r="T6449">
        <v>-0.28219090000000002</v>
      </c>
      <c r="U6449">
        <v>2.9909059999999998</v>
      </c>
      <c r="V6449">
        <v>-4.9999729999999996E-3</v>
      </c>
      <c r="W6449">
        <v>-2.3451929999999999E-2</v>
      </c>
      <c r="X6449">
        <v>0.9997125</v>
      </c>
      <c r="Y6449">
        <v>1.0722519999999999E-2</v>
      </c>
      <c r="Z6449">
        <v>-9.3927389999999999E-2</v>
      </c>
      <c r="AA6449">
        <v>0.99552130000000005</v>
      </c>
      <c r="AB6449">
        <v>26</v>
      </c>
      <c r="AC6449">
        <v>9.1000000000178698E-3</v>
      </c>
      <c r="AD6449">
        <v>-8.1679999999999697E-2</v>
      </c>
      <c r="AE6449">
        <v>0.60688999999999205</v>
      </c>
      <c r="AF6449">
        <v>9.34742152107991E-3</v>
      </c>
      <c r="AG6449">
        <v>-8.1679999999999697E-2</v>
      </c>
      <c r="AH6449">
        <v>0.59608855893850299</v>
      </c>
      <c r="AI6449">
        <v>97.801508034746405</v>
      </c>
      <c r="AJ6449">
        <v>89.101603441525</v>
      </c>
      <c r="AK6449">
        <v>0.60173130779981299</v>
      </c>
      <c r="AL6449">
        <v>91.343819760880805</v>
      </c>
      <c r="AM6449">
        <v>90.286557347193707</v>
      </c>
      <c r="AN6449">
        <v>1.0000000377034799</v>
      </c>
    </row>
    <row r="6450" spans="1:40" x14ac:dyDescent="0.3">
      <c r="A6450" t="str">
        <f>"20200111160636256"</f>
        <v>20200111160636256</v>
      </c>
      <c r="B6450" t="str">
        <f>"1578729996249525"</f>
        <v>1578729996249525</v>
      </c>
      <c r="C6450" t="s">
        <v>40</v>
      </c>
      <c r="D6450">
        <v>5.5952789999999997</v>
      </c>
      <c r="E6450">
        <v>0.50648990000000005</v>
      </c>
      <c r="F6450" t="s">
        <v>41</v>
      </c>
      <c r="G6450">
        <v>-191.8921</v>
      </c>
      <c r="H6450" s="1">
        <v>-1.465355E-6</v>
      </c>
      <c r="I6450">
        <v>91.831379999999996</v>
      </c>
      <c r="J6450">
        <v>-192.06960000000001</v>
      </c>
      <c r="K6450">
        <v>1.1108340000000001</v>
      </c>
      <c r="L6450">
        <v>71.718990000000005</v>
      </c>
      <c r="M6450">
        <v>-6.8658149999999997E-4</v>
      </c>
      <c r="N6450">
        <v>0</v>
      </c>
      <c r="O6450">
        <v>0.99983180000000005</v>
      </c>
      <c r="P6450">
        <v>-6.5042629999999997E-3</v>
      </c>
      <c r="Q6450">
        <v>-4.1119030000000001E-2</v>
      </c>
      <c r="R6450">
        <v>0.9991331</v>
      </c>
      <c r="S6450">
        <v>2.6092529999999999E-2</v>
      </c>
      <c r="T6450">
        <v>-0.1633878</v>
      </c>
      <c r="U6450">
        <v>2.9959720000000001</v>
      </c>
      <c r="V6450">
        <v>-5.8190309999999997E-3</v>
      </c>
      <c r="W6450">
        <v>-2.2799409999999999E-2</v>
      </c>
      <c r="X6450">
        <v>0.99972309999999998</v>
      </c>
      <c r="Y6450">
        <v>9.3826240000000009E-3</v>
      </c>
      <c r="Z6450">
        <v>-5.4452680000000003E-2</v>
      </c>
      <c r="AA6450">
        <v>0.99847229999999998</v>
      </c>
      <c r="AB6450">
        <v>26</v>
      </c>
      <c r="AC6450">
        <v>0.17750000000000901</v>
      </c>
      <c r="AD6450">
        <v>-1.1108354653550001</v>
      </c>
      <c r="AE6450">
        <v>20.112390000000001</v>
      </c>
      <c r="AF6450">
        <v>0.190729296963107</v>
      </c>
      <c r="AG6450">
        <v>-1.1108354653550001</v>
      </c>
      <c r="AH6450">
        <v>20.0511020938449</v>
      </c>
      <c r="AI6450">
        <v>93.170814197763605</v>
      </c>
      <c r="AJ6450">
        <v>89.455009798469206</v>
      </c>
      <c r="AK6450">
        <v>20.082754499161801</v>
      </c>
      <c r="AL6450">
        <v>91.306423199791297</v>
      </c>
      <c r="AM6450">
        <v>90.3334944966074</v>
      </c>
      <c r="AN6450">
        <v>0.99999997544586805</v>
      </c>
    </row>
    <row r="6451" spans="1:40" x14ac:dyDescent="0.3">
      <c r="A6451" t="str">
        <f>"20200111160636279"</f>
        <v>20200111160636279</v>
      </c>
      <c r="B6451" t="str">
        <f>"1578729996269047"</f>
        <v>1578729996269047</v>
      </c>
      <c r="C6451" t="s">
        <v>40</v>
      </c>
      <c r="D6451">
        <v>5.6439919999999999</v>
      </c>
      <c r="E6451">
        <v>0.50654949999999999</v>
      </c>
      <c r="F6451" t="s">
        <v>41</v>
      </c>
      <c r="G6451">
        <v>-191.8775</v>
      </c>
      <c r="H6451" s="1">
        <v>-1.263346E-6</v>
      </c>
      <c r="I6451">
        <v>91.369540000000001</v>
      </c>
      <c r="J6451">
        <v>-192.06979999999999</v>
      </c>
      <c r="K6451">
        <v>1.1107579999999999</v>
      </c>
      <c r="L6451">
        <v>71.976500000000001</v>
      </c>
      <c r="M6451">
        <v>-6.8668570000000005E-4</v>
      </c>
      <c r="N6451">
        <v>0</v>
      </c>
      <c r="O6451">
        <v>0.99984030000000002</v>
      </c>
      <c r="P6451">
        <v>-7.2364159999999999E-3</v>
      </c>
      <c r="Q6451">
        <v>-4.0634110000000001E-2</v>
      </c>
      <c r="R6451">
        <v>0.99914789999999998</v>
      </c>
      <c r="S6451">
        <v>2.9296880000000001E-2</v>
      </c>
      <c r="T6451">
        <v>-0.16935210000000001</v>
      </c>
      <c r="U6451">
        <v>2.995819</v>
      </c>
      <c r="V6451">
        <v>-6.5512510000000001E-3</v>
      </c>
      <c r="W6451">
        <v>-2.2783629999999999E-2</v>
      </c>
      <c r="X6451">
        <v>0.99971900000000002</v>
      </c>
      <c r="Y6451">
        <v>1.0449959999999999E-2</v>
      </c>
      <c r="Z6451">
        <v>-5.6436479999999997E-2</v>
      </c>
      <c r="AA6451">
        <v>0.99835149999999995</v>
      </c>
      <c r="AB6451">
        <v>26</v>
      </c>
      <c r="AC6451">
        <v>0.19229999999998801</v>
      </c>
      <c r="AD6451">
        <v>-1.1107592633459999</v>
      </c>
      <c r="AE6451">
        <v>19.393039999999999</v>
      </c>
      <c r="AF6451">
        <v>0.20494672769121799</v>
      </c>
      <c r="AG6451">
        <v>-1.1107592633459999</v>
      </c>
      <c r="AH6451">
        <v>19.3294979950571</v>
      </c>
      <c r="AI6451">
        <v>93.2886699486818</v>
      </c>
      <c r="AJ6451">
        <v>89.392527290492097</v>
      </c>
      <c r="AK6451">
        <v>19.362470969461</v>
      </c>
      <c r="AL6451">
        <v>91.305518745555901</v>
      </c>
      <c r="AM6451">
        <v>90.375459163977496</v>
      </c>
      <c r="AN6451">
        <v>1.00000004582331</v>
      </c>
    </row>
    <row r="6452" spans="1:40" x14ac:dyDescent="0.3">
      <c r="A6452" t="str">
        <f>"20200111160636300"</f>
        <v>20200111160636300</v>
      </c>
      <c r="B6452" t="str">
        <f>"1578729996288563"</f>
        <v>1578729996288563</v>
      </c>
      <c r="C6452" t="s">
        <v>40</v>
      </c>
      <c r="D6452">
        <v>5.7046320000000001</v>
      </c>
      <c r="E6452">
        <v>0.50651759999999901</v>
      </c>
      <c r="F6452" t="s">
        <v>41</v>
      </c>
      <c r="G6452">
        <v>-191.9325</v>
      </c>
      <c r="H6452" s="1">
        <v>-4.2033110000000001E-6</v>
      </c>
      <c r="I6452">
        <v>88.331109999999995</v>
      </c>
      <c r="J6452">
        <v>-192.07</v>
      </c>
      <c r="K6452">
        <v>1.1106940000000001</v>
      </c>
      <c r="L6452">
        <v>72.219480000000004</v>
      </c>
      <c r="M6452">
        <v>-6.867698E-4</v>
      </c>
      <c r="N6452">
        <v>0</v>
      </c>
      <c r="O6452">
        <v>0.99984770000000001</v>
      </c>
      <c r="P6452">
        <v>-7.8373929999999998E-3</v>
      </c>
      <c r="Q6452">
        <v>-4.0915340000000001E-2</v>
      </c>
      <c r="R6452">
        <v>0.99913189999999996</v>
      </c>
      <c r="S6452">
        <v>2.5146479999999999E-2</v>
      </c>
      <c r="T6452">
        <v>-0.203377</v>
      </c>
      <c r="U6452">
        <v>2.9944760000000001</v>
      </c>
      <c r="V6452">
        <v>-7.1522560000000001E-3</v>
      </c>
      <c r="W6452">
        <v>-2.3484689999999999E-2</v>
      </c>
      <c r="X6452">
        <v>0.99969859999999999</v>
      </c>
      <c r="Y6452">
        <v>9.0648759999999995E-3</v>
      </c>
      <c r="Z6452">
        <v>-6.7758669999999993E-2</v>
      </c>
      <c r="AA6452">
        <v>0.99766060000000001</v>
      </c>
      <c r="AB6452">
        <v>26</v>
      </c>
      <c r="AC6452">
        <v>0.13749999999998799</v>
      </c>
      <c r="AD6452">
        <v>-1.110698203311</v>
      </c>
      <c r="AE6452">
        <v>16.111629999999899</v>
      </c>
      <c r="AF6452">
        <v>0.14786397343824001</v>
      </c>
      <c r="AG6452">
        <v>-1.110698203311</v>
      </c>
      <c r="AH6452">
        <v>16.035330963473399</v>
      </c>
      <c r="AI6452">
        <v>93.962134971367902</v>
      </c>
      <c r="AJ6452">
        <v>89.471682777910004</v>
      </c>
      <c r="AK6452">
        <v>16.074431665275402</v>
      </c>
      <c r="AL6452">
        <v>91.3456973543679</v>
      </c>
      <c r="AM6452">
        <v>90.409910638224005</v>
      </c>
      <c r="AN6452">
        <v>0.99999998813612201</v>
      </c>
    </row>
    <row r="6453" spans="1:40" x14ac:dyDescent="0.3">
      <c r="A6453" t="str">
        <f>"20200111160636323"</f>
        <v>20200111160636323</v>
      </c>
      <c r="B6453" t="str">
        <f>"1578729996318822"</f>
        <v>1578729996318822</v>
      </c>
      <c r="C6453" t="s">
        <v>40</v>
      </c>
      <c r="D6453">
        <v>5.6384840000000001</v>
      </c>
      <c r="E6453">
        <v>0.50639650000000003</v>
      </c>
      <c r="F6453" t="s">
        <v>41</v>
      </c>
      <c r="G6453">
        <v>-191.9666</v>
      </c>
      <c r="H6453" s="1">
        <v>-3.6006190000000002E-6</v>
      </c>
      <c r="I6453">
        <v>86.76249</v>
      </c>
      <c r="J6453">
        <v>-192.0701</v>
      </c>
      <c r="K6453">
        <v>1.1106400000000001</v>
      </c>
      <c r="L6453">
        <v>72.475859999999997</v>
      </c>
      <c r="M6453">
        <v>-6.8684200000000001E-4</v>
      </c>
      <c r="N6453">
        <v>0</v>
      </c>
      <c r="O6453">
        <v>0.99985489999999999</v>
      </c>
      <c r="P6453">
        <v>-7.8720449999999994E-3</v>
      </c>
      <c r="Q6453">
        <v>-4.0943760000000003E-2</v>
      </c>
      <c r="R6453">
        <v>0.99913039999999997</v>
      </c>
      <c r="S6453">
        <v>2.1270750000000001E-2</v>
      </c>
      <c r="T6453">
        <v>-0.2286165</v>
      </c>
      <c r="U6453">
        <v>2.9934080000000001</v>
      </c>
      <c r="V6453">
        <v>-7.1869789999999996E-3</v>
      </c>
      <c r="W6453">
        <v>-2.3929510000000001E-2</v>
      </c>
      <c r="X6453">
        <v>0.99968780000000002</v>
      </c>
      <c r="Y6453">
        <v>7.7719750000000004E-3</v>
      </c>
      <c r="Z6453">
        <v>-7.6149410000000001E-2</v>
      </c>
      <c r="AA6453">
        <v>0.99706609999999996</v>
      </c>
      <c r="AB6453">
        <v>26</v>
      </c>
      <c r="AC6453">
        <v>0.103499999999996</v>
      </c>
      <c r="AD6453">
        <v>-1.1106436006189999</v>
      </c>
      <c r="AE6453">
        <v>14.286630000000001</v>
      </c>
      <c r="AF6453">
        <v>0.11263338858686001</v>
      </c>
      <c r="AG6453">
        <v>-1.1106436006189999</v>
      </c>
      <c r="AH6453">
        <v>14.2007376168603</v>
      </c>
      <c r="AI6453">
        <v>94.471875224511294</v>
      </c>
      <c r="AJ6453">
        <v>89.5455670929516</v>
      </c>
      <c r="AK6453">
        <v>14.244548583606701</v>
      </c>
      <c r="AL6453">
        <v>91.371190831750397</v>
      </c>
      <c r="AM6453">
        <v>90.411905066795498</v>
      </c>
      <c r="AN6453">
        <v>0.999999985792413</v>
      </c>
    </row>
    <row r="6454" spans="1:40" x14ac:dyDescent="0.3">
      <c r="A6454" t="str">
        <f>"20200111160636345"</f>
        <v>20200111160636345</v>
      </c>
      <c r="B6454" t="str">
        <f>"1578729996339316"</f>
        <v>1578729996339316</v>
      </c>
      <c r="C6454" t="s">
        <v>40</v>
      </c>
      <c r="D6454">
        <v>6.4043869999999998</v>
      </c>
      <c r="E6454">
        <v>0.50631119999999996</v>
      </c>
      <c r="F6454" t="s">
        <v>41</v>
      </c>
      <c r="G6454">
        <v>-191.98769999999999</v>
      </c>
      <c r="H6454" s="1">
        <v>-3.1597859999999998E-6</v>
      </c>
      <c r="I6454">
        <v>85.721829999999997</v>
      </c>
      <c r="J6454">
        <v>-192.0703</v>
      </c>
      <c r="K6454">
        <v>1.1106009999999999</v>
      </c>
      <c r="L6454">
        <v>72.725740000000002</v>
      </c>
      <c r="M6454">
        <v>-6.8692359999999997E-4</v>
      </c>
      <c r="N6454">
        <v>0</v>
      </c>
      <c r="O6454">
        <v>0.99986120000000001</v>
      </c>
      <c r="P6454">
        <v>-7.6490330000000004E-3</v>
      </c>
      <c r="Q6454">
        <v>-4.0690839999999999E-2</v>
      </c>
      <c r="R6454">
        <v>0.99914250000000004</v>
      </c>
      <c r="S6454">
        <v>1.8630979999999998E-2</v>
      </c>
      <c r="T6454">
        <v>-0.25091059999999998</v>
      </c>
      <c r="U6454">
        <v>2.9924620000000002</v>
      </c>
      <c r="V6454">
        <v>-6.9638670000000003E-3</v>
      </c>
      <c r="W6454">
        <v>-2.405214E-2</v>
      </c>
      <c r="X6454">
        <v>0.99968650000000003</v>
      </c>
      <c r="Y6454">
        <v>6.8910849999999999E-3</v>
      </c>
      <c r="Z6454">
        <v>-8.355253E-2</v>
      </c>
      <c r="AA6454">
        <v>0.99647960000000002</v>
      </c>
      <c r="AB6454">
        <v>26</v>
      </c>
      <c r="AC6454">
        <v>8.2600000000013496E-2</v>
      </c>
      <c r="AD6454">
        <v>-1.1106041597859999</v>
      </c>
      <c r="AE6454">
        <v>12.996090000000001</v>
      </c>
      <c r="AF6454">
        <v>9.0864990810478802E-2</v>
      </c>
      <c r="AG6454">
        <v>-1.1106041597859999</v>
      </c>
      <c r="AH6454">
        <v>12.901813808609999</v>
      </c>
      <c r="AI6454">
        <v>94.919842103634707</v>
      </c>
      <c r="AJ6454">
        <v>89.596483526949299</v>
      </c>
      <c r="AK6454">
        <v>12.949845466194899</v>
      </c>
      <c r="AL6454">
        <v>91.378218948229801</v>
      </c>
      <c r="AM6454">
        <v>90.399118858197298</v>
      </c>
      <c r="AN6454">
        <v>1.0000000495822099</v>
      </c>
    </row>
    <row r="6455" spans="1:40" x14ac:dyDescent="0.3">
      <c r="A6455" t="str">
        <f>"20200111160636411"</f>
        <v>20200111160636411</v>
      </c>
      <c r="B6455" t="str">
        <f>"1578729996408612"</f>
        <v>1578729996408612</v>
      </c>
      <c r="C6455" t="s">
        <v>40</v>
      </c>
      <c r="D6455">
        <v>5.8312869999999997</v>
      </c>
      <c r="E6455">
        <v>0.54383369999999998</v>
      </c>
      <c r="F6455" t="s">
        <v>42</v>
      </c>
      <c r="G6455">
        <v>-192.06450000000001</v>
      </c>
      <c r="H6455">
        <v>1.0309429999999999</v>
      </c>
      <c r="I6455">
        <v>73.663219999999995</v>
      </c>
      <c r="J6455">
        <v>-192.07079999999999</v>
      </c>
      <c r="K6455">
        <v>1.1105700000000001</v>
      </c>
      <c r="L6455">
        <v>73.480130000000003</v>
      </c>
      <c r="M6455">
        <v>-6.8720399999999996E-4</v>
      </c>
      <c r="N6455">
        <v>0</v>
      </c>
      <c r="O6455">
        <v>0.99987610000000005</v>
      </c>
      <c r="P6455">
        <v>-5.0456299999999997E-3</v>
      </c>
      <c r="Q6455">
        <v>-3.7589499999999998E-2</v>
      </c>
      <c r="R6455">
        <v>0.99928050000000002</v>
      </c>
      <c r="S6455">
        <v>1.8325810000000001E-2</v>
      </c>
      <c r="T6455">
        <v>-0.25427329999999998</v>
      </c>
      <c r="U6455">
        <v>2.9923709999999999</v>
      </c>
      <c r="V6455">
        <v>-4.3594439999999996E-3</v>
      </c>
      <c r="W6455">
        <v>-2.1873E-2</v>
      </c>
      <c r="X6455">
        <v>0.99975130000000001</v>
      </c>
      <c r="Y6455">
        <v>6.7893469999999899E-3</v>
      </c>
      <c r="Z6455">
        <v>-8.4666950000000005E-2</v>
      </c>
      <c r="AA6455">
        <v>0.9963862</v>
      </c>
      <c r="AB6455">
        <v>25</v>
      </c>
      <c r="AC6455">
        <v>6.2999999999817603E-3</v>
      </c>
      <c r="AD6455">
        <v>-7.96270000000001E-2</v>
      </c>
      <c r="AE6455">
        <v>0.18308999999999201</v>
      </c>
      <c r="AF6455">
        <v>5.4047666335992001E-3</v>
      </c>
      <c r="AG6455">
        <v>-7.96270000000001E-2</v>
      </c>
      <c r="AH6455">
        <v>0.153993247872064</v>
      </c>
      <c r="AI6455">
        <v>117.328244462022</v>
      </c>
      <c r="AJ6455">
        <v>87.989890713563298</v>
      </c>
      <c r="AK6455">
        <v>0.17344621939249799</v>
      </c>
      <c r="AL6455">
        <v>91.253330477562201</v>
      </c>
      <c r="AM6455">
        <v>90.249838293916696</v>
      </c>
      <c r="AN6455">
        <v>1.00000004736633</v>
      </c>
    </row>
    <row r="6456" spans="1:40" x14ac:dyDescent="0.3">
      <c r="A6456" t="str">
        <f>"20200111160636434"</f>
        <v>20200111160636434</v>
      </c>
      <c r="B6456" t="str">
        <f>"1578729996429108"</f>
        <v>1578729996429108</v>
      </c>
      <c r="C6456" t="s">
        <v>40</v>
      </c>
      <c r="D6456">
        <v>5.6608330000000002</v>
      </c>
      <c r="E6456">
        <v>0.54959990000000003</v>
      </c>
      <c r="F6456" t="s">
        <v>42</v>
      </c>
      <c r="G6456">
        <v>-191.98859999999999</v>
      </c>
      <c r="H6456">
        <v>0.93828809999999996</v>
      </c>
      <c r="I6456">
        <v>74.296149999999997</v>
      </c>
      <c r="J6456">
        <v>-192.071</v>
      </c>
      <c r="K6456">
        <v>1.1105529999999999</v>
      </c>
      <c r="L6456">
        <v>73.741609999999994</v>
      </c>
      <c r="M6456">
        <v>-6.8726659999999995E-4</v>
      </c>
      <c r="N6456">
        <v>0</v>
      </c>
      <c r="O6456">
        <v>0.99988010000000005</v>
      </c>
      <c r="P6456">
        <v>-4.4805419999999997E-3</v>
      </c>
      <c r="Q6456">
        <v>-3.8113460000000002E-2</v>
      </c>
      <c r="R6456">
        <v>0.99926329999999997</v>
      </c>
      <c r="S6456">
        <v>0.29981989999999997</v>
      </c>
      <c r="T6456">
        <v>-0.62915719999999997</v>
      </c>
      <c r="U6456">
        <v>2.9800110000000002</v>
      </c>
      <c r="V6456">
        <v>-3.7944670000000002E-3</v>
      </c>
      <c r="W6456">
        <v>-2.2648399999999999E-2</v>
      </c>
      <c r="X6456">
        <v>0.99973630000000002</v>
      </c>
      <c r="Y6456">
        <v>9.8650790000000002E-2</v>
      </c>
      <c r="Z6456">
        <v>-0.20557130000000001</v>
      </c>
      <c r="AA6456">
        <v>0.97365729999999995</v>
      </c>
      <c r="AB6456">
        <v>25</v>
      </c>
      <c r="AC6456">
        <v>8.2400000000006898E-2</v>
      </c>
      <c r="AD6456">
        <v>-0.1722649</v>
      </c>
      <c r="AE6456">
        <v>0.55454000000000203</v>
      </c>
      <c r="AF6456">
        <v>7.5639594872748697E-2</v>
      </c>
      <c r="AG6456">
        <v>-0.1722649</v>
      </c>
      <c r="AH6456">
        <v>0.50664783654998302</v>
      </c>
      <c r="AI6456">
        <v>108.586873124837</v>
      </c>
      <c r="AJ6456">
        <v>81.508786711870798</v>
      </c>
      <c r="AK6456">
        <v>0.540452194338502</v>
      </c>
      <c r="AL6456">
        <v>91.297768685883398</v>
      </c>
      <c r="AM6456">
        <v>90.217463245711102</v>
      </c>
      <c r="AN6456">
        <v>1.00000000877003</v>
      </c>
    </row>
    <row r="6457" spans="1:40" x14ac:dyDescent="0.3">
      <c r="A6457" t="str">
        <f>"20200111160636458"</f>
        <v>20200111160636458</v>
      </c>
      <c r="B6457" t="str">
        <f>"1578729996448628"</f>
        <v>1578729996448628</v>
      </c>
      <c r="C6457" t="s">
        <v>40</v>
      </c>
      <c r="D6457">
        <v>5.6728389999999997</v>
      </c>
      <c r="E6457">
        <v>0.55191389999999996</v>
      </c>
      <c r="F6457" t="s">
        <v>42</v>
      </c>
      <c r="G6457">
        <v>-191.98150000000001</v>
      </c>
      <c r="H6457">
        <v>0.92851309999999998</v>
      </c>
      <c r="I6457">
        <v>74.517579999999995</v>
      </c>
      <c r="J6457">
        <v>-192.0711</v>
      </c>
      <c r="K6457">
        <v>1.110538</v>
      </c>
      <c r="L6457">
        <v>73.999390000000005</v>
      </c>
      <c r="M6457">
        <v>-6.8731710000000004E-4</v>
      </c>
      <c r="N6457">
        <v>0</v>
      </c>
      <c r="O6457">
        <v>0.99988339999999998</v>
      </c>
      <c r="P6457">
        <v>-4.552993E-3</v>
      </c>
      <c r="Q6457">
        <v>-3.948107E-2</v>
      </c>
      <c r="R6457">
        <v>0.99920989999999998</v>
      </c>
      <c r="S6457">
        <v>0.34320070000000003</v>
      </c>
      <c r="T6457">
        <v>-0.69841339999999996</v>
      </c>
      <c r="U6457">
        <v>2.977112</v>
      </c>
      <c r="V6457">
        <v>-3.8667829999999999E-3</v>
      </c>
      <c r="W6457">
        <v>-2.4234370000000002E-2</v>
      </c>
      <c r="X6457">
        <v>0.9996988</v>
      </c>
      <c r="Y6457">
        <v>0.1122155</v>
      </c>
      <c r="Z6457">
        <v>-0.22695969999999999</v>
      </c>
      <c r="AA6457">
        <v>0.96741770000000005</v>
      </c>
      <c r="AB6457">
        <v>25</v>
      </c>
      <c r="AC6457">
        <v>8.9599999999990104E-2</v>
      </c>
      <c r="AD6457">
        <v>-0.18202489999999999</v>
      </c>
      <c r="AE6457">
        <v>0.51819000000000404</v>
      </c>
      <c r="AF6457">
        <v>8.0331718096053897E-2</v>
      </c>
      <c r="AG6457">
        <v>-0.18202489999999999</v>
      </c>
      <c r="AH6457">
        <v>0.462693446412135</v>
      </c>
      <c r="AI6457">
        <v>111.186549308878</v>
      </c>
      <c r="AJ6457">
        <v>80.150625495658005</v>
      </c>
      <c r="AK6457">
        <v>0.50365809286162899</v>
      </c>
      <c r="AL6457">
        <v>91.388663107353693</v>
      </c>
      <c r="AM6457">
        <v>90.221615992066404</v>
      </c>
      <c r="AN6457">
        <v>0.999999973710752</v>
      </c>
    </row>
    <row r="6458" spans="1:40" x14ac:dyDescent="0.3">
      <c r="A6458" t="str">
        <f>"20200111160636480"</f>
        <v>20200111160636480</v>
      </c>
      <c r="B6458" t="str">
        <f>"1578729996469126"</f>
        <v>1578729996469126</v>
      </c>
      <c r="C6458" t="s">
        <v>40</v>
      </c>
      <c r="D6458">
        <v>5.6825570000000001</v>
      </c>
      <c r="E6458">
        <v>0.55263319999999905</v>
      </c>
      <c r="F6458" t="s">
        <v>42</v>
      </c>
      <c r="G6458">
        <v>-191.9812</v>
      </c>
      <c r="H6458">
        <v>0.92759469999999999</v>
      </c>
      <c r="I6458">
        <v>74.742869999999996</v>
      </c>
      <c r="J6458">
        <v>-192.07130000000001</v>
      </c>
      <c r="K6458">
        <v>1.110536</v>
      </c>
      <c r="L6458">
        <v>74.255099999999999</v>
      </c>
      <c r="M6458">
        <v>-6.8736939999999999E-4</v>
      </c>
      <c r="N6458">
        <v>0</v>
      </c>
      <c r="O6458">
        <v>0.99988630000000001</v>
      </c>
      <c r="P6458">
        <v>-5.1172350000000004E-3</v>
      </c>
      <c r="Q6458">
        <v>-3.9268890000000001E-2</v>
      </c>
      <c r="R6458">
        <v>0.99921559999999998</v>
      </c>
      <c r="S6458">
        <v>0.35913089999999998</v>
      </c>
      <c r="T6458">
        <v>-0.73205600000000004</v>
      </c>
      <c r="U6458">
        <v>2.975098</v>
      </c>
      <c r="V6458">
        <v>-4.4311890000000003E-3</v>
      </c>
      <c r="W6458">
        <v>-2.4211170000000001E-2</v>
      </c>
      <c r="X6458">
        <v>0.99969699999999995</v>
      </c>
      <c r="Y6458">
        <v>0.1171016</v>
      </c>
      <c r="Z6458">
        <v>-0.2372997</v>
      </c>
      <c r="AA6458">
        <v>0.96435269999999995</v>
      </c>
      <c r="AB6458">
        <v>25</v>
      </c>
      <c r="AC6458">
        <v>9.0100000000006703E-2</v>
      </c>
      <c r="AD6458">
        <v>-0.1829413</v>
      </c>
      <c r="AE6458">
        <v>0.48776999999999698</v>
      </c>
      <c r="AF6458">
        <v>7.9606709152218902E-2</v>
      </c>
      <c r="AG6458">
        <v>-0.1829413</v>
      </c>
      <c r="AH6458">
        <v>0.42931053210880299</v>
      </c>
      <c r="AI6458">
        <v>112.732992797679</v>
      </c>
      <c r="AJ6458">
        <v>79.495006039572303</v>
      </c>
      <c r="AK6458">
        <v>0.47340498557501398</v>
      </c>
      <c r="AL6458">
        <v>91.387333482447303</v>
      </c>
      <c r="AM6458">
        <v>90.2539637162063</v>
      </c>
      <c r="AN6458">
        <v>0.99999995399885999</v>
      </c>
    </row>
    <row r="6459" spans="1:40" x14ac:dyDescent="0.3">
      <c r="A6459" t="str">
        <f>"20200111160636501"</f>
        <v>20200111160636501</v>
      </c>
      <c r="B6459" t="str">
        <f>"1578729996499380"</f>
        <v>1578729996499380</v>
      </c>
      <c r="C6459" t="s">
        <v>40</v>
      </c>
      <c r="D6459">
        <v>5.7059829999999998</v>
      </c>
      <c r="E6459">
        <v>0.55345509999999998</v>
      </c>
      <c r="F6459" t="s">
        <v>42</v>
      </c>
      <c r="G6459">
        <v>-191.98439999999999</v>
      </c>
      <c r="H6459">
        <v>0.93124700000000005</v>
      </c>
      <c r="I6459">
        <v>74.969989999999996</v>
      </c>
      <c r="J6459">
        <v>-192.07149999999999</v>
      </c>
      <c r="K6459">
        <v>1.110541</v>
      </c>
      <c r="L6459">
        <v>74.495149999999995</v>
      </c>
      <c r="M6459">
        <v>-6.8741639999999997E-4</v>
      </c>
      <c r="N6459">
        <v>0</v>
      </c>
      <c r="O6459">
        <v>0.99988860000000002</v>
      </c>
      <c r="P6459">
        <v>-5.7374969999999898E-3</v>
      </c>
      <c r="Q6459">
        <v>-3.7633279999999998E-2</v>
      </c>
      <c r="R6459">
        <v>0.99927509999999997</v>
      </c>
      <c r="S6459">
        <v>0.36152649999999997</v>
      </c>
      <c r="T6459">
        <v>-0.74607179999999995</v>
      </c>
      <c r="U6459">
        <v>2.9748839999999999</v>
      </c>
      <c r="V6459">
        <v>-5.0510659999999999E-3</v>
      </c>
      <c r="W6459">
        <v>-2.273004E-2</v>
      </c>
      <c r="X6459">
        <v>0.99972890000000003</v>
      </c>
      <c r="Y6459">
        <v>0.11774800000000001</v>
      </c>
      <c r="Z6459">
        <v>-0.24157439999999999</v>
      </c>
      <c r="AA6459">
        <v>0.96321199999999996</v>
      </c>
      <c r="AB6459">
        <v>25</v>
      </c>
      <c r="AC6459">
        <v>8.7099999999992406E-2</v>
      </c>
      <c r="AD6459">
        <v>-0.17929400000000001</v>
      </c>
      <c r="AE6459">
        <v>0.47483999999999998</v>
      </c>
      <c r="AF6459">
        <v>7.6829225000370899E-2</v>
      </c>
      <c r="AG6459">
        <v>-0.17929400000000001</v>
      </c>
      <c r="AH6459">
        <v>0.41723058596638202</v>
      </c>
      <c r="AI6459">
        <v>112.909827778508</v>
      </c>
      <c r="AJ6459">
        <v>79.566381815260797</v>
      </c>
      <c r="AK6459">
        <v>0.460576193605366</v>
      </c>
      <c r="AL6459">
        <v>91.302447502177301</v>
      </c>
      <c r="AM6459">
        <v>90.289480779563604</v>
      </c>
      <c r="AN6459">
        <v>1.0000000207406701</v>
      </c>
    </row>
    <row r="6460" spans="1:40" x14ac:dyDescent="0.3">
      <c r="A6460" t="str">
        <f>"20200111160636523"</f>
        <v>20200111160636523</v>
      </c>
      <c r="B6460" t="str">
        <f>"1578729996518901"</f>
        <v>1578729996518901</v>
      </c>
      <c r="C6460" t="s">
        <v>40</v>
      </c>
      <c r="D6460">
        <v>6.077089</v>
      </c>
      <c r="E6460">
        <v>0.55323299999999997</v>
      </c>
      <c r="F6460" t="s">
        <v>42</v>
      </c>
      <c r="G6460">
        <v>-191.9853</v>
      </c>
      <c r="H6460">
        <v>0.93305079999999996</v>
      </c>
      <c r="I6460">
        <v>75.196019999999905</v>
      </c>
      <c r="J6460">
        <v>-192.07169999999999</v>
      </c>
      <c r="K6460">
        <v>1.1105499999999999</v>
      </c>
      <c r="L6460">
        <v>74.744780000000006</v>
      </c>
      <c r="M6460">
        <v>-6.8747160000000003E-4</v>
      </c>
      <c r="N6460">
        <v>0</v>
      </c>
      <c r="O6460">
        <v>0.99989070000000002</v>
      </c>
      <c r="P6460">
        <v>-6.7727769999999998E-3</v>
      </c>
      <c r="Q6460">
        <v>-3.4865779999999999E-2</v>
      </c>
      <c r="R6460">
        <v>0.99936899999999995</v>
      </c>
      <c r="S6460">
        <v>0.3651123</v>
      </c>
      <c r="T6460">
        <v>-0.7536079</v>
      </c>
      <c r="U6460">
        <v>2.9758909999999998</v>
      </c>
      <c r="V6460">
        <v>-6.0863369999999998E-3</v>
      </c>
      <c r="W6460">
        <v>-2.0103139999999999E-2</v>
      </c>
      <c r="X6460">
        <v>0.99977939999999998</v>
      </c>
      <c r="Y6460">
        <v>0.1187859</v>
      </c>
      <c r="Z6460">
        <v>-0.24376020000000001</v>
      </c>
      <c r="AA6460">
        <v>0.96253350000000004</v>
      </c>
      <c r="AB6460">
        <v>25</v>
      </c>
      <c r="AC6460">
        <v>8.6399999999997507E-2</v>
      </c>
      <c r="AD6460">
        <v>-0.177499199999999</v>
      </c>
      <c r="AE6460">
        <v>0.45123999999998399</v>
      </c>
      <c r="AF6460">
        <v>7.5448812541087998E-2</v>
      </c>
      <c r="AG6460">
        <v>-0.177499199999999</v>
      </c>
      <c r="AH6460">
        <v>0.39258381515942697</v>
      </c>
      <c r="AI6460">
        <v>113.94147732613099</v>
      </c>
      <c r="AJ6460">
        <v>79.121239194384302</v>
      </c>
      <c r="AK6460">
        <v>0.43740203616310602</v>
      </c>
      <c r="AL6460">
        <v>91.151902657089394</v>
      </c>
      <c r="AM6460">
        <v>90.3487940590053</v>
      </c>
      <c r="AN6460">
        <v>1.00000001420014</v>
      </c>
    </row>
    <row r="6461" spans="1:40" x14ac:dyDescent="0.3">
      <c r="A6461" t="str">
        <f>"20200111160636558"</f>
        <v>20200111160636558</v>
      </c>
      <c r="B6461" t="str">
        <f>"1578729996549156"</f>
        <v>1578729996549156</v>
      </c>
      <c r="C6461" t="s">
        <v>40</v>
      </c>
      <c r="D6461">
        <v>5.520092</v>
      </c>
      <c r="E6461">
        <v>0.5622684</v>
      </c>
      <c r="F6461" t="s">
        <v>42</v>
      </c>
      <c r="G6461">
        <v>-191.98949999999999</v>
      </c>
      <c r="H6461">
        <v>0.9397491</v>
      </c>
      <c r="I6461">
        <v>75.424130000000005</v>
      </c>
      <c r="J6461">
        <v>-192.0719</v>
      </c>
      <c r="K6461">
        <v>1.1105499999999999</v>
      </c>
      <c r="L6461">
        <v>75.127750000000006</v>
      </c>
      <c r="M6461">
        <v>-6.8756999999999998E-4</v>
      </c>
      <c r="N6461">
        <v>0</v>
      </c>
      <c r="O6461">
        <v>0.99989340000000004</v>
      </c>
      <c r="P6461">
        <v>-7.1447380000000003E-3</v>
      </c>
      <c r="Q6461">
        <v>-3.3532119999999999E-2</v>
      </c>
      <c r="R6461">
        <v>0.99941210000000003</v>
      </c>
      <c r="S6461">
        <v>0.36029050000000001</v>
      </c>
      <c r="T6461">
        <v>-0.74877260000000001</v>
      </c>
      <c r="U6461">
        <v>2.9782099999999998</v>
      </c>
      <c r="V6461">
        <v>-6.4578569999999896E-3</v>
      </c>
      <c r="W6461">
        <v>-1.8949440000000001E-2</v>
      </c>
      <c r="X6461">
        <v>0.99979960000000001</v>
      </c>
      <c r="Y6461">
        <v>0.1172079</v>
      </c>
      <c r="Z6461">
        <v>-0.2421577</v>
      </c>
      <c r="AA6461">
        <v>0.96313130000000002</v>
      </c>
      <c r="AB6461">
        <v>25</v>
      </c>
      <c r="AC6461">
        <v>8.2400000000006898E-2</v>
      </c>
      <c r="AD6461">
        <v>-0.17080089999999901</v>
      </c>
      <c r="AE6461">
        <v>0.29637999999999898</v>
      </c>
      <c r="AF6461">
        <v>6.3139150439763703E-2</v>
      </c>
      <c r="AG6461">
        <v>-0.17080089999999901</v>
      </c>
      <c r="AH6461">
        <v>0.22649809071572199</v>
      </c>
      <c r="AI6461">
        <v>125.994599871091</v>
      </c>
      <c r="AJ6461">
        <v>74.423528999316304</v>
      </c>
      <c r="AK6461">
        <v>0.29062154919574101</v>
      </c>
      <c r="AL6461">
        <v>91.085787910001699</v>
      </c>
      <c r="AM6461">
        <v>90.370076968696495</v>
      </c>
      <c r="AN6461">
        <v>1.0000000126767501</v>
      </c>
    </row>
    <row r="6462" spans="1:40" x14ac:dyDescent="0.3">
      <c r="A6462" t="str">
        <f>"20200111160636580"</f>
        <v>20200111160636580</v>
      </c>
      <c r="B6462" t="str">
        <f>"1578729996568844"</f>
        <v>1578729996568844</v>
      </c>
      <c r="C6462" t="s">
        <v>40</v>
      </c>
      <c r="D6462">
        <v>5.8571359999999997</v>
      </c>
      <c r="E6462">
        <v>0.5621081</v>
      </c>
      <c r="F6462" t="s">
        <v>42</v>
      </c>
      <c r="G6462">
        <v>-191.96549999999999</v>
      </c>
      <c r="H6462">
        <v>0.92041289999999998</v>
      </c>
      <c r="I6462">
        <v>75.864689999999996</v>
      </c>
      <c r="J6462">
        <v>-192.07210000000001</v>
      </c>
      <c r="K6462">
        <v>1.1105499999999999</v>
      </c>
      <c r="L6462">
        <v>75.375519999999995</v>
      </c>
      <c r="M6462">
        <v>-6.8763399999999903E-4</v>
      </c>
      <c r="N6462">
        <v>0</v>
      </c>
      <c r="O6462">
        <v>0.99989479999999997</v>
      </c>
      <c r="P6462">
        <v>-6.7127100000000002E-3</v>
      </c>
      <c r="Q6462">
        <v>-3.3391780000000003E-2</v>
      </c>
      <c r="R6462">
        <v>0.99941979999999997</v>
      </c>
      <c r="S6462">
        <v>0.43025210000000003</v>
      </c>
      <c r="T6462">
        <v>-0.76861630000000003</v>
      </c>
      <c r="U6462">
        <v>2.9790649999999999</v>
      </c>
      <c r="V6462">
        <v>-6.0264089999999999E-3</v>
      </c>
      <c r="W6462">
        <v>-1.8908069999999999E-2</v>
      </c>
      <c r="X6462">
        <v>0.99980309999999994</v>
      </c>
      <c r="Y6462">
        <v>0.13917879999999999</v>
      </c>
      <c r="Z6462">
        <v>-0.24740500000000001</v>
      </c>
      <c r="AA6462">
        <v>0.95886389999999999</v>
      </c>
      <c r="AB6462">
        <v>25</v>
      </c>
      <c r="AC6462">
        <v>0.106600000000014</v>
      </c>
      <c r="AD6462">
        <v>-0.190137099999999</v>
      </c>
      <c r="AE6462">
        <v>0.48917000000000099</v>
      </c>
      <c r="AF6462">
        <v>9.3456824502575697E-2</v>
      </c>
      <c r="AG6462">
        <v>-0.190137099999999</v>
      </c>
      <c r="AH6462">
        <v>0.42744492331783301</v>
      </c>
      <c r="AI6462">
        <v>113.487692645113</v>
      </c>
      <c r="AJ6462">
        <v>77.666893493152301</v>
      </c>
      <c r="AK6462">
        <v>0.47706965666735002</v>
      </c>
      <c r="AL6462">
        <v>91.083417133884197</v>
      </c>
      <c r="AM6462">
        <v>90.345351619489307</v>
      </c>
      <c r="AN6462">
        <v>1.0000000357430801</v>
      </c>
    </row>
    <row r="6463" spans="1:40" x14ac:dyDescent="0.3">
      <c r="A6463" t="str">
        <f>"20200111160636602"</f>
        <v>20200111160636602</v>
      </c>
      <c r="B6463" t="str">
        <f>"1578729996599098"</f>
        <v>1578729996599098</v>
      </c>
      <c r="C6463" t="s">
        <v>40</v>
      </c>
      <c r="D6463">
        <v>5.8271090000000001</v>
      </c>
      <c r="E6463">
        <v>0.55996539999999995</v>
      </c>
      <c r="F6463" t="s">
        <v>42</v>
      </c>
      <c r="G6463">
        <v>-191.96969999999999</v>
      </c>
      <c r="H6463">
        <v>0.91806900000000002</v>
      </c>
      <c r="I6463">
        <v>76.087540000000004</v>
      </c>
      <c r="J6463">
        <v>-192.07230000000001</v>
      </c>
      <c r="K6463">
        <v>1.1105430000000001</v>
      </c>
      <c r="L6463">
        <v>75.622129999999999</v>
      </c>
      <c r="M6463">
        <v>-6.8769380000000002E-4</v>
      </c>
      <c r="N6463">
        <v>0</v>
      </c>
      <c r="O6463">
        <v>0.99989600000000001</v>
      </c>
      <c r="P6463">
        <v>-6.464483E-3</v>
      </c>
      <c r="Q6463">
        <v>-3.3219409999999998E-2</v>
      </c>
      <c r="R6463">
        <v>0.99942719999999896</v>
      </c>
      <c r="S6463">
        <v>0.4276276</v>
      </c>
      <c r="T6463">
        <v>-0.80497050000000003</v>
      </c>
      <c r="U6463">
        <v>2.977722</v>
      </c>
      <c r="V6463">
        <v>-5.7780359999999899E-3</v>
      </c>
      <c r="W6463">
        <v>-1.8821549999999999E-2</v>
      </c>
      <c r="X6463">
        <v>0.99980619999999998</v>
      </c>
      <c r="Y6463">
        <v>0.1380005</v>
      </c>
      <c r="Z6463">
        <v>-0.25847890000000001</v>
      </c>
      <c r="AA6463">
        <v>0.95610899999999999</v>
      </c>
      <c r="AB6463">
        <v>25</v>
      </c>
      <c r="AC6463">
        <v>0.10260000000002301</v>
      </c>
      <c r="AD6463">
        <v>-0.19247400000000001</v>
      </c>
      <c r="AE6463">
        <v>0.46541000000000499</v>
      </c>
      <c r="AF6463">
        <v>8.8487449488056105E-2</v>
      </c>
      <c r="AG6463">
        <v>-0.19247400000000001</v>
      </c>
      <c r="AH6463">
        <v>0.40008416849628098</v>
      </c>
      <c r="AI6463">
        <v>115.16094507566299</v>
      </c>
      <c r="AJ6463">
        <v>77.528542032336901</v>
      </c>
      <c r="AK6463">
        <v>0.45270698169374601</v>
      </c>
      <c r="AL6463">
        <v>91.078459019531493</v>
      </c>
      <c r="AM6463">
        <v>90.331117561712801</v>
      </c>
      <c r="AN6463">
        <v>1.0000000370014199</v>
      </c>
    </row>
    <row r="6464" spans="1:40" x14ac:dyDescent="0.3">
      <c r="A6464" t="str">
        <f>"20200111160636627"</f>
        <v>20200111160636627</v>
      </c>
      <c r="B6464" t="str">
        <f>"1578729996618618"</f>
        <v>1578729996618618</v>
      </c>
      <c r="C6464" t="s">
        <v>40</v>
      </c>
      <c r="D6464">
        <v>5.6222500000000002</v>
      </c>
      <c r="E6464">
        <v>0.56181429999999999</v>
      </c>
      <c r="F6464" t="s">
        <v>42</v>
      </c>
      <c r="G6464">
        <v>-191.9776</v>
      </c>
      <c r="H6464">
        <v>0.91816030000000004</v>
      </c>
      <c r="I6464">
        <v>76.311149999999998</v>
      </c>
      <c r="J6464">
        <v>-192.07239999999999</v>
      </c>
      <c r="K6464">
        <v>1.110538</v>
      </c>
      <c r="L6464">
        <v>75.891779999999997</v>
      </c>
      <c r="M6464">
        <v>-6.8776039999999996E-4</v>
      </c>
      <c r="N6464">
        <v>0</v>
      </c>
      <c r="O6464">
        <v>0.99989720000000004</v>
      </c>
      <c r="P6464">
        <v>-5.7201229999999997E-3</v>
      </c>
      <c r="Q6464">
        <v>-3.3429859999999999E-2</v>
      </c>
      <c r="R6464">
        <v>0.99942470000000005</v>
      </c>
      <c r="S6464">
        <v>0.40873720000000002</v>
      </c>
      <c r="T6464">
        <v>-0.83114489999999996</v>
      </c>
      <c r="U6464">
        <v>2.9767459999999999</v>
      </c>
      <c r="V6464">
        <v>-5.0333299999999999E-3</v>
      </c>
      <c r="W6464">
        <v>-1.9112879999999999E-2</v>
      </c>
      <c r="X6464">
        <v>0.99980469999999999</v>
      </c>
      <c r="Y6464">
        <v>0.13179179999999999</v>
      </c>
      <c r="Z6464">
        <v>-0.26659280000000002</v>
      </c>
      <c r="AA6464">
        <v>0.9547561</v>
      </c>
      <c r="AB6464">
        <v>25</v>
      </c>
      <c r="AC6464">
        <v>9.4799999999992196E-2</v>
      </c>
      <c r="AD6464">
        <v>-0.19237769999999901</v>
      </c>
      <c r="AE6464">
        <v>0.41936999999998598</v>
      </c>
      <c r="AF6464">
        <v>7.9226956380741106E-2</v>
      </c>
      <c r="AG6464">
        <v>-0.19237769999999901</v>
      </c>
      <c r="AH6464">
        <v>0.34936146914831701</v>
      </c>
      <c r="AI6464">
        <v>118.236665020296</v>
      </c>
      <c r="AJ6464">
        <v>77.222774423164907</v>
      </c>
      <c r="AK6464">
        <v>0.406619633318555</v>
      </c>
      <c r="AL6464">
        <v>91.095154001341299</v>
      </c>
      <c r="AM6464">
        <v>90.288442462410103</v>
      </c>
      <c r="AN6464">
        <v>1.00000003736743</v>
      </c>
    </row>
    <row r="6465" spans="1:40" x14ac:dyDescent="0.3">
      <c r="A6465" t="str">
        <f>"20200111160636648"</f>
        <v>20200111160636648</v>
      </c>
      <c r="B6465" t="str">
        <f>"1578729996639114"</f>
        <v>1578729996639114</v>
      </c>
      <c r="C6465" t="s">
        <v>40</v>
      </c>
      <c r="D6465">
        <v>5.7939970000000001</v>
      </c>
      <c r="E6465">
        <v>0.56157819999999903</v>
      </c>
      <c r="F6465" t="s">
        <v>42</v>
      </c>
      <c r="G6465">
        <v>-191.95160000000001</v>
      </c>
      <c r="H6465">
        <v>0.87124349999999995</v>
      </c>
      <c r="I6465">
        <v>76.738659999999996</v>
      </c>
      <c r="J6465">
        <v>-192.07259999999999</v>
      </c>
      <c r="K6465">
        <v>1.11053</v>
      </c>
      <c r="L6465">
        <v>76.13937</v>
      </c>
      <c r="M6465">
        <v>-6.8783029999999897E-4</v>
      </c>
      <c r="N6465">
        <v>0</v>
      </c>
      <c r="O6465">
        <v>0.99989810000000001</v>
      </c>
      <c r="P6465">
        <v>-5.2804380000000001E-3</v>
      </c>
      <c r="Q6465">
        <v>-3.2510909999999997E-2</v>
      </c>
      <c r="R6465">
        <v>0.99945740000000005</v>
      </c>
      <c r="S6465">
        <v>0.42472840000000001</v>
      </c>
      <c r="T6465">
        <v>-0.84089659999999999</v>
      </c>
      <c r="U6465">
        <v>2.976013</v>
      </c>
      <c r="V6465">
        <v>-4.5938469999999999E-3</v>
      </c>
      <c r="W6465">
        <v>-1.8257550000000001E-2</v>
      </c>
      <c r="X6465">
        <v>0.99982269999999895</v>
      </c>
      <c r="Y6465">
        <v>0.13674410000000001</v>
      </c>
      <c r="Z6465">
        <v>-0.2693702</v>
      </c>
      <c r="AA6465">
        <v>0.95327899999999999</v>
      </c>
      <c r="AB6465">
        <v>25</v>
      </c>
      <c r="AC6465">
        <v>0.12099999999998</v>
      </c>
      <c r="AD6465">
        <v>-0.23928650000000001</v>
      </c>
      <c r="AE6465">
        <v>0.59928999999999599</v>
      </c>
      <c r="AF6465">
        <v>0.10528447832672801</v>
      </c>
      <c r="AG6465">
        <v>-0.23928650000000001</v>
      </c>
      <c r="AH6465">
        <v>0.51961124691062699</v>
      </c>
      <c r="AI6465">
        <v>114.291505324536</v>
      </c>
      <c r="AJ6465">
        <v>78.545709466097193</v>
      </c>
      <c r="AK6465">
        <v>0.581668890671315</v>
      </c>
      <c r="AL6465">
        <v>91.046138750830096</v>
      </c>
      <c r="AM6465">
        <v>90.263252867398094</v>
      </c>
      <c r="AN6465">
        <v>0.99999993649877295</v>
      </c>
    </row>
    <row r="6466" spans="1:40" x14ac:dyDescent="0.3">
      <c r="A6466" t="str">
        <f>"20200111160636671"</f>
        <v>20200111160636671</v>
      </c>
      <c r="B6466" t="str">
        <f>"1578729996659348"</f>
        <v>1578729996659348</v>
      </c>
      <c r="C6466" t="s">
        <v>40</v>
      </c>
      <c r="D6466">
        <v>5.774394</v>
      </c>
      <c r="E6466">
        <v>0.56143259999999995</v>
      </c>
      <c r="F6466" t="s">
        <v>42</v>
      </c>
      <c r="G6466">
        <v>-191.95500000000001</v>
      </c>
      <c r="H6466">
        <v>0.87605549999999999</v>
      </c>
      <c r="I6466">
        <v>76.9636</v>
      </c>
      <c r="J6466">
        <v>-192.0728</v>
      </c>
      <c r="K6466">
        <v>1.1105389999999999</v>
      </c>
      <c r="L6466">
        <v>76.386469999999903</v>
      </c>
      <c r="M6466">
        <v>-6.8789250000000001E-4</v>
      </c>
      <c r="N6466">
        <v>0</v>
      </c>
      <c r="O6466">
        <v>0.99989890000000003</v>
      </c>
      <c r="P6466">
        <v>-5.2341549999999999E-3</v>
      </c>
      <c r="Q6466">
        <v>-3.1134619999999998E-2</v>
      </c>
      <c r="R6466">
        <v>0.99950150000000004</v>
      </c>
      <c r="S6466">
        <v>0.42391970000000001</v>
      </c>
      <c r="T6466">
        <v>-0.84669300000000003</v>
      </c>
      <c r="U6466">
        <v>2.976318</v>
      </c>
      <c r="V6466">
        <v>-4.5472300000000002E-3</v>
      </c>
      <c r="W6466">
        <v>-1.6936429999999999E-2</v>
      </c>
      <c r="X6466">
        <v>0.99984620000000002</v>
      </c>
      <c r="Y6466">
        <v>0.13640910000000001</v>
      </c>
      <c r="Z6466">
        <v>-0.27107530000000002</v>
      </c>
      <c r="AA6466">
        <v>0.95284349999999995</v>
      </c>
      <c r="AB6466">
        <v>25</v>
      </c>
      <c r="AC6466">
        <v>0.117799999999988</v>
      </c>
      <c r="AD6466">
        <v>-0.23448350000000001</v>
      </c>
      <c r="AE6466">
        <v>0.57713000000001002</v>
      </c>
      <c r="AF6466">
        <v>0.102028445999143</v>
      </c>
      <c r="AG6466">
        <v>-0.23448350000000001</v>
      </c>
      <c r="AH6466">
        <v>0.49811236130954001</v>
      </c>
      <c r="AI6466">
        <v>114.75770182525</v>
      </c>
      <c r="AJ6466">
        <v>78.424211493969594</v>
      </c>
      <c r="AK6466">
        <v>0.55991806548334899</v>
      </c>
      <c r="AL6466">
        <v>90.970432383717295</v>
      </c>
      <c r="AM6466">
        <v>90.260575367702003</v>
      </c>
      <c r="AN6466">
        <v>0.99999997180812805</v>
      </c>
    </row>
    <row r="6467" spans="1:40" x14ac:dyDescent="0.3">
      <c r="A6467" t="str">
        <f>"20200111160636691"</f>
        <v>20200111160636691</v>
      </c>
      <c r="B6467" t="str">
        <f>"1578729996688628"</f>
        <v>1578729996688628</v>
      </c>
      <c r="C6467" t="s">
        <v>40</v>
      </c>
      <c r="D6467">
        <v>5.6435629999999897</v>
      </c>
      <c r="E6467">
        <v>0.56189040000000001</v>
      </c>
      <c r="F6467" t="s">
        <v>42</v>
      </c>
      <c r="G6467">
        <v>-191.9589</v>
      </c>
      <c r="H6467">
        <v>0.88181960000000004</v>
      </c>
      <c r="I6467">
        <v>77.188670000000002</v>
      </c>
      <c r="J6467">
        <v>-192.0729</v>
      </c>
      <c r="K6467">
        <v>1.11054599999999</v>
      </c>
      <c r="L6467">
        <v>76.620090000000005</v>
      </c>
      <c r="M6467">
        <v>-6.8794339999999905E-4</v>
      </c>
      <c r="N6467">
        <v>0</v>
      </c>
      <c r="O6467">
        <v>0.9998996</v>
      </c>
      <c r="P6467">
        <v>-5.6587449999999997E-3</v>
      </c>
      <c r="Q6467">
        <v>-2.8542339999999999E-2</v>
      </c>
      <c r="R6467">
        <v>0.99957660000000004</v>
      </c>
      <c r="S6467">
        <v>0.42271419999999998</v>
      </c>
      <c r="T6467">
        <v>-0.84886410000000001</v>
      </c>
      <c r="U6467">
        <v>2.9772639999999999</v>
      </c>
      <c r="V6467">
        <v>-4.9717490000000001E-3</v>
      </c>
      <c r="W6467">
        <v>-1.438935E-2</v>
      </c>
      <c r="X6467">
        <v>0.99988410000000005</v>
      </c>
      <c r="Y6467">
        <v>0.1359658</v>
      </c>
      <c r="Z6467">
        <v>-0.27165499999999998</v>
      </c>
      <c r="AA6467">
        <v>0.95274170000000002</v>
      </c>
      <c r="AB6467">
        <v>25</v>
      </c>
      <c r="AC6467">
        <v>0.114000000000004</v>
      </c>
      <c r="AD6467">
        <v>-0.228726399999999</v>
      </c>
      <c r="AE6467">
        <v>0.56857999999999698</v>
      </c>
      <c r="AF6467">
        <v>9.8990909335947605E-2</v>
      </c>
      <c r="AG6467">
        <v>-0.228726399999999</v>
      </c>
      <c r="AH6467">
        <v>0.49196522012384097</v>
      </c>
      <c r="AI6467">
        <v>114.502956942241</v>
      </c>
      <c r="AJ6467">
        <v>78.623132017635797</v>
      </c>
      <c r="AK6467">
        <v>0.551493194880605</v>
      </c>
      <c r="AL6467">
        <v>90.824477484552702</v>
      </c>
      <c r="AM6467">
        <v>90.284890905759198</v>
      </c>
      <c r="AN6467">
        <v>0.99999999255717498</v>
      </c>
    </row>
    <row r="6468" spans="1:40" x14ac:dyDescent="0.3">
      <c r="A6468" t="str">
        <f>"20200111160636714"</f>
        <v>20200111160636714</v>
      </c>
      <c r="B6468" t="str">
        <f>"1578729996709125"</f>
        <v>1578729996709125</v>
      </c>
      <c r="C6468" t="s">
        <v>40</v>
      </c>
      <c r="D6468">
        <v>5.5633029999999897</v>
      </c>
      <c r="E6468">
        <v>0.56131699999999995</v>
      </c>
      <c r="F6468" t="s">
        <v>42</v>
      </c>
      <c r="G6468">
        <v>-191.9597</v>
      </c>
      <c r="H6468">
        <v>0.88580969999999903</v>
      </c>
      <c r="I6468">
        <v>77.412850000000006</v>
      </c>
      <c r="J6468">
        <v>-192.07310000000001</v>
      </c>
      <c r="K6468">
        <v>1.110547</v>
      </c>
      <c r="L6468">
        <v>76.867919999999998</v>
      </c>
      <c r="M6468">
        <v>-6.8799780000000004E-4</v>
      </c>
      <c r="N6468">
        <v>0</v>
      </c>
      <c r="O6468">
        <v>0.99990020000000002</v>
      </c>
      <c r="P6468">
        <v>-5.6022779999999996E-3</v>
      </c>
      <c r="Q6468">
        <v>-2.7929929999999999E-2</v>
      </c>
      <c r="R6468">
        <v>0.99959419999999999</v>
      </c>
      <c r="S6468">
        <v>0.42498780000000003</v>
      </c>
      <c r="T6468">
        <v>-0.84464980000000001</v>
      </c>
      <c r="U6468">
        <v>2.9795530000000001</v>
      </c>
      <c r="V6468">
        <v>-4.9150510000000001E-3</v>
      </c>
      <c r="W6468">
        <v>-1.3819410000000001E-2</v>
      </c>
      <c r="X6468">
        <v>0.99989240000000001</v>
      </c>
      <c r="Y6468">
        <v>0.1366347</v>
      </c>
      <c r="Z6468">
        <v>-0.27018969999999998</v>
      </c>
      <c r="AA6468">
        <v>0.95306270000000004</v>
      </c>
      <c r="AB6468">
        <v>25</v>
      </c>
      <c r="AC6468">
        <v>0.11340000000001201</v>
      </c>
      <c r="AD6468">
        <v>-0.2247373</v>
      </c>
      <c r="AE6468">
        <v>0.54493000000000702</v>
      </c>
      <c r="AF6468">
        <v>9.7826621903746205E-2</v>
      </c>
      <c r="AG6468">
        <v>-0.2247373</v>
      </c>
      <c r="AH6468">
        <v>0.46847771754888801</v>
      </c>
      <c r="AI6468">
        <v>115.15424528563101</v>
      </c>
      <c r="AJ6468">
        <v>78.205094513834197</v>
      </c>
      <c r="AK6468">
        <v>0.52872324878352395</v>
      </c>
      <c r="AL6468">
        <v>90.791819094429499</v>
      </c>
      <c r="AM6468">
        <v>90.281639714670305</v>
      </c>
      <c r="AN6468">
        <v>0.999999972698419</v>
      </c>
    </row>
    <row r="6469" spans="1:40" x14ac:dyDescent="0.3">
      <c r="A6469" t="str">
        <f>"20200111160636736"</f>
        <v>20200111160636736</v>
      </c>
      <c r="B6469" t="str">
        <f>"1578729996728644"</f>
        <v>1578729996728644</v>
      </c>
      <c r="C6469" t="s">
        <v>40</v>
      </c>
      <c r="D6469">
        <v>5.658137</v>
      </c>
      <c r="E6469">
        <v>0.53692790000000001</v>
      </c>
      <c r="F6469" t="s">
        <v>42</v>
      </c>
      <c r="G6469">
        <v>-191.96430000000001</v>
      </c>
      <c r="H6469">
        <v>0.89300869999999999</v>
      </c>
      <c r="I6469">
        <v>77.637950000000004</v>
      </c>
      <c r="J6469">
        <v>-192.07329999999999</v>
      </c>
      <c r="K6469">
        <v>1.110544</v>
      </c>
      <c r="L6469">
        <v>77.118290000000002</v>
      </c>
      <c r="M6469">
        <v>-6.8806019999999996E-4</v>
      </c>
      <c r="N6469">
        <v>0</v>
      </c>
      <c r="O6469">
        <v>0.99990069999999998</v>
      </c>
      <c r="P6469">
        <v>-5.6155170000000004E-3</v>
      </c>
      <c r="Q6469">
        <v>-2.786197E-2</v>
      </c>
      <c r="R6469">
        <v>0.99959600000000004</v>
      </c>
      <c r="S6469">
        <v>0.42103580000000002</v>
      </c>
      <c r="T6469">
        <v>-0.84187659999999997</v>
      </c>
      <c r="U6469">
        <v>2.9800420000000001</v>
      </c>
      <c r="V6469">
        <v>-4.9279270000000003E-3</v>
      </c>
      <c r="W6469">
        <v>-1.3788999999999999E-2</v>
      </c>
      <c r="X6469">
        <v>0.99989280000000003</v>
      </c>
      <c r="Y6469">
        <v>0.1354059</v>
      </c>
      <c r="Z6469">
        <v>-0.26937319999999998</v>
      </c>
      <c r="AA6469">
        <v>0.95346909999999896</v>
      </c>
      <c r="AB6469">
        <v>25</v>
      </c>
      <c r="AC6469">
        <v>0.10899999999998</v>
      </c>
      <c r="AD6469">
        <v>-0.21753529999999999</v>
      </c>
      <c r="AE6469">
        <v>0.51966000000000101</v>
      </c>
      <c r="AF6469">
        <v>9.3640058783785396E-2</v>
      </c>
      <c r="AG6469">
        <v>-0.21753529999999999</v>
      </c>
      <c r="AH6469">
        <v>0.44490709883435903</v>
      </c>
      <c r="AI6469">
        <v>115.569380086484</v>
      </c>
      <c r="AJ6469">
        <v>78.114374776881405</v>
      </c>
      <c r="AK6469">
        <v>0.504016263575221</v>
      </c>
      <c r="AL6469">
        <v>90.790076529291696</v>
      </c>
      <c r="AM6469">
        <v>90.282377403681295</v>
      </c>
      <c r="AN6469">
        <v>1.00000001623867</v>
      </c>
    </row>
    <row r="6470" spans="1:40" x14ac:dyDescent="0.3">
      <c r="A6470" t="str">
        <f>"20200111160636758"</f>
        <v>20200111160636758</v>
      </c>
      <c r="B6470" t="str">
        <f>"1578729996749142"</f>
        <v>1578729996749142</v>
      </c>
      <c r="C6470" t="s">
        <v>40</v>
      </c>
      <c r="D6470">
        <v>5.4160430000000002</v>
      </c>
      <c r="E6470">
        <v>0.53287580000000001</v>
      </c>
      <c r="F6470" t="s">
        <v>42</v>
      </c>
      <c r="G6470">
        <v>-192.0086</v>
      </c>
      <c r="H6470">
        <v>0.97181899999999999</v>
      </c>
      <c r="I6470">
        <v>77.896159999999995</v>
      </c>
      <c r="J6470">
        <v>-192.07339999999999</v>
      </c>
      <c r="K6470">
        <v>1.1105290000000001</v>
      </c>
      <c r="L6470">
        <v>77.372709999999998</v>
      </c>
      <c r="M6470">
        <v>-6.8812679999999903E-4</v>
      </c>
      <c r="N6470">
        <v>0</v>
      </c>
      <c r="O6470">
        <v>0.99990120000000005</v>
      </c>
      <c r="P6470">
        <v>-5.7909490000000001E-3</v>
      </c>
      <c r="Q6470">
        <v>-2.8628710000000002E-2</v>
      </c>
      <c r="R6470">
        <v>0.9995733</v>
      </c>
      <c r="S6470">
        <v>0.24731449999999999</v>
      </c>
      <c r="T6470">
        <v>-0.53284690000000001</v>
      </c>
      <c r="U6470">
        <v>2.9877319999999998</v>
      </c>
      <c r="V6470">
        <v>-5.1038020000000002E-3</v>
      </c>
      <c r="W6470">
        <v>-1.458926E-2</v>
      </c>
      <c r="X6470">
        <v>0.99988060000000001</v>
      </c>
      <c r="Y6470">
        <v>8.1907469999999996E-2</v>
      </c>
      <c r="Z6470">
        <v>-0.17498949999999999</v>
      </c>
      <c r="AA6470">
        <v>0.98115739999999996</v>
      </c>
      <c r="AB6470">
        <v>25</v>
      </c>
      <c r="AC6470">
        <v>6.4799999999991004E-2</v>
      </c>
      <c r="AD6470">
        <v>-0.13871</v>
      </c>
      <c r="AE6470">
        <v>0.52344999999999597</v>
      </c>
      <c r="AF6470">
        <v>6.09452007105213E-2</v>
      </c>
      <c r="AG6470">
        <v>-0.13871</v>
      </c>
      <c r="AH6470">
        <v>0.48954776149683399</v>
      </c>
      <c r="AI6470">
        <v>105.70453049141599</v>
      </c>
      <c r="AJ6470">
        <v>82.903595411631699</v>
      </c>
      <c r="AK6470">
        <v>0.51245662487298005</v>
      </c>
      <c r="AL6470">
        <v>90.835932634437697</v>
      </c>
      <c r="AM6470">
        <v>90.292458693954003</v>
      </c>
      <c r="AN6470">
        <v>1.00000005477928</v>
      </c>
    </row>
    <row r="6471" spans="1:40" x14ac:dyDescent="0.3">
      <c r="A6471" t="str">
        <f>"20200111160636781"</f>
        <v>20200111160636781</v>
      </c>
      <c r="B6471" t="str">
        <f>"1578729996779396"</f>
        <v>1578729996779396</v>
      </c>
      <c r="C6471" t="s">
        <v>40</v>
      </c>
      <c r="D6471">
        <v>5.4435570000000002</v>
      </c>
      <c r="E6471">
        <v>0.52602450000000001</v>
      </c>
      <c r="F6471" t="s">
        <v>42</v>
      </c>
      <c r="G6471">
        <v>-192.01750000000001</v>
      </c>
      <c r="H6471">
        <v>0.99791090000000005</v>
      </c>
      <c r="I6471">
        <v>78.130780000000001</v>
      </c>
      <c r="J6471">
        <v>-192.0736</v>
      </c>
      <c r="K6471">
        <v>1.110514</v>
      </c>
      <c r="L6471">
        <v>77.612949999999998</v>
      </c>
      <c r="M6471">
        <v>-6.8818769999999996E-4</v>
      </c>
      <c r="N6471">
        <v>0</v>
      </c>
      <c r="O6471">
        <v>0.9999015</v>
      </c>
      <c r="P6471">
        <v>-5.7253859999999998E-3</v>
      </c>
      <c r="Q6471">
        <v>-2.964075E-2</v>
      </c>
      <c r="R6471">
        <v>0.99954419999999999</v>
      </c>
      <c r="S6471">
        <v>0.22051999999999999</v>
      </c>
      <c r="T6471">
        <v>-0.4441737</v>
      </c>
      <c r="U6471">
        <v>2.9898380000000002</v>
      </c>
      <c r="V6471">
        <v>-5.0379279999999997E-3</v>
      </c>
      <c r="W6471">
        <v>-1.562906E-2</v>
      </c>
      <c r="X6471">
        <v>0.99986520000000001</v>
      </c>
      <c r="Y6471">
        <v>7.3448849999999996E-2</v>
      </c>
      <c r="Z6471">
        <v>-0.14655509999999999</v>
      </c>
      <c r="AA6471">
        <v>0.98647200000000002</v>
      </c>
      <c r="AB6471">
        <v>25</v>
      </c>
      <c r="AC6471">
        <v>5.6099999999986397E-2</v>
      </c>
      <c r="AD6471">
        <v>-0.112603099999999</v>
      </c>
      <c r="AE6471">
        <v>0.51783000000000301</v>
      </c>
      <c r="AF6471">
        <v>5.3935609675786297E-2</v>
      </c>
      <c r="AG6471">
        <v>-0.112603099999999</v>
      </c>
      <c r="AH6471">
        <v>0.49467189847196902</v>
      </c>
      <c r="AI6471">
        <v>102.750756020491</v>
      </c>
      <c r="AJ6471">
        <v>83.777444321101598</v>
      </c>
      <c r="AK6471">
        <v>0.51018505981513296</v>
      </c>
      <c r="AL6471">
        <v>90.895515606107296</v>
      </c>
      <c r="AM6471">
        <v>90.288688484412006</v>
      </c>
      <c r="AN6471">
        <v>1.0000000332030199</v>
      </c>
    </row>
    <row r="6472" spans="1:40" x14ac:dyDescent="0.3">
      <c r="A6472" t="str">
        <f>"20200111160636803"</f>
        <v>20200111160636803</v>
      </c>
      <c r="B6472" t="str">
        <f>"1578729996798917"</f>
        <v>1578729996798917</v>
      </c>
      <c r="C6472" t="s">
        <v>40</v>
      </c>
      <c r="D6472">
        <v>5.348821</v>
      </c>
      <c r="E6472">
        <v>0.52469379999999999</v>
      </c>
      <c r="F6472" t="s">
        <v>42</v>
      </c>
      <c r="G6472">
        <v>-192.02959999999999</v>
      </c>
      <c r="H6472">
        <v>1.0273870000000001</v>
      </c>
      <c r="I6472">
        <v>78.366829999999993</v>
      </c>
      <c r="J6472">
        <v>-192.07380000000001</v>
      </c>
      <c r="K6472">
        <v>1.110503</v>
      </c>
      <c r="L6472">
        <v>77.862089999999995</v>
      </c>
      <c r="M6472">
        <v>-6.8824990000000003E-4</v>
      </c>
      <c r="N6472">
        <v>0</v>
      </c>
      <c r="O6472">
        <v>0.99990190000000001</v>
      </c>
      <c r="P6472">
        <v>-5.8778320000000004E-3</v>
      </c>
      <c r="Q6472">
        <v>-2.971826E-2</v>
      </c>
      <c r="R6472">
        <v>0.99954100000000001</v>
      </c>
      <c r="S6472">
        <v>0.17404169999999999</v>
      </c>
      <c r="T6472">
        <v>-0.32998899999999998</v>
      </c>
      <c r="U6472">
        <v>2.9925839999999999</v>
      </c>
      <c r="V6472">
        <v>-5.1904869999999997E-3</v>
      </c>
      <c r="W6472">
        <v>-1.5731559999999999E-2</v>
      </c>
      <c r="X6472">
        <v>0.99986280000000005</v>
      </c>
      <c r="Y6472">
        <v>5.839809E-2</v>
      </c>
      <c r="Z6472">
        <v>-0.10941969999999999</v>
      </c>
      <c r="AA6472">
        <v>0.99227869999999996</v>
      </c>
      <c r="AB6472">
        <v>25</v>
      </c>
      <c r="AC6472">
        <v>4.4200000000017697E-2</v>
      </c>
      <c r="AD6472">
        <v>-8.3115999999999898E-2</v>
      </c>
      <c r="AE6472">
        <v>0.50473999999999797</v>
      </c>
      <c r="AF6472">
        <v>4.3380047125255797E-2</v>
      </c>
      <c r="AG6472">
        <v>-8.3115999999999898E-2</v>
      </c>
      <c r="AH6472">
        <v>0.49148355955489398</v>
      </c>
      <c r="AI6472">
        <v>99.562130839051505</v>
      </c>
      <c r="AJ6472">
        <v>84.955946733485803</v>
      </c>
      <c r="AK6472">
        <v>0.50034606749462696</v>
      </c>
      <c r="AL6472">
        <v>90.901389156448104</v>
      </c>
      <c r="AM6472">
        <v>90.297431134875694</v>
      </c>
      <c r="AN6472">
        <v>1.0000000209795801</v>
      </c>
    </row>
    <row r="6473" spans="1:40" x14ac:dyDescent="0.3">
      <c r="A6473" t="str">
        <f>"20200111160636827"</f>
        <v>20200111160636827</v>
      </c>
      <c r="B6473" t="str">
        <f>"1578729996819412"</f>
        <v>1578729996819412</v>
      </c>
      <c r="C6473" t="s">
        <v>40</v>
      </c>
      <c r="D6473">
        <v>5.3756250000000003</v>
      </c>
      <c r="E6473">
        <v>0.52376610000000001</v>
      </c>
      <c r="F6473" t="s">
        <v>42</v>
      </c>
      <c r="G6473">
        <v>-192.03319999999999</v>
      </c>
      <c r="H6473">
        <v>1.0392920000000001</v>
      </c>
      <c r="I6473">
        <v>78.593850000000003</v>
      </c>
      <c r="J6473">
        <v>-192.07390000000001</v>
      </c>
      <c r="K6473">
        <v>1.1105020000000001</v>
      </c>
      <c r="L6473">
        <v>78.117189999999994</v>
      </c>
      <c r="M6473">
        <v>-6.8830300000000003E-4</v>
      </c>
      <c r="N6473">
        <v>0</v>
      </c>
      <c r="O6473">
        <v>0.99990219999999996</v>
      </c>
      <c r="P6473">
        <v>-6.632415E-3</v>
      </c>
      <c r="Q6473">
        <v>-2.833987E-2</v>
      </c>
      <c r="R6473">
        <v>0.99957629999999997</v>
      </c>
      <c r="S6473">
        <v>0.16571040000000001</v>
      </c>
      <c r="T6473">
        <v>-0.29134510000000002</v>
      </c>
      <c r="U6473">
        <v>2.9936829999999999</v>
      </c>
      <c r="V6473">
        <v>-5.9453359999999999E-3</v>
      </c>
      <c r="W6473">
        <v>-1.4374960000000001E-2</v>
      </c>
      <c r="X6473">
        <v>0.99987899999999996</v>
      </c>
      <c r="Y6473">
        <v>5.569698E-2</v>
      </c>
      <c r="Z6473">
        <v>-9.6713800000000003E-2</v>
      </c>
      <c r="AA6473">
        <v>0.99375270000000004</v>
      </c>
      <c r="AB6473">
        <v>25</v>
      </c>
      <c r="AC6473">
        <v>4.0700000000015203E-2</v>
      </c>
      <c r="AD6473">
        <v>-7.1209999999999996E-2</v>
      </c>
      <c r="AE6473">
        <v>0.47665999999999498</v>
      </c>
      <c r="AF6473">
        <v>4.0138756985181899E-2</v>
      </c>
      <c r="AG6473">
        <v>-7.1209999999999996E-2</v>
      </c>
      <c r="AH6473">
        <v>0.46630008891262598</v>
      </c>
      <c r="AI6473">
        <v>98.651212108557502</v>
      </c>
      <c r="AJ6473">
        <v>85.0801503921479</v>
      </c>
      <c r="AK6473">
        <v>0.47341076966228701</v>
      </c>
      <c r="AL6473">
        <v>90.823652906396404</v>
      </c>
      <c r="AM6473">
        <v>90.340679868397302</v>
      </c>
      <c r="AN6473">
        <v>1.00000000056807</v>
      </c>
    </row>
    <row r="6474" spans="1:40" x14ac:dyDescent="0.3">
      <c r="A6474" t="str">
        <f>"20200111160636849"</f>
        <v>20200111160636849</v>
      </c>
      <c r="B6474" t="str">
        <f>"1578729996839908"</f>
        <v>1578729996839908</v>
      </c>
      <c r="C6474" t="s">
        <v>40</v>
      </c>
      <c r="D6474">
        <v>5.3185510000000003</v>
      </c>
      <c r="E6474">
        <v>0.52386980000000005</v>
      </c>
      <c r="F6474" t="s">
        <v>42</v>
      </c>
      <c r="G6474">
        <v>-192.02590000000001</v>
      </c>
      <c r="H6474">
        <v>1.030308</v>
      </c>
      <c r="I6474">
        <v>79.030779999999993</v>
      </c>
      <c r="J6474">
        <v>-192.07409999999999</v>
      </c>
      <c r="K6474">
        <v>1.110509</v>
      </c>
      <c r="L6474">
        <v>78.364440000000002</v>
      </c>
      <c r="M6474">
        <v>-6.8835390000000004E-4</v>
      </c>
      <c r="N6474">
        <v>0</v>
      </c>
      <c r="O6474">
        <v>0.99990250000000003</v>
      </c>
      <c r="P6474">
        <v>-7.5387319999999898E-3</v>
      </c>
      <c r="Q6474">
        <v>-2.6461680000000001E-2</v>
      </c>
      <c r="R6474">
        <v>0.99962139999999999</v>
      </c>
      <c r="S6474">
        <v>0.1574402</v>
      </c>
      <c r="T6474">
        <v>-0.26289820000000003</v>
      </c>
      <c r="U6474">
        <v>2.9948730000000001</v>
      </c>
      <c r="V6474">
        <v>-6.8513860000000001E-3</v>
      </c>
      <c r="W6474">
        <v>-1.2515119999999999E-2</v>
      </c>
      <c r="X6474">
        <v>0.99989819999999996</v>
      </c>
      <c r="Y6474">
        <v>5.2984330000000003E-2</v>
      </c>
      <c r="Z6474">
        <v>-8.732521E-2</v>
      </c>
      <c r="AA6474">
        <v>0.99476980000000004</v>
      </c>
      <c r="AB6474">
        <v>25</v>
      </c>
      <c r="AC6474">
        <v>4.8199999999980002E-2</v>
      </c>
      <c r="AD6474">
        <v>-8.0200999999999897E-2</v>
      </c>
      <c r="AE6474">
        <v>0.66634000000000504</v>
      </c>
      <c r="AF6474">
        <v>4.7967440693696302E-2</v>
      </c>
      <c r="AG6474">
        <v>-8.0200999999999897E-2</v>
      </c>
      <c r="AH6474">
        <v>0.65684077105702998</v>
      </c>
      <c r="AI6474">
        <v>96.943112593590598</v>
      </c>
      <c r="AJ6474">
        <v>85.823246717079996</v>
      </c>
      <c r="AK6474">
        <v>0.663455254173555</v>
      </c>
      <c r="AL6474">
        <v>90.717082283293394</v>
      </c>
      <c r="AM6474">
        <v>90.3925893237504</v>
      </c>
      <c r="AN6474">
        <v>0.99999999004098705</v>
      </c>
    </row>
    <row r="6475" spans="1:40" x14ac:dyDescent="0.3">
      <c r="A6475" t="str">
        <f>"20200111160636871"</f>
        <v>20200111160636871</v>
      </c>
      <c r="B6475" t="str">
        <f>"1578729996859428"</f>
        <v>1578729996859428</v>
      </c>
      <c r="C6475" t="s">
        <v>40</v>
      </c>
      <c r="D6475">
        <v>5.2866150000000003</v>
      </c>
      <c r="E6475">
        <v>0.52420920000000004</v>
      </c>
      <c r="F6475" t="s">
        <v>42</v>
      </c>
      <c r="G6475">
        <v>-192.02780000000001</v>
      </c>
      <c r="H6475">
        <v>1.0353600000000001</v>
      </c>
      <c r="I6475">
        <v>79.253590000000003</v>
      </c>
      <c r="J6475">
        <v>-192.07429999999999</v>
      </c>
      <c r="K6475">
        <v>1.1105149999999999</v>
      </c>
      <c r="L6475">
        <v>78.600859999999997</v>
      </c>
      <c r="M6475">
        <v>-6.8840440000000002E-4</v>
      </c>
      <c r="N6475">
        <v>0</v>
      </c>
      <c r="O6475">
        <v>0.99990270000000003</v>
      </c>
      <c r="P6475">
        <v>-8.7866709999999994E-3</v>
      </c>
      <c r="Q6475">
        <v>-2.522551E-2</v>
      </c>
      <c r="R6475">
        <v>0.99964310000000001</v>
      </c>
      <c r="S6475">
        <v>0.15586849999999999</v>
      </c>
      <c r="T6475">
        <v>-0.25320520000000002</v>
      </c>
      <c r="U6475">
        <v>2.9956049999999999</v>
      </c>
      <c r="V6475">
        <v>-8.0992519999999995E-3</v>
      </c>
      <c r="W6475">
        <v>-1.129461E-2</v>
      </c>
      <c r="X6475">
        <v>0.9999034</v>
      </c>
      <c r="Y6475">
        <v>5.2465499999999998E-2</v>
      </c>
      <c r="Z6475">
        <v>-8.4110699999999997E-2</v>
      </c>
      <c r="AA6475">
        <v>0.99507429999999997</v>
      </c>
      <c r="AB6475">
        <v>25</v>
      </c>
      <c r="AC6475">
        <v>4.6499999999980397E-2</v>
      </c>
      <c r="AD6475">
        <v>-7.5154999999999805E-2</v>
      </c>
      <c r="AE6475">
        <v>0.65273000000000503</v>
      </c>
      <c r="AF6475">
        <v>4.6338166878576698E-2</v>
      </c>
      <c r="AG6475">
        <v>-7.5154999999999805E-2</v>
      </c>
      <c r="AH6475">
        <v>0.644200719598086</v>
      </c>
      <c r="AI6475">
        <v>96.637276199411204</v>
      </c>
      <c r="AJ6475">
        <v>85.885728743078403</v>
      </c>
      <c r="AK6475">
        <v>0.65022309007398305</v>
      </c>
      <c r="AL6475">
        <v>90.647147251930704</v>
      </c>
      <c r="AM6475">
        <v>90.464087639153803</v>
      </c>
      <c r="AN6475">
        <v>0.99999998771478504</v>
      </c>
    </row>
    <row r="6476" spans="1:40" x14ac:dyDescent="0.3">
      <c r="A6476" t="str">
        <f>"20200111160636892"</f>
        <v>20200111160636892</v>
      </c>
      <c r="B6476" t="str">
        <f>"1578729996888708"</f>
        <v>1578729996888708</v>
      </c>
      <c r="C6476" t="s">
        <v>40</v>
      </c>
      <c r="D6476">
        <v>5.4064110000000003</v>
      </c>
      <c r="E6476">
        <v>0.52441000000000004</v>
      </c>
      <c r="F6476" t="s">
        <v>42</v>
      </c>
      <c r="G6476">
        <v>-192.02930000000001</v>
      </c>
      <c r="H6476">
        <v>1.0362469999999999</v>
      </c>
      <c r="I6476">
        <v>79.474050000000005</v>
      </c>
      <c r="J6476">
        <v>-192.0745</v>
      </c>
      <c r="K6476">
        <v>1.110509</v>
      </c>
      <c r="L6476">
        <v>78.836879999999994</v>
      </c>
      <c r="M6476">
        <v>-6.8845949999999897E-4</v>
      </c>
      <c r="N6476">
        <v>0</v>
      </c>
      <c r="O6476">
        <v>0.99990290000000004</v>
      </c>
      <c r="P6476">
        <v>-9.7061600000000001E-3</v>
      </c>
      <c r="Q6476">
        <v>-2.514949E-2</v>
      </c>
      <c r="R6476">
        <v>0.99963659999999999</v>
      </c>
      <c r="S6476">
        <v>0.15455629999999901</v>
      </c>
      <c r="T6476">
        <v>-0.25480520000000001</v>
      </c>
      <c r="U6476">
        <v>2.9960019999999998</v>
      </c>
      <c r="V6476">
        <v>-9.0185089999999992E-3</v>
      </c>
      <c r="W6476">
        <v>-1.1232900000000001E-2</v>
      </c>
      <c r="X6476">
        <v>0.99989620000000001</v>
      </c>
      <c r="Y6476">
        <v>5.2021770000000002E-2</v>
      </c>
      <c r="Z6476">
        <v>-8.4629199999999905E-2</v>
      </c>
      <c r="AA6476">
        <v>0.99505359999999998</v>
      </c>
      <c r="AB6476">
        <v>25</v>
      </c>
      <c r="AC6476">
        <v>4.5199999999994099E-2</v>
      </c>
      <c r="AD6476">
        <v>-7.4261999999999995E-2</v>
      </c>
      <c r="AE6476">
        <v>0.63716999999999702</v>
      </c>
      <c r="AF6476">
        <v>4.50300787642883E-2</v>
      </c>
      <c r="AG6476">
        <v>-7.4261999999999995E-2</v>
      </c>
      <c r="AH6476">
        <v>0.628642109564996</v>
      </c>
      <c r="AI6476">
        <v>96.720113461511502</v>
      </c>
      <c r="AJ6476">
        <v>85.902860659426196</v>
      </c>
      <c r="AK6476">
        <v>0.63461283831628101</v>
      </c>
      <c r="AL6476">
        <v>90.643611322110402</v>
      </c>
      <c r="AM6476">
        <v>90.516762131934499</v>
      </c>
      <c r="AN6476">
        <v>0.99999996116071499</v>
      </c>
    </row>
    <row r="6477" spans="1:40" x14ac:dyDescent="0.3">
      <c r="A6477" t="str">
        <f>"20200111160636915"</f>
        <v>20200111160636915</v>
      </c>
      <c r="B6477" t="str">
        <f>"1578729996909203"</f>
        <v>1578729996909203</v>
      </c>
      <c r="C6477" t="s">
        <v>40</v>
      </c>
      <c r="D6477">
        <v>5.2565520000000001</v>
      </c>
      <c r="E6477">
        <v>0.524752</v>
      </c>
      <c r="F6477" t="s">
        <v>42</v>
      </c>
      <c r="G6477">
        <v>-192.03059999999999</v>
      </c>
      <c r="H6477">
        <v>1.0361739999999999</v>
      </c>
      <c r="I6477">
        <v>79.693770000000001</v>
      </c>
      <c r="J6477">
        <v>-192.0746</v>
      </c>
      <c r="K6477">
        <v>1.110501</v>
      </c>
      <c r="L6477">
        <v>79.092559999999906</v>
      </c>
      <c r="M6477">
        <v>-6.8852509999999998E-4</v>
      </c>
      <c r="N6477">
        <v>0</v>
      </c>
      <c r="O6477">
        <v>0.99990310000000004</v>
      </c>
      <c r="P6477">
        <v>-9.1339609999999995E-3</v>
      </c>
      <c r="Q6477">
        <v>-2.5794290000000001E-2</v>
      </c>
      <c r="R6477">
        <v>0.9996256</v>
      </c>
      <c r="S6477">
        <v>0.1527405</v>
      </c>
      <c r="T6477">
        <v>-0.25993899999999998</v>
      </c>
      <c r="U6477">
        <v>2.9960330000000002</v>
      </c>
      <c r="V6477">
        <v>-8.4462979999999997E-3</v>
      </c>
      <c r="W6477">
        <v>-1.189171E-2</v>
      </c>
      <c r="X6477">
        <v>0.99989360000000005</v>
      </c>
      <c r="Y6477">
        <v>5.1412409999999999E-2</v>
      </c>
      <c r="Z6477">
        <v>-8.6323510000000006E-2</v>
      </c>
      <c r="AA6477">
        <v>0.99493969999999998</v>
      </c>
      <c r="AB6477">
        <v>25</v>
      </c>
      <c r="AC6477">
        <v>4.40000000000111E-2</v>
      </c>
      <c r="AD6477">
        <v>-7.4327000000000004E-2</v>
      </c>
      <c r="AE6477">
        <v>0.60121000000000802</v>
      </c>
      <c r="AF6477">
        <v>4.3748876485143598E-2</v>
      </c>
      <c r="AG6477">
        <v>-7.4327000000000004E-2</v>
      </c>
      <c r="AH6477">
        <v>0.59217686901204303</v>
      </c>
      <c r="AI6477">
        <v>97.134817174618803</v>
      </c>
      <c r="AJ6477">
        <v>85.774775025353193</v>
      </c>
      <c r="AK6477">
        <v>0.59842452432668403</v>
      </c>
      <c r="AL6477">
        <v>90.681360865943105</v>
      </c>
      <c r="AM6477">
        <v>90.483977213109497</v>
      </c>
      <c r="AN6477">
        <v>0.99999998201879403</v>
      </c>
    </row>
    <row r="6478" spans="1:40" x14ac:dyDescent="0.3">
      <c r="A6478" t="str">
        <f>"20200111160636938"</f>
        <v>20200111160636938</v>
      </c>
      <c r="B6478" t="str">
        <f>"1578729996928724"</f>
        <v>1578729996928724</v>
      </c>
      <c r="C6478" t="s">
        <v>40</v>
      </c>
      <c r="D6478">
        <v>5.2910190000000004</v>
      </c>
      <c r="E6478">
        <v>0.52510199999999996</v>
      </c>
      <c r="F6478" t="s">
        <v>42</v>
      </c>
      <c r="G6478">
        <v>-192.0316</v>
      </c>
      <c r="H6478">
        <v>1.0373730000000001</v>
      </c>
      <c r="I6478">
        <v>79.913839999999993</v>
      </c>
      <c r="J6478">
        <v>-192.07480000000001</v>
      </c>
      <c r="K6478">
        <v>1.110493</v>
      </c>
      <c r="L6478">
        <v>79.341890000000006</v>
      </c>
      <c r="M6478">
        <v>-6.8858570000000004E-4</v>
      </c>
      <c r="N6478">
        <v>0</v>
      </c>
      <c r="O6478">
        <v>0.99990330000000005</v>
      </c>
      <c r="P6478">
        <v>-8.5634089999999993E-3</v>
      </c>
      <c r="Q6478">
        <v>-2.640636E-2</v>
      </c>
      <c r="R6478">
        <v>0.99961460000000002</v>
      </c>
      <c r="S6478">
        <v>0.1570587</v>
      </c>
      <c r="T6478">
        <v>-0.26674530000000002</v>
      </c>
      <c r="U6478">
        <v>2.9956670000000001</v>
      </c>
      <c r="V6478">
        <v>-7.8755230000000006E-3</v>
      </c>
      <c r="W6478">
        <v>-1.2516019999999999E-2</v>
      </c>
      <c r="X6478">
        <v>0.99989070000000002</v>
      </c>
      <c r="Y6478">
        <v>5.2838660000000003E-2</v>
      </c>
      <c r="Z6478">
        <v>-8.8570479999999993E-2</v>
      </c>
      <c r="AA6478">
        <v>0.99466750000000004</v>
      </c>
      <c r="AB6478">
        <v>25</v>
      </c>
      <c r="AC6478">
        <v>4.3200000000012999E-2</v>
      </c>
      <c r="AD6478">
        <v>-7.3120000000000004E-2</v>
      </c>
      <c r="AE6478">
        <v>0.57195000000000096</v>
      </c>
      <c r="AF6478">
        <v>4.2896740484981703E-2</v>
      </c>
      <c r="AG6478">
        <v>-7.3120000000000004E-2</v>
      </c>
      <c r="AH6478">
        <v>0.56277435150217803</v>
      </c>
      <c r="AI6478">
        <v>97.381665046341197</v>
      </c>
      <c r="AJ6478">
        <v>85.641132690004298</v>
      </c>
      <c r="AK6478">
        <v>0.56912356782418705</v>
      </c>
      <c r="AL6478">
        <v>90.717133815351104</v>
      </c>
      <c r="AM6478">
        <v>90.451274222841803</v>
      </c>
      <c r="AN6478">
        <v>1.00000004328282</v>
      </c>
    </row>
    <row r="6479" spans="1:40" x14ac:dyDescent="0.3">
      <c r="A6479" t="str">
        <f>"20200111160636961"</f>
        <v>20200111160636961</v>
      </c>
      <c r="B6479" t="str">
        <f>"1578729996949219"</f>
        <v>1578729996949219</v>
      </c>
      <c r="C6479" t="s">
        <v>40</v>
      </c>
      <c r="D6479">
        <v>5.2940990000000001</v>
      </c>
      <c r="E6479">
        <v>0.52533189999999996</v>
      </c>
      <c r="F6479" t="s">
        <v>42</v>
      </c>
      <c r="G6479">
        <v>-192.03210000000001</v>
      </c>
      <c r="H6479">
        <v>1.038643</v>
      </c>
      <c r="I6479">
        <v>80.133669999999995</v>
      </c>
      <c r="J6479">
        <v>-192.07499999999999</v>
      </c>
      <c r="K6479">
        <v>1.1104830000000001</v>
      </c>
      <c r="L6479">
        <v>79.59299</v>
      </c>
      <c r="M6479">
        <v>-6.8864809999999996E-4</v>
      </c>
      <c r="N6479">
        <v>0</v>
      </c>
      <c r="O6479">
        <v>0.9999034</v>
      </c>
      <c r="P6479">
        <v>-6.9511959999999998E-3</v>
      </c>
      <c r="Q6479">
        <v>-2.7399349999999999E-2</v>
      </c>
      <c r="R6479">
        <v>0.99960039999999994</v>
      </c>
      <c r="S6479">
        <v>0.16108699999999901</v>
      </c>
      <c r="T6479">
        <v>-0.27183220000000002</v>
      </c>
      <c r="U6479">
        <v>2.9953310000000002</v>
      </c>
      <c r="V6479">
        <v>-6.2634209999999999E-3</v>
      </c>
      <c r="W6479">
        <v>-1.3519969999999999E-2</v>
      </c>
      <c r="X6479">
        <v>0.99988900000000003</v>
      </c>
      <c r="Y6479">
        <v>5.4170330000000003E-2</v>
      </c>
      <c r="Z6479">
        <v>-9.0249469999999998E-2</v>
      </c>
      <c r="AA6479">
        <v>0.99444480000000002</v>
      </c>
      <c r="AB6479">
        <v>25</v>
      </c>
      <c r="AC6479">
        <v>4.2899999999974597E-2</v>
      </c>
      <c r="AD6479">
        <v>-7.1839999999999904E-2</v>
      </c>
      <c r="AE6479">
        <v>0.54067999999999405</v>
      </c>
      <c r="AF6479">
        <v>4.2526286462505197E-2</v>
      </c>
      <c r="AG6479">
        <v>-7.1839999999999904E-2</v>
      </c>
      <c r="AH6479">
        <v>0.53132874033775901</v>
      </c>
      <c r="AI6479">
        <v>97.675909912899996</v>
      </c>
      <c r="AJ6479">
        <v>85.423937131378906</v>
      </c>
      <c r="AK6479">
        <v>0.53784728403999704</v>
      </c>
      <c r="AL6479">
        <v>90.774660808822802</v>
      </c>
      <c r="AM6479">
        <v>90.358902733040694</v>
      </c>
      <c r="AN6479">
        <v>1.0000000161762099</v>
      </c>
    </row>
    <row r="6480" spans="1:40" x14ac:dyDescent="0.3">
      <c r="A6480" t="str">
        <f>"20200111160636985"</f>
        <v>20200111160636985</v>
      </c>
      <c r="B6480" t="str">
        <f>"1578729996979276"</f>
        <v>1578729996979276</v>
      </c>
      <c r="C6480" t="s">
        <v>40</v>
      </c>
      <c r="D6480">
        <v>5.5478529999999999</v>
      </c>
      <c r="E6480">
        <v>0.52517650000000005</v>
      </c>
      <c r="F6480" t="s">
        <v>42</v>
      </c>
      <c r="G6480">
        <v>-192.03229999999999</v>
      </c>
      <c r="H6480">
        <v>1.0400510000000001</v>
      </c>
      <c r="I6480">
        <v>80.353290000000001</v>
      </c>
      <c r="J6480">
        <v>-192.0752</v>
      </c>
      <c r="K6480">
        <v>1.1104769999999999</v>
      </c>
      <c r="L6480">
        <v>79.849609999999998</v>
      </c>
      <c r="M6480">
        <v>-6.8870929999999904E-4</v>
      </c>
      <c r="N6480">
        <v>0</v>
      </c>
      <c r="O6480">
        <v>0.9999036</v>
      </c>
      <c r="P6480">
        <v>-5.9130559999999999E-3</v>
      </c>
      <c r="Q6480">
        <v>-2.8038469999999999E-2</v>
      </c>
      <c r="R6480">
        <v>0.99958939999999996</v>
      </c>
      <c r="S6480">
        <v>0.1677399</v>
      </c>
      <c r="T6480">
        <v>-0.2774432</v>
      </c>
      <c r="U6480">
        <v>2.9947509999999999</v>
      </c>
      <c r="V6480">
        <v>-5.224935E-3</v>
      </c>
      <c r="W6480">
        <v>-1.4169030000000001E-2</v>
      </c>
      <c r="X6480">
        <v>0.99988600000000005</v>
      </c>
      <c r="Y6480">
        <v>5.6373609999999998E-2</v>
      </c>
      <c r="Z6480">
        <v>-9.2103199999999996E-2</v>
      </c>
      <c r="AA6480">
        <v>0.99415240000000005</v>
      </c>
      <c r="AB6480">
        <v>25</v>
      </c>
      <c r="AC6480">
        <v>4.2900000000002998E-2</v>
      </c>
      <c r="AD6480">
        <v>-7.0425999999999794E-2</v>
      </c>
      <c r="AE6480">
        <v>0.50368000000000201</v>
      </c>
      <c r="AF6480">
        <v>4.2423487751293502E-2</v>
      </c>
      <c r="AG6480">
        <v>-7.0425999999999794E-2</v>
      </c>
      <c r="AH6480">
        <v>0.49406079102112599</v>
      </c>
      <c r="AI6480">
        <v>98.083237282815801</v>
      </c>
      <c r="AJ6480">
        <v>85.092225066747403</v>
      </c>
      <c r="AK6480">
        <v>0.50085490814546796</v>
      </c>
      <c r="AL6480">
        <v>90.811852754940901</v>
      </c>
      <c r="AM6480">
        <v>90.299398130308603</v>
      </c>
      <c r="AN6480">
        <v>1.0000000371764399</v>
      </c>
    </row>
    <row r="6481" spans="1:40" x14ac:dyDescent="0.3">
      <c r="A6481" t="str">
        <f>"20200111160637005"</f>
        <v>20200111160637005</v>
      </c>
      <c r="B6481" t="str">
        <f>"1578729996998797"</f>
        <v>1578729996998797</v>
      </c>
      <c r="C6481" t="s">
        <v>40</v>
      </c>
      <c r="D6481">
        <v>5.2202510000000002</v>
      </c>
      <c r="E6481">
        <v>0.52530100000000002</v>
      </c>
      <c r="F6481" t="s">
        <v>42</v>
      </c>
      <c r="G6481">
        <v>-192.0223</v>
      </c>
      <c r="H6481">
        <v>1.023674</v>
      </c>
      <c r="I6481">
        <v>80.782179999999997</v>
      </c>
      <c r="J6481">
        <v>-192.0753</v>
      </c>
      <c r="K6481">
        <v>1.1104700000000001</v>
      </c>
      <c r="L6481">
        <v>80.078310000000002</v>
      </c>
      <c r="M6481">
        <v>-6.8876110000000001E-4</v>
      </c>
      <c r="N6481">
        <v>0</v>
      </c>
      <c r="O6481">
        <v>0.9999036</v>
      </c>
      <c r="P6481">
        <v>-4.9326079999999998E-3</v>
      </c>
      <c r="Q6481">
        <v>-2.869683E-2</v>
      </c>
      <c r="R6481">
        <v>0.99957600000000002</v>
      </c>
      <c r="S6481">
        <v>0.16961670000000001</v>
      </c>
      <c r="T6481">
        <v>-0.278725</v>
      </c>
      <c r="U6481">
        <v>2.994415</v>
      </c>
      <c r="V6481">
        <v>-4.2446269999999999E-3</v>
      </c>
      <c r="W6481">
        <v>-1.483547E-2</v>
      </c>
      <c r="X6481">
        <v>0.99988089999999996</v>
      </c>
      <c r="Y6481">
        <v>5.6998769999999997E-2</v>
      </c>
      <c r="Z6481">
        <v>-9.2532080000000003E-2</v>
      </c>
      <c r="AA6481">
        <v>0.99407690000000004</v>
      </c>
      <c r="AB6481">
        <v>24</v>
      </c>
      <c r="AC6481">
        <v>5.2999999999997202E-2</v>
      </c>
      <c r="AD6481">
        <v>-8.6796000000000095E-2</v>
      </c>
      <c r="AE6481">
        <v>0.70387000000000899</v>
      </c>
      <c r="AF6481">
        <v>5.26881737169696E-2</v>
      </c>
      <c r="AG6481">
        <v>-8.6796000000000095E-2</v>
      </c>
      <c r="AH6481">
        <v>0.69334970105558902</v>
      </c>
      <c r="AI6481">
        <v>97.115070222384503</v>
      </c>
      <c r="AJ6481">
        <v>85.654401772941299</v>
      </c>
      <c r="AK6481">
        <v>0.700744887401617</v>
      </c>
      <c r="AL6481">
        <v>90.850041034187399</v>
      </c>
      <c r="AM6481">
        <v>90.243226720115501</v>
      </c>
      <c r="AN6481">
        <v>0.99999996110664902</v>
      </c>
    </row>
    <row r="6482" spans="1:40" x14ac:dyDescent="0.3">
      <c r="A6482" t="str">
        <f>"20200111160637028"</f>
        <v>20200111160637028</v>
      </c>
      <c r="B6482" t="str">
        <f>"1578729997019292"</f>
        <v>1578729997019292</v>
      </c>
      <c r="C6482" t="s">
        <v>40</v>
      </c>
      <c r="D6482">
        <v>5.2304469999999998</v>
      </c>
      <c r="E6482">
        <v>0.5253892</v>
      </c>
      <c r="F6482" t="s">
        <v>42</v>
      </c>
      <c r="G6482">
        <v>-192.02160000000001</v>
      </c>
      <c r="H6482">
        <v>1.0236080000000001</v>
      </c>
      <c r="I6482">
        <v>81.000259999999997</v>
      </c>
      <c r="J6482">
        <v>-192.07550000000001</v>
      </c>
      <c r="K6482">
        <v>1.1104689999999999</v>
      </c>
      <c r="L6482">
        <v>80.323430000000002</v>
      </c>
      <c r="M6482">
        <v>-6.8881869999999905E-4</v>
      </c>
      <c r="N6482">
        <v>0</v>
      </c>
      <c r="O6482">
        <v>0.99990369999999995</v>
      </c>
      <c r="P6482">
        <v>-4.2808539999999997E-3</v>
      </c>
      <c r="Q6482">
        <v>-2.9596609999999999E-2</v>
      </c>
      <c r="R6482">
        <v>0.99955280000000002</v>
      </c>
      <c r="S6482">
        <v>0.1735535</v>
      </c>
      <c r="T6482">
        <v>-0.28213909999999998</v>
      </c>
      <c r="U6482">
        <v>2.9940190000000002</v>
      </c>
      <c r="V6482">
        <v>-3.5928179999999998E-3</v>
      </c>
      <c r="W6482">
        <v>-1.5743299999999998E-2</v>
      </c>
      <c r="X6482">
        <v>0.99986960000000003</v>
      </c>
      <c r="Y6482">
        <v>5.8302920000000001E-2</v>
      </c>
      <c r="Z6482">
        <v>-9.3660859999999999E-2</v>
      </c>
      <c r="AA6482">
        <v>0.99389559999999999</v>
      </c>
      <c r="AB6482">
        <v>24</v>
      </c>
      <c r="AC6482">
        <v>5.3899999999998699E-2</v>
      </c>
      <c r="AD6482">
        <v>-8.6860999999999994E-2</v>
      </c>
      <c r="AE6482">
        <v>0.67682999999999505</v>
      </c>
      <c r="AF6482">
        <v>5.3490809822853598E-2</v>
      </c>
      <c r="AG6482">
        <v>-8.6860999999999994E-2</v>
      </c>
      <c r="AH6482">
        <v>0.66589461811828499</v>
      </c>
      <c r="AI6482">
        <v>97.408249092068999</v>
      </c>
      <c r="AJ6482">
        <v>85.407335026017606</v>
      </c>
      <c r="AK6482">
        <v>0.67366292943533801</v>
      </c>
      <c r="AL6482">
        <v>90.902061921570905</v>
      </c>
      <c r="AM6482">
        <v>90.205879268649497</v>
      </c>
      <c r="AN6482">
        <v>0.99999998842011495</v>
      </c>
    </row>
    <row r="6483" spans="1:40" x14ac:dyDescent="0.3">
      <c r="A6483" t="str">
        <f>"20200111160637051"</f>
        <v>20200111160637051</v>
      </c>
      <c r="B6483" t="str">
        <f>"1578729997038814"</f>
        <v>1578729997038814</v>
      </c>
      <c r="C6483" t="s">
        <v>40</v>
      </c>
      <c r="D6483">
        <v>5.2370039999999998</v>
      </c>
      <c r="E6483">
        <v>0.52554599999999996</v>
      </c>
      <c r="F6483" t="s">
        <v>42</v>
      </c>
      <c r="G6483">
        <v>-192.02269999999999</v>
      </c>
      <c r="H6483">
        <v>1.025012</v>
      </c>
      <c r="I6483">
        <v>81.218800000000002</v>
      </c>
      <c r="J6483">
        <v>-192.07570000000001</v>
      </c>
      <c r="K6483">
        <v>1.1104620000000001</v>
      </c>
      <c r="L6483">
        <v>80.572879999999998</v>
      </c>
      <c r="M6483">
        <v>-6.8888369999999997E-4</v>
      </c>
      <c r="N6483">
        <v>0</v>
      </c>
      <c r="O6483">
        <v>0.99990389999999996</v>
      </c>
      <c r="P6483">
        <v>-4.3312059999999998E-3</v>
      </c>
      <c r="Q6483">
        <v>-2.9492279999999999E-2</v>
      </c>
      <c r="R6483">
        <v>0.99955559999999999</v>
      </c>
      <c r="S6483">
        <v>0.1761017</v>
      </c>
      <c r="T6483">
        <v>-0.28575</v>
      </c>
      <c r="U6483">
        <v>2.993652</v>
      </c>
      <c r="V6483">
        <v>-3.6433609999999999E-3</v>
      </c>
      <c r="W6483">
        <v>-1.5646110000000001E-2</v>
      </c>
      <c r="X6483">
        <v>0.99987099999999995</v>
      </c>
      <c r="Y6483">
        <v>5.9146480000000001E-2</v>
      </c>
      <c r="Z6483">
        <v>-9.4855640000000005E-2</v>
      </c>
      <c r="AA6483">
        <v>0.99373239999999996</v>
      </c>
      <c r="AB6483">
        <v>24</v>
      </c>
      <c r="AC6483">
        <v>5.3000000000025603E-2</v>
      </c>
      <c r="AD6483">
        <v>-8.5449999999999998E-2</v>
      </c>
      <c r="AE6483">
        <v>0.64592000000000305</v>
      </c>
      <c r="AF6483">
        <v>5.2531775674378597E-2</v>
      </c>
      <c r="AG6483">
        <v>-8.5449999999999998E-2</v>
      </c>
      <c r="AH6483">
        <v>0.63484708088779795</v>
      </c>
      <c r="AI6483">
        <v>97.640099891641995</v>
      </c>
      <c r="AJ6483">
        <v>85.269715110224993</v>
      </c>
      <c r="AK6483">
        <v>0.642722417585742</v>
      </c>
      <c r="AL6483">
        <v>90.896492607339795</v>
      </c>
      <c r="AM6483">
        <v>90.208775216663298</v>
      </c>
      <c r="AN6483">
        <v>1.0000000457392499</v>
      </c>
    </row>
    <row r="6484" spans="1:40" x14ac:dyDescent="0.3">
      <c r="A6484" t="str">
        <f>"20200111160637072"</f>
        <v>20200111160637072</v>
      </c>
      <c r="B6484" t="str">
        <f>"1578729997069072"</f>
        <v>1578729997069072</v>
      </c>
      <c r="C6484" t="s">
        <v>40</v>
      </c>
      <c r="D6484">
        <v>5.2203400000000002</v>
      </c>
      <c r="E6484">
        <v>0.52543899999999999</v>
      </c>
      <c r="F6484" t="s">
        <v>42</v>
      </c>
      <c r="G6484">
        <v>-192.02430000000001</v>
      </c>
      <c r="H6484">
        <v>1.027982</v>
      </c>
      <c r="I6484">
        <v>81.437830000000005</v>
      </c>
      <c r="J6484">
        <v>-192.07589999999999</v>
      </c>
      <c r="K6484">
        <v>1.1104609999999999</v>
      </c>
      <c r="L6484">
        <v>80.803280000000001</v>
      </c>
      <c r="M6484">
        <v>-6.8894140000000002E-4</v>
      </c>
      <c r="N6484">
        <v>0</v>
      </c>
      <c r="O6484">
        <v>0.99990389999999996</v>
      </c>
      <c r="P6484">
        <v>-4.3276670000000003E-3</v>
      </c>
      <c r="Q6484">
        <v>-2.937333E-2</v>
      </c>
      <c r="R6484">
        <v>0.99955919999999998</v>
      </c>
      <c r="S6484">
        <v>0.17726140000000001</v>
      </c>
      <c r="T6484">
        <v>-0.28550300000000001</v>
      </c>
      <c r="U6484">
        <v>2.993652</v>
      </c>
      <c r="V6484">
        <v>-3.6395529999999998E-3</v>
      </c>
      <c r="W6484">
        <v>-1.5533160000000001E-2</v>
      </c>
      <c r="X6484">
        <v>0.99987269999999995</v>
      </c>
      <c r="Y6484">
        <v>5.9530619999999999E-2</v>
      </c>
      <c r="Z6484">
        <v>-9.4772229999999999E-2</v>
      </c>
      <c r="AA6484">
        <v>0.99371739999999997</v>
      </c>
      <c r="AB6484">
        <v>24</v>
      </c>
      <c r="AC6484">
        <v>5.1599999999979197E-2</v>
      </c>
      <c r="AD6484">
        <v>-8.2479000000000094E-2</v>
      </c>
      <c r="AE6484">
        <v>0.63455000000000406</v>
      </c>
      <c r="AF6484">
        <v>5.1178227452528001E-2</v>
      </c>
      <c r="AG6484">
        <v>-8.2479000000000094E-2</v>
      </c>
      <c r="AH6484">
        <v>0.62404046715064998</v>
      </c>
      <c r="AI6484">
        <v>97.504199829310593</v>
      </c>
      <c r="AJ6484">
        <v>85.311604032107795</v>
      </c>
      <c r="AK6484">
        <v>0.63154453607626404</v>
      </c>
      <c r="AL6484">
        <v>90.890020329477906</v>
      </c>
      <c r="AM6484">
        <v>90.208556654491105</v>
      </c>
      <c r="AN6484">
        <v>0.99999997080545699</v>
      </c>
    </row>
    <row r="6485" spans="1:40" x14ac:dyDescent="0.3">
      <c r="A6485" t="str">
        <f>"20200111160637406"</f>
        <v>20200111160637406</v>
      </c>
      <c r="B6485" t="str">
        <f>"1578729997399080"</f>
        <v>1578729997399080</v>
      </c>
      <c r="C6485" t="s">
        <v>40</v>
      </c>
      <c r="D6485">
        <v>5.398625</v>
      </c>
      <c r="E6485">
        <v>0.52387539999999999</v>
      </c>
      <c r="F6485" t="s">
        <v>42</v>
      </c>
      <c r="G6485">
        <v>-192.04</v>
      </c>
      <c r="H6485">
        <v>1.045501</v>
      </c>
      <c r="I6485">
        <v>84.699439999999996</v>
      </c>
      <c r="J6485">
        <v>-192.07849999999999</v>
      </c>
      <c r="K6485">
        <v>1.110074</v>
      </c>
      <c r="L6485">
        <v>84.438050000000004</v>
      </c>
      <c r="M6485">
        <v>-6.9143969999999999E-4</v>
      </c>
      <c r="N6485">
        <v>0</v>
      </c>
      <c r="O6485">
        <v>0.99993650000000001</v>
      </c>
      <c r="P6485">
        <v>-9.7944629999999998E-3</v>
      </c>
      <c r="Q6485">
        <v>-2.297913E-2</v>
      </c>
      <c r="R6485">
        <v>0.99968800000000002</v>
      </c>
      <c r="S6485">
        <v>0.15013119999999999</v>
      </c>
      <c r="T6485">
        <v>-0.25479439999999998</v>
      </c>
      <c r="U6485">
        <v>2.996429</v>
      </c>
      <c r="V6485">
        <v>-9.1038019999999994E-3</v>
      </c>
      <c r="W6485">
        <v>-1.1727090000000001E-2</v>
      </c>
      <c r="X6485">
        <v>0.99988980000000005</v>
      </c>
      <c r="Y6485">
        <v>5.0551720000000001E-2</v>
      </c>
      <c r="Z6485">
        <v>-8.4620000000000001E-2</v>
      </c>
      <c r="AA6485">
        <v>0.99513010000000002</v>
      </c>
      <c r="AB6485">
        <v>24</v>
      </c>
      <c r="AC6485">
        <v>3.8499999999999E-2</v>
      </c>
      <c r="AD6485">
        <v>-6.4572999999999894E-2</v>
      </c>
      <c r="AE6485">
        <v>0.26138999999999102</v>
      </c>
      <c r="AF6485">
        <v>3.6500509272838703E-2</v>
      </c>
      <c r="AG6485">
        <v>-6.4572999999999894E-2</v>
      </c>
      <c r="AH6485">
        <v>0.246631649136452</v>
      </c>
      <c r="AI6485">
        <v>104.520458194155</v>
      </c>
      <c r="AJ6485">
        <v>81.581558727023605</v>
      </c>
      <c r="AK6485">
        <v>0.25754442308452902</v>
      </c>
      <c r="AL6485">
        <v>90.671928159309402</v>
      </c>
      <c r="AM6485">
        <v>90.521652505576398</v>
      </c>
      <c r="AN6485">
        <v>1.0000000079973801</v>
      </c>
    </row>
    <row r="6486" spans="1:40" x14ac:dyDescent="0.3">
      <c r="A6486" t="str">
        <f>"20200111160637429"</f>
        <v>20200111160637429</v>
      </c>
      <c r="B6486" t="str">
        <f>"1578729997419576"</f>
        <v>1578729997419576</v>
      </c>
      <c r="C6486" t="s">
        <v>40</v>
      </c>
      <c r="D6486">
        <v>5.4718819999999999</v>
      </c>
      <c r="E6486">
        <v>0.52345350000000002</v>
      </c>
      <c r="F6486" t="s">
        <v>42</v>
      </c>
      <c r="G6486">
        <v>-192.03290000000001</v>
      </c>
      <c r="H6486">
        <v>1.034022</v>
      </c>
      <c r="I6486">
        <v>85.349769999999907</v>
      </c>
      <c r="J6486">
        <v>-192.0787</v>
      </c>
      <c r="K6486">
        <v>1.110052</v>
      </c>
      <c r="L6486">
        <v>84.686099999999996</v>
      </c>
      <c r="M6486">
        <v>-6.917599E-4</v>
      </c>
      <c r="N6486">
        <v>0</v>
      </c>
      <c r="O6486">
        <v>0.99993929999999998</v>
      </c>
      <c r="P6486">
        <v>-9.5080040000000005E-3</v>
      </c>
      <c r="Q6486">
        <v>-2.1932009999999998E-2</v>
      </c>
      <c r="R6486">
        <v>0.99971429999999994</v>
      </c>
      <c r="S6486">
        <v>0.14953610000000001</v>
      </c>
      <c r="T6486">
        <v>-0.25000119999999998</v>
      </c>
      <c r="U6486">
        <v>2.9966740000000001</v>
      </c>
      <c r="V6486">
        <v>-8.8173339999999996E-3</v>
      </c>
      <c r="W6486">
        <v>-1.094171E-2</v>
      </c>
      <c r="X6486">
        <v>0.99990120000000005</v>
      </c>
      <c r="Y6486">
        <v>5.0357529999999998E-2</v>
      </c>
      <c r="Z6486">
        <v>-8.3033350000000006E-2</v>
      </c>
      <c r="AA6486">
        <v>0.99527359999999998</v>
      </c>
      <c r="AB6486">
        <v>25</v>
      </c>
      <c r="AC6486">
        <v>4.5799999999985602E-2</v>
      </c>
      <c r="AD6486">
        <v>-7.603E-2</v>
      </c>
      <c r="AE6486">
        <v>0.66366999999999599</v>
      </c>
      <c r="AF6486">
        <v>4.5662681379154003E-2</v>
      </c>
      <c r="AG6486">
        <v>-7.603E-2</v>
      </c>
      <c r="AH6486">
        <v>0.65508162722826302</v>
      </c>
      <c r="AI6486">
        <v>96.604352612541007</v>
      </c>
      <c r="AJ6486">
        <v>86.012628393268002</v>
      </c>
      <c r="AK6486">
        <v>0.66105792461989499</v>
      </c>
      <c r="AL6486">
        <v>90.626926352277906</v>
      </c>
      <c r="AM6486">
        <v>90.5052328475672</v>
      </c>
      <c r="AN6486">
        <v>0.99999993807901399</v>
      </c>
    </row>
    <row r="6487" spans="1:40" x14ac:dyDescent="0.3">
      <c r="A6487" t="str">
        <f>"20200111160637474"</f>
        <v>20200111160637474</v>
      </c>
      <c r="B6487" t="str">
        <f>"1578729997469353"</f>
        <v>1578729997469353</v>
      </c>
      <c r="C6487" t="s">
        <v>40</v>
      </c>
      <c r="D6487">
        <v>5.5607519999999999</v>
      </c>
      <c r="E6487">
        <v>0.5229239</v>
      </c>
      <c r="F6487" t="s">
        <v>42</v>
      </c>
      <c r="G6487">
        <v>-192.03530000000001</v>
      </c>
      <c r="H6487">
        <v>1.035566</v>
      </c>
      <c r="I6487">
        <v>85.570400000000006</v>
      </c>
      <c r="J6487">
        <v>-192.07900000000001</v>
      </c>
      <c r="K6487">
        <v>1.1100239999999999</v>
      </c>
      <c r="L6487">
        <v>85.168030000000002</v>
      </c>
      <c r="M6487">
        <v>-6.9237279999999997E-4</v>
      </c>
      <c r="N6487">
        <v>0</v>
      </c>
      <c r="O6487">
        <v>0.99994400000000006</v>
      </c>
      <c r="P6487">
        <v>-1.0121939999999999E-2</v>
      </c>
      <c r="Q6487">
        <v>-2.0992650000000002E-2</v>
      </c>
      <c r="R6487">
        <v>0.99972839999999996</v>
      </c>
      <c r="S6487">
        <v>0.1466827</v>
      </c>
      <c r="T6487">
        <v>-0.25243589999999999</v>
      </c>
      <c r="U6487">
        <v>2.9967039999999998</v>
      </c>
      <c r="V6487">
        <v>-9.4300579999999998E-3</v>
      </c>
      <c r="W6487">
        <v>-1.0438360000000001E-2</v>
      </c>
      <c r="X6487">
        <v>0.99990109999999999</v>
      </c>
      <c r="Y6487">
        <v>4.9408939999999998E-2</v>
      </c>
      <c r="Z6487">
        <v>-8.3839430000000006E-2</v>
      </c>
      <c r="AA6487">
        <v>0.99525359999999996</v>
      </c>
      <c r="AB6487">
        <v>25</v>
      </c>
      <c r="AC6487">
        <v>4.3700000000001099E-2</v>
      </c>
      <c r="AD6487">
        <v>-7.4457999999999899E-2</v>
      </c>
      <c r="AE6487">
        <v>0.402370000000004</v>
      </c>
      <c r="AF6487">
        <v>4.2538917360185703E-2</v>
      </c>
      <c r="AG6487">
        <v>-7.4457999999999899E-2</v>
      </c>
      <c r="AH6487">
        <v>0.38916870528416397</v>
      </c>
      <c r="AI6487">
        <v>100.768635129622</v>
      </c>
      <c r="AJ6487">
        <v>83.761927924608401</v>
      </c>
      <c r="AK6487">
        <v>0.39850449737327798</v>
      </c>
      <c r="AL6487">
        <v>90.598084806079896</v>
      </c>
      <c r="AM6487">
        <v>90.540339945624297</v>
      </c>
      <c r="AN6487">
        <v>1.0000000475672901</v>
      </c>
    </row>
    <row r="6488" spans="1:40" x14ac:dyDescent="0.3">
      <c r="A6488" t="str">
        <f>"20200111160637730"</f>
        <v>20200111160637730</v>
      </c>
      <c r="B6488" t="str">
        <f>"1578729997719208"</f>
        <v>1578729997719208</v>
      </c>
      <c r="C6488" t="s">
        <v>40</v>
      </c>
      <c r="D6488">
        <v>5.7691730000000003</v>
      </c>
      <c r="E6488">
        <v>0.45902130000000002</v>
      </c>
      <c r="F6488" t="s">
        <v>42</v>
      </c>
      <c r="G6488">
        <v>-192.04580000000001</v>
      </c>
      <c r="H6488">
        <v>1.03817</v>
      </c>
      <c r="I6488">
        <v>88.695179999999993</v>
      </c>
      <c r="J6488">
        <v>-192.08099999999999</v>
      </c>
      <c r="K6488">
        <v>1.109979</v>
      </c>
      <c r="L6488">
        <v>88.043520000000001</v>
      </c>
      <c r="M6488">
        <v>-6.9584940000000004E-4</v>
      </c>
      <c r="N6488">
        <v>0</v>
      </c>
      <c r="O6488">
        <v>0.99995429999999996</v>
      </c>
      <c r="P6488">
        <v>-1.2937870000000001E-2</v>
      </c>
      <c r="Q6488">
        <v>-1.909017E-2</v>
      </c>
      <c r="R6488">
        <v>0.99973400000000001</v>
      </c>
      <c r="S6488">
        <v>0.11895749999999999</v>
      </c>
      <c r="T6488">
        <v>-0.2434616</v>
      </c>
      <c r="U6488">
        <v>2.9978030000000002</v>
      </c>
      <c r="V6488">
        <v>-1.224271E-2</v>
      </c>
      <c r="W6488">
        <v>-9.5565270000000004E-3</v>
      </c>
      <c r="X6488">
        <v>0.99987939999999997</v>
      </c>
      <c r="Y6488">
        <v>4.021578E-2</v>
      </c>
      <c r="Z6488">
        <v>-8.088244E-2</v>
      </c>
      <c r="AA6488">
        <v>0.99591200000000002</v>
      </c>
      <c r="AB6488">
        <v>25</v>
      </c>
      <c r="AC6488">
        <v>3.51999999999748E-2</v>
      </c>
      <c r="AD6488">
        <v>-7.1808999999999998E-2</v>
      </c>
      <c r="AE6488">
        <v>0.65166000000000601</v>
      </c>
      <c r="AF6488">
        <v>3.5226962934798101E-2</v>
      </c>
      <c r="AG6488">
        <v>-7.1808999999999998E-2</v>
      </c>
      <c r="AH6488">
        <v>0.64384012738097895</v>
      </c>
      <c r="AI6488">
        <v>96.354604753426003</v>
      </c>
      <c r="AJ6488">
        <v>86.868250715845505</v>
      </c>
      <c r="AK6488">
        <v>0.64878931944396601</v>
      </c>
      <c r="AL6488">
        <v>90.5475569915573</v>
      </c>
      <c r="AM6488">
        <v>90.701505163378002</v>
      </c>
      <c r="AN6488">
        <v>1.0000000128504001</v>
      </c>
    </row>
    <row r="6489" spans="1:40" x14ac:dyDescent="0.3">
      <c r="A6489" t="str">
        <f>"20200111160637752"</f>
        <v>20200111160637752</v>
      </c>
      <c r="B6489" t="str">
        <f>"1578729997749465"</f>
        <v>1578729997749465</v>
      </c>
      <c r="C6489" t="s">
        <v>40</v>
      </c>
      <c r="D6489">
        <v>5.6401599999999998</v>
      </c>
      <c r="E6489">
        <v>0.4594452</v>
      </c>
      <c r="F6489" t="s">
        <v>41</v>
      </c>
      <c r="G6489">
        <v>-193.43790000000001</v>
      </c>
      <c r="H6489" s="1">
        <v>-4.5790069999999997E-6</v>
      </c>
      <c r="I6489">
        <v>98.650379999999998</v>
      </c>
      <c r="J6489">
        <v>-192.0812</v>
      </c>
      <c r="K6489">
        <v>1.1099829999999999</v>
      </c>
      <c r="L6489">
        <v>88.290099999999995</v>
      </c>
      <c r="M6489">
        <v>-6.9611369999999996E-4</v>
      </c>
      <c r="N6489">
        <v>0</v>
      </c>
      <c r="O6489">
        <v>0.99995420000000002</v>
      </c>
      <c r="P6489">
        <v>-1.287579E-2</v>
      </c>
      <c r="Q6489">
        <v>-2.0187759999999999E-2</v>
      </c>
      <c r="R6489">
        <v>0.99971330000000003</v>
      </c>
      <c r="S6489">
        <v>-0.3824921</v>
      </c>
      <c r="T6489">
        <v>-0.31288280000000002</v>
      </c>
      <c r="U6489">
        <v>2.989868</v>
      </c>
      <c r="V6489">
        <v>-1.218059E-2</v>
      </c>
      <c r="W6489">
        <v>-1.064062E-2</v>
      </c>
      <c r="X6489">
        <v>0.99986920000000001</v>
      </c>
      <c r="Y6489">
        <v>-0.12552650000000001</v>
      </c>
      <c r="Z6489">
        <v>-0.1032515</v>
      </c>
      <c r="AA6489">
        <v>0.98670270000000004</v>
      </c>
      <c r="AB6489">
        <v>25</v>
      </c>
      <c r="AC6489">
        <v>-1.35670000000001</v>
      </c>
      <c r="AD6489">
        <v>-1.109987579007</v>
      </c>
      <c r="AE6489">
        <v>10.360279999999999</v>
      </c>
      <c r="AF6489">
        <v>-1.33442813347603</v>
      </c>
      <c r="AG6489">
        <v>-1.109987579007</v>
      </c>
      <c r="AH6489">
        <v>10.2455984150458</v>
      </c>
      <c r="AI6489">
        <v>96.131803857702494</v>
      </c>
      <c r="AJ6489">
        <v>97.420661805107997</v>
      </c>
      <c r="AK6489">
        <v>10.3915859112722</v>
      </c>
      <c r="AL6489">
        <v>90.609674120571199</v>
      </c>
      <c r="AM6489">
        <v>90.697953170418003</v>
      </c>
      <c r="AN6489">
        <v>1.0000000033376799</v>
      </c>
    </row>
    <row r="6490" spans="1:40" x14ac:dyDescent="0.3">
      <c r="A6490" t="str">
        <f>"20200111160637774"</f>
        <v>20200111160637774</v>
      </c>
      <c r="B6490" t="str">
        <f>"1578729997768985"</f>
        <v>1578729997768985</v>
      </c>
      <c r="C6490" t="s">
        <v>40</v>
      </c>
      <c r="D6490">
        <v>5.6543580000000002</v>
      </c>
      <c r="E6490">
        <v>0.46002080000000001</v>
      </c>
      <c r="F6490" t="s">
        <v>41</v>
      </c>
      <c r="G6490">
        <v>-193.512</v>
      </c>
      <c r="H6490" s="1">
        <v>-9.4897309999999998E-7</v>
      </c>
      <c r="I6490">
        <v>99.622929999999997</v>
      </c>
      <c r="J6490">
        <v>-192.0814</v>
      </c>
      <c r="K6490">
        <v>1.1099870000000001</v>
      </c>
      <c r="L6490">
        <v>88.547790000000006</v>
      </c>
      <c r="M6490">
        <v>-6.963828E-4</v>
      </c>
      <c r="N6490">
        <v>0</v>
      </c>
      <c r="O6490">
        <v>0.9999538</v>
      </c>
      <c r="P6490">
        <v>-1.2922950000000001E-2</v>
      </c>
      <c r="Q6490">
        <v>-2.093505E-2</v>
      </c>
      <c r="R6490">
        <v>0.99969730000000001</v>
      </c>
      <c r="S6490">
        <v>-0.37751770000000001</v>
      </c>
      <c r="T6490">
        <v>-0.29286089999999998</v>
      </c>
      <c r="U6490">
        <v>2.9900820000000001</v>
      </c>
      <c r="V6490">
        <v>-1.222722E-2</v>
      </c>
      <c r="W6490">
        <v>-1.1352350000000001E-2</v>
      </c>
      <c r="X6490">
        <v>0.99986079999999999</v>
      </c>
      <c r="Y6490">
        <v>-0.123984</v>
      </c>
      <c r="Z6490">
        <v>-9.6721290000000001E-2</v>
      </c>
      <c r="AA6490">
        <v>0.98755910000000002</v>
      </c>
      <c r="AB6490">
        <v>25</v>
      </c>
      <c r="AC6490">
        <v>-1.4305999999999901</v>
      </c>
      <c r="AD6490">
        <v>-1.1099879489730999</v>
      </c>
      <c r="AE6490">
        <v>11.075139999999999</v>
      </c>
      <c r="AF6490">
        <v>-1.40896634961061</v>
      </c>
      <c r="AG6490">
        <v>-1.1099879489730999</v>
      </c>
      <c r="AH6490">
        <v>10.9677733708009</v>
      </c>
      <c r="AI6490">
        <v>95.732126348944405</v>
      </c>
      <c r="AJ6490">
        <v>97.320363347087607</v>
      </c>
      <c r="AK6490">
        <v>11.1134743502853</v>
      </c>
      <c r="AL6490">
        <v>90.650455714360106</v>
      </c>
      <c r="AM6490">
        <v>90.700630709594094</v>
      </c>
      <c r="AN6490">
        <v>1.00000000006804</v>
      </c>
    </row>
    <row r="6491" spans="1:40" x14ac:dyDescent="0.3">
      <c r="A6491" t="str">
        <f>"20200111160637798"</f>
        <v>20200111160637798</v>
      </c>
      <c r="B6491" t="str">
        <f>"1578729997789481"</f>
        <v>1578729997789481</v>
      </c>
      <c r="C6491" t="s">
        <v>40</v>
      </c>
      <c r="D6491">
        <v>5.6039199999999996</v>
      </c>
      <c r="E6491">
        <v>0.46009309999999998</v>
      </c>
      <c r="F6491" t="s">
        <v>41</v>
      </c>
      <c r="G6491">
        <v>-193.44669999999999</v>
      </c>
      <c r="H6491" s="1">
        <v>-4.86232899999999E-6</v>
      </c>
      <c r="I6491">
        <v>99.478350000000006</v>
      </c>
      <c r="J6491">
        <v>-192.08150000000001</v>
      </c>
      <c r="K6491">
        <v>1.109996</v>
      </c>
      <c r="L6491">
        <v>88.808619999999905</v>
      </c>
      <c r="M6491">
        <v>-6.9663799999999997E-4</v>
      </c>
      <c r="N6491">
        <v>0</v>
      </c>
      <c r="O6491">
        <v>0.99995319999999999</v>
      </c>
      <c r="P6491">
        <v>-1.2715489999999999E-2</v>
      </c>
      <c r="Q6491">
        <v>-2.132593E-2</v>
      </c>
      <c r="R6491">
        <v>0.99969169999999996</v>
      </c>
      <c r="S6491">
        <v>-0.37345889999999998</v>
      </c>
      <c r="T6491">
        <v>-0.30360379999999998</v>
      </c>
      <c r="U6491">
        <v>2.989716</v>
      </c>
      <c r="V6491">
        <v>-1.20193E-2</v>
      </c>
      <c r="W6491">
        <v>-1.167865E-2</v>
      </c>
      <c r="X6491">
        <v>0.99985959999999996</v>
      </c>
      <c r="Y6491">
        <v>-0.1226353</v>
      </c>
      <c r="Z6491">
        <v>-0.1002629</v>
      </c>
      <c r="AA6491">
        <v>0.98737419999999998</v>
      </c>
      <c r="AB6491">
        <v>25</v>
      </c>
      <c r="AC6491">
        <v>-1.36519999999998</v>
      </c>
      <c r="AD6491">
        <v>-1.1100008623289901</v>
      </c>
      <c r="AE6491">
        <v>10.669729999999999</v>
      </c>
      <c r="AF6491">
        <v>-1.3434605793824399</v>
      </c>
      <c r="AG6491">
        <v>-1.1100008623289901</v>
      </c>
      <c r="AH6491">
        <v>10.558249271571199</v>
      </c>
      <c r="AI6491">
        <v>95.953868921964897</v>
      </c>
      <c r="AJ6491">
        <v>97.251503916237098</v>
      </c>
      <c r="AK6491">
        <v>10.701103490918999</v>
      </c>
      <c r="AL6491">
        <v>90.669152542237796</v>
      </c>
      <c r="AM6491">
        <v>90.688718690505894</v>
      </c>
      <c r="AN6491">
        <v>1.00000003707523</v>
      </c>
    </row>
    <row r="6492" spans="1:40" x14ac:dyDescent="0.3">
      <c r="A6492" t="str">
        <f>"20200111160637819"</f>
        <v>20200111160637819</v>
      </c>
      <c r="B6492" t="str">
        <f>"1578729997809001"</f>
        <v>1578729997809001</v>
      </c>
      <c r="C6492" t="s">
        <v>40</v>
      </c>
      <c r="D6492">
        <v>5.6779089999999997</v>
      </c>
      <c r="E6492">
        <v>0.45957730000000002</v>
      </c>
      <c r="F6492" t="s">
        <v>41</v>
      </c>
      <c r="G6492">
        <v>-193.423</v>
      </c>
      <c r="H6492" s="1">
        <v>-4.8945250000000004E-6</v>
      </c>
      <c r="I6492">
        <v>99.585300000000004</v>
      </c>
      <c r="J6492">
        <v>-192.08170000000001</v>
      </c>
      <c r="K6492">
        <v>1.1100080000000001</v>
      </c>
      <c r="L6492">
        <v>89.056979999999996</v>
      </c>
      <c r="M6492">
        <v>-6.9685440000000003E-4</v>
      </c>
      <c r="N6492">
        <v>0</v>
      </c>
      <c r="O6492">
        <v>0.99995219999999996</v>
      </c>
      <c r="P6492">
        <v>-1.272438E-2</v>
      </c>
      <c r="Q6492">
        <v>-2.1145580000000001E-2</v>
      </c>
      <c r="R6492">
        <v>0.99969540000000001</v>
      </c>
      <c r="S6492">
        <v>-0.37216189999999999</v>
      </c>
      <c r="T6492">
        <v>-0.30793209999999999</v>
      </c>
      <c r="U6492">
        <v>2.9896240000000001</v>
      </c>
      <c r="V6492">
        <v>-1.2027919999999999E-2</v>
      </c>
      <c r="W6492">
        <v>-1.139484E-2</v>
      </c>
      <c r="X6492">
        <v>0.99986269999999999</v>
      </c>
      <c r="Y6492">
        <v>-0.12219919999999999</v>
      </c>
      <c r="Z6492">
        <v>-0.1016859</v>
      </c>
      <c r="AA6492">
        <v>0.98728280000000002</v>
      </c>
      <c r="AB6492">
        <v>25</v>
      </c>
      <c r="AC6492">
        <v>-1.34129999999998</v>
      </c>
      <c r="AD6492">
        <v>-1.1100128945249901</v>
      </c>
      <c r="AE6492">
        <v>10.5283199999999</v>
      </c>
      <c r="AF6492">
        <v>-1.3195293505952499</v>
      </c>
      <c r="AG6492">
        <v>-1.1100128945249901</v>
      </c>
      <c r="AH6492">
        <v>10.4153273031192</v>
      </c>
      <c r="AI6492">
        <v>96.035448492884996</v>
      </c>
      <c r="AJ6492">
        <v>97.220399061887207</v>
      </c>
      <c r="AK6492">
        <v>10.5570985201519</v>
      </c>
      <c r="AL6492">
        <v>90.652890391723105</v>
      </c>
      <c r="AM6492">
        <v>90.689210441410907</v>
      </c>
      <c r="AN6492">
        <v>0.99999996604471997</v>
      </c>
    </row>
    <row r="6493" spans="1:40" x14ac:dyDescent="0.3">
      <c r="A6493" t="str">
        <f>"20200111160637842"</f>
        <v>20200111160637842</v>
      </c>
      <c r="B6493" t="str">
        <f>"1578729997839257"</f>
        <v>1578729997839257</v>
      </c>
      <c r="C6493" t="s">
        <v>40</v>
      </c>
      <c r="D6493">
        <v>5.7768290000000002</v>
      </c>
      <c r="E6493">
        <v>0.45929740000000002</v>
      </c>
      <c r="F6493" t="s">
        <v>41</v>
      </c>
      <c r="G6493">
        <v>-193.44210000000001</v>
      </c>
      <c r="H6493" s="1">
        <v>-1.0326390000000001E-6</v>
      </c>
      <c r="I6493">
        <v>99.861350000000002</v>
      </c>
      <c r="J6493">
        <v>-192.08179999999999</v>
      </c>
      <c r="K6493">
        <v>1.1100449999999999</v>
      </c>
      <c r="L6493">
        <v>89.299469999999999</v>
      </c>
      <c r="M6493">
        <v>-6.9700619999999997E-4</v>
      </c>
      <c r="N6493">
        <v>0</v>
      </c>
      <c r="O6493">
        <v>0.99995049999999996</v>
      </c>
      <c r="P6493">
        <v>-1.290296E-2</v>
      </c>
      <c r="Q6493">
        <v>-2.1081530000000001E-2</v>
      </c>
      <c r="R6493">
        <v>0.99969450000000004</v>
      </c>
      <c r="S6493">
        <v>-0.37641910000000001</v>
      </c>
      <c r="T6493">
        <v>-0.3071449</v>
      </c>
      <c r="U6493">
        <v>2.9896240000000001</v>
      </c>
      <c r="V6493">
        <v>-1.220627E-2</v>
      </c>
      <c r="W6493">
        <v>-1.1161290000000001E-2</v>
      </c>
      <c r="X6493">
        <v>0.99986319999999995</v>
      </c>
      <c r="Y6493">
        <v>-0.1235866</v>
      </c>
      <c r="Z6493">
        <v>-0.1014111</v>
      </c>
      <c r="AA6493">
        <v>0.98713839999999997</v>
      </c>
      <c r="AB6493">
        <v>25</v>
      </c>
      <c r="AC6493">
        <v>-1.36030000000002</v>
      </c>
      <c r="AD6493">
        <v>-1.110046032639</v>
      </c>
      <c r="AE6493">
        <v>10.56188</v>
      </c>
      <c r="AF6493">
        <v>-1.3383951135127601</v>
      </c>
      <c r="AG6493">
        <v>-1.110046032639</v>
      </c>
      <c r="AH6493">
        <v>10.4492875924107</v>
      </c>
      <c r="AI6493">
        <v>96.015112323680995</v>
      </c>
      <c r="AJ6493">
        <v>97.298977708405303</v>
      </c>
      <c r="AK6493">
        <v>10.5929747881962</v>
      </c>
      <c r="AL6493">
        <v>90.639508093545601</v>
      </c>
      <c r="AM6493">
        <v>90.699428696404496</v>
      </c>
      <c r="AN6493">
        <v>0.99999999306800802</v>
      </c>
    </row>
    <row r="6494" spans="1:40" x14ac:dyDescent="0.3">
      <c r="A6494" t="str">
        <f>"20200111160637865"</f>
        <v>20200111160637865</v>
      </c>
      <c r="B6494" t="str">
        <f>"1578729997858776"</f>
        <v>1578729997858776</v>
      </c>
      <c r="C6494" t="s">
        <v>40</v>
      </c>
      <c r="D6494">
        <v>5.5961249999999998</v>
      </c>
      <c r="E6494">
        <v>0.45934399999999997</v>
      </c>
      <c r="F6494" t="s">
        <v>41</v>
      </c>
      <c r="G6494">
        <v>-193.4494</v>
      </c>
      <c r="H6494" s="1">
        <v>-1.126012E-6</v>
      </c>
      <c r="I6494">
        <v>100.0745</v>
      </c>
      <c r="J6494">
        <v>-192.08199999999999</v>
      </c>
      <c r="K6494">
        <v>1.110115</v>
      </c>
      <c r="L6494">
        <v>89.569640000000007</v>
      </c>
      <c r="M6494">
        <v>-6.9695420000000002E-4</v>
      </c>
      <c r="N6494">
        <v>0</v>
      </c>
      <c r="O6494">
        <v>0.99994740000000004</v>
      </c>
      <c r="P6494">
        <v>-1.2894849999999999E-2</v>
      </c>
      <c r="Q6494">
        <v>-2.1729060000000001E-2</v>
      </c>
      <c r="R6494">
        <v>0.99968080000000004</v>
      </c>
      <c r="S6494">
        <v>-0.37942500000000001</v>
      </c>
      <c r="T6494">
        <v>-0.30798340000000002</v>
      </c>
      <c r="U6494">
        <v>2.9895320000000001</v>
      </c>
      <c r="V6494">
        <v>-1.219812E-2</v>
      </c>
      <c r="W6494">
        <v>-1.149236E-2</v>
      </c>
      <c r="X6494">
        <v>0.99985959999999996</v>
      </c>
      <c r="Y6494">
        <v>-0.12456390000000001</v>
      </c>
      <c r="Z6494">
        <v>-0.1016756</v>
      </c>
      <c r="AA6494">
        <v>0.98698830000000004</v>
      </c>
      <c r="AB6494">
        <v>25</v>
      </c>
      <c r="AC6494">
        <v>-1.3673999999999999</v>
      </c>
      <c r="AD6494">
        <v>-1.110116126012</v>
      </c>
      <c r="AE6494">
        <v>10.5048599999999</v>
      </c>
      <c r="AF6494">
        <v>-1.3453044961604199</v>
      </c>
      <c r="AG6494">
        <v>-1.110116126012</v>
      </c>
      <c r="AH6494">
        <v>10.3916947300911</v>
      </c>
      <c r="AI6494">
        <v>96.047536511795698</v>
      </c>
      <c r="AJ6494">
        <v>97.376461164106701</v>
      </c>
      <c r="AK6494">
        <v>10.5370546816472</v>
      </c>
      <c r="AL6494">
        <v>90.658478190832298</v>
      </c>
      <c r="AM6494">
        <v>90.698964257824002</v>
      </c>
      <c r="AN6494">
        <v>1.0000000440910299</v>
      </c>
    </row>
    <row r="6495" spans="1:40" x14ac:dyDescent="0.3">
      <c r="A6495" t="str">
        <f>"20200111160637888"</f>
        <v>20200111160637888</v>
      </c>
      <c r="B6495" t="str">
        <f>"1578729997879273"</f>
        <v>1578729997879273</v>
      </c>
      <c r="C6495" t="s">
        <v>40</v>
      </c>
      <c r="D6495">
        <v>5.6099309999999996</v>
      </c>
      <c r="E6495">
        <v>0.45947860000000001</v>
      </c>
      <c r="F6495" t="s">
        <v>41</v>
      </c>
      <c r="G6495">
        <v>-193.43020000000001</v>
      </c>
      <c r="H6495" s="1">
        <v>-1.17484E-6</v>
      </c>
      <c r="I6495">
        <v>100.2002</v>
      </c>
      <c r="J6495">
        <v>-192.0822</v>
      </c>
      <c r="K6495">
        <v>1.1101909999999999</v>
      </c>
      <c r="L6495">
        <v>89.825159999999997</v>
      </c>
      <c r="M6495">
        <v>-6.9690439999999995E-4</v>
      </c>
      <c r="N6495">
        <v>0</v>
      </c>
      <c r="O6495">
        <v>0.99994349999999999</v>
      </c>
      <c r="P6495">
        <v>-1.2835569999999999E-2</v>
      </c>
      <c r="Q6495">
        <v>-2.190363E-2</v>
      </c>
      <c r="R6495">
        <v>0.9996777</v>
      </c>
      <c r="S6495">
        <v>-0.37908940000000002</v>
      </c>
      <c r="T6495">
        <v>-0.312162099999999</v>
      </c>
      <c r="U6495">
        <v>2.9892880000000002</v>
      </c>
      <c r="V6495">
        <v>-1.213903E-2</v>
      </c>
      <c r="W6495">
        <v>-1.1296779999999999E-2</v>
      </c>
      <c r="X6495">
        <v>0.99986249999999999</v>
      </c>
      <c r="Y6495">
        <v>-0.1244471</v>
      </c>
      <c r="Z6495">
        <v>-0.10305019999999999</v>
      </c>
      <c r="AA6495">
        <v>0.98686050000000003</v>
      </c>
      <c r="AB6495">
        <v>25</v>
      </c>
      <c r="AC6495">
        <v>-1.3480000000000101</v>
      </c>
      <c r="AD6495">
        <v>-1.1101921748400001</v>
      </c>
      <c r="AE6495">
        <v>10.375039999999901</v>
      </c>
      <c r="AF6495">
        <v>-1.32583961858735</v>
      </c>
      <c r="AG6495">
        <v>-1.1101921748400001</v>
      </c>
      <c r="AH6495">
        <v>10.2604421978705</v>
      </c>
      <c r="AI6495">
        <v>96.124915648940899</v>
      </c>
      <c r="AJ6495">
        <v>97.362878906563694</v>
      </c>
      <c r="AK6495">
        <v>10.405145431714701</v>
      </c>
      <c r="AL6495">
        <v>90.647271586280695</v>
      </c>
      <c r="AM6495">
        <v>90.695576659008296</v>
      </c>
      <c r="AN6495">
        <v>0.99999999609697898</v>
      </c>
    </row>
    <row r="6496" spans="1:40" x14ac:dyDescent="0.3">
      <c r="A6496" t="str">
        <f>"20200111160637910"</f>
        <v>20200111160637910</v>
      </c>
      <c r="B6496" t="str">
        <f>"1578729997898792"</f>
        <v>1578729997898792</v>
      </c>
      <c r="C6496" t="s">
        <v>40</v>
      </c>
      <c r="D6496">
        <v>5.7348569999999999</v>
      </c>
      <c r="E6496">
        <v>0.45967190000000002</v>
      </c>
      <c r="F6496" t="s">
        <v>41</v>
      </c>
      <c r="G6496">
        <v>-193.42080000000001</v>
      </c>
      <c r="H6496" s="1">
        <v>-1.262293E-6</v>
      </c>
      <c r="I6496">
        <v>100.40989999999999</v>
      </c>
      <c r="J6496">
        <v>-192.08240000000001</v>
      </c>
      <c r="K6496">
        <v>1.110244</v>
      </c>
      <c r="L6496">
        <v>90.07611</v>
      </c>
      <c r="M6496">
        <v>-6.9691789999999903E-4</v>
      </c>
      <c r="N6496">
        <v>0</v>
      </c>
      <c r="O6496">
        <v>0.99993969999999999</v>
      </c>
      <c r="P6496">
        <v>-1.2042280000000001E-2</v>
      </c>
      <c r="Q6496">
        <v>-2.3095439999999998E-2</v>
      </c>
      <c r="R6496">
        <v>0.99966069999999996</v>
      </c>
      <c r="S6496">
        <v>-0.3780212</v>
      </c>
      <c r="T6496">
        <v>-0.31352930000000001</v>
      </c>
      <c r="U6496">
        <v>2.9892270000000001</v>
      </c>
      <c r="V6496">
        <v>-1.134604E-2</v>
      </c>
      <c r="W6496">
        <v>-1.2139209999999999E-2</v>
      </c>
      <c r="X6496">
        <v>0.99986200000000003</v>
      </c>
      <c r="Y6496">
        <v>-0.1240966</v>
      </c>
      <c r="Z6496">
        <v>-0.10350330000000001</v>
      </c>
      <c r="AA6496">
        <v>0.98685719999999999</v>
      </c>
      <c r="AB6496">
        <v>25</v>
      </c>
      <c r="AC6496">
        <v>-1.3384</v>
      </c>
      <c r="AD6496">
        <v>-1.1102452622929999</v>
      </c>
      <c r="AE6496">
        <v>10.333789999999899</v>
      </c>
      <c r="AF6496">
        <v>-1.31625457692392</v>
      </c>
      <c r="AG6496">
        <v>-1.1102452622929999</v>
      </c>
      <c r="AH6496">
        <v>10.2187117382938</v>
      </c>
      <c r="AI6496">
        <v>96.150346458904394</v>
      </c>
      <c r="AJ6496">
        <v>97.339755581045694</v>
      </c>
      <c r="AK6496">
        <v>10.3627814916682</v>
      </c>
      <c r="AL6496">
        <v>90.695542543928099</v>
      </c>
      <c r="AM6496">
        <v>90.650142024730698</v>
      </c>
      <c r="AN6496">
        <v>1.00000005604355</v>
      </c>
    </row>
    <row r="6497" spans="1:40" x14ac:dyDescent="0.3">
      <c r="A6497" t="str">
        <f>"20200111160637931"</f>
        <v>20200111160637931</v>
      </c>
      <c r="B6497" t="str">
        <f>"1578729997929048"</f>
        <v>1578729997929048</v>
      </c>
      <c r="C6497" t="s">
        <v>40</v>
      </c>
      <c r="D6497">
        <v>5.6073709999999997</v>
      </c>
      <c r="E6497">
        <v>0.45963179999999998</v>
      </c>
      <c r="F6497" t="s">
        <v>41</v>
      </c>
      <c r="G6497">
        <v>-193.38910000000001</v>
      </c>
      <c r="H6497" s="1">
        <v>-1.2999409999999999E-6</v>
      </c>
      <c r="I6497">
        <v>100.51730000000001</v>
      </c>
      <c r="J6497">
        <v>-192.08260000000001</v>
      </c>
      <c r="K6497">
        <v>1.110276</v>
      </c>
      <c r="L6497">
        <v>90.314819999999997</v>
      </c>
      <c r="M6497">
        <v>-6.9699910000000005E-4</v>
      </c>
      <c r="N6497">
        <v>0</v>
      </c>
      <c r="O6497">
        <v>0.9999363</v>
      </c>
      <c r="P6497">
        <v>-1.1896459999999999E-2</v>
      </c>
      <c r="Q6497">
        <v>-2.2841190000000001E-2</v>
      </c>
      <c r="R6497">
        <v>0.99966829999999995</v>
      </c>
      <c r="S6497">
        <v>-0.37408449999999999</v>
      </c>
      <c r="T6497">
        <v>-0.3178474</v>
      </c>
      <c r="U6497">
        <v>2.989166</v>
      </c>
      <c r="V6497">
        <v>-1.120022E-2</v>
      </c>
      <c r="W6497">
        <v>-1.158091E-2</v>
      </c>
      <c r="X6497">
        <v>0.99987020000000004</v>
      </c>
      <c r="Y6497">
        <v>-0.1228009</v>
      </c>
      <c r="Z6497">
        <v>-0.1049322</v>
      </c>
      <c r="AA6497">
        <v>0.98686839999999998</v>
      </c>
      <c r="AB6497">
        <v>25</v>
      </c>
      <c r="AC6497">
        <v>-1.30649999999999</v>
      </c>
      <c r="AD6497">
        <v>-1.110277299941</v>
      </c>
      <c r="AE6497">
        <v>10.20248</v>
      </c>
      <c r="AF6497">
        <v>-1.28442247361205</v>
      </c>
      <c r="AG6497">
        <v>-1.110277299941</v>
      </c>
      <c r="AH6497">
        <v>10.085871189349399</v>
      </c>
      <c r="AI6497">
        <v>96.232034828438898</v>
      </c>
      <c r="AJ6497">
        <v>97.257477483541393</v>
      </c>
      <c r="AK6497">
        <v>10.2277687899968</v>
      </c>
      <c r="AL6497">
        <v>90.663552105690499</v>
      </c>
      <c r="AM6497">
        <v>90.641781800219306</v>
      </c>
      <c r="AN6497">
        <v>0.99999998962625802</v>
      </c>
    </row>
    <row r="6498" spans="1:40" x14ac:dyDescent="0.3">
      <c r="A6498" t="str">
        <f>"20200111160637953"</f>
        <v>20200111160637953</v>
      </c>
      <c r="B6498" t="str">
        <f>"1578729997949544"</f>
        <v>1578729997949544</v>
      </c>
      <c r="C6498" t="s">
        <v>40</v>
      </c>
      <c r="D6498">
        <v>5.6128939999999998</v>
      </c>
      <c r="E6498">
        <v>0.4596343</v>
      </c>
      <c r="F6498" t="s">
        <v>41</v>
      </c>
      <c r="G6498">
        <v>-193.3869</v>
      </c>
      <c r="H6498" s="1">
        <v>-1.393029E-6</v>
      </c>
      <c r="I6498">
        <v>100.73560000000001</v>
      </c>
      <c r="J6498">
        <v>-192.08269999999999</v>
      </c>
      <c r="K6498">
        <v>1.110301</v>
      </c>
      <c r="L6498">
        <v>90.558170000000004</v>
      </c>
      <c r="M6498">
        <v>-6.9710819999999995E-4</v>
      </c>
      <c r="N6498">
        <v>0</v>
      </c>
      <c r="O6498">
        <v>0.99993310000000002</v>
      </c>
      <c r="P6498">
        <v>-1.136333E-2</v>
      </c>
      <c r="Q6498">
        <v>-2.328734E-2</v>
      </c>
      <c r="R6498">
        <v>0.9996642</v>
      </c>
      <c r="S6498">
        <v>-0.37416080000000002</v>
      </c>
      <c r="T6498">
        <v>-0.3184881</v>
      </c>
      <c r="U6498">
        <v>2.989258</v>
      </c>
      <c r="V6498">
        <v>-1.066669E-2</v>
      </c>
      <c r="W6498">
        <v>-1.173748E-2</v>
      </c>
      <c r="X6498">
        <v>0.99987420000000005</v>
      </c>
      <c r="Y6498">
        <v>-0.1228192</v>
      </c>
      <c r="Z6498">
        <v>-0.10513790000000001</v>
      </c>
      <c r="AA6498">
        <v>0.98684419999999995</v>
      </c>
      <c r="AB6498">
        <v>25</v>
      </c>
      <c r="AC6498">
        <v>-1.3042</v>
      </c>
      <c r="AD6498">
        <v>-1.1103023930289999</v>
      </c>
      <c r="AE6498">
        <v>10.177429999999999</v>
      </c>
      <c r="AF6498">
        <v>-1.2820919873121499</v>
      </c>
      <c r="AG6498">
        <v>-1.1103023930289999</v>
      </c>
      <c r="AH6498">
        <v>10.060534521636599</v>
      </c>
      <c r="AI6498">
        <v>96.247676635377204</v>
      </c>
      <c r="AJ6498">
        <v>97.262499393659496</v>
      </c>
      <c r="AK6498">
        <v>10.202494113153801</v>
      </c>
      <c r="AL6498">
        <v>90.672523521404997</v>
      </c>
      <c r="AM6498">
        <v>90.611210025575005</v>
      </c>
      <c r="AN6498">
        <v>0.99999998126897305</v>
      </c>
    </row>
    <row r="6499" spans="1:40" x14ac:dyDescent="0.3">
      <c r="A6499" t="str">
        <f>"20200111160637975"</f>
        <v>20200111160637975</v>
      </c>
      <c r="B6499" t="str">
        <f>"1578729997959304"</f>
        <v>1578729997959304</v>
      </c>
      <c r="C6499" t="s">
        <v>40</v>
      </c>
      <c r="D6499">
        <v>5.650544</v>
      </c>
      <c r="E6499">
        <v>0.45958209999999999</v>
      </c>
      <c r="F6499" t="s">
        <v>41</v>
      </c>
      <c r="G6499">
        <v>-193.3733</v>
      </c>
      <c r="H6499" s="1">
        <v>-1.4644999999999999E-6</v>
      </c>
      <c r="I6499">
        <v>100.91070000000001</v>
      </c>
      <c r="J6499">
        <v>-192.0829</v>
      </c>
      <c r="K6499">
        <v>1.1103179999999999</v>
      </c>
      <c r="L6499">
        <v>90.819699999999997</v>
      </c>
      <c r="M6499">
        <v>-6.9719330000000003E-4</v>
      </c>
      <c r="N6499">
        <v>0</v>
      </c>
      <c r="O6499">
        <v>0.99992959999999997</v>
      </c>
      <c r="P6499">
        <v>-1.140912E-2</v>
      </c>
      <c r="Q6499">
        <v>-2.4485679999999999E-2</v>
      </c>
      <c r="R6499">
        <v>0.9996351</v>
      </c>
      <c r="S6499">
        <v>-0.37265009999999998</v>
      </c>
      <c r="T6499">
        <v>-0.3206022</v>
      </c>
      <c r="U6499">
        <v>2.9893190000000001</v>
      </c>
      <c r="V6499">
        <v>-1.071282E-2</v>
      </c>
      <c r="W6499">
        <v>-1.264436E-2</v>
      </c>
      <c r="X6499">
        <v>0.99986269999999999</v>
      </c>
      <c r="Y6499">
        <v>-0.12231649999999999</v>
      </c>
      <c r="Z6499">
        <v>-0.10583239999999899</v>
      </c>
      <c r="AA6499">
        <v>0.98683240000000005</v>
      </c>
      <c r="AB6499">
        <v>25</v>
      </c>
      <c r="AC6499">
        <v>-1.2904</v>
      </c>
      <c r="AD6499">
        <v>-1.1103194645000001</v>
      </c>
      <c r="AE6499">
        <v>10.090999999999999</v>
      </c>
      <c r="AF6499">
        <v>-1.2682563967017899</v>
      </c>
      <c r="AG6499">
        <v>-1.1103194645000001</v>
      </c>
      <c r="AH6499">
        <v>9.9730981306444999</v>
      </c>
      <c r="AI6499">
        <v>96.302320179028598</v>
      </c>
      <c r="AJ6499">
        <v>97.247275356088807</v>
      </c>
      <c r="AK6499">
        <v>10.114542497042899</v>
      </c>
      <c r="AL6499">
        <v>90.724487745787002</v>
      </c>
      <c r="AM6499">
        <v>90.613860170057904</v>
      </c>
      <c r="AN6499">
        <v>1.0000000316017199</v>
      </c>
    </row>
    <row r="6500" spans="1:40" x14ac:dyDescent="0.3">
      <c r="A6500" t="str">
        <f>"20200111160638000"</f>
        <v>20200111160638000</v>
      </c>
      <c r="B6500" t="str">
        <f>"1578729997959304"</f>
        <v>1578729997959304</v>
      </c>
      <c r="C6500" t="s">
        <v>40</v>
      </c>
      <c r="D6500">
        <v>5.650544</v>
      </c>
      <c r="E6500">
        <v>0.45958209999999999</v>
      </c>
      <c r="F6500" t="s">
        <v>41</v>
      </c>
      <c r="G6500">
        <v>-193.35849999999999</v>
      </c>
      <c r="H6500" s="1">
        <v>-1.5124009999999999E-6</v>
      </c>
      <c r="I6500">
        <v>101.03149999999999</v>
      </c>
      <c r="J6500">
        <v>-192.0831</v>
      </c>
      <c r="K6500">
        <v>1.1103339999999999</v>
      </c>
      <c r="L6500">
        <v>91.086029999999994</v>
      </c>
      <c r="M6500">
        <v>-6.9722600000000001E-4</v>
      </c>
      <c r="N6500">
        <v>0</v>
      </c>
      <c r="O6500">
        <v>0.99992639999999999</v>
      </c>
      <c r="P6500">
        <v>-1.1213849999999999E-2</v>
      </c>
      <c r="Q6500">
        <v>-2.5567079999999999E-2</v>
      </c>
      <c r="R6500">
        <v>0.9996102</v>
      </c>
      <c r="S6500">
        <v>-0.37336730000000001</v>
      </c>
      <c r="T6500">
        <v>-0.32497930000000003</v>
      </c>
      <c r="U6500">
        <v>2.9888919999999999</v>
      </c>
      <c r="V6500">
        <v>-1.0517230000000001E-2</v>
      </c>
      <c r="W6500">
        <v>-1.345556E-2</v>
      </c>
      <c r="X6500">
        <v>0.99985409999999997</v>
      </c>
      <c r="Y6500">
        <v>-0.1225478</v>
      </c>
      <c r="Z6500">
        <v>-0.1072726</v>
      </c>
      <c r="AA6500">
        <v>0.98664819999999998</v>
      </c>
      <c r="AB6500">
        <v>25</v>
      </c>
      <c r="AC6500">
        <v>-1.2753999999999901</v>
      </c>
      <c r="AD6500">
        <v>-1.1103355124009999</v>
      </c>
      <c r="AE6500">
        <v>9.9454699999999807</v>
      </c>
      <c r="AF6500">
        <v>-1.2530989985518499</v>
      </c>
      <c r="AG6500">
        <v>-1.1103355124009999</v>
      </c>
      <c r="AH6500">
        <v>9.8258686187738409</v>
      </c>
      <c r="AI6500">
        <v>96.395779693620995</v>
      </c>
      <c r="AJ6500">
        <v>97.267734093851999</v>
      </c>
      <c r="AK6500">
        <v>9.9674869532733794</v>
      </c>
      <c r="AL6500">
        <v>90.770970108606804</v>
      </c>
      <c r="AM6500">
        <v>90.602658596021001</v>
      </c>
      <c r="AN6500">
        <v>0.99999994275429605</v>
      </c>
    </row>
    <row r="6501" spans="1:40" x14ac:dyDescent="0.3">
      <c r="A6501" t="str">
        <f>"20200111160638021"</f>
        <v>20200111160638021</v>
      </c>
      <c r="B6501" t="str">
        <f>"1578729997959304"</f>
        <v>1578729997959304</v>
      </c>
      <c r="C6501" t="s">
        <v>40</v>
      </c>
      <c r="D6501">
        <v>5.650544</v>
      </c>
      <c r="E6501">
        <v>0.45958209999999999</v>
      </c>
      <c r="F6501" t="s">
        <v>41</v>
      </c>
      <c r="G6501">
        <v>-193.34289999999999</v>
      </c>
      <c r="H6501" s="1">
        <v>-1.575845E-6</v>
      </c>
      <c r="I6501">
        <v>101.1891</v>
      </c>
      <c r="J6501">
        <v>-192.08320000000001</v>
      </c>
      <c r="K6501">
        <v>1.110344</v>
      </c>
      <c r="L6501">
        <v>91.328460000000007</v>
      </c>
      <c r="M6501">
        <v>-6.9724130000000002E-4</v>
      </c>
      <c r="N6501">
        <v>0</v>
      </c>
      <c r="O6501">
        <v>0.99992369999999997</v>
      </c>
      <c r="P6501">
        <v>-1.0914E-2</v>
      </c>
      <c r="Q6501">
        <v>-2.6869179999999999E-2</v>
      </c>
      <c r="R6501">
        <v>0.99957940000000001</v>
      </c>
      <c r="S6501">
        <v>-0.37268069999999998</v>
      </c>
      <c r="T6501">
        <v>-0.3284492</v>
      </c>
      <c r="U6501">
        <v>2.9885860000000002</v>
      </c>
      <c r="V6501">
        <v>-1.021766E-2</v>
      </c>
      <c r="W6501">
        <v>-1.453959E-2</v>
      </c>
      <c r="X6501">
        <v>0.99984209999999996</v>
      </c>
      <c r="Y6501">
        <v>-0.1223215</v>
      </c>
      <c r="Z6501">
        <v>-0.1084184</v>
      </c>
      <c r="AA6501">
        <v>0.98655099999999996</v>
      </c>
      <c r="AB6501">
        <v>25</v>
      </c>
      <c r="AC6501">
        <v>-1.2596999999999801</v>
      </c>
      <c r="AD6501">
        <v>-1.110345575845</v>
      </c>
      <c r="AE6501">
        <v>9.8606400000000001</v>
      </c>
      <c r="AF6501">
        <v>-1.2373862860449401</v>
      </c>
      <c r="AG6501">
        <v>-1.110345575845</v>
      </c>
      <c r="AH6501">
        <v>9.73999968538598</v>
      </c>
      <c r="AI6501">
        <v>96.452141980902596</v>
      </c>
      <c r="AJ6501">
        <v>97.240169318890693</v>
      </c>
      <c r="AK6501">
        <v>9.8808696980584401</v>
      </c>
      <c r="AL6501">
        <v>90.833086486486707</v>
      </c>
      <c r="AM6501">
        <v>90.585500866893597</v>
      </c>
      <c r="AN6501">
        <v>1.0000000125928199</v>
      </c>
    </row>
    <row r="6502" spans="1:40" x14ac:dyDescent="0.3">
      <c r="A6502" t="str">
        <f>"20200111160638043"</f>
        <v>20200111160638043</v>
      </c>
      <c r="B6502" t="str">
        <f>"1578729997959304"</f>
        <v>1578729997959304</v>
      </c>
      <c r="C6502" t="s">
        <v>40</v>
      </c>
      <c r="D6502">
        <v>5.650544</v>
      </c>
      <c r="E6502">
        <v>0.45958209999999999</v>
      </c>
      <c r="F6502" t="s">
        <v>41</v>
      </c>
      <c r="G6502">
        <v>-193.32329999999999</v>
      </c>
      <c r="H6502" s="1">
        <v>-1.620085E-6</v>
      </c>
      <c r="I6502">
        <v>101.3043</v>
      </c>
      <c r="J6502">
        <v>-192.08340000000001</v>
      </c>
      <c r="K6502">
        <v>1.1103449999999999</v>
      </c>
      <c r="L6502">
        <v>91.563450000000003</v>
      </c>
      <c r="M6502">
        <v>-6.9727410000000004E-4</v>
      </c>
      <c r="N6502">
        <v>0</v>
      </c>
      <c r="O6502">
        <v>0.99992139999999996</v>
      </c>
      <c r="P6502">
        <v>-1.0306930000000001E-2</v>
      </c>
      <c r="Q6502">
        <v>-2.8438370000000001E-2</v>
      </c>
      <c r="R6502">
        <v>0.99954240000000005</v>
      </c>
      <c r="S6502">
        <v>-0.37147520000000001</v>
      </c>
      <c r="T6502">
        <v>-0.33260479999999998</v>
      </c>
      <c r="U6502">
        <v>2.9882810000000002</v>
      </c>
      <c r="V6502">
        <v>-9.6105440000000004E-3</v>
      </c>
      <c r="W6502">
        <v>-1.5921669999999999E-2</v>
      </c>
      <c r="X6502">
        <v>0.99982700000000002</v>
      </c>
      <c r="Y6502">
        <v>-0.1219234</v>
      </c>
      <c r="Z6502">
        <v>-0.109789899999999</v>
      </c>
      <c r="AA6502">
        <v>0.98644860000000001</v>
      </c>
      <c r="AB6502">
        <v>25</v>
      </c>
      <c r="AC6502">
        <v>-1.23989999999997</v>
      </c>
      <c r="AD6502">
        <v>-1.1103466200849901</v>
      </c>
      <c r="AE6502">
        <v>9.7408499999999894</v>
      </c>
      <c r="AF6502">
        <v>-1.2175393602823901</v>
      </c>
      <c r="AG6502">
        <v>-1.1103466200849901</v>
      </c>
      <c r="AH6502">
        <v>9.6187248218283692</v>
      </c>
      <c r="AI6502">
        <v>96.533172212772101</v>
      </c>
      <c r="AJ6502">
        <v>97.2141404237221</v>
      </c>
      <c r="AK6502">
        <v>9.7588492614973994</v>
      </c>
      <c r="AL6502">
        <v>90.912283089702498</v>
      </c>
      <c r="AM6502">
        <v>90.550721927040499</v>
      </c>
      <c r="AN6502">
        <v>0.99999994603027997</v>
      </c>
    </row>
    <row r="6503" spans="1:40" x14ac:dyDescent="0.3">
      <c r="A6503" t="str">
        <f>"20200111160638066"</f>
        <v>20200111160638066</v>
      </c>
      <c r="B6503" t="str">
        <f>"1578729997959304"</f>
        <v>1578729997959304</v>
      </c>
      <c r="C6503" t="s">
        <v>40</v>
      </c>
      <c r="D6503">
        <v>5.650544</v>
      </c>
      <c r="E6503">
        <v>0.45958209999999999</v>
      </c>
      <c r="F6503" t="s">
        <v>41</v>
      </c>
      <c r="G6503">
        <v>-193.30090000000001</v>
      </c>
      <c r="H6503" s="1">
        <v>-1.6560629999999999E-6</v>
      </c>
      <c r="I6503">
        <v>101.4021</v>
      </c>
      <c r="J6503">
        <v>-192.08359999999999</v>
      </c>
      <c r="K6503">
        <v>1.110339</v>
      </c>
      <c r="L6503">
        <v>91.830690000000004</v>
      </c>
      <c r="M6503">
        <v>-6.9734780000000002E-4</v>
      </c>
      <c r="N6503">
        <v>0</v>
      </c>
      <c r="O6503">
        <v>0.999919</v>
      </c>
      <c r="P6503">
        <v>-1.0663519999999999E-2</v>
      </c>
      <c r="Q6503">
        <v>-2.9794049999999999E-2</v>
      </c>
      <c r="R6503">
        <v>0.99949920000000003</v>
      </c>
      <c r="S6503">
        <v>-0.369751</v>
      </c>
      <c r="T6503">
        <v>-0.33720860000000002</v>
      </c>
      <c r="U6503">
        <v>2.9879760000000002</v>
      </c>
      <c r="V6503">
        <v>-9.9669609999999999E-3</v>
      </c>
      <c r="W6503">
        <v>-1.709084E-2</v>
      </c>
      <c r="X6503">
        <v>0.99980429999999998</v>
      </c>
      <c r="Y6503">
        <v>-0.1213543</v>
      </c>
      <c r="Z6503">
        <v>-0.1113097</v>
      </c>
      <c r="AA6503">
        <v>0.98634849999999996</v>
      </c>
      <c r="AB6503">
        <v>25</v>
      </c>
      <c r="AC6503">
        <v>-1.21730000000002</v>
      </c>
      <c r="AD6503">
        <v>-1.110340656063</v>
      </c>
      <c r="AE6503">
        <v>9.5714100000000002</v>
      </c>
      <c r="AF6503">
        <v>-1.1948015953364</v>
      </c>
      <c r="AG6503">
        <v>-1.110340656063</v>
      </c>
      <c r="AH6503">
        <v>9.4471463995282505</v>
      </c>
      <c r="AI6503">
        <v>96.650826770906704</v>
      </c>
      <c r="AJ6503">
        <v>97.208055618515203</v>
      </c>
      <c r="AK6503">
        <v>9.5869172479397307</v>
      </c>
      <c r="AL6503">
        <v>90.979280641473594</v>
      </c>
      <c r="AM6503">
        <v>90.571157659231403</v>
      </c>
      <c r="AN6503">
        <v>1.0000000377109799</v>
      </c>
    </row>
    <row r="6504" spans="1:40" x14ac:dyDescent="0.3">
      <c r="A6504" t="str">
        <f>"20200111160638089"</f>
        <v>20200111160638089</v>
      </c>
      <c r="B6504" t="str">
        <f>"1578729998079352"</f>
        <v>1578729998079352</v>
      </c>
      <c r="C6504" t="s">
        <v>40</v>
      </c>
      <c r="D6504">
        <v>6.842892</v>
      </c>
      <c r="E6504">
        <v>0.45955170000000001</v>
      </c>
      <c r="F6504" t="s">
        <v>41</v>
      </c>
      <c r="G6504">
        <v>-193.29079999999999</v>
      </c>
      <c r="H6504" s="1">
        <v>-1.718373E-6</v>
      </c>
      <c r="I6504">
        <v>101.5536</v>
      </c>
      <c r="J6504">
        <v>-192.08369999999999</v>
      </c>
      <c r="K6504">
        <v>1.1103400000000001</v>
      </c>
      <c r="L6504">
        <v>92.078670000000002</v>
      </c>
      <c r="M6504">
        <v>-6.9742610000000005E-4</v>
      </c>
      <c r="N6504">
        <v>0</v>
      </c>
      <c r="O6504">
        <v>0.9999171</v>
      </c>
      <c r="P6504">
        <v>-1.1108089999999999E-2</v>
      </c>
      <c r="Q6504">
        <v>-3.0533859999999999E-2</v>
      </c>
      <c r="R6504">
        <v>0.99947200000000003</v>
      </c>
      <c r="S6504">
        <v>-0.37092589999999998</v>
      </c>
      <c r="T6504">
        <v>-0.34115129999999999</v>
      </c>
      <c r="U6504">
        <v>2.9873660000000002</v>
      </c>
      <c r="V6504">
        <v>-1.041166E-2</v>
      </c>
      <c r="W6504">
        <v>-1.7679540000000001E-2</v>
      </c>
      <c r="X6504">
        <v>0.9997895</v>
      </c>
      <c r="Y6504">
        <v>-0.1217427</v>
      </c>
      <c r="Z6504">
        <v>-0.1126118</v>
      </c>
      <c r="AA6504">
        <v>0.98615280000000005</v>
      </c>
      <c r="AB6504">
        <v>25</v>
      </c>
      <c r="AC6504">
        <v>-1.2070999999999901</v>
      </c>
      <c r="AD6504">
        <v>-1.11034171837299</v>
      </c>
      <c r="AE6504">
        <v>9.4749300000000094</v>
      </c>
      <c r="AF6504">
        <v>-1.1844845214867299</v>
      </c>
      <c r="AG6504">
        <v>-1.11034171837299</v>
      </c>
      <c r="AH6504">
        <v>9.3494258180715093</v>
      </c>
      <c r="AI6504">
        <v>96.719534243037401</v>
      </c>
      <c r="AJ6504">
        <v>97.220371380361698</v>
      </c>
      <c r="AK6504">
        <v>9.4893427296532593</v>
      </c>
      <c r="AL6504">
        <v>91.013015796172198</v>
      </c>
      <c r="AM6504">
        <v>90.596648206838694</v>
      </c>
      <c r="AN6504">
        <v>1.0000000065543999</v>
      </c>
    </row>
    <row r="6505" spans="1:40" x14ac:dyDescent="0.3">
      <c r="A6505" t="str">
        <f>"20200111160639216"</f>
        <v>20200111160639216</v>
      </c>
      <c r="B6505" t="str">
        <f>"1578729999209483"</f>
        <v>1578729999209483</v>
      </c>
      <c r="C6505" t="s">
        <v>40</v>
      </c>
      <c r="D6505">
        <v>5.8475570000000001</v>
      </c>
      <c r="E6505">
        <v>0.53774519999999904</v>
      </c>
      <c r="F6505" t="s">
        <v>41</v>
      </c>
      <c r="G6505">
        <v>-193.291</v>
      </c>
      <c r="H6505" s="1">
        <v>-1.80469E-6</v>
      </c>
      <c r="I6505">
        <v>101.7547</v>
      </c>
      <c r="J6505">
        <v>-192.08760000000001</v>
      </c>
      <c r="K6505">
        <v>1.110006</v>
      </c>
      <c r="L6505">
        <v>104.2148</v>
      </c>
      <c r="M6505">
        <v>1.78608E-3</v>
      </c>
      <c r="N6505">
        <v>0</v>
      </c>
      <c r="O6505">
        <v>0.99990400000000002</v>
      </c>
      <c r="P6505">
        <v>-8.2027130000000001E-4</v>
      </c>
      <c r="Q6505">
        <v>-4.7981990000000002E-2</v>
      </c>
      <c r="R6505">
        <v>0.99884779999999995</v>
      </c>
      <c r="S6505">
        <v>-0.37269590000000002</v>
      </c>
      <c r="T6505">
        <v>-0.34276079999999998</v>
      </c>
      <c r="U6505">
        <v>2.9869690000000002</v>
      </c>
      <c r="V6505">
        <v>-2.6328020000000001E-3</v>
      </c>
      <c r="W6505">
        <v>-3.4249990000000001E-2</v>
      </c>
      <c r="X6505">
        <v>0.99940989999999996</v>
      </c>
      <c r="Y6505">
        <v>-0.12479129999999999</v>
      </c>
      <c r="Z6505">
        <v>-0.11312510000000001</v>
      </c>
      <c r="AA6505">
        <v>0.9857129</v>
      </c>
      <c r="AB6505">
        <v>23</v>
      </c>
      <c r="AC6505">
        <v>-1.20339999999998</v>
      </c>
      <c r="AD6505">
        <v>-1.1100078046899999</v>
      </c>
      <c r="AE6505">
        <v>-2.46009999999999</v>
      </c>
      <c r="AF6505">
        <v>-1.02982727189048</v>
      </c>
      <c r="AG6505">
        <v>-1.1100078046899999</v>
      </c>
      <c r="AH6505">
        <v>-2.1148288816944998</v>
      </c>
      <c r="AI6505">
        <v>115.262315965554</v>
      </c>
      <c r="AJ6505">
        <v>-115.964015006903</v>
      </c>
      <c r="AK6505">
        <v>2.6009926442132301</v>
      </c>
      <c r="AL6505">
        <v>91.962763604422307</v>
      </c>
      <c r="AM6505">
        <v>90.150937161959902</v>
      </c>
      <c r="AN6505">
        <v>1.0000000708396799</v>
      </c>
    </row>
    <row r="6506" spans="1:40" x14ac:dyDescent="0.3">
      <c r="A6506" t="str">
        <f>"20200111160639237"</f>
        <v>20200111160639237</v>
      </c>
      <c r="B6506" t="str">
        <f>"1578729999229979"</f>
        <v>1578729999229979</v>
      </c>
      <c r="C6506" t="s">
        <v>40</v>
      </c>
      <c r="D6506">
        <v>5.7857580000000004</v>
      </c>
      <c r="E6506">
        <v>0.54611999999999905</v>
      </c>
      <c r="F6506" t="s">
        <v>42</v>
      </c>
      <c r="G6506">
        <v>-192.01400000000001</v>
      </c>
      <c r="H6506">
        <v>0.98823510000000003</v>
      </c>
      <c r="I6506">
        <v>104.9996</v>
      </c>
      <c r="J6506">
        <v>-192.0866</v>
      </c>
      <c r="K6506">
        <v>1.109891</v>
      </c>
      <c r="L6506">
        <v>104.44459999999999</v>
      </c>
      <c r="M6506">
        <v>2.424332E-3</v>
      </c>
      <c r="N6506">
        <v>0</v>
      </c>
      <c r="O6506">
        <v>0.99990270000000003</v>
      </c>
      <c r="P6506">
        <v>-1.720826E-3</v>
      </c>
      <c r="Q6506">
        <v>-5.2591239999999997E-2</v>
      </c>
      <c r="R6506">
        <v>0.99861469999999997</v>
      </c>
      <c r="S6506">
        <v>0.27893069999999998</v>
      </c>
      <c r="T6506">
        <v>-0.46252140000000003</v>
      </c>
      <c r="U6506">
        <v>2.9814609999999999</v>
      </c>
      <c r="V6506">
        <v>-4.1832809999999996E-3</v>
      </c>
      <c r="W6506">
        <v>-3.8860970000000002E-2</v>
      </c>
      <c r="X6506">
        <v>0.99923589999999995</v>
      </c>
      <c r="Y6506">
        <v>8.9642180000000002E-2</v>
      </c>
      <c r="Z6506">
        <v>-0.1526641</v>
      </c>
      <c r="AA6506">
        <v>0.98420419999999997</v>
      </c>
      <c r="AB6506">
        <v>23</v>
      </c>
      <c r="AC6506">
        <v>7.2599999999994197E-2</v>
      </c>
      <c r="AD6506">
        <v>-0.121655899999999</v>
      </c>
      <c r="AE6506">
        <v>0.55500000000000604</v>
      </c>
      <c r="AF6506">
        <v>6.8039934471523594E-2</v>
      </c>
      <c r="AG6506">
        <v>-0.121655899999999</v>
      </c>
      <c r="AH6506">
        <v>0.53013089610518804</v>
      </c>
      <c r="AI6506">
        <v>102.822950752784</v>
      </c>
      <c r="AJ6506">
        <v>82.686325873995699</v>
      </c>
      <c r="AK6506">
        <v>0.54814994088569302</v>
      </c>
      <c r="AL6506">
        <v>92.2271303028799</v>
      </c>
      <c r="AM6506">
        <v>90.239866227331206</v>
      </c>
      <c r="AN6506">
        <v>1.0000000293390301</v>
      </c>
    </row>
    <row r="6507" spans="1:40" x14ac:dyDescent="0.3">
      <c r="A6507" t="str">
        <f>"20200111160639483"</f>
        <v>20200111160639483</v>
      </c>
      <c r="B6507" t="str">
        <f>"1578729999479203"</f>
        <v>1578729999479203</v>
      </c>
      <c r="C6507" t="s">
        <v>40</v>
      </c>
      <c r="D6507">
        <v>5.6320430000000004</v>
      </c>
      <c r="E6507">
        <v>0.53971759999999902</v>
      </c>
      <c r="F6507" t="s">
        <v>42</v>
      </c>
      <c r="G6507">
        <v>-191.94200000000001</v>
      </c>
      <c r="H6507">
        <v>0.99857370000000001</v>
      </c>
      <c r="I6507">
        <v>107.4834</v>
      </c>
      <c r="J6507">
        <v>-192.03649999999999</v>
      </c>
      <c r="K6507">
        <v>1.1083050000000001</v>
      </c>
      <c r="L6507">
        <v>106.9735</v>
      </c>
      <c r="M6507">
        <v>2.4640229999999999E-2</v>
      </c>
      <c r="N6507">
        <v>0</v>
      </c>
      <c r="O6507">
        <v>0.99960150000000003</v>
      </c>
      <c r="P6507">
        <v>3.0635840000000001E-2</v>
      </c>
      <c r="Q6507">
        <v>-5.2279609999999997E-2</v>
      </c>
      <c r="R6507">
        <v>0.99816240000000001</v>
      </c>
      <c r="S6507">
        <v>0.42216490000000001</v>
      </c>
      <c r="T6507">
        <v>-0.45332090000000003</v>
      </c>
      <c r="U6507">
        <v>2.9698329999999999</v>
      </c>
      <c r="V6507">
        <v>5.8378909999999996E-3</v>
      </c>
      <c r="W6507">
        <v>-3.8549809999999997E-2</v>
      </c>
      <c r="X6507">
        <v>0.99923960000000001</v>
      </c>
      <c r="Y6507">
        <v>0.114713</v>
      </c>
      <c r="Z6507">
        <v>-0.14959420000000001</v>
      </c>
      <c r="AA6507">
        <v>0.98207049999999996</v>
      </c>
      <c r="AB6507">
        <v>23</v>
      </c>
      <c r="AC6507">
        <v>9.4499999999982195E-2</v>
      </c>
      <c r="AD6507">
        <v>-0.109731299999999</v>
      </c>
      <c r="AE6507">
        <v>0.50990000000000102</v>
      </c>
      <c r="AF6507">
        <v>7.8395967025166893E-2</v>
      </c>
      <c r="AG6507">
        <v>-0.109731299999999</v>
      </c>
      <c r="AH6507">
        <v>0.49012891233167699</v>
      </c>
      <c r="AI6507">
        <v>102.466014899228</v>
      </c>
      <c r="AJ6507">
        <v>80.912533764654896</v>
      </c>
      <c r="AK6507">
        <v>0.50834362054513305</v>
      </c>
      <c r="AL6507">
        <v>92.209288902703406</v>
      </c>
      <c r="AM6507">
        <v>89.665262755824699</v>
      </c>
      <c r="AN6507">
        <v>0.99999997351526104</v>
      </c>
    </row>
    <row r="6508" spans="1:40" x14ac:dyDescent="0.3">
      <c r="A6508" t="str">
        <f>"20200111160639507"</f>
        <v>20200111160639507</v>
      </c>
      <c r="B6508" t="str">
        <f>"1578729999499699"</f>
        <v>1578729999499699</v>
      </c>
      <c r="C6508" t="s">
        <v>40</v>
      </c>
      <c r="D6508">
        <v>5.647335</v>
      </c>
      <c r="E6508">
        <v>0.53641260000000002</v>
      </c>
      <c r="F6508" t="s">
        <v>42</v>
      </c>
      <c r="G6508">
        <v>-191.9409</v>
      </c>
      <c r="H6508">
        <v>1.0094719999999999</v>
      </c>
      <c r="I6508">
        <v>107.694</v>
      </c>
      <c r="J6508">
        <v>-192.0266</v>
      </c>
      <c r="K6508">
        <v>1.1081719999999999</v>
      </c>
      <c r="L6508">
        <v>107.2153</v>
      </c>
      <c r="M6508">
        <v>2.8145389999999999E-2</v>
      </c>
      <c r="N6508">
        <v>0</v>
      </c>
      <c r="O6508">
        <v>0.99950890000000003</v>
      </c>
      <c r="P6508">
        <v>3.3715370000000001E-2</v>
      </c>
      <c r="Q6508">
        <v>-5.2966399999999997E-2</v>
      </c>
      <c r="R6508">
        <v>0.998027</v>
      </c>
      <c r="S6508">
        <v>0.39401249999999999</v>
      </c>
      <c r="T6508">
        <v>-0.40761269999999999</v>
      </c>
      <c r="U6508">
        <v>2.9720759999999999</v>
      </c>
      <c r="V6508">
        <v>5.402291E-3</v>
      </c>
      <c r="W6508">
        <v>-3.922991E-2</v>
      </c>
      <c r="X6508">
        <v>0.99921559999999998</v>
      </c>
      <c r="Y6508">
        <v>0.1022652</v>
      </c>
      <c r="Z6508">
        <v>-0.13486099999999901</v>
      </c>
      <c r="AA6508">
        <v>0.98557309999999998</v>
      </c>
      <c r="AB6508">
        <v>23</v>
      </c>
      <c r="AC6508">
        <v>8.5700000000002705E-2</v>
      </c>
      <c r="AD6508">
        <v>-9.8699999999999996E-2</v>
      </c>
      <c r="AE6508">
        <v>0.47870000000000301</v>
      </c>
      <c r="AF6508">
        <v>6.9335538137741501E-2</v>
      </c>
      <c r="AG6508">
        <v>-9.8699999999999996E-2</v>
      </c>
      <c r="AH6508">
        <v>0.46189645178108801</v>
      </c>
      <c r="AI6508">
        <v>101.932014904711</v>
      </c>
      <c r="AJ6508">
        <v>81.463038885891507</v>
      </c>
      <c r="AK6508">
        <v>0.47738604820083402</v>
      </c>
      <c r="AL6508">
        <v>92.248285221076998</v>
      </c>
      <c r="AM6508">
        <v>89.690231559480495</v>
      </c>
      <c r="AN6508">
        <v>0.99999999293500796</v>
      </c>
    </row>
    <row r="6509" spans="1:40" x14ac:dyDescent="0.3">
      <c r="A6509" t="str">
        <f>"20200111160639528"</f>
        <v>20200111160639528</v>
      </c>
      <c r="B6509" t="str">
        <f>"1578729999519218"</f>
        <v>1578729999519218</v>
      </c>
      <c r="C6509" t="s">
        <v>40</v>
      </c>
      <c r="D6509">
        <v>5.6613040000000003</v>
      </c>
      <c r="E6509">
        <v>0.53380810000000001</v>
      </c>
      <c r="F6509" t="s">
        <v>42</v>
      </c>
      <c r="G6509">
        <v>-191.9145</v>
      </c>
      <c r="H6509">
        <v>0.99598299999999995</v>
      </c>
      <c r="I6509">
        <v>108.09650000000001</v>
      </c>
      <c r="J6509">
        <v>-192.01599999999999</v>
      </c>
      <c r="K6509">
        <v>1.1080460000000001</v>
      </c>
      <c r="L6509">
        <v>107.4462</v>
      </c>
      <c r="M6509">
        <v>3.1700029999999997E-2</v>
      </c>
      <c r="N6509">
        <v>0</v>
      </c>
      <c r="O6509">
        <v>0.99940229999999997</v>
      </c>
      <c r="P6509">
        <v>3.7820630000000001E-2</v>
      </c>
      <c r="Q6509">
        <v>-5.4568100000000001E-2</v>
      </c>
      <c r="R6509">
        <v>0.99779359999999995</v>
      </c>
      <c r="S6509">
        <v>0.3780365</v>
      </c>
      <c r="T6509">
        <v>-0.37847239999999999</v>
      </c>
      <c r="U6509">
        <v>2.973068</v>
      </c>
      <c r="V6509">
        <v>5.9408710000000003E-3</v>
      </c>
      <c r="W6509">
        <v>-4.082997E-2</v>
      </c>
      <c r="X6509">
        <v>0.99914840000000005</v>
      </c>
      <c r="Y6509">
        <v>9.3628970000000006E-2</v>
      </c>
      <c r="Z6509">
        <v>-0.1254131</v>
      </c>
      <c r="AA6509">
        <v>0.98767669999999996</v>
      </c>
      <c r="AB6509">
        <v>23</v>
      </c>
      <c r="AC6509">
        <v>0.101499999999987</v>
      </c>
      <c r="AD6509">
        <v>-0.112062999999999</v>
      </c>
      <c r="AE6509">
        <v>0.65030000000000099</v>
      </c>
      <c r="AF6509">
        <v>7.8555197871810006E-2</v>
      </c>
      <c r="AG6509">
        <v>-0.112062999999999</v>
      </c>
      <c r="AH6509">
        <v>0.63478864182250305</v>
      </c>
      <c r="AI6509">
        <v>99.937336554039206</v>
      </c>
      <c r="AJ6509">
        <v>82.945503152337096</v>
      </c>
      <c r="AK6509">
        <v>0.64937327852979698</v>
      </c>
      <c r="AL6509">
        <v>92.340035550061799</v>
      </c>
      <c r="AM6509">
        <v>89.659327059267895</v>
      </c>
      <c r="AN6509">
        <v>0.99999995281049803</v>
      </c>
    </row>
    <row r="6510" spans="1:40" x14ac:dyDescent="0.3">
      <c r="A6510" t="str">
        <f>"20200111160639571"</f>
        <v>20200111160639571</v>
      </c>
      <c r="B6510" t="str">
        <f>"1578729999568994"</f>
        <v>1578729999568994</v>
      </c>
      <c r="C6510" t="s">
        <v>40</v>
      </c>
      <c r="D6510">
        <v>5.6362839999999998</v>
      </c>
      <c r="E6510">
        <v>0.53232089999999999</v>
      </c>
      <c r="F6510" t="s">
        <v>42</v>
      </c>
      <c r="G6510">
        <v>-191.90899999999999</v>
      </c>
      <c r="H6510">
        <v>1.0025569999999999</v>
      </c>
      <c r="I6510">
        <v>108.30419999999999</v>
      </c>
      <c r="J6510">
        <v>-191.9932</v>
      </c>
      <c r="K6510">
        <v>1.107831</v>
      </c>
      <c r="L6510">
        <v>107.8817</v>
      </c>
      <c r="M6510">
        <v>3.887318E-2</v>
      </c>
      <c r="N6510">
        <v>0</v>
      </c>
      <c r="O6510">
        <v>0.99914879999999995</v>
      </c>
      <c r="P6510">
        <v>4.6873129999999999E-2</v>
      </c>
      <c r="Q6510">
        <v>-5.9245689999999997E-2</v>
      </c>
      <c r="R6510">
        <v>0.99714239999999998</v>
      </c>
      <c r="S6510">
        <v>0.37028499999999998</v>
      </c>
      <c r="T6510">
        <v>-0.36536039999999997</v>
      </c>
      <c r="U6510">
        <v>2.9725950000000001</v>
      </c>
      <c r="V6510">
        <v>7.7967710000000001E-3</v>
      </c>
      <c r="W6510">
        <v>-4.5511419999999997E-2</v>
      </c>
      <c r="X6510">
        <v>0.99893339999999997</v>
      </c>
      <c r="Y6510">
        <v>8.4027649999999995E-2</v>
      </c>
      <c r="Z6510">
        <v>-0.1211778</v>
      </c>
      <c r="AA6510">
        <v>0.9890679</v>
      </c>
      <c r="AB6510">
        <v>23</v>
      </c>
      <c r="AC6510">
        <v>8.4199999999981401E-2</v>
      </c>
      <c r="AD6510">
        <v>-0.10527400000000001</v>
      </c>
      <c r="AE6510">
        <v>0.42249999999999899</v>
      </c>
      <c r="AF6510">
        <v>6.3895430133089695E-2</v>
      </c>
      <c r="AG6510">
        <v>-0.10527400000000001</v>
      </c>
      <c r="AH6510">
        <v>0.40148016573482898</v>
      </c>
      <c r="AI6510">
        <v>104.518157169601</v>
      </c>
      <c r="AJ6510">
        <v>80.957234384274201</v>
      </c>
      <c r="AK6510">
        <v>0.41994233478700199</v>
      </c>
      <c r="AL6510">
        <v>92.608513290625197</v>
      </c>
      <c r="AM6510">
        <v>89.552810026077296</v>
      </c>
      <c r="AN6510">
        <v>1.000000008312</v>
      </c>
    </row>
    <row r="6511" spans="1:40" x14ac:dyDescent="0.3">
      <c r="A6511" t="str">
        <f>"20200111160639739"</f>
        <v>20200111160639739</v>
      </c>
      <c r="B6511" t="str">
        <f>"1578729999729062"</f>
        <v>1578729999729062</v>
      </c>
      <c r="C6511" t="s">
        <v>40</v>
      </c>
      <c r="D6511">
        <v>5.3504019999999999</v>
      </c>
      <c r="E6511">
        <v>0.66531830000000003</v>
      </c>
      <c r="F6511" t="s">
        <v>42</v>
      </c>
      <c r="G6511">
        <v>-191.7636</v>
      </c>
      <c r="H6511">
        <v>1.006046</v>
      </c>
      <c r="I6511">
        <v>109.929</v>
      </c>
      <c r="J6511">
        <v>-191.8622</v>
      </c>
      <c r="K6511">
        <v>1.107022</v>
      </c>
      <c r="L6511">
        <v>109.5855</v>
      </c>
      <c r="M6511">
        <v>7.3905509999999994E-2</v>
      </c>
      <c r="N6511">
        <v>0</v>
      </c>
      <c r="O6511">
        <v>0.99716870000000002</v>
      </c>
      <c r="P6511">
        <v>0.12038459999999999</v>
      </c>
      <c r="Q6511">
        <v>-5.7666820000000001E-2</v>
      </c>
      <c r="R6511">
        <v>0.99105100000000002</v>
      </c>
      <c r="S6511">
        <v>0.52168270000000005</v>
      </c>
      <c r="T6511">
        <v>-0.3767761</v>
      </c>
      <c r="U6511">
        <v>2.946609</v>
      </c>
      <c r="V6511">
        <v>4.645022E-2</v>
      </c>
      <c r="W6511">
        <v>-4.4194999999999998E-2</v>
      </c>
      <c r="X6511">
        <v>0.99794240000000001</v>
      </c>
      <c r="Y6511">
        <v>9.970561E-2</v>
      </c>
      <c r="Z6511">
        <v>-0.12504749999999901</v>
      </c>
      <c r="AA6511">
        <v>0.98712809999999995</v>
      </c>
      <c r="AB6511">
        <v>23</v>
      </c>
      <c r="AC6511">
        <v>9.8600000000004601E-2</v>
      </c>
      <c r="AD6511">
        <v>-0.100975999999999</v>
      </c>
      <c r="AE6511">
        <v>0.34350000000000502</v>
      </c>
      <c r="AF6511">
        <v>6.7548530439080198E-2</v>
      </c>
      <c r="AG6511">
        <v>-0.100975999999999</v>
      </c>
      <c r="AH6511">
        <v>0.32398282313134602</v>
      </c>
      <c r="AI6511">
        <v>106.967464088035</v>
      </c>
      <c r="AJ6511">
        <v>78.222879312051305</v>
      </c>
      <c r="AK6511">
        <v>0.34601130938834401</v>
      </c>
      <c r="AL6511">
        <v>92.533012195543705</v>
      </c>
      <c r="AM6511">
        <v>87.335034510608295</v>
      </c>
      <c r="AN6511">
        <v>0.999999927340401</v>
      </c>
    </row>
    <row r="6512" spans="1:40" x14ac:dyDescent="0.3">
      <c r="A6512" t="str">
        <f>"20200111160639895"</f>
        <v>20200111160639895</v>
      </c>
      <c r="B6512" t="str">
        <f>"1578729999889123"</f>
        <v>1578729999889123</v>
      </c>
      <c r="C6512" t="s">
        <v>40</v>
      </c>
      <c r="D6512">
        <v>5.5117760000000002</v>
      </c>
      <c r="E6512">
        <v>0.653875599999999</v>
      </c>
      <c r="F6512" t="s">
        <v>44</v>
      </c>
      <c r="G6512">
        <v>-160.0232</v>
      </c>
      <c r="H6512">
        <v>-0.05</v>
      </c>
      <c r="I6512">
        <v>162.84960000000001</v>
      </c>
      <c r="J6512">
        <v>-191.67670000000001</v>
      </c>
      <c r="K6512">
        <v>1.1069719999999901</v>
      </c>
      <c r="L6512">
        <v>111.1485</v>
      </c>
      <c r="M6512">
        <v>0.1115691</v>
      </c>
      <c r="N6512">
        <v>0</v>
      </c>
      <c r="O6512">
        <v>0.99365930000000002</v>
      </c>
      <c r="P6512">
        <v>0.21875900000000001</v>
      </c>
      <c r="Q6512">
        <v>-5.8357970000000002E-2</v>
      </c>
      <c r="R6512">
        <v>0.97403229999999996</v>
      </c>
      <c r="S6512">
        <v>1.684982</v>
      </c>
      <c r="T6512">
        <v>-6.1231969999999997E-2</v>
      </c>
      <c r="U6512">
        <v>2.818848</v>
      </c>
      <c r="V6512">
        <v>0.1083426</v>
      </c>
      <c r="W6512">
        <v>-4.543763E-2</v>
      </c>
      <c r="X6512">
        <v>0.99307469999999998</v>
      </c>
      <c r="Y6512">
        <v>0.41400890000000001</v>
      </c>
      <c r="Z6512">
        <v>-1.8976420000000001E-2</v>
      </c>
      <c r="AA6512">
        <v>0.91007499999999997</v>
      </c>
      <c r="AB6512">
        <v>22</v>
      </c>
      <c r="AC6512">
        <v>31.653500000000001</v>
      </c>
      <c r="AD6512">
        <v>-1.1569719999999999</v>
      </c>
      <c r="AE6512">
        <v>51.701099999999997</v>
      </c>
      <c r="AF6512">
        <v>25.6776822141364</v>
      </c>
      <c r="AG6512">
        <v>-1.1569719999999999</v>
      </c>
      <c r="AH6512">
        <v>54.8901515133918</v>
      </c>
      <c r="AI6512">
        <v>91.093768205035005</v>
      </c>
      <c r="AJ6512">
        <v>64.9297475908308</v>
      </c>
      <c r="AK6512">
        <v>60.610318273888602</v>
      </c>
      <c r="AL6512">
        <v>92.604281004259093</v>
      </c>
      <c r="AM6512">
        <v>83.773761659006993</v>
      </c>
      <c r="AN6512">
        <v>1.00000002848743</v>
      </c>
    </row>
    <row r="6513" spans="1:40" x14ac:dyDescent="0.3">
      <c r="A6513" t="str">
        <f>"20200111160639938"</f>
        <v>20200111160639938</v>
      </c>
      <c r="B6513" t="str">
        <f>"1578729999929141"</f>
        <v>1578729999929141</v>
      </c>
      <c r="C6513" t="s">
        <v>40</v>
      </c>
      <c r="D6513">
        <v>5.5694780000000002</v>
      </c>
      <c r="E6513">
        <v>0.62629369999999995</v>
      </c>
      <c r="F6513" t="s">
        <v>75</v>
      </c>
      <c r="G6513">
        <v>-174.8554</v>
      </c>
      <c r="H6513" s="1">
        <v>-4.056408E-6</v>
      </c>
      <c r="I6513">
        <v>135.09889999999999</v>
      </c>
      <c r="J6513">
        <v>-191.61490000000001</v>
      </c>
      <c r="K6513">
        <v>1.1069450000000001</v>
      </c>
      <c r="L6513">
        <v>111.57689999999999</v>
      </c>
      <c r="M6513">
        <v>0.1221662</v>
      </c>
      <c r="N6513">
        <v>0</v>
      </c>
      <c r="O6513">
        <v>0.99241210000000002</v>
      </c>
      <c r="P6513">
        <v>0.2410824</v>
      </c>
      <c r="Q6513">
        <v>-5.7543289999999997E-2</v>
      </c>
      <c r="R6513">
        <v>0.96879720000000002</v>
      </c>
      <c r="S6513">
        <v>1.863998</v>
      </c>
      <c r="T6513">
        <v>-0.12266580000000001</v>
      </c>
      <c r="U6513">
        <v>2.6539760000000001</v>
      </c>
      <c r="V6513">
        <v>0.120545</v>
      </c>
      <c r="W6513">
        <v>-4.474678E-2</v>
      </c>
      <c r="X6513">
        <v>0.99169890000000005</v>
      </c>
      <c r="Y6513">
        <v>0.47003159999999999</v>
      </c>
      <c r="Z6513">
        <v>-3.866642E-2</v>
      </c>
      <c r="AA6513">
        <v>0.88180230000000004</v>
      </c>
      <c r="AB6513">
        <v>22</v>
      </c>
      <c r="AC6513">
        <v>16.759499999999999</v>
      </c>
      <c r="AD6513">
        <v>-1.106949056408</v>
      </c>
      <c r="AE6513">
        <v>23.521999999999899</v>
      </c>
      <c r="AF6513">
        <v>13.7398865448947</v>
      </c>
      <c r="AG6513">
        <v>-1.106949056408</v>
      </c>
      <c r="AH6513">
        <v>25.3561739784321</v>
      </c>
      <c r="AI6513">
        <v>92.198105556406404</v>
      </c>
      <c r="AJ6513">
        <v>61.547826264187997</v>
      </c>
      <c r="AK6513">
        <v>28.860793081697899</v>
      </c>
      <c r="AL6513">
        <v>92.564657882825699</v>
      </c>
      <c r="AM6513">
        <v>83.069467271897807</v>
      </c>
      <c r="AN6513">
        <v>1.00000003980328</v>
      </c>
    </row>
    <row r="6514" spans="1:40" x14ac:dyDescent="0.3">
      <c r="A6514" t="str">
        <f>"20200111160639961"</f>
        <v>20200111160639961</v>
      </c>
      <c r="B6514" t="str">
        <f>"1578729999959395"</f>
        <v>1578729999959395</v>
      </c>
      <c r="C6514" t="s">
        <v>40</v>
      </c>
      <c r="D6514">
        <v>5.5305410000000004</v>
      </c>
      <c r="E6514">
        <v>0.62649030000000006</v>
      </c>
      <c r="F6514" t="s">
        <v>75</v>
      </c>
      <c r="G6514">
        <v>-185.9847</v>
      </c>
      <c r="H6514" s="1">
        <v>-1.298956E-6</v>
      </c>
      <c r="I6514">
        <v>120.4374</v>
      </c>
      <c r="J6514">
        <v>-191.5813</v>
      </c>
      <c r="K6514">
        <v>1.106911</v>
      </c>
      <c r="L6514">
        <v>111.7968</v>
      </c>
      <c r="M6514">
        <v>0.12771189999999999</v>
      </c>
      <c r="N6514">
        <v>0</v>
      </c>
      <c r="O6514">
        <v>0.99171359999999997</v>
      </c>
      <c r="P6514">
        <v>0.25153189999999997</v>
      </c>
      <c r="Q6514">
        <v>-5.7387199999999902E-2</v>
      </c>
      <c r="R6514">
        <v>0.96614619999999996</v>
      </c>
      <c r="S6514">
        <v>1.6882170000000001</v>
      </c>
      <c r="T6514">
        <v>-0.33191540000000003</v>
      </c>
      <c r="U6514">
        <v>2.6567989999999999</v>
      </c>
      <c r="V6514">
        <v>0.12570300000000001</v>
      </c>
      <c r="W6514">
        <v>-4.4649880000000003E-2</v>
      </c>
      <c r="X6514">
        <v>0.99106260000000002</v>
      </c>
      <c r="Y6514">
        <v>0.42105090000000001</v>
      </c>
      <c r="Z6514">
        <v>-0.1069756</v>
      </c>
      <c r="AA6514">
        <v>0.90070659999999902</v>
      </c>
      <c r="AB6514">
        <v>22</v>
      </c>
      <c r="AC6514">
        <v>5.5965999999999898</v>
      </c>
      <c r="AD6514">
        <v>-1.1069122989560001</v>
      </c>
      <c r="AE6514">
        <v>8.6405999999999903</v>
      </c>
      <c r="AF6514">
        <v>4.3963220537151697</v>
      </c>
      <c r="AG6514">
        <v>-1.1069122989560001</v>
      </c>
      <c r="AH6514">
        <v>9.1785397736691401</v>
      </c>
      <c r="AI6514">
        <v>96.207378611162497</v>
      </c>
      <c r="AJ6514">
        <v>64.406586991422699</v>
      </c>
      <c r="AK6514">
        <v>10.2371135978062</v>
      </c>
      <c r="AL6514">
        <v>92.559100555013501</v>
      </c>
      <c r="AM6514">
        <v>82.771397266209306</v>
      </c>
      <c r="AN6514">
        <v>0.99999996655588597</v>
      </c>
    </row>
    <row r="6515" spans="1:40" x14ac:dyDescent="0.3">
      <c r="A6515" t="str">
        <f>"20200111160639985"</f>
        <v>20200111160639985</v>
      </c>
      <c r="B6515" t="str">
        <f>"1578729999978915"</f>
        <v>1578729999978915</v>
      </c>
      <c r="C6515" t="s">
        <v>40</v>
      </c>
      <c r="D6515">
        <v>5.4716339999999999</v>
      </c>
      <c r="E6515">
        <v>0.6268804</v>
      </c>
      <c r="F6515" t="s">
        <v>75</v>
      </c>
      <c r="G6515">
        <v>-185.63489999999999</v>
      </c>
      <c r="H6515" s="1">
        <v>-1.5347690000000001E-6</v>
      </c>
      <c r="I6515">
        <v>120.922</v>
      </c>
      <c r="J6515">
        <v>-191.54480000000001</v>
      </c>
      <c r="K6515">
        <v>1.1068659999999999</v>
      </c>
      <c r="L6515">
        <v>112.0262</v>
      </c>
      <c r="M6515">
        <v>0.1335993</v>
      </c>
      <c r="N6515">
        <v>0</v>
      </c>
      <c r="O6515">
        <v>0.99093770000000003</v>
      </c>
      <c r="P6515">
        <v>0.26256689999999999</v>
      </c>
      <c r="Q6515">
        <v>-5.6828780000000002E-2</v>
      </c>
      <c r="R6515">
        <v>0.96323879999999995</v>
      </c>
      <c r="S6515">
        <v>1.71937599999999</v>
      </c>
      <c r="T6515">
        <v>-0.3200557</v>
      </c>
      <c r="U6515">
        <v>2.6384889999999999</v>
      </c>
      <c r="V6515">
        <v>0.131142799999999</v>
      </c>
      <c r="W6515">
        <v>-4.4157490000000001E-2</v>
      </c>
      <c r="X6515">
        <v>0.99037960000000003</v>
      </c>
      <c r="Y6515">
        <v>0.42621170000000003</v>
      </c>
      <c r="Z6515">
        <v>-0.103239</v>
      </c>
      <c r="AA6515">
        <v>0.89871319999999999</v>
      </c>
      <c r="AB6515">
        <v>22</v>
      </c>
      <c r="AC6515">
        <v>5.9099000000000199</v>
      </c>
      <c r="AD6515">
        <v>-1.10686753476899</v>
      </c>
      <c r="AE6515">
        <v>8.8957999999999995</v>
      </c>
      <c r="AF6515">
        <v>4.6187120637287098</v>
      </c>
      <c r="AG6515">
        <v>-1.10686753476899</v>
      </c>
      <c r="AH6515">
        <v>9.5035932039582693</v>
      </c>
      <c r="AI6515">
        <v>95.980071478185295</v>
      </c>
      <c r="AJ6515">
        <v>64.080415050720703</v>
      </c>
      <c r="AK6515">
        <v>10.6243089494555</v>
      </c>
      <c r="AL6515">
        <v>92.530860657868999</v>
      </c>
      <c r="AM6515">
        <v>82.456964577604495</v>
      </c>
      <c r="AN6515">
        <v>1.00000003500554</v>
      </c>
    </row>
    <row r="6516" spans="1:40" x14ac:dyDescent="0.3">
      <c r="A6516" t="str">
        <f>"20200111160640009"</f>
        <v>20200111160640009</v>
      </c>
      <c r="B6516" t="str">
        <f>"1578729999999412"</f>
        <v>1578729999999412</v>
      </c>
      <c r="C6516" t="s">
        <v>40</v>
      </c>
      <c r="D6516">
        <v>5.935632</v>
      </c>
      <c r="E6516">
        <v>0.59444269999999999</v>
      </c>
      <c r="F6516" t="s">
        <v>75</v>
      </c>
      <c r="G6516">
        <v>-185.28659999999999</v>
      </c>
      <c r="H6516" s="1">
        <v>-1.7601680000000001E-6</v>
      </c>
      <c r="I6516">
        <v>121.37269999999999</v>
      </c>
      <c r="J6516">
        <v>-191.50620000000001</v>
      </c>
      <c r="K6516">
        <v>1.1068169999999999</v>
      </c>
      <c r="L6516">
        <v>112.25839999999999</v>
      </c>
      <c r="M6516">
        <v>0.13968269999999999</v>
      </c>
      <c r="N6516">
        <v>0</v>
      </c>
      <c r="O6516">
        <v>0.99009840000000005</v>
      </c>
      <c r="P6516">
        <v>0.27358979999999999</v>
      </c>
      <c r="Q6516">
        <v>-5.587284E-2</v>
      </c>
      <c r="R6516">
        <v>0.96022229999999997</v>
      </c>
      <c r="S6516">
        <v>1.7531589999999999</v>
      </c>
      <c r="T6516">
        <v>-0.31007790000000002</v>
      </c>
      <c r="U6516">
        <v>2.6183169999999998</v>
      </c>
      <c r="V6516">
        <v>0.1364001</v>
      </c>
      <c r="W6516">
        <v>-4.3268510000000003E-2</v>
      </c>
      <c r="X6516">
        <v>0.98970849999999999</v>
      </c>
      <c r="Y6516">
        <v>0.4320483</v>
      </c>
      <c r="Z6516">
        <v>-0.1000934</v>
      </c>
      <c r="AA6516">
        <v>0.89627869999999998</v>
      </c>
      <c r="AB6516">
        <v>22</v>
      </c>
      <c r="AC6516">
        <v>6.2196000000000096</v>
      </c>
      <c r="AD6516">
        <v>-1.106818760168</v>
      </c>
      <c r="AE6516">
        <v>9.1143000000000001</v>
      </c>
      <c r="AF6516">
        <v>4.8367142056540002</v>
      </c>
      <c r="AG6516">
        <v>-1.106818760168</v>
      </c>
      <c r="AH6516">
        <v>9.7952272550855</v>
      </c>
      <c r="AI6516">
        <v>95.7853035306468</v>
      </c>
      <c r="AJ6516">
        <v>63.720634894275001</v>
      </c>
      <c r="AK6516">
        <v>10.9802244537078</v>
      </c>
      <c r="AL6516">
        <v>92.479877126976405</v>
      </c>
      <c r="AM6516">
        <v>82.153016491251293</v>
      </c>
      <c r="AN6516">
        <v>1.0000000331049299</v>
      </c>
    </row>
    <row r="6517" spans="1:40" x14ac:dyDescent="0.3">
      <c r="A6517" t="str">
        <f>"20200111160640029"</f>
        <v>20200111160640029</v>
      </c>
      <c r="B6517" t="str">
        <f>"1578730000018931"</f>
        <v>1578730000018931</v>
      </c>
      <c r="C6517" t="s">
        <v>40</v>
      </c>
      <c r="D6517">
        <v>5.9287869999999998</v>
      </c>
      <c r="E6517">
        <v>0.59321559999999995</v>
      </c>
      <c r="F6517" t="s">
        <v>41</v>
      </c>
      <c r="G6517">
        <v>-187.3347</v>
      </c>
      <c r="H6517" s="1">
        <v>-4.7349619999999998E-6</v>
      </c>
      <c r="I6517">
        <v>119.568</v>
      </c>
      <c r="J6517">
        <v>-191.4701</v>
      </c>
      <c r="K6517">
        <v>1.106778</v>
      </c>
      <c r="L6517">
        <v>112.4671</v>
      </c>
      <c r="M6517">
        <v>0.1452397</v>
      </c>
      <c r="N6517">
        <v>0</v>
      </c>
      <c r="O6517">
        <v>0.98929840000000002</v>
      </c>
      <c r="P6517">
        <v>0.28391690000000003</v>
      </c>
      <c r="Q6517">
        <v>-5.4629740000000003E-2</v>
      </c>
      <c r="R6517">
        <v>0.95729140000000001</v>
      </c>
      <c r="S6517">
        <v>1.522049</v>
      </c>
      <c r="T6517">
        <v>-0.40385120000000002</v>
      </c>
      <c r="U6517">
        <v>2.6671140000000002</v>
      </c>
      <c r="V6517">
        <v>0.1414936</v>
      </c>
      <c r="W6517">
        <v>-4.2089469999999997E-2</v>
      </c>
      <c r="X6517">
        <v>0.98904400000000003</v>
      </c>
      <c r="Y6517">
        <v>0.35985089999999997</v>
      </c>
      <c r="Z6517">
        <v>-0.1325615</v>
      </c>
      <c r="AA6517">
        <v>0.92354460000000005</v>
      </c>
      <c r="AB6517">
        <v>22</v>
      </c>
      <c r="AC6517">
        <v>4.1353999999999997</v>
      </c>
      <c r="AD6517">
        <v>-1.1067827349619901</v>
      </c>
      <c r="AE6517">
        <v>7.1008999999999904</v>
      </c>
      <c r="AF6517">
        <v>3.0055842986688002</v>
      </c>
      <c r="AG6517">
        <v>-1.1067827349619901</v>
      </c>
      <c r="AH6517">
        <v>7.4903892510452001</v>
      </c>
      <c r="AI6517">
        <v>97.808407832957101</v>
      </c>
      <c r="AJ6517">
        <v>68.136443716707007</v>
      </c>
      <c r="AK6517">
        <v>8.1464370206236705</v>
      </c>
      <c r="AL6517">
        <v>92.412261584943906</v>
      </c>
      <c r="AM6517">
        <v>81.858452766348194</v>
      </c>
      <c r="AN6517">
        <v>0.99999999813092</v>
      </c>
    </row>
    <row r="6518" spans="1:40" x14ac:dyDescent="0.3">
      <c r="A6518" t="str">
        <f>"20200111160640051"</f>
        <v>20200111160640051</v>
      </c>
      <c r="B6518" t="str">
        <f>"1578730000039427"</f>
        <v>1578730000039427</v>
      </c>
      <c r="C6518" t="s">
        <v>40</v>
      </c>
      <c r="D6518">
        <v>5.7540509999999996</v>
      </c>
      <c r="E6518">
        <v>0.59283549999999996</v>
      </c>
      <c r="F6518" t="s">
        <v>41</v>
      </c>
      <c r="G6518">
        <v>-187.32579999999999</v>
      </c>
      <c r="H6518" s="1">
        <v>-4.7539630000000002E-6</v>
      </c>
      <c r="I6518">
        <v>119.6086</v>
      </c>
      <c r="J6518">
        <v>-191.4333</v>
      </c>
      <c r="K6518">
        <v>1.106735</v>
      </c>
      <c r="L6518">
        <v>112.673</v>
      </c>
      <c r="M6518">
        <v>0.15081259999999999</v>
      </c>
      <c r="N6518">
        <v>0</v>
      </c>
      <c r="O6518">
        <v>0.98846409999999996</v>
      </c>
      <c r="P6518">
        <v>0.29352679999999998</v>
      </c>
      <c r="Q6518">
        <v>-5.2884979999999998E-2</v>
      </c>
      <c r="R6518">
        <v>0.95448679999999997</v>
      </c>
      <c r="S6518">
        <v>1.5399480000000001</v>
      </c>
      <c r="T6518">
        <v>-0.41125459999999903</v>
      </c>
      <c r="U6518">
        <v>2.6536409999999999</v>
      </c>
      <c r="V6518">
        <v>0.14585490000000001</v>
      </c>
      <c r="W6518">
        <v>-4.040084E-2</v>
      </c>
      <c r="X6518">
        <v>0.98848069999999999</v>
      </c>
      <c r="Y6518">
        <v>0.36111670000000001</v>
      </c>
      <c r="Z6518">
        <v>-0.13511219999999999</v>
      </c>
      <c r="AA6518">
        <v>0.92268059999999996</v>
      </c>
      <c r="AB6518">
        <v>22</v>
      </c>
      <c r="AC6518">
        <v>4.1075000000000097</v>
      </c>
      <c r="AD6518">
        <v>-1.106739753963</v>
      </c>
      <c r="AE6518">
        <v>6.9356</v>
      </c>
      <c r="AF6518">
        <v>2.9586575125533399</v>
      </c>
      <c r="AG6518">
        <v>-1.106739753963</v>
      </c>
      <c r="AH6518">
        <v>7.33745700606823</v>
      </c>
      <c r="AI6518">
        <v>97.963422942097196</v>
      </c>
      <c r="AJ6518">
        <v>68.039399079012995</v>
      </c>
      <c r="AK6518">
        <v>7.9885419492852501</v>
      </c>
      <c r="AL6518">
        <v>92.315427826742805</v>
      </c>
      <c r="AM6518">
        <v>81.6063098151172</v>
      </c>
      <c r="AN6518">
        <v>0.99999998699960202</v>
      </c>
    </row>
    <row r="6519" spans="1:40" x14ac:dyDescent="0.3">
      <c r="A6519" t="str">
        <f>"20200111160640073"</f>
        <v>20200111160640073</v>
      </c>
      <c r="B6519" t="str">
        <f>"1578730000069683"</f>
        <v>1578730000069683</v>
      </c>
      <c r="C6519" t="s">
        <v>40</v>
      </c>
      <c r="D6519">
        <v>5.7842209999999996</v>
      </c>
      <c r="E6519">
        <v>0.59683520000000001</v>
      </c>
      <c r="F6519" t="s">
        <v>75</v>
      </c>
      <c r="G6519">
        <v>-187.19890000000001</v>
      </c>
      <c r="H6519" s="1">
        <v>-7.9494299999999897E-7</v>
      </c>
      <c r="I6519">
        <v>119.82299999999999</v>
      </c>
      <c r="J6519">
        <v>-191.39160000000001</v>
      </c>
      <c r="K6519">
        <v>1.1066819999999999</v>
      </c>
      <c r="L6519">
        <v>112.8978</v>
      </c>
      <c r="M6519">
        <v>0.15700249999999999</v>
      </c>
      <c r="N6519">
        <v>0</v>
      </c>
      <c r="O6519">
        <v>0.98749980000000004</v>
      </c>
      <c r="P6519">
        <v>0.30378080000000002</v>
      </c>
      <c r="Q6519">
        <v>-5.0810290000000001E-2</v>
      </c>
      <c r="R6519">
        <v>0.95138619999999996</v>
      </c>
      <c r="S6519">
        <v>1.5632629999999901</v>
      </c>
      <c r="T6519">
        <v>-0.4085898</v>
      </c>
      <c r="U6519">
        <v>2.6396639999999998</v>
      </c>
      <c r="V6519">
        <v>0.15029039999999999</v>
      </c>
      <c r="W6519">
        <v>-3.8385179999999998E-2</v>
      </c>
      <c r="X6519">
        <v>0.98789640000000001</v>
      </c>
      <c r="Y6519">
        <v>0.36351280000000002</v>
      </c>
      <c r="Z6519">
        <v>-0.1343182</v>
      </c>
      <c r="AA6519">
        <v>0.92185519999999999</v>
      </c>
      <c r="AB6519">
        <v>22</v>
      </c>
      <c r="AC6519">
        <v>4.1927000000000003</v>
      </c>
      <c r="AD6519">
        <v>-1.106682794943</v>
      </c>
      <c r="AE6519">
        <v>6.9251999999999896</v>
      </c>
      <c r="AF6519">
        <v>2.99730038935679</v>
      </c>
      <c r="AG6519">
        <v>-1.106682794943</v>
      </c>
      <c r="AH6519">
        <v>7.3600826670360302</v>
      </c>
      <c r="AI6519">
        <v>97.927917484480602</v>
      </c>
      <c r="AJ6519">
        <v>67.842012366871998</v>
      </c>
      <c r="AK6519">
        <v>8.0236757971808306</v>
      </c>
      <c r="AL6519">
        <v>92.199849337451795</v>
      </c>
      <c r="AM6519">
        <v>81.349819774661896</v>
      </c>
      <c r="AN6519">
        <v>0.999999961754375</v>
      </c>
    </row>
    <row r="6520" spans="1:40" x14ac:dyDescent="0.3">
      <c r="A6520" t="str">
        <f>"20200111160640097"</f>
        <v>20200111160640097</v>
      </c>
      <c r="B6520" t="str">
        <f>"1578730000089202"</f>
        <v>1578730000089202</v>
      </c>
      <c r="C6520" t="s">
        <v>40</v>
      </c>
      <c r="D6520">
        <v>5.893961</v>
      </c>
      <c r="E6520">
        <v>0.59594019999999903</v>
      </c>
      <c r="F6520" t="s">
        <v>75</v>
      </c>
      <c r="G6520">
        <v>-186.48140000000001</v>
      </c>
      <c r="H6520" s="1">
        <v>-1.271138E-6</v>
      </c>
      <c r="I6520">
        <v>120.7916</v>
      </c>
      <c r="J6520">
        <v>-191.34870000000001</v>
      </c>
      <c r="K6520">
        <v>1.1066260000000001</v>
      </c>
      <c r="L6520">
        <v>113.12090000000001</v>
      </c>
      <c r="M6520">
        <v>0.1632594</v>
      </c>
      <c r="N6520">
        <v>0</v>
      </c>
      <c r="O6520">
        <v>0.98648449999999999</v>
      </c>
      <c r="P6520">
        <v>0.3131544</v>
      </c>
      <c r="Q6520">
        <v>-4.8299799999999997E-2</v>
      </c>
      <c r="R6520">
        <v>0.94847320000000002</v>
      </c>
      <c r="S6520">
        <v>1.626282</v>
      </c>
      <c r="T6520">
        <v>-0.36653550000000001</v>
      </c>
      <c r="U6520">
        <v>2.6144409999999998</v>
      </c>
      <c r="V6520">
        <v>0.15376979999999901</v>
      </c>
      <c r="W6520">
        <v>-3.5925249999999999E-2</v>
      </c>
      <c r="X6520">
        <v>0.98745340000000004</v>
      </c>
      <c r="Y6520">
        <v>0.37860440000000001</v>
      </c>
      <c r="Z6520">
        <v>-0.1204464</v>
      </c>
      <c r="AA6520">
        <v>0.91768810000000001</v>
      </c>
      <c r="AB6520">
        <v>22</v>
      </c>
      <c r="AC6520">
        <v>4.8673000000000002</v>
      </c>
      <c r="AD6520">
        <v>-1.1066272711380001</v>
      </c>
      <c r="AE6520">
        <v>7.6706999999999903</v>
      </c>
      <c r="AF6520">
        <v>3.4976478928895198</v>
      </c>
      <c r="AG6520">
        <v>-1.1066272711380001</v>
      </c>
      <c r="AH6520">
        <v>8.2402011479102608</v>
      </c>
      <c r="AI6520">
        <v>97.047199354630806</v>
      </c>
      <c r="AJ6520">
        <v>67.000647936796696</v>
      </c>
      <c r="AK6520">
        <v>9.0199268100069698</v>
      </c>
      <c r="AL6520">
        <v>92.058808230828106</v>
      </c>
      <c r="AM6520">
        <v>81.148784820190798</v>
      </c>
      <c r="AN6520">
        <v>0.99999999607558099</v>
      </c>
    </row>
    <row r="6521" spans="1:40" x14ac:dyDescent="0.3">
      <c r="A6521" t="str">
        <f>"20200111160640119"</f>
        <v>20200111160640119</v>
      </c>
      <c r="B6521" t="str">
        <f>"1578730000109699"</f>
        <v>1578730000109699</v>
      </c>
      <c r="C6521" t="s">
        <v>40</v>
      </c>
      <c r="D6521">
        <v>6.3537100000000004</v>
      </c>
      <c r="E6521">
        <v>0.596194</v>
      </c>
      <c r="F6521" t="s">
        <v>75</v>
      </c>
      <c r="G6521">
        <v>-186.17439999999999</v>
      </c>
      <c r="H6521" s="1">
        <v>-1.5017970000000001E-6</v>
      </c>
      <c r="I6521">
        <v>121.2975</v>
      </c>
      <c r="J6521">
        <v>-191.30449999999999</v>
      </c>
      <c r="K6521">
        <v>1.106568</v>
      </c>
      <c r="L6521">
        <v>113.3425</v>
      </c>
      <c r="M6521">
        <v>0.16959440000000001</v>
      </c>
      <c r="N6521">
        <v>0</v>
      </c>
      <c r="O6521">
        <v>0.98541509999999999</v>
      </c>
      <c r="P6521">
        <v>0.32126510000000003</v>
      </c>
      <c r="Q6521">
        <v>-4.6267849999999999E-2</v>
      </c>
      <c r="R6521">
        <v>0.94585839999999999</v>
      </c>
      <c r="S6521">
        <v>1.6462859999999999</v>
      </c>
      <c r="T6521">
        <v>-0.35209079999999998</v>
      </c>
      <c r="U6521">
        <v>2.6015169999999999</v>
      </c>
      <c r="V6521">
        <v>0.1558755</v>
      </c>
      <c r="W6521">
        <v>-3.3931950000000002E-2</v>
      </c>
      <c r="X6521">
        <v>0.98719369999999995</v>
      </c>
      <c r="Y6521">
        <v>0.38005909999999998</v>
      </c>
      <c r="Z6521">
        <v>-0.1158091</v>
      </c>
      <c r="AA6521">
        <v>0.91768369999999999</v>
      </c>
      <c r="AB6521">
        <v>22</v>
      </c>
      <c r="AC6521">
        <v>5.1300999999999899</v>
      </c>
      <c r="AD6521">
        <v>-1.1065695017970001</v>
      </c>
      <c r="AE6521">
        <v>7.9549999999999903</v>
      </c>
      <c r="AF6521">
        <v>3.65654434312385</v>
      </c>
      <c r="AG6521">
        <v>-1.1065695017970001</v>
      </c>
      <c r="AH6521">
        <v>8.5924353814816694</v>
      </c>
      <c r="AI6521">
        <v>96.758057150066904</v>
      </c>
      <c r="AJ6521">
        <v>66.947632810760695</v>
      </c>
      <c r="AK6521">
        <v>9.4034439638079608</v>
      </c>
      <c r="AL6521">
        <v>91.9445308441137</v>
      </c>
      <c r="AM6521">
        <v>81.027214232700402</v>
      </c>
      <c r="AN6521">
        <v>0.99999997502537097</v>
      </c>
    </row>
    <row r="6522" spans="1:40" x14ac:dyDescent="0.3">
      <c r="A6522" t="str">
        <f>"20200111160640139"</f>
        <v>20200111160640139</v>
      </c>
      <c r="B6522" t="str">
        <f>"1578730000129219"</f>
        <v>1578730000129219</v>
      </c>
      <c r="C6522" t="s">
        <v>40</v>
      </c>
      <c r="D6522">
        <v>6.4376579999999999</v>
      </c>
      <c r="E6522">
        <v>0.60028340000000002</v>
      </c>
      <c r="F6522" t="s">
        <v>75</v>
      </c>
      <c r="G6522">
        <v>-185.7766</v>
      </c>
      <c r="H6522" s="1">
        <v>-1.8327879999999999E-6</v>
      </c>
      <c r="I6522">
        <v>121.8976</v>
      </c>
      <c r="J6522">
        <v>-191.26390000000001</v>
      </c>
      <c r="K6522">
        <v>1.1065100000000001</v>
      </c>
      <c r="L6522">
        <v>113.53919999999999</v>
      </c>
      <c r="M6522">
        <v>0.1753277</v>
      </c>
      <c r="N6522">
        <v>0</v>
      </c>
      <c r="O6522">
        <v>0.98441109999999998</v>
      </c>
      <c r="P6522">
        <v>0.32921729999999999</v>
      </c>
      <c r="Q6522">
        <v>-4.5555279999999997E-2</v>
      </c>
      <c r="R6522">
        <v>0.94315459999999995</v>
      </c>
      <c r="S6522">
        <v>1.6719360000000001</v>
      </c>
      <c r="T6522">
        <v>-0.33468170000000003</v>
      </c>
      <c r="U6522">
        <v>2.5874790000000001</v>
      </c>
      <c r="V6522">
        <v>0.15843389999999999</v>
      </c>
      <c r="W6522">
        <v>-3.326585E-2</v>
      </c>
      <c r="X6522">
        <v>0.98680909999999999</v>
      </c>
      <c r="Y6522">
        <v>0.38372420000000002</v>
      </c>
      <c r="Z6522">
        <v>-0.11013299999999999</v>
      </c>
      <c r="AA6522">
        <v>0.91685680000000003</v>
      </c>
      <c r="AB6522">
        <v>22</v>
      </c>
      <c r="AC6522">
        <v>5.4873000000000003</v>
      </c>
      <c r="AD6522">
        <v>-1.1065118327879999</v>
      </c>
      <c r="AE6522">
        <v>8.3583999999999996</v>
      </c>
      <c r="AF6522">
        <v>3.8890547250283301</v>
      </c>
      <c r="AG6522">
        <v>-1.1065118327879999</v>
      </c>
      <c r="AH6522">
        <v>9.0798727519558202</v>
      </c>
      <c r="AI6522">
        <v>96.391699025603103</v>
      </c>
      <c r="AJ6522">
        <v>66.813774944256394</v>
      </c>
      <c r="AK6522">
        <v>9.9394770628074198</v>
      </c>
      <c r="AL6522">
        <v>91.906344404185404</v>
      </c>
      <c r="AM6522">
        <v>80.878903459885805</v>
      </c>
      <c r="AN6522">
        <v>1.00000005864411</v>
      </c>
    </row>
    <row r="6523" spans="1:40" x14ac:dyDescent="0.3">
      <c r="A6523" t="str">
        <f>"20200111160640162"</f>
        <v>20200111160640162</v>
      </c>
      <c r="B6523" t="str">
        <f>"1578730000159476"</f>
        <v>1578730000159476</v>
      </c>
      <c r="C6523" t="s">
        <v>40</v>
      </c>
      <c r="D6523">
        <v>6.2596949999999998</v>
      </c>
      <c r="E6523">
        <v>0.60132859999999999</v>
      </c>
      <c r="F6523" t="s">
        <v>41</v>
      </c>
      <c r="G6523">
        <v>-187.27279999999999</v>
      </c>
      <c r="H6523" s="1">
        <v>-4.7252969999999996E-6</v>
      </c>
      <c r="I6523">
        <v>119.51990000000001</v>
      </c>
      <c r="J6523">
        <v>-191.21680000000001</v>
      </c>
      <c r="K6523">
        <v>1.106427</v>
      </c>
      <c r="L6523">
        <v>113.76</v>
      </c>
      <c r="M6523">
        <v>0.1819007</v>
      </c>
      <c r="N6523">
        <v>0</v>
      </c>
      <c r="O6523">
        <v>0.98321749999999997</v>
      </c>
      <c r="P6523">
        <v>0.33610630000000002</v>
      </c>
      <c r="Q6523">
        <v>-4.6634439999999999E-2</v>
      </c>
      <c r="R6523">
        <v>0.94066879999999997</v>
      </c>
      <c r="S6523">
        <v>1.7092130000000001</v>
      </c>
      <c r="T6523">
        <v>-0.47387299999999899</v>
      </c>
      <c r="U6523">
        <v>2.5612949999999999</v>
      </c>
      <c r="V6523">
        <v>0.15905</v>
      </c>
      <c r="W6523">
        <v>-3.4375959999999997E-2</v>
      </c>
      <c r="X6523">
        <v>0.98667190000000005</v>
      </c>
      <c r="Y6523">
        <v>0.38773809999999997</v>
      </c>
      <c r="Z6523">
        <v>-0.15521879999999999</v>
      </c>
      <c r="AA6523">
        <v>0.90860680000000005</v>
      </c>
      <c r="AB6523">
        <v>22</v>
      </c>
      <c r="AC6523">
        <v>3.9440000000000102</v>
      </c>
      <c r="AD6523">
        <v>-1.106431725297</v>
      </c>
      <c r="AE6523">
        <v>5.7599</v>
      </c>
      <c r="AF6523">
        <v>2.76099733528212</v>
      </c>
      <c r="AG6523">
        <v>-1.106431725297</v>
      </c>
      <c r="AH6523">
        <v>6.2248982716017398</v>
      </c>
      <c r="AI6523">
        <v>99.228657440354993</v>
      </c>
      <c r="AJ6523">
        <v>66.080752819961603</v>
      </c>
      <c r="AK6523">
        <v>6.8990329713641101</v>
      </c>
      <c r="AL6523">
        <v>91.969985498841098</v>
      </c>
      <c r="AM6523">
        <v>80.842782394320295</v>
      </c>
      <c r="AN6523">
        <v>1.00000002368776</v>
      </c>
    </row>
    <row r="6524" spans="1:40" x14ac:dyDescent="0.3">
      <c r="A6524" t="str">
        <f>"20200111160640185"</f>
        <v>20200111160640185</v>
      </c>
      <c r="B6524" t="str">
        <f>"1578730000178995"</f>
        <v>1578730000178995</v>
      </c>
      <c r="C6524" t="s">
        <v>40</v>
      </c>
      <c r="D6524">
        <v>6.0057489999999998</v>
      </c>
      <c r="E6524">
        <v>0.60106470000000001</v>
      </c>
      <c r="F6524" t="s">
        <v>41</v>
      </c>
      <c r="G6524">
        <v>-187.35599999999999</v>
      </c>
      <c r="H6524" s="1">
        <v>-4.6715899999999996E-6</v>
      </c>
      <c r="I6524">
        <v>119.42910000000001</v>
      </c>
      <c r="J6524">
        <v>-191.1686</v>
      </c>
      <c r="K6524">
        <v>1.106336</v>
      </c>
      <c r="L6524">
        <v>113.97750000000001</v>
      </c>
      <c r="M6524">
        <v>0.18854280000000001</v>
      </c>
      <c r="N6524">
        <v>0</v>
      </c>
      <c r="O6524">
        <v>0.98196530000000004</v>
      </c>
      <c r="P6524">
        <v>0.345275</v>
      </c>
      <c r="Q6524">
        <v>-4.6915940000000003E-2</v>
      </c>
      <c r="R6524">
        <v>0.93732819999999994</v>
      </c>
      <c r="S6524">
        <v>1.733368</v>
      </c>
      <c r="T6524">
        <v>-0.4967511</v>
      </c>
      <c r="U6524">
        <v>2.545242</v>
      </c>
      <c r="V6524">
        <v>0.16200390000000001</v>
      </c>
      <c r="W6524">
        <v>-3.4718069999999997E-2</v>
      </c>
      <c r="X6524">
        <v>0.98617920000000003</v>
      </c>
      <c r="Y6524">
        <v>0.38940859999999999</v>
      </c>
      <c r="Z6524">
        <v>-0.1625713</v>
      </c>
      <c r="AA6524">
        <v>0.90660439999999998</v>
      </c>
      <c r="AB6524">
        <v>22</v>
      </c>
      <c r="AC6524">
        <v>3.8126000000000002</v>
      </c>
      <c r="AD6524">
        <v>-1.1063406715899999</v>
      </c>
      <c r="AE6524">
        <v>5.4515999999999902</v>
      </c>
      <c r="AF6524">
        <v>2.6431450751155099</v>
      </c>
      <c r="AG6524">
        <v>-1.1063406715899999</v>
      </c>
      <c r="AH6524">
        <v>5.9092810448513404</v>
      </c>
      <c r="AI6524">
        <v>99.698367106680294</v>
      </c>
      <c r="AJ6524">
        <v>65.901648823307895</v>
      </c>
      <c r="AK6524">
        <v>6.5673288357414403</v>
      </c>
      <c r="AL6524">
        <v>91.989598689959806</v>
      </c>
      <c r="AM6524">
        <v>80.671097034644305</v>
      </c>
      <c r="AN6524">
        <v>1.00000001125618</v>
      </c>
    </row>
    <row r="6525" spans="1:40" x14ac:dyDescent="0.3">
      <c r="A6525" t="str">
        <f>"20200111160640197"</f>
        <v>20200111160640197</v>
      </c>
      <c r="B6525" t="str">
        <f>"1578730000189731"</f>
        <v>1578730000189731</v>
      </c>
      <c r="C6525" t="s">
        <v>40</v>
      </c>
      <c r="D6525">
        <v>6.0800599999999996</v>
      </c>
      <c r="E6525">
        <v>0.600719</v>
      </c>
      <c r="F6525" t="s">
        <v>75</v>
      </c>
      <c r="G6525">
        <v>-187.21350000000001</v>
      </c>
      <c r="H6525" s="1">
        <v>-7.4682360000000005E-7</v>
      </c>
      <c r="I6525">
        <v>119.6729</v>
      </c>
      <c r="J6525">
        <v>-191.13980000000001</v>
      </c>
      <c r="K6525">
        <v>1.1062799999999999</v>
      </c>
      <c r="L6525">
        <v>114.1033</v>
      </c>
      <c r="M6525">
        <v>0.1924729</v>
      </c>
      <c r="N6525">
        <v>0</v>
      </c>
      <c r="O6525">
        <v>0.98120249999999998</v>
      </c>
      <c r="P6525">
        <v>0.35058420000000001</v>
      </c>
      <c r="Q6525">
        <v>-4.7216149999999998E-2</v>
      </c>
      <c r="R6525">
        <v>0.93534019999999995</v>
      </c>
      <c r="S6525">
        <v>1.756256</v>
      </c>
      <c r="T6525">
        <v>-0.49127310000000002</v>
      </c>
      <c r="U6525">
        <v>2.5290370000000002</v>
      </c>
      <c r="V6525">
        <v>0.16364119999999999</v>
      </c>
      <c r="W6525">
        <v>-3.5053330000000001E-2</v>
      </c>
      <c r="X6525">
        <v>0.98589689999999996</v>
      </c>
      <c r="Y6525">
        <v>0.39413789999999999</v>
      </c>
      <c r="Z6525">
        <v>-0.16093089999999999</v>
      </c>
      <c r="AA6525">
        <v>0.90485170000000004</v>
      </c>
      <c r="AB6525">
        <v>22</v>
      </c>
      <c r="AC6525">
        <v>3.9262999999999901</v>
      </c>
      <c r="AD6525">
        <v>-1.1062807468236</v>
      </c>
      <c r="AE6525">
        <v>5.5695999999999897</v>
      </c>
      <c r="AF6525">
        <v>2.7093636406380899</v>
      </c>
      <c r="AG6525">
        <v>-1.1062807468236</v>
      </c>
      <c r="AH6525">
        <v>6.0614672332651596</v>
      </c>
      <c r="AI6525">
        <v>99.459878920743293</v>
      </c>
      <c r="AJ6525">
        <v>65.916240744919193</v>
      </c>
      <c r="AK6525">
        <v>6.7309652686632901</v>
      </c>
      <c r="AL6525">
        <v>92.008819519844096</v>
      </c>
      <c r="AM6525">
        <v>80.575846869347004</v>
      </c>
      <c r="AN6525">
        <v>0.99999993785556696</v>
      </c>
    </row>
    <row r="6526" spans="1:40" x14ac:dyDescent="0.3">
      <c r="A6526" t="str">
        <f>"20200111160640210"</f>
        <v>20200111160640210</v>
      </c>
      <c r="B6526" t="str">
        <f>"1578730000199491"</f>
        <v>1578730000199491</v>
      </c>
      <c r="C6526" t="s">
        <v>40</v>
      </c>
      <c r="D6526">
        <v>6.0632199999999896</v>
      </c>
      <c r="E6526">
        <v>0.59994009999999998</v>
      </c>
      <c r="F6526" t="s">
        <v>75</v>
      </c>
      <c r="G6526">
        <v>-187.1996</v>
      </c>
      <c r="H6526" s="1">
        <v>-7.6528649999999995E-7</v>
      </c>
      <c r="I6526">
        <v>119.723</v>
      </c>
      <c r="J6526">
        <v>-191.11349999999999</v>
      </c>
      <c r="K6526">
        <v>1.1062350000000001</v>
      </c>
      <c r="L6526">
        <v>114.21639999999999</v>
      </c>
      <c r="M6526">
        <v>0.19603809999999999</v>
      </c>
      <c r="N6526">
        <v>0</v>
      </c>
      <c r="O6526">
        <v>0.98049629999999999</v>
      </c>
      <c r="P6526">
        <v>0.35536410000000002</v>
      </c>
      <c r="Q6526">
        <v>-4.7315049999999997E-2</v>
      </c>
      <c r="R6526">
        <v>0.93352970000000002</v>
      </c>
      <c r="S6526">
        <v>1.766907</v>
      </c>
      <c r="T6526">
        <v>-0.49609520000000001</v>
      </c>
      <c r="U6526">
        <v>2.5200650000000002</v>
      </c>
      <c r="V6526">
        <v>0.16509560000000001</v>
      </c>
      <c r="W6526">
        <v>-3.5182690000000003E-2</v>
      </c>
      <c r="X6526">
        <v>0.98564980000000002</v>
      </c>
      <c r="Y6526">
        <v>0.39472869999999999</v>
      </c>
      <c r="Z6526">
        <v>-0.1625547</v>
      </c>
      <c r="AA6526">
        <v>0.90430370000000004</v>
      </c>
      <c r="AB6526">
        <v>22</v>
      </c>
      <c r="AC6526">
        <v>3.91389999999998</v>
      </c>
      <c r="AD6526">
        <v>-1.1062357652865</v>
      </c>
      <c r="AE6526">
        <v>5.5065999999999997</v>
      </c>
      <c r="AF6526">
        <v>2.6863048622361401</v>
      </c>
      <c r="AG6526">
        <v>-1.1062357652865</v>
      </c>
      <c r="AH6526">
        <v>6.0060418829930704</v>
      </c>
      <c r="AI6526">
        <v>99.544199828299995</v>
      </c>
      <c r="AJ6526">
        <v>65.9026034294168</v>
      </c>
      <c r="AK6526">
        <v>6.6717711652558602</v>
      </c>
      <c r="AL6526">
        <v>92.016235845350295</v>
      </c>
      <c r="AM6526">
        <v>80.491269968753898</v>
      </c>
      <c r="AN6526">
        <v>0.99999995352751603</v>
      </c>
    </row>
    <row r="6527" spans="1:40" x14ac:dyDescent="0.3">
      <c r="A6527" t="str">
        <f>"20200111160640228"</f>
        <v>20200111160640228</v>
      </c>
      <c r="B6527" t="str">
        <f>"1578730000219013"</f>
        <v>1578730000219013</v>
      </c>
      <c r="C6527" t="s">
        <v>40</v>
      </c>
      <c r="D6527">
        <v>6.049283</v>
      </c>
      <c r="E6527">
        <v>0.59924750000000004</v>
      </c>
      <c r="F6527" t="s">
        <v>75</v>
      </c>
      <c r="G6527">
        <v>-187.20529999999999</v>
      </c>
      <c r="H6527" s="1">
        <v>-7.7384119999999996E-7</v>
      </c>
      <c r="I6527">
        <v>119.7572</v>
      </c>
      <c r="J6527">
        <v>-191.0694</v>
      </c>
      <c r="K6527">
        <v>1.1061639999999999</v>
      </c>
      <c r="L6527">
        <v>114.4016</v>
      </c>
      <c r="M6527">
        <v>0.20196600000000001</v>
      </c>
      <c r="N6527">
        <v>0</v>
      </c>
      <c r="O6527">
        <v>0.9792923</v>
      </c>
      <c r="P6527">
        <v>0.36382530000000002</v>
      </c>
      <c r="Q6527">
        <v>-4.7150160000000003E-2</v>
      </c>
      <c r="R6527">
        <v>0.93027309999999996</v>
      </c>
      <c r="S6527">
        <v>1.7727809999999999</v>
      </c>
      <c r="T6527">
        <v>-0.50179240000000003</v>
      </c>
      <c r="U6527">
        <v>2.5133209999999999</v>
      </c>
      <c r="V6527">
        <v>0.16807320000000001</v>
      </c>
      <c r="W6527">
        <v>-3.5073430000000003E-2</v>
      </c>
      <c r="X6527">
        <v>0.98515039999999998</v>
      </c>
      <c r="Y6527">
        <v>0.39155240000000002</v>
      </c>
      <c r="Z6527">
        <v>-0.16443459999999999</v>
      </c>
      <c r="AA6527">
        <v>0.90534409999999998</v>
      </c>
      <c r="AB6527">
        <v>22</v>
      </c>
      <c r="AC6527">
        <v>3.8641000000000001</v>
      </c>
      <c r="AD6527">
        <v>-1.1061647738411999</v>
      </c>
      <c r="AE6527">
        <v>5.3555999999999901</v>
      </c>
      <c r="AF6527">
        <v>2.6289435145200599</v>
      </c>
      <c r="AG6527">
        <v>-1.1061647738411999</v>
      </c>
      <c r="AH6527">
        <v>5.86126601138265</v>
      </c>
      <c r="AI6527">
        <v>99.770326125649206</v>
      </c>
      <c r="AJ6527">
        <v>65.842417044203998</v>
      </c>
      <c r="AK6527">
        <v>6.5183881263402599</v>
      </c>
      <c r="AL6527">
        <v>92.0099716917411</v>
      </c>
      <c r="AM6527">
        <v>80.318176430272004</v>
      </c>
      <c r="AN6527">
        <v>1.00000002833518</v>
      </c>
    </row>
    <row r="6528" spans="1:40" x14ac:dyDescent="0.3">
      <c r="A6528" t="str">
        <f>"20200111160640240"</f>
        <v>20200111160640240</v>
      </c>
      <c r="B6528" t="str">
        <f>"1578730000228771"</f>
        <v>1578730000228771</v>
      </c>
      <c r="C6528" t="s">
        <v>40</v>
      </c>
      <c r="D6528">
        <v>6.035018</v>
      </c>
      <c r="E6528">
        <v>0.59893379999999996</v>
      </c>
      <c r="F6528" t="s">
        <v>75</v>
      </c>
      <c r="G6528">
        <v>-187.12350000000001</v>
      </c>
      <c r="H6528" s="1">
        <v>-8.4146959999999996E-7</v>
      </c>
      <c r="I6528">
        <v>119.91289999999999</v>
      </c>
      <c r="J6528">
        <v>-191.042</v>
      </c>
      <c r="K6528">
        <v>1.106123</v>
      </c>
      <c r="L6528">
        <v>114.51430000000001</v>
      </c>
      <c r="M6528">
        <v>0.2056249</v>
      </c>
      <c r="N6528">
        <v>0</v>
      </c>
      <c r="O6528">
        <v>0.97853040000000002</v>
      </c>
      <c r="P6528">
        <v>0.3685274</v>
      </c>
      <c r="Q6528">
        <v>-4.664045E-2</v>
      </c>
      <c r="R6528">
        <v>0.9284462</v>
      </c>
      <c r="S6528">
        <v>1.789612</v>
      </c>
      <c r="T6528">
        <v>-0.50167980000000001</v>
      </c>
      <c r="U6528">
        <v>2.4995270000000001</v>
      </c>
      <c r="V6528">
        <v>0.16937089999999999</v>
      </c>
      <c r="W6528">
        <v>-3.4590559999999999E-2</v>
      </c>
      <c r="X6528">
        <v>0.98494519999999997</v>
      </c>
      <c r="Y6528">
        <v>0.39450380000000002</v>
      </c>
      <c r="Z6528">
        <v>-0.16453280000000001</v>
      </c>
      <c r="AA6528">
        <v>0.90404410000000002</v>
      </c>
      <c r="AB6528">
        <v>22</v>
      </c>
      <c r="AC6528">
        <v>3.9184999999999901</v>
      </c>
      <c r="AD6528">
        <v>-1.1061238414696</v>
      </c>
      <c r="AE6528">
        <v>5.3985999999999796</v>
      </c>
      <c r="AF6528">
        <v>2.6516459616811501</v>
      </c>
      <c r="AG6528">
        <v>-1.1061238414696</v>
      </c>
      <c r="AH6528">
        <v>5.9260967081282798</v>
      </c>
      <c r="AI6528">
        <v>99.668923715470697</v>
      </c>
      <c r="AJ6528">
        <v>65.893758264685204</v>
      </c>
      <c r="AK6528">
        <v>6.5858453104257002</v>
      </c>
      <c r="AL6528">
        <v>91.982288481580497</v>
      </c>
      <c r="AM6528">
        <v>80.242860352725003</v>
      </c>
      <c r="AN6528">
        <v>1.0000000278054799</v>
      </c>
    </row>
    <row r="6529" spans="1:40" x14ac:dyDescent="0.3">
      <c r="A6529" t="str">
        <f>"20200111160640263"</f>
        <v>20200111160640263</v>
      </c>
      <c r="B6529" t="str">
        <f>"1578730000259026"</f>
        <v>1578730000259026</v>
      </c>
      <c r="C6529" t="s">
        <v>40</v>
      </c>
      <c r="D6529">
        <v>5.9838380000000004</v>
      </c>
      <c r="E6529">
        <v>0.59818919999999998</v>
      </c>
      <c r="F6529" t="s">
        <v>75</v>
      </c>
      <c r="G6529">
        <v>-187.07390000000001</v>
      </c>
      <c r="H6529" s="1">
        <v>-8.8287889999999996E-7</v>
      </c>
      <c r="I6529">
        <v>120.0087</v>
      </c>
      <c r="J6529">
        <v>-190.9881</v>
      </c>
      <c r="K6529">
        <v>1.1060540000000001</v>
      </c>
      <c r="L6529">
        <v>114.7303</v>
      </c>
      <c r="M6529">
        <v>0.21275769999999999</v>
      </c>
      <c r="N6529">
        <v>0</v>
      </c>
      <c r="O6529">
        <v>0.97700419999999999</v>
      </c>
      <c r="P6529">
        <v>0.37785999999999997</v>
      </c>
      <c r="Q6529">
        <v>-4.5387959999999998E-2</v>
      </c>
      <c r="R6529">
        <v>0.92474959999999995</v>
      </c>
      <c r="S6529">
        <v>1.799545</v>
      </c>
      <c r="T6529">
        <v>-0.50163019999999903</v>
      </c>
      <c r="U6529">
        <v>2.49173</v>
      </c>
      <c r="V6529">
        <v>0.17209769999999999</v>
      </c>
      <c r="W6529">
        <v>-3.3390799999999998E-2</v>
      </c>
      <c r="X6529">
        <v>0.98451379999999999</v>
      </c>
      <c r="Y6529">
        <v>0.39152930000000002</v>
      </c>
      <c r="Z6529">
        <v>-0.16448199999999999</v>
      </c>
      <c r="AA6529">
        <v>0.90534550000000003</v>
      </c>
      <c r="AB6529">
        <v>22</v>
      </c>
      <c r="AC6529">
        <v>3.9141999999999899</v>
      </c>
      <c r="AD6529">
        <v>-1.1060548828788901</v>
      </c>
      <c r="AE6529">
        <v>5.2784000000000004</v>
      </c>
      <c r="AF6529">
        <v>2.6270124916320898</v>
      </c>
      <c r="AG6529">
        <v>-1.1060548828788901</v>
      </c>
      <c r="AH6529">
        <v>5.8253531090926796</v>
      </c>
      <c r="AI6529">
        <v>99.819661295129194</v>
      </c>
      <c r="AJ6529">
        <v>65.726437809517194</v>
      </c>
      <c r="AK6529">
        <v>6.4853134759043902</v>
      </c>
      <c r="AL6529">
        <v>91.913507616230106</v>
      </c>
      <c r="AM6529">
        <v>80.084608793325202</v>
      </c>
      <c r="AN6529">
        <v>0.99999999313018395</v>
      </c>
    </row>
    <row r="6530" spans="1:40" x14ac:dyDescent="0.3">
      <c r="A6530" t="str">
        <f>"20200111160640276"</f>
        <v>20200111160640276</v>
      </c>
      <c r="B6530" t="str">
        <f>"1578730000268787"</f>
        <v>1578730000268787</v>
      </c>
      <c r="C6530" t="s">
        <v>40</v>
      </c>
      <c r="D6530">
        <v>5.9830769999999998</v>
      </c>
      <c r="E6530">
        <v>0.59801539999999997</v>
      </c>
      <c r="F6530" t="s">
        <v>75</v>
      </c>
      <c r="G6530">
        <v>-186.90270000000001</v>
      </c>
      <c r="H6530" s="1">
        <v>-1.0114109999999901E-6</v>
      </c>
      <c r="I6530">
        <v>120.29040000000001</v>
      </c>
      <c r="J6530">
        <v>-190.9555</v>
      </c>
      <c r="K6530">
        <v>1.1060239999999999</v>
      </c>
      <c r="L6530">
        <v>114.8565</v>
      </c>
      <c r="M6530">
        <v>0.2170155</v>
      </c>
      <c r="N6530">
        <v>0</v>
      </c>
      <c r="O6530">
        <v>0.97606720000000002</v>
      </c>
      <c r="P6530">
        <v>0.38347209999999998</v>
      </c>
      <c r="Q6530">
        <v>-4.4403060000000001E-2</v>
      </c>
      <c r="R6530">
        <v>0.92248439999999998</v>
      </c>
      <c r="S6530">
        <v>1.8195950000000001</v>
      </c>
      <c r="T6530">
        <v>-0.49262820000000002</v>
      </c>
      <c r="U6530">
        <v>2.4764249999999999</v>
      </c>
      <c r="V6530">
        <v>0.17378289999999999</v>
      </c>
      <c r="W6530">
        <v>-3.2437300000000002E-2</v>
      </c>
      <c r="X6530">
        <v>0.98424970000000001</v>
      </c>
      <c r="Y6530">
        <v>0.39523049999999998</v>
      </c>
      <c r="Z6530">
        <v>-0.16169520000000001</v>
      </c>
      <c r="AA6530">
        <v>0.9042386</v>
      </c>
      <c r="AB6530">
        <v>22</v>
      </c>
      <c r="AC6530">
        <v>4.0527999999999897</v>
      </c>
      <c r="AD6530">
        <v>-1.106025011411</v>
      </c>
      <c r="AE6530">
        <v>5.4339000000000004</v>
      </c>
      <c r="AF6530">
        <v>2.7048334456168202</v>
      </c>
      <c r="AG6530">
        <v>-1.106025011411</v>
      </c>
      <c r="AH6530">
        <v>6.0236276122934003</v>
      </c>
      <c r="AI6530">
        <v>99.508897240070297</v>
      </c>
      <c r="AJ6530">
        <v>65.818141446132302</v>
      </c>
      <c r="AK6530">
        <v>6.6950358405297203</v>
      </c>
      <c r="AL6530">
        <v>91.858846322648603</v>
      </c>
      <c r="AM6530">
        <v>79.986839082263401</v>
      </c>
      <c r="AN6530">
        <v>1.0000000733568899</v>
      </c>
    </row>
    <row r="6531" spans="1:40" x14ac:dyDescent="0.3">
      <c r="A6531" t="str">
        <f>"20200111160640288"</f>
        <v>20200111160640288</v>
      </c>
      <c r="B6531" t="str">
        <f>"1578730000279523"</f>
        <v>1578730000279523</v>
      </c>
      <c r="C6531" t="s">
        <v>40</v>
      </c>
      <c r="D6531">
        <v>6.1703449999999904</v>
      </c>
      <c r="E6531">
        <v>0.59802080000000002</v>
      </c>
      <c r="F6531" t="s">
        <v>75</v>
      </c>
      <c r="G6531">
        <v>-186.79730000000001</v>
      </c>
      <c r="H6531" s="1">
        <v>-1.0863409999999999E-6</v>
      </c>
      <c r="I6531">
        <v>120.4496</v>
      </c>
      <c r="J6531">
        <v>-190.92619999999999</v>
      </c>
      <c r="K6531">
        <v>1.1059969999999999</v>
      </c>
      <c r="L6531">
        <v>114.9683</v>
      </c>
      <c r="M6531">
        <v>0.2208157</v>
      </c>
      <c r="N6531">
        <v>0</v>
      </c>
      <c r="O6531">
        <v>0.97521440000000004</v>
      </c>
      <c r="P6531">
        <v>0.38920779999999999</v>
      </c>
      <c r="Q6531">
        <v>-4.3067939999999999E-2</v>
      </c>
      <c r="R6531">
        <v>0.92014269999999998</v>
      </c>
      <c r="S6531">
        <v>1.8336330000000001</v>
      </c>
      <c r="T6531">
        <v>-0.48772529999999997</v>
      </c>
      <c r="U6531">
        <v>2.4663849999999998</v>
      </c>
      <c r="V6531">
        <v>0.17607229999999999</v>
      </c>
      <c r="W6531">
        <v>-3.1140640000000001E-2</v>
      </c>
      <c r="X6531">
        <v>0.9838846</v>
      </c>
      <c r="Y6531">
        <v>0.39689269999999999</v>
      </c>
      <c r="Z6531">
        <v>-0.16013469999999999</v>
      </c>
      <c r="AA6531">
        <v>0.90378820000000004</v>
      </c>
      <c r="AB6531">
        <v>22</v>
      </c>
      <c r="AC6531">
        <v>4.1288999999999803</v>
      </c>
      <c r="AD6531">
        <v>-1.1059980863409999</v>
      </c>
      <c r="AE6531">
        <v>5.4813000000000001</v>
      </c>
      <c r="AF6531">
        <v>2.7451772309628901</v>
      </c>
      <c r="AG6531">
        <v>-1.1059980863409999</v>
      </c>
      <c r="AH6531">
        <v>6.0993546149961597</v>
      </c>
      <c r="AI6531">
        <v>99.389145728001694</v>
      </c>
      <c r="AJ6531">
        <v>65.768601544243893</v>
      </c>
      <c r="AK6531">
        <v>6.7794805491174603</v>
      </c>
      <c r="AL6531">
        <v>91.784515652228293</v>
      </c>
      <c r="AM6531">
        <v>79.853962392061007</v>
      </c>
      <c r="AN6531">
        <v>1.0000000502020201</v>
      </c>
    </row>
    <row r="6532" spans="1:40" x14ac:dyDescent="0.3">
      <c r="A6532" t="str">
        <f>"20200111160640300"</f>
        <v>20200111160640300</v>
      </c>
      <c r="B6532" t="str">
        <f>"1578730000289285"</f>
        <v>1578730000289285</v>
      </c>
      <c r="C6532" t="s">
        <v>40</v>
      </c>
      <c r="D6532">
        <v>5.9662329999999999</v>
      </c>
      <c r="E6532">
        <v>0.59761430000000004</v>
      </c>
      <c r="F6532" t="s">
        <v>75</v>
      </c>
      <c r="G6532">
        <v>-186.68629999999999</v>
      </c>
      <c r="H6532" s="1">
        <v>-1.1596070000000001E-6</v>
      </c>
      <c r="I6532">
        <v>120.598</v>
      </c>
      <c r="J6532">
        <v>-190.8956</v>
      </c>
      <c r="K6532">
        <v>1.1059699999999999</v>
      </c>
      <c r="L6532">
        <v>115.0834</v>
      </c>
      <c r="M6532">
        <v>0.22476889999999999</v>
      </c>
      <c r="N6532">
        <v>0</v>
      </c>
      <c r="O6532">
        <v>0.97431069999999997</v>
      </c>
      <c r="P6532">
        <v>0.39504070000000002</v>
      </c>
      <c r="Q6532">
        <v>-4.1473080000000002E-2</v>
      </c>
      <c r="R6532">
        <v>0.91772699999999996</v>
      </c>
      <c r="S6532">
        <v>1.8493649999999999</v>
      </c>
      <c r="T6532">
        <v>-0.48240830000000001</v>
      </c>
      <c r="U6532">
        <v>2.4555359999999999</v>
      </c>
      <c r="V6532">
        <v>0.1783236</v>
      </c>
      <c r="W6532">
        <v>-2.9584309999999999E-2</v>
      </c>
      <c r="X6532">
        <v>0.98352709999999999</v>
      </c>
      <c r="Y6532">
        <v>0.39896239999999999</v>
      </c>
      <c r="Z6532">
        <v>-0.1584226</v>
      </c>
      <c r="AA6532">
        <v>0.9031785</v>
      </c>
      <c r="AB6532">
        <v>22</v>
      </c>
      <c r="AC6532">
        <v>4.2093000000000096</v>
      </c>
      <c r="AD6532">
        <v>-1.1059711596070001</v>
      </c>
      <c r="AE6532">
        <v>5.5145999999999997</v>
      </c>
      <c r="AF6532">
        <v>2.7910063583156601</v>
      </c>
      <c r="AG6532">
        <v>-1.1059711596070001</v>
      </c>
      <c r="AH6532">
        <v>6.1630475193839001</v>
      </c>
      <c r="AI6532">
        <v>99.284059901384694</v>
      </c>
      <c r="AJ6532">
        <v>65.636062788100702</v>
      </c>
      <c r="AK6532">
        <v>6.8553660313819096</v>
      </c>
      <c r="AL6532">
        <v>91.695303381466701</v>
      </c>
      <c r="AM6532">
        <v>79.723323984964793</v>
      </c>
      <c r="AN6532">
        <v>1.0000000470747701</v>
      </c>
    </row>
    <row r="6533" spans="1:40" x14ac:dyDescent="0.3">
      <c r="A6533" t="str">
        <f>"20200111160640318"</f>
        <v>20200111160640318</v>
      </c>
      <c r="B6533" t="str">
        <f>"1578730000308803"</f>
        <v>1578730000308803</v>
      </c>
      <c r="C6533" t="s">
        <v>40</v>
      </c>
      <c r="D6533">
        <v>5.9829040000000004</v>
      </c>
      <c r="E6533">
        <v>0.59727849999999905</v>
      </c>
      <c r="F6533" t="s">
        <v>75</v>
      </c>
      <c r="G6533">
        <v>-186.5694</v>
      </c>
      <c r="H6533" s="1">
        <v>-1.2398350000000001E-6</v>
      </c>
      <c r="I6533">
        <v>120.76479999999999</v>
      </c>
      <c r="J6533">
        <v>-190.85050000000001</v>
      </c>
      <c r="K6533">
        <v>1.105939</v>
      </c>
      <c r="L6533">
        <v>115.24890000000001</v>
      </c>
      <c r="M6533">
        <v>0.23052839999999999</v>
      </c>
      <c r="N6533">
        <v>0</v>
      </c>
      <c r="O6533">
        <v>0.97296389999999999</v>
      </c>
      <c r="P6533">
        <v>0.40535759999999899</v>
      </c>
      <c r="Q6533">
        <v>-3.8955799999999999E-2</v>
      </c>
      <c r="R6533">
        <v>0.91332780000000002</v>
      </c>
      <c r="S6533">
        <v>1.862366</v>
      </c>
      <c r="T6533">
        <v>-0.476103</v>
      </c>
      <c r="U6533">
        <v>2.44577</v>
      </c>
      <c r="V6533">
        <v>0.18358179999999999</v>
      </c>
      <c r="W6533">
        <v>-2.714952E-2</v>
      </c>
      <c r="X6533">
        <v>0.98262939999999999</v>
      </c>
      <c r="Y6533">
        <v>0.3985284</v>
      </c>
      <c r="Z6533">
        <v>-0.15636749999999999</v>
      </c>
      <c r="AA6533">
        <v>0.90372799999999998</v>
      </c>
      <c r="AB6533">
        <v>22</v>
      </c>
      <c r="AC6533">
        <v>4.2811000000000003</v>
      </c>
      <c r="AD6533">
        <v>-1.105940239835</v>
      </c>
      <c r="AE6533">
        <v>5.5158999999999798</v>
      </c>
      <c r="AF6533">
        <v>2.8232416743655602</v>
      </c>
      <c r="AG6533">
        <v>-1.105940239835</v>
      </c>
      <c r="AH6533">
        <v>6.1988013511277096</v>
      </c>
      <c r="AI6533">
        <v>99.222345159772303</v>
      </c>
      <c r="AJ6533">
        <v>65.513126025913806</v>
      </c>
      <c r="AK6533">
        <v>6.9006474737305297</v>
      </c>
      <c r="AL6533">
        <v>91.555744142851793</v>
      </c>
      <c r="AM6533">
        <v>79.417594262697193</v>
      </c>
      <c r="AN6533">
        <v>0.99999995573591405</v>
      </c>
    </row>
    <row r="6534" spans="1:40" x14ac:dyDescent="0.3">
      <c r="A6534" t="str">
        <f>"20200111160640331"</f>
        <v>20200111160640331</v>
      </c>
      <c r="B6534" t="str">
        <f>"1578730000319539"</f>
        <v>1578730000319539</v>
      </c>
      <c r="C6534" t="s">
        <v>40</v>
      </c>
      <c r="D6534">
        <v>5.5917209999999997</v>
      </c>
      <c r="E6534">
        <v>0.59727849999999905</v>
      </c>
      <c r="F6534" t="s">
        <v>75</v>
      </c>
      <c r="G6534">
        <v>-186.3826</v>
      </c>
      <c r="H6534" s="1">
        <v>-1.3561250000000001E-6</v>
      </c>
      <c r="I6534">
        <v>120.991</v>
      </c>
      <c r="J6534">
        <v>-190.81819999999999</v>
      </c>
      <c r="K6534">
        <v>1.1059079999999999</v>
      </c>
      <c r="L6534">
        <v>115.3651</v>
      </c>
      <c r="M6534">
        <v>0.2346135</v>
      </c>
      <c r="N6534">
        <v>0</v>
      </c>
      <c r="O6534">
        <v>0.97198680000000004</v>
      </c>
      <c r="P6534">
        <v>0.41161720000000002</v>
      </c>
      <c r="Q6534">
        <v>-3.8427200000000002E-2</v>
      </c>
      <c r="R6534">
        <v>0.91054630000000003</v>
      </c>
      <c r="S6534">
        <v>1.8882289999999999</v>
      </c>
      <c r="T6534">
        <v>-0.46739849999999999</v>
      </c>
      <c r="U6534">
        <v>2.4267270000000001</v>
      </c>
      <c r="V6534">
        <v>0.18619520000000001</v>
      </c>
      <c r="W6534">
        <v>-2.6665060000000001E-2</v>
      </c>
      <c r="X6534">
        <v>0.98215090000000005</v>
      </c>
      <c r="Y6534">
        <v>0.4043852</v>
      </c>
      <c r="Z6534">
        <v>-0.153639</v>
      </c>
      <c r="AA6534">
        <v>0.90159180000000005</v>
      </c>
      <c r="AB6534">
        <v>22</v>
      </c>
      <c r="AC6534">
        <v>4.4355999999999902</v>
      </c>
      <c r="AD6534">
        <v>-1.105909356125</v>
      </c>
      <c r="AE6534">
        <v>5.6258999999999997</v>
      </c>
      <c r="AF6534">
        <v>2.9220980474174398</v>
      </c>
      <c r="AG6534">
        <v>-1.105909356125</v>
      </c>
      <c r="AH6534">
        <v>6.3580896670581399</v>
      </c>
      <c r="AI6534">
        <v>98.981036593725307</v>
      </c>
      <c r="AJ6534">
        <v>65.317083311421896</v>
      </c>
      <c r="AK6534">
        <v>7.0842781366231797</v>
      </c>
      <c r="AL6534">
        <v>91.527976454453693</v>
      </c>
      <c r="AM6534">
        <v>79.2653149659874</v>
      </c>
      <c r="AN6534">
        <v>1.00000003414932</v>
      </c>
    </row>
    <row r="6535" spans="1:40" x14ac:dyDescent="0.3">
      <c r="A6535" t="str">
        <f>"20200111160640342"</f>
        <v>20200111160640342</v>
      </c>
      <c r="B6535" t="str">
        <f>"1578730000339059"</f>
        <v>1578730000339059</v>
      </c>
      <c r="C6535" t="s">
        <v>40</v>
      </c>
      <c r="D6535">
        <v>5.6440099999999997</v>
      </c>
      <c r="E6535">
        <v>0.59770029999999996</v>
      </c>
      <c r="F6535" t="s">
        <v>75</v>
      </c>
      <c r="G6535">
        <v>-186.2929</v>
      </c>
      <c r="H6535" s="1">
        <v>-1.411938E-6</v>
      </c>
      <c r="I6535">
        <v>121.0994</v>
      </c>
      <c r="J6535">
        <v>-190.785</v>
      </c>
      <c r="K6535">
        <v>1.10588</v>
      </c>
      <c r="L6535">
        <v>115.48269999999999</v>
      </c>
      <c r="M6535">
        <v>0.2387736</v>
      </c>
      <c r="N6535">
        <v>0</v>
      </c>
      <c r="O6535">
        <v>0.97097310000000003</v>
      </c>
      <c r="P6535">
        <v>0.41770489999999999</v>
      </c>
      <c r="Q6535">
        <v>-3.8418010000000002E-2</v>
      </c>
      <c r="R6535">
        <v>0.90777019999999997</v>
      </c>
      <c r="S6535">
        <v>1.904968</v>
      </c>
      <c r="T6535">
        <v>-0.46554659999999898</v>
      </c>
      <c r="U6535">
        <v>2.4139249999999999</v>
      </c>
      <c r="V6535">
        <v>0.1885618</v>
      </c>
      <c r="W6535">
        <v>-2.6697160000000001E-2</v>
      </c>
      <c r="X6535">
        <v>0.98169839999999997</v>
      </c>
      <c r="Y6535">
        <v>0.40671230000000003</v>
      </c>
      <c r="Z6535">
        <v>-0.15306159999999999</v>
      </c>
      <c r="AA6535">
        <v>0.90064270000000002</v>
      </c>
      <c r="AB6535">
        <v>22</v>
      </c>
      <c r="AC6535">
        <v>4.49209999999999</v>
      </c>
      <c r="AD6535">
        <v>-1.105881411938</v>
      </c>
      <c r="AE6535">
        <v>5.6166999999999998</v>
      </c>
      <c r="AF6535">
        <v>2.95111455308869</v>
      </c>
      <c r="AG6535">
        <v>-1.105881411938</v>
      </c>
      <c r="AH6535">
        <v>6.3761544659256399</v>
      </c>
      <c r="AI6535">
        <v>98.944902803998602</v>
      </c>
      <c r="AJ6535">
        <v>65.163596296497403</v>
      </c>
      <c r="AK6535">
        <v>7.1124817452184201</v>
      </c>
      <c r="AL6535">
        <v>91.529816326068001</v>
      </c>
      <c r="AM6535">
        <v>79.127213245766896</v>
      </c>
      <c r="AN6535">
        <v>1.0000000196669301</v>
      </c>
    </row>
    <row r="6536" spans="1:40" x14ac:dyDescent="0.3">
      <c r="A6536" t="str">
        <f>"20200111160640355"</f>
        <v>20200111160640355</v>
      </c>
      <c r="B6536" t="str">
        <f>"1578730000349795"</f>
        <v>1578730000349795</v>
      </c>
      <c r="C6536" t="s">
        <v>40</v>
      </c>
      <c r="D6536">
        <v>5.6293360000000003</v>
      </c>
      <c r="E6536">
        <v>0.59787089999999998</v>
      </c>
      <c r="F6536" t="s">
        <v>75</v>
      </c>
      <c r="G6536">
        <v>-185.98519999999999</v>
      </c>
      <c r="H6536" s="1">
        <v>-1.599694E-6</v>
      </c>
      <c r="I6536">
        <v>121.4589</v>
      </c>
      <c r="J6536">
        <v>-190.75069999999999</v>
      </c>
      <c r="K6536">
        <v>1.105856</v>
      </c>
      <c r="L6536">
        <v>115.60120000000001</v>
      </c>
      <c r="M6536">
        <v>0.24301919999999999</v>
      </c>
      <c r="N6536">
        <v>0</v>
      </c>
      <c r="O6536">
        <v>0.96991910000000003</v>
      </c>
      <c r="P6536">
        <v>0.42356559999999999</v>
      </c>
      <c r="Q6536">
        <v>-3.8362439999999998E-2</v>
      </c>
      <c r="R6536">
        <v>0.90505279999999999</v>
      </c>
      <c r="S6536">
        <v>1.9270320000000001</v>
      </c>
      <c r="T6536">
        <v>-0.44398670000000001</v>
      </c>
      <c r="U6536">
        <v>2.3993069999999999</v>
      </c>
      <c r="V6536">
        <v>0.1906109</v>
      </c>
      <c r="W6536">
        <v>-2.6677329999999999E-2</v>
      </c>
      <c r="X6536">
        <v>0.98130309999999998</v>
      </c>
      <c r="Y6536">
        <v>0.41111439999999999</v>
      </c>
      <c r="Z6536">
        <v>-0.14607410000000001</v>
      </c>
      <c r="AA6536">
        <v>0.899804099999999</v>
      </c>
      <c r="AB6536">
        <v>22</v>
      </c>
      <c r="AC6536">
        <v>4.7655000000000003</v>
      </c>
      <c r="AD6536">
        <v>-1.1058575996940001</v>
      </c>
      <c r="AE6536">
        <v>5.8576999999999897</v>
      </c>
      <c r="AF6536">
        <v>3.1317689276635701</v>
      </c>
      <c r="AG6536">
        <v>-1.1058575996940001</v>
      </c>
      <c r="AH6536">
        <v>6.6966641649343703</v>
      </c>
      <c r="AI6536">
        <v>98.5075678808888</v>
      </c>
      <c r="AJ6536">
        <v>64.936339632371997</v>
      </c>
      <c r="AK6536">
        <v>7.4750390356837597</v>
      </c>
      <c r="AL6536">
        <v>91.528679799584694</v>
      </c>
      <c r="AM6536">
        <v>79.007601143890298</v>
      </c>
      <c r="AN6536">
        <v>0.99999998460217399</v>
      </c>
    </row>
    <row r="6537" spans="1:40" x14ac:dyDescent="0.3">
      <c r="A6537" t="str">
        <f>"20200111160640369"</f>
        <v>20200111160640369</v>
      </c>
      <c r="B6537" t="str">
        <f>"1578730000359556"</f>
        <v>1578730000359556</v>
      </c>
      <c r="C6537" t="s">
        <v>40</v>
      </c>
      <c r="D6537">
        <v>5.6310589999999996</v>
      </c>
      <c r="E6537">
        <v>0.59797419999999901</v>
      </c>
      <c r="F6537" t="s">
        <v>75</v>
      </c>
      <c r="G6537">
        <v>-185.78970000000001</v>
      </c>
      <c r="H6537" s="1">
        <v>-1.7187430000000001E-6</v>
      </c>
      <c r="I6537">
        <v>121.6865</v>
      </c>
      <c r="J6537">
        <v>-190.7149</v>
      </c>
      <c r="K6537">
        <v>1.1058330000000001</v>
      </c>
      <c r="L6537">
        <v>115.7234</v>
      </c>
      <c r="M6537">
        <v>0.247421</v>
      </c>
      <c r="N6537">
        <v>0</v>
      </c>
      <c r="O6537">
        <v>0.96880560000000004</v>
      </c>
      <c r="P6537">
        <v>0.42928139999999998</v>
      </c>
      <c r="Q6537">
        <v>-3.761552E-2</v>
      </c>
      <c r="R6537">
        <v>0.9023871</v>
      </c>
      <c r="S6537">
        <v>1.94516</v>
      </c>
      <c r="T6537">
        <v>-0.43359639999999999</v>
      </c>
      <c r="U6537">
        <v>2.386002</v>
      </c>
      <c r="V6537">
        <v>0.19235910000000001</v>
      </c>
      <c r="W6537">
        <v>-2.5961540000000002E-2</v>
      </c>
      <c r="X6537">
        <v>0.98098110000000005</v>
      </c>
      <c r="Y6537">
        <v>0.41386539999999999</v>
      </c>
      <c r="Z6537">
        <v>-0.14270469999999999</v>
      </c>
      <c r="AA6537">
        <v>0.89908330000000003</v>
      </c>
      <c r="AB6537">
        <v>22</v>
      </c>
      <c r="AC6537">
        <v>4.9251999999999896</v>
      </c>
      <c r="AD6537">
        <v>-1.105834718743</v>
      </c>
      <c r="AE6537">
        <v>5.9630999999999901</v>
      </c>
      <c r="AF6537">
        <v>3.2304497488183301</v>
      </c>
      <c r="AG6537">
        <v>-1.105834718743</v>
      </c>
      <c r="AH6537">
        <v>6.8562101214027997</v>
      </c>
      <c r="AI6537">
        <v>98.301163564224694</v>
      </c>
      <c r="AJ6537">
        <v>64.771530032693505</v>
      </c>
      <c r="AK6537">
        <v>7.6593924846324501</v>
      </c>
      <c r="AL6537">
        <v>91.487653859141602</v>
      </c>
      <c r="AM6537">
        <v>78.905722156984098</v>
      </c>
      <c r="AN6537">
        <v>0.99999997173459498</v>
      </c>
    </row>
    <row r="6538" spans="1:40" x14ac:dyDescent="0.3">
      <c r="A6538" t="str">
        <f>"20200111160640386"</f>
        <v>20200111160640386</v>
      </c>
      <c r="B6538" t="str">
        <f>"1578730000379074"</f>
        <v>1578730000379074</v>
      </c>
      <c r="C6538" t="s">
        <v>40</v>
      </c>
      <c r="D6538">
        <v>5.5924630000000004</v>
      </c>
      <c r="E6538">
        <v>0.59803059999999997</v>
      </c>
      <c r="F6538" t="s">
        <v>75</v>
      </c>
      <c r="G6538">
        <v>-185.5736</v>
      </c>
      <c r="H6538" s="1">
        <v>-1.8858589999999999E-6</v>
      </c>
      <c r="I6538">
        <v>121.94280000000001</v>
      </c>
      <c r="J6538">
        <v>-190.6653</v>
      </c>
      <c r="K6538">
        <v>1.105809</v>
      </c>
      <c r="L6538">
        <v>115.88930000000001</v>
      </c>
      <c r="M6538">
        <v>0.2534534</v>
      </c>
      <c r="N6538">
        <v>0</v>
      </c>
      <c r="O6538">
        <v>0.96724469999999996</v>
      </c>
      <c r="P6538">
        <v>0.43821280000000001</v>
      </c>
      <c r="Q6538">
        <v>-3.5433680000000002E-2</v>
      </c>
      <c r="R6538">
        <v>0.89817259999999999</v>
      </c>
      <c r="S6538">
        <v>1.962097</v>
      </c>
      <c r="T6538">
        <v>-0.42202000000000001</v>
      </c>
      <c r="U6538">
        <v>2.373535</v>
      </c>
      <c r="V6538">
        <v>0.19597529999999999</v>
      </c>
      <c r="W6538">
        <v>-2.3837480000000001E-2</v>
      </c>
      <c r="X6538">
        <v>0.98031900000000005</v>
      </c>
      <c r="Y6538">
        <v>0.41468729999999998</v>
      </c>
      <c r="Z6538">
        <v>-0.1388971</v>
      </c>
      <c r="AA6538">
        <v>0.89930089999999996</v>
      </c>
      <c r="AB6538">
        <v>22</v>
      </c>
      <c r="AC6538">
        <v>5.0917000000000003</v>
      </c>
      <c r="AD6538">
        <v>-1.1058108858589999</v>
      </c>
      <c r="AE6538">
        <v>6.0534999999999997</v>
      </c>
      <c r="AF6538">
        <v>3.3259772693359002</v>
      </c>
      <c r="AG6538">
        <v>-1.1058108858589999</v>
      </c>
      <c r="AH6538">
        <v>7.0094493613726101</v>
      </c>
      <c r="AI6538">
        <v>98.111661561942796</v>
      </c>
      <c r="AJ6538">
        <v>64.615703578263606</v>
      </c>
      <c r="AK6538">
        <v>7.8369204960284096</v>
      </c>
      <c r="AL6538">
        <v>91.365916455400694</v>
      </c>
      <c r="AM6538">
        <v>78.695041146916594</v>
      </c>
      <c r="AN6538">
        <v>0.99999994271191806</v>
      </c>
    </row>
    <row r="6539" spans="1:40" x14ac:dyDescent="0.3">
      <c r="A6539" t="str">
        <f>"20200111160640399"</f>
        <v>20200111160640399</v>
      </c>
      <c r="B6539" t="str">
        <f>"1578730000388835"</f>
        <v>1578730000388835</v>
      </c>
      <c r="C6539" t="s">
        <v>40</v>
      </c>
      <c r="D6539">
        <v>5.5590129999999904</v>
      </c>
      <c r="E6539">
        <v>0.5980955</v>
      </c>
      <c r="F6539" t="s">
        <v>75</v>
      </c>
      <c r="G6539">
        <v>-185.1645</v>
      </c>
      <c r="H6539" s="1">
        <v>-2.1948959999999998E-6</v>
      </c>
      <c r="I6539">
        <v>122.4027</v>
      </c>
      <c r="J6539">
        <v>-190.62719999999999</v>
      </c>
      <c r="K6539">
        <v>1.1057939999999999</v>
      </c>
      <c r="L6539">
        <v>116.0138</v>
      </c>
      <c r="M6539">
        <v>0.25801990000000002</v>
      </c>
      <c r="N6539">
        <v>0</v>
      </c>
      <c r="O6539">
        <v>0.96603660000000002</v>
      </c>
      <c r="P6539">
        <v>0.4435016</v>
      </c>
      <c r="Q6539">
        <v>-3.436078E-2</v>
      </c>
      <c r="R6539">
        <v>0.89561469999999899</v>
      </c>
      <c r="S6539">
        <v>1.988297</v>
      </c>
      <c r="T6539">
        <v>-0.39970169999999999</v>
      </c>
      <c r="U6539">
        <v>2.354279</v>
      </c>
      <c r="V6539">
        <v>0.19712460000000001</v>
      </c>
      <c r="W6539">
        <v>-2.2784370000000002E-2</v>
      </c>
      <c r="X6539">
        <v>0.98011360000000003</v>
      </c>
      <c r="Y6539">
        <v>0.4205141</v>
      </c>
      <c r="Z6539">
        <v>-0.1316696</v>
      </c>
      <c r="AA6539">
        <v>0.8976809</v>
      </c>
      <c r="AB6539">
        <v>21</v>
      </c>
      <c r="AC6539">
        <v>5.4626999999999803</v>
      </c>
      <c r="AD6539">
        <v>-1.105796194896</v>
      </c>
      <c r="AE6539">
        <v>6.3888999999999898</v>
      </c>
      <c r="AF6539">
        <v>3.56733180357989</v>
      </c>
      <c r="AG6539">
        <v>-1.105796194896</v>
      </c>
      <c r="AH6539">
        <v>7.4531709027173303</v>
      </c>
      <c r="AI6539">
        <v>97.622407297857393</v>
      </c>
      <c r="AJ6539">
        <v>64.422695833126895</v>
      </c>
      <c r="AK6539">
        <v>8.3365699137349907</v>
      </c>
      <c r="AL6539">
        <v>91.305561277726994</v>
      </c>
      <c r="AM6539">
        <v>78.628144363970094</v>
      </c>
      <c r="AN6539">
        <v>0.99999995217320703</v>
      </c>
    </row>
    <row r="6540" spans="1:40" x14ac:dyDescent="0.3">
      <c r="A6540" t="str">
        <f>"20200111160640414"</f>
        <v>20200111160640414</v>
      </c>
      <c r="B6540" t="str">
        <f>"1578730000409332"</f>
        <v>1578730000409332</v>
      </c>
      <c r="C6540" t="s">
        <v>40</v>
      </c>
      <c r="D6540">
        <v>6.5898770000000004</v>
      </c>
      <c r="E6540">
        <v>0.59769609999999995</v>
      </c>
      <c r="F6540" t="s">
        <v>75</v>
      </c>
      <c r="G6540">
        <v>-184.94120000000001</v>
      </c>
      <c r="H6540" s="1">
        <v>-2.3682550000000001E-6</v>
      </c>
      <c r="I6540">
        <v>122.6622</v>
      </c>
      <c r="J6540">
        <v>-190.58789999999999</v>
      </c>
      <c r="K6540">
        <v>1.10578</v>
      </c>
      <c r="L6540">
        <v>116.1396</v>
      </c>
      <c r="M6540">
        <v>0.26266630000000002</v>
      </c>
      <c r="N6540">
        <v>0</v>
      </c>
      <c r="O6540">
        <v>0.96478339999999996</v>
      </c>
      <c r="P6540">
        <v>0.44876939999999998</v>
      </c>
      <c r="Q6540">
        <v>-3.3192939999999997E-2</v>
      </c>
      <c r="R6540">
        <v>0.89303089999999996</v>
      </c>
      <c r="S6540">
        <v>2.003479</v>
      </c>
      <c r="T6540">
        <v>-0.3896346</v>
      </c>
      <c r="U6540">
        <v>2.342606</v>
      </c>
      <c r="V6540">
        <v>0.19818079999999999</v>
      </c>
      <c r="W6540">
        <v>-2.1633289999999999E-2</v>
      </c>
      <c r="X6540">
        <v>0.97992670000000004</v>
      </c>
      <c r="Y6540">
        <v>0.42201339999999998</v>
      </c>
      <c r="Z6540">
        <v>-0.12836610000000001</v>
      </c>
      <c r="AA6540">
        <v>0.89745580000000003</v>
      </c>
      <c r="AB6540">
        <v>21</v>
      </c>
      <c r="AC6540">
        <v>5.6466999999999796</v>
      </c>
      <c r="AD6540">
        <v>-1.1057823682549901</v>
      </c>
      <c r="AE6540">
        <v>6.52259999999999</v>
      </c>
      <c r="AF6540">
        <v>3.6745803164478401</v>
      </c>
      <c r="AG6540">
        <v>-1.1057823682549901</v>
      </c>
      <c r="AH6540">
        <v>7.6511732390948701</v>
      </c>
      <c r="AI6540">
        <v>97.422620821130494</v>
      </c>
      <c r="AJ6540">
        <v>64.346718530924903</v>
      </c>
      <c r="AK6540">
        <v>8.5595412892637501</v>
      </c>
      <c r="AL6540">
        <v>91.239592935911801</v>
      </c>
      <c r="AM6540">
        <v>78.5666907312755</v>
      </c>
      <c r="AN6540">
        <v>0.99999998304887705</v>
      </c>
    </row>
    <row r="6541" spans="1:40" x14ac:dyDescent="0.3">
      <c r="A6541" t="str">
        <f>"20200111160640429"</f>
        <v>20200111160640429</v>
      </c>
      <c r="B6541" t="str">
        <f>"1578730000419091"</f>
        <v>1578730000419091</v>
      </c>
      <c r="C6541" t="s">
        <v>40</v>
      </c>
      <c r="D6541">
        <v>5.6718260000000003</v>
      </c>
      <c r="E6541">
        <v>0.52749650000000003</v>
      </c>
      <c r="F6541" t="s">
        <v>75</v>
      </c>
      <c r="G6541">
        <v>-184.7543</v>
      </c>
      <c r="H6541" s="1">
        <v>-2.5205260000000001E-6</v>
      </c>
      <c r="I6541">
        <v>122.8925</v>
      </c>
      <c r="J6541">
        <v>-190.54040000000001</v>
      </c>
      <c r="K6541">
        <v>1.105769</v>
      </c>
      <c r="L6541">
        <v>116.28959999999999</v>
      </c>
      <c r="M6541">
        <v>0.26823049999999998</v>
      </c>
      <c r="N6541">
        <v>0</v>
      </c>
      <c r="O6541">
        <v>0.96325119999999997</v>
      </c>
      <c r="P6541">
        <v>0.45467999999999997</v>
      </c>
      <c r="Q6541">
        <v>-3.1969089999999999E-2</v>
      </c>
      <c r="R6541">
        <v>0.89008089999999995</v>
      </c>
      <c r="S6541">
        <v>2.015015</v>
      </c>
      <c r="T6541">
        <v>-0.38195620000000002</v>
      </c>
      <c r="U6541">
        <v>2.3325499999999999</v>
      </c>
      <c r="V6541">
        <v>0.19902230000000001</v>
      </c>
      <c r="W6541">
        <v>-2.0422269999999999E-2</v>
      </c>
      <c r="X6541">
        <v>0.97978220000000005</v>
      </c>
      <c r="Y6541">
        <v>0.42146070000000002</v>
      </c>
      <c r="Z6541">
        <v>-0.1258311</v>
      </c>
      <c r="AA6541">
        <v>0.89807429999999999</v>
      </c>
      <c r="AB6541">
        <v>21</v>
      </c>
      <c r="AC6541">
        <v>5.7861000000000002</v>
      </c>
      <c r="AD6541">
        <v>-1.1057715205259999</v>
      </c>
      <c r="AE6541">
        <v>6.6029</v>
      </c>
      <c r="AF6541">
        <v>3.74336436013387</v>
      </c>
      <c r="AG6541">
        <v>-1.1057715205259999</v>
      </c>
      <c r="AH6541">
        <v>7.7894793027547697</v>
      </c>
      <c r="AI6541">
        <v>97.291335701415704</v>
      </c>
      <c r="AJ6541">
        <v>64.332610628602097</v>
      </c>
      <c r="AK6541">
        <v>8.7127203097753494</v>
      </c>
      <c r="AL6541">
        <v>91.170191169340896</v>
      </c>
      <c r="AM6541">
        <v>78.517781720328799</v>
      </c>
      <c r="AN6541">
        <v>1.0000000522230399</v>
      </c>
    </row>
    <row r="6542" spans="1:40" x14ac:dyDescent="0.3">
      <c r="A6542" t="str">
        <f>"20200111160640441"</f>
        <v>20200111160640441</v>
      </c>
      <c r="B6542" t="str">
        <f>"1578730000439587"</f>
        <v>1578730000439587</v>
      </c>
      <c r="C6542" t="s">
        <v>40</v>
      </c>
      <c r="D6542">
        <v>5.6303799999999997</v>
      </c>
      <c r="E6542">
        <v>0.52626260000000002</v>
      </c>
      <c r="F6542" t="s">
        <v>102</v>
      </c>
      <c r="G6542">
        <v>-163.94900000000001</v>
      </c>
      <c r="H6542">
        <v>5.0969769999999999</v>
      </c>
      <c r="I6542">
        <v>158.94730000000001</v>
      </c>
      <c r="J6542">
        <v>-190.5033</v>
      </c>
      <c r="K6542">
        <v>1.105761</v>
      </c>
      <c r="L6542">
        <v>116.4046</v>
      </c>
      <c r="M6542">
        <v>0.27252150000000003</v>
      </c>
      <c r="N6542">
        <v>0</v>
      </c>
      <c r="O6542">
        <v>0.96204599999999996</v>
      </c>
      <c r="P6542">
        <v>0.45849620000000002</v>
      </c>
      <c r="Q6542">
        <v>-3.146823E-2</v>
      </c>
      <c r="R6542">
        <v>0.88813909999999996</v>
      </c>
      <c r="S6542">
        <v>1.597656</v>
      </c>
      <c r="T6542">
        <v>0.23979900000000001</v>
      </c>
      <c r="U6542">
        <v>2.5629580000000001</v>
      </c>
      <c r="V6542">
        <v>0.1988608</v>
      </c>
      <c r="W6542">
        <v>-1.9919160000000002E-2</v>
      </c>
      <c r="X6542">
        <v>0.97982530000000001</v>
      </c>
      <c r="Y6542">
        <v>0.27597240000000001</v>
      </c>
      <c r="Z6542">
        <v>7.9204659999999996E-2</v>
      </c>
      <c r="AA6542">
        <v>0.95789659999999999</v>
      </c>
      <c r="AB6542">
        <v>21</v>
      </c>
      <c r="AC6542">
        <v>26.554299999999898</v>
      </c>
      <c r="AD6542">
        <v>3.9912160000000001</v>
      </c>
      <c r="AE6542">
        <v>42.542700000000004</v>
      </c>
      <c r="AF6542">
        <v>13.866222746080499</v>
      </c>
      <c r="AG6542">
        <v>3.9912160000000001</v>
      </c>
      <c r="AH6542">
        <v>47.866278159150497</v>
      </c>
      <c r="AI6542">
        <v>85.420965549849001</v>
      </c>
      <c r="AJ6542">
        <v>73.844402155661797</v>
      </c>
      <c r="AK6542">
        <v>49.993824850792798</v>
      </c>
      <c r="AL6542">
        <v>91.141359279409002</v>
      </c>
      <c r="AM6542">
        <v>78.527343273528899</v>
      </c>
      <c r="AN6542">
        <v>1.0000000046159101</v>
      </c>
    </row>
    <row r="6543" spans="1:40" x14ac:dyDescent="0.3">
      <c r="A6543" t="str">
        <f>"20200111160640454"</f>
        <v>20200111160640454</v>
      </c>
      <c r="B6543" t="str">
        <f>"1578730000449347"</f>
        <v>1578730000449347</v>
      </c>
      <c r="C6543" t="s">
        <v>40</v>
      </c>
      <c r="D6543">
        <v>5.6179230000000002</v>
      </c>
      <c r="E6543">
        <v>0.52502519999999997</v>
      </c>
      <c r="F6543" t="s">
        <v>70</v>
      </c>
      <c r="G6543">
        <v>-160.42179999999999</v>
      </c>
      <c r="H6543">
        <v>3.5904750000000001</v>
      </c>
      <c r="I6543">
        <v>164.96430000000001</v>
      </c>
      <c r="J6543">
        <v>-190.46690000000001</v>
      </c>
      <c r="K6543">
        <v>1.1057570000000001</v>
      </c>
      <c r="L6543">
        <v>116.5151</v>
      </c>
      <c r="M6543">
        <v>0.27666839999999998</v>
      </c>
      <c r="N6543">
        <v>0</v>
      </c>
      <c r="O6543">
        <v>0.96086150000000004</v>
      </c>
      <c r="P6543">
        <v>0.46191599999999999</v>
      </c>
      <c r="Q6543">
        <v>-3.1161210000000002E-2</v>
      </c>
      <c r="R6543">
        <v>0.8863761</v>
      </c>
      <c r="S6543">
        <v>1.5876459999999999</v>
      </c>
      <c r="T6543">
        <v>0.13114039999999999</v>
      </c>
      <c r="U6543">
        <v>2.562897</v>
      </c>
      <c r="V6543">
        <v>0.1984117</v>
      </c>
      <c r="W6543">
        <v>-1.960518E-2</v>
      </c>
      <c r="X6543">
        <v>0.97992270000000004</v>
      </c>
      <c r="Y6543">
        <v>0.27032399999999901</v>
      </c>
      <c r="Z6543">
        <v>4.3419510000000001E-2</v>
      </c>
      <c r="AA6543">
        <v>0.96178980000000003</v>
      </c>
      <c r="AB6543">
        <v>21</v>
      </c>
      <c r="AC6543">
        <v>30.045100000000001</v>
      </c>
      <c r="AD6543">
        <v>2.484718</v>
      </c>
      <c r="AE6543">
        <v>48.449199999999998</v>
      </c>
      <c r="AF6543">
        <v>15.437037690354799</v>
      </c>
      <c r="AG6543">
        <v>2.484718</v>
      </c>
      <c r="AH6543">
        <v>54.766945594460701</v>
      </c>
      <c r="AI6543">
        <v>87.499630183478402</v>
      </c>
      <c r="AJ6543">
        <v>74.258565612704103</v>
      </c>
      <c r="AK6543">
        <v>56.955195425348002</v>
      </c>
      <c r="AL6543">
        <v>91.123366006024</v>
      </c>
      <c r="AM6543">
        <v>78.553675731054497</v>
      </c>
      <c r="AN6543">
        <v>1.0000000318775</v>
      </c>
    </row>
    <row r="6544" spans="1:40" x14ac:dyDescent="0.3">
      <c r="A6544" t="str">
        <f>"20200111160640467"</f>
        <v>20200111160640467</v>
      </c>
      <c r="B6544" t="str">
        <f>"1578730000459107"</f>
        <v>1578730000459107</v>
      </c>
      <c r="C6544" t="s">
        <v>40</v>
      </c>
      <c r="D6544">
        <v>5.591253</v>
      </c>
      <c r="E6544">
        <v>0.52373420000000004</v>
      </c>
      <c r="F6544" t="s">
        <v>70</v>
      </c>
      <c r="G6544">
        <v>-160.45660000000001</v>
      </c>
      <c r="H6544">
        <v>3.0758969999999999</v>
      </c>
      <c r="I6544">
        <v>164.99950000000001</v>
      </c>
      <c r="J6544">
        <v>-190.42580000000001</v>
      </c>
      <c r="K6544">
        <v>1.1057520000000001</v>
      </c>
      <c r="L6544">
        <v>116.6383</v>
      </c>
      <c r="M6544">
        <v>0.28130379999999999</v>
      </c>
      <c r="N6544">
        <v>0</v>
      </c>
      <c r="O6544">
        <v>0.9595146</v>
      </c>
      <c r="P6544">
        <v>0.46603539999999999</v>
      </c>
      <c r="Q6544">
        <v>-3.0733070000000001E-2</v>
      </c>
      <c r="R6544">
        <v>0.88423220000000002</v>
      </c>
      <c r="S6544">
        <v>1.585709</v>
      </c>
      <c r="T6544">
        <v>0.1041015</v>
      </c>
      <c r="U6544">
        <v>2.5618590000000001</v>
      </c>
      <c r="V6544">
        <v>0.19824130000000001</v>
      </c>
      <c r="W6544">
        <v>-1.9173849999999999E-2</v>
      </c>
      <c r="X6544">
        <v>0.97996570000000005</v>
      </c>
      <c r="Y6544">
        <v>0.26551079999999999</v>
      </c>
      <c r="Z6544">
        <v>3.4451099999999998E-2</v>
      </c>
      <c r="AA6544">
        <v>0.96349220000000002</v>
      </c>
      <c r="AB6544">
        <v>21</v>
      </c>
      <c r="AC6544">
        <v>29.969200000000001</v>
      </c>
      <c r="AD6544">
        <v>1.970145</v>
      </c>
      <c r="AE6544">
        <v>48.361199999999997</v>
      </c>
      <c r="AF6544">
        <v>15.1350616782802</v>
      </c>
      <c r="AG6544">
        <v>1.970145</v>
      </c>
      <c r="AH6544">
        <v>54.773529373976302</v>
      </c>
      <c r="AI6544">
        <v>88.014367877763505</v>
      </c>
      <c r="AJ6544">
        <v>74.553420585483593</v>
      </c>
      <c r="AK6544">
        <v>56.860276849556598</v>
      </c>
      <c r="AL6544">
        <v>91.098647993733707</v>
      </c>
      <c r="AM6544">
        <v>78.563735525849097</v>
      </c>
      <c r="AN6544">
        <v>1.0000000113630001</v>
      </c>
    </row>
    <row r="6545" spans="1:40" x14ac:dyDescent="0.3">
      <c r="A6545" t="str">
        <f>"20200111160640479"</f>
        <v>20200111160640479</v>
      </c>
      <c r="B6545" t="str">
        <f>"1578730000468867"</f>
        <v>1578730000468867</v>
      </c>
      <c r="C6545" t="s">
        <v>40</v>
      </c>
      <c r="D6545">
        <v>5.5966670000000001</v>
      </c>
      <c r="E6545">
        <v>0.52333869999999905</v>
      </c>
      <c r="F6545" t="s">
        <v>70</v>
      </c>
      <c r="G6545">
        <v>-160.44159999999999</v>
      </c>
      <c r="H6545">
        <v>2.941341</v>
      </c>
      <c r="I6545">
        <v>164.9845</v>
      </c>
      <c r="J6545">
        <v>-190.38839999999999</v>
      </c>
      <c r="K6545">
        <v>1.105745</v>
      </c>
      <c r="L6545">
        <v>116.7486</v>
      </c>
      <c r="M6545">
        <v>0.28547460000000002</v>
      </c>
      <c r="N6545">
        <v>0</v>
      </c>
      <c r="O6545">
        <v>0.95828190000000002</v>
      </c>
      <c r="P6545">
        <v>0.46918140000000003</v>
      </c>
      <c r="Q6545">
        <v>-3.091325E-2</v>
      </c>
      <c r="R6545">
        <v>0.88256060000000003</v>
      </c>
      <c r="S6545">
        <v>1.587402</v>
      </c>
      <c r="T6545">
        <v>9.7180009999999997E-2</v>
      </c>
      <c r="U6545">
        <v>2.5595089999999998</v>
      </c>
      <c r="V6545">
        <v>0.19746839999999999</v>
      </c>
      <c r="W6545">
        <v>-1.934222E-2</v>
      </c>
      <c r="X6545">
        <v>0.98011839999999995</v>
      </c>
      <c r="Y6545">
        <v>0.262214</v>
      </c>
      <c r="Z6545">
        <v>3.2137029999999997E-2</v>
      </c>
      <c r="AA6545">
        <v>0.96447450000000001</v>
      </c>
      <c r="AB6545">
        <v>21</v>
      </c>
      <c r="AC6545">
        <v>29.9468</v>
      </c>
      <c r="AD6545">
        <v>1.835596</v>
      </c>
      <c r="AE6545">
        <v>48.235900000000001</v>
      </c>
      <c r="AF6545">
        <v>14.913257250849499</v>
      </c>
      <c r="AG6545">
        <v>1.835596</v>
      </c>
      <c r="AH6545">
        <v>54.720922533448302</v>
      </c>
      <c r="AI6545">
        <v>88.146309690929897</v>
      </c>
      <c r="AJ6545">
        <v>74.755242138661202</v>
      </c>
      <c r="AK6545">
        <v>56.746400920383302</v>
      </c>
      <c r="AL6545">
        <v>91.108296703467801</v>
      </c>
      <c r="AM6545">
        <v>78.608883412133594</v>
      </c>
      <c r="AN6545">
        <v>0.99999998424582404</v>
      </c>
    </row>
    <row r="6546" spans="1:40" x14ac:dyDescent="0.3">
      <c r="A6546" t="str">
        <f>"20200111160640492"</f>
        <v>20200111160640492</v>
      </c>
      <c r="B6546" t="str">
        <f>"1578730000489363"</f>
        <v>1578730000489363</v>
      </c>
      <c r="C6546" t="s">
        <v>40</v>
      </c>
      <c r="D6546">
        <v>5.5737189999999996</v>
      </c>
      <c r="E6546">
        <v>0.52204729999999999</v>
      </c>
      <c r="F6546" t="s">
        <v>70</v>
      </c>
      <c r="G6546">
        <v>-160.4171</v>
      </c>
      <c r="H6546">
        <v>2.1202009999999998</v>
      </c>
      <c r="I6546">
        <v>164.9606</v>
      </c>
      <c r="J6546">
        <v>-190.35120000000001</v>
      </c>
      <c r="K6546">
        <v>1.1057399999999999</v>
      </c>
      <c r="L6546">
        <v>116.85680000000001</v>
      </c>
      <c r="M6546">
        <v>0.28958010000000001</v>
      </c>
      <c r="N6546">
        <v>0</v>
      </c>
      <c r="O6546">
        <v>0.95704929999999999</v>
      </c>
      <c r="P6546">
        <v>0.47228789999999998</v>
      </c>
      <c r="Q6546">
        <v>-3.0992280000000001E-2</v>
      </c>
      <c r="R6546">
        <v>0.88089930000000005</v>
      </c>
      <c r="S6546">
        <v>1.589127</v>
      </c>
      <c r="T6546">
        <v>5.3789730000000001E-2</v>
      </c>
      <c r="U6546">
        <v>2.5562740000000002</v>
      </c>
      <c r="V6546">
        <v>0.1967198</v>
      </c>
      <c r="W6546">
        <v>-1.9409450000000002E-2</v>
      </c>
      <c r="X6546">
        <v>0.98026760000000002</v>
      </c>
      <c r="Y6546">
        <v>0.25928709999999999</v>
      </c>
      <c r="Z6546">
        <v>1.778472E-2</v>
      </c>
      <c r="AA6546">
        <v>0.96563650000000001</v>
      </c>
      <c r="AB6546">
        <v>21</v>
      </c>
      <c r="AC6546">
        <v>29.934100000000001</v>
      </c>
      <c r="AD6546">
        <v>1.0144609999999901</v>
      </c>
      <c r="AE6546">
        <v>48.1037999999999</v>
      </c>
      <c r="AF6546">
        <v>14.715260632724201</v>
      </c>
      <c r="AG6546">
        <v>1.0144609999999901</v>
      </c>
      <c r="AH6546">
        <v>54.693964465123997</v>
      </c>
      <c r="AI6546">
        <v>88.9738839139752</v>
      </c>
      <c r="AJ6546">
        <v>74.941316604756395</v>
      </c>
      <c r="AK6546">
        <v>56.648016518866498</v>
      </c>
      <c r="AL6546">
        <v>91.112149418950295</v>
      </c>
      <c r="AM6546">
        <v>78.652626771051303</v>
      </c>
      <c r="AN6546">
        <v>0.99999998703555104</v>
      </c>
    </row>
    <row r="6547" spans="1:40" x14ac:dyDescent="0.3">
      <c r="A6547" t="str">
        <f>"20200111160640507"</f>
        <v>20200111160640507</v>
      </c>
      <c r="B6547" t="str">
        <f>"1578730000499126"</f>
        <v>1578730000499126</v>
      </c>
      <c r="C6547" t="s">
        <v>40</v>
      </c>
      <c r="D6547">
        <v>5.5785609999999997</v>
      </c>
      <c r="E6547">
        <v>0.52146199999999998</v>
      </c>
      <c r="F6547" t="s">
        <v>70</v>
      </c>
      <c r="G6547">
        <v>-160.51609999999999</v>
      </c>
      <c r="H6547">
        <v>1.021128</v>
      </c>
      <c r="I6547">
        <v>165.06030000000001</v>
      </c>
      <c r="J6547">
        <v>-190.29820000000001</v>
      </c>
      <c r="K6547">
        <v>1.105731</v>
      </c>
      <c r="L6547">
        <v>117.00830000000001</v>
      </c>
      <c r="M6547">
        <v>0.29534070000000001</v>
      </c>
      <c r="N6547">
        <v>0</v>
      </c>
      <c r="O6547">
        <v>0.9552872</v>
      </c>
      <c r="P6547">
        <v>0.47640189999999999</v>
      </c>
      <c r="Q6547">
        <v>-3.1316820000000002E-2</v>
      </c>
      <c r="R6547">
        <v>0.8786697</v>
      </c>
      <c r="S6547">
        <v>1.5825959999999999</v>
      </c>
      <c r="T6547">
        <v>-4.486561E-3</v>
      </c>
      <c r="U6547">
        <v>2.5569459999999999</v>
      </c>
      <c r="V6547">
        <v>0.19539770000000001</v>
      </c>
      <c r="W6547">
        <v>-1.9713290000000001E-2</v>
      </c>
      <c r="X6547">
        <v>0.98052600000000001</v>
      </c>
      <c r="Y6547">
        <v>0.25165120000000002</v>
      </c>
      <c r="Z6547">
        <v>-1.4817820000000001E-3</v>
      </c>
      <c r="AA6547">
        <v>0.96781680000000003</v>
      </c>
      <c r="AB6547">
        <v>21</v>
      </c>
      <c r="AC6547">
        <v>29.7821</v>
      </c>
      <c r="AD6547">
        <v>-8.4602999999999901E-2</v>
      </c>
      <c r="AE6547">
        <v>48.052</v>
      </c>
      <c r="AF6547">
        <v>14.2601434406542</v>
      </c>
      <c r="AG6547">
        <v>-8.4602999999999901E-2</v>
      </c>
      <c r="AH6547">
        <v>54.704681501447702</v>
      </c>
      <c r="AI6547">
        <v>90.085744805681003</v>
      </c>
      <c r="AJ6547">
        <v>75.389563394075793</v>
      </c>
      <c r="AK6547">
        <v>56.532831406099596</v>
      </c>
      <c r="AL6547">
        <v>91.129561422842698</v>
      </c>
      <c r="AM6547">
        <v>78.729824820255999</v>
      </c>
      <c r="AN6547">
        <v>1.00000005582195</v>
      </c>
    </row>
    <row r="6548" spans="1:40" x14ac:dyDescent="0.3">
      <c r="A6548" t="str">
        <f>"20200111160640530"</f>
        <v>20200111160640530</v>
      </c>
      <c r="B6548" t="str">
        <f>"1578730000519619"</f>
        <v>1578730000519619</v>
      </c>
      <c r="C6548" t="s">
        <v>40</v>
      </c>
      <c r="D6548">
        <v>5.455101</v>
      </c>
      <c r="E6548">
        <v>0.52072319999999905</v>
      </c>
      <c r="F6548" t="s">
        <v>70</v>
      </c>
      <c r="G6548">
        <v>-160.4409</v>
      </c>
      <c r="H6548">
        <v>0.64762690000000001</v>
      </c>
      <c r="I6548">
        <v>164.9854</v>
      </c>
      <c r="J6548">
        <v>-190.22720000000001</v>
      </c>
      <c r="K6548">
        <v>1.105729</v>
      </c>
      <c r="L6548">
        <v>117.2067</v>
      </c>
      <c r="M6548">
        <v>0.302923</v>
      </c>
      <c r="N6548">
        <v>0</v>
      </c>
      <c r="O6548">
        <v>0.95290989999999998</v>
      </c>
      <c r="P6548">
        <v>0.48212840000000001</v>
      </c>
      <c r="Q6548">
        <v>-3.1090349999999999E-2</v>
      </c>
      <c r="R6548">
        <v>0.87554880000000002</v>
      </c>
      <c r="S6548">
        <v>1.5883179999999999</v>
      </c>
      <c r="T6548">
        <v>-2.4368049999999999E-2</v>
      </c>
      <c r="U6548">
        <v>2.5522309999999999</v>
      </c>
      <c r="V6548">
        <v>0.1940075</v>
      </c>
      <c r="W6548">
        <v>-1.946376E-2</v>
      </c>
      <c r="X6548">
        <v>0.98080690000000004</v>
      </c>
      <c r="Y6548">
        <v>0.2463043</v>
      </c>
      <c r="Z6548">
        <v>-8.0321769999999997E-3</v>
      </c>
      <c r="AA6548">
        <v>0.9691592</v>
      </c>
      <c r="AB6548">
        <v>21</v>
      </c>
      <c r="AC6548">
        <v>29.786300000000001</v>
      </c>
      <c r="AD6548">
        <v>-0.45810210000000001</v>
      </c>
      <c r="AE6548">
        <v>47.778700000000001</v>
      </c>
      <c r="AF6548">
        <v>13.910865989214599</v>
      </c>
      <c r="AG6548">
        <v>-0.45810210000000001</v>
      </c>
      <c r="AH6548">
        <v>54.553606438222097</v>
      </c>
      <c r="AI6548">
        <v>90.466200292718298</v>
      </c>
      <c r="AJ6548">
        <v>75.694747598228702</v>
      </c>
      <c r="AK6548">
        <v>56.3011369824832</v>
      </c>
      <c r="AL6548">
        <v>91.1152617691492</v>
      </c>
      <c r="AM6548">
        <v>78.811102278154394</v>
      </c>
      <c r="AN6548">
        <v>0.99999996154859805</v>
      </c>
    </row>
    <row r="6549" spans="1:40" x14ac:dyDescent="0.3">
      <c r="A6549" t="str">
        <f>"20200111160640541"</f>
        <v>20200111160640541</v>
      </c>
      <c r="B6549" t="str">
        <f>"1578730000529379"</f>
        <v>1578730000529379</v>
      </c>
      <c r="C6549" t="s">
        <v>40</v>
      </c>
      <c r="D6549">
        <v>5.4813989999999997</v>
      </c>
      <c r="E6549">
        <v>0.52056939999999996</v>
      </c>
      <c r="F6549" t="s">
        <v>70</v>
      </c>
      <c r="G6549">
        <v>-160.32900000000001</v>
      </c>
      <c r="H6549">
        <v>0.10792160000000001</v>
      </c>
      <c r="I6549">
        <v>164.87389999999999</v>
      </c>
      <c r="J6549">
        <v>-190.18860000000001</v>
      </c>
      <c r="K6549">
        <v>1.1057239999999999</v>
      </c>
      <c r="L6549">
        <v>117.3125</v>
      </c>
      <c r="M6549">
        <v>0.30697609999999997</v>
      </c>
      <c r="N6549">
        <v>0</v>
      </c>
      <c r="O6549">
        <v>0.95161189999999996</v>
      </c>
      <c r="P6549">
        <v>0.48530020000000001</v>
      </c>
      <c r="Q6549">
        <v>-3.0864369999999999E-2</v>
      </c>
      <c r="R6549">
        <v>0.87380270000000004</v>
      </c>
      <c r="S6549">
        <v>1.5965419999999999</v>
      </c>
      <c r="T6549">
        <v>-5.3280470000000003E-2</v>
      </c>
      <c r="U6549">
        <v>2.5453950000000001</v>
      </c>
      <c r="V6549">
        <v>0.1933899</v>
      </c>
      <c r="W6549">
        <v>-1.922683E-2</v>
      </c>
      <c r="X6549">
        <v>0.98093350000000001</v>
      </c>
      <c r="Y6549">
        <v>0.245529</v>
      </c>
      <c r="Z6549">
        <v>-1.7552410000000001E-2</v>
      </c>
      <c r="AA6549">
        <v>0.96923029999999999</v>
      </c>
      <c r="AB6549">
        <v>21</v>
      </c>
      <c r="AC6549">
        <v>29.8596</v>
      </c>
      <c r="AD6549">
        <v>-0.99780239999999998</v>
      </c>
      <c r="AE6549">
        <v>47.5613999999999</v>
      </c>
      <c r="AF6549">
        <v>13.8115622106755</v>
      </c>
      <c r="AG6549">
        <v>-0.99780239999999998</v>
      </c>
      <c r="AH6549">
        <v>54.414455383651102</v>
      </c>
      <c r="AI6549">
        <v>91.018238592478198</v>
      </c>
      <c r="AJ6549">
        <v>75.757862997836895</v>
      </c>
      <c r="AK6549">
        <v>56.148800655296</v>
      </c>
      <c r="AL6549">
        <v>91.101684175722994</v>
      </c>
      <c r="AM6549">
        <v>78.847229775904296</v>
      </c>
      <c r="AN6549">
        <v>0.99999992791805103</v>
      </c>
    </row>
    <row r="6550" spans="1:40" x14ac:dyDescent="0.3">
      <c r="A6550" t="str">
        <f>"20200111160640553"</f>
        <v>20200111160640553</v>
      </c>
      <c r="B6550" t="str">
        <f>"1578730000548899"</f>
        <v>1578730000548899</v>
      </c>
      <c r="C6550" t="s">
        <v>40</v>
      </c>
      <c r="D6550">
        <v>5.6054089999999999</v>
      </c>
      <c r="E6550">
        <v>0.51963440000000005</v>
      </c>
      <c r="F6550" t="s">
        <v>44</v>
      </c>
      <c r="G6550">
        <v>-161.75550000000001</v>
      </c>
      <c r="H6550">
        <v>-0.05</v>
      </c>
      <c r="I6550">
        <v>162.374</v>
      </c>
      <c r="J6550">
        <v>-190.148</v>
      </c>
      <c r="K6550">
        <v>1.105728</v>
      </c>
      <c r="L6550">
        <v>117.4222</v>
      </c>
      <c r="M6550">
        <v>0.31119160000000001</v>
      </c>
      <c r="N6550">
        <v>0</v>
      </c>
      <c r="O6550">
        <v>0.95024169999999997</v>
      </c>
      <c r="P6550">
        <v>0.4887937</v>
      </c>
      <c r="Q6550">
        <v>-3.0660610000000001E-2</v>
      </c>
      <c r="R6550">
        <v>0.87186049999999904</v>
      </c>
      <c r="S6550">
        <v>1.6030879999999901</v>
      </c>
      <c r="T6550">
        <v>-6.5160990000000002E-2</v>
      </c>
      <c r="U6550">
        <v>2.540619</v>
      </c>
      <c r="V6550">
        <v>0.192968</v>
      </c>
      <c r="W6550">
        <v>-1.9014340000000001E-2</v>
      </c>
      <c r="X6550">
        <v>0.98102080000000003</v>
      </c>
      <c r="Y6550">
        <v>0.24379690000000001</v>
      </c>
      <c r="Z6550">
        <v>-2.144424E-2</v>
      </c>
      <c r="AA6550">
        <v>0.96958920000000004</v>
      </c>
      <c r="AB6550">
        <v>21</v>
      </c>
      <c r="AC6550">
        <v>28.392499999999899</v>
      </c>
      <c r="AD6550">
        <v>-1.1557280000000001</v>
      </c>
      <c r="AE6550">
        <v>44.951799999999899</v>
      </c>
      <c r="AF6550">
        <v>12.9862812308739</v>
      </c>
      <c r="AG6550">
        <v>-1.1557280000000001</v>
      </c>
      <c r="AH6550">
        <v>51.531401660533199</v>
      </c>
      <c r="AI6550">
        <v>91.245855170602695</v>
      </c>
      <c r="AJ6550">
        <v>75.855571764402896</v>
      </c>
      <c r="AK6550">
        <v>53.155099139372702</v>
      </c>
      <c r="AL6550">
        <v>91.089507087670796</v>
      </c>
      <c r="AM6550">
        <v>78.8719183190031</v>
      </c>
      <c r="AN6550">
        <v>1.0000000020911299</v>
      </c>
    </row>
    <row r="6551" spans="1:40" x14ac:dyDescent="0.3">
      <c r="A6551" t="str">
        <f>"20200111160640567"</f>
        <v>20200111160640567</v>
      </c>
      <c r="B6551" t="str">
        <f>"1578730000559635"</f>
        <v>1578730000559635</v>
      </c>
      <c r="C6551" t="s">
        <v>40</v>
      </c>
      <c r="D6551">
        <v>5.5842640000000001</v>
      </c>
      <c r="E6551">
        <v>0.5191924</v>
      </c>
      <c r="F6551" t="s">
        <v>41</v>
      </c>
      <c r="G6551">
        <v>-169.79750000000001</v>
      </c>
      <c r="H6551">
        <v>4.1570849999999999E-2</v>
      </c>
      <c r="I6551">
        <v>149.6163</v>
      </c>
      <c r="J6551">
        <v>-190.1028</v>
      </c>
      <c r="K6551">
        <v>1.105731</v>
      </c>
      <c r="L6551">
        <v>117.54259999999999</v>
      </c>
      <c r="M6551">
        <v>0.31582490000000002</v>
      </c>
      <c r="N6551">
        <v>0</v>
      </c>
      <c r="O6551">
        <v>0.94871179999999999</v>
      </c>
      <c r="P6551">
        <v>0.49275989999999997</v>
      </c>
      <c r="Q6551">
        <v>-3.0408939999999999E-2</v>
      </c>
      <c r="R6551">
        <v>0.86963380000000001</v>
      </c>
      <c r="S6551">
        <v>1.604568</v>
      </c>
      <c r="T6551">
        <v>-8.3905460000000001E-2</v>
      </c>
      <c r="U6551">
        <v>2.5384060000000002</v>
      </c>
      <c r="V6551">
        <v>0.19264990000000001</v>
      </c>
      <c r="W6551">
        <v>-1.875491E-2</v>
      </c>
      <c r="X6551">
        <v>0.98108830000000002</v>
      </c>
      <c r="Y6551">
        <v>0.2397638</v>
      </c>
      <c r="Z6551">
        <v>-2.757362E-2</v>
      </c>
      <c r="AA6551">
        <v>0.97043959999999996</v>
      </c>
      <c r="AB6551">
        <v>21</v>
      </c>
      <c r="AC6551">
        <v>20.3052999999999</v>
      </c>
      <c r="AD6551">
        <v>-1.06416015</v>
      </c>
      <c r="AE6551">
        <v>32.073700000000002</v>
      </c>
      <c r="AF6551">
        <v>9.1279474698468999</v>
      </c>
      <c r="AG6551">
        <v>-1.06416015</v>
      </c>
      <c r="AH6551">
        <v>36.816379617128803</v>
      </c>
      <c r="AI6551">
        <v>91.607018042288999</v>
      </c>
      <c r="AJ6551">
        <v>76.075344853782497</v>
      </c>
      <c r="AK6551">
        <v>37.945983581265502</v>
      </c>
      <c r="AL6551">
        <v>91.074640203735697</v>
      </c>
      <c r="AM6551">
        <v>78.890551138375699</v>
      </c>
      <c r="AN6551">
        <v>0.999999991508004</v>
      </c>
    </row>
    <row r="6552" spans="1:40" x14ac:dyDescent="0.3">
      <c r="A6552" t="str">
        <f>"20200111160640579"</f>
        <v>20200111160640579</v>
      </c>
      <c r="B6552" t="str">
        <f>"1578730000569394"</f>
        <v>1578730000569394</v>
      </c>
      <c r="C6552" t="s">
        <v>40</v>
      </c>
      <c r="D6552">
        <v>5.572451</v>
      </c>
      <c r="E6552">
        <v>0.51893329999999904</v>
      </c>
      <c r="F6552" t="s">
        <v>75</v>
      </c>
      <c r="G6552">
        <v>-170.4468</v>
      </c>
      <c r="H6552" s="1">
        <v>-6.6663799999999997E-6</v>
      </c>
      <c r="I6552">
        <v>148.42599999999999</v>
      </c>
      <c r="J6552">
        <v>-190.0598</v>
      </c>
      <c r="K6552">
        <v>1.105739</v>
      </c>
      <c r="L6552">
        <v>117.6554</v>
      </c>
      <c r="M6552">
        <v>0.32017370000000001</v>
      </c>
      <c r="N6552">
        <v>0</v>
      </c>
      <c r="O6552">
        <v>0.94725300000000001</v>
      </c>
      <c r="P6552">
        <v>0.49632130000000002</v>
      </c>
      <c r="Q6552">
        <v>-3.0204749999999999E-2</v>
      </c>
      <c r="R6552">
        <v>0.86761330000000003</v>
      </c>
      <c r="S6552">
        <v>1.612198</v>
      </c>
      <c r="T6552">
        <v>-9.0692999999999996E-2</v>
      </c>
      <c r="U6552">
        <v>2.5330659999999998</v>
      </c>
      <c r="V6552">
        <v>0.19217210000000001</v>
      </c>
      <c r="W6552">
        <v>-1.8540589999999999E-2</v>
      </c>
      <c r="X6552">
        <v>0.98118609999999995</v>
      </c>
      <c r="Y6552">
        <v>0.23828099999999999</v>
      </c>
      <c r="Z6552">
        <v>-2.977103E-2</v>
      </c>
      <c r="AA6552">
        <v>0.97073980000000004</v>
      </c>
      <c r="AB6552">
        <v>21</v>
      </c>
      <c r="AC6552">
        <v>19.613</v>
      </c>
      <c r="AD6552">
        <v>-1.10574566638</v>
      </c>
      <c r="AE6552">
        <v>30.770600000000002</v>
      </c>
      <c r="AF6552">
        <v>8.7194046958633091</v>
      </c>
      <c r="AG6552">
        <v>-1.10574566638</v>
      </c>
      <c r="AH6552">
        <v>35.3981580348322</v>
      </c>
      <c r="AI6552">
        <v>91.737292124633797</v>
      </c>
      <c r="AJ6552">
        <v>76.162174327326696</v>
      </c>
      <c r="AK6552">
        <v>36.473007608201399</v>
      </c>
      <c r="AL6552">
        <v>91.062358410337595</v>
      </c>
      <c r="AM6552">
        <v>78.918498575153805</v>
      </c>
      <c r="AN6552">
        <v>1.0000000161645799</v>
      </c>
    </row>
    <row r="6553" spans="1:40" x14ac:dyDescent="0.3">
      <c r="A6553" t="str">
        <f>"20200111160640591"</f>
        <v>20200111160640591</v>
      </c>
      <c r="B6553" t="str">
        <f>"1578730000588915"</f>
        <v>1578730000588915</v>
      </c>
      <c r="C6553" t="s">
        <v>40</v>
      </c>
      <c r="D6553">
        <v>5.9140980000000001</v>
      </c>
      <c r="E6553">
        <v>0.56305150000000004</v>
      </c>
      <c r="F6553" t="s">
        <v>75</v>
      </c>
      <c r="G6553">
        <v>-171.54740000000001</v>
      </c>
      <c r="H6553" s="1">
        <v>-6.5435339999999998E-6</v>
      </c>
      <c r="I6553">
        <v>146.53809999999999</v>
      </c>
      <c r="J6553">
        <v>-190.01849999999999</v>
      </c>
      <c r="K6553">
        <v>1.1057459999999999</v>
      </c>
      <c r="L6553">
        <v>117.7624</v>
      </c>
      <c r="M6553">
        <v>0.32430829999999999</v>
      </c>
      <c r="N6553">
        <v>0</v>
      </c>
      <c r="O6553">
        <v>0.94584539999999995</v>
      </c>
      <c r="P6553">
        <v>0.49986779999999997</v>
      </c>
      <c r="Q6553">
        <v>-2.994428E-2</v>
      </c>
      <c r="R6553">
        <v>0.86558389999999996</v>
      </c>
      <c r="S6553">
        <v>1.6200870000000001</v>
      </c>
      <c r="T6553">
        <v>-9.6767430000000001E-2</v>
      </c>
      <c r="U6553">
        <v>2.5276179999999999</v>
      </c>
      <c r="V6553">
        <v>0.19190209999999999</v>
      </c>
      <c r="W6553">
        <v>-1.8272879999999998E-2</v>
      </c>
      <c r="X6553">
        <v>0.98124400000000001</v>
      </c>
      <c r="Y6553">
        <v>0.2371019</v>
      </c>
      <c r="Z6553">
        <v>-3.173115E-2</v>
      </c>
      <c r="AA6553">
        <v>0.97096640000000001</v>
      </c>
      <c r="AB6553">
        <v>21</v>
      </c>
      <c r="AC6553">
        <v>18.4710999999999</v>
      </c>
      <c r="AD6553">
        <v>-1.1057525435340001</v>
      </c>
      <c r="AE6553">
        <v>28.775699999999901</v>
      </c>
      <c r="AF6553">
        <v>8.1309203371940502</v>
      </c>
      <c r="AG6553">
        <v>-1.1057525435340001</v>
      </c>
      <c r="AH6553">
        <v>33.1763324261943</v>
      </c>
      <c r="AI6553">
        <v>91.854104856684401</v>
      </c>
      <c r="AJ6553">
        <v>76.229269740094907</v>
      </c>
      <c r="AK6553">
        <v>34.176067466440301</v>
      </c>
      <c r="AL6553">
        <v>91.047017122016101</v>
      </c>
      <c r="AM6553">
        <v>78.934320263802803</v>
      </c>
      <c r="AN6553">
        <v>1.00000005083195</v>
      </c>
    </row>
    <row r="6554" spans="1:40" x14ac:dyDescent="0.3">
      <c r="A6554" t="str">
        <f>"20200111160640608"</f>
        <v>20200111160640608</v>
      </c>
      <c r="B6554" t="str">
        <f>"1578730000599651"</f>
        <v>1578730000599651</v>
      </c>
      <c r="C6554" t="s">
        <v>40</v>
      </c>
      <c r="D6554">
        <v>5.6310279999999997</v>
      </c>
      <c r="E6554">
        <v>0.572376</v>
      </c>
      <c r="F6554" t="s">
        <v>75</v>
      </c>
      <c r="G6554">
        <v>-184.00069999999999</v>
      </c>
      <c r="H6554" s="1">
        <v>-3.7141869999999998E-6</v>
      </c>
      <c r="I6554">
        <v>125.16970000000001</v>
      </c>
      <c r="J6554">
        <v>-189.95949999999999</v>
      </c>
      <c r="K6554">
        <v>1.1057589999999999</v>
      </c>
      <c r="L6554">
        <v>117.91289999999999</v>
      </c>
      <c r="M6554">
        <v>0.33012770000000002</v>
      </c>
      <c r="N6554">
        <v>0</v>
      </c>
      <c r="O6554">
        <v>0.94382999999999995</v>
      </c>
      <c r="P6554">
        <v>0.50459330000000002</v>
      </c>
      <c r="Q6554">
        <v>-2.9171989999999998E-2</v>
      </c>
      <c r="R6554">
        <v>0.86286409999999902</v>
      </c>
      <c r="S6554">
        <v>1.9098360000000001</v>
      </c>
      <c r="T6554">
        <v>-0.35092579999999901</v>
      </c>
      <c r="U6554">
        <v>2.3508</v>
      </c>
      <c r="V6554">
        <v>0.1912247</v>
      </c>
      <c r="W6554">
        <v>-1.748568E-2</v>
      </c>
      <c r="X6554">
        <v>0.98139050000000005</v>
      </c>
      <c r="Y6554">
        <v>0.33455780000000002</v>
      </c>
      <c r="Z6554">
        <v>-0.11525199999999999</v>
      </c>
      <c r="AA6554">
        <v>0.9353011</v>
      </c>
      <c r="AB6554">
        <v>21</v>
      </c>
      <c r="AC6554">
        <v>5.9587999999999903</v>
      </c>
      <c r="AD6554">
        <v>-1.1057627141869999</v>
      </c>
      <c r="AE6554">
        <v>7.2568000000000099</v>
      </c>
      <c r="AF6554">
        <v>3.1845839309759998</v>
      </c>
      <c r="AG6554">
        <v>-1.1057627141869999</v>
      </c>
      <c r="AH6554">
        <v>8.6966310289582296</v>
      </c>
      <c r="AI6554">
        <v>96.808608223897707</v>
      </c>
      <c r="AJ6554">
        <v>69.887980172978899</v>
      </c>
      <c r="AK6554">
        <v>9.3271473263455995</v>
      </c>
      <c r="AL6554">
        <v>91.001906751529702</v>
      </c>
      <c r="AM6554">
        <v>78.974027959527405</v>
      </c>
      <c r="AN6554">
        <v>0.99999997419270104</v>
      </c>
    </row>
    <row r="6555" spans="1:40" x14ac:dyDescent="0.3">
      <c r="A6555" t="str">
        <f>"20200111160640619"</f>
        <v>20200111160640619</v>
      </c>
      <c r="B6555" t="str">
        <f>"1578730000609412"</f>
        <v>1578730000609412</v>
      </c>
      <c r="C6555" t="s">
        <v>40</v>
      </c>
      <c r="D6555">
        <v>5.7523109999999997</v>
      </c>
      <c r="E6555">
        <v>0.57961260000000003</v>
      </c>
      <c r="F6555" t="s">
        <v>75</v>
      </c>
      <c r="G6555">
        <v>-184.0497</v>
      </c>
      <c r="H6555" s="1">
        <v>-3.6035849999999999E-6</v>
      </c>
      <c r="I6555">
        <v>124.7701</v>
      </c>
      <c r="J6555">
        <v>-189.9171</v>
      </c>
      <c r="K6555">
        <v>1.1057669999999999</v>
      </c>
      <c r="L6555">
        <v>118.0193</v>
      </c>
      <c r="M6555">
        <v>0.33424789999999999</v>
      </c>
      <c r="N6555">
        <v>0</v>
      </c>
      <c r="O6555">
        <v>0.94237879999999996</v>
      </c>
      <c r="P6555">
        <v>0.50786220000000004</v>
      </c>
      <c r="Q6555">
        <v>-2.874123E-2</v>
      </c>
      <c r="R6555">
        <v>0.86095880000000002</v>
      </c>
      <c r="S6555">
        <v>1.9851380000000001</v>
      </c>
      <c r="T6555">
        <v>-0.3714286</v>
      </c>
      <c r="U6555">
        <v>2.3033450000000002</v>
      </c>
      <c r="V6555">
        <v>0.19065979999999999</v>
      </c>
      <c r="W6555">
        <v>-1.7043079999999999E-2</v>
      </c>
      <c r="X6555">
        <v>0.98150820000000005</v>
      </c>
      <c r="Y6555">
        <v>0.35699609999999998</v>
      </c>
      <c r="Z6555">
        <v>-0.1218402</v>
      </c>
      <c r="AA6555">
        <v>0.92612570000000005</v>
      </c>
      <c r="AB6555">
        <v>21</v>
      </c>
      <c r="AC6555">
        <v>5.8673999999999999</v>
      </c>
      <c r="AD6555">
        <v>-1.1057706035849999</v>
      </c>
      <c r="AE6555">
        <v>6.7507999999999901</v>
      </c>
      <c r="AF6555">
        <v>3.2239258406623801</v>
      </c>
      <c r="AG6555">
        <v>-1.1057706035849999</v>
      </c>
      <c r="AH6555">
        <v>8.1985042768884995</v>
      </c>
      <c r="AI6555">
        <v>97.154278007522606</v>
      </c>
      <c r="AJ6555">
        <v>68.533589671087597</v>
      </c>
      <c r="AK6555">
        <v>8.8787329519477201</v>
      </c>
      <c r="AL6555">
        <v>90.976543846742402</v>
      </c>
      <c r="AM6555">
        <v>79.007091447285205</v>
      </c>
      <c r="AN6555">
        <v>0.99999998628958298</v>
      </c>
    </row>
    <row r="6556" spans="1:40" x14ac:dyDescent="0.3">
      <c r="A6556" t="str">
        <f>"20200111160640632"</f>
        <v>20200111160640632</v>
      </c>
      <c r="B6556" t="str">
        <f>"1578730000628931"</f>
        <v>1578730000628931</v>
      </c>
      <c r="C6556" t="s">
        <v>40</v>
      </c>
      <c r="D6556">
        <v>5.8066820000000003</v>
      </c>
      <c r="E6556">
        <v>0.58465100000000003</v>
      </c>
      <c r="F6556" t="s">
        <v>75</v>
      </c>
      <c r="G6556">
        <v>-184.45609999999999</v>
      </c>
      <c r="H6556" s="1">
        <v>-3.2186960000000001E-6</v>
      </c>
      <c r="I6556">
        <v>124.0903</v>
      </c>
      <c r="J6556">
        <v>-189.87440000000001</v>
      </c>
      <c r="K6556">
        <v>1.1057760000000001</v>
      </c>
      <c r="L6556">
        <v>118.1249</v>
      </c>
      <c r="M6556">
        <v>0.33834360000000002</v>
      </c>
      <c r="N6556">
        <v>0</v>
      </c>
      <c r="O6556">
        <v>0.94091610000000003</v>
      </c>
      <c r="P6556">
        <v>0.51136000000000004</v>
      </c>
      <c r="Q6556">
        <v>-2.794176E-2</v>
      </c>
      <c r="R6556">
        <v>0.85891219999999902</v>
      </c>
      <c r="S6556">
        <v>2.0396730000000001</v>
      </c>
      <c r="T6556">
        <v>-0.41300300000000001</v>
      </c>
      <c r="U6556">
        <v>2.2675169999999998</v>
      </c>
      <c r="V6556">
        <v>0.1903841</v>
      </c>
      <c r="W6556">
        <v>-1.6235619999999999E-2</v>
      </c>
      <c r="X6556">
        <v>0.98157539999999999</v>
      </c>
      <c r="Y6556">
        <v>0.37133559999999999</v>
      </c>
      <c r="Z6556">
        <v>-0.1351386</v>
      </c>
      <c r="AA6556">
        <v>0.91861170000000003</v>
      </c>
      <c r="AB6556">
        <v>21</v>
      </c>
      <c r="AC6556">
        <v>5.4183000000000101</v>
      </c>
      <c r="AD6556">
        <v>-1.105779218696</v>
      </c>
      <c r="AE6556">
        <v>5.9653999999999998</v>
      </c>
      <c r="AF6556">
        <v>3.0231996014180802</v>
      </c>
      <c r="AG6556">
        <v>-1.105779218696</v>
      </c>
      <c r="AH6556">
        <v>7.3093167725223598</v>
      </c>
      <c r="AI6556">
        <v>97.958237102289303</v>
      </c>
      <c r="AJ6556">
        <v>67.529569764869606</v>
      </c>
      <c r="AK6556">
        <v>7.9867762702852199</v>
      </c>
      <c r="AL6556">
        <v>90.930273391577003</v>
      </c>
      <c r="AM6556">
        <v>79.023334382401899</v>
      </c>
      <c r="AN6556">
        <v>0.99999998338737695</v>
      </c>
    </row>
    <row r="6557" spans="1:40" x14ac:dyDescent="0.3">
      <c r="A6557" t="str">
        <f>"20200111160640644"</f>
        <v>20200111160640644</v>
      </c>
      <c r="B6557" t="str">
        <f>"1578730000639666"</f>
        <v>1578730000639666</v>
      </c>
      <c r="C6557" t="s">
        <v>40</v>
      </c>
      <c r="D6557">
        <v>5.7660869999999997</v>
      </c>
      <c r="E6557">
        <v>0.58787719999999999</v>
      </c>
      <c r="F6557" t="s">
        <v>75</v>
      </c>
      <c r="G6557">
        <v>-184.6052</v>
      </c>
      <c r="H6557" s="1">
        <v>-3.0363379999999998E-6</v>
      </c>
      <c r="I6557">
        <v>123.7955</v>
      </c>
      <c r="J6557">
        <v>-189.8287</v>
      </c>
      <c r="K6557">
        <v>1.105788</v>
      </c>
      <c r="L6557">
        <v>118.2373</v>
      </c>
      <c r="M6557">
        <v>0.3426979</v>
      </c>
      <c r="N6557">
        <v>0</v>
      </c>
      <c r="O6557">
        <v>0.93933889999999998</v>
      </c>
      <c r="P6557">
        <v>0.51492799999999905</v>
      </c>
      <c r="Q6557">
        <v>-2.743342E-2</v>
      </c>
      <c r="R6557">
        <v>0.85679439999999996</v>
      </c>
      <c r="S6557">
        <v>2.0810390000000001</v>
      </c>
      <c r="T6557">
        <v>-0.43672139999999998</v>
      </c>
      <c r="U6557">
        <v>2.2395779999999998</v>
      </c>
      <c r="V6557">
        <v>0.1899209</v>
      </c>
      <c r="W6557">
        <v>-1.5716359999999999E-2</v>
      </c>
      <c r="X6557">
        <v>0.98167360000000004</v>
      </c>
      <c r="Y6557">
        <v>0.38113200000000003</v>
      </c>
      <c r="Z6557">
        <v>-0.14259530000000001</v>
      </c>
      <c r="AA6557">
        <v>0.91345770000000004</v>
      </c>
      <c r="AB6557">
        <v>21</v>
      </c>
      <c r="AC6557">
        <v>5.2234999999999996</v>
      </c>
      <c r="AD6557">
        <v>-1.1057910363379999</v>
      </c>
      <c r="AE6557">
        <v>5.5581999999999896</v>
      </c>
      <c r="AF6557">
        <v>2.9403551422020699</v>
      </c>
      <c r="AG6557">
        <v>-1.1057910363379999</v>
      </c>
      <c r="AH6557">
        <v>6.8674811697326597</v>
      </c>
      <c r="AI6557">
        <v>98.419870037158205</v>
      </c>
      <c r="AJ6557">
        <v>66.821508137282393</v>
      </c>
      <c r="AK6557">
        <v>7.5518712777001404</v>
      </c>
      <c r="AL6557">
        <v>90.900518167703297</v>
      </c>
      <c r="AM6557">
        <v>79.050462922569395</v>
      </c>
      <c r="AN6557">
        <v>1.0000000045827</v>
      </c>
    </row>
    <row r="6558" spans="1:40" x14ac:dyDescent="0.3">
      <c r="A6558" t="str">
        <f>"20200111160640656"</f>
        <v>20200111160640656</v>
      </c>
      <c r="B6558" t="str">
        <f>"1578730000649427"</f>
        <v>1578730000649427</v>
      </c>
      <c r="C6558" t="s">
        <v>40</v>
      </c>
      <c r="D6558">
        <v>5.8601729999999996</v>
      </c>
      <c r="E6558">
        <v>0.59041940000000004</v>
      </c>
      <c r="F6558" t="s">
        <v>75</v>
      </c>
      <c r="G6558">
        <v>-184.65389999999999</v>
      </c>
      <c r="H6558" s="1">
        <v>-2.9628779999999999E-6</v>
      </c>
      <c r="I6558">
        <v>123.6739</v>
      </c>
      <c r="J6558">
        <v>-189.78370000000001</v>
      </c>
      <c r="K6558">
        <v>1.105802</v>
      </c>
      <c r="L6558">
        <v>118.3455</v>
      </c>
      <c r="M6558">
        <v>0.34689799999999998</v>
      </c>
      <c r="N6558">
        <v>0</v>
      </c>
      <c r="O6558">
        <v>0.93779590000000002</v>
      </c>
      <c r="P6558">
        <v>0.51824740000000002</v>
      </c>
      <c r="Q6558">
        <v>-2.656509E-2</v>
      </c>
      <c r="R6558">
        <v>0.85481810000000003</v>
      </c>
      <c r="S6558">
        <v>2.1112820000000001</v>
      </c>
      <c r="T6558">
        <v>-0.45115660000000002</v>
      </c>
      <c r="U6558">
        <v>2.2181090000000001</v>
      </c>
      <c r="V6558">
        <v>0.18933649999999999</v>
      </c>
      <c r="W6558">
        <v>-1.4835269999999999E-2</v>
      </c>
      <c r="X6558">
        <v>0.98180020000000001</v>
      </c>
      <c r="Y6558">
        <v>0.38748890000000002</v>
      </c>
      <c r="Z6558">
        <v>-0.14706269999999999</v>
      </c>
      <c r="AA6558">
        <v>0.91006860000000001</v>
      </c>
      <c r="AB6558">
        <v>21</v>
      </c>
      <c r="AC6558">
        <v>5.1298000000000101</v>
      </c>
      <c r="AD6558">
        <v>-1.105804962878</v>
      </c>
      <c r="AE6558">
        <v>5.3284000000000002</v>
      </c>
      <c r="AF6558">
        <v>2.8978192223429402</v>
      </c>
      <c r="AG6558">
        <v>-1.105804962878</v>
      </c>
      <c r="AH6558">
        <v>6.6289779247762901</v>
      </c>
      <c r="AI6558">
        <v>98.690266347020497</v>
      </c>
      <c r="AJ6558">
        <v>66.387735454521504</v>
      </c>
      <c r="AK6558">
        <v>7.3187095302708398</v>
      </c>
      <c r="AL6558">
        <v>90.850029528725599</v>
      </c>
      <c r="AM6558">
        <v>79.084718561828893</v>
      </c>
      <c r="AN6558">
        <v>1.0000000140941301</v>
      </c>
    </row>
    <row r="6559" spans="1:40" x14ac:dyDescent="0.3">
      <c r="A6559" t="str">
        <f>"20200111160640667"</f>
        <v>20200111160640667</v>
      </c>
      <c r="B6559" t="str">
        <f>"1578730000659188"</f>
        <v>1578730000659188</v>
      </c>
      <c r="C6559" t="s">
        <v>40</v>
      </c>
      <c r="D6559">
        <v>5.7455949999999998</v>
      </c>
      <c r="E6559">
        <v>0.59219339999999998</v>
      </c>
      <c r="F6559" t="s">
        <v>75</v>
      </c>
      <c r="G6559">
        <v>-184.4487</v>
      </c>
      <c r="H6559" s="1">
        <v>-3.0787689999999998E-6</v>
      </c>
      <c r="I6559">
        <v>123.83320000000001</v>
      </c>
      <c r="J6559">
        <v>-189.74100000000001</v>
      </c>
      <c r="K6559">
        <v>1.1058159999999999</v>
      </c>
      <c r="L6559">
        <v>118.44750000000001</v>
      </c>
      <c r="M6559">
        <v>0.35085640000000001</v>
      </c>
      <c r="N6559">
        <v>0</v>
      </c>
      <c r="O6559">
        <v>0.93632219999999999</v>
      </c>
      <c r="P6559">
        <v>0.52143099999999998</v>
      </c>
      <c r="Q6559">
        <v>-2.5606919999999998E-2</v>
      </c>
      <c r="R6559">
        <v>0.85290909999999998</v>
      </c>
      <c r="S6559">
        <v>2.1382140000000001</v>
      </c>
      <c r="T6559">
        <v>-0.44319170000000002</v>
      </c>
      <c r="U6559">
        <v>2.1994020000000001</v>
      </c>
      <c r="V6559">
        <v>0.1888512</v>
      </c>
      <c r="W6559">
        <v>-1.386597E-2</v>
      </c>
      <c r="X6559">
        <v>0.9819078</v>
      </c>
      <c r="Y6559">
        <v>0.3935015</v>
      </c>
      <c r="Z6559">
        <v>-0.14435300000000001</v>
      </c>
      <c r="AA6559">
        <v>0.90792010000000001</v>
      </c>
      <c r="AB6559">
        <v>21</v>
      </c>
      <c r="AC6559">
        <v>5.2922999999999796</v>
      </c>
      <c r="AD6559">
        <v>-1.1058190787690001</v>
      </c>
      <c r="AE6559">
        <v>5.3856999999999999</v>
      </c>
      <c r="AF6559">
        <v>3.0016196005708902</v>
      </c>
      <c r="AG6559">
        <v>-1.1058190787690001</v>
      </c>
      <c r="AH6559">
        <v>6.7553906216428299</v>
      </c>
      <c r="AI6559">
        <v>98.507909778205899</v>
      </c>
      <c r="AJ6559">
        <v>66.043008903496599</v>
      </c>
      <c r="AK6559">
        <v>7.4744804844538004</v>
      </c>
      <c r="AL6559">
        <v>90.794487032420506</v>
      </c>
      <c r="AM6559">
        <v>79.113191282517604</v>
      </c>
      <c r="AN6559">
        <v>0.99999998428315995</v>
      </c>
    </row>
    <row r="6560" spans="1:40" x14ac:dyDescent="0.3">
      <c r="A6560" t="str">
        <f>"20200111160640680"</f>
        <v>20200111160640680</v>
      </c>
      <c r="B6560" t="str">
        <f>"1578730000668947"</f>
        <v>1578730000668947</v>
      </c>
      <c r="C6560" t="s">
        <v>40</v>
      </c>
      <c r="D6560">
        <v>5.8216029999999996</v>
      </c>
      <c r="E6560">
        <v>0.59329659999999995</v>
      </c>
      <c r="F6560" t="s">
        <v>75</v>
      </c>
      <c r="G6560">
        <v>-184.4462</v>
      </c>
      <c r="H6560" s="1">
        <v>-3.0659819999999999E-6</v>
      </c>
      <c r="I6560">
        <v>123.8092</v>
      </c>
      <c r="J6560">
        <v>-189.69579999999999</v>
      </c>
      <c r="K6560">
        <v>1.1058300000000001</v>
      </c>
      <c r="L6560">
        <v>118.5539</v>
      </c>
      <c r="M6560">
        <v>0.35498560000000001</v>
      </c>
      <c r="N6560">
        <v>0</v>
      </c>
      <c r="O6560">
        <v>0.9347645</v>
      </c>
      <c r="P6560">
        <v>0.52454699999999999</v>
      </c>
      <c r="Q6560">
        <v>-2.4561340000000001E-2</v>
      </c>
      <c r="R6560">
        <v>0.85102719999999898</v>
      </c>
      <c r="S6560">
        <v>2.1575319999999998</v>
      </c>
      <c r="T6560">
        <v>-0.45060149999999999</v>
      </c>
      <c r="U6560">
        <v>2.1848139999999998</v>
      </c>
      <c r="V6560">
        <v>0.1881101</v>
      </c>
      <c r="W6560">
        <v>-1.2805459999999999E-2</v>
      </c>
      <c r="X6560">
        <v>0.98206450000000001</v>
      </c>
      <c r="Y6560">
        <v>0.39631139999999998</v>
      </c>
      <c r="Z6560">
        <v>-0.14655899999999999</v>
      </c>
      <c r="AA6560">
        <v>0.90634309999999996</v>
      </c>
      <c r="AB6560">
        <v>21</v>
      </c>
      <c r="AC6560">
        <v>5.2495999999999796</v>
      </c>
      <c r="AD6560">
        <v>-1.1058330659819999</v>
      </c>
      <c r="AE6560">
        <v>5.2553000000000001</v>
      </c>
      <c r="AF6560">
        <v>2.9759338330865401</v>
      </c>
      <c r="AG6560">
        <v>-1.1058330659819999</v>
      </c>
      <c r="AH6560">
        <v>6.6297459437908097</v>
      </c>
      <c r="AI6560">
        <v>98.652393804922099</v>
      </c>
      <c r="AJ6560">
        <v>65.825832727152502</v>
      </c>
      <c r="AK6560">
        <v>7.3506856978066297</v>
      </c>
      <c r="AL6560">
        <v>90.733718839867294</v>
      </c>
      <c r="AM6560">
        <v>79.156588241772099</v>
      </c>
      <c r="AN6560">
        <v>1.00000003584403</v>
      </c>
    </row>
    <row r="6561" spans="1:40" x14ac:dyDescent="0.3">
      <c r="A6561" t="str">
        <f>"20200111160640694"</f>
        <v>20200111160640694</v>
      </c>
      <c r="B6561" t="str">
        <f>"1578730000689443"</f>
        <v>1578730000689443</v>
      </c>
      <c r="C6561" t="s">
        <v>40</v>
      </c>
      <c r="D6561">
        <v>5.7108559999999997</v>
      </c>
      <c r="E6561">
        <v>0.59548179999999995</v>
      </c>
      <c r="F6561" t="s">
        <v>75</v>
      </c>
      <c r="G6561">
        <v>-184.4212</v>
      </c>
      <c r="H6561" s="1">
        <v>-3.080049E-6</v>
      </c>
      <c r="I6561">
        <v>123.82850000000001</v>
      </c>
      <c r="J6561">
        <v>-189.64670000000001</v>
      </c>
      <c r="K6561">
        <v>1.105845</v>
      </c>
      <c r="L6561">
        <v>118.66800000000001</v>
      </c>
      <c r="M6561">
        <v>0.35941859999999998</v>
      </c>
      <c r="N6561">
        <v>0</v>
      </c>
      <c r="O6561">
        <v>0.93306900000000004</v>
      </c>
      <c r="P6561">
        <v>0.52831569999999894</v>
      </c>
      <c r="Q6561">
        <v>-2.3494250000000001E-2</v>
      </c>
      <c r="R6561">
        <v>0.84872289999999995</v>
      </c>
      <c r="S6561">
        <v>2.1727750000000001</v>
      </c>
      <c r="T6561">
        <v>-0.4555246</v>
      </c>
      <c r="U6561">
        <v>2.1727910000000001</v>
      </c>
      <c r="V6561">
        <v>0.18780530000000001</v>
      </c>
      <c r="W6561">
        <v>-1.172952E-2</v>
      </c>
      <c r="X6561">
        <v>0.98213620000000001</v>
      </c>
      <c r="Y6561">
        <v>0.39749600000000002</v>
      </c>
      <c r="Z6561">
        <v>-0.1479499</v>
      </c>
      <c r="AA6561">
        <v>0.90559800000000001</v>
      </c>
      <c r="AB6561">
        <v>21</v>
      </c>
      <c r="AC6561">
        <v>5.22550000000001</v>
      </c>
      <c r="AD6561">
        <v>-1.105848080049</v>
      </c>
      <c r="AE6561">
        <v>5.1605000000000096</v>
      </c>
      <c r="AF6561">
        <v>2.9542928695097901</v>
      </c>
      <c r="AG6561">
        <v>-1.105848080049</v>
      </c>
      <c r="AH6561">
        <v>6.5455098421077302</v>
      </c>
      <c r="AI6561">
        <v>98.754171157756005</v>
      </c>
      <c r="AJ6561">
        <v>65.708130684710198</v>
      </c>
      <c r="AK6561">
        <v>7.2659786283826602</v>
      </c>
      <c r="AL6561">
        <v>90.672067427301201</v>
      </c>
      <c r="AM6561">
        <v>79.174514253903695</v>
      </c>
      <c r="AN6561">
        <v>0.99999996384897905</v>
      </c>
    </row>
    <row r="6562" spans="1:40" x14ac:dyDescent="0.3">
      <c r="A6562" t="str">
        <f>"20200111160640709"</f>
        <v>20200111160640709</v>
      </c>
      <c r="B6562" t="str">
        <f>"1578730000699203"</f>
        <v>1578730000699203</v>
      </c>
      <c r="C6562" t="s">
        <v>40</v>
      </c>
      <c r="D6562">
        <v>5.7489379999999999</v>
      </c>
      <c r="E6562">
        <v>0.59620769999999901</v>
      </c>
      <c r="F6562" t="s">
        <v>75</v>
      </c>
      <c r="G6562">
        <v>-184.39340000000001</v>
      </c>
      <c r="H6562" s="1">
        <v>-3.0796999999999999E-6</v>
      </c>
      <c r="I6562">
        <v>123.82080000000001</v>
      </c>
      <c r="J6562">
        <v>-189.5873</v>
      </c>
      <c r="K6562">
        <v>1.105869</v>
      </c>
      <c r="L6562">
        <v>118.8044</v>
      </c>
      <c r="M6562">
        <v>0.36471379999999998</v>
      </c>
      <c r="N6562">
        <v>0</v>
      </c>
      <c r="O6562">
        <v>0.93101199999999995</v>
      </c>
      <c r="P6562">
        <v>0.53197499999999998</v>
      </c>
      <c r="Q6562">
        <v>-2.1506330000000001E-2</v>
      </c>
      <c r="R6562">
        <v>0.84648690000000004</v>
      </c>
      <c r="S6562">
        <v>2.1965940000000002</v>
      </c>
      <c r="T6562">
        <v>-0.46239419999999998</v>
      </c>
      <c r="U6562">
        <v>2.1545719999999999</v>
      </c>
      <c r="V6562">
        <v>0.18646969999999999</v>
      </c>
      <c r="W6562">
        <v>-9.7172479999999995E-3</v>
      </c>
      <c r="X6562">
        <v>0.98241259999999997</v>
      </c>
      <c r="Y6562">
        <v>0.4008158</v>
      </c>
      <c r="Z6562">
        <v>-0.1499067</v>
      </c>
      <c r="AA6562">
        <v>0.90381120000000004</v>
      </c>
      <c r="AB6562">
        <v>21</v>
      </c>
      <c r="AC6562">
        <v>5.1938999999999798</v>
      </c>
      <c r="AD6562">
        <v>-1.1058720796999999</v>
      </c>
      <c r="AE6562">
        <v>5.0164</v>
      </c>
      <c r="AF6562">
        <v>2.9374373450076101</v>
      </c>
      <c r="AG6562">
        <v>-1.1058720796999999</v>
      </c>
      <c r="AH6562">
        <v>6.4148156513457799</v>
      </c>
      <c r="AI6562">
        <v>98.908155646282196</v>
      </c>
      <c r="AJ6562">
        <v>65.396267971424507</v>
      </c>
      <c r="AK6562">
        <v>7.1415230205647404</v>
      </c>
      <c r="AL6562">
        <v>90.556766091679407</v>
      </c>
      <c r="AM6562">
        <v>79.252654767814803</v>
      </c>
      <c r="AN6562">
        <v>0.99999994528277003</v>
      </c>
    </row>
    <row r="6563" spans="1:40" x14ac:dyDescent="0.3">
      <c r="A6563" t="str">
        <f>"20200111160640721"</f>
        <v>20200111160640721</v>
      </c>
      <c r="B6563" t="str">
        <f>"1578730000708963"</f>
        <v>1578730000708963</v>
      </c>
      <c r="C6563" t="s">
        <v>40</v>
      </c>
      <c r="D6563">
        <v>5.7332689999999999</v>
      </c>
      <c r="E6563">
        <v>0.59687440000000003</v>
      </c>
      <c r="F6563" t="s">
        <v>75</v>
      </c>
      <c r="G6563">
        <v>-184.27029999999999</v>
      </c>
      <c r="H6563" s="1">
        <v>-3.1709910000000002E-6</v>
      </c>
      <c r="I6563">
        <v>123.95610000000001</v>
      </c>
      <c r="J6563">
        <v>-189.53880000000001</v>
      </c>
      <c r="K6563">
        <v>1.1058870000000001</v>
      </c>
      <c r="L6563">
        <v>118.91419999999999</v>
      </c>
      <c r="M6563">
        <v>0.36897760000000002</v>
      </c>
      <c r="N6563">
        <v>0</v>
      </c>
      <c r="O6563">
        <v>0.9293304</v>
      </c>
      <c r="P6563">
        <v>0.5353059</v>
      </c>
      <c r="Q6563">
        <v>-2.0856670000000001E-2</v>
      </c>
      <c r="R6563">
        <v>0.84440079999999995</v>
      </c>
      <c r="S6563">
        <v>2.211395</v>
      </c>
      <c r="T6563">
        <v>-0.4599454</v>
      </c>
      <c r="U6563">
        <v>2.1426539999999998</v>
      </c>
      <c r="V6563">
        <v>0.1858388</v>
      </c>
      <c r="W6563">
        <v>-9.0547030000000008E-3</v>
      </c>
      <c r="X6563">
        <v>0.98253849999999998</v>
      </c>
      <c r="Y6563">
        <v>0.40227030000000003</v>
      </c>
      <c r="Z6563">
        <v>-0.14895239999999901</v>
      </c>
      <c r="AA6563">
        <v>0.90332259999999998</v>
      </c>
      <c r="AB6563">
        <v>21</v>
      </c>
      <c r="AC6563">
        <v>5.2685000000000102</v>
      </c>
      <c r="AD6563">
        <v>-1.1058901709909901</v>
      </c>
      <c r="AE6563">
        <v>5.0419000000000098</v>
      </c>
      <c r="AF6563">
        <v>2.9678777462723298</v>
      </c>
      <c r="AG6563">
        <v>-1.1058901709909901</v>
      </c>
      <c r="AH6563">
        <v>6.48115947536244</v>
      </c>
      <c r="AI6563">
        <v>98.818519834283705</v>
      </c>
      <c r="AJ6563">
        <v>65.395825111252293</v>
      </c>
      <c r="AK6563">
        <v>7.2136481430822004</v>
      </c>
      <c r="AL6563">
        <v>90.518803368708902</v>
      </c>
      <c r="AM6563">
        <v>79.2895152905798</v>
      </c>
      <c r="AN6563">
        <v>0.999999975607053</v>
      </c>
    </row>
    <row r="6564" spans="1:40" x14ac:dyDescent="0.3">
      <c r="A6564" t="str">
        <f>"20200111160640735"</f>
        <v>20200111160640735</v>
      </c>
      <c r="B6564" t="str">
        <f>"1578730000729459"</f>
        <v>1578730000729459</v>
      </c>
      <c r="C6564" t="s">
        <v>40</v>
      </c>
      <c r="D6564">
        <v>5.7056019999999998</v>
      </c>
      <c r="E6564">
        <v>0.59783419999999998</v>
      </c>
      <c r="F6564" t="s">
        <v>75</v>
      </c>
      <c r="G6564">
        <v>-184.21260000000001</v>
      </c>
      <c r="H6564" s="1">
        <v>-3.2131120000000001E-6</v>
      </c>
      <c r="I6564">
        <v>124.0183</v>
      </c>
      <c r="J6564">
        <v>-189.48859999999999</v>
      </c>
      <c r="K6564">
        <v>1.105901</v>
      </c>
      <c r="L6564">
        <v>119.0262</v>
      </c>
      <c r="M6564">
        <v>0.3733245</v>
      </c>
      <c r="N6564">
        <v>0</v>
      </c>
      <c r="O6564">
        <v>0.9275928</v>
      </c>
      <c r="P6564">
        <v>0.53902740000000005</v>
      </c>
      <c r="Q6564">
        <v>-1.976781E-2</v>
      </c>
      <c r="R6564">
        <v>0.84205629999999998</v>
      </c>
      <c r="S6564">
        <v>2.2241819999999999</v>
      </c>
      <c r="T6564">
        <v>-0.46180979999999999</v>
      </c>
      <c r="U6564">
        <v>2.1313930000000001</v>
      </c>
      <c r="V6564">
        <v>0.18557799999999999</v>
      </c>
      <c r="W6564">
        <v>-7.9582730000000001E-3</v>
      </c>
      <c r="X6564">
        <v>0.98259730000000001</v>
      </c>
      <c r="Y6564">
        <v>0.40292050000000001</v>
      </c>
      <c r="Z6564">
        <v>-0.14938009999999999</v>
      </c>
      <c r="AA6564">
        <v>0.90296220000000005</v>
      </c>
      <c r="AB6564">
        <v>21</v>
      </c>
      <c r="AC6564">
        <v>5.2759999999999803</v>
      </c>
      <c r="AD6564">
        <v>-1.1059042131119901</v>
      </c>
      <c r="AE6564">
        <v>4.99209999999999</v>
      </c>
      <c r="AF6564">
        <v>2.96194592396373</v>
      </c>
      <c r="AG6564">
        <v>-1.1059042131119901</v>
      </c>
      <c r="AH6564">
        <v>6.4514004987641203</v>
      </c>
      <c r="AI6564">
        <v>98.854725670605802</v>
      </c>
      <c r="AJ6564">
        <v>65.3393528739646</v>
      </c>
      <c r="AK6564">
        <v>7.18447744658706</v>
      </c>
      <c r="AL6564">
        <v>90.455980272450603</v>
      </c>
      <c r="AM6564">
        <v>79.304824309693998</v>
      </c>
      <c r="AN6564">
        <v>0.99999999108021598</v>
      </c>
    </row>
    <row r="6565" spans="1:40" x14ac:dyDescent="0.3">
      <c r="A6565" t="str">
        <f>"20200111160640747"</f>
        <v>20200111160640747</v>
      </c>
      <c r="B6565" t="str">
        <f>"1578730000739219"</f>
        <v>1578730000739219</v>
      </c>
      <c r="C6565" t="s">
        <v>40</v>
      </c>
      <c r="D6565">
        <v>5.6984789999999998</v>
      </c>
      <c r="E6565">
        <v>0.598167</v>
      </c>
      <c r="F6565" t="s">
        <v>75</v>
      </c>
      <c r="G6565">
        <v>-184.16890000000001</v>
      </c>
      <c r="H6565" s="1">
        <v>-3.2402750000000001E-6</v>
      </c>
      <c r="I6565">
        <v>124.05670000000001</v>
      </c>
      <c r="J6565">
        <v>-189.4391</v>
      </c>
      <c r="K6565">
        <v>1.105918</v>
      </c>
      <c r="L6565">
        <v>119.1354</v>
      </c>
      <c r="M6565">
        <v>0.37756689999999998</v>
      </c>
      <c r="N6565">
        <v>0</v>
      </c>
      <c r="O6565">
        <v>0.92587410000000003</v>
      </c>
      <c r="P6565">
        <v>0.54256359999999904</v>
      </c>
      <c r="Q6565">
        <v>-1.9136509999999999E-2</v>
      </c>
      <c r="R6565">
        <v>0.83979669999999895</v>
      </c>
      <c r="S6565">
        <v>2.2397770000000001</v>
      </c>
      <c r="T6565">
        <v>-0.46562389999999998</v>
      </c>
      <c r="U6565">
        <v>2.118042</v>
      </c>
      <c r="V6565">
        <v>0.18521380000000001</v>
      </c>
      <c r="W6565">
        <v>-7.318321E-3</v>
      </c>
      <c r="X6565">
        <v>0.98267099999999996</v>
      </c>
      <c r="Y6565">
        <v>0.40459850000000003</v>
      </c>
      <c r="Z6565">
        <v>-0.15042459999999999</v>
      </c>
      <c r="AA6565">
        <v>0.90203800000000001</v>
      </c>
      <c r="AB6565">
        <v>21</v>
      </c>
      <c r="AC6565">
        <v>5.2701999999999796</v>
      </c>
      <c r="AD6565">
        <v>-1.1059212402750001</v>
      </c>
      <c r="AE6565">
        <v>4.9212999999999996</v>
      </c>
      <c r="AF6565">
        <v>2.9522779118895</v>
      </c>
      <c r="AG6565">
        <v>-1.1059212402750001</v>
      </c>
      <c r="AH6565">
        <v>6.3965470411281604</v>
      </c>
      <c r="AI6565">
        <v>98.921484544006702</v>
      </c>
      <c r="AJ6565">
        <v>65.224671638359595</v>
      </c>
      <c r="AK6565">
        <v>7.1312566009145604</v>
      </c>
      <c r="AL6565">
        <v>90.4193126485996</v>
      </c>
      <c r="AM6565">
        <v>79.326113173226801</v>
      </c>
      <c r="AN6565">
        <v>1.00000000188684</v>
      </c>
    </row>
    <row r="6566" spans="1:40" x14ac:dyDescent="0.3">
      <c r="A6566" t="str">
        <f>"20200111160640758"</f>
        <v>20200111160640758</v>
      </c>
      <c r="B6566" t="str">
        <f>"1578730000748979"</f>
        <v>1578730000748979</v>
      </c>
      <c r="C6566" t="s">
        <v>40</v>
      </c>
      <c r="D6566">
        <v>5.7161799999999996</v>
      </c>
      <c r="E6566">
        <v>0.59845499999999996</v>
      </c>
      <c r="F6566" t="s">
        <v>75</v>
      </c>
      <c r="G6566">
        <v>-184.10939999999999</v>
      </c>
      <c r="H6566" s="1">
        <v>-3.2865580000000001E-6</v>
      </c>
      <c r="I6566">
        <v>124.126</v>
      </c>
      <c r="J6566">
        <v>-189.39330000000001</v>
      </c>
      <c r="K6566">
        <v>1.1059330000000001</v>
      </c>
      <c r="L6566">
        <v>119.2354</v>
      </c>
      <c r="M6566">
        <v>0.38144810000000001</v>
      </c>
      <c r="N6566">
        <v>0</v>
      </c>
      <c r="O6566">
        <v>0.92428180000000004</v>
      </c>
      <c r="P6566">
        <v>0.5459273</v>
      </c>
      <c r="Q6566">
        <v>-1.8453279999999999E-2</v>
      </c>
      <c r="R6566">
        <v>0.83762939999999997</v>
      </c>
      <c r="S6566">
        <v>2.2507320000000002</v>
      </c>
      <c r="T6566">
        <v>-0.4670282</v>
      </c>
      <c r="U6566">
        <v>2.107529</v>
      </c>
      <c r="V6566">
        <v>0.185034</v>
      </c>
      <c r="W6566">
        <v>-6.6296119999999896E-3</v>
      </c>
      <c r="X6566">
        <v>0.98270979999999997</v>
      </c>
      <c r="Y6566">
        <v>0.40516590000000002</v>
      </c>
      <c r="Z6566">
        <v>-0.1507387</v>
      </c>
      <c r="AA6566">
        <v>0.90173080000000005</v>
      </c>
      <c r="AB6566">
        <v>21</v>
      </c>
      <c r="AC6566">
        <v>5.2839000000000098</v>
      </c>
      <c r="AD6566">
        <v>-1.105936286558</v>
      </c>
      <c r="AE6566">
        <v>4.8906000000000001</v>
      </c>
      <c r="AF6566">
        <v>2.9490236462106898</v>
      </c>
      <c r="AG6566">
        <v>-1.105936286558</v>
      </c>
      <c r="AH6566">
        <v>6.38580984223612</v>
      </c>
      <c r="AI6566">
        <v>98.935471556478703</v>
      </c>
      <c r="AJ6566">
        <v>65.212088110007599</v>
      </c>
      <c r="AK6566">
        <v>7.1202810953666198</v>
      </c>
      <c r="AL6566">
        <v>90.379851554027596</v>
      </c>
      <c r="AM6566">
        <v>79.336648692471101</v>
      </c>
      <c r="AN6566">
        <v>1.0000000419636501</v>
      </c>
    </row>
    <row r="6567" spans="1:40" x14ac:dyDescent="0.3">
      <c r="A6567" t="str">
        <f>"20200111160640776"</f>
        <v>20200111160640776</v>
      </c>
      <c r="B6567" t="str">
        <f>"1578730000769475"</f>
        <v>1578730000769475</v>
      </c>
      <c r="C6567" t="s">
        <v>40</v>
      </c>
      <c r="D6567">
        <v>5.6947769999999904</v>
      </c>
      <c r="E6567">
        <v>0.5986939</v>
      </c>
      <c r="F6567" t="s">
        <v>75</v>
      </c>
      <c r="G6567">
        <v>-184.0444</v>
      </c>
      <c r="H6567" s="1">
        <v>-3.334431E-6</v>
      </c>
      <c r="I6567">
        <v>124.1969</v>
      </c>
      <c r="J6567">
        <v>-189.32159999999999</v>
      </c>
      <c r="K6567">
        <v>1.1059540000000001</v>
      </c>
      <c r="L6567">
        <v>119.38939999999999</v>
      </c>
      <c r="M6567">
        <v>0.38743080000000002</v>
      </c>
      <c r="N6567">
        <v>0</v>
      </c>
      <c r="O6567">
        <v>0.92179009999999995</v>
      </c>
      <c r="P6567">
        <v>0.55125179999999996</v>
      </c>
      <c r="Q6567">
        <v>-1.736215E-2</v>
      </c>
      <c r="R6567">
        <v>0.83415830000000002</v>
      </c>
      <c r="S6567">
        <v>2.2612299999999999</v>
      </c>
      <c r="T6567">
        <v>-0.46753479999999997</v>
      </c>
      <c r="U6567">
        <v>2.0974729999999999</v>
      </c>
      <c r="V6567">
        <v>0.1849278</v>
      </c>
      <c r="W6567">
        <v>-5.5328230000000001E-3</v>
      </c>
      <c r="X6567">
        <v>0.98273650000000001</v>
      </c>
      <c r="Y6567">
        <v>0.4035011</v>
      </c>
      <c r="Z6567">
        <v>-0.15062509999999901</v>
      </c>
      <c r="AA6567">
        <v>0.90249599999999996</v>
      </c>
      <c r="AB6567">
        <v>21</v>
      </c>
      <c r="AC6567">
        <v>5.2771999999999899</v>
      </c>
      <c r="AD6567">
        <v>-1.1059573344310001</v>
      </c>
      <c r="AE6567">
        <v>4.8075000000000001</v>
      </c>
      <c r="AF6567">
        <v>2.93182944413492</v>
      </c>
      <c r="AG6567">
        <v>-1.1059573344310001</v>
      </c>
      <c r="AH6567">
        <v>6.3248972022377998</v>
      </c>
      <c r="AI6567">
        <v>99.014442173454995</v>
      </c>
      <c r="AJ6567">
        <v>65.130490584921802</v>
      </c>
      <c r="AK6567">
        <v>7.0585473104565803</v>
      </c>
      <c r="AL6567">
        <v>90.317009034907898</v>
      </c>
      <c r="AM6567">
        <v>79.342911594615302</v>
      </c>
      <c r="AN6567">
        <v>0.999999965887719</v>
      </c>
    </row>
    <row r="6568" spans="1:40" x14ac:dyDescent="0.3">
      <c r="A6568" t="str">
        <f>"20200111160640788"</f>
        <v>20200111160640788</v>
      </c>
      <c r="B6568" t="str">
        <f>"1578730000779235"</f>
        <v>1578730000779235</v>
      </c>
      <c r="C6568" t="s">
        <v>40</v>
      </c>
      <c r="D6568">
        <v>5.6945629999999996</v>
      </c>
      <c r="E6568">
        <v>0.59879009999999999</v>
      </c>
      <c r="F6568" t="s">
        <v>75</v>
      </c>
      <c r="G6568">
        <v>-183.9606</v>
      </c>
      <c r="H6568" s="1">
        <v>-3.3995459999999998E-6</v>
      </c>
      <c r="I6568">
        <v>124.2944</v>
      </c>
      <c r="J6568">
        <v>-189.27600000000001</v>
      </c>
      <c r="K6568">
        <v>1.1059650000000001</v>
      </c>
      <c r="L6568">
        <v>119.48609999999999</v>
      </c>
      <c r="M6568">
        <v>0.39118819999999999</v>
      </c>
      <c r="N6568">
        <v>0</v>
      </c>
      <c r="O6568">
        <v>0.92020190000000002</v>
      </c>
      <c r="P6568">
        <v>0.55433069999999995</v>
      </c>
      <c r="Q6568">
        <v>-1.7118629999999999E-2</v>
      </c>
      <c r="R6568">
        <v>0.83212050000000004</v>
      </c>
      <c r="S6568">
        <v>2.2760929999999999</v>
      </c>
      <c r="T6568">
        <v>-0.46955590000000003</v>
      </c>
      <c r="U6568">
        <v>2.0825040000000001</v>
      </c>
      <c r="V6568">
        <v>0.1845513</v>
      </c>
      <c r="W6568">
        <v>-5.2817920000000004E-3</v>
      </c>
      <c r="X6568">
        <v>0.98280869999999998</v>
      </c>
      <c r="Y6568">
        <v>0.40587230000000002</v>
      </c>
      <c r="Z6568">
        <v>-0.15118970000000001</v>
      </c>
      <c r="AA6568">
        <v>0.90133759999999996</v>
      </c>
      <c r="AB6568">
        <v>21</v>
      </c>
      <c r="AC6568">
        <v>5.3153999999999799</v>
      </c>
      <c r="AD6568">
        <v>-1.1059683995459999</v>
      </c>
      <c r="AE6568">
        <v>4.8083</v>
      </c>
      <c r="AF6568">
        <v>2.9405789714402601</v>
      </c>
      <c r="AG6568">
        <v>-1.1059683995459999</v>
      </c>
      <c r="AH6568">
        <v>6.3533112943935004</v>
      </c>
      <c r="AI6568">
        <v>98.977216143426801</v>
      </c>
      <c r="AJ6568">
        <v>65.163321021531701</v>
      </c>
      <c r="AK6568">
        <v>7.0876466610250102</v>
      </c>
      <c r="AL6568">
        <v>90.302625793857203</v>
      </c>
      <c r="AM6568">
        <v>79.364876694478795</v>
      </c>
      <c r="AN6568">
        <v>1.0000000102270501</v>
      </c>
    </row>
    <row r="6569" spans="1:40" x14ac:dyDescent="0.3">
      <c r="A6569" t="str">
        <f>"20200111160640801"</f>
        <v>20200111160640801</v>
      </c>
      <c r="B6569" t="str">
        <f>"1578730000788996"</f>
        <v>1578730000788996</v>
      </c>
      <c r="C6569" t="s">
        <v>40</v>
      </c>
      <c r="D6569">
        <v>5.6356619999999999</v>
      </c>
      <c r="E6569">
        <v>0.59890919999999903</v>
      </c>
      <c r="F6569" t="s">
        <v>75</v>
      </c>
      <c r="G6569">
        <v>-183.91239999999999</v>
      </c>
      <c r="H6569" s="1">
        <v>-3.439214E-6</v>
      </c>
      <c r="I6569">
        <v>124.3545</v>
      </c>
      <c r="J6569">
        <v>-189.2201</v>
      </c>
      <c r="K6569">
        <v>1.1059779999999999</v>
      </c>
      <c r="L6569">
        <v>119.60339999999999</v>
      </c>
      <c r="M6569">
        <v>0.39574160000000003</v>
      </c>
      <c r="N6569">
        <v>0</v>
      </c>
      <c r="O6569">
        <v>0.91825290000000004</v>
      </c>
      <c r="P6569">
        <v>0.55838809999999905</v>
      </c>
      <c r="Q6569">
        <v>-1.672908E-2</v>
      </c>
      <c r="R6569">
        <v>0.82941109999999896</v>
      </c>
      <c r="S6569">
        <v>2.284592</v>
      </c>
      <c r="T6569">
        <v>-0.47108129999999998</v>
      </c>
      <c r="U6569">
        <v>2.073639</v>
      </c>
      <c r="V6569">
        <v>0.18448429999999999</v>
      </c>
      <c r="W6569">
        <v>-4.8888339999999999E-3</v>
      </c>
      <c r="X6569">
        <v>0.98282329999999996</v>
      </c>
      <c r="Y6569">
        <v>0.40489999999999998</v>
      </c>
      <c r="Z6569">
        <v>-0.15147820000000001</v>
      </c>
      <c r="AA6569">
        <v>0.90172629999999998</v>
      </c>
      <c r="AB6569">
        <v>21</v>
      </c>
      <c r="AC6569">
        <v>5.3077000000000103</v>
      </c>
      <c r="AD6569">
        <v>-1.1059814392139999</v>
      </c>
      <c r="AE6569">
        <v>4.7511000000000001</v>
      </c>
      <c r="AF6569">
        <v>2.9234335881108402</v>
      </c>
      <c r="AG6569">
        <v>-1.1059814392139999</v>
      </c>
      <c r="AH6569">
        <v>6.3116932760281603</v>
      </c>
      <c r="AI6569">
        <v>99.034404995707405</v>
      </c>
      <c r="AJ6569">
        <v>65.147494665592006</v>
      </c>
      <c r="AK6569">
        <v>7.0432329862528</v>
      </c>
      <c r="AL6569">
        <v>90.280110671221095</v>
      </c>
      <c r="AM6569">
        <v>79.368803999684999</v>
      </c>
      <c r="AN6569">
        <v>0.99999999833362896</v>
      </c>
    </row>
    <row r="6570" spans="1:40" x14ac:dyDescent="0.3">
      <c r="A6570" t="str">
        <f>"20200111160640815"</f>
        <v>20200111160640815</v>
      </c>
      <c r="B6570" t="str">
        <f>"1578730000809491"</f>
        <v>1578730000809491</v>
      </c>
      <c r="C6570" t="s">
        <v>40</v>
      </c>
      <c r="D6570">
        <v>5.6743759999999996</v>
      </c>
      <c r="E6570">
        <v>0.5992035</v>
      </c>
      <c r="F6570" t="s">
        <v>75</v>
      </c>
      <c r="G6570">
        <v>-183.84049999999999</v>
      </c>
      <c r="H6570" s="1">
        <v>-3.4940389999999999E-6</v>
      </c>
      <c r="I6570">
        <v>124.4362</v>
      </c>
      <c r="J6570">
        <v>-189.16589999999999</v>
      </c>
      <c r="K6570">
        <v>1.1059870000000001</v>
      </c>
      <c r="L6570">
        <v>119.7154</v>
      </c>
      <c r="M6570">
        <v>0.40009529999999999</v>
      </c>
      <c r="N6570">
        <v>0</v>
      </c>
      <c r="O6570">
        <v>0.91636439999999997</v>
      </c>
      <c r="P6570">
        <v>0.56208100000000005</v>
      </c>
      <c r="Q6570">
        <v>-1.6668840000000001E-2</v>
      </c>
      <c r="R6570">
        <v>0.82691429999999999</v>
      </c>
      <c r="S6570">
        <v>2.2954409999999998</v>
      </c>
      <c r="T6570">
        <v>-0.471912</v>
      </c>
      <c r="U6570">
        <v>2.0621339999999999</v>
      </c>
      <c r="V6570">
        <v>0.18420259999999999</v>
      </c>
      <c r="W6570">
        <v>-4.8226120000000004E-3</v>
      </c>
      <c r="X6570">
        <v>0.98287650000000004</v>
      </c>
      <c r="Y6570">
        <v>0.405171</v>
      </c>
      <c r="Z6570">
        <v>-0.15159069999999999</v>
      </c>
      <c r="AA6570">
        <v>0.90158559999999999</v>
      </c>
      <c r="AB6570">
        <v>21</v>
      </c>
      <c r="AC6570">
        <v>5.3254000000000001</v>
      </c>
      <c r="AD6570">
        <v>-1.105990494039</v>
      </c>
      <c r="AE6570">
        <v>4.7207999999999899</v>
      </c>
      <c r="AF6570">
        <v>2.9209876511291202</v>
      </c>
      <c r="AG6570">
        <v>-1.105990494039</v>
      </c>
      <c r="AH6570">
        <v>6.3050058710039103</v>
      </c>
      <c r="AI6570">
        <v>99.043551342509801</v>
      </c>
      <c r="AJ6570">
        <v>65.142620089225801</v>
      </c>
      <c r="AK6570">
        <v>7.0362264648280899</v>
      </c>
      <c r="AL6570">
        <v>90.276316375283798</v>
      </c>
      <c r="AM6570">
        <v>79.385229705160896</v>
      </c>
      <c r="AN6570">
        <v>1.00000003484275</v>
      </c>
    </row>
    <row r="6571" spans="1:40" x14ac:dyDescent="0.3">
      <c r="A6571" t="str">
        <f>"20200111160640827"</f>
        <v>20200111160640827</v>
      </c>
      <c r="B6571" t="str">
        <f>"1578730000819251"</f>
        <v>1578730000819251</v>
      </c>
      <c r="C6571" t="s">
        <v>40</v>
      </c>
      <c r="D6571">
        <v>5.5726040000000001</v>
      </c>
      <c r="E6571">
        <v>0.59942390000000001</v>
      </c>
      <c r="F6571" t="s">
        <v>75</v>
      </c>
      <c r="G6571">
        <v>-183.816</v>
      </c>
      <c r="H6571" s="1">
        <v>-3.5171939999999998E-6</v>
      </c>
      <c r="I6571">
        <v>124.4722</v>
      </c>
      <c r="J6571">
        <v>-189.11439999999999</v>
      </c>
      <c r="K6571">
        <v>1.105998</v>
      </c>
      <c r="L6571">
        <v>119.821</v>
      </c>
      <c r="M6571">
        <v>0.4042</v>
      </c>
      <c r="N6571">
        <v>0</v>
      </c>
      <c r="O6571">
        <v>0.91456119999999996</v>
      </c>
      <c r="P6571">
        <v>0.56578419999999996</v>
      </c>
      <c r="Q6571">
        <v>-1.6294980000000001E-2</v>
      </c>
      <c r="R6571">
        <v>0.82439229999999997</v>
      </c>
      <c r="S6571">
        <v>2.3063199999999999</v>
      </c>
      <c r="T6571">
        <v>-0.47678690000000001</v>
      </c>
      <c r="U6571">
        <v>2.050659</v>
      </c>
      <c r="V6571">
        <v>0.18420520000000001</v>
      </c>
      <c r="W6571">
        <v>-4.4468119999999996E-3</v>
      </c>
      <c r="X6571">
        <v>0.98287769999999997</v>
      </c>
      <c r="Y6571">
        <v>0.40552260000000001</v>
      </c>
      <c r="Z6571">
        <v>-0.15297639999999901</v>
      </c>
      <c r="AA6571">
        <v>0.90119340000000003</v>
      </c>
      <c r="AB6571">
        <v>21</v>
      </c>
      <c r="AC6571">
        <v>5.2984000000000098</v>
      </c>
      <c r="AD6571">
        <v>-1.1060015171940001</v>
      </c>
      <c r="AE6571">
        <v>4.6512000000000002</v>
      </c>
      <c r="AF6571">
        <v>2.8947554416696901</v>
      </c>
      <c r="AG6571">
        <v>-1.1060015171940001</v>
      </c>
      <c r="AH6571">
        <v>6.2424394388896696</v>
      </c>
      <c r="AI6571">
        <v>99.131250991039494</v>
      </c>
      <c r="AJ6571">
        <v>65.121815730612596</v>
      </c>
      <c r="AK6571">
        <v>6.9692825004670897</v>
      </c>
      <c r="AL6571">
        <v>90.254784411939994</v>
      </c>
      <c r="AM6571">
        <v>79.385095948963396</v>
      </c>
      <c r="AN6571">
        <v>0.99999995150064502</v>
      </c>
    </row>
    <row r="6572" spans="1:40" x14ac:dyDescent="0.3">
      <c r="A6572" t="str">
        <f>"20200111160640843"</f>
        <v>20200111160640843</v>
      </c>
      <c r="B6572" t="str">
        <f>"1578730000839747"</f>
        <v>1578730000839747</v>
      </c>
      <c r="C6572" t="s">
        <v>40</v>
      </c>
      <c r="D6572">
        <v>5.5584829999999998</v>
      </c>
      <c r="E6572">
        <v>0.59972269999999905</v>
      </c>
      <c r="F6572" t="s">
        <v>75</v>
      </c>
      <c r="G6572">
        <v>-183.7407</v>
      </c>
      <c r="H6572" s="1">
        <v>-3.5706230000000002E-6</v>
      </c>
      <c r="I6572">
        <v>124.5506</v>
      </c>
      <c r="J6572">
        <v>-189.04589999999999</v>
      </c>
      <c r="K6572">
        <v>1.1060190000000001</v>
      </c>
      <c r="L6572">
        <v>119.95959999999999</v>
      </c>
      <c r="M6572">
        <v>0.40958539999999999</v>
      </c>
      <c r="N6572">
        <v>0</v>
      </c>
      <c r="O6572">
        <v>0.91216209999999998</v>
      </c>
      <c r="P6572">
        <v>0.57051960000000002</v>
      </c>
      <c r="Q6572">
        <v>-1.6177159999999999E-2</v>
      </c>
      <c r="R6572">
        <v>0.82112459999999898</v>
      </c>
      <c r="S6572">
        <v>2.3171080000000002</v>
      </c>
      <c r="T6572">
        <v>-0.47690529999999998</v>
      </c>
      <c r="U6572">
        <v>2.0393680000000001</v>
      </c>
      <c r="V6572">
        <v>0.1840675</v>
      </c>
      <c r="W6572">
        <v>-4.3247299999999997E-3</v>
      </c>
      <c r="X6572">
        <v>0.98290409999999995</v>
      </c>
      <c r="Y6572">
        <v>0.40471839999999998</v>
      </c>
      <c r="Z6572">
        <v>-0.1527685</v>
      </c>
      <c r="AA6572">
        <v>0.90159020000000001</v>
      </c>
      <c r="AB6572">
        <v>21</v>
      </c>
      <c r="AC6572">
        <v>5.3051999999999797</v>
      </c>
      <c r="AD6572">
        <v>-1.106022570623</v>
      </c>
      <c r="AE6572">
        <v>4.5910000000000002</v>
      </c>
      <c r="AF6572">
        <v>2.88733522835562</v>
      </c>
      <c r="AG6572">
        <v>-1.106022570623</v>
      </c>
      <c r="AH6572">
        <v>6.2070463610355704</v>
      </c>
      <c r="AI6572">
        <v>99.177611021874</v>
      </c>
      <c r="AJ6572">
        <v>65.053537893743695</v>
      </c>
      <c r="AK6572">
        <v>6.93450900754162</v>
      </c>
      <c r="AL6572">
        <v>90.247789546765105</v>
      </c>
      <c r="AM6572">
        <v>79.393129274472301</v>
      </c>
      <c r="AN6572">
        <v>1.0000000088213099</v>
      </c>
    </row>
    <row r="6573" spans="1:40" x14ac:dyDescent="0.3">
      <c r="A6573" t="str">
        <f>"20200111160640855"</f>
        <v>20200111160640855</v>
      </c>
      <c r="B6573" t="str">
        <f>"1578730000849508"</f>
        <v>1578730000849508</v>
      </c>
      <c r="C6573" t="s">
        <v>40</v>
      </c>
      <c r="D6573">
        <v>5.5581050000000003</v>
      </c>
      <c r="E6573">
        <v>0.59979890000000002</v>
      </c>
      <c r="F6573" t="s">
        <v>75</v>
      </c>
      <c r="G6573">
        <v>-183.66739999999999</v>
      </c>
      <c r="H6573" s="1">
        <v>-3.6207549999999999E-6</v>
      </c>
      <c r="I6573">
        <v>124.6313</v>
      </c>
      <c r="J6573">
        <v>-188.9948</v>
      </c>
      <c r="K6573">
        <v>1.106028</v>
      </c>
      <c r="L6573">
        <v>120.06100000000001</v>
      </c>
      <c r="M6573">
        <v>0.41353420000000002</v>
      </c>
      <c r="N6573">
        <v>0</v>
      </c>
      <c r="O6573">
        <v>0.91037880000000004</v>
      </c>
      <c r="P6573">
        <v>0.57386709999999996</v>
      </c>
      <c r="Q6573">
        <v>-1.6274340000000002E-2</v>
      </c>
      <c r="R6573">
        <v>0.81878669999999998</v>
      </c>
      <c r="S6573">
        <v>2.3308559999999998</v>
      </c>
      <c r="T6573">
        <v>-0.47931960000000001</v>
      </c>
      <c r="U6573">
        <v>2.0245820000000001</v>
      </c>
      <c r="V6573">
        <v>0.1838207</v>
      </c>
      <c r="W6573">
        <v>-4.4169980000000001E-3</v>
      </c>
      <c r="X6573">
        <v>0.98294990000000004</v>
      </c>
      <c r="Y6573">
        <v>0.40657149999999997</v>
      </c>
      <c r="Z6573">
        <v>-0.15342249999999999</v>
      </c>
      <c r="AA6573">
        <v>0.90064480000000002</v>
      </c>
      <c r="AB6573">
        <v>21</v>
      </c>
      <c r="AC6573">
        <v>5.3274000000000097</v>
      </c>
      <c r="AD6573">
        <v>-1.1060316207550001</v>
      </c>
      <c r="AE6573">
        <v>4.57029999999998</v>
      </c>
      <c r="AF6573">
        <v>2.8885521153437699</v>
      </c>
      <c r="AG6573">
        <v>-1.1060316207550001</v>
      </c>
      <c r="AH6573">
        <v>6.2102079732003004</v>
      </c>
      <c r="AI6573">
        <v>99.1732328671077</v>
      </c>
      <c r="AJ6573">
        <v>65.055462968459594</v>
      </c>
      <c r="AK6573">
        <v>6.9378470968714403</v>
      </c>
      <c r="AL6573">
        <v>90.253076158144097</v>
      </c>
      <c r="AM6573">
        <v>79.407511421069799</v>
      </c>
      <c r="AN6573">
        <v>1.0000000327649099</v>
      </c>
    </row>
    <row r="6574" spans="1:40" x14ac:dyDescent="0.3">
      <c r="A6574" t="str">
        <f>"20200111160640868"</f>
        <v>20200111160640868</v>
      </c>
      <c r="B6574" t="str">
        <f>"1578730000859267"</f>
        <v>1578730000859267</v>
      </c>
      <c r="C6574" t="s">
        <v>40</v>
      </c>
      <c r="D6574">
        <v>5.5945839999999896</v>
      </c>
      <c r="E6574">
        <v>0.59982269999999904</v>
      </c>
      <c r="F6574" t="s">
        <v>75</v>
      </c>
      <c r="G6574">
        <v>-183.6155</v>
      </c>
      <c r="H6574" s="1">
        <v>-3.6439579999999999E-6</v>
      </c>
      <c r="I6574">
        <v>124.69280000000001</v>
      </c>
      <c r="J6574">
        <v>-188.94229999999999</v>
      </c>
      <c r="K6574">
        <v>1.1060380000000001</v>
      </c>
      <c r="L6574">
        <v>120.1647</v>
      </c>
      <c r="M6574">
        <v>0.41756650000000001</v>
      </c>
      <c r="N6574">
        <v>0</v>
      </c>
      <c r="O6574">
        <v>0.90853629999999996</v>
      </c>
      <c r="P6574">
        <v>0.57740839999999904</v>
      </c>
      <c r="Q6574">
        <v>-1.6145550000000002E-2</v>
      </c>
      <c r="R6574">
        <v>0.81629580000000002</v>
      </c>
      <c r="S6574">
        <v>2.3396910000000002</v>
      </c>
      <c r="T6574">
        <v>-0.48106339999999997</v>
      </c>
      <c r="U6574">
        <v>2.0145569999999999</v>
      </c>
      <c r="V6574">
        <v>0.18372089999999999</v>
      </c>
      <c r="W6574">
        <v>-4.2852460000000004E-3</v>
      </c>
      <c r="X6574">
        <v>0.98296910000000004</v>
      </c>
      <c r="Y6574">
        <v>0.40637230000000002</v>
      </c>
      <c r="Z6574">
        <v>-0.153808</v>
      </c>
      <c r="AA6574">
        <v>0.90066900000000005</v>
      </c>
      <c r="AB6574">
        <v>21</v>
      </c>
      <c r="AC6574">
        <v>5.3267999999999898</v>
      </c>
      <c r="AD6574">
        <v>-1.1060416439580001</v>
      </c>
      <c r="AE6574">
        <v>4.5281000000000002</v>
      </c>
      <c r="AF6574">
        <v>2.8770954461790201</v>
      </c>
      <c r="AG6574">
        <v>-1.1060416439580001</v>
      </c>
      <c r="AH6574">
        <v>6.1840952053229303</v>
      </c>
      <c r="AI6574">
        <v>99.211001058496507</v>
      </c>
      <c r="AJ6574">
        <v>65.050213835818397</v>
      </c>
      <c r="AK6574">
        <v>6.9097062045423803</v>
      </c>
      <c r="AL6574">
        <v>90.245527263395104</v>
      </c>
      <c r="AM6574">
        <v>79.413334372786395</v>
      </c>
      <c r="AN6574">
        <v>0.99999999199245004</v>
      </c>
    </row>
    <row r="6575" spans="1:40" x14ac:dyDescent="0.3">
      <c r="A6575" t="str">
        <f>"20200111160640879"</f>
        <v>20200111160640879</v>
      </c>
      <c r="B6575" t="str">
        <f>"1578730000869027"</f>
        <v>1578730000869027</v>
      </c>
      <c r="C6575" t="s">
        <v>40</v>
      </c>
      <c r="D6575">
        <v>5.5872039999999998</v>
      </c>
      <c r="E6575">
        <v>0.59987630000000003</v>
      </c>
      <c r="F6575" t="s">
        <v>75</v>
      </c>
      <c r="G6575">
        <v>-183.5565</v>
      </c>
      <c r="H6575" s="1">
        <v>-3.6698590000000001E-6</v>
      </c>
      <c r="I6575">
        <v>124.76090000000001</v>
      </c>
      <c r="J6575">
        <v>-188.89070000000001</v>
      </c>
      <c r="K6575">
        <v>1.1060479999999999</v>
      </c>
      <c r="L6575">
        <v>120.2651</v>
      </c>
      <c r="M6575">
        <v>0.42147560000000001</v>
      </c>
      <c r="N6575">
        <v>0</v>
      </c>
      <c r="O6575">
        <v>0.90672949999999997</v>
      </c>
      <c r="P6575">
        <v>0.58063819999999999</v>
      </c>
      <c r="Q6575">
        <v>-1.6372009999999999E-2</v>
      </c>
      <c r="R6575">
        <v>0.81399709999999903</v>
      </c>
      <c r="S6575">
        <v>2.348633</v>
      </c>
      <c r="T6575">
        <v>-0.48232399999999997</v>
      </c>
      <c r="U6575">
        <v>2.0043030000000002</v>
      </c>
      <c r="V6575">
        <v>0.18338160000000001</v>
      </c>
      <c r="W6575">
        <v>-4.5056219999999999E-3</v>
      </c>
      <c r="X6575">
        <v>0.98303149999999995</v>
      </c>
      <c r="Y6575">
        <v>0.40637719999999999</v>
      </c>
      <c r="Z6575">
        <v>-0.15405050000000001</v>
      </c>
      <c r="AA6575">
        <v>0.90062529999999996</v>
      </c>
      <c r="AB6575">
        <v>21</v>
      </c>
      <c r="AC6575">
        <v>5.3342000000000098</v>
      </c>
      <c r="AD6575">
        <v>-1.1060516698589999</v>
      </c>
      <c r="AE6575">
        <v>4.4958</v>
      </c>
      <c r="AF6575">
        <v>2.8699564400069901</v>
      </c>
      <c r="AG6575">
        <v>-1.1060516698589999</v>
      </c>
      <c r="AH6575">
        <v>6.1702362682696696</v>
      </c>
      <c r="AI6575">
        <v>99.231804995095402</v>
      </c>
      <c r="AJ6575">
        <v>65.055490822440106</v>
      </c>
      <c r="AK6575">
        <v>6.8943321554887298</v>
      </c>
      <c r="AL6575">
        <v>90.258153992733696</v>
      </c>
      <c r="AM6575">
        <v>79.433100973911607</v>
      </c>
      <c r="AN6575">
        <v>1.0000000209202</v>
      </c>
    </row>
    <row r="6576" spans="1:40" x14ac:dyDescent="0.3">
      <c r="A6576" t="str">
        <f>"20200111160640891"</f>
        <v>20200111160640891</v>
      </c>
      <c r="B6576" t="str">
        <f>"1578730000879764"</f>
        <v>1578730000879764</v>
      </c>
      <c r="C6576" t="s">
        <v>40</v>
      </c>
      <c r="D6576">
        <v>5.5409259999999998</v>
      </c>
      <c r="E6576">
        <v>0.59989230000000004</v>
      </c>
      <c r="F6576" t="s">
        <v>75</v>
      </c>
      <c r="G6576">
        <v>-183.51589999999999</v>
      </c>
      <c r="H6576" s="1">
        <v>-3.6893929999999998E-6</v>
      </c>
      <c r="I6576">
        <v>124.8143</v>
      </c>
      <c r="J6576">
        <v>-188.8433</v>
      </c>
      <c r="K6576">
        <v>1.106053</v>
      </c>
      <c r="L6576">
        <v>120.3566</v>
      </c>
      <c r="M6576">
        <v>0.42503859999999899</v>
      </c>
      <c r="N6576">
        <v>0</v>
      </c>
      <c r="O6576">
        <v>0.9050648</v>
      </c>
      <c r="P6576">
        <v>0.58363699999999996</v>
      </c>
      <c r="Q6576">
        <v>-1.5886790000000001E-2</v>
      </c>
      <c r="R6576">
        <v>0.81185929999999995</v>
      </c>
      <c r="S6576">
        <v>2.3567049999999998</v>
      </c>
      <c r="T6576">
        <v>-0.48496889999999998</v>
      </c>
      <c r="U6576">
        <v>1.994675</v>
      </c>
      <c r="V6576">
        <v>0.1831429</v>
      </c>
      <c r="W6576">
        <v>-4.0157209999999999E-3</v>
      </c>
      <c r="X6576">
        <v>0.98307809999999995</v>
      </c>
      <c r="Y6576">
        <v>0.40636109999999998</v>
      </c>
      <c r="Z6576">
        <v>-0.1547442</v>
      </c>
      <c r="AA6576">
        <v>0.90051360000000003</v>
      </c>
      <c r="AB6576">
        <v>21</v>
      </c>
      <c r="AC6576">
        <v>5.3274000000000097</v>
      </c>
      <c r="AD6576">
        <v>-1.1060566893929999</v>
      </c>
      <c r="AE6576">
        <v>4.4577</v>
      </c>
      <c r="AF6576">
        <v>2.85485971402862</v>
      </c>
      <c r="AG6576">
        <v>-1.1060566893929999</v>
      </c>
      <c r="AH6576">
        <v>6.1437231203382296</v>
      </c>
      <c r="AI6576">
        <v>99.272563040524503</v>
      </c>
      <c r="AJ6576">
        <v>65.076691769174104</v>
      </c>
      <c r="AK6576">
        <v>6.8643221927815299</v>
      </c>
      <c r="AL6576">
        <v>90.230084483564298</v>
      </c>
      <c r="AM6576">
        <v>79.447035286207793</v>
      </c>
      <c r="AN6576">
        <v>0.99999999926758498</v>
      </c>
    </row>
    <row r="6577" spans="1:40" x14ac:dyDescent="0.3">
      <c r="A6577" t="str">
        <f>"20200111160640904"</f>
        <v>20200111160640904</v>
      </c>
      <c r="B6577" t="str">
        <f>"1578730000899283"</f>
        <v>1578730000899283</v>
      </c>
      <c r="C6577" t="s">
        <v>40</v>
      </c>
      <c r="D6577">
        <v>5.4667649999999997</v>
      </c>
      <c r="E6577">
        <v>0.60004360000000001</v>
      </c>
      <c r="F6577" t="s">
        <v>75</v>
      </c>
      <c r="G6577">
        <v>-183.4522</v>
      </c>
      <c r="H6577" s="1">
        <v>-3.7166460000000001E-6</v>
      </c>
      <c r="I6577">
        <v>124.88509999999999</v>
      </c>
      <c r="J6577">
        <v>-188.78569999999999</v>
      </c>
      <c r="K6577">
        <v>1.106063</v>
      </c>
      <c r="L6577">
        <v>120.4669</v>
      </c>
      <c r="M6577">
        <v>0.42933169999999998</v>
      </c>
      <c r="N6577">
        <v>0</v>
      </c>
      <c r="O6577">
        <v>0.90303630000000001</v>
      </c>
      <c r="P6577">
        <v>0.58748869999999997</v>
      </c>
      <c r="Q6577">
        <v>-1.5741209999999999E-2</v>
      </c>
      <c r="R6577">
        <v>0.80907929999999995</v>
      </c>
      <c r="S6577">
        <v>2.3643339999999999</v>
      </c>
      <c r="T6577">
        <v>-0.4850759</v>
      </c>
      <c r="U6577">
        <v>1.9860230000000001</v>
      </c>
      <c r="V6577">
        <v>0.1831469</v>
      </c>
      <c r="W6577">
        <v>-3.868556E-3</v>
      </c>
      <c r="X6577">
        <v>0.98307789999999995</v>
      </c>
      <c r="Y6577">
        <v>0.40541060000000001</v>
      </c>
      <c r="Z6577">
        <v>-0.15455940000000001</v>
      </c>
      <c r="AA6577">
        <v>0.90097369999999999</v>
      </c>
      <c r="AB6577">
        <v>21</v>
      </c>
      <c r="AC6577">
        <v>5.3334999999999804</v>
      </c>
      <c r="AD6577">
        <v>-1.1060667166460001</v>
      </c>
      <c r="AE6577">
        <v>4.4181999999999899</v>
      </c>
      <c r="AF6577">
        <v>2.8471463630126599</v>
      </c>
      <c r="AG6577">
        <v>-1.1060667166460001</v>
      </c>
      <c r="AH6577">
        <v>6.1240693805559099</v>
      </c>
      <c r="AI6577">
        <v>99.301075082490996</v>
      </c>
      <c r="AJ6577">
        <v>65.0657718259245</v>
      </c>
      <c r="AK6577">
        <v>6.8435262673530204</v>
      </c>
      <c r="AL6577">
        <v>90.221652494432504</v>
      </c>
      <c r="AM6577">
        <v>79.446807879094905</v>
      </c>
      <c r="AN6577">
        <v>0.99999995508677098</v>
      </c>
    </row>
    <row r="6578" spans="1:40" x14ac:dyDescent="0.3">
      <c r="A6578" t="str">
        <f>"20200111160640915"</f>
        <v>20200111160640915</v>
      </c>
      <c r="B6578" t="str">
        <f>"1578730000909043"</f>
        <v>1578730000909043</v>
      </c>
      <c r="C6578" t="s">
        <v>40</v>
      </c>
      <c r="D6578">
        <v>5.338355</v>
      </c>
      <c r="E6578">
        <v>0.60014529999999999</v>
      </c>
      <c r="F6578" t="s">
        <v>75</v>
      </c>
      <c r="G6578">
        <v>-183.3931</v>
      </c>
      <c r="H6578" s="1">
        <v>-3.7418919999999999E-6</v>
      </c>
      <c r="I6578">
        <v>124.95059999999999</v>
      </c>
      <c r="J6578">
        <v>-188.72980000000001</v>
      </c>
      <c r="K6578">
        <v>1.106074</v>
      </c>
      <c r="L6578">
        <v>120.5723</v>
      </c>
      <c r="M6578">
        <v>0.43343680000000001</v>
      </c>
      <c r="N6578">
        <v>0</v>
      </c>
      <c r="O6578">
        <v>0.90107320000000002</v>
      </c>
      <c r="P6578">
        <v>0.59105430000000003</v>
      </c>
      <c r="Q6578">
        <v>-1.5022840000000001E-2</v>
      </c>
      <c r="R6578">
        <v>0.80649190000000004</v>
      </c>
      <c r="S6578">
        <v>2.3744960000000002</v>
      </c>
      <c r="T6578">
        <v>-0.48702719999999999</v>
      </c>
      <c r="U6578">
        <v>1.9742740000000001</v>
      </c>
      <c r="V6578">
        <v>0.1830147</v>
      </c>
      <c r="W6578">
        <v>-3.1465659999999999E-3</v>
      </c>
      <c r="X6578">
        <v>0.98310509999999995</v>
      </c>
      <c r="Y6578">
        <v>0.405727</v>
      </c>
      <c r="Z6578">
        <v>-0.15500159999999999</v>
      </c>
      <c r="AA6578">
        <v>0.90075530000000004</v>
      </c>
      <c r="AB6578">
        <v>21</v>
      </c>
      <c r="AC6578">
        <v>5.3367000000000004</v>
      </c>
      <c r="AD6578">
        <v>-1.106077741892</v>
      </c>
      <c r="AE6578">
        <v>4.3782999999999896</v>
      </c>
      <c r="AF6578">
        <v>2.8384544513763901</v>
      </c>
      <c r="AG6578">
        <v>-1.106077741892</v>
      </c>
      <c r="AH6578">
        <v>6.1022410226880597</v>
      </c>
      <c r="AI6578">
        <v>99.333016230909294</v>
      </c>
      <c r="AJ6578">
        <v>65.054529172588801</v>
      </c>
      <c r="AK6578">
        <v>6.8203795453496898</v>
      </c>
      <c r="AL6578">
        <v>90.180285256564204</v>
      </c>
      <c r="AM6578">
        <v>79.454539725889603</v>
      </c>
      <c r="AN6578">
        <v>0.99999995946984499</v>
      </c>
    </row>
    <row r="6579" spans="1:40" x14ac:dyDescent="0.3">
      <c r="A6579" t="str">
        <f>"20200111160640931"</f>
        <v>20200111160640931</v>
      </c>
      <c r="B6579" t="str">
        <f>"1578730000929539"</f>
        <v>1578730000929539</v>
      </c>
      <c r="C6579" t="s">
        <v>40</v>
      </c>
      <c r="D6579">
        <v>5.245501</v>
      </c>
      <c r="E6579">
        <v>0.58878439999999999</v>
      </c>
      <c r="F6579" t="s">
        <v>75</v>
      </c>
      <c r="G6579">
        <v>-183.2775</v>
      </c>
      <c r="H6579" s="1">
        <v>-3.787163E-6</v>
      </c>
      <c r="I6579">
        <v>125.063</v>
      </c>
      <c r="J6579">
        <v>-188.66300000000001</v>
      </c>
      <c r="K6579">
        <v>1.106088</v>
      </c>
      <c r="L6579">
        <v>120.6969</v>
      </c>
      <c r="M6579">
        <v>0.43829000000000001</v>
      </c>
      <c r="N6579">
        <v>0</v>
      </c>
      <c r="O6579">
        <v>0.89872260000000004</v>
      </c>
      <c r="P6579">
        <v>0.59530780000000005</v>
      </c>
      <c r="Q6579">
        <v>-1.4254569999999999E-2</v>
      </c>
      <c r="R6579">
        <v>0.80337130000000001</v>
      </c>
      <c r="S6579">
        <v>2.3840479999999999</v>
      </c>
      <c r="T6579">
        <v>-0.48364289999999999</v>
      </c>
      <c r="U6579">
        <v>1.9635929999999999</v>
      </c>
      <c r="V6579">
        <v>0.1829102</v>
      </c>
      <c r="W6579">
        <v>-2.3745519999999998E-3</v>
      </c>
      <c r="X6579">
        <v>0.98312679999999997</v>
      </c>
      <c r="Y6579">
        <v>0.40514620000000001</v>
      </c>
      <c r="Z6579">
        <v>-0.1536971</v>
      </c>
      <c r="AA6579">
        <v>0.90124020000000005</v>
      </c>
      <c r="AB6579">
        <v>21</v>
      </c>
      <c r="AC6579">
        <v>5.3854999999999702</v>
      </c>
      <c r="AD6579">
        <v>-1.1060917871630001</v>
      </c>
      <c r="AE6579">
        <v>4.3660999999999799</v>
      </c>
      <c r="AF6579">
        <v>2.8540990269683801</v>
      </c>
      <c r="AG6579">
        <v>-1.1060917871630001</v>
      </c>
      <c r="AH6579">
        <v>6.1289500258705099</v>
      </c>
      <c r="AI6579">
        <v>99.2913359173955</v>
      </c>
      <c r="AJ6579">
        <v>65.029779905829201</v>
      </c>
      <c r="AK6579">
        <v>6.8507918313863101</v>
      </c>
      <c r="AL6579">
        <v>90.136051929931597</v>
      </c>
      <c r="AM6579">
        <v>79.460653571223304</v>
      </c>
      <c r="AN6579">
        <v>1.0000000423197299</v>
      </c>
    </row>
    <row r="6580" spans="1:40" x14ac:dyDescent="0.3">
      <c r="A6580" t="str">
        <f>"20200111160640943"</f>
        <v>20200111160640943</v>
      </c>
      <c r="B6580" t="str">
        <f>"1578730000939299"</f>
        <v>1578730000939299</v>
      </c>
      <c r="C6580" t="s">
        <v>40</v>
      </c>
      <c r="D6580">
        <v>5.3528279999999997</v>
      </c>
      <c r="E6580">
        <v>0.58693209999999996</v>
      </c>
      <c r="F6580" t="s">
        <v>75</v>
      </c>
      <c r="G6580">
        <v>-181.63509999999999</v>
      </c>
      <c r="H6580" s="1">
        <v>-4.4489260000000002E-6</v>
      </c>
      <c r="I6580">
        <v>126.7304</v>
      </c>
      <c r="J6580">
        <v>-188.61340000000001</v>
      </c>
      <c r="K6580">
        <v>1.106098</v>
      </c>
      <c r="L6580">
        <v>120.78879999999999</v>
      </c>
      <c r="M6580">
        <v>0.44186530000000002</v>
      </c>
      <c r="N6580">
        <v>0</v>
      </c>
      <c r="O6580">
        <v>0.89697019999999905</v>
      </c>
      <c r="P6580">
        <v>0.59834480000000001</v>
      </c>
      <c r="Q6580">
        <v>-1.398192E-2</v>
      </c>
      <c r="R6580">
        <v>0.80111659999999996</v>
      </c>
      <c r="S6580">
        <v>2.3305509999999998</v>
      </c>
      <c r="T6580">
        <v>-0.36679270000000003</v>
      </c>
      <c r="U6580">
        <v>2.0007779999999999</v>
      </c>
      <c r="V6580">
        <v>0.1827182</v>
      </c>
      <c r="W6580">
        <v>-2.0975120000000002E-3</v>
      </c>
      <c r="X6580">
        <v>0.98316309999999996</v>
      </c>
      <c r="Y6580">
        <v>0.38710460000000002</v>
      </c>
      <c r="Z6580">
        <v>-0.1170489</v>
      </c>
      <c r="AA6580">
        <v>0.91457619999999895</v>
      </c>
      <c r="AB6580">
        <v>21</v>
      </c>
      <c r="AC6580">
        <v>6.9783000000000097</v>
      </c>
      <c r="AD6580">
        <v>-1.1061024489260001</v>
      </c>
      <c r="AE6580">
        <v>5.9416000000000002</v>
      </c>
      <c r="AF6580">
        <v>3.5821285895451802</v>
      </c>
      <c r="AG6580">
        <v>-1.1061024489260001</v>
      </c>
      <c r="AH6580">
        <v>8.2929579229458295</v>
      </c>
      <c r="AI6580">
        <v>96.980776352068006</v>
      </c>
      <c r="AJ6580">
        <v>66.638154726742101</v>
      </c>
      <c r="AK6580">
        <v>9.1010031848861104</v>
      </c>
      <c r="AL6580">
        <v>90.120178671916193</v>
      </c>
      <c r="AM6580">
        <v>79.471849221399097</v>
      </c>
      <c r="AN6580">
        <v>1.00000001068472</v>
      </c>
    </row>
    <row r="6581" spans="1:40" x14ac:dyDescent="0.3">
      <c r="A6581" t="str">
        <f>"20200111160640954"</f>
        <v>20200111160640954</v>
      </c>
      <c r="B6581" t="str">
        <f>"1578730000949064"</f>
        <v>1578730000949064</v>
      </c>
      <c r="C6581" t="s">
        <v>40</v>
      </c>
      <c r="D6581">
        <v>5.186604</v>
      </c>
      <c r="E6581">
        <v>0.58731219999999995</v>
      </c>
      <c r="F6581" t="s">
        <v>75</v>
      </c>
      <c r="G6581">
        <v>-181.33179999999999</v>
      </c>
      <c r="H6581" s="1">
        <v>-4.5734150000000003E-6</v>
      </c>
      <c r="I6581">
        <v>127.0471</v>
      </c>
      <c r="J6581">
        <v>-188.56010000000001</v>
      </c>
      <c r="K6581">
        <v>1.1061099999999999</v>
      </c>
      <c r="L6581">
        <v>120.88590000000001</v>
      </c>
      <c r="M6581">
        <v>0.44564700000000002</v>
      </c>
      <c r="N6581">
        <v>0</v>
      </c>
      <c r="O6581">
        <v>0.89509729999999998</v>
      </c>
      <c r="P6581">
        <v>0.60142899999999999</v>
      </c>
      <c r="Q6581">
        <v>-1.426296E-2</v>
      </c>
      <c r="R6581">
        <v>0.79879899999999904</v>
      </c>
      <c r="S6581">
        <v>2.3273769999999998</v>
      </c>
      <c r="T6581">
        <v>-0.35353590000000001</v>
      </c>
      <c r="U6581">
        <v>2.0003199999999999</v>
      </c>
      <c r="V6581">
        <v>0.1823582</v>
      </c>
      <c r="W6581">
        <v>-2.3714809999999999E-3</v>
      </c>
      <c r="X6581">
        <v>0.98322929999999997</v>
      </c>
      <c r="Y6581">
        <v>0.3831078</v>
      </c>
      <c r="Z6581">
        <v>-0.112723</v>
      </c>
      <c r="AA6581">
        <v>0.91679980000000005</v>
      </c>
      <c r="AB6581">
        <v>21</v>
      </c>
      <c r="AC6581">
        <v>7.2283000000000097</v>
      </c>
      <c r="AD6581">
        <v>-1.106114573415</v>
      </c>
      <c r="AE6581">
        <v>6.1611999999999902</v>
      </c>
      <c r="AF6581">
        <v>3.6748417908689199</v>
      </c>
      <c r="AG6581">
        <v>-1.106114573415</v>
      </c>
      <c r="AH6581">
        <v>8.6201022102280902</v>
      </c>
      <c r="AI6581">
        <v>96.732002085151294</v>
      </c>
      <c r="AJ6581">
        <v>66.910929783278206</v>
      </c>
      <c r="AK6581">
        <v>9.4357889840869706</v>
      </c>
      <c r="AL6581">
        <v>90.135875980302799</v>
      </c>
      <c r="AM6581">
        <v>79.492821568042004</v>
      </c>
      <c r="AN6581">
        <v>0.99999999670393103</v>
      </c>
    </row>
    <row r="6582" spans="1:40" x14ac:dyDescent="0.3">
      <c r="A6582" t="str">
        <f>"20200111160640966"</f>
        <v>20200111160640966</v>
      </c>
      <c r="B6582" t="str">
        <f>"1578730000958819"</f>
        <v>1578730000958819</v>
      </c>
      <c r="C6582" t="s">
        <v>40</v>
      </c>
      <c r="D6582">
        <v>5.1722999999999999</v>
      </c>
      <c r="E6582">
        <v>0.58728549999999902</v>
      </c>
      <c r="F6582" t="s">
        <v>75</v>
      </c>
      <c r="G6582">
        <v>-181.2578</v>
      </c>
      <c r="H6582" s="1">
        <v>-4.5975069999999996E-6</v>
      </c>
      <c r="I6582">
        <v>127.1002</v>
      </c>
      <c r="J6582">
        <v>-188.506</v>
      </c>
      <c r="K6582">
        <v>1.1061179999999999</v>
      </c>
      <c r="L6582">
        <v>120.9838</v>
      </c>
      <c r="M6582">
        <v>0.44945619999999997</v>
      </c>
      <c r="N6582">
        <v>0</v>
      </c>
      <c r="O6582">
        <v>0.893190699999999</v>
      </c>
      <c r="P6582">
        <v>0.60472340000000002</v>
      </c>
      <c r="Q6582">
        <v>-1.4660680000000001E-2</v>
      </c>
      <c r="R6582">
        <v>0.79630059999999903</v>
      </c>
      <c r="S6582">
        <v>2.3375699999999999</v>
      </c>
      <c r="T6582">
        <v>-0.35408260000000003</v>
      </c>
      <c r="U6582">
        <v>1.989304</v>
      </c>
      <c r="V6582">
        <v>0.18223</v>
      </c>
      <c r="W6582">
        <v>-2.7649900000000002E-3</v>
      </c>
      <c r="X6582">
        <v>0.98325200000000001</v>
      </c>
      <c r="Y6582">
        <v>0.38364910000000002</v>
      </c>
      <c r="Z6582">
        <v>-0.11275979999999999</v>
      </c>
      <c r="AA6582">
        <v>0.91656890000000002</v>
      </c>
      <c r="AB6582">
        <v>21</v>
      </c>
      <c r="AC6582">
        <v>7.2481999999999598</v>
      </c>
      <c r="AD6582">
        <v>-1.1061225975069999</v>
      </c>
      <c r="AE6582">
        <v>6.1163999999999898</v>
      </c>
      <c r="AF6582">
        <v>3.67534835549356</v>
      </c>
      <c r="AG6582">
        <v>-1.1061225975069999</v>
      </c>
      <c r="AH6582">
        <v>8.6046842131218</v>
      </c>
      <c r="AI6582">
        <v>96.7420178157995</v>
      </c>
      <c r="AJ6582">
        <v>66.871051698157501</v>
      </c>
      <c r="AK6582">
        <v>9.4219044328889492</v>
      </c>
      <c r="AL6582">
        <v>90.158422466103303</v>
      </c>
      <c r="AM6582">
        <v>79.500280928356304</v>
      </c>
      <c r="AN6582">
        <v>0.99999995678684905</v>
      </c>
    </row>
    <row r="6583" spans="1:40" x14ac:dyDescent="0.3">
      <c r="A6583" t="str">
        <f>"20200111160640978"</f>
        <v>20200111160640978</v>
      </c>
      <c r="B6583" t="str">
        <f>"1578730000969555"</f>
        <v>1578730000969555</v>
      </c>
      <c r="C6583" t="s">
        <v>40</v>
      </c>
      <c r="D6583">
        <v>5.1412760000000004</v>
      </c>
      <c r="E6583">
        <v>0.58725830000000001</v>
      </c>
      <c r="F6583" t="s">
        <v>75</v>
      </c>
      <c r="G6583">
        <v>-181.17840000000001</v>
      </c>
      <c r="H6583" s="1">
        <v>-4.626098E-6</v>
      </c>
      <c r="I6583">
        <v>127.1678</v>
      </c>
      <c r="J6583">
        <v>-188.45259999999999</v>
      </c>
      <c r="K6583">
        <v>1.1061319999999999</v>
      </c>
      <c r="L6583">
        <v>121.0795</v>
      </c>
      <c r="M6583">
        <v>0.45317299999999999</v>
      </c>
      <c r="N6583">
        <v>0</v>
      </c>
      <c r="O6583">
        <v>0.89131079999999996</v>
      </c>
      <c r="P6583">
        <v>0.60772130000000002</v>
      </c>
      <c r="Q6583">
        <v>-1.519538E-2</v>
      </c>
      <c r="R6583">
        <v>0.79400499999999996</v>
      </c>
      <c r="S6583">
        <v>2.3456730000000001</v>
      </c>
      <c r="T6583">
        <v>-0.3540856</v>
      </c>
      <c r="U6583">
        <v>1.979568</v>
      </c>
      <c r="V6583">
        <v>0.1818399</v>
      </c>
      <c r="W6583">
        <v>-3.2913859999999999E-3</v>
      </c>
      <c r="X6583">
        <v>0.98332260000000005</v>
      </c>
      <c r="Y6583">
        <v>0.38359539999999998</v>
      </c>
      <c r="Z6583">
        <v>-0.1126342</v>
      </c>
      <c r="AA6583">
        <v>0.91660680000000005</v>
      </c>
      <c r="AB6583">
        <v>21</v>
      </c>
      <c r="AC6583">
        <v>7.2741999999999702</v>
      </c>
      <c r="AD6583">
        <v>-1.1061366260979999</v>
      </c>
      <c r="AE6583">
        <v>6.0883000000000003</v>
      </c>
      <c r="AF6583">
        <v>3.67492062800244</v>
      </c>
      <c r="AG6583">
        <v>-1.1061366260979999</v>
      </c>
      <c r="AH6583">
        <v>8.6068743750850203</v>
      </c>
      <c r="AI6583">
        <v>96.740784742920994</v>
      </c>
      <c r="AJ6583">
        <v>66.878726857633595</v>
      </c>
      <c r="AK6583">
        <v>9.4237395107360999</v>
      </c>
      <c r="AL6583">
        <v>90.188582874763</v>
      </c>
      <c r="AM6583">
        <v>79.522995023661807</v>
      </c>
      <c r="AN6583">
        <v>0.99999995906228401</v>
      </c>
    </row>
    <row r="6584" spans="1:40" x14ac:dyDescent="0.3">
      <c r="A6584" t="str">
        <f>"20200111160640992"</f>
        <v>20200111160640992</v>
      </c>
      <c r="B6584" t="str">
        <f>"1578730000979316"</f>
        <v>1578730000979316</v>
      </c>
      <c r="C6584" t="s">
        <v>40</v>
      </c>
      <c r="D6584">
        <v>5.1425769999999904</v>
      </c>
      <c r="E6584">
        <v>0.58699820000000003</v>
      </c>
      <c r="F6584" t="s">
        <v>75</v>
      </c>
      <c r="G6584">
        <v>-181.1104</v>
      </c>
      <c r="H6584" s="1">
        <v>-4.6512429999999997E-6</v>
      </c>
      <c r="I6584">
        <v>127.2282</v>
      </c>
      <c r="J6584">
        <v>-188.3929</v>
      </c>
      <c r="K6584">
        <v>1.106147</v>
      </c>
      <c r="L6584">
        <v>121.1853</v>
      </c>
      <c r="M6584">
        <v>0.45728020000000003</v>
      </c>
      <c r="N6584">
        <v>0</v>
      </c>
      <c r="O6584">
        <v>0.88921059999999996</v>
      </c>
      <c r="P6584">
        <v>0.61119469999999898</v>
      </c>
      <c r="Q6584">
        <v>-1.519325E-2</v>
      </c>
      <c r="R6584">
        <v>0.79133439999999999</v>
      </c>
      <c r="S6584">
        <v>2.353027</v>
      </c>
      <c r="T6584">
        <v>-0.35449779999999997</v>
      </c>
      <c r="U6584">
        <v>1.9705509999999999</v>
      </c>
      <c r="V6584">
        <v>0.18161240000000001</v>
      </c>
      <c r="W6584">
        <v>-3.2823309999999999E-3</v>
      </c>
      <c r="X6584">
        <v>0.98336469999999998</v>
      </c>
      <c r="Y6584">
        <v>0.38281179999999998</v>
      </c>
      <c r="Z6584">
        <v>-0.1126016</v>
      </c>
      <c r="AA6584">
        <v>0.91693840000000004</v>
      </c>
      <c r="AB6584">
        <v>21</v>
      </c>
      <c r="AC6584">
        <v>7.28249999999999</v>
      </c>
      <c r="AD6584">
        <v>-1.1061516512430001</v>
      </c>
      <c r="AE6584">
        <v>6.0429000000000004</v>
      </c>
      <c r="AF6584">
        <v>3.66270297852834</v>
      </c>
      <c r="AG6584">
        <v>-1.1061516512430001</v>
      </c>
      <c r="AH6584">
        <v>8.5870930155915595</v>
      </c>
      <c r="AI6584">
        <v>96.757321895032305</v>
      </c>
      <c r="AJ6584">
        <v>66.900014581021196</v>
      </c>
      <c r="AK6584">
        <v>9.40091118152327</v>
      </c>
      <c r="AL6584">
        <v>90.188064053708501</v>
      </c>
      <c r="AM6584">
        <v>79.536251196700505</v>
      </c>
      <c r="AN6584">
        <v>0.99999998536832102</v>
      </c>
    </row>
    <row r="6585" spans="1:40" x14ac:dyDescent="0.3">
      <c r="A6585" t="str">
        <f>"20200111160641005"</f>
        <v>20200111160641005</v>
      </c>
      <c r="B6585" t="str">
        <f>"1578730000998836"</f>
        <v>1578730000998836</v>
      </c>
      <c r="C6585" t="s">
        <v>40</v>
      </c>
      <c r="D6585">
        <v>5.1329989999999999</v>
      </c>
      <c r="E6585">
        <v>0.58664019999999995</v>
      </c>
      <c r="F6585" t="s">
        <v>75</v>
      </c>
      <c r="G6585">
        <v>-181.05690000000001</v>
      </c>
      <c r="H6585" s="1">
        <v>-4.6729639999999998E-6</v>
      </c>
      <c r="I6585">
        <v>127.2831</v>
      </c>
      <c r="J6585">
        <v>-188.32679999999999</v>
      </c>
      <c r="K6585">
        <v>1.1061650000000001</v>
      </c>
      <c r="L6585">
        <v>121.3014</v>
      </c>
      <c r="M6585">
        <v>0.46177970000000002</v>
      </c>
      <c r="N6585">
        <v>0</v>
      </c>
      <c r="O6585">
        <v>0.88688239999999996</v>
      </c>
      <c r="P6585">
        <v>0.6150196</v>
      </c>
      <c r="Q6585">
        <v>-1.518337E-2</v>
      </c>
      <c r="R6585">
        <v>0.78836569999999995</v>
      </c>
      <c r="S6585">
        <v>2.3598629999999998</v>
      </c>
      <c r="T6585">
        <v>-0.35582940000000002</v>
      </c>
      <c r="U6585">
        <v>1.9615480000000001</v>
      </c>
      <c r="V6585">
        <v>0.181392</v>
      </c>
      <c r="W6585">
        <v>-3.2648019999999998E-3</v>
      </c>
      <c r="X6585">
        <v>0.98340550000000004</v>
      </c>
      <c r="Y6585">
        <v>0.38148019999999999</v>
      </c>
      <c r="Z6585">
        <v>-0.1128354</v>
      </c>
      <c r="AA6585">
        <v>0.91746439999999996</v>
      </c>
      <c r="AB6585">
        <v>21</v>
      </c>
      <c r="AC6585">
        <v>7.2698999999999696</v>
      </c>
      <c r="AD6585">
        <v>-1.106169672964</v>
      </c>
      <c r="AE6585">
        <v>5.9817</v>
      </c>
      <c r="AF6585">
        <v>3.6354958595792302</v>
      </c>
      <c r="AG6585">
        <v>-1.106169672964</v>
      </c>
      <c r="AH6585">
        <v>8.5450505410182007</v>
      </c>
      <c r="AI6585">
        <v>96.793001524020795</v>
      </c>
      <c r="AJ6585">
        <v>66.952649694355003</v>
      </c>
      <c r="AK6585">
        <v>9.3519158592749605</v>
      </c>
      <c r="AL6585">
        <v>90.187059699062004</v>
      </c>
      <c r="AM6585">
        <v>79.549093802883803</v>
      </c>
      <c r="AN6585">
        <v>1.00000004701317</v>
      </c>
    </row>
    <row r="6586" spans="1:40" x14ac:dyDescent="0.3">
      <c r="A6586" t="str">
        <f>"20200111160641021"</f>
        <v>20200111160641021</v>
      </c>
      <c r="B6586" t="str">
        <f>"1578730001009571"</f>
        <v>1578730001009571</v>
      </c>
      <c r="C6586" t="s">
        <v>40</v>
      </c>
      <c r="D6586">
        <v>5.1511180000000003</v>
      </c>
      <c r="E6586">
        <v>0.5864047</v>
      </c>
      <c r="F6586" t="s">
        <v>75</v>
      </c>
      <c r="G6586">
        <v>-181.03659999999999</v>
      </c>
      <c r="H6586" s="1">
        <v>-4.6838879999999998E-6</v>
      </c>
      <c r="I6586">
        <v>127.3142</v>
      </c>
      <c r="J6586">
        <v>-188.25280000000001</v>
      </c>
      <c r="K6586">
        <v>1.1061829999999999</v>
      </c>
      <c r="L6586">
        <v>121.4297</v>
      </c>
      <c r="M6586">
        <v>0.46673900000000001</v>
      </c>
      <c r="N6586">
        <v>0</v>
      </c>
      <c r="O6586">
        <v>0.88428259999999903</v>
      </c>
      <c r="P6586">
        <v>0.61910679999999996</v>
      </c>
      <c r="Q6586">
        <v>-1.521671E-2</v>
      </c>
      <c r="R6586">
        <v>0.7851593</v>
      </c>
      <c r="S6586">
        <v>2.3667910000000001</v>
      </c>
      <c r="T6586">
        <v>-0.35911999999999999</v>
      </c>
      <c r="U6586">
        <v>1.952072</v>
      </c>
      <c r="V6586">
        <v>0.18099399999999999</v>
      </c>
      <c r="W6586">
        <v>-3.2868860000000001E-3</v>
      </c>
      <c r="X6586">
        <v>0.98347870000000004</v>
      </c>
      <c r="Y6586">
        <v>0.37972470000000003</v>
      </c>
      <c r="Z6586">
        <v>-0.1136533</v>
      </c>
      <c r="AA6586">
        <v>0.91809149999999995</v>
      </c>
      <c r="AB6586">
        <v>21</v>
      </c>
      <c r="AC6586">
        <v>7.2162000000000104</v>
      </c>
      <c r="AD6586">
        <v>-1.10618768388799</v>
      </c>
      <c r="AE6586">
        <v>5.8845000000000001</v>
      </c>
      <c r="AF6586">
        <v>3.58440766646611</v>
      </c>
      <c r="AG6586">
        <v>-1.10618768388799</v>
      </c>
      <c r="AH6586">
        <v>8.4531919339870001</v>
      </c>
      <c r="AI6586">
        <v>96.869705712659297</v>
      </c>
      <c r="AJ6586">
        <v>67.021594595501298</v>
      </c>
      <c r="AK6586">
        <v>9.2481394552758207</v>
      </c>
      <c r="AL6586">
        <v>90.188325036051907</v>
      </c>
      <c r="AM6586">
        <v>79.572280122639697</v>
      </c>
      <c r="AN6586">
        <v>0.99999999250463301</v>
      </c>
    </row>
    <row r="6587" spans="1:40" x14ac:dyDescent="0.3">
      <c r="A6587" t="str">
        <f>"20200111160641044"</f>
        <v>20200111160641044</v>
      </c>
      <c r="B6587" t="str">
        <f>"1578730001038853"</f>
        <v>1578730001038853</v>
      </c>
      <c r="C6587" t="s">
        <v>40</v>
      </c>
      <c r="D6587">
        <v>5.0930910000000003</v>
      </c>
      <c r="E6587">
        <v>0.58573710000000001</v>
      </c>
      <c r="F6587" t="s">
        <v>75</v>
      </c>
      <c r="G6587">
        <v>-180.96629999999999</v>
      </c>
      <c r="H6587" s="1">
        <v>-4.7116849999999999E-6</v>
      </c>
      <c r="I6587">
        <v>127.3836</v>
      </c>
      <c r="J6587">
        <v>-188.14580000000001</v>
      </c>
      <c r="K6587">
        <v>1.106214</v>
      </c>
      <c r="L6587">
        <v>121.6123</v>
      </c>
      <c r="M6587">
        <v>0.47378029999999999</v>
      </c>
      <c r="N6587">
        <v>0</v>
      </c>
      <c r="O6587">
        <v>0.88053019999999904</v>
      </c>
      <c r="P6587">
        <v>0.6250945</v>
      </c>
      <c r="Q6587">
        <v>-1.5465019999999999E-2</v>
      </c>
      <c r="R6587">
        <v>0.78039590000000003</v>
      </c>
      <c r="S6587">
        <v>2.3753199999999999</v>
      </c>
      <c r="T6587">
        <v>-0.36060759999999997</v>
      </c>
      <c r="U6587">
        <v>1.940933</v>
      </c>
      <c r="V6587">
        <v>0.18066889999999999</v>
      </c>
      <c r="W6587">
        <v>-3.522112E-3</v>
      </c>
      <c r="X6587">
        <v>0.98353769999999996</v>
      </c>
      <c r="Y6587">
        <v>0.37652150000000001</v>
      </c>
      <c r="Z6587">
        <v>-0.11376310000000001</v>
      </c>
      <c r="AA6587">
        <v>0.91939630000000006</v>
      </c>
      <c r="AB6587">
        <v>21</v>
      </c>
      <c r="AC6587">
        <v>7.1795000000000098</v>
      </c>
      <c r="AD6587">
        <v>-1.106218711685</v>
      </c>
      <c r="AE6587">
        <v>5.7712999999999903</v>
      </c>
      <c r="AF6587">
        <v>3.5367887229966999</v>
      </c>
      <c r="AG6587">
        <v>-1.106218711685</v>
      </c>
      <c r="AH6587">
        <v>8.3635371620920491</v>
      </c>
      <c r="AI6587">
        <v>96.945659827721201</v>
      </c>
      <c r="AJ6587">
        <v>67.077376417569496</v>
      </c>
      <c r="AK6587">
        <v>9.1477509897730194</v>
      </c>
      <c r="AL6587">
        <v>90.201802563349901</v>
      </c>
      <c r="AM6587">
        <v>79.591211301564599</v>
      </c>
      <c r="AN6587">
        <v>1.0000000320107101</v>
      </c>
    </row>
    <row r="6588" spans="1:40" x14ac:dyDescent="0.3">
      <c r="A6588" t="str">
        <f>"20200111160641055"</f>
        <v>20200111160641055</v>
      </c>
      <c r="B6588" t="str">
        <f>"1578730001049587"</f>
        <v>1578730001049587</v>
      </c>
      <c r="C6588" t="s">
        <v>40</v>
      </c>
      <c r="D6588">
        <v>5.0718740000000002</v>
      </c>
      <c r="E6588">
        <v>0.58552280000000001</v>
      </c>
      <c r="F6588" t="s">
        <v>75</v>
      </c>
      <c r="G6588">
        <v>-180.87899999999999</v>
      </c>
      <c r="H6588" s="1">
        <v>-4.7483940000000004E-6</v>
      </c>
      <c r="I6588">
        <v>127.4782</v>
      </c>
      <c r="J6588">
        <v>-188.089</v>
      </c>
      <c r="K6588">
        <v>1.1062339999999999</v>
      </c>
      <c r="L6588">
        <v>121.7077</v>
      </c>
      <c r="M6588">
        <v>0.47744639999999999</v>
      </c>
      <c r="N6588">
        <v>0</v>
      </c>
      <c r="O6588">
        <v>0.87854779999999999</v>
      </c>
      <c r="P6588">
        <v>0.62792029999999999</v>
      </c>
      <c r="Q6588">
        <v>-1.5770019999999999E-2</v>
      </c>
      <c r="R6588">
        <v>0.77811790000000003</v>
      </c>
      <c r="S6588">
        <v>2.3858640000000002</v>
      </c>
      <c r="T6588">
        <v>-0.36320029999999998</v>
      </c>
      <c r="U6588">
        <v>1.9259189999999999</v>
      </c>
      <c r="V6588">
        <v>0.18013579999999901</v>
      </c>
      <c r="W6588">
        <v>-3.8152839999999999E-3</v>
      </c>
      <c r="X6588">
        <v>0.98363440000000002</v>
      </c>
      <c r="Y6588">
        <v>0.37807049999999998</v>
      </c>
      <c r="Z6588">
        <v>-0.11452080000000001</v>
      </c>
      <c r="AA6588">
        <v>0.91866619999999999</v>
      </c>
      <c r="AB6588">
        <v>21</v>
      </c>
      <c r="AC6588">
        <v>7.21</v>
      </c>
      <c r="AD6588">
        <v>-1.1062387483939999</v>
      </c>
      <c r="AE6588">
        <v>5.7704999999999904</v>
      </c>
      <c r="AF6588">
        <v>3.5289423139739</v>
      </c>
      <c r="AG6588">
        <v>-1.1062387483939999</v>
      </c>
      <c r="AH6588">
        <v>8.3924668049008293</v>
      </c>
      <c r="AI6588">
        <v>96.927948817903697</v>
      </c>
      <c r="AJ6588">
        <v>67.193768435348801</v>
      </c>
      <c r="AK6588">
        <v>9.1711884232724294</v>
      </c>
      <c r="AL6588">
        <v>90.218600190724601</v>
      </c>
      <c r="AM6588">
        <v>79.622254264779798</v>
      </c>
      <c r="AN6588">
        <v>1.0000000478484901</v>
      </c>
    </row>
    <row r="6589" spans="1:40" x14ac:dyDescent="0.3">
      <c r="A6589" t="str">
        <f>"20200111160641067"</f>
        <v>20200111160641067</v>
      </c>
      <c r="B6589" t="str">
        <f>"1578730001059347"</f>
        <v>1578730001059347</v>
      </c>
      <c r="C6589" t="s">
        <v>40</v>
      </c>
      <c r="D6589">
        <v>5.1023370000000003</v>
      </c>
      <c r="E6589">
        <v>0.58526859999999903</v>
      </c>
      <c r="F6589" t="s">
        <v>75</v>
      </c>
      <c r="G6589">
        <v>-180.8494</v>
      </c>
      <c r="H6589" s="1">
        <v>-4.7621589999999901E-6</v>
      </c>
      <c r="I6589">
        <v>127.5153</v>
      </c>
      <c r="J6589">
        <v>-188.0359</v>
      </c>
      <c r="K6589">
        <v>1.10625</v>
      </c>
      <c r="L6589">
        <v>121.7962</v>
      </c>
      <c r="M6589">
        <v>0.48084320000000003</v>
      </c>
      <c r="N6589">
        <v>0</v>
      </c>
      <c r="O6589">
        <v>0.87669339999999996</v>
      </c>
      <c r="P6589">
        <v>0.63071580000000005</v>
      </c>
      <c r="Q6589">
        <v>-1.5648579999999999E-2</v>
      </c>
      <c r="R6589">
        <v>0.77585609999999905</v>
      </c>
      <c r="S6589">
        <v>2.3913120000000001</v>
      </c>
      <c r="T6589">
        <v>-0.36540600000000001</v>
      </c>
      <c r="U6589">
        <v>1.9183349999999999</v>
      </c>
      <c r="V6589">
        <v>0.17986820000000001</v>
      </c>
      <c r="W6589">
        <v>-3.6858860000000002E-3</v>
      </c>
      <c r="X6589">
        <v>0.9836838</v>
      </c>
      <c r="Y6589">
        <v>0.37722450000000002</v>
      </c>
      <c r="Z6589">
        <v>-0.11506089999999999</v>
      </c>
      <c r="AA6589">
        <v>0.9189465</v>
      </c>
      <c r="AB6589">
        <v>21</v>
      </c>
      <c r="AC6589">
        <v>7.1864999999999899</v>
      </c>
      <c r="AD6589">
        <v>-1.106254762159</v>
      </c>
      <c r="AE6589">
        <v>5.7190999999999903</v>
      </c>
      <c r="AF6589">
        <v>3.49994230989194</v>
      </c>
      <c r="AG6589">
        <v>-1.106254762159</v>
      </c>
      <c r="AH6589">
        <v>8.3491882288893304</v>
      </c>
      <c r="AI6589">
        <v>96.966793202223201</v>
      </c>
      <c r="AJ6589">
        <v>67.256787132751398</v>
      </c>
      <c r="AK6589">
        <v>9.12043528855917</v>
      </c>
      <c r="AL6589">
        <v>90.211186192552702</v>
      </c>
      <c r="AM6589">
        <v>79.637845769744004</v>
      </c>
      <c r="AN6589">
        <v>0.99999998675464197</v>
      </c>
    </row>
    <row r="6590" spans="1:40" x14ac:dyDescent="0.3">
      <c r="A6590" t="str">
        <f>"20200111160641077"</f>
        <v>20200111160641077</v>
      </c>
      <c r="B6590" t="str">
        <f>"1578730001069107"</f>
        <v>1578730001069107</v>
      </c>
      <c r="C6590" t="s">
        <v>40</v>
      </c>
      <c r="D6590">
        <v>5.1299340000000004</v>
      </c>
      <c r="E6590">
        <v>0.58503340000000004</v>
      </c>
      <c r="F6590" t="s">
        <v>75</v>
      </c>
      <c r="G6590">
        <v>-180.7929</v>
      </c>
      <c r="H6590" s="1">
        <v>-4.7847369999999997E-6</v>
      </c>
      <c r="I6590">
        <v>127.5719</v>
      </c>
      <c r="J6590">
        <v>-187.98050000000001</v>
      </c>
      <c r="K6590">
        <v>1.1062689999999999</v>
      </c>
      <c r="L6590">
        <v>121.8878</v>
      </c>
      <c r="M6590">
        <v>0.48434949999999999</v>
      </c>
      <c r="N6590">
        <v>0</v>
      </c>
      <c r="O6590">
        <v>0.87476100000000001</v>
      </c>
      <c r="P6590">
        <v>0.63348499999999996</v>
      </c>
      <c r="Q6590">
        <v>-1.5566119999999999E-2</v>
      </c>
      <c r="R6590">
        <v>0.77359849999999997</v>
      </c>
      <c r="S6590">
        <v>2.3965610000000002</v>
      </c>
      <c r="T6590">
        <v>-0.36603720000000001</v>
      </c>
      <c r="U6590">
        <v>1.911057</v>
      </c>
      <c r="V6590">
        <v>0.17944570000000001</v>
      </c>
      <c r="W6590">
        <v>-3.5936890000000002E-3</v>
      </c>
      <c r="X6590">
        <v>0.98376129999999995</v>
      </c>
      <c r="Y6590">
        <v>0.376197</v>
      </c>
      <c r="Z6590">
        <v>-0.1150945</v>
      </c>
      <c r="AA6590">
        <v>0.91936340000000005</v>
      </c>
      <c r="AB6590">
        <v>20</v>
      </c>
      <c r="AC6590">
        <v>7.1875999999999998</v>
      </c>
      <c r="AD6590">
        <v>-1.1062737847370001</v>
      </c>
      <c r="AE6590">
        <v>5.6840999999999999</v>
      </c>
      <c r="AF6590">
        <v>3.4839156150492099</v>
      </c>
      <c r="AG6590">
        <v>-1.1062737847370001</v>
      </c>
      <c r="AH6590">
        <v>8.3329301635192596</v>
      </c>
      <c r="AI6590">
        <v>96.983092747711396</v>
      </c>
      <c r="AJ6590">
        <v>67.310678011621405</v>
      </c>
      <c r="AK6590">
        <v>9.0994084868011793</v>
      </c>
      <c r="AL6590">
        <v>90.205903658946298</v>
      </c>
      <c r="AM6590">
        <v>79.662457281162602</v>
      </c>
      <c r="AN6590">
        <v>0.999999984613404</v>
      </c>
    </row>
    <row r="6591" spans="1:40" x14ac:dyDescent="0.3">
      <c r="A6591" t="str">
        <f>"20200111160641090"</f>
        <v>20200111160641090</v>
      </c>
      <c r="B6591" t="str">
        <f>"1578730001078869"</f>
        <v>1578730001078869</v>
      </c>
      <c r="C6591" t="s">
        <v>40</v>
      </c>
      <c r="D6591">
        <v>5.0845330000000004</v>
      </c>
      <c r="E6591">
        <v>0.58479759999999903</v>
      </c>
      <c r="F6591" t="s">
        <v>75</v>
      </c>
      <c r="G6591">
        <v>-180.7079</v>
      </c>
      <c r="H6591" s="1">
        <v>-4.8171050000000004E-6</v>
      </c>
      <c r="I6591">
        <v>127.651</v>
      </c>
      <c r="J6591">
        <v>-187.9247</v>
      </c>
      <c r="K6591">
        <v>1.106293</v>
      </c>
      <c r="L6591">
        <v>121.97920000000001</v>
      </c>
      <c r="M6591">
        <v>0.48784040000000001</v>
      </c>
      <c r="N6591">
        <v>0</v>
      </c>
      <c r="O6591">
        <v>0.87281909999999896</v>
      </c>
      <c r="P6591">
        <v>0.63599119999999998</v>
      </c>
      <c r="Q6591">
        <v>-1.531503E-2</v>
      </c>
      <c r="R6591">
        <v>0.77154429999999996</v>
      </c>
      <c r="S6591">
        <v>2.4021300000000001</v>
      </c>
      <c r="T6591">
        <v>-0.36540339999999999</v>
      </c>
      <c r="U6591">
        <v>1.90358</v>
      </c>
      <c r="V6591">
        <v>0.17870730000000001</v>
      </c>
      <c r="W6591">
        <v>-3.3288670000000001E-3</v>
      </c>
      <c r="X6591">
        <v>0.98389669999999896</v>
      </c>
      <c r="Y6591">
        <v>0.37532460000000001</v>
      </c>
      <c r="Z6591">
        <v>-0.1147323</v>
      </c>
      <c r="AA6591">
        <v>0.91976519999999995</v>
      </c>
      <c r="AB6591">
        <v>20</v>
      </c>
      <c r="AC6591">
        <v>7.2168000000000001</v>
      </c>
      <c r="AD6591">
        <v>-1.106297817105</v>
      </c>
      <c r="AE6591">
        <v>5.6718000000000002</v>
      </c>
      <c r="AF6591">
        <v>3.4817994298272099</v>
      </c>
      <c r="AG6591">
        <v>-1.106297817105</v>
      </c>
      <c r="AH6591">
        <v>8.3506360972668201</v>
      </c>
      <c r="AI6591">
        <v>96.971379058779505</v>
      </c>
      <c r="AJ6591">
        <v>67.366294099953905</v>
      </c>
      <c r="AK6591">
        <v>9.1148200946947906</v>
      </c>
      <c r="AL6591">
        <v>90.190730372698198</v>
      </c>
      <c r="AM6591">
        <v>79.705470102020101</v>
      </c>
      <c r="AN6591">
        <v>1.0000000483498399</v>
      </c>
    </row>
    <row r="6592" spans="1:40" x14ac:dyDescent="0.3">
      <c r="A6592" t="str">
        <f>"20200111160641103"</f>
        <v>20200111160641103</v>
      </c>
      <c r="B6592" t="str">
        <f>"1578730001099363"</f>
        <v>1578730001099363</v>
      </c>
      <c r="C6592" t="s">
        <v>40</v>
      </c>
      <c r="D6592">
        <v>5.1134849999999998</v>
      </c>
      <c r="E6592">
        <v>0.58439600000000003</v>
      </c>
      <c r="F6592" t="s">
        <v>75</v>
      </c>
      <c r="G6592">
        <v>-180.6294</v>
      </c>
      <c r="H6592" s="1">
        <v>-4.8485009999999996E-6</v>
      </c>
      <c r="I6592">
        <v>127.7298</v>
      </c>
      <c r="J6592">
        <v>-187.8638</v>
      </c>
      <c r="K6592">
        <v>1.106314</v>
      </c>
      <c r="L6592">
        <v>122.0783</v>
      </c>
      <c r="M6592">
        <v>0.49161650000000001</v>
      </c>
      <c r="N6592">
        <v>0</v>
      </c>
      <c r="O6592">
        <v>0.87069789999999903</v>
      </c>
      <c r="P6592">
        <v>0.638961</v>
      </c>
      <c r="Q6592">
        <v>-1.5014929999999999E-2</v>
      </c>
      <c r="R6592">
        <v>0.76909269999999996</v>
      </c>
      <c r="S6592">
        <v>2.406784</v>
      </c>
      <c r="T6592">
        <v>-0.36497390000000002</v>
      </c>
      <c r="U6592">
        <v>1.897125</v>
      </c>
      <c r="V6592">
        <v>0.17823900000000001</v>
      </c>
      <c r="W6592">
        <v>-3.0183380000000002E-3</v>
      </c>
      <c r="X6592">
        <v>0.98398260000000004</v>
      </c>
      <c r="Y6592">
        <v>0.37372569999999999</v>
      </c>
      <c r="Z6592">
        <v>-0.11439729999999999</v>
      </c>
      <c r="AA6592">
        <v>0.92045770000000005</v>
      </c>
      <c r="AB6592">
        <v>20</v>
      </c>
      <c r="AC6592">
        <v>7.2343999999999902</v>
      </c>
      <c r="AD6592">
        <v>-1.106318848501</v>
      </c>
      <c r="AE6592">
        <v>5.6514999999999898</v>
      </c>
      <c r="AF6592">
        <v>3.4705526242261899</v>
      </c>
      <c r="AG6592">
        <v>-1.106318848501</v>
      </c>
      <c r="AH6592">
        <v>8.3567750402974195</v>
      </c>
      <c r="AI6592">
        <v>96.970482780679006</v>
      </c>
      <c r="AJ6592">
        <v>67.446982031338905</v>
      </c>
      <c r="AK6592">
        <v>9.1161596073242297</v>
      </c>
      <c r="AL6592">
        <v>90.172938290390505</v>
      </c>
      <c r="AM6592">
        <v>79.732749458098397</v>
      </c>
      <c r="AN6592">
        <v>1.00000000429402</v>
      </c>
    </row>
    <row r="6593" spans="1:40" x14ac:dyDescent="0.3">
      <c r="A6593" t="str">
        <f>"20200111160641115"</f>
        <v>20200111160641115</v>
      </c>
      <c r="B6593" t="str">
        <f>"1578730001109123"</f>
        <v>1578730001109123</v>
      </c>
      <c r="C6593" t="s">
        <v>40</v>
      </c>
      <c r="D6593">
        <v>5.0611969999999999</v>
      </c>
      <c r="E6593">
        <v>0.58422839999999998</v>
      </c>
      <c r="F6593" t="s">
        <v>75</v>
      </c>
      <c r="G6593">
        <v>-180.52680000000001</v>
      </c>
      <c r="H6593" s="1">
        <v>-4.8881260000000001E-6</v>
      </c>
      <c r="I6593">
        <v>127.82729999999999</v>
      </c>
      <c r="J6593">
        <v>-187.80439999999999</v>
      </c>
      <c r="K6593">
        <v>1.106336</v>
      </c>
      <c r="L6593">
        <v>122.1738</v>
      </c>
      <c r="M6593">
        <v>0.49524609999999902</v>
      </c>
      <c r="N6593">
        <v>0</v>
      </c>
      <c r="O6593">
        <v>0.86863860000000004</v>
      </c>
      <c r="P6593">
        <v>0.64166109999999998</v>
      </c>
      <c r="Q6593">
        <v>-1.4740919999999999E-2</v>
      </c>
      <c r="R6593">
        <v>0.76684669999999999</v>
      </c>
      <c r="S6593">
        <v>2.4118650000000001</v>
      </c>
      <c r="T6593">
        <v>-0.36367359999999999</v>
      </c>
      <c r="U6593">
        <v>1.889832</v>
      </c>
      <c r="V6593">
        <v>0.17759269999999999</v>
      </c>
      <c r="W6593">
        <v>-2.7320159999999999E-3</v>
      </c>
      <c r="X6593">
        <v>0.98410030000000004</v>
      </c>
      <c r="Y6593">
        <v>0.37257570000000001</v>
      </c>
      <c r="Z6593">
        <v>-0.11381719999999999</v>
      </c>
      <c r="AA6593">
        <v>0.92099569999999997</v>
      </c>
      <c r="AB6593">
        <v>20</v>
      </c>
      <c r="AC6593">
        <v>7.2775999999999703</v>
      </c>
      <c r="AD6593">
        <v>-1.106340888126</v>
      </c>
      <c r="AE6593">
        <v>5.6534999999999904</v>
      </c>
      <c r="AF6593">
        <v>3.47203884796639</v>
      </c>
      <c r="AG6593">
        <v>-1.106340888126</v>
      </c>
      <c r="AH6593">
        <v>8.3949040057169899</v>
      </c>
      <c r="AI6593">
        <v>96.943425020908407</v>
      </c>
      <c r="AJ6593">
        <v>67.530557409634099</v>
      </c>
      <c r="AK6593">
        <v>9.1516914932557896</v>
      </c>
      <c r="AL6593">
        <v>90.156533178624898</v>
      </c>
      <c r="AM6593">
        <v>79.770388898456801</v>
      </c>
      <c r="AN6593">
        <v>1.0000000157324</v>
      </c>
    </row>
    <row r="6594" spans="1:40" x14ac:dyDescent="0.3">
      <c r="A6594" t="str">
        <f>"20200111160641128"</f>
        <v>20200111160641128</v>
      </c>
      <c r="B6594" t="str">
        <f>"1578730001118883"</f>
        <v>1578730001118883</v>
      </c>
      <c r="C6594" t="s">
        <v>40</v>
      </c>
      <c r="D6594">
        <v>5.052969</v>
      </c>
      <c r="E6594">
        <v>0.58407030000000004</v>
      </c>
      <c r="F6594" t="s">
        <v>75</v>
      </c>
      <c r="G6594">
        <v>-180.44130000000001</v>
      </c>
      <c r="H6594" s="1">
        <v>-4.9207579999999997E-6</v>
      </c>
      <c r="I6594">
        <v>127.9071</v>
      </c>
      <c r="J6594">
        <v>-187.73679999999999</v>
      </c>
      <c r="K6594">
        <v>1.1063590000000001</v>
      </c>
      <c r="L6594">
        <v>122.2816</v>
      </c>
      <c r="M6594">
        <v>0.49933379999999999</v>
      </c>
      <c r="N6594">
        <v>0</v>
      </c>
      <c r="O6594">
        <v>0.86629539999999905</v>
      </c>
      <c r="P6594">
        <v>0.6446655</v>
      </c>
      <c r="Q6594">
        <v>-1.457781E-2</v>
      </c>
      <c r="R6594">
        <v>0.7643259</v>
      </c>
      <c r="S6594">
        <v>2.4174349999999998</v>
      </c>
      <c r="T6594">
        <v>-0.36323260000000002</v>
      </c>
      <c r="U6594">
        <v>1.882355</v>
      </c>
      <c r="V6594">
        <v>0.17681740000000001</v>
      </c>
      <c r="W6594">
        <v>-2.5544399999999998E-3</v>
      </c>
      <c r="X6594">
        <v>0.98424040000000002</v>
      </c>
      <c r="Y6594">
        <v>0.3710367</v>
      </c>
      <c r="Z6594">
        <v>-0.1134565</v>
      </c>
      <c r="AA6594">
        <v>0.92166119999999996</v>
      </c>
      <c r="AB6594">
        <v>20</v>
      </c>
      <c r="AC6594">
        <v>7.2954999999999703</v>
      </c>
      <c r="AD6594">
        <v>-1.1063639207580001</v>
      </c>
      <c r="AE6594">
        <v>5.6254999999999997</v>
      </c>
      <c r="AF6594">
        <v>3.46148049669819</v>
      </c>
      <c r="AG6594">
        <v>-1.1063639207580001</v>
      </c>
      <c r="AH6594">
        <v>8.3959872337617991</v>
      </c>
      <c r="AI6594">
        <v>96.945861164633797</v>
      </c>
      <c r="AJ6594">
        <v>67.594725340002896</v>
      </c>
      <c r="AK6594">
        <v>9.1486878831703606</v>
      </c>
      <c r="AL6594">
        <v>90.146358784107704</v>
      </c>
      <c r="AM6594">
        <v>79.815529908157202</v>
      </c>
      <c r="AN6594">
        <v>1.00000004154931</v>
      </c>
    </row>
    <row r="6595" spans="1:40" x14ac:dyDescent="0.3">
      <c r="A6595" t="str">
        <f>"20200111160641145"</f>
        <v>20200111160641145</v>
      </c>
      <c r="B6595" t="str">
        <f>"1578730001139379"</f>
        <v>1578730001139379</v>
      </c>
      <c r="C6595" t="s">
        <v>40</v>
      </c>
      <c r="D6595">
        <v>5.0954160000000002</v>
      </c>
      <c r="E6595">
        <v>0.58368379999999997</v>
      </c>
      <c r="F6595" t="s">
        <v>75</v>
      </c>
      <c r="G6595">
        <v>-180.3415</v>
      </c>
      <c r="H6595" s="1">
        <v>-4.9581659999999997E-6</v>
      </c>
      <c r="I6595">
        <v>127.99769999999999</v>
      </c>
      <c r="J6595">
        <v>-187.65649999999999</v>
      </c>
      <c r="K6595">
        <v>1.106395</v>
      </c>
      <c r="L6595">
        <v>122.40819999999999</v>
      </c>
      <c r="M6595">
        <v>0.50411850000000002</v>
      </c>
      <c r="N6595">
        <v>0</v>
      </c>
      <c r="O6595">
        <v>0.86351990000000001</v>
      </c>
      <c r="P6595">
        <v>0.64764690000000003</v>
      </c>
      <c r="Q6595">
        <v>-1.4332269999999999E-2</v>
      </c>
      <c r="R6595">
        <v>0.76180579999999998</v>
      </c>
      <c r="S6595">
        <v>2.4240110000000001</v>
      </c>
      <c r="T6595">
        <v>-0.36264459999999998</v>
      </c>
      <c r="U6595">
        <v>1.8736109999999999</v>
      </c>
      <c r="V6595">
        <v>0.17521870000000001</v>
      </c>
      <c r="W6595">
        <v>-2.2831800000000001E-3</v>
      </c>
      <c r="X6595">
        <v>0.98452689999999998</v>
      </c>
      <c r="Y6595">
        <v>0.36923099999999998</v>
      </c>
      <c r="Z6595">
        <v>-0.1130046</v>
      </c>
      <c r="AA6595">
        <v>0.92244150000000003</v>
      </c>
      <c r="AB6595">
        <v>20</v>
      </c>
      <c r="AC6595">
        <v>7.3149999999999897</v>
      </c>
      <c r="AD6595">
        <v>-1.106399958166</v>
      </c>
      <c r="AE6595">
        <v>5.5895000000000001</v>
      </c>
      <c r="AF6595">
        <v>3.4494021992866499</v>
      </c>
      <c r="AG6595">
        <v>-1.106399958166</v>
      </c>
      <c r="AH6595">
        <v>8.3938761477755293</v>
      </c>
      <c r="AI6595">
        <v>96.951049233994198</v>
      </c>
      <c r="AJ6595">
        <v>67.660145908954803</v>
      </c>
      <c r="AK6595">
        <v>9.1421908306525896</v>
      </c>
      <c r="AL6595">
        <v>90.130816690048903</v>
      </c>
      <c r="AM6595">
        <v>79.908588193367706</v>
      </c>
      <c r="AN6595">
        <v>1.0000000112820999</v>
      </c>
    </row>
    <row r="6596" spans="1:40" x14ac:dyDescent="0.3">
      <c r="A6596" t="str">
        <f>"20200111160641155"</f>
        <v>20200111160641155</v>
      </c>
      <c r="B6596" t="str">
        <f>"1578730001149139"</f>
        <v>1578730001149139</v>
      </c>
      <c r="C6596" t="s">
        <v>40</v>
      </c>
      <c r="D6596">
        <v>5.0679400000000001</v>
      </c>
      <c r="E6596">
        <v>0.58375080000000001</v>
      </c>
      <c r="F6596" t="s">
        <v>75</v>
      </c>
      <c r="G6596">
        <v>-180.22649999999999</v>
      </c>
      <c r="H6596" s="1">
        <v>-5.0048649999999901E-6</v>
      </c>
      <c r="I6596">
        <v>128.11580000000001</v>
      </c>
      <c r="J6596">
        <v>-187.6003</v>
      </c>
      <c r="K6596">
        <v>1.1064160000000001</v>
      </c>
      <c r="L6596">
        <v>122.4958</v>
      </c>
      <c r="M6596">
        <v>0.50741990000000003</v>
      </c>
      <c r="N6596">
        <v>0</v>
      </c>
      <c r="O6596">
        <v>0.86158409999999996</v>
      </c>
      <c r="P6596">
        <v>0.64985539999999997</v>
      </c>
      <c r="Q6596">
        <v>-1.419172E-2</v>
      </c>
      <c r="R6596">
        <v>0.75992539999999997</v>
      </c>
      <c r="S6596">
        <v>2.4291839999999998</v>
      </c>
      <c r="T6596">
        <v>-0.36172720000000003</v>
      </c>
      <c r="U6596">
        <v>1.8660429999999999</v>
      </c>
      <c r="V6596">
        <v>0.174308399999999</v>
      </c>
      <c r="W6596">
        <v>-2.1275259999999998E-3</v>
      </c>
      <c r="X6596">
        <v>0.98468880000000003</v>
      </c>
      <c r="Y6596">
        <v>0.36847150000000001</v>
      </c>
      <c r="Z6596">
        <v>-0.112564</v>
      </c>
      <c r="AA6596">
        <v>0.92279909999999998</v>
      </c>
      <c r="AB6596">
        <v>20</v>
      </c>
      <c r="AC6596">
        <v>7.3738000000000099</v>
      </c>
      <c r="AD6596">
        <v>-1.1064210048650001</v>
      </c>
      <c r="AE6596">
        <v>5.62</v>
      </c>
      <c r="AF6596">
        <v>3.45262468733105</v>
      </c>
      <c r="AG6596">
        <v>-1.1064210048650001</v>
      </c>
      <c r="AH6596">
        <v>8.4640239108111199</v>
      </c>
      <c r="AI6596">
        <v>96.901373415709202</v>
      </c>
      <c r="AJ6596">
        <v>67.808585878505198</v>
      </c>
      <c r="AK6596">
        <v>9.2078491209596098</v>
      </c>
      <c r="AL6596">
        <v>90.121898353933801</v>
      </c>
      <c r="AM6596">
        <v>79.961563147958103</v>
      </c>
      <c r="AN6596">
        <v>0.99999998876144003</v>
      </c>
    </row>
    <row r="6597" spans="1:40" x14ac:dyDescent="0.3">
      <c r="A6597" t="str">
        <f>"20200111160641166"</f>
        <v>20200111160641166</v>
      </c>
      <c r="B6597" t="str">
        <f>"1578730001158899"</f>
        <v>1578730001158899</v>
      </c>
      <c r="C6597" t="s">
        <v>40</v>
      </c>
      <c r="D6597">
        <v>5.0407710000000003</v>
      </c>
      <c r="E6597">
        <v>0.58378149999999995</v>
      </c>
      <c r="F6597" t="s">
        <v>75</v>
      </c>
      <c r="G6597">
        <v>-180.1353</v>
      </c>
      <c r="H6597" s="1">
        <v>-5.0374929999999996E-6</v>
      </c>
      <c r="I6597">
        <v>128.1926</v>
      </c>
      <c r="J6597">
        <v>-187.5478</v>
      </c>
      <c r="K6597">
        <v>1.1064320000000001</v>
      </c>
      <c r="L6597">
        <v>122.5771</v>
      </c>
      <c r="M6597">
        <v>0.51047909999999996</v>
      </c>
      <c r="N6597">
        <v>0</v>
      </c>
      <c r="O6597">
        <v>0.85977519999999996</v>
      </c>
      <c r="P6597">
        <v>0.65176020000000001</v>
      </c>
      <c r="Q6597">
        <v>-1.381276E-2</v>
      </c>
      <c r="R6597">
        <v>0.75829939999999996</v>
      </c>
      <c r="S6597">
        <v>2.4353030000000002</v>
      </c>
      <c r="T6597">
        <v>-0.36095070000000001</v>
      </c>
      <c r="U6597">
        <v>1.8584750000000001</v>
      </c>
      <c r="V6597">
        <v>0.17327960000000001</v>
      </c>
      <c r="W6597">
        <v>-1.73221799999999E-3</v>
      </c>
      <c r="X6597">
        <v>0.9848711</v>
      </c>
      <c r="Y6597">
        <v>0.36813630000000003</v>
      </c>
      <c r="Z6597">
        <v>-0.1121625</v>
      </c>
      <c r="AA6597">
        <v>0.92298170000000002</v>
      </c>
      <c r="AB6597">
        <v>20</v>
      </c>
      <c r="AC6597">
        <v>7.4124999999999899</v>
      </c>
      <c r="AD6597">
        <v>-1.1064370374929999</v>
      </c>
      <c r="AE6597">
        <v>5.6154999999999902</v>
      </c>
      <c r="AF6597">
        <v>3.4578848731595899</v>
      </c>
      <c r="AG6597">
        <v>-1.1064370374929999</v>
      </c>
      <c r="AH6597">
        <v>8.49262317326831</v>
      </c>
      <c r="AI6597">
        <v>96.880250660266498</v>
      </c>
      <c r="AJ6597">
        <v>67.845648237469305</v>
      </c>
      <c r="AK6597">
        <v>9.2361149341644797</v>
      </c>
      <c r="AL6597">
        <v>90.099248834996004</v>
      </c>
      <c r="AM6597">
        <v>80.021427408054606</v>
      </c>
      <c r="AN6597">
        <v>0.99999995198528302</v>
      </c>
    </row>
    <row r="6598" spans="1:40" x14ac:dyDescent="0.3">
      <c r="A6598" t="str">
        <f>"20200111160641178"</f>
        <v>20200111160641178</v>
      </c>
      <c r="B6598" t="str">
        <f>"1578730001169635"</f>
        <v>1578730001169635</v>
      </c>
      <c r="C6598" t="s">
        <v>40</v>
      </c>
      <c r="D6598">
        <v>5.342695</v>
      </c>
      <c r="E6598">
        <v>0.58378149999999995</v>
      </c>
      <c r="F6598" t="s">
        <v>75</v>
      </c>
      <c r="G6598">
        <v>-180.0444</v>
      </c>
      <c r="H6598" s="1">
        <v>-5.0707649999999999E-6</v>
      </c>
      <c r="I6598">
        <v>128.27199999999999</v>
      </c>
      <c r="J6598">
        <v>-187.48500000000001</v>
      </c>
      <c r="K6598">
        <v>1.106452</v>
      </c>
      <c r="L6598">
        <v>122.6734</v>
      </c>
      <c r="M6598">
        <v>0.51409309999999997</v>
      </c>
      <c r="N6598">
        <v>0</v>
      </c>
      <c r="O6598">
        <v>0.85761919999999903</v>
      </c>
      <c r="P6598">
        <v>0.65429879999999996</v>
      </c>
      <c r="Q6598">
        <v>-1.365796E-2</v>
      </c>
      <c r="R6598">
        <v>0.75611280000000003</v>
      </c>
      <c r="S6598">
        <v>2.440353</v>
      </c>
      <c r="T6598">
        <v>-0.35985400000000001</v>
      </c>
      <c r="U6598">
        <v>1.8521730000000001</v>
      </c>
      <c r="V6598">
        <v>0.1724368</v>
      </c>
      <c r="W6598">
        <v>-1.5632210000000001E-3</v>
      </c>
      <c r="X6598">
        <v>0.98501930000000004</v>
      </c>
      <c r="Y6598">
        <v>0.36670819999999998</v>
      </c>
      <c r="Z6598">
        <v>-0.11160050000000001</v>
      </c>
      <c r="AA6598">
        <v>0.9236181</v>
      </c>
      <c r="AB6598">
        <v>20</v>
      </c>
      <c r="AC6598">
        <v>7.4406000000000097</v>
      </c>
      <c r="AD6598">
        <v>-1.1064570707650001</v>
      </c>
      <c r="AE6598">
        <v>5.59860000000001</v>
      </c>
      <c r="AF6598">
        <v>3.45456953291602</v>
      </c>
      <c r="AG6598">
        <v>-1.1064570707650001</v>
      </c>
      <c r="AH6598">
        <v>8.5073616771324208</v>
      </c>
      <c r="AI6598">
        <v>96.871168088561404</v>
      </c>
      <c r="AJ6598">
        <v>67.899490183112704</v>
      </c>
      <c r="AK6598">
        <v>9.2484323327112499</v>
      </c>
      <c r="AL6598">
        <v>90.089566006029699</v>
      </c>
      <c r="AM6598">
        <v>80.070457234954603</v>
      </c>
      <c r="AN6598">
        <v>0.99999995751331106</v>
      </c>
    </row>
    <row r="6599" spans="1:40" x14ac:dyDescent="0.3">
      <c r="A6599" t="str">
        <f>"20200111160641192"</f>
        <v>20200111160641192</v>
      </c>
      <c r="B6599" t="str">
        <f>"1578730001189155"</f>
        <v>1578730001189155</v>
      </c>
      <c r="C6599" t="s">
        <v>40</v>
      </c>
      <c r="D6599">
        <v>5.2691699999999999</v>
      </c>
      <c r="E6599">
        <v>0.58373809999999904</v>
      </c>
      <c r="F6599" t="s">
        <v>75</v>
      </c>
      <c r="G6599">
        <v>-179.94210000000001</v>
      </c>
      <c r="H6599" s="1">
        <v>-5.0948529999999999E-6</v>
      </c>
      <c r="I6599">
        <v>128.35749999999999</v>
      </c>
      <c r="J6599">
        <v>-187.42140000000001</v>
      </c>
      <c r="K6599">
        <v>1.1064719999999999</v>
      </c>
      <c r="L6599">
        <v>122.77</v>
      </c>
      <c r="M6599">
        <v>0.51770989999999995</v>
      </c>
      <c r="N6599">
        <v>0</v>
      </c>
      <c r="O6599">
        <v>0.85544089999999995</v>
      </c>
      <c r="P6599">
        <v>0.65697939999999999</v>
      </c>
      <c r="Q6599">
        <v>-1.334522E-2</v>
      </c>
      <c r="R6599">
        <v>0.75379050000000003</v>
      </c>
      <c r="S6599">
        <v>2.4468230000000002</v>
      </c>
      <c r="T6599">
        <v>-0.3589215</v>
      </c>
      <c r="U6599">
        <v>1.8438570000000001</v>
      </c>
      <c r="V6599">
        <v>0.17177539999999999</v>
      </c>
      <c r="W6599">
        <v>-1.2379239999999901E-3</v>
      </c>
      <c r="X6599">
        <v>0.98513539999999999</v>
      </c>
      <c r="Y6599">
        <v>0.36600179999999999</v>
      </c>
      <c r="Z6599">
        <v>-0.1111134</v>
      </c>
      <c r="AA6599">
        <v>0.92395700000000003</v>
      </c>
      <c r="AB6599">
        <v>20</v>
      </c>
      <c r="AC6599">
        <v>7.4792999999999896</v>
      </c>
      <c r="AD6599">
        <v>-1.1064770948529901</v>
      </c>
      <c r="AE6599">
        <v>5.5874999999999897</v>
      </c>
      <c r="AF6599">
        <v>3.4571797872038501</v>
      </c>
      <c r="AG6599">
        <v>-1.1064770948529901</v>
      </c>
      <c r="AH6599">
        <v>8.5328805756678303</v>
      </c>
      <c r="AI6599">
        <v>96.853084830167703</v>
      </c>
      <c r="AJ6599">
        <v>67.944189587478903</v>
      </c>
      <c r="AK6599">
        <v>9.2728870672026709</v>
      </c>
      <c r="AL6599">
        <v>90.070927835948694</v>
      </c>
      <c r="AM6599">
        <v>80.108932099507498</v>
      </c>
      <c r="AN6599">
        <v>1.00000003841707</v>
      </c>
    </row>
    <row r="6600" spans="1:40" x14ac:dyDescent="0.3">
      <c r="A6600" t="str">
        <f>"20200111160641205"</f>
        <v>20200111160641205</v>
      </c>
      <c r="B6600" t="str">
        <f>"1578730001199176"</f>
        <v>1578730001199176</v>
      </c>
      <c r="C6600" t="s">
        <v>40</v>
      </c>
      <c r="D6600">
        <v>5.0753149999999998</v>
      </c>
      <c r="E6600">
        <v>0.58142209999999905</v>
      </c>
      <c r="F6600" t="s">
        <v>75</v>
      </c>
      <c r="G6600">
        <v>-179.8125</v>
      </c>
      <c r="H6600" s="1">
        <v>-5.0374360000000004E-6</v>
      </c>
      <c r="I6600">
        <v>128.46209999999999</v>
      </c>
      <c r="J6600">
        <v>-187.35589999999999</v>
      </c>
      <c r="K6600">
        <v>1.106495</v>
      </c>
      <c r="L6600">
        <v>122.8691</v>
      </c>
      <c r="M6600">
        <v>0.52140690000000001</v>
      </c>
      <c r="N6600">
        <v>0</v>
      </c>
      <c r="O6600">
        <v>0.85319259999999997</v>
      </c>
      <c r="P6600">
        <v>0.65994140000000001</v>
      </c>
      <c r="Q6600">
        <v>-1.306498E-2</v>
      </c>
      <c r="R6600">
        <v>0.75120350000000002</v>
      </c>
      <c r="S6600">
        <v>2.453354</v>
      </c>
      <c r="T6600">
        <v>-0.35675990000000002</v>
      </c>
      <c r="U6600">
        <v>1.835297</v>
      </c>
      <c r="V6600">
        <v>0.1713904</v>
      </c>
      <c r="W6600">
        <v>-9.4790290000000001E-4</v>
      </c>
      <c r="X6600">
        <v>0.98520269999999999</v>
      </c>
      <c r="Y6600">
        <v>0.36530580000000001</v>
      </c>
      <c r="Z6600">
        <v>-0.1102474</v>
      </c>
      <c r="AA6600">
        <v>0.92433609999999999</v>
      </c>
      <c r="AB6600">
        <v>20</v>
      </c>
      <c r="AC6600">
        <v>7.5433999999999903</v>
      </c>
      <c r="AD6600">
        <v>-1.1065000374359999</v>
      </c>
      <c r="AE6600">
        <v>5.5929999999999804</v>
      </c>
      <c r="AF6600">
        <v>3.4718881872081999</v>
      </c>
      <c r="AG6600">
        <v>-1.1065000374359999</v>
      </c>
      <c r="AH6600">
        <v>8.5867286097719902</v>
      </c>
      <c r="AI6600">
        <v>96.8125961272995</v>
      </c>
      <c r="AJ6600">
        <v>67.984946087985506</v>
      </c>
      <c r="AK6600">
        <v>9.3279289306468502</v>
      </c>
      <c r="AL6600">
        <v>90.0543108456515</v>
      </c>
      <c r="AM6600">
        <v>80.1313254729683</v>
      </c>
      <c r="AN6600">
        <v>0.99999996390967805</v>
      </c>
    </row>
    <row r="6601" spans="1:40" x14ac:dyDescent="0.3">
      <c r="A6601" t="str">
        <f>"20200111160641215"</f>
        <v>20200111160641215</v>
      </c>
      <c r="B6601" t="str">
        <f>"1578730001208935"</f>
        <v>1578730001208935</v>
      </c>
      <c r="C6601" t="s">
        <v>40</v>
      </c>
      <c r="D6601">
        <v>5.0621479999999996</v>
      </c>
      <c r="E6601">
        <v>0.58222159999999901</v>
      </c>
      <c r="F6601" t="s">
        <v>75</v>
      </c>
      <c r="G6601">
        <v>-177.9271</v>
      </c>
      <c r="H6601" s="1">
        <v>-4.1642769999999997E-6</v>
      </c>
      <c r="I6601">
        <v>129.92599999999999</v>
      </c>
      <c r="J6601">
        <v>-187.29230000000001</v>
      </c>
      <c r="K6601">
        <v>1.1065240000000001</v>
      </c>
      <c r="L6601">
        <v>122.9639</v>
      </c>
      <c r="M6601">
        <v>0.5249144</v>
      </c>
      <c r="N6601">
        <v>0</v>
      </c>
      <c r="O6601">
        <v>0.85103909999999905</v>
      </c>
      <c r="P6601">
        <v>0.66271469999999999</v>
      </c>
      <c r="Q6601">
        <v>-1.279982E-2</v>
      </c>
      <c r="R6601">
        <v>0.7487625</v>
      </c>
      <c r="S6601">
        <v>2.4515989999999999</v>
      </c>
      <c r="T6601">
        <v>-0.2877033</v>
      </c>
      <c r="U6601">
        <v>1.8348690000000001</v>
      </c>
      <c r="V6601">
        <v>0.17097850000000001</v>
      </c>
      <c r="W6601">
        <v>-6.7054619999999904E-4</v>
      </c>
      <c r="X6601">
        <v>0.9852746</v>
      </c>
      <c r="Y6601">
        <v>0.36321150000000002</v>
      </c>
      <c r="Z6601">
        <v>-8.8926320000000003E-2</v>
      </c>
      <c r="AA6601">
        <v>0.92745319999999998</v>
      </c>
      <c r="AB6601">
        <v>20</v>
      </c>
      <c r="AC6601">
        <v>9.3652000000000104</v>
      </c>
      <c r="AD6601">
        <v>-1.106528164277</v>
      </c>
      <c r="AE6601">
        <v>6.9621000000000199</v>
      </c>
      <c r="AF6601">
        <v>4.2776097570694098</v>
      </c>
      <c r="AG6601">
        <v>-1.106528164277</v>
      </c>
      <c r="AH6601">
        <v>10.745403119476</v>
      </c>
      <c r="AI6601">
        <v>95.465116524859795</v>
      </c>
      <c r="AJ6601">
        <v>68.293120889002097</v>
      </c>
      <c r="AK6601">
        <v>11.618349194793501</v>
      </c>
      <c r="AL6601">
        <v>90.038419467523894</v>
      </c>
      <c r="AM6601">
        <v>80.155282456581403</v>
      </c>
      <c r="AN6601">
        <v>1.0000000672498</v>
      </c>
    </row>
    <row r="6602" spans="1:40" x14ac:dyDescent="0.3">
      <c r="A6602" t="str">
        <f>"20200111160641227"</f>
        <v>20200111160641227</v>
      </c>
      <c r="B6602" t="str">
        <f>"1578730001219671"</f>
        <v>1578730001219671</v>
      </c>
      <c r="C6602" t="s">
        <v>40</v>
      </c>
      <c r="D6602">
        <v>5.0791069999999996</v>
      </c>
      <c r="E6602">
        <v>0.58266799999999996</v>
      </c>
      <c r="F6602" t="s">
        <v>75</v>
      </c>
      <c r="G6602">
        <v>-177.80539999999999</v>
      </c>
      <c r="H6602" s="1">
        <v>-4.1018259999999997E-6</v>
      </c>
      <c r="I6602">
        <v>129.98009999999999</v>
      </c>
      <c r="J6602">
        <v>-187.23599999999999</v>
      </c>
      <c r="K6602">
        <v>1.1065560000000001</v>
      </c>
      <c r="L6602">
        <v>123.04730000000001</v>
      </c>
      <c r="M6602">
        <v>0.52798990000000001</v>
      </c>
      <c r="N6602">
        <v>0</v>
      </c>
      <c r="O6602">
        <v>0.84913459999999996</v>
      </c>
      <c r="P6602">
        <v>0.66519619999999902</v>
      </c>
      <c r="Q6602">
        <v>-1.270933E-2</v>
      </c>
      <c r="R6602">
        <v>0.74656049999999996</v>
      </c>
      <c r="S6602">
        <v>2.4630890000000001</v>
      </c>
      <c r="T6602">
        <v>-0.28728900000000002</v>
      </c>
      <c r="U6602">
        <v>1.8216399999999999</v>
      </c>
      <c r="V6602">
        <v>0.17068439999999999</v>
      </c>
      <c r="W6602">
        <v>-5.6921269999999995E-4</v>
      </c>
      <c r="X6602">
        <v>0.98532560000000002</v>
      </c>
      <c r="Y6602">
        <v>0.3651491</v>
      </c>
      <c r="Z6602">
        <v>-8.8691309999999995E-2</v>
      </c>
      <c r="AA6602">
        <v>0.9267147</v>
      </c>
      <c r="AB6602">
        <v>20</v>
      </c>
      <c r="AC6602">
        <v>9.4305999999999894</v>
      </c>
      <c r="AD6602">
        <v>-1.1065601018259901</v>
      </c>
      <c r="AE6602">
        <v>6.9327999999999799</v>
      </c>
      <c r="AF6602">
        <v>4.3093131789571704</v>
      </c>
      <c r="AG6602">
        <v>-1.1065601018259901</v>
      </c>
      <c r="AH6602">
        <v>10.770944570497001</v>
      </c>
      <c r="AI6602">
        <v>95.448662451599006</v>
      </c>
      <c r="AJ6602">
        <v>68.194301352638306</v>
      </c>
      <c r="AK6602">
        <v>11.653664757234401</v>
      </c>
      <c r="AL6602">
        <v>90.032613486685506</v>
      </c>
      <c r="AM6602">
        <v>80.172384631365702</v>
      </c>
      <c r="AN6602">
        <v>1.0000000132108999</v>
      </c>
    </row>
    <row r="6603" spans="1:40" x14ac:dyDescent="0.3">
      <c r="A6603" t="str">
        <f>"20200111160641239"</f>
        <v>20200111160641239</v>
      </c>
      <c r="B6603" t="str">
        <f>"1578730001229431"</f>
        <v>1578730001229431</v>
      </c>
      <c r="C6603" t="s">
        <v>40</v>
      </c>
      <c r="D6603">
        <v>5.22065</v>
      </c>
      <c r="E6603">
        <v>0.58164919999999998</v>
      </c>
      <c r="F6603" t="s">
        <v>75</v>
      </c>
      <c r="G6603">
        <v>-177.7594</v>
      </c>
      <c r="H6603" s="1">
        <v>-4.0746129999999996E-6</v>
      </c>
      <c r="I6603">
        <v>129.99109999999999</v>
      </c>
      <c r="J6603">
        <v>-187.17490000000001</v>
      </c>
      <c r="K6603">
        <v>1.1065910000000001</v>
      </c>
      <c r="L6603">
        <v>123.13720000000001</v>
      </c>
      <c r="M6603">
        <v>0.53127559999999996</v>
      </c>
      <c r="N6603">
        <v>0</v>
      </c>
      <c r="O6603">
        <v>0.84708289999999997</v>
      </c>
      <c r="P6603">
        <v>0.66789049999999905</v>
      </c>
      <c r="Q6603">
        <v>-1.266812E-2</v>
      </c>
      <c r="R6603">
        <v>0.74415180000000003</v>
      </c>
      <c r="S6603">
        <v>2.4717560000000001</v>
      </c>
      <c r="T6603">
        <v>-0.28861930000000002</v>
      </c>
      <c r="U6603">
        <v>1.8111269999999999</v>
      </c>
      <c r="V6603">
        <v>0.17042869999999999</v>
      </c>
      <c r="W6603">
        <v>-5.1524540000000003E-4</v>
      </c>
      <c r="X6603">
        <v>0.98536990000000002</v>
      </c>
      <c r="Y6603">
        <v>0.36563319999999999</v>
      </c>
      <c r="Z6603">
        <v>-8.895757E-2</v>
      </c>
      <c r="AA6603">
        <v>0.92649820000000005</v>
      </c>
      <c r="AB6603">
        <v>20</v>
      </c>
      <c r="AC6603">
        <v>9.4154999999999998</v>
      </c>
      <c r="AD6603">
        <v>-1.10659507461299</v>
      </c>
      <c r="AE6603">
        <v>6.8538999999999799</v>
      </c>
      <c r="AF6603">
        <v>4.2960377598868504</v>
      </c>
      <c r="AG6603">
        <v>-1.10659507461299</v>
      </c>
      <c r="AH6603">
        <v>10.712390655018099</v>
      </c>
      <c r="AI6603">
        <v>95.476655443654593</v>
      </c>
      <c r="AJ6603">
        <v>68.147513946022102</v>
      </c>
      <c r="AK6603">
        <v>11.5946456021411</v>
      </c>
      <c r="AL6603">
        <v>90.029521387444703</v>
      </c>
      <c r="AM6603">
        <v>80.187253410102201</v>
      </c>
      <c r="AN6603">
        <v>1.0000000235437601</v>
      </c>
    </row>
    <row r="6604" spans="1:40" x14ac:dyDescent="0.3">
      <c r="A6604" t="str">
        <f>"20200111160641250"</f>
        <v>20200111160641250</v>
      </c>
      <c r="B6604" t="str">
        <f>"1578730001239192"</f>
        <v>1578730001239192</v>
      </c>
      <c r="C6604" t="s">
        <v>40</v>
      </c>
      <c r="D6604">
        <v>5.095987</v>
      </c>
      <c r="E6604">
        <v>0.58187219999999995</v>
      </c>
      <c r="F6604" t="s">
        <v>75</v>
      </c>
      <c r="G6604">
        <v>-177.61170000000001</v>
      </c>
      <c r="H6604" s="1">
        <v>-4.0261910000000001E-6</v>
      </c>
      <c r="I6604">
        <v>130.12899999999999</v>
      </c>
      <c r="J6604">
        <v>-187.11619999999999</v>
      </c>
      <c r="K6604">
        <v>1.106636</v>
      </c>
      <c r="L6604">
        <v>123.2229</v>
      </c>
      <c r="M6604">
        <v>0.53437409999999996</v>
      </c>
      <c r="N6604">
        <v>0</v>
      </c>
      <c r="O6604">
        <v>0.84513169999999904</v>
      </c>
      <c r="P6604">
        <v>0.67063890000000004</v>
      </c>
      <c r="Q6604">
        <v>-1.278082E-2</v>
      </c>
      <c r="R6604">
        <v>0.7416739</v>
      </c>
      <c r="S6604">
        <v>2.4723820000000001</v>
      </c>
      <c r="T6604">
        <v>-0.28608810000000001</v>
      </c>
      <c r="U6604">
        <v>1.8075870000000001</v>
      </c>
      <c r="V6604">
        <v>0.17046559999999999</v>
      </c>
      <c r="W6604">
        <v>-6.1638369999999999E-4</v>
      </c>
      <c r="X6604">
        <v>0.9853634</v>
      </c>
      <c r="Y6604">
        <v>0.36327209999999899</v>
      </c>
      <c r="Z6604">
        <v>-8.8036359999999994E-2</v>
      </c>
      <c r="AA6604">
        <v>0.92751439999999996</v>
      </c>
      <c r="AB6604">
        <v>20</v>
      </c>
      <c r="AC6604">
        <v>9.5044999999999806</v>
      </c>
      <c r="AD6604">
        <v>-1.1066400261910001</v>
      </c>
      <c r="AE6604">
        <v>6.9060999999999897</v>
      </c>
      <c r="AF6604">
        <v>4.3043506174675201</v>
      </c>
      <c r="AG6604">
        <v>-1.1066400261910001</v>
      </c>
      <c r="AH6604">
        <v>10.8205921408361</v>
      </c>
      <c r="AI6604">
        <v>95.428460653013403</v>
      </c>
      <c r="AJ6604">
        <v>68.307707301389101</v>
      </c>
      <c r="AK6604">
        <v>11.697747674829699</v>
      </c>
      <c r="AL6604">
        <v>90.035316188029299</v>
      </c>
      <c r="AM6604">
        <v>80.185106654793302</v>
      </c>
      <c r="AN6604">
        <v>0.99999996538589198</v>
      </c>
    </row>
    <row r="6605" spans="1:40" x14ac:dyDescent="0.3">
      <c r="A6605" t="str">
        <f>"20200111160641263"</f>
        <v>20200111160641263</v>
      </c>
      <c r="B6605" t="str">
        <f>"1578730001259687"</f>
        <v>1578730001259687</v>
      </c>
      <c r="C6605" t="s">
        <v>40</v>
      </c>
      <c r="D6605">
        <v>5.0716869999999998</v>
      </c>
      <c r="E6605">
        <v>0.58191359999999903</v>
      </c>
      <c r="F6605" t="s">
        <v>75</v>
      </c>
      <c r="G6605">
        <v>-177.56630000000001</v>
      </c>
      <c r="H6605" s="1">
        <v>-4.000496E-6</v>
      </c>
      <c r="I6605">
        <v>130.1429</v>
      </c>
      <c r="J6605">
        <v>-187.0487</v>
      </c>
      <c r="K6605">
        <v>1.106695</v>
      </c>
      <c r="L6605">
        <v>123.32080000000001</v>
      </c>
      <c r="M6605">
        <v>0.53788849999999999</v>
      </c>
      <c r="N6605">
        <v>0</v>
      </c>
      <c r="O6605">
        <v>0.84289950000000002</v>
      </c>
      <c r="P6605">
        <v>0.67376709999999995</v>
      </c>
      <c r="Q6605">
        <v>-1.320734E-2</v>
      </c>
      <c r="R6605">
        <v>0.73882569999999903</v>
      </c>
      <c r="S6605">
        <v>2.48027</v>
      </c>
      <c r="T6605">
        <v>-0.28741299999999997</v>
      </c>
      <c r="U6605">
        <v>1.7972410000000001</v>
      </c>
      <c r="V6605">
        <v>0.17052690000000001</v>
      </c>
      <c r="W6605">
        <v>-1.0276300000000001E-3</v>
      </c>
      <c r="X6605">
        <v>0.98535249999999996</v>
      </c>
      <c r="Y6605">
        <v>0.36330820000000003</v>
      </c>
      <c r="Z6605">
        <v>-8.8287850000000001E-2</v>
      </c>
      <c r="AA6605">
        <v>0.92747639999999998</v>
      </c>
      <c r="AB6605">
        <v>20</v>
      </c>
      <c r="AC6605">
        <v>9.4823999999999806</v>
      </c>
      <c r="AD6605">
        <v>-1.106699000496</v>
      </c>
      <c r="AE6605">
        <v>6.8220999999999901</v>
      </c>
      <c r="AF6605">
        <v>4.2851439443643899</v>
      </c>
      <c r="AG6605">
        <v>-1.106699000496</v>
      </c>
      <c r="AH6605">
        <v>10.755348593076199</v>
      </c>
      <c r="AI6605">
        <v>95.460311233709305</v>
      </c>
      <c r="AJ6605">
        <v>68.276683198708</v>
      </c>
      <c r="AK6605">
        <v>11.630338114612499</v>
      </c>
      <c r="AL6605">
        <v>90.058878871413</v>
      </c>
      <c r="AM6605">
        <v>80.181539368140307</v>
      </c>
      <c r="AN6605">
        <v>1.0000000144516299</v>
      </c>
    </row>
    <row r="6606" spans="1:40" x14ac:dyDescent="0.3">
      <c r="A6606" t="str">
        <f>"20200111160641278"</f>
        <v>20200111160641278</v>
      </c>
      <c r="B6606" t="str">
        <f>"1578730001269447"</f>
        <v>1578730001269447</v>
      </c>
      <c r="C6606" t="s">
        <v>40</v>
      </c>
      <c r="D6606">
        <v>5.1013599999999997</v>
      </c>
      <c r="E6606">
        <v>0.58207819999999899</v>
      </c>
      <c r="F6606" t="s">
        <v>75</v>
      </c>
      <c r="G6606">
        <v>-177.7089</v>
      </c>
      <c r="H6606" s="1">
        <v>-4.0551520000000001E-6</v>
      </c>
      <c r="I6606">
        <v>130.03049999999999</v>
      </c>
      <c r="J6606">
        <v>-186.9743</v>
      </c>
      <c r="K6606">
        <v>1.1067819999999999</v>
      </c>
      <c r="L6606">
        <v>123.4276</v>
      </c>
      <c r="M6606">
        <v>0.54162319999999997</v>
      </c>
      <c r="N6606">
        <v>0</v>
      </c>
      <c r="O6606">
        <v>0.84050480000000005</v>
      </c>
      <c r="P6606">
        <v>0.677087199999999</v>
      </c>
      <c r="Q6606">
        <v>-1.4983120000000001E-2</v>
      </c>
      <c r="R6606">
        <v>0.73575029999999997</v>
      </c>
      <c r="S6606">
        <v>2.4873349999999999</v>
      </c>
      <c r="T6606">
        <v>-0.29473129999999997</v>
      </c>
      <c r="U6606">
        <v>1.78689599999999</v>
      </c>
      <c r="V6606">
        <v>0.17059389999999999</v>
      </c>
      <c r="W6606">
        <v>-2.7788919999999998E-3</v>
      </c>
      <c r="X6606">
        <v>0.98533749999999998</v>
      </c>
      <c r="Y6606">
        <v>0.36278890000000003</v>
      </c>
      <c r="Z6606">
        <v>-9.0352940000000007E-2</v>
      </c>
      <c r="AA6606">
        <v>0.92748079999999999</v>
      </c>
      <c r="AB6606">
        <v>20</v>
      </c>
      <c r="AC6606">
        <v>9.2653999999999996</v>
      </c>
      <c r="AD6606">
        <v>-1.1067860551519999</v>
      </c>
      <c r="AE6606">
        <v>6.6028999999999902</v>
      </c>
      <c r="AF6606">
        <v>4.1722590884932602</v>
      </c>
      <c r="AG6606">
        <v>-1.1067860551519999</v>
      </c>
      <c r="AH6606">
        <v>10.4700798418869</v>
      </c>
      <c r="AI6606">
        <v>95.608444488412701</v>
      </c>
      <c r="AJ6606">
        <v>68.273038026439195</v>
      </c>
      <c r="AK6606">
        <v>11.3249853496099</v>
      </c>
      <c r="AL6606">
        <v>90.159218989051197</v>
      </c>
      <c r="AM6606">
        <v>80.177610205701498</v>
      </c>
      <c r="AN6606">
        <v>0.99999999493210301</v>
      </c>
    </row>
    <row r="6607" spans="1:40" x14ac:dyDescent="0.3">
      <c r="A6607" t="str">
        <f>"20200111160641289"</f>
        <v>20200111160641289</v>
      </c>
      <c r="B6607" t="str">
        <f>"1578730001279208"</f>
        <v>1578730001279208</v>
      </c>
      <c r="C6607" t="s">
        <v>40</v>
      </c>
      <c r="D6607">
        <v>5.1093029999999997</v>
      </c>
      <c r="E6607">
        <v>0.58201809999999998</v>
      </c>
      <c r="F6607" t="s">
        <v>75</v>
      </c>
      <c r="G6607">
        <v>-177.81180000000001</v>
      </c>
      <c r="H6607" s="1">
        <v>-4.0924739999999999E-6</v>
      </c>
      <c r="I6607">
        <v>129.94409999999999</v>
      </c>
      <c r="J6607">
        <v>-186.91239999999999</v>
      </c>
      <c r="K6607">
        <v>1.10687</v>
      </c>
      <c r="L6607">
        <v>123.51609999999999</v>
      </c>
      <c r="M6607">
        <v>0.54465790000000003</v>
      </c>
      <c r="N6607">
        <v>0</v>
      </c>
      <c r="O6607">
        <v>0.838541599999999</v>
      </c>
      <c r="P6607">
        <v>0.67992069999999905</v>
      </c>
      <c r="Q6607">
        <v>-1.6033410000000001E-2</v>
      </c>
      <c r="R6607">
        <v>0.73311040000000005</v>
      </c>
      <c r="S6607">
        <v>2.4954830000000001</v>
      </c>
      <c r="T6607">
        <v>-0.30143930000000002</v>
      </c>
      <c r="U6607">
        <v>1.77478</v>
      </c>
      <c r="V6607">
        <v>0.1708365</v>
      </c>
      <c r="W6607">
        <v>-3.8066250000000001E-3</v>
      </c>
      <c r="X6607">
        <v>0.98529199999999995</v>
      </c>
      <c r="Y6607">
        <v>0.36366920000000003</v>
      </c>
      <c r="Z6607">
        <v>-9.2296879999999998E-2</v>
      </c>
      <c r="AA6607">
        <v>0.9269444</v>
      </c>
      <c r="AB6607">
        <v>20</v>
      </c>
      <c r="AC6607">
        <v>9.1005999999999805</v>
      </c>
      <c r="AD6607">
        <v>-1.1068740924739999</v>
      </c>
      <c r="AE6607">
        <v>6.4279999999999902</v>
      </c>
      <c r="AF6607">
        <v>4.0902077180731098</v>
      </c>
      <c r="AG6607">
        <v>-1.1068740924739999</v>
      </c>
      <c r="AH6607">
        <v>10.246744248929801</v>
      </c>
      <c r="AI6607">
        <v>95.729005077753399</v>
      </c>
      <c r="AJ6607">
        <v>68.239526901217801</v>
      </c>
      <c r="AK6607">
        <v>11.0883153425826</v>
      </c>
      <c r="AL6607">
        <v>90.218104081563197</v>
      </c>
      <c r="AM6607">
        <v>80.163469168773503</v>
      </c>
      <c r="AN6607">
        <v>0.99999996269506897</v>
      </c>
    </row>
    <row r="6608" spans="1:40" x14ac:dyDescent="0.3">
      <c r="A6608" t="str">
        <f>"20200111160641300"</f>
        <v>20200111160641300</v>
      </c>
      <c r="B6608" t="str">
        <f>"1578730001288968"</f>
        <v>1578730001288968</v>
      </c>
      <c r="C6608" t="s">
        <v>40</v>
      </c>
      <c r="D6608">
        <v>5.091583</v>
      </c>
      <c r="E6608">
        <v>0.58183419999999997</v>
      </c>
      <c r="F6608" t="s">
        <v>75</v>
      </c>
      <c r="G6608">
        <v>-177.88339999999999</v>
      </c>
      <c r="H6608" s="1">
        <v>-4.1200850000000004E-6</v>
      </c>
      <c r="I6608">
        <v>129.8879</v>
      </c>
      <c r="J6608">
        <v>-186.8518</v>
      </c>
      <c r="K6608">
        <v>1.1069639999999901</v>
      </c>
      <c r="L6608">
        <v>123.60209999999999</v>
      </c>
      <c r="M6608">
        <v>0.54755069999999995</v>
      </c>
      <c r="N6608">
        <v>0</v>
      </c>
      <c r="O6608">
        <v>0.83665579999999995</v>
      </c>
      <c r="P6608">
        <v>0.68241439999999998</v>
      </c>
      <c r="Q6608">
        <v>-1.7056490000000001E-2</v>
      </c>
      <c r="R6608">
        <v>0.73076660000000004</v>
      </c>
      <c r="S6608">
        <v>2.5015559999999999</v>
      </c>
      <c r="T6608">
        <v>-0.30667080000000002</v>
      </c>
      <c r="U6608">
        <v>1.7653810000000001</v>
      </c>
      <c r="V6608">
        <v>0.170795</v>
      </c>
      <c r="W6608">
        <v>-4.8003759999999899E-3</v>
      </c>
      <c r="X6608">
        <v>0.98529489999999997</v>
      </c>
      <c r="Y6608">
        <v>0.3637031</v>
      </c>
      <c r="Z6608">
        <v>-9.3768950000000004E-2</v>
      </c>
      <c r="AA6608">
        <v>0.92678340000000003</v>
      </c>
      <c r="AB6608">
        <v>20</v>
      </c>
      <c r="AC6608">
        <v>8.9684000000000008</v>
      </c>
      <c r="AD6608">
        <v>-1.1069681200849999</v>
      </c>
      <c r="AE6608">
        <v>6.2858000000000001</v>
      </c>
      <c r="AF6608">
        <v>4.0209867715621899</v>
      </c>
      <c r="AG6608">
        <v>-1.1069681200849999</v>
      </c>
      <c r="AH6608">
        <v>10.0678418794897</v>
      </c>
      <c r="AI6608">
        <v>95.830170236635396</v>
      </c>
      <c r="AJ6608">
        <v>68.228768720147798</v>
      </c>
      <c r="AK6608">
        <v>10.897483798857801</v>
      </c>
      <c r="AL6608">
        <v>90.275042339065394</v>
      </c>
      <c r="AM6608">
        <v>80.165840401692705</v>
      </c>
      <c r="AN6608">
        <v>1.0000000078003699</v>
      </c>
    </row>
    <row r="6609" spans="1:40" x14ac:dyDescent="0.3">
      <c r="A6609" t="str">
        <f>"20200111160641313"</f>
        <v>20200111160641313</v>
      </c>
      <c r="B6609" t="str">
        <f>"1578730001309463"</f>
        <v>1578730001309463</v>
      </c>
      <c r="C6609" t="s">
        <v>40</v>
      </c>
      <c r="D6609">
        <v>5.1501279999999996</v>
      </c>
      <c r="E6609">
        <v>0.58131309999999903</v>
      </c>
      <c r="F6609" t="s">
        <v>75</v>
      </c>
      <c r="G6609">
        <v>-177.9854</v>
      </c>
      <c r="H6609" s="1">
        <v>-4.1649170000000004E-6</v>
      </c>
      <c r="I6609">
        <v>129.8228</v>
      </c>
      <c r="J6609">
        <v>-186.7895</v>
      </c>
      <c r="K6609">
        <v>1.1070770000000001</v>
      </c>
      <c r="L6609">
        <v>123.68989999999999</v>
      </c>
      <c r="M6609">
        <v>0.55041019999999996</v>
      </c>
      <c r="N6609">
        <v>0</v>
      </c>
      <c r="O6609">
        <v>0.83477760000000001</v>
      </c>
      <c r="P6609">
        <v>0.68485180000000001</v>
      </c>
      <c r="Q6609">
        <v>-1.7905310000000001E-2</v>
      </c>
      <c r="R6609">
        <v>0.72846239999999995</v>
      </c>
      <c r="S6609">
        <v>2.505722</v>
      </c>
      <c r="T6609">
        <v>-0.312837799999999</v>
      </c>
      <c r="U6609">
        <v>1.7580260000000001</v>
      </c>
      <c r="V6609">
        <v>0.1707205</v>
      </c>
      <c r="W6609">
        <v>-5.6145759999999996E-3</v>
      </c>
      <c r="X6609">
        <v>0.9853035</v>
      </c>
      <c r="Y6609">
        <v>0.36290129999999998</v>
      </c>
      <c r="Z6609">
        <v>-9.5504510000000001E-2</v>
      </c>
      <c r="AA6609">
        <v>0.92692050000000004</v>
      </c>
      <c r="AB6609">
        <v>20</v>
      </c>
      <c r="AC6609">
        <v>8.8041</v>
      </c>
      <c r="AD6609">
        <v>-1.107081164917</v>
      </c>
      <c r="AE6609">
        <v>6.1329000000000002</v>
      </c>
      <c r="AF6609">
        <v>3.93237770502191</v>
      </c>
      <c r="AG6609">
        <v>-1.107081164917</v>
      </c>
      <c r="AH6609">
        <v>9.8614595041745705</v>
      </c>
      <c r="AI6609">
        <v>95.953197029389599</v>
      </c>
      <c r="AJ6609">
        <v>68.259753050303402</v>
      </c>
      <c r="AK6609">
        <v>10.6741560169009</v>
      </c>
      <c r="AL6609">
        <v>90.321693198766695</v>
      </c>
      <c r="AM6609">
        <v>80.170130443203604</v>
      </c>
      <c r="AN6609">
        <v>0.99999999984807897</v>
      </c>
    </row>
    <row r="6610" spans="1:40" x14ac:dyDescent="0.3">
      <c r="A6610" t="str">
        <f>"20200111160641325"</f>
        <v>20200111160641325</v>
      </c>
      <c r="B6610" t="str">
        <f>"1578730001319224"</f>
        <v>1578730001319224</v>
      </c>
      <c r="C6610" t="s">
        <v>40</v>
      </c>
      <c r="D6610">
        <v>5.1388639999999999</v>
      </c>
      <c r="E6610">
        <v>0.58103369999999999</v>
      </c>
      <c r="F6610" t="s">
        <v>75</v>
      </c>
      <c r="G6610">
        <v>-178.0831</v>
      </c>
      <c r="H6610" s="1">
        <v>-4.21307E-6</v>
      </c>
      <c r="I6610">
        <v>129.774</v>
      </c>
      <c r="J6610">
        <v>-186.72710000000001</v>
      </c>
      <c r="K6610">
        <v>1.107194</v>
      </c>
      <c r="L6610">
        <v>123.77760000000001</v>
      </c>
      <c r="M6610">
        <v>0.55322039999999995</v>
      </c>
      <c r="N6610">
        <v>0</v>
      </c>
      <c r="O6610">
        <v>0.83291819999999905</v>
      </c>
      <c r="P6610">
        <v>0.68702659999999904</v>
      </c>
      <c r="Q6610">
        <v>-1.8802860000000001E-2</v>
      </c>
      <c r="R6610">
        <v>0.7263889</v>
      </c>
      <c r="S6610">
        <v>2.5079799999999999</v>
      </c>
      <c r="T6610">
        <v>-0.3189089</v>
      </c>
      <c r="U6610">
        <v>1.75259399999999</v>
      </c>
      <c r="V6610">
        <v>0.17035259999999999</v>
      </c>
      <c r="W6610">
        <v>-6.4722919999999897E-3</v>
      </c>
      <c r="X6610">
        <v>0.98536190000000001</v>
      </c>
      <c r="Y6610">
        <v>0.36133969999999999</v>
      </c>
      <c r="Z6610">
        <v>-9.7195130000000005E-2</v>
      </c>
      <c r="AA6610">
        <v>0.92735469999999998</v>
      </c>
      <c r="AB6610">
        <v>20</v>
      </c>
      <c r="AC6610">
        <v>8.6440000000000001</v>
      </c>
      <c r="AD6610">
        <v>-1.10719821307</v>
      </c>
      <c r="AE6610">
        <v>5.9963999999999897</v>
      </c>
      <c r="AF6610">
        <v>3.84025541082808</v>
      </c>
      <c r="AG6610">
        <v>-1.10719821307</v>
      </c>
      <c r="AH6610">
        <v>9.6703853856440602</v>
      </c>
      <c r="AI6610">
        <v>96.074002119287101</v>
      </c>
      <c r="AJ6610">
        <v>68.3412290471598</v>
      </c>
      <c r="AK6610">
        <v>10.463737525869901</v>
      </c>
      <c r="AL6610">
        <v>90.370837609538299</v>
      </c>
      <c r="AM6610">
        <v>80.191471798748296</v>
      </c>
      <c r="AN6610">
        <v>0.99999998643105104</v>
      </c>
    </row>
    <row r="6611" spans="1:40" x14ac:dyDescent="0.3">
      <c r="A6611" t="str">
        <f>"20200111160641335"</f>
        <v>20200111160641335</v>
      </c>
      <c r="B6611" t="str">
        <f>"1578730001328983"</f>
        <v>1578730001328983</v>
      </c>
      <c r="C6611" t="s">
        <v>40</v>
      </c>
      <c r="D6611">
        <v>5.2375249999999998</v>
      </c>
      <c r="E6611">
        <v>0.5807968</v>
      </c>
      <c r="F6611" t="s">
        <v>75</v>
      </c>
      <c r="G6611">
        <v>-178.11</v>
      </c>
      <c r="H6611" s="1">
        <v>-4.2302459999999997E-6</v>
      </c>
      <c r="I6611">
        <v>129.77090000000001</v>
      </c>
      <c r="J6611">
        <v>-186.66579999999999</v>
      </c>
      <c r="K6611">
        <v>1.1073219999999999</v>
      </c>
      <c r="L6611">
        <v>123.86320000000001</v>
      </c>
      <c r="M6611">
        <v>0.55583700000000003</v>
      </c>
      <c r="N6611">
        <v>0</v>
      </c>
      <c r="O6611">
        <v>0.83117459999999899</v>
      </c>
      <c r="P6611">
        <v>0.68914679999999995</v>
      </c>
      <c r="Q6611">
        <v>-2.0007670000000002E-2</v>
      </c>
      <c r="R6611">
        <v>0.72434560000000003</v>
      </c>
      <c r="S6611">
        <v>2.5111849999999998</v>
      </c>
      <c r="T6611">
        <v>-0.32265880000000002</v>
      </c>
      <c r="U6611">
        <v>1.74656699999999</v>
      </c>
      <c r="V6611">
        <v>0.17014399999999999</v>
      </c>
      <c r="W6611">
        <v>-7.6361559999999998E-3</v>
      </c>
      <c r="X6611">
        <v>0.98538959999999998</v>
      </c>
      <c r="Y6611">
        <v>0.36036390000000001</v>
      </c>
      <c r="Z6611">
        <v>-9.8191710000000001E-2</v>
      </c>
      <c r="AA6611">
        <v>0.92762940000000005</v>
      </c>
      <c r="AB6611">
        <v>20</v>
      </c>
      <c r="AC6611">
        <v>8.5557999999999694</v>
      </c>
      <c r="AD6611">
        <v>-1.1073262302460001</v>
      </c>
      <c r="AE6611">
        <v>5.9077000000000002</v>
      </c>
      <c r="AF6611">
        <v>3.7850838416994099</v>
      </c>
      <c r="AG6611">
        <v>-1.1073262302460001</v>
      </c>
      <c r="AH6611">
        <v>9.5584796084313997</v>
      </c>
      <c r="AI6611">
        <v>96.147624254752401</v>
      </c>
      <c r="AJ6611">
        <v>68.396818145560005</v>
      </c>
      <c r="AK6611">
        <v>10.340094946067101</v>
      </c>
      <c r="AL6611">
        <v>90.437523772395906</v>
      </c>
      <c r="AM6611">
        <v>80.203519714818398</v>
      </c>
      <c r="AN6611">
        <v>0.999999977701307</v>
      </c>
    </row>
    <row r="6612" spans="1:40" x14ac:dyDescent="0.3">
      <c r="A6612" t="str">
        <f>"20200111160641348"</f>
        <v>20200111160641348</v>
      </c>
      <c r="B6612" t="str">
        <f>"1578730001339719"</f>
        <v>1578730001339719</v>
      </c>
      <c r="C6612" t="s">
        <v>40</v>
      </c>
      <c r="D6612">
        <v>5.1634859999999998</v>
      </c>
      <c r="E6612">
        <v>0.58048730000000004</v>
      </c>
      <c r="F6612" t="s">
        <v>75</v>
      </c>
      <c r="G6612">
        <v>-178.20820000000001</v>
      </c>
      <c r="H6612" s="1">
        <v>-4.2770440000000002E-6</v>
      </c>
      <c r="I6612">
        <v>129.71780000000001</v>
      </c>
      <c r="J6612">
        <v>-186.60040000000001</v>
      </c>
      <c r="K6612">
        <v>1.1074550000000001</v>
      </c>
      <c r="L6612">
        <v>123.9541</v>
      </c>
      <c r="M6612">
        <v>0.55855219999999906</v>
      </c>
      <c r="N6612">
        <v>0</v>
      </c>
      <c r="O6612">
        <v>0.82935270000000005</v>
      </c>
      <c r="P6612">
        <v>0.69111739999999999</v>
      </c>
      <c r="Q6612">
        <v>-2.1511200000000001E-2</v>
      </c>
      <c r="R6612">
        <v>0.72242240000000002</v>
      </c>
      <c r="S6612">
        <v>2.5142519999999999</v>
      </c>
      <c r="T6612">
        <v>-0.32918380000000003</v>
      </c>
      <c r="U6612">
        <v>1.740448</v>
      </c>
      <c r="V6612">
        <v>0.16962140000000001</v>
      </c>
      <c r="W6612">
        <v>-9.0931180000000007E-3</v>
      </c>
      <c r="X6612">
        <v>0.98546739999999999</v>
      </c>
      <c r="Y6612">
        <v>0.35918909999999998</v>
      </c>
      <c r="Z6612">
        <v>-0.10001210000000001</v>
      </c>
      <c r="AA6612">
        <v>0.92789049999999995</v>
      </c>
      <c r="AB6612">
        <v>20</v>
      </c>
      <c r="AC6612">
        <v>8.3922000000000008</v>
      </c>
      <c r="AD6612">
        <v>-1.1074592770439999</v>
      </c>
      <c r="AE6612">
        <v>5.7637000000000098</v>
      </c>
      <c r="AF6612">
        <v>3.6973779424337598</v>
      </c>
      <c r="AG6612">
        <v>-1.1074592770439999</v>
      </c>
      <c r="AH6612">
        <v>9.3578086997140506</v>
      </c>
      <c r="AI6612">
        <v>96.2810384577554</v>
      </c>
      <c r="AJ6612">
        <v>68.440453458750895</v>
      </c>
      <c r="AK6612">
        <v>10.1225319638888</v>
      </c>
      <c r="AL6612">
        <v>90.521004437834407</v>
      </c>
      <c r="AM6612">
        <v>80.233785583397704</v>
      </c>
      <c r="AN6612">
        <v>1.0000000502978299</v>
      </c>
    </row>
    <row r="6613" spans="1:40" x14ac:dyDescent="0.3">
      <c r="A6613" t="str">
        <f>"20200111160641360"</f>
        <v>20200111160641360</v>
      </c>
      <c r="B6613" t="str">
        <f>"1578730001349480"</f>
        <v>1578730001349480</v>
      </c>
      <c r="C6613" t="s">
        <v>40</v>
      </c>
      <c r="D6613">
        <v>5.1643689999999998</v>
      </c>
      <c r="E6613">
        <v>0.58020850000000002</v>
      </c>
      <c r="F6613" t="s">
        <v>75</v>
      </c>
      <c r="G6613">
        <v>-178.2724</v>
      </c>
      <c r="H6613" s="1">
        <v>-4.3123600000000002E-6</v>
      </c>
      <c r="I6613">
        <v>129.69550000000001</v>
      </c>
      <c r="J6613">
        <v>-186.5367</v>
      </c>
      <c r="K6613">
        <v>1.1075820000000001</v>
      </c>
      <c r="L6613">
        <v>124.0423</v>
      </c>
      <c r="M6613">
        <v>0.5610986</v>
      </c>
      <c r="N6613">
        <v>0</v>
      </c>
      <c r="O6613">
        <v>0.82763229999999999</v>
      </c>
      <c r="P6613">
        <v>0.69314339999999997</v>
      </c>
      <c r="Q6613">
        <v>-2.3502439999999999E-2</v>
      </c>
      <c r="R6613">
        <v>0.72041650000000002</v>
      </c>
      <c r="S6613">
        <v>2.5167540000000002</v>
      </c>
      <c r="T6613">
        <v>-0.33467730000000001</v>
      </c>
      <c r="U6613">
        <v>1.735077</v>
      </c>
      <c r="V6613">
        <v>0.16938349999999999</v>
      </c>
      <c r="W6613">
        <v>-1.1042400000000001E-2</v>
      </c>
      <c r="X6613">
        <v>0.98548840000000004</v>
      </c>
      <c r="Y6613">
        <v>0.35794100000000001</v>
      </c>
      <c r="Z6613">
        <v>-0.10152120000000001</v>
      </c>
      <c r="AA6613">
        <v>0.9282089</v>
      </c>
      <c r="AB6613">
        <v>20</v>
      </c>
      <c r="AC6613">
        <v>8.2642999999999898</v>
      </c>
      <c r="AD6613">
        <v>-1.10758631236</v>
      </c>
      <c r="AE6613">
        <v>5.6532000000000098</v>
      </c>
      <c r="AF6613">
        <v>3.6238123318482498</v>
      </c>
      <c r="AG6613">
        <v>-1.10758631236</v>
      </c>
      <c r="AH6613">
        <v>9.2041361267031796</v>
      </c>
      <c r="AI6613">
        <v>96.388792183013294</v>
      </c>
      <c r="AJ6613">
        <v>68.509664491450394</v>
      </c>
      <c r="AK6613">
        <v>9.9536367773123597</v>
      </c>
      <c r="AL6613">
        <v>90.632695745203407</v>
      </c>
      <c r="AM6613">
        <v>80.247423644854393</v>
      </c>
      <c r="AN6613">
        <v>1.00000004560228</v>
      </c>
    </row>
    <row r="6614" spans="1:40" x14ac:dyDescent="0.3">
      <c r="A6614" t="str">
        <f>"20200111160641371"</f>
        <v>20200111160641371</v>
      </c>
      <c r="B6614" t="str">
        <f>"1578730001368999"</f>
        <v>1578730001368999</v>
      </c>
      <c r="C6614" t="s">
        <v>40</v>
      </c>
      <c r="D6614">
        <v>5.1977310000000001</v>
      </c>
      <c r="E6614">
        <v>0.57990819999999998</v>
      </c>
      <c r="F6614" t="s">
        <v>75</v>
      </c>
      <c r="G6614">
        <v>-178.34559999999999</v>
      </c>
      <c r="H6614" s="1">
        <v>-4.3502710000000003E-6</v>
      </c>
      <c r="I6614">
        <v>129.66380000000001</v>
      </c>
      <c r="J6614">
        <v>-186.47659999999999</v>
      </c>
      <c r="K6614">
        <v>1.107702</v>
      </c>
      <c r="L6614">
        <v>124.125</v>
      </c>
      <c r="M6614">
        <v>0.56337760000000003</v>
      </c>
      <c r="N6614">
        <v>0</v>
      </c>
      <c r="O6614">
        <v>0.82608289999999995</v>
      </c>
      <c r="P6614">
        <v>0.69478139999999999</v>
      </c>
      <c r="Q6614">
        <v>-2.5426250000000001E-2</v>
      </c>
      <c r="R6614">
        <v>0.71877150000000001</v>
      </c>
      <c r="S6614">
        <v>2.5194700000000001</v>
      </c>
      <c r="T6614">
        <v>-0.34067979999999998</v>
      </c>
      <c r="U6614">
        <v>1.72908</v>
      </c>
      <c r="V6614">
        <v>0.16893729999999901</v>
      </c>
      <c r="W6614">
        <v>-1.292601E-2</v>
      </c>
      <c r="X6614">
        <v>0.98554209999999998</v>
      </c>
      <c r="Y6614">
        <v>0.35716229999999999</v>
      </c>
      <c r="Z6614">
        <v>-0.1032124</v>
      </c>
      <c r="AA6614">
        <v>0.92832230000000004</v>
      </c>
      <c r="AB6614">
        <v>20</v>
      </c>
      <c r="AC6614">
        <v>8.1310000000000002</v>
      </c>
      <c r="AD6614">
        <v>-1.1077063502710001</v>
      </c>
      <c r="AE6614">
        <v>5.5388000000000002</v>
      </c>
      <c r="AF6614">
        <v>3.5517655273541799</v>
      </c>
      <c r="AG6614">
        <v>-1.1077063502710001</v>
      </c>
      <c r="AH6614">
        <v>9.0425819885419791</v>
      </c>
      <c r="AI6614">
        <v>96.504713389106499</v>
      </c>
      <c r="AJ6614">
        <v>68.555982036189306</v>
      </c>
      <c r="AK6614">
        <v>9.7780540364244199</v>
      </c>
      <c r="AL6614">
        <v>90.740626398213607</v>
      </c>
      <c r="AM6614">
        <v>80.273142898230702</v>
      </c>
      <c r="AN6614">
        <v>1.0000000619691001</v>
      </c>
    </row>
    <row r="6615" spans="1:40" x14ac:dyDescent="0.3">
      <c r="A6615" t="str">
        <f>"20200111160641384"</f>
        <v>20200111160641384</v>
      </c>
      <c r="B6615" t="str">
        <f>"1578730001379735"</f>
        <v>1578730001379735</v>
      </c>
      <c r="C6615" t="s">
        <v>40</v>
      </c>
      <c r="D6615">
        <v>5.3115589999999999</v>
      </c>
      <c r="E6615">
        <v>0.57396829999999999</v>
      </c>
      <c r="F6615" t="s">
        <v>75</v>
      </c>
      <c r="G6615">
        <v>-178.42320000000001</v>
      </c>
      <c r="H6615" s="1">
        <v>-4.3916399999999999E-6</v>
      </c>
      <c r="I6615">
        <v>129.63329999999999</v>
      </c>
      <c r="J6615">
        <v>-186.4092</v>
      </c>
      <c r="K6615">
        <v>1.1078349999999999</v>
      </c>
      <c r="L6615">
        <v>124.2178</v>
      </c>
      <c r="M6615">
        <v>0.56587319999999997</v>
      </c>
      <c r="N6615">
        <v>0</v>
      </c>
      <c r="O6615">
        <v>0.82437569999999905</v>
      </c>
      <c r="P6615">
        <v>0.69671149999999904</v>
      </c>
      <c r="Q6615">
        <v>-2.7315249999999999E-2</v>
      </c>
      <c r="R6615">
        <v>0.71683129999999995</v>
      </c>
      <c r="S6615">
        <v>2.52121</v>
      </c>
      <c r="T6615">
        <v>-0.34677859999999899</v>
      </c>
      <c r="U6615">
        <v>1.7244109999999999</v>
      </c>
      <c r="V6615">
        <v>0.16863819999999999</v>
      </c>
      <c r="W6615">
        <v>-1.477203E-2</v>
      </c>
      <c r="X6615">
        <v>0.98556730000000003</v>
      </c>
      <c r="Y6615">
        <v>0.35563050000000002</v>
      </c>
      <c r="Z6615">
        <v>-0.1048888</v>
      </c>
      <c r="AA6615">
        <v>0.92872239999999995</v>
      </c>
      <c r="AB6615">
        <v>20</v>
      </c>
      <c r="AC6615">
        <v>7.98599999999999</v>
      </c>
      <c r="AD6615">
        <v>-1.10783939164</v>
      </c>
      <c r="AE6615">
        <v>5.41549999999999</v>
      </c>
      <c r="AF6615">
        <v>3.4735277544057102</v>
      </c>
      <c r="AG6615">
        <v>-1.10783939164</v>
      </c>
      <c r="AH6615">
        <v>8.8674416476480999</v>
      </c>
      <c r="AI6615">
        <v>96.635224382059107</v>
      </c>
      <c r="AJ6615">
        <v>68.6088762434307</v>
      </c>
      <c r="AK6615">
        <v>9.5877121646793295</v>
      </c>
      <c r="AL6615">
        <v>90.846405776207305</v>
      </c>
      <c r="AM6615">
        <v>80.290279520044294</v>
      </c>
      <c r="AN6615">
        <v>0.99999997909942495</v>
      </c>
    </row>
    <row r="6616" spans="1:40" x14ac:dyDescent="0.3">
      <c r="A6616" t="str">
        <f>"20200111160641396"</f>
        <v>20200111160641396</v>
      </c>
      <c r="B6616" t="str">
        <f>"1578730001389495"</f>
        <v>1578730001389495</v>
      </c>
      <c r="C6616" t="s">
        <v>40</v>
      </c>
      <c r="D6616">
        <v>5.4570850000000002</v>
      </c>
      <c r="E6616">
        <v>0.57396829999999999</v>
      </c>
      <c r="F6616" t="s">
        <v>75</v>
      </c>
      <c r="G6616">
        <v>-178.37880000000001</v>
      </c>
      <c r="H6616" s="1">
        <v>-4.4460829999999998E-6</v>
      </c>
      <c r="I6616">
        <v>129.85650000000001</v>
      </c>
      <c r="J6616">
        <v>-186.3416</v>
      </c>
      <c r="K6616">
        <v>1.1079680000000001</v>
      </c>
      <c r="L6616">
        <v>124.31019999999999</v>
      </c>
      <c r="M6616">
        <v>0.56818740000000001</v>
      </c>
      <c r="N6616">
        <v>0</v>
      </c>
      <c r="O6616">
        <v>0.82278269999999998</v>
      </c>
      <c r="P6616">
        <v>0.69838559999999905</v>
      </c>
      <c r="Q6616">
        <v>-2.8971520000000001E-2</v>
      </c>
      <c r="R6616">
        <v>0.71513519999999997</v>
      </c>
      <c r="S6616">
        <v>2.4920810000000002</v>
      </c>
      <c r="T6616">
        <v>-0.34379929999999997</v>
      </c>
      <c r="U6616">
        <v>1.7498779999999901</v>
      </c>
      <c r="V6616">
        <v>0.1682051</v>
      </c>
      <c r="W6616">
        <v>-1.6385480000000001E-2</v>
      </c>
      <c r="X6616">
        <v>0.98561580000000004</v>
      </c>
      <c r="Y6616">
        <v>0.34164529999999999</v>
      </c>
      <c r="Z6616">
        <v>-0.10369109999999999</v>
      </c>
      <c r="AA6616">
        <v>0.93409129999999996</v>
      </c>
      <c r="AB6616">
        <v>20</v>
      </c>
      <c r="AC6616">
        <v>7.9627999999999801</v>
      </c>
      <c r="AD6616">
        <v>-1.1079724460830001</v>
      </c>
      <c r="AE6616">
        <v>5.5463000000000102</v>
      </c>
      <c r="AF6616">
        <v>3.3568807851446998</v>
      </c>
      <c r="AG6616">
        <v>-1.1079724460830001</v>
      </c>
      <c r="AH6616">
        <v>8.9716755591492099</v>
      </c>
      <c r="AI6616">
        <v>96.597816246536397</v>
      </c>
      <c r="AJ6616">
        <v>69.485944675575098</v>
      </c>
      <c r="AK6616">
        <v>9.6429878090552492</v>
      </c>
      <c r="AL6616">
        <v>90.938860889905797</v>
      </c>
      <c r="AM6616">
        <v>80.315210866034406</v>
      </c>
      <c r="AN6616">
        <v>0.99999997241523897</v>
      </c>
    </row>
    <row r="6617" spans="1:40" x14ac:dyDescent="0.3">
      <c r="A6617" t="str">
        <f>"20200111160641408"</f>
        <v>20200111160641408</v>
      </c>
      <c r="B6617" t="str">
        <f>"1578730001399256"</f>
        <v>1578730001399256</v>
      </c>
      <c r="C6617" t="s">
        <v>40</v>
      </c>
      <c r="D6617">
        <v>5.2570730000000001</v>
      </c>
      <c r="E6617">
        <v>0.57282449999999996</v>
      </c>
      <c r="F6617" t="s">
        <v>75</v>
      </c>
      <c r="G6617">
        <v>-178.41249999999999</v>
      </c>
      <c r="H6617" s="1">
        <v>-4.4660119999999996E-6</v>
      </c>
      <c r="I6617">
        <v>129.8485</v>
      </c>
      <c r="J6617">
        <v>-186.2843</v>
      </c>
      <c r="K6617">
        <v>1.108074</v>
      </c>
      <c r="L6617">
        <v>124.3884</v>
      </c>
      <c r="M6617">
        <v>0.57009270000000001</v>
      </c>
      <c r="N6617">
        <v>0</v>
      </c>
      <c r="O6617">
        <v>0.82146399999999997</v>
      </c>
      <c r="P6617">
        <v>0.69989969999999901</v>
      </c>
      <c r="Q6617">
        <v>-3.02913E-2</v>
      </c>
      <c r="R6617">
        <v>0.71359849999999903</v>
      </c>
      <c r="S6617">
        <v>2.4959720000000001</v>
      </c>
      <c r="T6617">
        <v>-0.34877239999999998</v>
      </c>
      <c r="U6617">
        <v>1.743393</v>
      </c>
      <c r="V6617">
        <v>0.16803799999999999</v>
      </c>
      <c r="W6617">
        <v>-1.7671579999999999E-2</v>
      </c>
      <c r="X6617">
        <v>0.98562209999999995</v>
      </c>
      <c r="Y6617">
        <v>0.3416362</v>
      </c>
      <c r="Z6617">
        <v>-0.1050827</v>
      </c>
      <c r="AA6617">
        <v>0.93393919999999997</v>
      </c>
      <c r="AB6617">
        <v>20</v>
      </c>
      <c r="AC6617">
        <v>7.8718000000000004</v>
      </c>
      <c r="AD6617">
        <v>-1.108078466012</v>
      </c>
      <c r="AE6617">
        <v>5.46009999999999</v>
      </c>
      <c r="AF6617">
        <v>3.3096797568314802</v>
      </c>
      <c r="AG6617">
        <v>-1.108078466012</v>
      </c>
      <c r="AH6617">
        <v>8.8553196541178796</v>
      </c>
      <c r="AI6617">
        <v>96.685263185172403</v>
      </c>
      <c r="AJ6617">
        <v>69.506747551625097</v>
      </c>
      <c r="AK6617">
        <v>9.5183246507054005</v>
      </c>
      <c r="AL6617">
        <v>91.012559668188402</v>
      </c>
      <c r="AM6617">
        <v>80.3247107495812</v>
      </c>
      <c r="AN6617">
        <v>0.99999998909605303</v>
      </c>
    </row>
    <row r="6618" spans="1:40" x14ac:dyDescent="0.3">
      <c r="A6618" t="str">
        <f>"20200111160641422"</f>
        <v>20200111160641422</v>
      </c>
      <c r="B6618" t="str">
        <f>"1578730001419751"</f>
        <v>1578730001419751</v>
      </c>
      <c r="C6618" t="s">
        <v>40</v>
      </c>
      <c r="D6618">
        <v>5.1880550000000003</v>
      </c>
      <c r="E6618">
        <v>0.57146280000000005</v>
      </c>
      <c r="F6618" t="s">
        <v>75</v>
      </c>
      <c r="G6618">
        <v>-178.3125</v>
      </c>
      <c r="H6618" s="1">
        <v>-4.4416570000000001E-6</v>
      </c>
      <c r="I6618">
        <v>129.9641</v>
      </c>
      <c r="J6618">
        <v>-186.20160000000001</v>
      </c>
      <c r="K6618">
        <v>1.1082320000000001</v>
      </c>
      <c r="L6618">
        <v>124.5009</v>
      </c>
      <c r="M6618">
        <v>0.57270169999999998</v>
      </c>
      <c r="N6618">
        <v>0</v>
      </c>
      <c r="O6618">
        <v>0.81964760000000003</v>
      </c>
      <c r="P6618">
        <v>0.70247099999999996</v>
      </c>
      <c r="Q6618">
        <v>-3.124799E-2</v>
      </c>
      <c r="R6618">
        <v>0.71102609999999999</v>
      </c>
      <c r="S6618">
        <v>2.4933320000000001</v>
      </c>
      <c r="T6618">
        <v>-0.34657520000000003</v>
      </c>
      <c r="U6618">
        <v>1.7438959999999999</v>
      </c>
      <c r="V6618">
        <v>0.16848729999999901</v>
      </c>
      <c r="W6618">
        <v>-1.8587590000000001E-2</v>
      </c>
      <c r="X6618">
        <v>0.98552859999999998</v>
      </c>
      <c r="Y6618">
        <v>0.33813720000000003</v>
      </c>
      <c r="Z6618">
        <v>-0.10421320000000001</v>
      </c>
      <c r="AA6618">
        <v>0.9353089</v>
      </c>
      <c r="AB6618">
        <v>20</v>
      </c>
      <c r="AC6618">
        <v>7.8891000000000098</v>
      </c>
      <c r="AD6618">
        <v>-1.1082364416570001</v>
      </c>
      <c r="AE6618">
        <v>5.4631999999999996</v>
      </c>
      <c r="AF6618">
        <v>3.29388343451462</v>
      </c>
      <c r="AG6618">
        <v>-1.1082364416570001</v>
      </c>
      <c r="AH6618">
        <v>8.8784397664433392</v>
      </c>
      <c r="AI6618">
        <v>96.674904749421202</v>
      </c>
      <c r="AJ6618">
        <v>69.645246711827994</v>
      </c>
      <c r="AK6618">
        <v>9.5343876980721092</v>
      </c>
      <c r="AL6618">
        <v>91.0650517452613</v>
      </c>
      <c r="AM6618">
        <v>80.298429036497396</v>
      </c>
      <c r="AN6618">
        <v>1.0000000450906199</v>
      </c>
    </row>
    <row r="6619" spans="1:40" x14ac:dyDescent="0.3">
      <c r="A6619" t="str">
        <f>"20200111160641434"</f>
        <v>20200111160641434</v>
      </c>
      <c r="B6619" t="str">
        <f>"1578730001429511"</f>
        <v>1578730001429511</v>
      </c>
      <c r="C6619" t="s">
        <v>40</v>
      </c>
      <c r="D6619">
        <v>5.4858379999999904</v>
      </c>
      <c r="E6619">
        <v>0.57141299999999995</v>
      </c>
      <c r="F6619" t="s">
        <v>75</v>
      </c>
      <c r="G6619">
        <v>-177.9786</v>
      </c>
      <c r="H6619" s="1">
        <v>-4.3209490000000003E-6</v>
      </c>
      <c r="I6619">
        <v>130.24619999999999</v>
      </c>
      <c r="J6619">
        <v>-186.1422</v>
      </c>
      <c r="K6619">
        <v>1.1083459999999901</v>
      </c>
      <c r="L6619">
        <v>124.5812</v>
      </c>
      <c r="M6619">
        <v>0.57443699999999998</v>
      </c>
      <c r="N6619">
        <v>0</v>
      </c>
      <c r="O6619">
        <v>0.81843259999999995</v>
      </c>
      <c r="P6619">
        <v>0.70441899999999902</v>
      </c>
      <c r="Q6619">
        <v>-3.0711329999999998E-2</v>
      </c>
      <c r="R6619">
        <v>0.70911969999999902</v>
      </c>
      <c r="S6619">
        <v>2.4927830000000002</v>
      </c>
      <c r="T6619">
        <v>-0.33596090000000001</v>
      </c>
      <c r="U6619">
        <v>1.741684</v>
      </c>
      <c r="V6619">
        <v>0.1690971</v>
      </c>
      <c r="W6619">
        <v>-1.8025949999999999E-2</v>
      </c>
      <c r="X6619">
        <v>0.98543449999999999</v>
      </c>
      <c r="Y6619">
        <v>0.33692749999999999</v>
      </c>
      <c r="Z6619">
        <v>-0.10096670000000001</v>
      </c>
      <c r="AA6619">
        <v>0.93610130000000003</v>
      </c>
      <c r="AB6619">
        <v>20</v>
      </c>
      <c r="AC6619">
        <v>8.1636000000000006</v>
      </c>
      <c r="AD6619">
        <v>-1.10835032094899</v>
      </c>
      <c r="AE6619">
        <v>5.6649999999999903</v>
      </c>
      <c r="AF6619">
        <v>3.3853772747750299</v>
      </c>
      <c r="AG6619">
        <v>-1.10835032094899</v>
      </c>
      <c r="AH6619">
        <v>9.2121676115898996</v>
      </c>
      <c r="AI6619">
        <v>96.443094821081999</v>
      </c>
      <c r="AJ6619">
        <v>69.822136770215096</v>
      </c>
      <c r="AK6619">
        <v>9.8769049722338096</v>
      </c>
      <c r="AL6619">
        <v>91.032866840012602</v>
      </c>
      <c r="AM6619">
        <v>80.263075427873503</v>
      </c>
      <c r="AN6619">
        <v>0.99999995894603</v>
      </c>
    </row>
    <row r="6620" spans="1:40" x14ac:dyDescent="0.3">
      <c r="A6620" t="str">
        <f>"20200111160641446"</f>
        <v>20200111160641446</v>
      </c>
      <c r="B6620" t="str">
        <f>"1578730001439271"</f>
        <v>1578730001439271</v>
      </c>
      <c r="C6620" t="s">
        <v>40</v>
      </c>
      <c r="D6620">
        <v>5.2295930000000004</v>
      </c>
      <c r="E6620">
        <v>0.57141299999999995</v>
      </c>
      <c r="F6620" t="s">
        <v>75</v>
      </c>
      <c r="G6620">
        <v>-177.7629</v>
      </c>
      <c r="H6620" s="1">
        <v>-4.233262E-6</v>
      </c>
      <c r="I6620">
        <v>130.40289999999999</v>
      </c>
      <c r="J6620">
        <v>-186.07669999999999</v>
      </c>
      <c r="K6620">
        <v>1.108466</v>
      </c>
      <c r="L6620">
        <v>124.6698</v>
      </c>
      <c r="M6620">
        <v>0.5763104</v>
      </c>
      <c r="N6620">
        <v>0</v>
      </c>
      <c r="O6620">
        <v>0.81711480000000003</v>
      </c>
      <c r="P6620">
        <v>0.7067426</v>
      </c>
      <c r="Q6620">
        <v>-2.9962240000000001E-2</v>
      </c>
      <c r="R6620">
        <v>0.70683600000000002</v>
      </c>
      <c r="S6620">
        <v>2.4976039999999999</v>
      </c>
      <c r="T6620">
        <v>-0.33036209999999899</v>
      </c>
      <c r="U6620">
        <v>1.7352449999999999</v>
      </c>
      <c r="V6620">
        <v>0.17006399999999999</v>
      </c>
      <c r="W6620">
        <v>-1.7251470000000001E-2</v>
      </c>
      <c r="X6620">
        <v>0.98528199999999999</v>
      </c>
      <c r="Y6620">
        <v>0.33741700000000002</v>
      </c>
      <c r="Z6620">
        <v>-9.9200620000000003E-2</v>
      </c>
      <c r="AA6620">
        <v>0.9361138</v>
      </c>
      <c r="AB6620">
        <v>20</v>
      </c>
      <c r="AC6620">
        <v>8.3137999999999792</v>
      </c>
      <c r="AD6620">
        <v>-1.108470233262</v>
      </c>
      <c r="AE6620">
        <v>5.7330999999999896</v>
      </c>
      <c r="AF6620">
        <v>3.4480739343768199</v>
      </c>
      <c r="AG6620">
        <v>-1.108470233262</v>
      </c>
      <c r="AH6620">
        <v>9.3640154720922801</v>
      </c>
      <c r="AI6620">
        <v>96.338650808973298</v>
      </c>
      <c r="AJ6620">
        <v>69.784981397078099</v>
      </c>
      <c r="AK6620">
        <v>10.040055073381801</v>
      </c>
      <c r="AL6620">
        <v>90.988485458151104</v>
      </c>
      <c r="AM6620">
        <v>80.206988083224005</v>
      </c>
      <c r="AN6620">
        <v>0.99999999841858001</v>
      </c>
    </row>
    <row r="6621" spans="1:40" x14ac:dyDescent="0.3">
      <c r="A6621" t="str">
        <f>"20200111160641469"</f>
        <v>20200111160641469</v>
      </c>
      <c r="B6621" t="str">
        <f>"1578730001459768"</f>
        <v>1578730001459768</v>
      </c>
      <c r="C6621" t="s">
        <v>40</v>
      </c>
      <c r="D6621">
        <v>5.3887049999999999</v>
      </c>
      <c r="E6621">
        <v>0.6121624</v>
      </c>
      <c r="F6621" t="s">
        <v>75</v>
      </c>
      <c r="G6621">
        <v>-177.62649999999999</v>
      </c>
      <c r="H6621" s="1">
        <v>-4.177329E-6</v>
      </c>
      <c r="I6621">
        <v>130.50059999999999</v>
      </c>
      <c r="J6621">
        <v>-185.95500000000001</v>
      </c>
      <c r="K6621">
        <v>1.1086720000000001</v>
      </c>
      <c r="L6621">
        <v>124.83369999999999</v>
      </c>
      <c r="M6621">
        <v>0.57953009999999905</v>
      </c>
      <c r="N6621">
        <v>0</v>
      </c>
      <c r="O6621">
        <v>0.81483499999999998</v>
      </c>
      <c r="P6621">
        <v>0.71129299999999995</v>
      </c>
      <c r="Q6621">
        <v>-2.9070370000000002E-2</v>
      </c>
      <c r="R6621">
        <v>0.70229419999999898</v>
      </c>
      <c r="S6621">
        <v>2.5033259999999999</v>
      </c>
      <c r="T6621">
        <v>-0.32838079999999997</v>
      </c>
      <c r="U6621">
        <v>1.727341</v>
      </c>
      <c r="V6621">
        <v>0.1725293</v>
      </c>
      <c r="W6621">
        <v>-1.6323319999999999E-2</v>
      </c>
      <c r="X6621">
        <v>0.98486910000000005</v>
      </c>
      <c r="Y6621">
        <v>0.33677829999999997</v>
      </c>
      <c r="Z6621">
        <v>-9.8398799999999995E-2</v>
      </c>
      <c r="AA6621">
        <v>0.93642829999999999</v>
      </c>
      <c r="AB6621">
        <v>20</v>
      </c>
      <c r="AC6621">
        <v>8.3285000000000196</v>
      </c>
      <c r="AD6621">
        <v>-1.1086761773289999</v>
      </c>
      <c r="AE6621">
        <v>5.6668999999999903</v>
      </c>
      <c r="AF6621">
        <v>3.4606274566250899</v>
      </c>
      <c r="AG6621">
        <v>-1.1086761773289999</v>
      </c>
      <c r="AH6621">
        <v>9.3320605647393897</v>
      </c>
      <c r="AI6621">
        <v>96.356006371343497</v>
      </c>
      <c r="AJ6621">
        <v>69.653603587100307</v>
      </c>
      <c r="AK6621">
        <v>10.014612306209701</v>
      </c>
      <c r="AL6621">
        <v>90.935298903350898</v>
      </c>
      <c r="AM6621">
        <v>80.063751907820802</v>
      </c>
      <c r="AN6621">
        <v>0.99999997713456101</v>
      </c>
    </row>
    <row r="6622" spans="1:40" x14ac:dyDescent="0.3">
      <c r="A6622" t="str">
        <f>"20200111160641493"</f>
        <v>20200111160641493</v>
      </c>
      <c r="B6622" t="str">
        <f>"1578730001489048"</f>
        <v>1578730001489048</v>
      </c>
      <c r="C6622" t="s">
        <v>40</v>
      </c>
      <c r="D6622">
        <v>5.618061</v>
      </c>
      <c r="E6622">
        <v>0.620722</v>
      </c>
      <c r="F6622" t="s">
        <v>75</v>
      </c>
      <c r="G6622">
        <v>-177.4247</v>
      </c>
      <c r="H6622">
        <v>7.9987680000000005E-2</v>
      </c>
      <c r="I6622">
        <v>129.4332</v>
      </c>
      <c r="J6622">
        <v>-185.8236</v>
      </c>
      <c r="K6622">
        <v>1.1088439999999999</v>
      </c>
      <c r="L6622">
        <v>125.0098</v>
      </c>
      <c r="M6622">
        <v>0.58275569999999999</v>
      </c>
      <c r="N6622">
        <v>0</v>
      </c>
      <c r="O6622">
        <v>0.81253169999999897</v>
      </c>
      <c r="P6622">
        <v>0.71642669999999997</v>
      </c>
      <c r="Q6622">
        <v>-2.744889E-2</v>
      </c>
      <c r="R6622">
        <v>0.69712220000000003</v>
      </c>
      <c r="S6622">
        <v>2.7435459999999998</v>
      </c>
      <c r="T6622">
        <v>-0.33084960000000002</v>
      </c>
      <c r="U6622">
        <v>1.4792940000000001</v>
      </c>
      <c r="V6622">
        <v>0.17582449999999999</v>
      </c>
      <c r="W6622">
        <v>-1.468175E-2</v>
      </c>
      <c r="X6622">
        <v>0.98431210000000002</v>
      </c>
      <c r="Y6622">
        <v>0.433423</v>
      </c>
      <c r="Z6622">
        <v>-9.994364E-2</v>
      </c>
      <c r="AA6622">
        <v>0.89563150000000002</v>
      </c>
      <c r="AB6622">
        <v>20</v>
      </c>
      <c r="AC6622">
        <v>8.3988999999999905</v>
      </c>
      <c r="AD6622">
        <v>-1.02885632</v>
      </c>
      <c r="AE6622">
        <v>4.4234</v>
      </c>
      <c r="AF6622">
        <v>4.1976977002043299</v>
      </c>
      <c r="AG6622">
        <v>-1.02885632</v>
      </c>
      <c r="AH6622">
        <v>8.3908856567331807</v>
      </c>
      <c r="AI6622">
        <v>96.258007055899796</v>
      </c>
      <c r="AJ6622">
        <v>63.422632530496102</v>
      </c>
      <c r="AK6622">
        <v>9.4385472088598092</v>
      </c>
      <c r="AL6622">
        <v>90.841232484552805</v>
      </c>
      <c r="AM6622">
        <v>79.872255027519401</v>
      </c>
      <c r="AN6622">
        <v>1.0000000593948499</v>
      </c>
    </row>
    <row r="6623" spans="1:40" x14ac:dyDescent="0.3">
      <c r="A6623" t="str">
        <f>"20200111160641505"</f>
        <v>20200111160641505</v>
      </c>
      <c r="B6623" t="str">
        <f>"1578730001498993"</f>
        <v>1578730001498993</v>
      </c>
      <c r="C6623" t="s">
        <v>40</v>
      </c>
      <c r="D6623">
        <v>5.4438449999999996</v>
      </c>
      <c r="E6623">
        <v>0.62129969999999901</v>
      </c>
      <c r="F6623" t="s">
        <v>75</v>
      </c>
      <c r="G6623">
        <v>-176.94409999999999</v>
      </c>
      <c r="H6623">
        <v>7.9987799999999998E-2</v>
      </c>
      <c r="I6623">
        <v>129.47899999999899</v>
      </c>
      <c r="J6623">
        <v>-185.7602</v>
      </c>
      <c r="K6623">
        <v>1.1089089999999999</v>
      </c>
      <c r="L6623">
        <v>125.0945</v>
      </c>
      <c r="M6623">
        <v>0.58425209999999905</v>
      </c>
      <c r="N6623">
        <v>0</v>
      </c>
      <c r="O6623">
        <v>0.81145659999999997</v>
      </c>
      <c r="P6623">
        <v>0.71911059999999905</v>
      </c>
      <c r="Q6623">
        <v>-2.6804049999999999E-2</v>
      </c>
      <c r="R6623">
        <v>0.69437850000000001</v>
      </c>
      <c r="S6623">
        <v>2.8024749999999998</v>
      </c>
      <c r="T6623">
        <v>-0.32471899999999998</v>
      </c>
      <c r="U6623">
        <v>1.4105379999999901</v>
      </c>
      <c r="V6623">
        <v>0.17779690000000001</v>
      </c>
      <c r="W6623">
        <v>-1.4035580000000001E-2</v>
      </c>
      <c r="X6623">
        <v>0.98396709999999998</v>
      </c>
      <c r="Y6623">
        <v>0.45707140000000002</v>
      </c>
      <c r="Z6623">
        <v>-9.8239980000000005E-2</v>
      </c>
      <c r="AA6623">
        <v>0.88398790000000005</v>
      </c>
      <c r="AB6623">
        <v>20</v>
      </c>
      <c r="AC6623">
        <v>8.8161000000000005</v>
      </c>
      <c r="AD6623">
        <v>-1.0289212000000001</v>
      </c>
      <c r="AE6623">
        <v>4.3844999999999796</v>
      </c>
      <c r="AF6623">
        <v>4.5430494814331501</v>
      </c>
      <c r="AG6623">
        <v>-1.0289212000000001</v>
      </c>
      <c r="AH6623">
        <v>8.6153924893626108</v>
      </c>
      <c r="AI6623">
        <v>96.030392367591304</v>
      </c>
      <c r="AJ6623">
        <v>62.196522294784302</v>
      </c>
      <c r="AK6623">
        <v>9.7940270150906308</v>
      </c>
      <c r="AL6623">
        <v>90.804205907326505</v>
      </c>
      <c r="AM6623">
        <v>79.757518456190098</v>
      </c>
      <c r="AN6623">
        <v>0.99999999451897803</v>
      </c>
    </row>
    <row r="6624" spans="1:40" x14ac:dyDescent="0.3">
      <c r="A6624" t="str">
        <f>"20200111160641529"</f>
        <v>20200111160641529</v>
      </c>
      <c r="B6624" t="str">
        <f>"1578730001519483"</f>
        <v>1578730001519483</v>
      </c>
      <c r="C6624" t="s">
        <v>40</v>
      </c>
      <c r="D6624">
        <v>5.3901199999999996</v>
      </c>
      <c r="E6624">
        <v>0.62186549999999996</v>
      </c>
      <c r="F6624" t="s">
        <v>75</v>
      </c>
      <c r="G6624">
        <v>-176.96850000000001</v>
      </c>
      <c r="H6624">
        <v>7.9987810000000006E-2</v>
      </c>
      <c r="I6624">
        <v>129.46420000000001</v>
      </c>
      <c r="J6624">
        <v>-185.63470000000001</v>
      </c>
      <c r="K6624">
        <v>1.1089789999999999</v>
      </c>
      <c r="L6624">
        <v>125.26130000000001</v>
      </c>
      <c r="M6624">
        <v>0.58709579999999995</v>
      </c>
      <c r="N6624">
        <v>0</v>
      </c>
      <c r="O6624">
        <v>0.80940190000000001</v>
      </c>
      <c r="P6624">
        <v>0.7245646</v>
      </c>
      <c r="Q6624">
        <v>-2.5140570000000001E-2</v>
      </c>
      <c r="R6624">
        <v>0.68874829999999998</v>
      </c>
      <c r="S6624">
        <v>2.810638</v>
      </c>
      <c r="T6624">
        <v>-0.32893979999999901</v>
      </c>
      <c r="U6624">
        <v>1.396973</v>
      </c>
      <c r="V6624">
        <v>0.18207329999999999</v>
      </c>
      <c r="W6624">
        <v>-1.2393110000000001E-2</v>
      </c>
      <c r="X6624">
        <v>0.98320689999999999</v>
      </c>
      <c r="Y6624">
        <v>0.45827620000000002</v>
      </c>
      <c r="Z6624">
        <v>-9.9370829999999993E-2</v>
      </c>
      <c r="AA6624">
        <v>0.88323739999999995</v>
      </c>
      <c r="AB6624">
        <v>20</v>
      </c>
      <c r="AC6624">
        <v>8.6661999999999999</v>
      </c>
      <c r="AD6624">
        <v>-1.0289911899999999</v>
      </c>
      <c r="AE6624">
        <v>4.2028999999999996</v>
      </c>
      <c r="AF6624">
        <v>4.4960425411658997</v>
      </c>
      <c r="AG6624">
        <v>-1.0289911899999999</v>
      </c>
      <c r="AH6624">
        <v>8.3947041630817996</v>
      </c>
      <c r="AI6624">
        <v>96.167138712303299</v>
      </c>
      <c r="AJ6624">
        <v>61.827351999604304</v>
      </c>
      <c r="AK6624">
        <v>9.5783234120974399</v>
      </c>
      <c r="AL6624">
        <v>90.710091046073202</v>
      </c>
      <c r="AM6624">
        <v>79.508638593584607</v>
      </c>
      <c r="AN6624">
        <v>1.00000004197798</v>
      </c>
    </row>
    <row r="6625" spans="1:40" x14ac:dyDescent="0.3">
      <c r="A6625" t="str">
        <f>"20200111160641539"</f>
        <v>20200111160641539</v>
      </c>
      <c r="B6625" t="str">
        <f>"1578730001529243"</f>
        <v>1578730001529243</v>
      </c>
      <c r="C6625" t="s">
        <v>40</v>
      </c>
      <c r="D6625">
        <v>5.3827949999999998</v>
      </c>
      <c r="E6625">
        <v>0.6221913</v>
      </c>
      <c r="F6625" t="s">
        <v>75</v>
      </c>
      <c r="G6625">
        <v>-176.09520000000001</v>
      </c>
      <c r="H6625" s="1">
        <v>-2.903253E-6</v>
      </c>
      <c r="I6625">
        <v>129.89599999999999</v>
      </c>
      <c r="J6625">
        <v>-185.57400000000001</v>
      </c>
      <c r="K6625">
        <v>1.108989</v>
      </c>
      <c r="L6625">
        <v>125.3416</v>
      </c>
      <c r="M6625">
        <v>0.58844410000000003</v>
      </c>
      <c r="N6625">
        <v>0</v>
      </c>
      <c r="O6625">
        <v>0.80842230000000004</v>
      </c>
      <c r="P6625">
        <v>0.727051</v>
      </c>
      <c r="Q6625">
        <v>-2.4223950000000001E-2</v>
      </c>
      <c r="R6625">
        <v>0.68615619999999999</v>
      </c>
      <c r="S6625">
        <v>2.82457</v>
      </c>
      <c r="T6625">
        <v>-0.32836029999999999</v>
      </c>
      <c r="U6625">
        <v>1.3722840000000001</v>
      </c>
      <c r="V6625">
        <v>0.1839742</v>
      </c>
      <c r="W6625">
        <v>-1.149328E-2</v>
      </c>
      <c r="X6625">
        <v>0.98286390000000001</v>
      </c>
      <c r="Y6625">
        <v>0.46475519999999998</v>
      </c>
      <c r="Z6625">
        <v>-9.931777E-2</v>
      </c>
      <c r="AA6625">
        <v>0.87985149999999901</v>
      </c>
      <c r="AB6625">
        <v>20</v>
      </c>
      <c r="AC6625">
        <v>9.4787999999999997</v>
      </c>
      <c r="AD6625">
        <v>-1.108991903253</v>
      </c>
      <c r="AE6625">
        <v>4.55440000000001</v>
      </c>
      <c r="AF6625">
        <v>4.9285196751984301</v>
      </c>
      <c r="AG6625">
        <v>-1.108991903253</v>
      </c>
      <c r="AH6625">
        <v>9.1586357078053595</v>
      </c>
      <c r="AI6625">
        <v>96.086363529997698</v>
      </c>
      <c r="AJ6625">
        <v>61.714054605169402</v>
      </c>
      <c r="AK6625">
        <v>10.4594826477501</v>
      </c>
      <c r="AL6625">
        <v>90.658530919767202</v>
      </c>
      <c r="AM6625">
        <v>79.397959984406995</v>
      </c>
      <c r="AN6625">
        <v>1.0000000238369999</v>
      </c>
    </row>
    <row r="6626" spans="1:40" x14ac:dyDescent="0.3">
      <c r="A6626" t="str">
        <f>"20200111160641551"</f>
        <v>20200111160641551</v>
      </c>
      <c r="B6626" t="str">
        <f>"1578730001549739"</f>
        <v>1578730001549739</v>
      </c>
      <c r="C6626" t="s">
        <v>40</v>
      </c>
      <c r="D6626">
        <v>5.7343719999999996</v>
      </c>
      <c r="E6626">
        <v>0.6221913</v>
      </c>
      <c r="F6626" t="s">
        <v>75</v>
      </c>
      <c r="G6626">
        <v>-175.953</v>
      </c>
      <c r="H6626" s="1">
        <v>-2.8323329999999998E-6</v>
      </c>
      <c r="I6626">
        <v>129.96459999999999</v>
      </c>
      <c r="J6626">
        <v>-185.5145</v>
      </c>
      <c r="K6626">
        <v>1.108984</v>
      </c>
      <c r="L6626">
        <v>125.42</v>
      </c>
      <c r="M6626">
        <v>0.58975959999999905</v>
      </c>
      <c r="N6626">
        <v>0</v>
      </c>
      <c r="O6626">
        <v>0.80746329999999999</v>
      </c>
      <c r="P6626">
        <v>0.7291995</v>
      </c>
      <c r="Q6626">
        <v>-2.3323119999999999E-2</v>
      </c>
      <c r="R6626">
        <v>0.68390359999999994</v>
      </c>
      <c r="S6626">
        <v>2.8314210000000002</v>
      </c>
      <c r="T6626">
        <v>-0.32637260000000001</v>
      </c>
      <c r="U6626">
        <v>1.360535</v>
      </c>
      <c r="V6626">
        <v>0.1854411</v>
      </c>
      <c r="W6626">
        <v>-1.061224E-2</v>
      </c>
      <c r="X6626">
        <v>0.98259810000000003</v>
      </c>
      <c r="Y6626">
        <v>0.4671766</v>
      </c>
      <c r="Z6626">
        <v>-9.8712209999999995E-2</v>
      </c>
      <c r="AA6626">
        <v>0.87863639999999998</v>
      </c>
      <c r="AB6626">
        <v>20</v>
      </c>
      <c r="AC6626">
        <v>9.5614999999999899</v>
      </c>
      <c r="AD6626">
        <v>-1.1089868323330001</v>
      </c>
      <c r="AE6626">
        <v>4.5445999999999804</v>
      </c>
      <c r="AF6626">
        <v>4.9860948375819696</v>
      </c>
      <c r="AG6626">
        <v>-1.1089868323330001</v>
      </c>
      <c r="AH6626">
        <v>9.2084053302324698</v>
      </c>
      <c r="AI6626">
        <v>96.045292199422605</v>
      </c>
      <c r="AJ6626">
        <v>61.5656898071528</v>
      </c>
      <c r="AK6626">
        <v>10.53022897422</v>
      </c>
      <c r="AL6626">
        <v>90.608047962177693</v>
      </c>
      <c r="AM6626">
        <v>79.312540783798696</v>
      </c>
      <c r="AN6626">
        <v>1.0000000236653099</v>
      </c>
    </row>
    <row r="6627" spans="1:40" x14ac:dyDescent="0.3">
      <c r="A6627" t="str">
        <f>"20200111160641562"</f>
        <v>20200111160641562</v>
      </c>
      <c r="B6627" t="str">
        <f>"1578730001559499"</f>
        <v>1578730001559499</v>
      </c>
      <c r="C6627" t="s">
        <v>40</v>
      </c>
      <c r="D6627">
        <v>5.6666629999999998</v>
      </c>
      <c r="E6627">
        <v>0.60801719999999904</v>
      </c>
      <c r="F6627" t="s">
        <v>75</v>
      </c>
      <c r="G6627">
        <v>-175.81649999999999</v>
      </c>
      <c r="H6627" s="1">
        <v>-2.7693400000000002E-6</v>
      </c>
      <c r="I6627">
        <v>130.04399999999899</v>
      </c>
      <c r="J6627">
        <v>-185.45349999999999</v>
      </c>
      <c r="K6627">
        <v>1.1089690000000001</v>
      </c>
      <c r="L6627">
        <v>125.5004</v>
      </c>
      <c r="M6627">
        <v>0.59110779999999996</v>
      </c>
      <c r="N6627">
        <v>0</v>
      </c>
      <c r="O6627">
        <v>0.806477</v>
      </c>
      <c r="P6627">
        <v>0.73135729999999999</v>
      </c>
      <c r="Q6627">
        <v>-2.2491420000000002E-2</v>
      </c>
      <c r="R6627">
        <v>0.68162349999999905</v>
      </c>
      <c r="S6627">
        <v>2.8356780000000001</v>
      </c>
      <c r="T6627">
        <v>-0.32426349999999998</v>
      </c>
      <c r="U6627">
        <v>1.3520509999999999</v>
      </c>
      <c r="V6627">
        <v>0.18689059999999999</v>
      </c>
      <c r="W6627">
        <v>-9.8037660000000002E-3</v>
      </c>
      <c r="X6627">
        <v>0.98233179999999998</v>
      </c>
      <c r="Y6627">
        <v>0.4684238</v>
      </c>
      <c r="Z6627">
        <v>-9.8052940000000005E-2</v>
      </c>
      <c r="AA6627">
        <v>0.87804599999999899</v>
      </c>
      <c r="AB6627">
        <v>20</v>
      </c>
      <c r="AC6627">
        <v>9.6370000000000005</v>
      </c>
      <c r="AD6627">
        <v>-1.1089717693400001</v>
      </c>
      <c r="AE6627">
        <v>4.5435999999999801</v>
      </c>
      <c r="AF6627">
        <v>5.0322172097989304</v>
      </c>
      <c r="AG6627">
        <v>-1.1089717693400001</v>
      </c>
      <c r="AH6627">
        <v>9.2613511191409295</v>
      </c>
      <c r="AI6627">
        <v>96.006193784856094</v>
      </c>
      <c r="AJ6627">
        <v>61.482258323198899</v>
      </c>
      <c r="AK6627">
        <v>10.598379733893401</v>
      </c>
      <c r="AL6627">
        <v>90.561723420494999</v>
      </c>
      <c r="AM6627">
        <v>79.228097505087803</v>
      </c>
      <c r="AN6627">
        <v>0.99999998774369103</v>
      </c>
    </row>
    <row r="6628" spans="1:40" x14ac:dyDescent="0.3">
      <c r="A6628" t="str">
        <f>"20200111160641574"</f>
        <v>20200111160641574</v>
      </c>
      <c r="B6628" t="str">
        <f>"1578730001569259"</f>
        <v>1578730001569259</v>
      </c>
      <c r="C6628" t="s">
        <v>40</v>
      </c>
      <c r="D6628">
        <v>5.7632669999999999</v>
      </c>
      <c r="E6628">
        <v>0.6053366</v>
      </c>
      <c r="F6628" t="s">
        <v>41</v>
      </c>
      <c r="G6628">
        <v>-153.52350000000001</v>
      </c>
      <c r="H6628" s="1">
        <v>-3.3203249999999998E-6</v>
      </c>
      <c r="I6628">
        <v>141.71940000000001</v>
      </c>
      <c r="J6628">
        <v>-185.39230000000001</v>
      </c>
      <c r="K6628">
        <v>1.1089329999999999</v>
      </c>
      <c r="L6628">
        <v>125.5804</v>
      </c>
      <c r="M6628">
        <v>0.59247459999999996</v>
      </c>
      <c r="N6628">
        <v>0</v>
      </c>
      <c r="O6628">
        <v>0.80547349999999995</v>
      </c>
      <c r="P6628">
        <v>0.73329279999999997</v>
      </c>
      <c r="Q6628">
        <v>-2.191883E-2</v>
      </c>
      <c r="R6628">
        <v>0.67955969999999999</v>
      </c>
      <c r="S6628">
        <v>2.7819669999999999</v>
      </c>
      <c r="T6628">
        <v>-9.6621390000000001E-2</v>
      </c>
      <c r="U6628">
        <v>1.413116</v>
      </c>
      <c r="V6628">
        <v>0.18800839999999999</v>
      </c>
      <c r="W6628">
        <v>-9.2588459999999994E-3</v>
      </c>
      <c r="X6628">
        <v>0.98212379999999999</v>
      </c>
      <c r="Y6628">
        <v>0.44940289999999999</v>
      </c>
      <c r="Z6628">
        <v>-2.9289099999999901E-2</v>
      </c>
      <c r="AA6628">
        <v>0.89284889999999995</v>
      </c>
      <c r="AB6628">
        <v>20</v>
      </c>
      <c r="AC6628">
        <v>31.8688</v>
      </c>
      <c r="AD6628">
        <v>-1.108936320325</v>
      </c>
      <c r="AE6628">
        <v>16.138999999999999</v>
      </c>
      <c r="AF6628">
        <v>16.0935178503541</v>
      </c>
      <c r="AG6628">
        <v>-1.108936320325</v>
      </c>
      <c r="AH6628">
        <v>31.853264962608201</v>
      </c>
      <c r="AI6628">
        <v>91.779785133847597</v>
      </c>
      <c r="AJ6628">
        <v>63.195305569118901</v>
      </c>
      <c r="AK6628">
        <v>35.705203337053298</v>
      </c>
      <c r="AL6628">
        <v>90.530500367312399</v>
      </c>
      <c r="AM6628">
        <v>79.162950637099897</v>
      </c>
      <c r="AN6628">
        <v>1.00000002161312</v>
      </c>
    </row>
    <row r="6629" spans="1:40" x14ac:dyDescent="0.3">
      <c r="A6629" t="str">
        <f>"20200111160641586"</f>
        <v>20200111160641586</v>
      </c>
      <c r="B6629" t="str">
        <f>"1578730001579019"</f>
        <v>1578730001579019</v>
      </c>
      <c r="C6629" t="s">
        <v>40</v>
      </c>
      <c r="D6629">
        <v>5.6098650000000001</v>
      </c>
      <c r="E6629">
        <v>0.60584659999999901</v>
      </c>
      <c r="F6629" t="s">
        <v>41</v>
      </c>
      <c r="G6629">
        <v>-153.9306</v>
      </c>
      <c r="H6629" s="1">
        <v>-3.14488E-6</v>
      </c>
      <c r="I6629">
        <v>141.71639999999999</v>
      </c>
      <c r="J6629">
        <v>-185.3228</v>
      </c>
      <c r="K6629">
        <v>1.1088849999999999</v>
      </c>
      <c r="L6629">
        <v>125.6711</v>
      </c>
      <c r="M6629">
        <v>0.59403909999999904</v>
      </c>
      <c r="N6629">
        <v>0</v>
      </c>
      <c r="O6629">
        <v>0.80432049999999999</v>
      </c>
      <c r="P6629">
        <v>0.73524269999999903</v>
      </c>
      <c r="Q6629">
        <v>-2.2094249999999999E-2</v>
      </c>
      <c r="R6629">
        <v>0.67744380000000004</v>
      </c>
      <c r="S6629">
        <v>2.771118</v>
      </c>
      <c r="T6629">
        <v>-9.7674010000000006E-2</v>
      </c>
      <c r="U6629">
        <v>1.421249</v>
      </c>
      <c r="V6629">
        <v>0.18892329999999999</v>
      </c>
      <c r="W6629">
        <v>-9.4662919999999994E-3</v>
      </c>
      <c r="X6629">
        <v>0.98194619999999999</v>
      </c>
      <c r="Y6629">
        <v>0.4441619</v>
      </c>
      <c r="Z6629">
        <v>-2.9582520000000001E-2</v>
      </c>
      <c r="AA6629">
        <v>0.89545799999999998</v>
      </c>
      <c r="AB6629">
        <v>20</v>
      </c>
      <c r="AC6629">
        <v>31.392199999999999</v>
      </c>
      <c r="AD6629">
        <v>-1.1088881448799901</v>
      </c>
      <c r="AE6629">
        <v>16.045299999999902</v>
      </c>
      <c r="AF6629">
        <v>15.703781148704399</v>
      </c>
      <c r="AG6629">
        <v>-1.1088881448799901</v>
      </c>
      <c r="AH6629">
        <v>31.525505695833601</v>
      </c>
      <c r="AI6629">
        <v>91.803326884253707</v>
      </c>
      <c r="AJ6629">
        <v>63.520755079038402</v>
      </c>
      <c r="AK6629">
        <v>35.237705439802703</v>
      </c>
      <c r="AL6629">
        <v>90.542386689906095</v>
      </c>
      <c r="AM6629">
        <v>79.109549985296397</v>
      </c>
      <c r="AN6629">
        <v>0.99999998183077898</v>
      </c>
    </row>
    <row r="6630" spans="1:40" x14ac:dyDescent="0.3">
      <c r="A6630" t="str">
        <f>"20200111160641598"</f>
        <v>20200111160641598</v>
      </c>
      <c r="B6630" t="str">
        <f>"1578730001589755"</f>
        <v>1578730001589755</v>
      </c>
      <c r="C6630" t="s">
        <v>40</v>
      </c>
      <c r="D6630">
        <v>5.6841860000000004</v>
      </c>
      <c r="E6630">
        <v>0.60584659999999901</v>
      </c>
      <c r="F6630" t="s">
        <v>41</v>
      </c>
      <c r="G6630">
        <v>-164.5651</v>
      </c>
      <c r="H6630" s="1">
        <v>-3.1473419999999998E-6</v>
      </c>
      <c r="I6630">
        <v>136.24639999999999</v>
      </c>
      <c r="J6630">
        <v>-185.25210000000001</v>
      </c>
      <c r="K6630">
        <v>1.1088199999999999</v>
      </c>
      <c r="L6630">
        <v>125.76309999999999</v>
      </c>
      <c r="M6630">
        <v>0.59567049999999999</v>
      </c>
      <c r="N6630">
        <v>0</v>
      </c>
      <c r="O6630">
        <v>0.80311319999999997</v>
      </c>
      <c r="P6630">
        <v>0.73707709999999904</v>
      </c>
      <c r="Q6630">
        <v>-2.2435509999999999E-2</v>
      </c>
      <c r="R6630">
        <v>0.67543629999999999</v>
      </c>
      <c r="S6630">
        <v>2.7738040000000002</v>
      </c>
      <c r="T6630">
        <v>-0.148178</v>
      </c>
      <c r="U6630">
        <v>1.4131469999999999</v>
      </c>
      <c r="V6630">
        <v>0.18959670000000001</v>
      </c>
      <c r="W6630">
        <v>-9.8439840000000001E-3</v>
      </c>
      <c r="X6630">
        <v>0.98181269999999998</v>
      </c>
      <c r="Y6630">
        <v>0.44416250000000002</v>
      </c>
      <c r="Z6630">
        <v>-4.4837299999999997E-2</v>
      </c>
      <c r="AA6630">
        <v>0.89482359999999905</v>
      </c>
      <c r="AB6630">
        <v>20</v>
      </c>
      <c r="AC6630">
        <v>20.687000000000001</v>
      </c>
      <c r="AD6630">
        <v>-1.108823147342</v>
      </c>
      <c r="AE6630">
        <v>10.4833</v>
      </c>
      <c r="AF6630">
        <v>10.346722053678</v>
      </c>
      <c r="AG6630">
        <v>-1.108823147342</v>
      </c>
      <c r="AH6630">
        <v>20.6965291540644</v>
      </c>
      <c r="AI6630">
        <v>92.743552218210397</v>
      </c>
      <c r="AJ6630">
        <v>63.438365152766103</v>
      </c>
      <c r="AK6630">
        <v>23.165285775340401</v>
      </c>
      <c r="AL6630">
        <v>90.564027849136295</v>
      </c>
      <c r="AM6630">
        <v>79.070214832673003</v>
      </c>
      <c r="AN6630">
        <v>0.99999999527658601</v>
      </c>
    </row>
    <row r="6631" spans="1:40" x14ac:dyDescent="0.3">
      <c r="A6631" t="str">
        <f>"20200111160641614"</f>
        <v>20200111160641614</v>
      </c>
      <c r="B6631" t="str">
        <f>"1578730001609275"</f>
        <v>1578730001609275</v>
      </c>
      <c r="C6631" t="s">
        <v>40</v>
      </c>
      <c r="D6631">
        <v>5.7024169999999996</v>
      </c>
      <c r="E6631">
        <v>0.60235039999999995</v>
      </c>
      <c r="F6631" t="s">
        <v>41</v>
      </c>
      <c r="G6631">
        <v>-164.7559</v>
      </c>
      <c r="H6631" s="1">
        <v>-3.0765600000000001E-6</v>
      </c>
      <c r="I6631">
        <v>136.1371</v>
      </c>
      <c r="J6631">
        <v>-185.17769999999999</v>
      </c>
      <c r="K6631">
        <v>1.108738</v>
      </c>
      <c r="L6631">
        <v>125.8591</v>
      </c>
      <c r="M6631">
        <v>0.59742649999999997</v>
      </c>
      <c r="N6631">
        <v>0</v>
      </c>
      <c r="O6631">
        <v>0.80180779999999996</v>
      </c>
      <c r="P6631">
        <v>0.73876699999999995</v>
      </c>
      <c r="Q6631">
        <v>-2.479694E-2</v>
      </c>
      <c r="R6631">
        <v>0.67350480000000001</v>
      </c>
      <c r="S6631">
        <v>2.777374</v>
      </c>
      <c r="T6631">
        <v>-0.1502532</v>
      </c>
      <c r="U6631">
        <v>1.4057459999999999</v>
      </c>
      <c r="V6631">
        <v>0.18994510000000001</v>
      </c>
      <c r="W6631">
        <v>-1.224446E-2</v>
      </c>
      <c r="X6631">
        <v>0.98171839999999999</v>
      </c>
      <c r="Y6631">
        <v>0.4445345</v>
      </c>
      <c r="Z6631">
        <v>-4.5429919999999999E-2</v>
      </c>
      <c r="AA6631">
        <v>0.89460899999999999</v>
      </c>
      <c r="AB6631">
        <v>20</v>
      </c>
      <c r="AC6631">
        <v>20.421799999999902</v>
      </c>
      <c r="AD6631">
        <v>-1.1087410765600001</v>
      </c>
      <c r="AE6631">
        <v>10.278</v>
      </c>
      <c r="AF6631">
        <v>10.210944886315101</v>
      </c>
      <c r="AG6631">
        <v>-1.1087410765600001</v>
      </c>
      <c r="AH6631">
        <v>20.3954366638816</v>
      </c>
      <c r="AI6631">
        <v>92.782981562154703</v>
      </c>
      <c r="AJ6631">
        <v>63.405231228462398</v>
      </c>
      <c r="AK6631">
        <v>22.835641855586701</v>
      </c>
      <c r="AL6631">
        <v>90.701573382219905</v>
      </c>
      <c r="AM6631">
        <v>79.049589100573101</v>
      </c>
      <c r="AN6631">
        <v>1.00000004235663</v>
      </c>
    </row>
    <row r="6632" spans="1:40" x14ac:dyDescent="0.3">
      <c r="A6632" t="str">
        <f>"20200111160641626"</f>
        <v>20200111160641626</v>
      </c>
      <c r="B6632" t="str">
        <f>"1578730001619035"</f>
        <v>1578730001619035</v>
      </c>
      <c r="C6632" t="s">
        <v>40</v>
      </c>
      <c r="D6632">
        <v>5.7807309999999896</v>
      </c>
      <c r="E6632">
        <v>0.60129049999999995</v>
      </c>
      <c r="F6632" t="s">
        <v>75</v>
      </c>
      <c r="G6632">
        <v>-174.4426</v>
      </c>
      <c r="H6632" s="1">
        <v>-2.4807389999999998E-6</v>
      </c>
      <c r="I6632">
        <v>131.42910000000001</v>
      </c>
      <c r="J6632">
        <v>-185.10489999999999</v>
      </c>
      <c r="K6632">
        <v>1.108654</v>
      </c>
      <c r="L6632">
        <v>125.9528</v>
      </c>
      <c r="M6632">
        <v>0.59918199999999999</v>
      </c>
      <c r="N6632">
        <v>0</v>
      </c>
      <c r="O6632">
        <v>0.80049680000000001</v>
      </c>
      <c r="P6632">
        <v>0.7399365</v>
      </c>
      <c r="Q6632">
        <v>-2.6264429999999998E-2</v>
      </c>
      <c r="R6632">
        <v>0.67216379999999998</v>
      </c>
      <c r="S6632">
        <v>2.7503359999999999</v>
      </c>
      <c r="T6632">
        <v>-0.28405859999999999</v>
      </c>
      <c r="U6632">
        <v>1.4270320000000001</v>
      </c>
      <c r="V6632">
        <v>0.1895251</v>
      </c>
      <c r="W6632">
        <v>-1.3746710000000001E-2</v>
      </c>
      <c r="X6632">
        <v>0.98177959999999997</v>
      </c>
      <c r="Y6632">
        <v>0.43070779999999997</v>
      </c>
      <c r="Z6632">
        <v>-8.5569240000000005E-2</v>
      </c>
      <c r="AA6632">
        <v>0.89842569999999999</v>
      </c>
      <c r="AB6632">
        <v>20</v>
      </c>
      <c r="AC6632">
        <v>10.662299999999901</v>
      </c>
      <c r="AD6632">
        <v>-1.108656480739</v>
      </c>
      <c r="AE6632">
        <v>5.4763000000000002</v>
      </c>
      <c r="AF6632">
        <v>5.2097559289261897</v>
      </c>
      <c r="AG6632">
        <v>-1.108656480739</v>
      </c>
      <c r="AH6632">
        <v>10.682036167142201</v>
      </c>
      <c r="AI6632">
        <v>95.329350908148498</v>
      </c>
      <c r="AJ6632">
        <v>64.000958563473006</v>
      </c>
      <c r="AK6632">
        <v>11.936355084673099</v>
      </c>
      <c r="AL6632">
        <v>90.787653306008096</v>
      </c>
      <c r="AM6632">
        <v>79.073883555580494</v>
      </c>
      <c r="AN6632">
        <v>0.99999995927099605</v>
      </c>
    </row>
    <row r="6633" spans="1:40" x14ac:dyDescent="0.3">
      <c r="A6633" t="str">
        <f>"20200111160641638"</f>
        <v>20200111160641638</v>
      </c>
      <c r="B6633" t="str">
        <f>"1578730001629770"</f>
        <v>1578730001629770</v>
      </c>
      <c r="C6633" t="s">
        <v>40</v>
      </c>
      <c r="D6633">
        <v>5.7351109999999998</v>
      </c>
      <c r="E6633">
        <v>0.60026069999999998</v>
      </c>
      <c r="F6633" t="s">
        <v>75</v>
      </c>
      <c r="G6633">
        <v>-175.35400000000001</v>
      </c>
      <c r="H6633" s="1">
        <v>-2.828604E-6</v>
      </c>
      <c r="I6633">
        <v>131.03139999999999</v>
      </c>
      <c r="J6633">
        <v>-185.03559999999999</v>
      </c>
      <c r="K6633">
        <v>1.1085689999999999</v>
      </c>
      <c r="L6633">
        <v>126.0412</v>
      </c>
      <c r="M6633">
        <v>0.60091159999999999</v>
      </c>
      <c r="N6633">
        <v>0</v>
      </c>
      <c r="O6633">
        <v>0.79919929999999995</v>
      </c>
      <c r="P6633">
        <v>0.74107290000000003</v>
      </c>
      <c r="Q6633">
        <v>-2.742679E-2</v>
      </c>
      <c r="R6633">
        <v>0.67086420000000002</v>
      </c>
      <c r="S6633">
        <v>2.7447050000000002</v>
      </c>
      <c r="T6633">
        <v>-0.31207040000000003</v>
      </c>
      <c r="U6633">
        <v>1.4295500000000001</v>
      </c>
      <c r="V6633">
        <v>0.18908320000000001</v>
      </c>
      <c r="W6633">
        <v>-1.494437E-2</v>
      </c>
      <c r="X6633">
        <v>0.98184729999999998</v>
      </c>
      <c r="Y6633">
        <v>0.42655100000000001</v>
      </c>
      <c r="Z6633">
        <v>-9.382704E-2</v>
      </c>
      <c r="AA6633">
        <v>0.89958359999999904</v>
      </c>
      <c r="AB6633">
        <v>20</v>
      </c>
      <c r="AC6633">
        <v>9.6815999999999693</v>
      </c>
      <c r="AD6633">
        <v>-1.1085718286040001</v>
      </c>
      <c r="AE6633">
        <v>4.9901999999999802</v>
      </c>
      <c r="AF6633">
        <v>4.6907084868417002</v>
      </c>
      <c r="AG6633">
        <v>-1.1085718286040001</v>
      </c>
      <c r="AH6633">
        <v>9.7063142251961398</v>
      </c>
      <c r="AI6633">
        <v>95.871255608777005</v>
      </c>
      <c r="AJ6633">
        <v>64.207211768918597</v>
      </c>
      <c r="AK6633">
        <v>10.8371681469814</v>
      </c>
      <c r="AL6633">
        <v>90.8562812413182</v>
      </c>
      <c r="AM6633">
        <v>79.099481671825302</v>
      </c>
      <c r="AN6633">
        <v>0.99999995561711197</v>
      </c>
    </row>
    <row r="6634" spans="1:40" x14ac:dyDescent="0.3">
      <c r="A6634" t="str">
        <f>"20200111160641651"</f>
        <v>20200111160641651</v>
      </c>
      <c r="B6634" t="str">
        <f>"1578730001639531"</f>
        <v>1578730001639531</v>
      </c>
      <c r="C6634" t="s">
        <v>40</v>
      </c>
      <c r="D6634">
        <v>5.7503699999999904</v>
      </c>
      <c r="E6634">
        <v>0.59944339999999996</v>
      </c>
      <c r="F6634" t="s">
        <v>75</v>
      </c>
      <c r="G6634">
        <v>-175.94309999999999</v>
      </c>
      <c r="H6634" s="1">
        <v>-3.139952E-6</v>
      </c>
      <c r="I6634">
        <v>130.79300000000001</v>
      </c>
      <c r="J6634">
        <v>-184.9701</v>
      </c>
      <c r="K6634">
        <v>1.1084830000000001</v>
      </c>
      <c r="L6634">
        <v>126.1245</v>
      </c>
      <c r="M6634">
        <v>0.602595199999999</v>
      </c>
      <c r="N6634">
        <v>0</v>
      </c>
      <c r="O6634">
        <v>0.79793049999999999</v>
      </c>
      <c r="P6634">
        <v>0.74174379999999995</v>
      </c>
      <c r="Q6634">
        <v>-2.8618970000000001E-2</v>
      </c>
      <c r="R6634">
        <v>0.67007240000000001</v>
      </c>
      <c r="S6634">
        <v>2.739716</v>
      </c>
      <c r="T6634">
        <v>-0.3340301</v>
      </c>
      <c r="U6634">
        <v>1.4317629999999999</v>
      </c>
      <c r="V6634">
        <v>0.18801689999999999</v>
      </c>
      <c r="W6634">
        <v>-1.616592E-2</v>
      </c>
      <c r="X6634">
        <v>0.98203269999999998</v>
      </c>
      <c r="Y6634">
        <v>0.42272369999999998</v>
      </c>
      <c r="Z6634">
        <v>-0.1002456</v>
      </c>
      <c r="AA6634">
        <v>0.90069719999999998</v>
      </c>
      <c r="AB6634">
        <v>20</v>
      </c>
      <c r="AC6634">
        <v>9.0270000000000099</v>
      </c>
      <c r="AD6634">
        <v>-1.1084861399519901</v>
      </c>
      <c r="AE6634">
        <v>4.6684999999999999</v>
      </c>
      <c r="AF6634">
        <v>4.3384960143187996</v>
      </c>
      <c r="AG6634">
        <v>-1.1084861399519901</v>
      </c>
      <c r="AH6634">
        <v>9.0578562638862401</v>
      </c>
      <c r="AI6634">
        <v>96.298301326004193</v>
      </c>
      <c r="AJ6634">
        <v>64.406696316129498</v>
      </c>
      <c r="AK6634">
        <v>10.1042589676803</v>
      </c>
      <c r="AL6634">
        <v>90.926279375233705</v>
      </c>
      <c r="AM6634">
        <v>79.161490738359902</v>
      </c>
      <c r="AN6634">
        <v>0.99999995776217199</v>
      </c>
    </row>
    <row r="6635" spans="1:40" x14ac:dyDescent="0.3">
      <c r="A6635" t="str">
        <f>"20200111160641662"</f>
        <v>20200111160641662</v>
      </c>
      <c r="B6635" t="str">
        <f>"1578730001659051"</f>
        <v>1578730001659051</v>
      </c>
      <c r="C6635" t="s">
        <v>40</v>
      </c>
      <c r="D6635">
        <v>5.7717210000000003</v>
      </c>
      <c r="E6635">
        <v>0.59878359999999997</v>
      </c>
      <c r="F6635" t="s">
        <v>75</v>
      </c>
      <c r="G6635">
        <v>-176.35480000000001</v>
      </c>
      <c r="H6635" s="1">
        <v>-3.3636459999999999E-6</v>
      </c>
      <c r="I6635">
        <v>130.64250000000001</v>
      </c>
      <c r="J6635">
        <v>-184.90209999999999</v>
      </c>
      <c r="K6635">
        <v>1.1083940000000001</v>
      </c>
      <c r="L6635">
        <v>126.2106</v>
      </c>
      <c r="M6635">
        <v>0.60437299999999905</v>
      </c>
      <c r="N6635">
        <v>0</v>
      </c>
      <c r="O6635">
        <v>0.79658479999999998</v>
      </c>
      <c r="P6635">
        <v>0.74258669999999904</v>
      </c>
      <c r="Q6635">
        <v>-2.9328320000000001E-2</v>
      </c>
      <c r="R6635">
        <v>0.66910740000000002</v>
      </c>
      <c r="S6635">
        <v>2.7351990000000002</v>
      </c>
      <c r="T6635">
        <v>-0.35192279999999998</v>
      </c>
      <c r="U6635">
        <v>1.4343570000000001</v>
      </c>
      <c r="V6635">
        <v>0.18707509999999999</v>
      </c>
      <c r="W6635">
        <v>-1.690726E-2</v>
      </c>
      <c r="X6635">
        <v>0.98220010000000002</v>
      </c>
      <c r="Y6635">
        <v>0.41884149999999998</v>
      </c>
      <c r="Z6635">
        <v>-0.1053996</v>
      </c>
      <c r="AA6635">
        <v>0.90192169999999905</v>
      </c>
      <c r="AB6635">
        <v>20</v>
      </c>
      <c r="AC6635">
        <v>8.5472999999999697</v>
      </c>
      <c r="AD6635">
        <v>-1.1083973636460001</v>
      </c>
      <c r="AE6635">
        <v>4.4319000000000104</v>
      </c>
      <c r="AF6635">
        <v>4.0764861557767196</v>
      </c>
      <c r="AG6635">
        <v>-1.1083973636460001</v>
      </c>
      <c r="AH6635">
        <v>8.5831954070696703</v>
      </c>
      <c r="AI6635">
        <v>96.653382138358097</v>
      </c>
      <c r="AJ6635">
        <v>64.595177650903494</v>
      </c>
      <c r="AK6635">
        <v>9.5664793675582906</v>
      </c>
      <c r="AL6635">
        <v>90.968760806431305</v>
      </c>
      <c r="AM6635">
        <v>79.216300702980206</v>
      </c>
      <c r="AN6635">
        <v>0.99999999246036297</v>
      </c>
    </row>
    <row r="6636" spans="1:40" x14ac:dyDescent="0.3">
      <c r="A6636" t="str">
        <f>"20200111160641674"</f>
        <v>20200111160641674</v>
      </c>
      <c r="B6636" t="str">
        <f>"1578730001669787"</f>
        <v>1578730001669787</v>
      </c>
      <c r="C6636" t="s">
        <v>40</v>
      </c>
      <c r="D6636">
        <v>5.7822129999999996</v>
      </c>
      <c r="E6636">
        <v>0.59824089999999996</v>
      </c>
      <c r="F6636" t="s">
        <v>75</v>
      </c>
      <c r="G6636">
        <v>-176.59739999999999</v>
      </c>
      <c r="H6636" s="1">
        <v>-3.502534E-6</v>
      </c>
      <c r="I6636">
        <v>130.57239999999999</v>
      </c>
      <c r="J6636">
        <v>-184.84129999999999</v>
      </c>
      <c r="K6636">
        <v>1.1083080000000001</v>
      </c>
      <c r="L6636">
        <v>126.2869</v>
      </c>
      <c r="M6636">
        <v>0.60603980000000002</v>
      </c>
      <c r="N6636">
        <v>0</v>
      </c>
      <c r="O6636">
        <v>0.79531739999999995</v>
      </c>
      <c r="P6636">
        <v>0.74343009999999998</v>
      </c>
      <c r="Q6636">
        <v>-2.9790879999999999E-2</v>
      </c>
      <c r="R6636">
        <v>0.66814980000000002</v>
      </c>
      <c r="S6636">
        <v>2.7324220000000001</v>
      </c>
      <c r="T6636">
        <v>-0.36468519999999999</v>
      </c>
      <c r="U6636">
        <v>1.43512</v>
      </c>
      <c r="V6636">
        <v>0.1862636</v>
      </c>
      <c r="W6636">
        <v>-1.739949E-2</v>
      </c>
      <c r="X6636">
        <v>0.98234569999999999</v>
      </c>
      <c r="Y6636">
        <v>0.415937</v>
      </c>
      <c r="Z6636">
        <v>-0.1090328</v>
      </c>
      <c r="AA6636">
        <v>0.90283349999999996</v>
      </c>
      <c r="AB6636">
        <v>20</v>
      </c>
      <c r="AC6636">
        <v>8.2438999999999893</v>
      </c>
      <c r="AD6636">
        <v>-1.108311502534</v>
      </c>
      <c r="AE6636">
        <v>4.2854999999999803</v>
      </c>
      <c r="AF6636">
        <v>3.9041495806508899</v>
      </c>
      <c r="AG6636">
        <v>-1.108311502534</v>
      </c>
      <c r="AH6636">
        <v>8.2873253937802005</v>
      </c>
      <c r="AI6636">
        <v>96.898276591724695</v>
      </c>
      <c r="AJ6636">
        <v>64.774928547507699</v>
      </c>
      <c r="AK6636">
        <v>9.22770288409526</v>
      </c>
      <c r="AL6636">
        <v>90.996967678331202</v>
      </c>
      <c r="AM6636">
        <v>79.263543152911595</v>
      </c>
      <c r="AN6636">
        <v>0.99999997262285401</v>
      </c>
    </row>
    <row r="6637" spans="1:40" x14ac:dyDescent="0.3">
      <c r="A6637" t="str">
        <f>"20200111160641686"</f>
        <v>20200111160641686</v>
      </c>
      <c r="B6637" t="str">
        <f>"1578730001679547"</f>
        <v>1578730001679547</v>
      </c>
      <c r="C6637" t="s">
        <v>40</v>
      </c>
      <c r="D6637">
        <v>5.793723</v>
      </c>
      <c r="E6637">
        <v>0.59776629999999997</v>
      </c>
      <c r="F6637" t="s">
        <v>75</v>
      </c>
      <c r="G6637">
        <v>-176.78030000000001</v>
      </c>
      <c r="H6637" s="1">
        <v>-3.6093470000000001E-6</v>
      </c>
      <c r="I6637">
        <v>130.52500000000001</v>
      </c>
      <c r="J6637">
        <v>-184.77359999999999</v>
      </c>
      <c r="K6637">
        <v>1.108212</v>
      </c>
      <c r="L6637">
        <v>126.3715</v>
      </c>
      <c r="M6637">
        <v>0.60791890000000004</v>
      </c>
      <c r="N6637">
        <v>0</v>
      </c>
      <c r="O6637">
        <v>0.79388190000000003</v>
      </c>
      <c r="P6637">
        <v>0.74439060000000001</v>
      </c>
      <c r="Q6637">
        <v>-2.9314719999999999E-2</v>
      </c>
      <c r="R6637">
        <v>0.66710069999999999</v>
      </c>
      <c r="S6637">
        <v>2.7302249999999999</v>
      </c>
      <c r="T6637">
        <v>-0.37538199999999999</v>
      </c>
      <c r="U6637">
        <v>1.43544</v>
      </c>
      <c r="V6637">
        <v>0.1853397</v>
      </c>
      <c r="W6637">
        <v>-1.6956349999999999E-2</v>
      </c>
      <c r="X6637">
        <v>0.98252819999999996</v>
      </c>
      <c r="Y6637">
        <v>0.41303899999999999</v>
      </c>
      <c r="Z6637">
        <v>-0.11201560000000001</v>
      </c>
      <c r="AA6637">
        <v>0.90379830000000005</v>
      </c>
      <c r="AB6637">
        <v>20</v>
      </c>
      <c r="AC6637">
        <v>7.9932999999999703</v>
      </c>
      <c r="AD6637">
        <v>-1.1082156093469999</v>
      </c>
      <c r="AE6637">
        <v>4.1535000000000002</v>
      </c>
      <c r="AF6637">
        <v>3.7641295997433102</v>
      </c>
      <c r="AG6637">
        <v>-1.1082156093469999</v>
      </c>
      <c r="AH6637">
        <v>8.0358018968653102</v>
      </c>
      <c r="AI6637">
        <v>97.118668173275594</v>
      </c>
      <c r="AJ6637">
        <v>64.900672830615306</v>
      </c>
      <c r="AK6637">
        <v>8.9426464542733797</v>
      </c>
      <c r="AL6637">
        <v>90.971573859006796</v>
      </c>
      <c r="AM6637">
        <v>79.317507781137195</v>
      </c>
      <c r="AN6637">
        <v>0.99999999299832598</v>
      </c>
    </row>
    <row r="6638" spans="1:40" x14ac:dyDescent="0.3">
      <c r="A6638" t="str">
        <f>"20200111160641698"</f>
        <v>20200111160641698</v>
      </c>
      <c r="B6638" t="str">
        <f>"1578730001689307"</f>
        <v>1578730001689307</v>
      </c>
      <c r="C6638" t="s">
        <v>40</v>
      </c>
      <c r="D6638">
        <v>5.778994</v>
      </c>
      <c r="E6638">
        <v>0.59741690000000003</v>
      </c>
      <c r="F6638" t="s">
        <v>75</v>
      </c>
      <c r="G6638">
        <v>-176.83799999999999</v>
      </c>
      <c r="H6638" s="1">
        <v>-3.655852E-6</v>
      </c>
      <c r="I6638">
        <v>130.5438</v>
      </c>
      <c r="J6638">
        <v>-184.70650000000001</v>
      </c>
      <c r="K6638">
        <v>1.108107</v>
      </c>
      <c r="L6638">
        <v>126.45480000000001</v>
      </c>
      <c r="M6638">
        <v>0.60985849999999997</v>
      </c>
      <c r="N6638">
        <v>0</v>
      </c>
      <c r="O6638">
        <v>0.79239280000000001</v>
      </c>
      <c r="P6638">
        <v>0.74552180000000001</v>
      </c>
      <c r="Q6638">
        <v>-2.8788069999999999E-2</v>
      </c>
      <c r="R6638">
        <v>0.66585930000000004</v>
      </c>
      <c r="S6638">
        <v>2.729187</v>
      </c>
      <c r="T6638">
        <v>-0.38113799999999998</v>
      </c>
      <c r="U6638">
        <v>1.4349209999999999</v>
      </c>
      <c r="V6638">
        <v>0.18458959999999999</v>
      </c>
      <c r="W6638">
        <v>-1.6465150000000001E-2</v>
      </c>
      <c r="X6638">
        <v>0.98267780000000005</v>
      </c>
      <c r="Y6638">
        <v>0.4106127</v>
      </c>
      <c r="Z6638">
        <v>-0.11352130000000001</v>
      </c>
      <c r="AA6638">
        <v>0.90471550000000001</v>
      </c>
      <c r="AB6638">
        <v>20</v>
      </c>
      <c r="AC6638">
        <v>7.8685000000000098</v>
      </c>
      <c r="AD6638">
        <v>-1.108110655852</v>
      </c>
      <c r="AE6638">
        <v>4.0889999999999898</v>
      </c>
      <c r="AF6638">
        <v>3.6840509378209099</v>
      </c>
      <c r="AG6638">
        <v>-1.108110655852</v>
      </c>
      <c r="AH6638">
        <v>7.9159025109732797</v>
      </c>
      <c r="AI6638">
        <v>97.232967355219998</v>
      </c>
      <c r="AJ6638">
        <v>65.042791451898793</v>
      </c>
      <c r="AK6638">
        <v>8.8012302038581502</v>
      </c>
      <c r="AL6638">
        <v>90.943426196812297</v>
      </c>
      <c r="AM6638">
        <v>79.361335323930504</v>
      </c>
      <c r="AN6638">
        <v>1.00000004010276</v>
      </c>
    </row>
    <row r="6639" spans="1:40" x14ac:dyDescent="0.3">
      <c r="A6639" t="str">
        <f>"20200111160641709"</f>
        <v>20200111160641709</v>
      </c>
      <c r="B6639" t="str">
        <f>"1578730001699068"</f>
        <v>1578730001699068</v>
      </c>
      <c r="C6639" t="s">
        <v>40</v>
      </c>
      <c r="D6639">
        <v>5.7597250000000004</v>
      </c>
      <c r="E6639">
        <v>0.59704250000000003</v>
      </c>
      <c r="F6639" t="s">
        <v>75</v>
      </c>
      <c r="G6639">
        <v>-176.87799999999999</v>
      </c>
      <c r="H6639" s="1">
        <v>-3.691204E-6</v>
      </c>
      <c r="I6639">
        <v>130.565</v>
      </c>
      <c r="J6639">
        <v>-184.6447</v>
      </c>
      <c r="K6639">
        <v>1.108004</v>
      </c>
      <c r="L6639">
        <v>126.53100000000001</v>
      </c>
      <c r="M6639">
        <v>0.61168719999999999</v>
      </c>
      <c r="N6639">
        <v>0</v>
      </c>
      <c r="O6639">
        <v>0.79098190000000002</v>
      </c>
      <c r="P6639">
        <v>0.74649750000000004</v>
      </c>
      <c r="Q6639">
        <v>-2.8710010000000001E-2</v>
      </c>
      <c r="R6639">
        <v>0.66476849999999998</v>
      </c>
      <c r="S6639">
        <v>2.7292480000000001</v>
      </c>
      <c r="T6639">
        <v>-0.38632460000000002</v>
      </c>
      <c r="U6639">
        <v>1.4329829999999999</v>
      </c>
      <c r="V6639">
        <v>0.1837558</v>
      </c>
      <c r="W6639">
        <v>-1.6417850000000001E-2</v>
      </c>
      <c r="X6639">
        <v>0.98283480000000001</v>
      </c>
      <c r="Y6639">
        <v>0.40884320000000002</v>
      </c>
      <c r="Z6639">
        <v>-0.1148767</v>
      </c>
      <c r="AA6639">
        <v>0.90534559999999997</v>
      </c>
      <c r="AB6639">
        <v>20</v>
      </c>
      <c r="AC6639">
        <v>7.7667000000000099</v>
      </c>
      <c r="AD6639">
        <v>-1.108007691204</v>
      </c>
      <c r="AE6639">
        <v>4.03399999999999</v>
      </c>
      <c r="AF6639">
        <v>3.6181233755551099</v>
      </c>
      <c r="AG6639">
        <v>-1.108007691204</v>
      </c>
      <c r="AH6639">
        <v>7.8170583994079097</v>
      </c>
      <c r="AI6639">
        <v>97.329819677087201</v>
      </c>
      <c r="AJ6639">
        <v>65.162953743577901</v>
      </c>
      <c r="AK6639">
        <v>8.6847509937970795</v>
      </c>
      <c r="AL6639">
        <v>90.940715785466907</v>
      </c>
      <c r="AM6639">
        <v>79.409954619000303</v>
      </c>
      <c r="AN6639">
        <v>0.99999999196165101</v>
      </c>
    </row>
    <row r="6640" spans="1:40" x14ac:dyDescent="0.3">
      <c r="A6640" t="str">
        <f>"20200111160641725"</f>
        <v>20200111160641725</v>
      </c>
      <c r="B6640" t="str">
        <f>"1578730001719562"</f>
        <v>1578730001719562</v>
      </c>
      <c r="C6640" t="s">
        <v>40</v>
      </c>
      <c r="D6640">
        <v>5.7943220000000002</v>
      </c>
      <c r="E6640">
        <v>0.59656669999999901</v>
      </c>
      <c r="F6640" t="s">
        <v>75</v>
      </c>
      <c r="G6640">
        <v>-176.91800000000001</v>
      </c>
      <c r="H6640" s="1">
        <v>-3.7257460000000002E-6</v>
      </c>
      <c r="I6640">
        <v>130.58420000000001</v>
      </c>
      <c r="J6640">
        <v>-184.55799999999999</v>
      </c>
      <c r="K6640">
        <v>1.1078680000000001</v>
      </c>
      <c r="L6640">
        <v>126.6371</v>
      </c>
      <c r="M6640">
        <v>0.61431539999999996</v>
      </c>
      <c r="N6640">
        <v>0</v>
      </c>
      <c r="O6640">
        <v>0.78894229999999999</v>
      </c>
      <c r="P6640">
        <v>0.74783299999999997</v>
      </c>
      <c r="Q6640">
        <v>-2.8590419999999998E-2</v>
      </c>
      <c r="R6640">
        <v>0.663271099999999</v>
      </c>
      <c r="S6640">
        <v>2.7289119999999998</v>
      </c>
      <c r="T6640">
        <v>-0.39132889999999998</v>
      </c>
      <c r="U6640">
        <v>1.4315340000000001</v>
      </c>
      <c r="V6640">
        <v>0.1824549</v>
      </c>
      <c r="W6640">
        <v>-1.6338979999999999E-2</v>
      </c>
      <c r="X6640">
        <v>0.98307849999999997</v>
      </c>
      <c r="Y6640">
        <v>0.40597680000000003</v>
      </c>
      <c r="Z6640">
        <v>-0.11607099999999999</v>
      </c>
      <c r="AA6640">
        <v>0.90648240000000002</v>
      </c>
      <c r="AB6640">
        <v>20</v>
      </c>
      <c r="AC6640">
        <v>7.6399999999999801</v>
      </c>
      <c r="AD6640">
        <v>-1.107871725746</v>
      </c>
      <c r="AE6640">
        <v>3.9470999999999998</v>
      </c>
      <c r="AF6640">
        <v>3.5442647912463898</v>
      </c>
      <c r="AG6640">
        <v>-1.107871725746</v>
      </c>
      <c r="AH6640">
        <v>7.6806520370804403</v>
      </c>
      <c r="AI6640">
        <v>97.461558586758102</v>
      </c>
      <c r="AJ6640">
        <v>65.228866328301393</v>
      </c>
      <c r="AK6640">
        <v>8.5312137697917407</v>
      </c>
      <c r="AL6640">
        <v>90.936196211430001</v>
      </c>
      <c r="AM6640">
        <v>79.485797415162594</v>
      </c>
      <c r="AN6640">
        <v>1.00000004498184</v>
      </c>
    </row>
    <row r="6641" spans="1:40" x14ac:dyDescent="0.3">
      <c r="A6641" t="str">
        <f>"20200111160641737"</f>
        <v>20200111160641737</v>
      </c>
      <c r="B6641" t="str">
        <f>"1578730001729323"</f>
        <v>1578730001729323</v>
      </c>
      <c r="C6641" t="s">
        <v>40</v>
      </c>
      <c r="D6641">
        <v>5.9687570000000001</v>
      </c>
      <c r="E6641">
        <v>0.59656669999999901</v>
      </c>
      <c r="F6641" t="s">
        <v>75</v>
      </c>
      <c r="G6641">
        <v>-177.02359999999999</v>
      </c>
      <c r="H6641" s="1">
        <v>-3.7980739999999998E-6</v>
      </c>
      <c r="I6641">
        <v>130.58500000000001</v>
      </c>
      <c r="J6641">
        <v>-184.4888</v>
      </c>
      <c r="K6641">
        <v>1.1077619999999999</v>
      </c>
      <c r="L6641">
        <v>126.721</v>
      </c>
      <c r="M6641">
        <v>0.6165003</v>
      </c>
      <c r="N6641">
        <v>0</v>
      </c>
      <c r="O6641">
        <v>0.78723599999999905</v>
      </c>
      <c r="P6641">
        <v>0.74940790000000002</v>
      </c>
      <c r="Q6641">
        <v>-2.87192E-2</v>
      </c>
      <c r="R6641">
        <v>0.66148560000000001</v>
      </c>
      <c r="S6641">
        <v>2.7283019999999998</v>
      </c>
      <c r="T6641">
        <v>-0.40117530000000001</v>
      </c>
      <c r="U6641">
        <v>1.429581</v>
      </c>
      <c r="V6641">
        <v>0.182065</v>
      </c>
      <c r="W6641">
        <v>-1.650389E-2</v>
      </c>
      <c r="X6641">
        <v>0.98314800000000002</v>
      </c>
      <c r="Y6641">
        <v>0.40351609999999899</v>
      </c>
      <c r="Z6641">
        <v>-0.1187396</v>
      </c>
      <c r="AA6641">
        <v>0.90723509999999996</v>
      </c>
      <c r="AB6641">
        <v>20</v>
      </c>
      <c r="AC6641">
        <v>7.4652000000000003</v>
      </c>
      <c r="AD6641">
        <v>-1.1077657980740001</v>
      </c>
      <c r="AE6641">
        <v>3.8639999999999999</v>
      </c>
      <c r="AF6641">
        <v>3.4353814173895598</v>
      </c>
      <c r="AG6641">
        <v>-1.1077657980740001</v>
      </c>
      <c r="AH6641">
        <v>7.51439004878572</v>
      </c>
      <c r="AI6641">
        <v>97.636250052275599</v>
      </c>
      <c r="AJ6641">
        <v>65.431367529027199</v>
      </c>
      <c r="AK6641">
        <v>8.3363690148420098</v>
      </c>
      <c r="AL6641">
        <v>90.945646159416398</v>
      </c>
      <c r="AM6641">
        <v>79.508491684567105</v>
      </c>
      <c r="AN6641">
        <v>1.0000000162570599</v>
      </c>
    </row>
    <row r="6642" spans="1:40" x14ac:dyDescent="0.3">
      <c r="A6642" t="str">
        <f>"20200111160641747"</f>
        <v>20200111160641747</v>
      </c>
      <c r="B6642" t="str">
        <f>"1578730001739083"</f>
        <v>1578730001739083</v>
      </c>
      <c r="C6642" t="s">
        <v>40</v>
      </c>
      <c r="D6642">
        <v>6.5978849999999998</v>
      </c>
      <c r="E6642">
        <v>0.606379</v>
      </c>
      <c r="F6642" t="s">
        <v>75</v>
      </c>
      <c r="G6642">
        <v>-176.95349999999999</v>
      </c>
      <c r="H6642" s="1">
        <v>-3.773778E-6</v>
      </c>
      <c r="I6642">
        <v>130.64689999999999</v>
      </c>
      <c r="J6642">
        <v>-184.42959999999999</v>
      </c>
      <c r="K6642">
        <v>1.1076729999999999</v>
      </c>
      <c r="L6642">
        <v>126.7923</v>
      </c>
      <c r="M6642">
        <v>0.61839390000000005</v>
      </c>
      <c r="N6642">
        <v>0</v>
      </c>
      <c r="O6642">
        <v>0.78574929999999998</v>
      </c>
      <c r="P6642">
        <v>0.75085880000000005</v>
      </c>
      <c r="Q6642">
        <v>-2.8866800000000001E-2</v>
      </c>
      <c r="R6642">
        <v>0.65983169999999902</v>
      </c>
      <c r="S6642">
        <v>2.7315670000000001</v>
      </c>
      <c r="T6642">
        <v>-0.40157179999999998</v>
      </c>
      <c r="U6642">
        <v>1.423187</v>
      </c>
      <c r="V6642">
        <v>0.18185660000000001</v>
      </c>
      <c r="W6642">
        <v>-1.6682240000000001E-2</v>
      </c>
      <c r="X6642">
        <v>0.98318360000000005</v>
      </c>
      <c r="Y6642">
        <v>0.40342610000000001</v>
      </c>
      <c r="Z6642">
        <v>-0.11871429999999999</v>
      </c>
      <c r="AA6642">
        <v>0.90727849999999999</v>
      </c>
      <c r="AB6642">
        <v>20</v>
      </c>
      <c r="AC6642">
        <v>7.4760999999999997</v>
      </c>
      <c r="AD6642">
        <v>-1.107676773778</v>
      </c>
      <c r="AE6642">
        <v>3.8545999999999898</v>
      </c>
      <c r="AF6642">
        <v>3.4314966089277998</v>
      </c>
      <c r="AG6642">
        <v>-1.107676773778</v>
      </c>
      <c r="AH6642">
        <v>7.5221895958576903</v>
      </c>
      <c r="AI6642">
        <v>97.630641476805707</v>
      </c>
      <c r="AJ6642">
        <v>65.478324551104805</v>
      </c>
      <c r="AK6642">
        <v>8.3417895638933395</v>
      </c>
      <c r="AL6642">
        <v>90.955866230879593</v>
      </c>
      <c r="AM6642">
        <v>79.520605602749896</v>
      </c>
      <c r="AN6642">
        <v>1.0000000557019599</v>
      </c>
    </row>
    <row r="6643" spans="1:40" x14ac:dyDescent="0.3">
      <c r="A6643" t="str">
        <f>"20200111160641759"</f>
        <v>20200111160641759</v>
      </c>
      <c r="B6643" t="str">
        <f>"1578730001749819"</f>
        <v>1578730001749819</v>
      </c>
      <c r="C6643" t="s">
        <v>40</v>
      </c>
      <c r="D6643">
        <v>5.7991869999999999</v>
      </c>
      <c r="E6643">
        <v>0.60205469999999905</v>
      </c>
      <c r="F6643" t="s">
        <v>41</v>
      </c>
      <c r="G6643">
        <v>-137.6499</v>
      </c>
      <c r="H6643" s="1">
        <v>-3.3366879999999998E-6</v>
      </c>
      <c r="I6643">
        <v>148.99680000000001</v>
      </c>
      <c r="J6643">
        <v>-184.3622</v>
      </c>
      <c r="K6643">
        <v>1.1075759999999999</v>
      </c>
      <c r="L6643">
        <v>126.873</v>
      </c>
      <c r="M6643">
        <v>0.62060209999999905</v>
      </c>
      <c r="N6643">
        <v>0</v>
      </c>
      <c r="O6643">
        <v>0.78400619999999999</v>
      </c>
      <c r="P6643">
        <v>0.75246639999999998</v>
      </c>
      <c r="Q6643">
        <v>-2.9524479999999999E-2</v>
      </c>
      <c r="R6643">
        <v>0.65796860000000001</v>
      </c>
      <c r="S6643">
        <v>2.817596</v>
      </c>
      <c r="T6643">
        <v>-6.6716549999999999E-2</v>
      </c>
      <c r="U6643">
        <v>1.337402</v>
      </c>
      <c r="V6643">
        <v>0.18149870000000001</v>
      </c>
      <c r="W6643">
        <v>-1.7371319999999999E-2</v>
      </c>
      <c r="X6643">
        <v>0.98323769999999999</v>
      </c>
      <c r="Y6643">
        <v>0.4419729</v>
      </c>
      <c r="Z6643">
        <v>-1.9862319999999999E-2</v>
      </c>
      <c r="AA6643">
        <v>0.89680839999999995</v>
      </c>
      <c r="AB6643">
        <v>20</v>
      </c>
      <c r="AC6643">
        <v>46.712299999999999</v>
      </c>
      <c r="AD6643">
        <v>-1.107579336688</v>
      </c>
      <c r="AE6643">
        <v>22.123799999999999</v>
      </c>
      <c r="AF6643">
        <v>22.884292127494199</v>
      </c>
      <c r="AG6643">
        <v>-1.107579336688</v>
      </c>
      <c r="AH6643">
        <v>46.318019133612403</v>
      </c>
      <c r="AI6643">
        <v>91.228153421142693</v>
      </c>
      <c r="AJ6643">
        <v>63.707455507970899</v>
      </c>
      <c r="AK6643">
        <v>51.674717750803801</v>
      </c>
      <c r="AL6643">
        <v>90.995353426976394</v>
      </c>
      <c r="AM6643">
        <v>79.541336636458894</v>
      </c>
      <c r="AN6643">
        <v>0.99999995778076001</v>
      </c>
    </row>
    <row r="6644" spans="1:40" x14ac:dyDescent="0.3">
      <c r="A6644" t="str">
        <f>"20200111160641771"</f>
        <v>20200111160641771</v>
      </c>
      <c r="B6644" t="str">
        <f>"1578730001759580"</f>
        <v>1578730001759580</v>
      </c>
      <c r="C6644" t="s">
        <v>40</v>
      </c>
      <c r="D6644">
        <v>5.8108129999999996</v>
      </c>
      <c r="E6644">
        <v>0.59988929999999996</v>
      </c>
      <c r="F6644" t="s">
        <v>41</v>
      </c>
      <c r="G6644">
        <v>-169.0658</v>
      </c>
      <c r="H6644" s="1">
        <v>-1.7400230000000001E-6</v>
      </c>
      <c r="I6644">
        <v>134.3657</v>
      </c>
      <c r="J6644">
        <v>-184.29750000000001</v>
      </c>
      <c r="K6644">
        <v>1.1074900000000001</v>
      </c>
      <c r="L6644">
        <v>126.94970000000001</v>
      </c>
      <c r="M6644">
        <v>0.62277249999999995</v>
      </c>
      <c r="N6644">
        <v>0</v>
      </c>
      <c r="O6644">
        <v>0.78228319999999996</v>
      </c>
      <c r="P6644">
        <v>0.75412159999999995</v>
      </c>
      <c r="Q6644">
        <v>-2.998342E-2</v>
      </c>
      <c r="R6644">
        <v>0.65605000000000002</v>
      </c>
      <c r="S6644">
        <v>2.7857820000000002</v>
      </c>
      <c r="T6644">
        <v>-0.201712</v>
      </c>
      <c r="U6644">
        <v>1.3645780000000001</v>
      </c>
      <c r="V6644">
        <v>0.1812569</v>
      </c>
      <c r="W6644">
        <v>-1.7859440000000001E-2</v>
      </c>
      <c r="X6644">
        <v>0.98327359999999997</v>
      </c>
      <c r="Y6644">
        <v>0.42663030000000002</v>
      </c>
      <c r="Z6644">
        <v>-5.9856140000000002E-2</v>
      </c>
      <c r="AA6644">
        <v>0.9024432</v>
      </c>
      <c r="AB6644">
        <v>20</v>
      </c>
      <c r="AC6644">
        <v>15.2317</v>
      </c>
      <c r="AD6644">
        <v>-1.10749174002299</v>
      </c>
      <c r="AE6644">
        <v>7.4159999999999897</v>
      </c>
      <c r="AF6644">
        <v>7.2666510694036104</v>
      </c>
      <c r="AG6644">
        <v>-1.10749174002299</v>
      </c>
      <c r="AH6644">
        <v>15.223668525673</v>
      </c>
      <c r="AI6644">
        <v>93.756212143968895</v>
      </c>
      <c r="AJ6644">
        <v>64.483648921894599</v>
      </c>
      <c r="AK6644">
        <v>16.905349422542201</v>
      </c>
      <c r="AL6644">
        <v>91.023324943391998</v>
      </c>
      <c r="AM6644">
        <v>79.555336202750794</v>
      </c>
      <c r="AN6644">
        <v>0.99999999792584104</v>
      </c>
    </row>
    <row r="6645" spans="1:40" x14ac:dyDescent="0.3">
      <c r="A6645" t="str">
        <f>"20200111160641783"</f>
        <v>20200111160641783</v>
      </c>
      <c r="B6645" t="str">
        <f>"1578730001779099"</f>
        <v>1578730001779099</v>
      </c>
      <c r="C6645" t="s">
        <v>40</v>
      </c>
      <c r="D6645">
        <v>5.8117760000000001</v>
      </c>
      <c r="E6645">
        <v>0.59713909999999903</v>
      </c>
      <c r="F6645" t="s">
        <v>75</v>
      </c>
      <c r="G6645">
        <v>-172.983</v>
      </c>
      <c r="H6645" s="1">
        <v>-2.2001369999999999E-6</v>
      </c>
      <c r="I6645">
        <v>132.56270000000001</v>
      </c>
      <c r="J6645">
        <v>-184.22579999999999</v>
      </c>
      <c r="K6645">
        <v>1.1073930000000001</v>
      </c>
      <c r="L6645">
        <v>127.03440000000001</v>
      </c>
      <c r="M6645">
        <v>0.6252105</v>
      </c>
      <c r="N6645">
        <v>0</v>
      </c>
      <c r="O6645">
        <v>0.78033589999999997</v>
      </c>
      <c r="P6645">
        <v>0.7560057</v>
      </c>
      <c r="Q6645">
        <v>-3.0615239999999998E-2</v>
      </c>
      <c r="R6645">
        <v>0.65384869999999995</v>
      </c>
      <c r="S6645">
        <v>2.7713320000000001</v>
      </c>
      <c r="T6645">
        <v>-0.27126420000000001</v>
      </c>
      <c r="U6645">
        <v>1.374817</v>
      </c>
      <c r="V6645">
        <v>0.1810264</v>
      </c>
      <c r="W6645">
        <v>-1.85232E-2</v>
      </c>
      <c r="X6645">
        <v>0.98330379999999995</v>
      </c>
      <c r="Y6645">
        <v>0.41767109999999902</v>
      </c>
      <c r="Z6645">
        <v>-8.0209459999999996E-2</v>
      </c>
      <c r="AA6645">
        <v>0.90505100000000005</v>
      </c>
      <c r="AB6645">
        <v>20</v>
      </c>
      <c r="AC6645">
        <v>11.2427999999999</v>
      </c>
      <c r="AD6645">
        <v>-1.107395200137</v>
      </c>
      <c r="AE6645">
        <v>5.5282999999999998</v>
      </c>
      <c r="AF6645">
        <v>5.2760871133276002</v>
      </c>
      <c r="AG6645">
        <v>-1.107395200137</v>
      </c>
      <c r="AH6645">
        <v>11.2561696834623</v>
      </c>
      <c r="AI6645">
        <v>95.090520094506005</v>
      </c>
      <c r="AJ6645">
        <v>64.886176814305202</v>
      </c>
      <c r="AK6645">
        <v>12.4805759201891</v>
      </c>
      <c r="AL6645">
        <v>91.061361867096906</v>
      </c>
      <c r="AM6645">
        <v>79.568640018446402</v>
      </c>
      <c r="AN6645">
        <v>1.00000001476481</v>
      </c>
    </row>
    <row r="6646" spans="1:40" x14ac:dyDescent="0.3">
      <c r="A6646" t="str">
        <f>"20200111160641807"</f>
        <v>20200111160641807</v>
      </c>
      <c r="B6646" t="str">
        <f>"1578730001799595"</f>
        <v>1578730001799595</v>
      </c>
      <c r="C6646" t="s">
        <v>40</v>
      </c>
      <c r="D6646">
        <v>5.8192219999999999</v>
      </c>
      <c r="E6646">
        <v>0.59846699999999997</v>
      </c>
      <c r="F6646" t="s">
        <v>75</v>
      </c>
      <c r="G6646">
        <v>-175.2893</v>
      </c>
      <c r="H6646" s="1">
        <v>-2.9761760000000002E-6</v>
      </c>
      <c r="I6646">
        <v>131.53659999999999</v>
      </c>
      <c r="J6646">
        <v>-184.08750000000001</v>
      </c>
      <c r="K6646">
        <v>1.107219</v>
      </c>
      <c r="L6646">
        <v>127.19540000000001</v>
      </c>
      <c r="M6646">
        <v>0.6301196</v>
      </c>
      <c r="N6646">
        <v>0</v>
      </c>
      <c r="O6646">
        <v>0.77637679999999998</v>
      </c>
      <c r="P6646">
        <v>0.75979469999999905</v>
      </c>
      <c r="Q6646">
        <v>-3.1520390000000002E-2</v>
      </c>
      <c r="R6646">
        <v>0.64939859999999905</v>
      </c>
      <c r="S6646">
        <v>2.7542879999999998</v>
      </c>
      <c r="T6646">
        <v>-0.34130670000000002</v>
      </c>
      <c r="U6646">
        <v>1.3876040000000001</v>
      </c>
      <c r="V6646">
        <v>0.18055370000000001</v>
      </c>
      <c r="W6646">
        <v>-1.9483830000000001E-2</v>
      </c>
      <c r="X6646">
        <v>0.98337220000000003</v>
      </c>
      <c r="Y6646">
        <v>0.40429609999999999</v>
      </c>
      <c r="Z6646">
        <v>-0.1002178</v>
      </c>
      <c r="AA6646">
        <v>0.90912099999999996</v>
      </c>
      <c r="AB6646">
        <v>20</v>
      </c>
      <c r="AC6646">
        <v>8.7981999999999996</v>
      </c>
      <c r="AD6646">
        <v>-1.107221976176</v>
      </c>
      <c r="AE6646">
        <v>4.3411999999999802</v>
      </c>
      <c r="AF6646">
        <v>4.0441210608714</v>
      </c>
      <c r="AG6646">
        <v>-1.107221976176</v>
      </c>
      <c r="AH6646">
        <v>8.8030451535572105</v>
      </c>
      <c r="AI6646">
        <v>96.520233943094695</v>
      </c>
      <c r="AJ6646">
        <v>65.325938467026901</v>
      </c>
      <c r="AK6646">
        <v>9.7506132953306004</v>
      </c>
      <c r="AL6646">
        <v>91.116411791413498</v>
      </c>
      <c r="AM6646">
        <v>79.595990868749695</v>
      </c>
      <c r="AN6646">
        <v>1.00000007097399</v>
      </c>
    </row>
    <row r="6647" spans="1:40" x14ac:dyDescent="0.3">
      <c r="A6647" t="str">
        <f>"20200111160641818"</f>
        <v>20200111160641818</v>
      </c>
      <c r="B6647" t="str">
        <f>"1578730001809355"</f>
        <v>1578730001809355</v>
      </c>
      <c r="C6647" t="s">
        <v>40</v>
      </c>
      <c r="D6647">
        <v>5.532991</v>
      </c>
      <c r="E6647">
        <v>0.60042180000000001</v>
      </c>
      <c r="F6647" t="s">
        <v>75</v>
      </c>
      <c r="G6647">
        <v>-175.2594</v>
      </c>
      <c r="H6647" s="1">
        <v>-2.957967E-6</v>
      </c>
      <c r="I6647">
        <v>131.54239999999999</v>
      </c>
      <c r="J6647">
        <v>-184.0215</v>
      </c>
      <c r="K6647">
        <v>1.107137</v>
      </c>
      <c r="L6647">
        <v>127.27119999999999</v>
      </c>
      <c r="M6647">
        <v>0.63252940000000002</v>
      </c>
      <c r="N6647">
        <v>0</v>
      </c>
      <c r="O6647">
        <v>0.77441450000000001</v>
      </c>
      <c r="P6647">
        <v>0.76166699999999998</v>
      </c>
      <c r="Q6647">
        <v>-3.1838560000000002E-2</v>
      </c>
      <c r="R6647">
        <v>0.64718599999999904</v>
      </c>
      <c r="S6647">
        <v>2.7687529999999998</v>
      </c>
      <c r="T6647">
        <v>-0.34725869999999998</v>
      </c>
      <c r="U6647">
        <v>1.3633729999999999</v>
      </c>
      <c r="V6647">
        <v>0.18034059999999999</v>
      </c>
      <c r="W6647">
        <v>-1.9827150000000002E-2</v>
      </c>
      <c r="X6647">
        <v>0.98340439999999996</v>
      </c>
      <c r="Y6647">
        <v>0.4095435</v>
      </c>
      <c r="Z6647">
        <v>-0.1019322</v>
      </c>
      <c r="AA6647">
        <v>0.9065782</v>
      </c>
      <c r="AB6647">
        <v>20</v>
      </c>
      <c r="AC6647">
        <v>8.7621000000000002</v>
      </c>
      <c r="AD6647">
        <v>-1.107139957967</v>
      </c>
      <c r="AE6647">
        <v>4.2711999999999897</v>
      </c>
      <c r="AF6647">
        <v>4.03220632151855</v>
      </c>
      <c r="AG6647">
        <v>-1.107139957967</v>
      </c>
      <c r="AH6647">
        <v>8.7380761833261893</v>
      </c>
      <c r="AI6647">
        <v>96.562734906758706</v>
      </c>
      <c r="AJ6647">
        <v>65.228924086613404</v>
      </c>
      <c r="AK6647">
        <v>9.6870233865431405</v>
      </c>
      <c r="AL6647">
        <v>91.136086423545606</v>
      </c>
      <c r="AM6647">
        <v>79.608335454665706</v>
      </c>
      <c r="AN6647">
        <v>1.00000003091242</v>
      </c>
    </row>
    <row r="6648" spans="1:40" x14ac:dyDescent="0.3">
      <c r="A6648" t="str">
        <f>"20200111160641830"</f>
        <v>20200111160641830</v>
      </c>
      <c r="B6648" t="str">
        <f>"1578730001819115"</f>
        <v>1578730001819115</v>
      </c>
      <c r="C6648" t="s">
        <v>40</v>
      </c>
      <c r="D6648">
        <v>5.5481910000000001</v>
      </c>
      <c r="E6648">
        <v>0.60185949999999999</v>
      </c>
      <c r="F6648" t="s">
        <v>75</v>
      </c>
      <c r="G6648">
        <v>-175.3493</v>
      </c>
      <c r="H6648" s="1">
        <v>-2.987938E-6</v>
      </c>
      <c r="I6648">
        <v>131.4599</v>
      </c>
      <c r="J6648">
        <v>-183.95490000000001</v>
      </c>
      <c r="K6648">
        <v>1.107056</v>
      </c>
      <c r="L6648">
        <v>127.3472</v>
      </c>
      <c r="M6648">
        <v>0.63500310000000004</v>
      </c>
      <c r="N6648">
        <v>0</v>
      </c>
      <c r="O6648">
        <v>0.7723873</v>
      </c>
      <c r="P6648">
        <v>0.7637524</v>
      </c>
      <c r="Q6648">
        <v>-3.1981750000000003E-2</v>
      </c>
      <c r="R6648">
        <v>0.64471669999999903</v>
      </c>
      <c r="S6648">
        <v>2.7821199999999999</v>
      </c>
      <c r="T6648">
        <v>-0.3551782</v>
      </c>
      <c r="U6648">
        <v>1.34375</v>
      </c>
      <c r="V6648">
        <v>0.1803691</v>
      </c>
      <c r="W6648">
        <v>-1.9996389999999999E-2</v>
      </c>
      <c r="X6648">
        <v>0.98339569999999998</v>
      </c>
      <c r="Y6648">
        <v>0.41326499999999999</v>
      </c>
      <c r="Z6648">
        <v>-0.10410759999999999</v>
      </c>
      <c r="AA6648">
        <v>0.90464009999999995</v>
      </c>
      <c r="AB6648">
        <v>20</v>
      </c>
      <c r="AC6648">
        <v>8.6056000000000097</v>
      </c>
      <c r="AD6648">
        <v>-1.1070589879379999</v>
      </c>
      <c r="AE6648">
        <v>4.1127000000000002</v>
      </c>
      <c r="AF6648">
        <v>3.9820134390649402</v>
      </c>
      <c r="AG6648">
        <v>-1.1070589879379999</v>
      </c>
      <c r="AH6648">
        <v>8.5271168243580995</v>
      </c>
      <c r="AI6648">
        <v>96.709085103195804</v>
      </c>
      <c r="AJ6648">
        <v>64.968253462695401</v>
      </c>
      <c r="AK6648">
        <v>9.4759554646441302</v>
      </c>
      <c r="AL6648">
        <v>91.145785136082196</v>
      </c>
      <c r="AM6648">
        <v>79.606639056857006</v>
      </c>
      <c r="AN6648">
        <v>0.99999998531316603</v>
      </c>
    </row>
    <row r="6649" spans="1:40" x14ac:dyDescent="0.3">
      <c r="A6649" t="str">
        <f>"20200111160641842"</f>
        <v>20200111160641842</v>
      </c>
      <c r="B6649" t="str">
        <f>"1578730001839610"</f>
        <v>1578730001839610</v>
      </c>
      <c r="C6649" t="s">
        <v>40</v>
      </c>
      <c r="D6649">
        <v>5.7483529999999998</v>
      </c>
      <c r="E6649">
        <v>0.60388339999999996</v>
      </c>
      <c r="F6649" t="s">
        <v>75</v>
      </c>
      <c r="G6649">
        <v>-175.37190000000001</v>
      </c>
      <c r="H6649" s="1">
        <v>-2.9887560000000001E-6</v>
      </c>
      <c r="I6649">
        <v>131.42140000000001</v>
      </c>
      <c r="J6649">
        <v>-183.88220000000001</v>
      </c>
      <c r="K6649">
        <v>1.1069690000000001</v>
      </c>
      <c r="L6649">
        <v>127.42959999999999</v>
      </c>
      <c r="M6649">
        <v>0.63773230000000003</v>
      </c>
      <c r="N6649">
        <v>0</v>
      </c>
      <c r="O6649">
        <v>0.77013509999999996</v>
      </c>
      <c r="P6649">
        <v>0.76585969999999903</v>
      </c>
      <c r="Q6649">
        <v>-3.1958269999999997E-2</v>
      </c>
      <c r="R6649">
        <v>0.64221300000000003</v>
      </c>
      <c r="S6649">
        <v>2.7935029999999998</v>
      </c>
      <c r="T6649">
        <v>-0.36031000000000002</v>
      </c>
      <c r="U6649">
        <v>1.3260350000000001</v>
      </c>
      <c r="V6649">
        <v>0.18010499999999999</v>
      </c>
      <c r="W6649">
        <v>-1.9996799999999999E-2</v>
      </c>
      <c r="X6649">
        <v>0.98344410000000004</v>
      </c>
      <c r="Y6649">
        <v>0.4159947</v>
      </c>
      <c r="Z6649">
        <v>-0.1054348</v>
      </c>
      <c r="AA6649">
        <v>0.90323410000000004</v>
      </c>
      <c r="AB6649">
        <v>19</v>
      </c>
      <c r="AC6649">
        <v>8.5103000000000009</v>
      </c>
      <c r="AD6649">
        <v>-1.1069719887559999</v>
      </c>
      <c r="AE6649">
        <v>3.9918000000000098</v>
      </c>
      <c r="AF6649">
        <v>3.9539269451366201</v>
      </c>
      <c r="AG6649">
        <v>-1.1069719887559999</v>
      </c>
      <c r="AH6649">
        <v>8.3860250463914099</v>
      </c>
      <c r="AI6649">
        <v>96.808675657538203</v>
      </c>
      <c r="AJ6649">
        <v>64.756591208154006</v>
      </c>
      <c r="AK6649">
        <v>9.3372555577145793</v>
      </c>
      <c r="AL6649">
        <v>91.145808626186493</v>
      </c>
      <c r="AM6649">
        <v>79.622025956635099</v>
      </c>
      <c r="AN6649">
        <v>0.99999999043002497</v>
      </c>
    </row>
    <row r="6650" spans="1:40" x14ac:dyDescent="0.3">
      <c r="A6650" t="str">
        <f>"20200111160641856"</f>
        <v>20200111160641856</v>
      </c>
      <c r="B6650" t="str">
        <f>"1578730001849370"</f>
        <v>1578730001849370</v>
      </c>
      <c r="C6650" t="s">
        <v>40</v>
      </c>
      <c r="D6650">
        <v>5.4128819999999997</v>
      </c>
      <c r="E6650">
        <v>0.60530390000000001</v>
      </c>
      <c r="F6650" t="s">
        <v>75</v>
      </c>
      <c r="G6650">
        <v>-175.10310000000001</v>
      </c>
      <c r="H6650" s="1">
        <v>-2.8374289999999999E-6</v>
      </c>
      <c r="I6650">
        <v>131.50569999999999</v>
      </c>
      <c r="J6650">
        <v>-183.80189999999999</v>
      </c>
      <c r="K6650">
        <v>1.106881</v>
      </c>
      <c r="L6650">
        <v>127.5194</v>
      </c>
      <c r="M6650">
        <v>0.64082099999999997</v>
      </c>
      <c r="N6650">
        <v>0</v>
      </c>
      <c r="O6650">
        <v>0.76756669999999905</v>
      </c>
      <c r="P6650">
        <v>0.76817639999999998</v>
      </c>
      <c r="Q6650">
        <v>-3.2238990000000002E-2</v>
      </c>
      <c r="R6650">
        <v>0.6394261</v>
      </c>
      <c r="S6650">
        <v>2.808792</v>
      </c>
      <c r="T6650">
        <v>-0.35416540000000002</v>
      </c>
      <c r="U6650">
        <v>1.3041229999999999</v>
      </c>
      <c r="V6650">
        <v>0.1797116</v>
      </c>
      <c r="W6650">
        <v>-2.029885E-2</v>
      </c>
      <c r="X6650">
        <v>0.98350990000000005</v>
      </c>
      <c r="Y6650">
        <v>0.42025610000000002</v>
      </c>
      <c r="Z6650">
        <v>-0.1034694</v>
      </c>
      <c r="AA6650">
        <v>0.90148709999999999</v>
      </c>
      <c r="AB6650">
        <v>19</v>
      </c>
      <c r="AC6650">
        <v>8.6987999999999701</v>
      </c>
      <c r="AD6650">
        <v>-1.106883837429</v>
      </c>
      <c r="AE6650">
        <v>3.98629999999998</v>
      </c>
      <c r="AF6650">
        <v>4.06835568307699</v>
      </c>
      <c r="AG6650">
        <v>-1.106883837429</v>
      </c>
      <c r="AH6650">
        <v>8.5209229872465606</v>
      </c>
      <c r="AI6650">
        <v>96.686021823775803</v>
      </c>
      <c r="AJ6650">
        <v>64.477633041990302</v>
      </c>
      <c r="AK6650">
        <v>9.5069889212185998</v>
      </c>
      <c r="AL6650">
        <v>91.163118304095093</v>
      </c>
      <c r="AM6650">
        <v>79.644881229537702</v>
      </c>
      <c r="AN6650">
        <v>1.00000001294194</v>
      </c>
    </row>
    <row r="6651" spans="1:40" x14ac:dyDescent="0.3">
      <c r="A6651" t="str">
        <f>"20200111160641869"</f>
        <v>20200111160641869</v>
      </c>
      <c r="B6651" t="str">
        <f>"1578730001859130"</f>
        <v>1578730001859130</v>
      </c>
      <c r="C6651" t="s">
        <v>40</v>
      </c>
      <c r="D6651">
        <v>5.5280230000000001</v>
      </c>
      <c r="E6651">
        <v>0.60598240000000003</v>
      </c>
      <c r="F6651" t="s">
        <v>75</v>
      </c>
      <c r="G6651">
        <v>-175.03970000000001</v>
      </c>
      <c r="H6651" s="1">
        <v>-2.7965689999999998E-6</v>
      </c>
      <c r="I6651">
        <v>131.512</v>
      </c>
      <c r="J6651">
        <v>-183.7253</v>
      </c>
      <c r="K6651">
        <v>1.1067940000000001</v>
      </c>
      <c r="L6651">
        <v>127.6044</v>
      </c>
      <c r="M6651">
        <v>0.64379659999999905</v>
      </c>
      <c r="N6651">
        <v>0</v>
      </c>
      <c r="O6651">
        <v>0.76507230000000004</v>
      </c>
      <c r="P6651">
        <v>0.770298699999999</v>
      </c>
      <c r="Q6651">
        <v>-3.2800889999999999E-2</v>
      </c>
      <c r="R6651">
        <v>0.63683919999999905</v>
      </c>
      <c r="S6651">
        <v>2.8205719999999999</v>
      </c>
      <c r="T6651">
        <v>-0.35631079999999998</v>
      </c>
      <c r="U6651">
        <v>1.2852330000000001</v>
      </c>
      <c r="V6651">
        <v>0.17917259999999999</v>
      </c>
      <c r="W6651">
        <v>-2.087791E-2</v>
      </c>
      <c r="X6651">
        <v>0.98359609999999997</v>
      </c>
      <c r="Y6651">
        <v>0.42310039999999999</v>
      </c>
      <c r="Z6651">
        <v>-0.10391010000000001</v>
      </c>
      <c r="AA6651">
        <v>0.90010480000000004</v>
      </c>
      <c r="AB6651">
        <v>19</v>
      </c>
      <c r="AC6651">
        <v>8.6855999999999902</v>
      </c>
      <c r="AD6651">
        <v>-1.106796796569</v>
      </c>
      <c r="AE6651">
        <v>3.9076</v>
      </c>
      <c r="AF6651">
        <v>4.0747766678487398</v>
      </c>
      <c r="AG6651">
        <v>-1.106796796569</v>
      </c>
      <c r="AH6651">
        <v>8.4678174829918404</v>
      </c>
      <c r="AI6651">
        <v>96.717303140445196</v>
      </c>
      <c r="AJ6651">
        <v>64.302794640184004</v>
      </c>
      <c r="AK6651">
        <v>9.4621740084930792</v>
      </c>
      <c r="AL6651">
        <v>91.196303050240402</v>
      </c>
      <c r="AM6651">
        <v>79.676155237662798</v>
      </c>
      <c r="AN6651">
        <v>0.99999999782596805</v>
      </c>
    </row>
    <row r="6652" spans="1:40" x14ac:dyDescent="0.3">
      <c r="A6652" t="str">
        <f>"20200111160641881"</f>
        <v>20200111160641881</v>
      </c>
      <c r="B6652" t="str">
        <f>"1578730001869867"</f>
        <v>1578730001869867</v>
      </c>
      <c r="C6652" t="s">
        <v>40</v>
      </c>
      <c r="D6652">
        <v>5.5364139999999997</v>
      </c>
      <c r="E6652">
        <v>0.60647109999999904</v>
      </c>
      <c r="F6652" t="s">
        <v>75</v>
      </c>
      <c r="G6652">
        <v>-175.0438</v>
      </c>
      <c r="H6652" s="1">
        <v>-2.7979069999999999E-6</v>
      </c>
      <c r="I6652">
        <v>131.50819999999999</v>
      </c>
      <c r="J6652">
        <v>-183.65479999999999</v>
      </c>
      <c r="K6652">
        <v>1.1067229999999999</v>
      </c>
      <c r="L6652">
        <v>127.682</v>
      </c>
      <c r="M6652">
        <v>0.64656619999999998</v>
      </c>
      <c r="N6652">
        <v>0</v>
      </c>
      <c r="O6652">
        <v>0.76273299999999999</v>
      </c>
      <c r="P6652">
        <v>0.77239480000000005</v>
      </c>
      <c r="Q6652">
        <v>-3.2904460000000003E-2</v>
      </c>
      <c r="R6652">
        <v>0.63428989999999996</v>
      </c>
      <c r="S6652">
        <v>2.8279420000000002</v>
      </c>
      <c r="T6652">
        <v>-0.3605332</v>
      </c>
      <c r="U6652">
        <v>1.2716369999999999</v>
      </c>
      <c r="V6652">
        <v>0.17884929999999999</v>
      </c>
      <c r="W6652">
        <v>-2.0997640000000001E-2</v>
      </c>
      <c r="X6652">
        <v>0.98365239999999998</v>
      </c>
      <c r="Y6652">
        <v>0.42416409999999999</v>
      </c>
      <c r="Z6652">
        <v>-0.1049413</v>
      </c>
      <c r="AA6652">
        <v>0.89948439999999996</v>
      </c>
      <c r="AB6652">
        <v>19</v>
      </c>
      <c r="AC6652">
        <v>8.61099999999999</v>
      </c>
      <c r="AD6652">
        <v>-1.106725797907</v>
      </c>
      <c r="AE6652">
        <v>3.8261999999999801</v>
      </c>
      <c r="AF6652">
        <v>4.0386789255305802</v>
      </c>
      <c r="AG6652">
        <v>-1.106725797907</v>
      </c>
      <c r="AH6652">
        <v>8.3712776428779296</v>
      </c>
      <c r="AI6652">
        <v>96.790361527693094</v>
      </c>
      <c r="AJ6652">
        <v>64.245258770799595</v>
      </c>
      <c r="AK6652">
        <v>9.3602381823020799</v>
      </c>
      <c r="AL6652">
        <v>91.203164565261801</v>
      </c>
      <c r="AM6652">
        <v>79.694961312969596</v>
      </c>
      <c r="AN6652">
        <v>1.0000000085109</v>
      </c>
    </row>
    <row r="6653" spans="1:40" x14ac:dyDescent="0.3">
      <c r="A6653" t="str">
        <f>"20200111160641893"</f>
        <v>20200111160641893</v>
      </c>
      <c r="B6653" t="str">
        <f>"1578730001889387"</f>
        <v>1578730001889387</v>
      </c>
      <c r="C6653" t="s">
        <v>40</v>
      </c>
      <c r="D6653">
        <v>5.6145569999999996</v>
      </c>
      <c r="E6653">
        <v>0.60687630000000004</v>
      </c>
      <c r="F6653" t="s">
        <v>75</v>
      </c>
      <c r="G6653">
        <v>-175.01509999999999</v>
      </c>
      <c r="H6653" s="1">
        <v>-2.7831379999999999E-6</v>
      </c>
      <c r="I6653">
        <v>131.52090000000001</v>
      </c>
      <c r="J6653">
        <v>-183.5872</v>
      </c>
      <c r="K6653">
        <v>1.106662</v>
      </c>
      <c r="L6653">
        <v>127.75539999999999</v>
      </c>
      <c r="M6653">
        <v>0.64926649999999997</v>
      </c>
      <c r="N6653">
        <v>0</v>
      </c>
      <c r="O6653">
        <v>0.76043549999999904</v>
      </c>
      <c r="P6653">
        <v>0.77448649999999997</v>
      </c>
      <c r="Q6653">
        <v>-3.2987170000000003E-2</v>
      </c>
      <c r="R6653">
        <v>0.63172969999999995</v>
      </c>
      <c r="S6653">
        <v>2.8343509999999998</v>
      </c>
      <c r="T6653">
        <v>-0.36307220000000001</v>
      </c>
      <c r="U6653">
        <v>1.2593989999999999</v>
      </c>
      <c r="V6653">
        <v>0.17861079999999999</v>
      </c>
      <c r="W6653">
        <v>-2.1093379999999998E-2</v>
      </c>
      <c r="X6653">
        <v>0.9836937</v>
      </c>
      <c r="Y6653">
        <v>0.4248807</v>
      </c>
      <c r="Z6653">
        <v>-0.10548</v>
      </c>
      <c r="AA6653">
        <v>0.89908310000000002</v>
      </c>
      <c r="AB6653">
        <v>19</v>
      </c>
      <c r="AC6653">
        <v>8.5721000000000007</v>
      </c>
      <c r="AD6653">
        <v>-1.1066647831380001</v>
      </c>
      <c r="AE6653">
        <v>3.7655000000000101</v>
      </c>
      <c r="AF6653">
        <v>4.0179694205444196</v>
      </c>
      <c r="AG6653">
        <v>-1.1066647831380001</v>
      </c>
      <c r="AH6653">
        <v>8.3136507209311397</v>
      </c>
      <c r="AI6653">
        <v>96.834350470413796</v>
      </c>
      <c r="AJ6653">
        <v>64.205622122776205</v>
      </c>
      <c r="AK6653">
        <v>9.2997620139607307</v>
      </c>
      <c r="AL6653">
        <v>91.2086512620604</v>
      </c>
      <c r="AM6653">
        <v>79.708832323026897</v>
      </c>
      <c r="AN6653">
        <v>1.00000002198807</v>
      </c>
    </row>
    <row r="6654" spans="1:40" x14ac:dyDescent="0.3">
      <c r="A6654" t="str">
        <f>"20200111160641905"</f>
        <v>20200111160641905</v>
      </c>
      <c r="B6654" t="str">
        <f>"1578730001899147"</f>
        <v>1578730001899147</v>
      </c>
      <c r="C6654" t="s">
        <v>40</v>
      </c>
      <c r="D6654">
        <v>5.4888909999999997</v>
      </c>
      <c r="E6654">
        <v>0.60753489999999999</v>
      </c>
      <c r="F6654" t="s">
        <v>75</v>
      </c>
      <c r="G6654">
        <v>-175.07400000000001</v>
      </c>
      <c r="H6654" s="1">
        <v>-2.8140160000000001E-6</v>
      </c>
      <c r="I6654">
        <v>131.49639999999999</v>
      </c>
      <c r="J6654">
        <v>-183.51900000000001</v>
      </c>
      <c r="K6654">
        <v>1.1066049999999901</v>
      </c>
      <c r="L6654">
        <v>127.82940000000001</v>
      </c>
      <c r="M6654">
        <v>0.65200279999999999</v>
      </c>
      <c r="N6654">
        <v>0</v>
      </c>
      <c r="O6654">
        <v>0.7580905</v>
      </c>
      <c r="P6654">
        <v>0.77661199999999997</v>
      </c>
      <c r="Q6654">
        <v>-3.2706159999999998E-2</v>
      </c>
      <c r="R6654">
        <v>0.62912979999999996</v>
      </c>
      <c r="S6654">
        <v>2.8399049999999999</v>
      </c>
      <c r="T6654">
        <v>-0.3691682</v>
      </c>
      <c r="U6654">
        <v>1.247925</v>
      </c>
      <c r="V6654">
        <v>0.17837210000000001</v>
      </c>
      <c r="W6654">
        <v>-2.0824700000000002E-2</v>
      </c>
      <c r="X6654">
        <v>0.98374269999999997</v>
      </c>
      <c r="Y6654">
        <v>0.42511320000000002</v>
      </c>
      <c r="Z6654">
        <v>-0.1070255</v>
      </c>
      <c r="AA6654">
        <v>0.89879050000000005</v>
      </c>
      <c r="AB6654">
        <v>19</v>
      </c>
      <c r="AC6654">
        <v>8.4449999999999896</v>
      </c>
      <c r="AD6654">
        <v>-1.1066078140159901</v>
      </c>
      <c r="AE6654">
        <v>3.6669999999999798</v>
      </c>
      <c r="AF6654">
        <v>3.9544345310186602</v>
      </c>
      <c r="AG6654">
        <v>-1.1066078140159901</v>
      </c>
      <c r="AH6654">
        <v>8.1688597390230608</v>
      </c>
      <c r="AI6654">
        <v>96.951828725197004</v>
      </c>
      <c r="AJ6654">
        <v>64.169003643497405</v>
      </c>
      <c r="AK6654">
        <v>9.1428880967660309</v>
      </c>
      <c r="AL6654">
        <v>91.193253691760205</v>
      </c>
      <c r="AM6654">
        <v>79.722793394151694</v>
      </c>
      <c r="AN6654">
        <v>0.99999998699589399</v>
      </c>
    </row>
    <row r="6655" spans="1:40" x14ac:dyDescent="0.3">
      <c r="A6655" t="str">
        <f>"20200111160641915"</f>
        <v>20200111160641915</v>
      </c>
      <c r="B6655" t="str">
        <f>"1578730001909883"</f>
        <v>1578730001909883</v>
      </c>
      <c r="C6655" t="s">
        <v>40</v>
      </c>
      <c r="D6655">
        <v>5.6692609999999997</v>
      </c>
      <c r="E6655">
        <v>0.60762019999999906</v>
      </c>
      <c r="F6655" t="s">
        <v>75</v>
      </c>
      <c r="G6655">
        <v>-174.9776</v>
      </c>
      <c r="H6655" s="1">
        <v>-2.7618890000000001E-6</v>
      </c>
      <c r="I6655">
        <v>131.53229999999999</v>
      </c>
      <c r="J6655">
        <v>-183.45</v>
      </c>
      <c r="K6655">
        <v>1.1065499999999999</v>
      </c>
      <c r="L6655">
        <v>127.90309999999999</v>
      </c>
      <c r="M6655">
        <v>0.65481599999999995</v>
      </c>
      <c r="N6655">
        <v>0</v>
      </c>
      <c r="O6655">
        <v>0.75566149999999999</v>
      </c>
      <c r="P6655">
        <v>0.77887390000000001</v>
      </c>
      <c r="Q6655">
        <v>-3.2997150000000003E-2</v>
      </c>
      <c r="R6655">
        <v>0.62631210000000004</v>
      </c>
      <c r="S6655">
        <v>2.847397</v>
      </c>
      <c r="T6655">
        <v>-0.36890450000000002</v>
      </c>
      <c r="U6655">
        <v>1.2344059999999999</v>
      </c>
      <c r="V6655">
        <v>0.17826449999999999</v>
      </c>
      <c r="W6655">
        <v>-2.1126559999999999E-2</v>
      </c>
      <c r="X6655">
        <v>0.98375579999999996</v>
      </c>
      <c r="Y6655">
        <v>0.42623620000000001</v>
      </c>
      <c r="Z6655">
        <v>-0.1067394</v>
      </c>
      <c r="AA6655">
        <v>0.89829249999999905</v>
      </c>
      <c r="AB6655">
        <v>19</v>
      </c>
      <c r="AC6655">
        <v>8.4723999999999897</v>
      </c>
      <c r="AD6655">
        <v>-1.1065527618890001</v>
      </c>
      <c r="AE6655">
        <v>3.6291999999999902</v>
      </c>
      <c r="AF6655">
        <v>3.9689874842375601</v>
      </c>
      <c r="AG6655">
        <v>-1.1065527618890001</v>
      </c>
      <c r="AH6655">
        <v>8.17329928412836</v>
      </c>
      <c r="AI6655">
        <v>96.943649778841703</v>
      </c>
      <c r="AJ6655">
        <v>64.098601206941893</v>
      </c>
      <c r="AK6655">
        <v>9.1531492860551502</v>
      </c>
      <c r="AL6655">
        <v>91.210552763614601</v>
      </c>
      <c r="AM6655">
        <v>79.728994803535201</v>
      </c>
      <c r="AN6655">
        <v>1.0000000187656599</v>
      </c>
    </row>
    <row r="6656" spans="1:40" x14ac:dyDescent="0.3">
      <c r="A6656" t="str">
        <f>"20200111160641926"</f>
        <v>20200111160641926</v>
      </c>
      <c r="B6656" t="str">
        <f>"1578730001919643"</f>
        <v>1578730001919643</v>
      </c>
      <c r="C6656" t="s">
        <v>40</v>
      </c>
      <c r="D6656">
        <v>5.5836779999999999</v>
      </c>
      <c r="E6656">
        <v>0.60782449999999999</v>
      </c>
      <c r="F6656" t="s">
        <v>75</v>
      </c>
      <c r="G6656">
        <v>-174.9906</v>
      </c>
      <c r="H6656" s="1">
        <v>-2.7709649999999999E-6</v>
      </c>
      <c r="I6656">
        <v>131.53290000000001</v>
      </c>
      <c r="J6656">
        <v>-183.38579999999999</v>
      </c>
      <c r="K6656">
        <v>1.106498</v>
      </c>
      <c r="L6656">
        <v>127.9713</v>
      </c>
      <c r="M6656">
        <v>0.65743799999999997</v>
      </c>
      <c r="N6656">
        <v>0</v>
      </c>
      <c r="O6656">
        <v>0.75338130000000003</v>
      </c>
      <c r="P6656">
        <v>0.78084089999999995</v>
      </c>
      <c r="Q6656">
        <v>-3.3232949999999997E-2</v>
      </c>
      <c r="R6656">
        <v>0.62384549999999905</v>
      </c>
      <c r="S6656">
        <v>2.8518979999999998</v>
      </c>
      <c r="T6656">
        <v>-0.37304890000000002</v>
      </c>
      <c r="U6656">
        <v>1.2237089999999999</v>
      </c>
      <c r="V6656">
        <v>0.17794499999999999</v>
      </c>
      <c r="W6656">
        <v>-2.1369030000000001E-2</v>
      </c>
      <c r="X6656">
        <v>0.98380840000000003</v>
      </c>
      <c r="Y6656">
        <v>0.42631910000000001</v>
      </c>
      <c r="Z6656">
        <v>-0.1077333</v>
      </c>
      <c r="AA6656">
        <v>0.89813449999999995</v>
      </c>
      <c r="AB6656">
        <v>19</v>
      </c>
      <c r="AC6656">
        <v>8.3951999999999796</v>
      </c>
      <c r="AD6656">
        <v>-1.1065007709650001</v>
      </c>
      <c r="AE6656">
        <v>3.5616000000000101</v>
      </c>
      <c r="AF6656">
        <v>3.9258415982454098</v>
      </c>
      <c r="AG6656">
        <v>-1.1065007709650001</v>
      </c>
      <c r="AH6656">
        <v>8.08433605641026</v>
      </c>
      <c r="AI6656">
        <v>97.018957177007294</v>
      </c>
      <c r="AJ6656">
        <v>64.0982856710514</v>
      </c>
      <c r="AK6656">
        <v>9.0550022464732294</v>
      </c>
      <c r="AL6656">
        <v>91.224448414954395</v>
      </c>
      <c r="AM6656">
        <v>79.747549061475198</v>
      </c>
      <c r="AN6656">
        <v>1.0000000131893501</v>
      </c>
    </row>
    <row r="6657" spans="1:40" x14ac:dyDescent="0.3">
      <c r="A6657" t="str">
        <f>"20200111160641937"</f>
        <v>20200111160641937</v>
      </c>
      <c r="B6657" t="str">
        <f>"1578730001929403"</f>
        <v>1578730001929403</v>
      </c>
      <c r="C6657" t="s">
        <v>40</v>
      </c>
      <c r="D6657">
        <v>5.6127089999999997</v>
      </c>
      <c r="E6657">
        <v>0.6078538</v>
      </c>
      <c r="F6657" t="s">
        <v>75</v>
      </c>
      <c r="G6657">
        <v>-174.98480000000001</v>
      </c>
      <c r="H6657" s="1">
        <v>-2.7699680000000001E-6</v>
      </c>
      <c r="I6657">
        <v>131.54069999999999</v>
      </c>
      <c r="J6657">
        <v>-183.31739999999999</v>
      </c>
      <c r="K6657">
        <v>1.106447</v>
      </c>
      <c r="L6657">
        <v>128.04329999999999</v>
      </c>
      <c r="M6657">
        <v>0.66025909999999999</v>
      </c>
      <c r="N6657">
        <v>0</v>
      </c>
      <c r="O6657">
        <v>0.75090990000000002</v>
      </c>
      <c r="P6657">
        <v>0.78295839999999906</v>
      </c>
      <c r="Q6657">
        <v>-3.3683869999999998E-2</v>
      </c>
      <c r="R6657">
        <v>0.62116159999999998</v>
      </c>
      <c r="S6657">
        <v>2.8563999999999998</v>
      </c>
      <c r="T6657">
        <v>-0.37621569999999999</v>
      </c>
      <c r="U6657">
        <v>1.213608</v>
      </c>
      <c r="V6657">
        <v>0.17761070000000001</v>
      </c>
      <c r="W6657">
        <v>-2.1824079999999999E-2</v>
      </c>
      <c r="X6657">
        <v>0.98385880000000003</v>
      </c>
      <c r="Y6657">
        <v>0.4260333</v>
      </c>
      <c r="Z6657">
        <v>-0.10839940000000001</v>
      </c>
      <c r="AA6657">
        <v>0.89818999999999904</v>
      </c>
      <c r="AB6657">
        <v>19</v>
      </c>
      <c r="AC6657">
        <v>8.3325999999999798</v>
      </c>
      <c r="AD6657">
        <v>-1.106449769968</v>
      </c>
      <c r="AE6657">
        <v>3.4973999999999901</v>
      </c>
      <c r="AF6657">
        <v>3.8899073148979699</v>
      </c>
      <c r="AG6657">
        <v>-1.106449769968</v>
      </c>
      <c r="AH6657">
        <v>8.00863070528926</v>
      </c>
      <c r="AI6657">
        <v>97.084027554552605</v>
      </c>
      <c r="AJ6657">
        <v>64.093486372049298</v>
      </c>
      <c r="AK6657">
        <v>8.9718323538539799</v>
      </c>
      <c r="AL6657">
        <v>91.250526964695993</v>
      </c>
      <c r="AM6657">
        <v>79.766915794150407</v>
      </c>
      <c r="AN6657">
        <v>0.99999999477988799</v>
      </c>
    </row>
    <row r="6658" spans="1:40" x14ac:dyDescent="0.3">
      <c r="A6658" t="str">
        <f>"20200111160641950"</f>
        <v>20200111160641950</v>
      </c>
      <c r="B6658" t="str">
        <f>"1578730001939163"</f>
        <v>1578730001939163</v>
      </c>
      <c r="C6658" t="s">
        <v>40</v>
      </c>
      <c r="D6658">
        <v>5.652825</v>
      </c>
      <c r="E6658">
        <v>0.607935</v>
      </c>
      <c r="F6658" t="s">
        <v>75</v>
      </c>
      <c r="G6658">
        <v>-174.97880000000001</v>
      </c>
      <c r="H6658" s="1">
        <v>-2.7702440000000001E-6</v>
      </c>
      <c r="I6658">
        <v>131.5521</v>
      </c>
      <c r="J6658">
        <v>-183.2432</v>
      </c>
      <c r="K6658">
        <v>1.1064020000000001</v>
      </c>
      <c r="L6658">
        <v>128.1207</v>
      </c>
      <c r="M6658">
        <v>0.66333319999999996</v>
      </c>
      <c r="N6658">
        <v>0</v>
      </c>
      <c r="O6658">
        <v>0.74819539999999995</v>
      </c>
      <c r="P6658">
        <v>0.78530889999999998</v>
      </c>
      <c r="Q6658">
        <v>-3.4113400000000002E-2</v>
      </c>
      <c r="R6658">
        <v>0.61816359999999904</v>
      </c>
      <c r="S6658">
        <v>2.8603670000000001</v>
      </c>
      <c r="T6658">
        <v>-0.37954260000000001</v>
      </c>
      <c r="U6658">
        <v>1.2036290000000001</v>
      </c>
      <c r="V6658">
        <v>0.17731649999999999</v>
      </c>
      <c r="W6658">
        <v>-2.2257519999999999E-2</v>
      </c>
      <c r="X6658">
        <v>0.98390219999999995</v>
      </c>
      <c r="Y6658">
        <v>0.4253325</v>
      </c>
      <c r="Z6658">
        <v>-0.1090787</v>
      </c>
      <c r="AA6658">
        <v>0.89843980000000001</v>
      </c>
      <c r="AB6658">
        <v>19</v>
      </c>
      <c r="AC6658">
        <v>8.2643999999999895</v>
      </c>
      <c r="AD6658">
        <v>-1.1064047702439901</v>
      </c>
      <c r="AE6658">
        <v>3.4313999999999898</v>
      </c>
      <c r="AF6658">
        <v>3.8487636662554601</v>
      </c>
      <c r="AG6658">
        <v>-1.1064047702439901</v>
      </c>
      <c r="AH6658">
        <v>7.9289713609539296</v>
      </c>
      <c r="AI6658">
        <v>97.155036544033095</v>
      </c>
      <c r="AJ6658">
        <v>64.107824143613996</v>
      </c>
      <c r="AK6658">
        <v>8.8828880504672902</v>
      </c>
      <c r="AL6658">
        <v>91.275367225990905</v>
      </c>
      <c r="AM6658">
        <v>79.783950058644294</v>
      </c>
      <c r="AN6658">
        <v>1.00000003876681</v>
      </c>
    </row>
    <row r="6659" spans="1:40" x14ac:dyDescent="0.3">
      <c r="A6659" t="str">
        <f>"20200111160641964"</f>
        <v>20200111160641964</v>
      </c>
      <c r="B6659" t="str">
        <f>"1578730001959658"</f>
        <v>1578730001959658</v>
      </c>
      <c r="C6659" t="s">
        <v>40</v>
      </c>
      <c r="D6659">
        <v>5.4482229999999996</v>
      </c>
      <c r="E6659">
        <v>0.60877079999999995</v>
      </c>
      <c r="F6659" t="s">
        <v>75</v>
      </c>
      <c r="G6659">
        <v>-174.9375</v>
      </c>
      <c r="H6659" s="1">
        <v>-2.756209E-6</v>
      </c>
      <c r="I6659">
        <v>131.57669999999999</v>
      </c>
      <c r="J6659">
        <v>-183.1585</v>
      </c>
      <c r="K6659">
        <v>1.1063540000000001</v>
      </c>
      <c r="L6659">
        <v>128.20840000000001</v>
      </c>
      <c r="M6659">
        <v>0.66685509999999903</v>
      </c>
      <c r="N6659">
        <v>0</v>
      </c>
      <c r="O6659">
        <v>0.74505790000000005</v>
      </c>
      <c r="P6659">
        <v>0.78808310000000004</v>
      </c>
      <c r="Q6659">
        <v>-3.4274060000000002E-2</v>
      </c>
      <c r="R6659">
        <v>0.61461399999999999</v>
      </c>
      <c r="S6659">
        <v>2.8651279999999999</v>
      </c>
      <c r="T6659">
        <v>-0.38166359999999999</v>
      </c>
      <c r="U6659">
        <v>1.192169</v>
      </c>
      <c r="V6659">
        <v>0.17710529999999999</v>
      </c>
      <c r="W6659">
        <v>-2.242251E-2</v>
      </c>
      <c r="X6659">
        <v>0.98393640000000004</v>
      </c>
      <c r="Y6659">
        <v>0.42460740000000002</v>
      </c>
      <c r="Z6659">
        <v>-0.1093633</v>
      </c>
      <c r="AA6659">
        <v>0.8987482</v>
      </c>
      <c r="AB6659">
        <v>19</v>
      </c>
      <c r="AC6659">
        <v>8.2210000000000001</v>
      </c>
      <c r="AD6659">
        <v>-1.106356756209</v>
      </c>
      <c r="AE6659">
        <v>3.3682999999999699</v>
      </c>
      <c r="AF6659">
        <v>3.8200866730950298</v>
      </c>
      <c r="AG6659">
        <v>-1.106356756209</v>
      </c>
      <c r="AH6659">
        <v>7.8705122749668401</v>
      </c>
      <c r="AI6659">
        <v>97.207422003668697</v>
      </c>
      <c r="AJ6659">
        <v>64.109595492821001</v>
      </c>
      <c r="AK6659">
        <v>8.8182793634796592</v>
      </c>
      <c r="AL6659">
        <v>91.2848229330897</v>
      </c>
      <c r="AM6659">
        <v>79.796209703212796</v>
      </c>
      <c r="AN6659">
        <v>0.99999994774387302</v>
      </c>
    </row>
    <row r="6660" spans="1:40" x14ac:dyDescent="0.3">
      <c r="A6660" t="str">
        <f>"20200111160641976"</f>
        <v>20200111160641976</v>
      </c>
      <c r="B6660" t="str">
        <f>"1578730001969420"</f>
        <v>1578730001969420</v>
      </c>
      <c r="C6660" t="s">
        <v>40</v>
      </c>
      <c r="D6660">
        <v>5.4886339999999896</v>
      </c>
      <c r="E6660">
        <v>0.60919769999999995</v>
      </c>
      <c r="F6660" t="s">
        <v>75</v>
      </c>
      <c r="G6660">
        <v>-174.82820000000001</v>
      </c>
      <c r="H6660" s="1">
        <v>-2.7203410000000001E-6</v>
      </c>
      <c r="I6660">
        <v>131.60980000000001</v>
      </c>
      <c r="J6660">
        <v>-183.08080000000001</v>
      </c>
      <c r="K6660">
        <v>1.10632</v>
      </c>
      <c r="L6660">
        <v>128.2876</v>
      </c>
      <c r="M6660">
        <v>0.67011149999999997</v>
      </c>
      <c r="N6660">
        <v>0</v>
      </c>
      <c r="O6660">
        <v>0.74213019999999996</v>
      </c>
      <c r="P6660">
        <v>0.79047330000000005</v>
      </c>
      <c r="Q6660">
        <v>-3.4967449999999997E-2</v>
      </c>
      <c r="R6660">
        <v>0.61149750000000003</v>
      </c>
      <c r="S6660">
        <v>2.8746800000000001</v>
      </c>
      <c r="T6660">
        <v>-0.38179180000000001</v>
      </c>
      <c r="U6660">
        <v>1.1737979999999999</v>
      </c>
      <c r="V6660">
        <v>0.17664969999999999</v>
      </c>
      <c r="W6660">
        <v>-2.3114969999999999E-2</v>
      </c>
      <c r="X6660">
        <v>0.98400240000000005</v>
      </c>
      <c r="Y6660">
        <v>0.42663200000000001</v>
      </c>
      <c r="Z6660">
        <v>-0.1091656</v>
      </c>
      <c r="AA6660">
        <v>0.89781290000000002</v>
      </c>
      <c r="AB6660">
        <v>19</v>
      </c>
      <c r="AC6660">
        <v>8.2525999999999993</v>
      </c>
      <c r="AD6660">
        <v>-1.106322720341</v>
      </c>
      <c r="AE6660">
        <v>3.3222</v>
      </c>
      <c r="AF6660">
        <v>3.83926138906171</v>
      </c>
      <c r="AG6660">
        <v>-1.106322720341</v>
      </c>
      <c r="AH6660">
        <v>7.8746573695970596</v>
      </c>
      <c r="AI6660">
        <v>97.197340252129194</v>
      </c>
      <c r="AJ6660">
        <v>64.008615265813205</v>
      </c>
      <c r="AK6660">
        <v>8.8302948231433405</v>
      </c>
      <c r="AL6660">
        <v>91.324508096530707</v>
      </c>
      <c r="AM6660">
        <v>79.822577737527695</v>
      </c>
      <c r="AN6660">
        <v>1.0000000707769701</v>
      </c>
    </row>
    <row r="6661" spans="1:40" x14ac:dyDescent="0.3">
      <c r="A6661" t="str">
        <f>"20200111160641989"</f>
        <v>20200111160641989</v>
      </c>
      <c r="B6661" t="str">
        <f>"1578730001979179"</f>
        <v>1578730001979179</v>
      </c>
      <c r="C6661" t="s">
        <v>40</v>
      </c>
      <c r="D6661">
        <v>5.4781490000000002</v>
      </c>
      <c r="E6661">
        <v>0.60950680000000002</v>
      </c>
      <c r="F6661" t="s">
        <v>75</v>
      </c>
      <c r="G6661">
        <v>-174.7713</v>
      </c>
      <c r="H6661" s="1">
        <v>-2.7034030000000001E-6</v>
      </c>
      <c r="I6661">
        <v>131.6317</v>
      </c>
      <c r="J6661">
        <v>-182.999</v>
      </c>
      <c r="K6661">
        <v>1.106284</v>
      </c>
      <c r="L6661">
        <v>128.37039999999999</v>
      </c>
      <c r="M6661">
        <v>0.67354599999999998</v>
      </c>
      <c r="N6661">
        <v>0</v>
      </c>
      <c r="O6661">
        <v>0.73901430000000001</v>
      </c>
      <c r="P6661">
        <v>0.79306690000000002</v>
      </c>
      <c r="Q6661">
        <v>-3.531364E-2</v>
      </c>
      <c r="R6661">
        <v>0.60811019999999905</v>
      </c>
      <c r="S6661">
        <v>2.8812099999999998</v>
      </c>
      <c r="T6661">
        <v>-0.38360240000000001</v>
      </c>
      <c r="U6661">
        <v>1.1595310000000001</v>
      </c>
      <c r="V6661">
        <v>0.17627880000000001</v>
      </c>
      <c r="W6661">
        <v>-2.346053E-2</v>
      </c>
      <c r="X6661">
        <v>0.98406059999999995</v>
      </c>
      <c r="Y6661">
        <v>0.42693059999999999</v>
      </c>
      <c r="Z6661">
        <v>-0.109382199999999</v>
      </c>
      <c r="AA6661">
        <v>0.89764460000000001</v>
      </c>
      <c r="AB6661">
        <v>19</v>
      </c>
      <c r="AC6661">
        <v>8.22770000000002</v>
      </c>
      <c r="AD6661">
        <v>-1.1062867034029999</v>
      </c>
      <c r="AE6661">
        <v>3.2612999999999999</v>
      </c>
      <c r="AF6661">
        <v>3.82437523757222</v>
      </c>
      <c r="AG6661">
        <v>-1.1062867034029999</v>
      </c>
      <c r="AH6661">
        <v>7.8303085967231896</v>
      </c>
      <c r="AI6661">
        <v>97.235012478944995</v>
      </c>
      <c r="AJ6661">
        <v>63.968806513595602</v>
      </c>
      <c r="AK6661">
        <v>8.7842728183839398</v>
      </c>
      <c r="AL6661">
        <v>91.344312774050493</v>
      </c>
      <c r="AM6661">
        <v>79.844089502907096</v>
      </c>
      <c r="AN6661">
        <v>0.99999993813483801</v>
      </c>
    </row>
    <row r="6662" spans="1:40" x14ac:dyDescent="0.3">
      <c r="A6662" t="str">
        <f>"20200111160642004"</f>
        <v>20200111160642004</v>
      </c>
      <c r="B6662" t="str">
        <f>"1578730001999675"</f>
        <v>1578730001999675</v>
      </c>
      <c r="C6662" t="s">
        <v>40</v>
      </c>
      <c r="D6662">
        <v>5.5442239999999998</v>
      </c>
      <c r="E6662">
        <v>0.60986409999999902</v>
      </c>
      <c r="F6662" t="s">
        <v>75</v>
      </c>
      <c r="G6662">
        <v>-174.69149999999999</v>
      </c>
      <c r="H6662" s="1">
        <v>-2.6806280000000001E-6</v>
      </c>
      <c r="I6662">
        <v>131.66499999999999</v>
      </c>
      <c r="J6662">
        <v>-182.91069999999999</v>
      </c>
      <c r="K6662">
        <v>1.106263</v>
      </c>
      <c r="L6662">
        <v>128.459</v>
      </c>
      <c r="M6662">
        <v>0.67725900000000006</v>
      </c>
      <c r="N6662">
        <v>0</v>
      </c>
      <c r="O6662">
        <v>0.73561279999999996</v>
      </c>
      <c r="P6662">
        <v>0.79544709999999996</v>
      </c>
      <c r="Q6662">
        <v>-3.6302330000000001E-2</v>
      </c>
      <c r="R6662">
        <v>0.60493479999999999</v>
      </c>
      <c r="S6662">
        <v>2.8875579999999998</v>
      </c>
      <c r="T6662">
        <v>-0.38452779999999998</v>
      </c>
      <c r="U6662">
        <v>1.1451420000000001</v>
      </c>
      <c r="V6662">
        <v>0.17521249999999999</v>
      </c>
      <c r="W6662">
        <v>-2.443903E-2</v>
      </c>
      <c r="X6662">
        <v>0.98422719999999997</v>
      </c>
      <c r="Y6662">
        <v>0.42691659999999998</v>
      </c>
      <c r="Z6662">
        <v>-0.1093094</v>
      </c>
      <c r="AA6662">
        <v>0.89766009999999996</v>
      </c>
      <c r="AB6662">
        <v>19</v>
      </c>
      <c r="AC6662">
        <v>8.2192000000000007</v>
      </c>
      <c r="AD6662">
        <v>-1.106265680628</v>
      </c>
      <c r="AE6662">
        <v>3.20599999999998</v>
      </c>
      <c r="AF6662">
        <v>3.81524313438333</v>
      </c>
      <c r="AG6662">
        <v>-1.106265680628</v>
      </c>
      <c r="AH6662">
        <v>7.8029801156229999</v>
      </c>
      <c r="AI6662">
        <v>97.258414924114405</v>
      </c>
      <c r="AJ6662">
        <v>63.943820974911603</v>
      </c>
      <c r="AK6662">
        <v>8.7559352793063994</v>
      </c>
      <c r="AL6662">
        <v>91.400392791942494</v>
      </c>
      <c r="AM6662">
        <v>79.905928353306393</v>
      </c>
      <c r="AN6662">
        <v>0.99999993378171304</v>
      </c>
    </row>
    <row r="6663" spans="1:40" x14ac:dyDescent="0.3">
      <c r="A6663" t="str">
        <f>"20200111160642017"</f>
        <v>20200111160642017</v>
      </c>
      <c r="B6663" t="str">
        <f>"1578730002009435"</f>
        <v>1578730002009435</v>
      </c>
      <c r="C6663" t="s">
        <v>40</v>
      </c>
      <c r="D6663">
        <v>5.4210390000000004</v>
      </c>
      <c r="E6663">
        <v>0.61032690000000001</v>
      </c>
      <c r="F6663" t="s">
        <v>75</v>
      </c>
      <c r="G6663">
        <v>-174.64259999999999</v>
      </c>
      <c r="H6663" s="1">
        <v>-2.6685060000000001E-6</v>
      </c>
      <c r="I6663">
        <v>131.6901</v>
      </c>
      <c r="J6663">
        <v>-182.8262</v>
      </c>
      <c r="K6663">
        <v>1.1062369999999999</v>
      </c>
      <c r="L6663">
        <v>128.54249999999999</v>
      </c>
      <c r="M6663">
        <v>0.68082509999999996</v>
      </c>
      <c r="N6663">
        <v>0</v>
      </c>
      <c r="O6663">
        <v>0.7323132</v>
      </c>
      <c r="P6663">
        <v>0.79819209999999996</v>
      </c>
      <c r="Q6663">
        <v>-3.6538460000000002E-2</v>
      </c>
      <c r="R6663">
        <v>0.601294</v>
      </c>
      <c r="S6663">
        <v>2.8937680000000001</v>
      </c>
      <c r="T6663">
        <v>-0.38718740000000001</v>
      </c>
      <c r="U6663">
        <v>1.1308750000000001</v>
      </c>
      <c r="V6663">
        <v>0.17491499999999999</v>
      </c>
      <c r="W6663">
        <v>-2.4673440000000001E-2</v>
      </c>
      <c r="X6663">
        <v>0.98427430000000005</v>
      </c>
      <c r="Y6663">
        <v>0.42694749999999998</v>
      </c>
      <c r="Z6663">
        <v>-0.1097323</v>
      </c>
      <c r="AA6663">
        <v>0.8975938</v>
      </c>
      <c r="AB6663">
        <v>19</v>
      </c>
      <c r="AC6663">
        <v>8.1836000000000109</v>
      </c>
      <c r="AD6663">
        <v>-1.1062396685060001</v>
      </c>
      <c r="AE6663">
        <v>3.1476000000000099</v>
      </c>
      <c r="AF6663">
        <v>3.79003743618884</v>
      </c>
      <c r="AG6663">
        <v>-1.1062396685060001</v>
      </c>
      <c r="AH6663">
        <v>7.7539668994052597</v>
      </c>
      <c r="AI6663">
        <v>97.304088144034296</v>
      </c>
      <c r="AJ6663">
        <v>63.951221205709203</v>
      </c>
      <c r="AK6663">
        <v>8.7012730476041007</v>
      </c>
      <c r="AL6663">
        <v>91.413827501161094</v>
      </c>
      <c r="AM6663">
        <v>79.923188236533505</v>
      </c>
      <c r="AN6663">
        <v>0.99999996675346103</v>
      </c>
    </row>
    <row r="6664" spans="1:40" x14ac:dyDescent="0.3">
      <c r="A6664" t="str">
        <f>"20200111160642030"</f>
        <v>20200111160642030</v>
      </c>
      <c r="B6664" t="str">
        <f>"1578730002019197"</f>
        <v>1578730002019197</v>
      </c>
      <c r="C6664" t="s">
        <v>40</v>
      </c>
      <c r="D6664">
        <v>5.8332759999999997</v>
      </c>
      <c r="E6664">
        <v>0.61039160000000003</v>
      </c>
      <c r="F6664" t="s">
        <v>75</v>
      </c>
      <c r="G6664">
        <v>-174.50040000000001</v>
      </c>
      <c r="H6664" s="1">
        <v>-2.6244459999999998E-6</v>
      </c>
      <c r="I6664">
        <v>131.74029999999999</v>
      </c>
      <c r="J6664">
        <v>-182.74770000000001</v>
      </c>
      <c r="K6664">
        <v>1.106217</v>
      </c>
      <c r="L6664">
        <v>128.61940000000001</v>
      </c>
      <c r="M6664">
        <v>0.68414010000000003</v>
      </c>
      <c r="N6664">
        <v>0</v>
      </c>
      <c r="O6664">
        <v>0.729217</v>
      </c>
      <c r="P6664">
        <v>0.80055900000000002</v>
      </c>
      <c r="Q6664">
        <v>-3.661975E-2</v>
      </c>
      <c r="R6664">
        <v>0.598134099999999</v>
      </c>
      <c r="S6664">
        <v>2.9013520000000002</v>
      </c>
      <c r="T6664">
        <v>-0.38549889999999998</v>
      </c>
      <c r="U6664">
        <v>1.114365</v>
      </c>
      <c r="V6664">
        <v>0.17433560000000001</v>
      </c>
      <c r="W6664">
        <v>-2.4748780000000001E-2</v>
      </c>
      <c r="X6664">
        <v>0.98437520000000001</v>
      </c>
      <c r="Y6664">
        <v>0.42817349999999998</v>
      </c>
      <c r="Z6664">
        <v>-0.10899250000000001</v>
      </c>
      <c r="AA6664">
        <v>0.89709989999999995</v>
      </c>
      <c r="AB6664">
        <v>19</v>
      </c>
      <c r="AC6664">
        <v>8.2472999999999903</v>
      </c>
      <c r="AD6664">
        <v>-1.1062196244460001</v>
      </c>
      <c r="AE6664">
        <v>3.12089999999997</v>
      </c>
      <c r="AF6664">
        <v>3.8192114433448601</v>
      </c>
      <c r="AG6664">
        <v>-1.1062196244460001</v>
      </c>
      <c r="AH6664">
        <v>7.7962003988436797</v>
      </c>
      <c r="AI6664">
        <v>97.261709920585503</v>
      </c>
      <c r="AJ6664">
        <v>63.900638450894697</v>
      </c>
      <c r="AK6664">
        <v>8.7516191967781705</v>
      </c>
      <c r="AL6664">
        <v>91.4181454807742</v>
      </c>
      <c r="AM6664">
        <v>79.956895158120901</v>
      </c>
      <c r="AN6664">
        <v>0.99999996895694299</v>
      </c>
    </row>
    <row r="6665" spans="1:40" x14ac:dyDescent="0.3">
      <c r="A6665" t="str">
        <f>"20200111160642045"</f>
        <v>20200111160642045</v>
      </c>
      <c r="B6665" t="str">
        <f>"1578730002039692"</f>
        <v>1578730002039692</v>
      </c>
      <c r="C6665" t="s">
        <v>40</v>
      </c>
      <c r="D6665">
        <v>5.4673259999999999</v>
      </c>
      <c r="E6665">
        <v>0.61100639999999995</v>
      </c>
      <c r="F6665" t="s">
        <v>75</v>
      </c>
      <c r="G6665">
        <v>-174.37309999999999</v>
      </c>
      <c r="H6665" s="1">
        <v>-2.5889689999999999E-6</v>
      </c>
      <c r="I6665">
        <v>131.7955</v>
      </c>
      <c r="J6665">
        <v>-182.6593</v>
      </c>
      <c r="K6665">
        <v>1.106196</v>
      </c>
      <c r="L6665">
        <v>128.70519999999999</v>
      </c>
      <c r="M6665">
        <v>0.68786800000000003</v>
      </c>
      <c r="N6665">
        <v>0</v>
      </c>
      <c r="O6665">
        <v>0.72570140000000005</v>
      </c>
      <c r="P6665">
        <v>0.8033882</v>
      </c>
      <c r="Q6665">
        <v>-3.6312360000000002E-2</v>
      </c>
      <c r="R6665">
        <v>0.59434739999999997</v>
      </c>
      <c r="S6665">
        <v>2.9063110000000001</v>
      </c>
      <c r="T6665">
        <v>-0.3839053</v>
      </c>
      <c r="U6665">
        <v>1.1022339999999999</v>
      </c>
      <c r="V6665">
        <v>0.17395079999999999</v>
      </c>
      <c r="W6665">
        <v>-2.4437730000000001E-2</v>
      </c>
      <c r="X6665">
        <v>0.98445110000000002</v>
      </c>
      <c r="Y6665">
        <v>0.42742029999999998</v>
      </c>
      <c r="Z6665">
        <v>-0.108172</v>
      </c>
      <c r="AA6665">
        <v>0.89755819999999997</v>
      </c>
      <c r="AB6665">
        <v>19</v>
      </c>
      <c r="AC6665">
        <v>8.2861999999999991</v>
      </c>
      <c r="AD6665">
        <v>-1.106198588969</v>
      </c>
      <c r="AE6665">
        <v>3.0903000000000098</v>
      </c>
      <c r="AF6665">
        <v>3.82807441739345</v>
      </c>
      <c r="AG6665">
        <v>-1.106198588969</v>
      </c>
      <c r="AH6665">
        <v>7.8208580819029399</v>
      </c>
      <c r="AI6665">
        <v>97.240085635690306</v>
      </c>
      <c r="AJ6665">
        <v>63.919644307814401</v>
      </c>
      <c r="AK6665">
        <v>8.7774512360141195</v>
      </c>
      <c r="AL6665">
        <v>91.400318156179694</v>
      </c>
      <c r="AM6665">
        <v>79.979369824042706</v>
      </c>
      <c r="AN6665">
        <v>1.0000000258796999</v>
      </c>
    </row>
    <row r="6666" spans="1:40" x14ac:dyDescent="0.3">
      <c r="A6666" t="str">
        <f>"20200111160642056"</f>
        <v>20200111160642056</v>
      </c>
      <c r="B6666" t="str">
        <f>"1578730002049451"</f>
        <v>1578730002049451</v>
      </c>
      <c r="C6666" t="s">
        <v>40</v>
      </c>
      <c r="D6666">
        <v>5.5139570000000004</v>
      </c>
      <c r="E6666">
        <v>0.61120220000000003</v>
      </c>
      <c r="F6666" t="s">
        <v>75</v>
      </c>
      <c r="G6666">
        <v>-174.19890000000001</v>
      </c>
      <c r="H6666" s="1">
        <v>-2.5333509999999999E-6</v>
      </c>
      <c r="I6666">
        <v>131.85249999999999</v>
      </c>
      <c r="J6666">
        <v>-182.58160000000001</v>
      </c>
      <c r="K6666">
        <v>1.106182</v>
      </c>
      <c r="L6666">
        <v>128.77950000000001</v>
      </c>
      <c r="M6666">
        <v>0.69115740000000003</v>
      </c>
      <c r="N6666">
        <v>0</v>
      </c>
      <c r="O6666">
        <v>0.72256899999999902</v>
      </c>
      <c r="P6666">
        <v>0.80568869999999904</v>
      </c>
      <c r="Q6666">
        <v>-3.5914380000000003E-2</v>
      </c>
      <c r="R6666">
        <v>0.59124949999999998</v>
      </c>
      <c r="S6666">
        <v>2.9147639999999999</v>
      </c>
      <c r="T6666">
        <v>-0.38110630000000001</v>
      </c>
      <c r="U6666">
        <v>1.0843050000000001</v>
      </c>
      <c r="V6666">
        <v>0.17328540000000001</v>
      </c>
      <c r="W6666">
        <v>-2.4032419999999999E-2</v>
      </c>
      <c r="X6666">
        <v>0.98457839999999996</v>
      </c>
      <c r="Y6666">
        <v>0.429147</v>
      </c>
      <c r="Z6666">
        <v>-0.1071314</v>
      </c>
      <c r="AA6666">
        <v>0.89685879999999996</v>
      </c>
      <c r="AB6666">
        <v>19</v>
      </c>
      <c r="AC6666">
        <v>8.3826999999999998</v>
      </c>
      <c r="AD6666">
        <v>-1.1061845333509901</v>
      </c>
      <c r="AE6666">
        <v>3.0729999999999702</v>
      </c>
      <c r="AF6666">
        <v>3.8740676052978298</v>
      </c>
      <c r="AG6666">
        <v>-1.1061845333509901</v>
      </c>
      <c r="AH6666">
        <v>7.8938279378455398</v>
      </c>
      <c r="AI6666">
        <v>97.170117792694299</v>
      </c>
      <c r="AJ6666">
        <v>63.859500902926598</v>
      </c>
      <c r="AK6666">
        <v>8.8625370828309595</v>
      </c>
      <c r="AL6666">
        <v>91.377088808291106</v>
      </c>
      <c r="AM6666">
        <v>80.018193199868094</v>
      </c>
      <c r="AN6666">
        <v>1.00000000640538</v>
      </c>
    </row>
    <row r="6667" spans="1:40" x14ac:dyDescent="0.3">
      <c r="A6667" t="str">
        <f>"20200111160642070"</f>
        <v>20200111160642070</v>
      </c>
      <c r="B6667" t="str">
        <f>"1578730002059211"</f>
        <v>1578730002059211</v>
      </c>
      <c r="C6667" t="s">
        <v>40</v>
      </c>
      <c r="D6667">
        <v>5.4941769999999996</v>
      </c>
      <c r="E6667">
        <v>0.61139009999999905</v>
      </c>
      <c r="F6667" t="s">
        <v>75</v>
      </c>
      <c r="G6667">
        <v>-174.0582</v>
      </c>
      <c r="H6667" s="1">
        <v>-2.4918430000000001E-6</v>
      </c>
      <c r="I6667">
        <v>131.9075</v>
      </c>
      <c r="J6667">
        <v>-182.4965</v>
      </c>
      <c r="K6667">
        <v>1.106169</v>
      </c>
      <c r="L6667">
        <v>128.8603</v>
      </c>
      <c r="M6667">
        <v>0.69475969999999998</v>
      </c>
      <c r="N6667">
        <v>0</v>
      </c>
      <c r="O6667">
        <v>0.71910580000000002</v>
      </c>
      <c r="P6667">
        <v>0.80795499999999998</v>
      </c>
      <c r="Q6667">
        <v>-3.494539E-2</v>
      </c>
      <c r="R6667">
        <v>0.58820709999999998</v>
      </c>
      <c r="S6667">
        <v>2.9201809999999999</v>
      </c>
      <c r="T6667">
        <v>-0.37898730000000003</v>
      </c>
      <c r="U6667">
        <v>1.0716859999999999</v>
      </c>
      <c r="V6667">
        <v>0.17211760000000001</v>
      </c>
      <c r="W6667">
        <v>-2.3049239999999999E-2</v>
      </c>
      <c r="X6667">
        <v>0.98480670000000003</v>
      </c>
      <c r="Y6667">
        <v>0.42870219999999998</v>
      </c>
      <c r="Z6667">
        <v>-0.1061764</v>
      </c>
      <c r="AA6667">
        <v>0.89718509999999996</v>
      </c>
      <c r="AB6667">
        <v>19</v>
      </c>
      <c r="AC6667">
        <v>8.4382999999999893</v>
      </c>
      <c r="AD6667">
        <v>-1.1061714918429999</v>
      </c>
      <c r="AE6667">
        <v>3.0472000000000001</v>
      </c>
      <c r="AF6667">
        <v>3.8921766527337498</v>
      </c>
      <c r="AG6667">
        <v>-1.1061714918429999</v>
      </c>
      <c r="AH6667">
        <v>7.9340254064029603</v>
      </c>
      <c r="AI6667">
        <v>97.134652337216906</v>
      </c>
      <c r="AJ6667">
        <v>63.868922354678404</v>
      </c>
      <c r="AK6667">
        <v>8.9062569924126702</v>
      </c>
      <c r="AL6667">
        <v>91.320741153512301</v>
      </c>
      <c r="AM6667">
        <v>80.086375851262702</v>
      </c>
      <c r="AN6667">
        <v>0.99999998602961304</v>
      </c>
    </row>
    <row r="6668" spans="1:40" x14ac:dyDescent="0.3">
      <c r="A6668" t="str">
        <f>"20200111160642083"</f>
        <v>20200111160642083</v>
      </c>
      <c r="B6668" t="str">
        <f>"1578730002079709"</f>
        <v>1578730002079709</v>
      </c>
      <c r="C6668" t="s">
        <v>40</v>
      </c>
      <c r="D6668">
        <v>5.5204559999999896</v>
      </c>
      <c r="E6668">
        <v>0.61166019999999999</v>
      </c>
      <c r="F6668" t="s">
        <v>75</v>
      </c>
      <c r="G6668">
        <v>-173.8398</v>
      </c>
      <c r="H6668" s="1">
        <v>-2.4278310000000001E-6</v>
      </c>
      <c r="I6668">
        <v>131.994</v>
      </c>
      <c r="J6668">
        <v>-182.41329999999999</v>
      </c>
      <c r="K6668">
        <v>1.106149</v>
      </c>
      <c r="L6668">
        <v>128.93860000000001</v>
      </c>
      <c r="M6668">
        <v>0.69827729999999999</v>
      </c>
      <c r="N6668">
        <v>0</v>
      </c>
      <c r="O6668">
        <v>0.71569039999999995</v>
      </c>
      <c r="P6668">
        <v>0.81031469999999906</v>
      </c>
      <c r="Q6668">
        <v>-3.4328699999999997E-2</v>
      </c>
      <c r="R6668">
        <v>0.58498869999999903</v>
      </c>
      <c r="S6668">
        <v>2.925827</v>
      </c>
      <c r="T6668">
        <v>-0.3738689</v>
      </c>
      <c r="U6668">
        <v>1.0591740000000001</v>
      </c>
      <c r="V6668">
        <v>0.17123050000000001</v>
      </c>
      <c r="W6668">
        <v>-2.242222E-2</v>
      </c>
      <c r="X6668">
        <v>0.98497579999999996</v>
      </c>
      <c r="Y6668">
        <v>0.42844339999999997</v>
      </c>
      <c r="Z6668">
        <v>-0.10439759999999999</v>
      </c>
      <c r="AA6668">
        <v>0.89751740000000002</v>
      </c>
      <c r="AB6668">
        <v>19</v>
      </c>
      <c r="AC6668">
        <v>8.5734999999999904</v>
      </c>
      <c r="AD6668">
        <v>-1.1061514278309901</v>
      </c>
      <c r="AE6668">
        <v>3.0553999999999899</v>
      </c>
      <c r="AF6668">
        <v>3.9445851941386798</v>
      </c>
      <c r="AG6668">
        <v>-1.1061514278309901</v>
      </c>
      <c r="AH6668">
        <v>8.0552247632951008</v>
      </c>
      <c r="AI6668">
        <v>97.030665778275505</v>
      </c>
      <c r="AJ6668">
        <v>63.909343286786701</v>
      </c>
      <c r="AK6668">
        <v>9.0371438697363509</v>
      </c>
      <c r="AL6668">
        <v>91.284806267401706</v>
      </c>
      <c r="AM6668">
        <v>80.138125068276196</v>
      </c>
      <c r="AN6668">
        <v>0.99999998333280804</v>
      </c>
    </row>
    <row r="6669" spans="1:40" x14ac:dyDescent="0.3">
      <c r="A6669" t="str">
        <f>"20200111160642095"</f>
        <v>20200111160642095</v>
      </c>
      <c r="B6669" t="str">
        <f>"1578730002089467"</f>
        <v>1578730002089467</v>
      </c>
      <c r="C6669" t="s">
        <v>40</v>
      </c>
      <c r="D6669">
        <v>5.9184210000000004</v>
      </c>
      <c r="E6669">
        <v>0.61166019999999999</v>
      </c>
      <c r="F6669" t="s">
        <v>75</v>
      </c>
      <c r="G6669">
        <v>-173.68350000000001</v>
      </c>
      <c r="H6669" s="1">
        <v>-2.3735370000000002E-6</v>
      </c>
      <c r="I6669">
        <v>132.05250000000001</v>
      </c>
      <c r="J6669">
        <v>-182.3399</v>
      </c>
      <c r="K6669">
        <v>1.1061270000000001</v>
      </c>
      <c r="L6669">
        <v>129.00649999999999</v>
      </c>
      <c r="M6669">
        <v>0.70138800000000001</v>
      </c>
      <c r="N6669">
        <v>0</v>
      </c>
      <c r="O6669">
        <v>0.71264189999999905</v>
      </c>
      <c r="P6669">
        <v>0.81248369999999903</v>
      </c>
      <c r="Q6669">
        <v>-3.3360620000000001E-2</v>
      </c>
      <c r="R6669">
        <v>0.58202860000000001</v>
      </c>
      <c r="S6669">
        <v>2.9316249999999999</v>
      </c>
      <c r="T6669">
        <v>-0.37146370000000001</v>
      </c>
      <c r="U6669">
        <v>1.0457000000000001</v>
      </c>
      <c r="V6669">
        <v>0.17057159999999999</v>
      </c>
      <c r="W6669">
        <v>-2.1446719999999999E-2</v>
      </c>
      <c r="X6669">
        <v>0.98511179999999998</v>
      </c>
      <c r="Y6669">
        <v>0.42884509999999998</v>
      </c>
      <c r="Z6669">
        <v>-0.10344489999999899</v>
      </c>
      <c r="AA6669">
        <v>0.89743580000000001</v>
      </c>
      <c r="AB6669">
        <v>19</v>
      </c>
      <c r="AC6669">
        <v>8.6563999999999908</v>
      </c>
      <c r="AD6669">
        <v>-1.1061293735369999</v>
      </c>
      <c r="AE6669">
        <v>3.0460000000000198</v>
      </c>
      <c r="AF6669">
        <v>3.9751262138304901</v>
      </c>
      <c r="AG6669">
        <v>-1.1061293735369999</v>
      </c>
      <c r="AH6669">
        <v>8.1249627565642495</v>
      </c>
      <c r="AI6669">
        <v>96.971989759371695</v>
      </c>
      <c r="AJ6669">
        <v>63.929875394290598</v>
      </c>
      <c r="AK6669">
        <v>9.1126379497069792</v>
      </c>
      <c r="AL6669">
        <v>91.228900827550106</v>
      </c>
      <c r="AM6669">
        <v>80.176662883888895</v>
      </c>
      <c r="AN6669">
        <v>0.999999945512277</v>
      </c>
    </row>
    <row r="6670" spans="1:40" x14ac:dyDescent="0.3">
      <c r="A6670" t="str">
        <f>"20200111160642107"</f>
        <v>20200111160642107</v>
      </c>
      <c r="B6670" t="str">
        <f>"1578730002099227"</f>
        <v>1578730002099227</v>
      </c>
      <c r="C6670" t="s">
        <v>40</v>
      </c>
      <c r="D6670">
        <v>5.6591189999999996</v>
      </c>
      <c r="E6670">
        <v>0.61397109999999899</v>
      </c>
      <c r="F6670" t="s">
        <v>75</v>
      </c>
      <c r="G6670">
        <v>-173.50309999999999</v>
      </c>
      <c r="H6670" s="1">
        <v>-2.301226E-6</v>
      </c>
      <c r="I6670">
        <v>132.12129999999999</v>
      </c>
      <c r="J6670">
        <v>-182.26519999999999</v>
      </c>
      <c r="K6670">
        <v>1.106109</v>
      </c>
      <c r="L6670">
        <v>129.0754</v>
      </c>
      <c r="M6670">
        <v>0.70455239999999997</v>
      </c>
      <c r="N6670">
        <v>0</v>
      </c>
      <c r="O6670">
        <v>0.70951339999999996</v>
      </c>
      <c r="P6670">
        <v>0.81450059999999902</v>
      </c>
      <c r="Q6670">
        <v>-3.2389359999999999E-2</v>
      </c>
      <c r="R6670">
        <v>0.57925799999999905</v>
      </c>
      <c r="S6670">
        <v>2.935959</v>
      </c>
      <c r="T6670">
        <v>-0.36750270000000002</v>
      </c>
      <c r="U6670">
        <v>1.0348820000000001</v>
      </c>
      <c r="V6670">
        <v>0.1695805</v>
      </c>
      <c r="W6670">
        <v>-2.0463930000000002E-2</v>
      </c>
      <c r="X6670">
        <v>0.98530390000000001</v>
      </c>
      <c r="Y6670">
        <v>0.42835519999999999</v>
      </c>
      <c r="Z6670">
        <v>-0.1020306</v>
      </c>
      <c r="AA6670">
        <v>0.89783159999999895</v>
      </c>
      <c r="AB6670">
        <v>19</v>
      </c>
      <c r="AC6670">
        <v>8.7621000000000002</v>
      </c>
      <c r="AD6670">
        <v>-1.106111301226</v>
      </c>
      <c r="AE6670">
        <v>3.0458999999999801</v>
      </c>
      <c r="AF6670">
        <v>4.0141584030059496</v>
      </c>
      <c r="AG6670">
        <v>-1.106111301226</v>
      </c>
      <c r="AH6670">
        <v>8.2184356992505005</v>
      </c>
      <c r="AI6670">
        <v>96.895545230585199</v>
      </c>
      <c r="AJ6670">
        <v>63.967572192730898</v>
      </c>
      <c r="AK6670">
        <v>9.2130144490192905</v>
      </c>
      <c r="AL6670">
        <v>91.172578616585298</v>
      </c>
      <c r="AM6670">
        <v>80.234506116201501</v>
      </c>
      <c r="AN6670">
        <v>1.0000000468832499</v>
      </c>
    </row>
    <row r="6671" spans="1:40" x14ac:dyDescent="0.3">
      <c r="A6671" t="str">
        <f>"20200111160642120"</f>
        <v>20200111160642120</v>
      </c>
      <c r="B6671" t="str">
        <f>"1578730002108988"</f>
        <v>1578730002108988</v>
      </c>
      <c r="C6671" t="s">
        <v>40</v>
      </c>
      <c r="D6671">
        <v>5.5574890000000003</v>
      </c>
      <c r="E6671">
        <v>0.61397109999999899</v>
      </c>
      <c r="F6671" t="s">
        <v>103</v>
      </c>
      <c r="G6671">
        <v>-94.739609999999999</v>
      </c>
      <c r="H6671">
        <v>0.2075796</v>
      </c>
      <c r="I6671">
        <v>158.155</v>
      </c>
      <c r="J6671">
        <v>-182.17760000000001</v>
      </c>
      <c r="K6671">
        <v>1.1060749999999999</v>
      </c>
      <c r="L6671">
        <v>129.1551</v>
      </c>
      <c r="M6671">
        <v>0.70826409999999995</v>
      </c>
      <c r="N6671">
        <v>0</v>
      </c>
      <c r="O6671">
        <v>0.70580799999999999</v>
      </c>
      <c r="P6671">
        <v>0.81699259999999996</v>
      </c>
      <c r="Q6671">
        <v>-3.1601270000000001E-2</v>
      </c>
      <c r="R6671">
        <v>0.5757816</v>
      </c>
      <c r="S6671">
        <v>2.9783019999999998</v>
      </c>
      <c r="T6671">
        <v>-3.0574799999999999E-2</v>
      </c>
      <c r="U6671">
        <v>0.98951719999999999</v>
      </c>
      <c r="V6671">
        <v>0.1686406</v>
      </c>
      <c r="W6671">
        <v>-1.966623E-2</v>
      </c>
      <c r="X6671">
        <v>0.98548139999999995</v>
      </c>
      <c r="Y6671">
        <v>0.44649240000000001</v>
      </c>
      <c r="Z6671">
        <v>-8.5026709999999998E-3</v>
      </c>
      <c r="AA6671">
        <v>0.89474699999999996</v>
      </c>
      <c r="AB6671">
        <v>19</v>
      </c>
      <c r="AC6671">
        <v>87.437989999999999</v>
      </c>
      <c r="AD6671">
        <v>-0.89849539999999894</v>
      </c>
      <c r="AE6671">
        <v>28.9999</v>
      </c>
      <c r="AF6671">
        <v>41.1749848541481</v>
      </c>
      <c r="AG6671">
        <v>-0.89849539999999894</v>
      </c>
      <c r="AH6671">
        <v>82.397831038824805</v>
      </c>
      <c r="AI6671">
        <v>90.558861734809994</v>
      </c>
      <c r="AJ6671">
        <v>63.448262623857502</v>
      </c>
      <c r="AK6671">
        <v>92.117258055295295</v>
      </c>
      <c r="AL6671">
        <v>91.126864622396198</v>
      </c>
      <c r="AM6671">
        <v>80.289313714759402</v>
      </c>
      <c r="AN6671">
        <v>1.0000000011583601</v>
      </c>
    </row>
    <row r="6672" spans="1:40" x14ac:dyDescent="0.3">
      <c r="A6672" t="str">
        <f>"20200111160642133"</f>
        <v>20200111160642133</v>
      </c>
      <c r="B6672" t="str">
        <f>"1578730002129483"</f>
        <v>1578730002129483</v>
      </c>
      <c r="C6672" t="s">
        <v>40</v>
      </c>
      <c r="D6672">
        <v>5.5604490000000002</v>
      </c>
      <c r="E6672">
        <v>0.61351650000000002</v>
      </c>
      <c r="F6672" t="s">
        <v>103</v>
      </c>
      <c r="G6672">
        <v>-94.225669999999994</v>
      </c>
      <c r="H6672">
        <v>0.30671310000000002</v>
      </c>
      <c r="I6672">
        <v>157.9624</v>
      </c>
      <c r="J6672">
        <v>-182.09639999999999</v>
      </c>
      <c r="K6672">
        <v>1.106044</v>
      </c>
      <c r="L6672">
        <v>129.22799999999901</v>
      </c>
      <c r="M6672">
        <v>0.71171110000000004</v>
      </c>
      <c r="N6672">
        <v>0</v>
      </c>
      <c r="O6672">
        <v>0.70233179999999995</v>
      </c>
      <c r="P6672">
        <v>0.81913789999999997</v>
      </c>
      <c r="Q6672">
        <v>-3.1184509999999999E-2</v>
      </c>
      <c r="R6672">
        <v>0.57274820000000004</v>
      </c>
      <c r="S6672">
        <v>2.9824830000000002</v>
      </c>
      <c r="T6672">
        <v>-2.7106519999999999E-2</v>
      </c>
      <c r="U6672">
        <v>0.97686770000000001</v>
      </c>
      <c r="V6672">
        <v>0.16748469999999999</v>
      </c>
      <c r="W6672">
        <v>-1.9236489999999998E-2</v>
      </c>
      <c r="X6672">
        <v>0.98568699999999998</v>
      </c>
      <c r="Y6672">
        <v>0.44591979999999998</v>
      </c>
      <c r="Z6672">
        <v>-7.5131109999999899E-3</v>
      </c>
      <c r="AA6672">
        <v>0.89504139999999999</v>
      </c>
      <c r="AB6672">
        <v>19</v>
      </c>
      <c r="AC6672">
        <v>87.870729999999995</v>
      </c>
      <c r="AD6672">
        <v>-0.79933089999999996</v>
      </c>
      <c r="AE6672">
        <v>28.734400000000001</v>
      </c>
      <c r="AF6672">
        <v>41.264804134897403</v>
      </c>
      <c r="AG6672">
        <v>-0.79933089999999996</v>
      </c>
      <c r="AH6672">
        <v>82.721636572920303</v>
      </c>
      <c r="AI6672">
        <v>90.495411151956603</v>
      </c>
      <c r="AJ6672">
        <v>63.488175616455301</v>
      </c>
      <c r="AK6672">
        <v>92.446158100169001</v>
      </c>
      <c r="AL6672">
        <v>91.1022376597913</v>
      </c>
      <c r="AM6672">
        <v>80.356592426779898</v>
      </c>
      <c r="AN6672">
        <v>1.0000000146253001</v>
      </c>
    </row>
    <row r="6673" spans="1:40" x14ac:dyDescent="0.3">
      <c r="A6673" t="str">
        <f>"20200111160642145"</f>
        <v>20200111160642145</v>
      </c>
      <c r="B6673" t="str">
        <f>"1578730002139243"</f>
        <v>1578730002139243</v>
      </c>
      <c r="C6673" t="s">
        <v>40</v>
      </c>
      <c r="D6673">
        <v>5.5694280000000003</v>
      </c>
      <c r="E6673">
        <v>0.6131508</v>
      </c>
      <c r="F6673" t="s">
        <v>75</v>
      </c>
      <c r="G6673">
        <v>-173.23949999999999</v>
      </c>
      <c r="H6673" s="1">
        <v>-2.1821389999999998E-6</v>
      </c>
      <c r="I6673">
        <v>132.1918</v>
      </c>
      <c r="J6673">
        <v>-182.0197</v>
      </c>
      <c r="K6673">
        <v>1.1060140000000001</v>
      </c>
      <c r="L6673">
        <v>129.29650000000001</v>
      </c>
      <c r="M6673">
        <v>0.71495949999999997</v>
      </c>
      <c r="N6673">
        <v>0</v>
      </c>
      <c r="O6673">
        <v>0.69902439999999999</v>
      </c>
      <c r="P6673">
        <v>0.82121060000000001</v>
      </c>
      <c r="Q6673">
        <v>-3.0941340000000001E-2</v>
      </c>
      <c r="R6673">
        <v>0.56978580000000001</v>
      </c>
      <c r="S6673">
        <v>2.9565429999999999</v>
      </c>
      <c r="T6673">
        <v>-0.36921080000000001</v>
      </c>
      <c r="U6673">
        <v>0.98934940000000005</v>
      </c>
      <c r="V6673">
        <v>0.1664832</v>
      </c>
      <c r="W6673">
        <v>-1.8982329999999999E-2</v>
      </c>
      <c r="X6673">
        <v>0.98586149999999995</v>
      </c>
      <c r="Y6673">
        <v>0.42937940000000002</v>
      </c>
      <c r="Z6673">
        <v>-0.1014444</v>
      </c>
      <c r="AA6673">
        <v>0.89740869999999995</v>
      </c>
      <c r="AB6673">
        <v>19</v>
      </c>
      <c r="AC6673">
        <v>8.7802000000000007</v>
      </c>
      <c r="AD6673">
        <v>-1.106016182139</v>
      </c>
      <c r="AE6673">
        <v>2.89529999999999</v>
      </c>
      <c r="AF6673">
        <v>4.0105570069195702</v>
      </c>
      <c r="AG6673">
        <v>-1.106016182139</v>
      </c>
      <c r="AH6673">
        <v>8.1850533942349308</v>
      </c>
      <c r="AI6673">
        <v>96.918607457047003</v>
      </c>
      <c r="AJ6673">
        <v>63.895818601572003</v>
      </c>
      <c r="AK6673">
        <v>9.1816631591113094</v>
      </c>
      <c r="AL6673">
        <v>91.087672785197398</v>
      </c>
      <c r="AM6673">
        <v>80.414848663369298</v>
      </c>
      <c r="AN6673">
        <v>0.99999994095835698</v>
      </c>
    </row>
    <row r="6674" spans="1:40" x14ac:dyDescent="0.3">
      <c r="A6674" t="str">
        <f>"20200111160642158"</f>
        <v>20200111160642158</v>
      </c>
      <c r="B6674" t="str">
        <f>"1578730002149004"</f>
        <v>1578730002149004</v>
      </c>
      <c r="C6674" t="s">
        <v>40</v>
      </c>
      <c r="D6674">
        <v>5.5868349999999998</v>
      </c>
      <c r="E6674">
        <v>0.61304009999999998</v>
      </c>
      <c r="F6674" t="s">
        <v>75</v>
      </c>
      <c r="G6674">
        <v>-173.17760000000001</v>
      </c>
      <c r="H6674" s="1">
        <v>-2.1633090000000001E-6</v>
      </c>
      <c r="I6674">
        <v>132.22890000000001</v>
      </c>
      <c r="J6674">
        <v>-181.92580000000001</v>
      </c>
      <c r="K6674">
        <v>1.1059760000000001</v>
      </c>
      <c r="L6674">
        <v>129.37909999999999</v>
      </c>
      <c r="M6674">
        <v>0.71894460000000004</v>
      </c>
      <c r="N6674">
        <v>0</v>
      </c>
      <c r="O6674">
        <v>0.69492489999999996</v>
      </c>
      <c r="P6674">
        <v>0.82296689999999995</v>
      </c>
      <c r="Q6674">
        <v>-2.986838E-2</v>
      </c>
      <c r="R6674">
        <v>0.56730360000000002</v>
      </c>
      <c r="S6674">
        <v>2.95845</v>
      </c>
      <c r="T6674">
        <v>-0.37005909999999997</v>
      </c>
      <c r="U6674">
        <v>0.98115540000000001</v>
      </c>
      <c r="V6674">
        <v>0.1638618</v>
      </c>
      <c r="W6674">
        <v>-1.7875720000000001E-2</v>
      </c>
      <c r="X6674">
        <v>0.98632129999999996</v>
      </c>
      <c r="Y6674">
        <v>0.42663909999999999</v>
      </c>
      <c r="Z6674">
        <v>-0.101188399999999</v>
      </c>
      <c r="AA6674">
        <v>0.89874359999999998</v>
      </c>
      <c r="AB6674">
        <v>19</v>
      </c>
      <c r="AC6674">
        <v>8.74819999999999</v>
      </c>
      <c r="AD6674">
        <v>-1.105978163309</v>
      </c>
      <c r="AE6674">
        <v>2.8498000000000099</v>
      </c>
      <c r="AF6674">
        <v>3.9734779311802102</v>
      </c>
      <c r="AG6674">
        <v>-1.105978163309</v>
      </c>
      <c r="AH6674">
        <v>8.1528817663600393</v>
      </c>
      <c r="AI6674">
        <v>96.952502668061101</v>
      </c>
      <c r="AJ6674">
        <v>64.016739798698296</v>
      </c>
      <c r="AK6674">
        <v>9.1368044558006503</v>
      </c>
      <c r="AL6674">
        <v>91.024257897399707</v>
      </c>
      <c r="AM6674">
        <v>80.567358255963001</v>
      </c>
      <c r="AN6674">
        <v>0.99999996884922304</v>
      </c>
    </row>
    <row r="6675" spans="1:40" x14ac:dyDescent="0.3">
      <c r="A6675" t="str">
        <f>"20200111160642170"</f>
        <v>20200111160642170</v>
      </c>
      <c r="B6675" t="str">
        <f>"1578730002159740"</f>
        <v>1578730002159740</v>
      </c>
      <c r="C6675" t="s">
        <v>40</v>
      </c>
      <c r="D6675">
        <v>5.566821</v>
      </c>
      <c r="E6675">
        <v>0.61288949999999998</v>
      </c>
      <c r="F6675" t="s">
        <v>75</v>
      </c>
      <c r="G6675">
        <v>-173.01</v>
      </c>
      <c r="H6675" s="1">
        <v>-2.1028640000000001E-6</v>
      </c>
      <c r="I6675">
        <v>132.3082</v>
      </c>
      <c r="J6675">
        <v>-181.85300000000001</v>
      </c>
      <c r="K6675">
        <v>1.1059490000000001</v>
      </c>
      <c r="L6675">
        <v>129.4425</v>
      </c>
      <c r="M6675">
        <v>0.72203240000000002</v>
      </c>
      <c r="N6675">
        <v>0</v>
      </c>
      <c r="O6675">
        <v>0.69171590000000005</v>
      </c>
      <c r="P6675">
        <v>0.82477559999999905</v>
      </c>
      <c r="Q6675">
        <v>-2.9298020000000001E-2</v>
      </c>
      <c r="R6675">
        <v>0.5647008</v>
      </c>
      <c r="S6675">
        <v>2.9613339999999999</v>
      </c>
      <c r="T6675">
        <v>-0.36734460000000002</v>
      </c>
      <c r="U6675">
        <v>0.9729004</v>
      </c>
      <c r="V6675">
        <v>0.1626049</v>
      </c>
      <c r="W6675">
        <v>-1.7289490000000001E-2</v>
      </c>
      <c r="X6675">
        <v>0.98653979999999997</v>
      </c>
      <c r="Y6675">
        <v>0.42526259999999999</v>
      </c>
      <c r="Z6675">
        <v>-0.10008599999999999</v>
      </c>
      <c r="AA6675">
        <v>0.89951899999999996</v>
      </c>
      <c r="AB6675">
        <v>19</v>
      </c>
      <c r="AC6675">
        <v>8.8429999999999893</v>
      </c>
      <c r="AD6675">
        <v>-1.1059511028639999</v>
      </c>
      <c r="AE6675">
        <v>2.8656999999999999</v>
      </c>
      <c r="AF6675">
        <v>3.9916164127877001</v>
      </c>
      <c r="AG6675">
        <v>-1.1059511028639999</v>
      </c>
      <c r="AH6675">
        <v>8.2512183566272199</v>
      </c>
      <c r="AI6675">
        <v>96.879933158509999</v>
      </c>
      <c r="AJ6675">
        <v>64.184120533896802</v>
      </c>
      <c r="AK6675">
        <v>9.2324825370809194</v>
      </c>
      <c r="AL6675">
        <v>90.990664138857397</v>
      </c>
      <c r="AM6675">
        <v>80.640462281851498</v>
      </c>
      <c r="AN6675">
        <v>1.00000002847625</v>
      </c>
    </row>
    <row r="6676" spans="1:40" x14ac:dyDescent="0.3">
      <c r="A6676" t="str">
        <f>"20200111160642184"</f>
        <v>20200111160642184</v>
      </c>
      <c r="B6676" t="str">
        <f>"1578730002179259"</f>
        <v>1578730002179259</v>
      </c>
      <c r="C6676" t="s">
        <v>40</v>
      </c>
      <c r="D6676">
        <v>5.6134139999999997</v>
      </c>
      <c r="E6676">
        <v>0.61228050000000001</v>
      </c>
      <c r="F6676" t="s">
        <v>75</v>
      </c>
      <c r="G6676">
        <v>-172.93700000000001</v>
      </c>
      <c r="H6676" s="1">
        <v>-2.077337E-6</v>
      </c>
      <c r="I6676">
        <v>132.34460000000001</v>
      </c>
      <c r="J6676">
        <v>-181.77199999999999</v>
      </c>
      <c r="K6676">
        <v>1.1059219999999901</v>
      </c>
      <c r="L6676">
        <v>129.51230000000001</v>
      </c>
      <c r="M6676">
        <v>0.7254545</v>
      </c>
      <c r="N6676">
        <v>0</v>
      </c>
      <c r="O6676">
        <v>0.68812580000000001</v>
      </c>
      <c r="P6676">
        <v>0.82668249999999999</v>
      </c>
      <c r="Q6676">
        <v>-2.8623409999999998E-2</v>
      </c>
      <c r="R6676">
        <v>0.56194029999999995</v>
      </c>
      <c r="S6676">
        <v>2.9638059999999999</v>
      </c>
      <c r="T6676">
        <v>-0.3676335</v>
      </c>
      <c r="U6676">
        <v>0.96472170000000002</v>
      </c>
      <c r="V6676">
        <v>0.16103290000000001</v>
      </c>
      <c r="W6676">
        <v>-1.6594370000000001E-2</v>
      </c>
      <c r="X6676">
        <v>0.98680950000000001</v>
      </c>
      <c r="Y6676">
        <v>0.42326570000000002</v>
      </c>
      <c r="Z6676">
        <v>-9.9741040000000003E-2</v>
      </c>
      <c r="AA6676">
        <v>0.90049869999999899</v>
      </c>
      <c r="AB6676">
        <v>19</v>
      </c>
      <c r="AC6676">
        <v>8.8350000000000009</v>
      </c>
      <c r="AD6676">
        <v>-1.1059240773369901</v>
      </c>
      <c r="AE6676">
        <v>2.8323</v>
      </c>
      <c r="AF6676">
        <v>3.9688938931253599</v>
      </c>
      <c r="AG6676">
        <v>-1.1059240773369901</v>
      </c>
      <c r="AH6676">
        <v>8.2420905972910994</v>
      </c>
      <c r="AI6676">
        <v>96.893245961806102</v>
      </c>
      <c r="AJ6676">
        <v>64.287338030197603</v>
      </c>
      <c r="AK6676">
        <v>9.2145126953993497</v>
      </c>
      <c r="AL6676">
        <v>90.950831027274205</v>
      </c>
      <c r="AM6676">
        <v>80.731857863426299</v>
      </c>
      <c r="AN6676">
        <v>0.999999978644178</v>
      </c>
    </row>
    <row r="6677" spans="1:40" x14ac:dyDescent="0.3">
      <c r="A6677" t="str">
        <f>"20200111160642196"</f>
        <v>20200111160642196</v>
      </c>
      <c r="B6677" t="str">
        <f>"1578730002189018"</f>
        <v>1578730002189018</v>
      </c>
      <c r="C6677" t="s">
        <v>40</v>
      </c>
      <c r="D6677">
        <v>5.6022239999999996</v>
      </c>
      <c r="E6677">
        <v>0.61201539999999999</v>
      </c>
      <c r="F6677" t="s">
        <v>75</v>
      </c>
      <c r="G6677">
        <v>-172.87979999999999</v>
      </c>
      <c r="H6677" s="1">
        <v>-2.0645829999999998E-6</v>
      </c>
      <c r="I6677">
        <v>132.3895</v>
      </c>
      <c r="J6677">
        <v>-181.68289999999999</v>
      </c>
      <c r="K6677">
        <v>1.105893</v>
      </c>
      <c r="L6677">
        <v>129.5881</v>
      </c>
      <c r="M6677">
        <v>0.72922830000000005</v>
      </c>
      <c r="N6677">
        <v>0</v>
      </c>
      <c r="O6677">
        <v>0.68412510000000004</v>
      </c>
      <c r="P6677">
        <v>0.8290305</v>
      </c>
      <c r="Q6677">
        <v>-2.7938089999999999E-2</v>
      </c>
      <c r="R6677">
        <v>0.55850519999999904</v>
      </c>
      <c r="S6677">
        <v>2.964264</v>
      </c>
      <c r="T6677">
        <v>-0.36866330000000003</v>
      </c>
      <c r="U6677">
        <v>0.95909120000000003</v>
      </c>
      <c r="V6677">
        <v>0.15972320000000001</v>
      </c>
      <c r="W6677">
        <v>-1.589171E-2</v>
      </c>
      <c r="X6677">
        <v>0.98703390000000002</v>
      </c>
      <c r="Y6677">
        <v>0.41987590000000002</v>
      </c>
      <c r="Z6677">
        <v>-9.9519499999999997E-2</v>
      </c>
      <c r="AA6677">
        <v>0.90210869999999999</v>
      </c>
      <c r="AB6677">
        <v>19</v>
      </c>
      <c r="AC6677">
        <v>8.8031000000000006</v>
      </c>
      <c r="AD6677">
        <v>-1.1058950645829999</v>
      </c>
      <c r="AE6677">
        <v>2.8014000000000001</v>
      </c>
      <c r="AF6677">
        <v>3.9237282099700801</v>
      </c>
      <c r="AG6677">
        <v>-1.1058950645829999</v>
      </c>
      <c r="AH6677">
        <v>8.2190238304192107</v>
      </c>
      <c r="AI6677">
        <v>96.923292398586199</v>
      </c>
      <c r="AJ6677">
        <v>64.480382282542195</v>
      </c>
      <c r="AK6677">
        <v>9.1744754446553003</v>
      </c>
      <c r="AL6677">
        <v>90.910566256810299</v>
      </c>
      <c r="AM6677">
        <v>80.8079988783158</v>
      </c>
      <c r="AN6677">
        <v>0.99999998340708696</v>
      </c>
    </row>
    <row r="6678" spans="1:40" x14ac:dyDescent="0.3">
      <c r="A6678" t="str">
        <f>"20200111160642208"</f>
        <v>20200111160642208</v>
      </c>
      <c r="B6678" t="str">
        <f>"1578730002199755"</f>
        <v>1578730002199755</v>
      </c>
      <c r="C6678" t="s">
        <v>40</v>
      </c>
      <c r="D6678">
        <v>5.8687959999999997</v>
      </c>
      <c r="E6678">
        <v>0.61201539999999999</v>
      </c>
      <c r="F6678" t="s">
        <v>75</v>
      </c>
      <c r="G6678">
        <v>-172.77440000000001</v>
      </c>
      <c r="H6678" s="1">
        <v>-2.0252440000000001E-6</v>
      </c>
      <c r="I6678">
        <v>132.43620000000001</v>
      </c>
      <c r="J6678">
        <v>-181.6053</v>
      </c>
      <c r="K6678">
        <v>1.1058650000000001</v>
      </c>
      <c r="L6678">
        <v>129.65350000000001</v>
      </c>
      <c r="M6678">
        <v>0.73250780000000004</v>
      </c>
      <c r="N6678">
        <v>0</v>
      </c>
      <c r="O6678">
        <v>0.680612199999999</v>
      </c>
      <c r="P6678">
        <v>0.83096409999999998</v>
      </c>
      <c r="Q6678">
        <v>-2.708899E-2</v>
      </c>
      <c r="R6678">
        <v>0.55566610000000005</v>
      </c>
      <c r="S6678">
        <v>2.9671780000000001</v>
      </c>
      <c r="T6678">
        <v>-0.3683437</v>
      </c>
      <c r="U6678">
        <v>0.9486542</v>
      </c>
      <c r="V6678">
        <v>0.15838389999999999</v>
      </c>
      <c r="W6678">
        <v>-1.5024529999999999E-2</v>
      </c>
      <c r="X6678">
        <v>0.98726329999999995</v>
      </c>
      <c r="Y6678">
        <v>0.4186935</v>
      </c>
      <c r="Z6678">
        <v>-9.9061350000000006E-2</v>
      </c>
      <c r="AA6678">
        <v>0.90270850000000002</v>
      </c>
      <c r="AB6678">
        <v>19</v>
      </c>
      <c r="AC6678">
        <v>8.8308999999999802</v>
      </c>
      <c r="AD6678">
        <v>-1.1058670252439999</v>
      </c>
      <c r="AE6678">
        <v>2.7827000000000002</v>
      </c>
      <c r="AF6678">
        <v>3.9165932855985401</v>
      </c>
      <c r="AG6678">
        <v>-1.1058670252439999</v>
      </c>
      <c r="AH6678">
        <v>8.2458466146845595</v>
      </c>
      <c r="AI6678">
        <v>96.907233972444402</v>
      </c>
      <c r="AJ6678">
        <v>64.593324237807593</v>
      </c>
      <c r="AK6678">
        <v>9.1954679726059805</v>
      </c>
      <c r="AL6678">
        <v>90.860874540180902</v>
      </c>
      <c r="AM6678">
        <v>80.885858136079406</v>
      </c>
      <c r="AN6678">
        <v>1.0000000099039099</v>
      </c>
    </row>
    <row r="6679" spans="1:40" x14ac:dyDescent="0.3">
      <c r="A6679" t="str">
        <f>"20200111160642219"</f>
        <v>20200111160642219</v>
      </c>
      <c r="B6679" t="str">
        <f>"1578730002209515"</f>
        <v>1578730002209515</v>
      </c>
      <c r="C6679" t="s">
        <v>40</v>
      </c>
      <c r="D6679">
        <v>5.6301860000000001</v>
      </c>
      <c r="E6679">
        <v>0.61178350000000004</v>
      </c>
      <c r="F6679" t="s">
        <v>75</v>
      </c>
      <c r="G6679">
        <v>-172.614</v>
      </c>
      <c r="H6679" s="1">
        <v>-1.959351E-6</v>
      </c>
      <c r="I6679">
        <v>132.4939</v>
      </c>
      <c r="J6679">
        <v>-181.52809999999999</v>
      </c>
      <c r="K6679">
        <v>1.1058380000000001</v>
      </c>
      <c r="L6679">
        <v>129.71780000000001</v>
      </c>
      <c r="M6679">
        <v>0.73576619999999904</v>
      </c>
      <c r="N6679">
        <v>0</v>
      </c>
      <c r="O6679">
        <v>0.67708829999999998</v>
      </c>
      <c r="P6679">
        <v>0.83300390000000002</v>
      </c>
      <c r="Q6679">
        <v>-2.6615179999999999E-2</v>
      </c>
      <c r="R6679">
        <v>0.55262639999999996</v>
      </c>
      <c r="S6679">
        <v>2.9707789999999998</v>
      </c>
      <c r="T6679">
        <v>-0.36538759999999998</v>
      </c>
      <c r="U6679">
        <v>0.93850710000000004</v>
      </c>
      <c r="V6679">
        <v>0.15726770000000001</v>
      </c>
      <c r="W6679">
        <v>-1.453574E-2</v>
      </c>
      <c r="X6679">
        <v>0.98744900000000002</v>
      </c>
      <c r="Y6679">
        <v>0.41759249999999998</v>
      </c>
      <c r="Z6679">
        <v>-9.7880780000000001E-2</v>
      </c>
      <c r="AA6679">
        <v>0.90334700000000001</v>
      </c>
      <c r="AB6679">
        <v>19</v>
      </c>
      <c r="AC6679">
        <v>8.9140999999999906</v>
      </c>
      <c r="AD6679">
        <v>-1.10583995935099</v>
      </c>
      <c r="AE6679">
        <v>2.77609999999998</v>
      </c>
      <c r="AF6679">
        <v>3.9382212418768598</v>
      </c>
      <c r="AG6679">
        <v>-1.10583995935099</v>
      </c>
      <c r="AH6679">
        <v>8.3224444065073797</v>
      </c>
      <c r="AI6679">
        <v>96.848755025873402</v>
      </c>
      <c r="AJ6679">
        <v>64.676259272855106</v>
      </c>
      <c r="AK6679">
        <v>9.2733785356294796</v>
      </c>
      <c r="AL6679">
        <v>90.832865907901507</v>
      </c>
      <c r="AM6679">
        <v>80.950696488131399</v>
      </c>
      <c r="AN6679">
        <v>0.99999997240081795</v>
      </c>
    </row>
    <row r="6680" spans="1:40" x14ac:dyDescent="0.3">
      <c r="A6680" t="str">
        <f>"20200111160642232"</f>
        <v>20200111160642232</v>
      </c>
      <c r="B6680" t="str">
        <f>"1578730002229035"</f>
        <v>1578730002229035</v>
      </c>
      <c r="C6680" t="s">
        <v>40</v>
      </c>
      <c r="D6680">
        <v>5.6200799999999997</v>
      </c>
      <c r="E6680">
        <v>0.61115569999999997</v>
      </c>
      <c r="F6680" t="s">
        <v>75</v>
      </c>
      <c r="G6680">
        <v>-172.524</v>
      </c>
      <c r="H6680" s="1">
        <v>-1.924808E-6</v>
      </c>
      <c r="I6680">
        <v>132.5318</v>
      </c>
      <c r="J6680">
        <v>-181.4478</v>
      </c>
      <c r="K6680">
        <v>1.1058079999999999</v>
      </c>
      <c r="L6680">
        <v>129.78380000000001</v>
      </c>
      <c r="M6680">
        <v>0.73915050000000004</v>
      </c>
      <c r="N6680">
        <v>0</v>
      </c>
      <c r="O6680">
        <v>0.67339189999999904</v>
      </c>
      <c r="P6680">
        <v>0.83517050000000004</v>
      </c>
      <c r="Q6680">
        <v>-2.6361860000000001E-2</v>
      </c>
      <c r="R6680">
        <v>0.54935900000000004</v>
      </c>
      <c r="S6680">
        <v>2.9732970000000001</v>
      </c>
      <c r="T6680">
        <v>-0.36516609999999999</v>
      </c>
      <c r="U6680">
        <v>0.92924499999999999</v>
      </c>
      <c r="V6680">
        <v>0.15619449999999999</v>
      </c>
      <c r="W6680">
        <v>-1.426762E-2</v>
      </c>
      <c r="X6680">
        <v>0.98762329999999998</v>
      </c>
      <c r="Y6680">
        <v>0.41586329999999999</v>
      </c>
      <c r="Z6680">
        <v>-9.7403920000000005E-2</v>
      </c>
      <c r="AA6680">
        <v>0.90419579999999999</v>
      </c>
      <c r="AB6680">
        <v>19</v>
      </c>
      <c r="AC6680">
        <v>8.9238</v>
      </c>
      <c r="AD6680">
        <v>-1.105809924808</v>
      </c>
      <c r="AE6680">
        <v>2.74799999999999</v>
      </c>
      <c r="AF6680">
        <v>3.92339940499286</v>
      </c>
      <c r="AG6680">
        <v>-1.105809924808</v>
      </c>
      <c r="AH6680">
        <v>8.3305175270341394</v>
      </c>
      <c r="AI6680">
        <v>96.847854004158293</v>
      </c>
      <c r="AJ6680">
        <v>64.781108764928803</v>
      </c>
      <c r="AK6680">
        <v>9.2743409873222404</v>
      </c>
      <c r="AL6680">
        <v>90.817502118682</v>
      </c>
      <c r="AM6680">
        <v>81.012998072824701</v>
      </c>
      <c r="AN6680">
        <v>1.0000000347568001</v>
      </c>
    </row>
    <row r="6681" spans="1:40" x14ac:dyDescent="0.3">
      <c r="A6681" t="str">
        <f>"20200111160642244"</f>
        <v>20200111160642244</v>
      </c>
      <c r="B6681" t="str">
        <f>"1578730002239771"</f>
        <v>1578730002239771</v>
      </c>
      <c r="C6681" t="s">
        <v>40</v>
      </c>
      <c r="D6681">
        <v>5.6111309999999897</v>
      </c>
      <c r="E6681">
        <v>0.6109755</v>
      </c>
      <c r="F6681" t="s">
        <v>75</v>
      </c>
      <c r="G6681">
        <v>-172.50280000000001</v>
      </c>
      <c r="H6681" s="1">
        <v>-1.9238250000000002E-6</v>
      </c>
      <c r="I6681">
        <v>132.55690000000001</v>
      </c>
      <c r="J6681">
        <v>-181.36410000000001</v>
      </c>
      <c r="K6681">
        <v>1.105777</v>
      </c>
      <c r="L6681">
        <v>129.85230000000001</v>
      </c>
      <c r="M6681">
        <v>0.74267260000000002</v>
      </c>
      <c r="N6681">
        <v>0</v>
      </c>
      <c r="O6681">
        <v>0.66950529999999997</v>
      </c>
      <c r="P6681">
        <v>0.83739229999999998</v>
      </c>
      <c r="Q6681">
        <v>-2.599359E-2</v>
      </c>
      <c r="R6681">
        <v>0.54598409999999997</v>
      </c>
      <c r="S6681">
        <v>2.9740139999999999</v>
      </c>
      <c r="T6681">
        <v>-0.3676565</v>
      </c>
      <c r="U6681">
        <v>0.92198179999999996</v>
      </c>
      <c r="V6681">
        <v>0.15501089999999901</v>
      </c>
      <c r="W6681">
        <v>-1.3882759999999999E-2</v>
      </c>
      <c r="X6681">
        <v>0.9878152</v>
      </c>
      <c r="Y6681">
        <v>0.4131185</v>
      </c>
      <c r="Z6681">
        <v>-9.7605049999999999E-2</v>
      </c>
      <c r="AA6681">
        <v>0.9054316</v>
      </c>
      <c r="AB6681">
        <v>19</v>
      </c>
      <c r="AC6681">
        <v>8.8613</v>
      </c>
      <c r="AD6681">
        <v>-1.105778923825</v>
      </c>
      <c r="AE6681">
        <v>2.7045999999999899</v>
      </c>
      <c r="AF6681">
        <v>3.8693293582721502</v>
      </c>
      <c r="AG6681">
        <v>-1.105778923825</v>
      </c>
      <c r="AH6681">
        <v>8.2747552087884007</v>
      </c>
      <c r="AI6681">
        <v>96.902195689688398</v>
      </c>
      <c r="AJ6681">
        <v>64.9389035966271</v>
      </c>
      <c r="AK6681">
        <v>9.2014145910578993</v>
      </c>
      <c r="AL6681">
        <v>90.795449116831307</v>
      </c>
      <c r="AM6681">
        <v>81.081705024862202</v>
      </c>
      <c r="AN6681">
        <v>0.99999998974753301</v>
      </c>
    </row>
    <row r="6682" spans="1:40" x14ac:dyDescent="0.3">
      <c r="A6682" t="str">
        <f>"20200111160642255"</f>
        <v>20200111160642255</v>
      </c>
      <c r="B6682" t="str">
        <f>"1578730002249531"</f>
        <v>1578730002249531</v>
      </c>
      <c r="C6682" t="s">
        <v>40</v>
      </c>
      <c r="D6682">
        <v>5.6160709999999998</v>
      </c>
      <c r="E6682">
        <v>0.61074259999999903</v>
      </c>
      <c r="F6682" t="s">
        <v>75</v>
      </c>
      <c r="G6682">
        <v>-172.4153</v>
      </c>
      <c r="H6682" s="1">
        <v>-1.8891780000000001E-6</v>
      </c>
      <c r="I6682">
        <v>132.59129999999999</v>
      </c>
      <c r="J6682">
        <v>-181.28620000000001</v>
      </c>
      <c r="K6682">
        <v>1.105748</v>
      </c>
      <c r="L6682">
        <v>129.91480000000001</v>
      </c>
      <c r="M6682">
        <v>0.74594469999999902</v>
      </c>
      <c r="N6682">
        <v>0</v>
      </c>
      <c r="O6682">
        <v>0.66585729999999999</v>
      </c>
      <c r="P6682">
        <v>0.83956330000000001</v>
      </c>
      <c r="Q6682">
        <v>-2.6003370000000001E-2</v>
      </c>
      <c r="R6682">
        <v>0.54263939999999999</v>
      </c>
      <c r="S6682">
        <v>2.97702</v>
      </c>
      <c r="T6682">
        <v>-0.3678631</v>
      </c>
      <c r="U6682">
        <v>0.91120909999999999</v>
      </c>
      <c r="V6682">
        <v>0.15410929999999901</v>
      </c>
      <c r="W6682">
        <v>-1.3879819999999999E-2</v>
      </c>
      <c r="X6682">
        <v>0.98795630000000001</v>
      </c>
      <c r="Y6682">
        <v>0.41193360000000001</v>
      </c>
      <c r="Z6682">
        <v>-9.7264509999999998E-2</v>
      </c>
      <c r="AA6682">
        <v>0.90600789999999998</v>
      </c>
      <c r="AB6682">
        <v>19</v>
      </c>
      <c r="AC6682">
        <v>8.8709000000000007</v>
      </c>
      <c r="AD6682">
        <v>-1.105749889178</v>
      </c>
      <c r="AE6682">
        <v>2.6764999999999701</v>
      </c>
      <c r="AF6682">
        <v>3.8557154615592801</v>
      </c>
      <c r="AG6682">
        <v>-1.105749889178</v>
      </c>
      <c r="AH6682">
        <v>8.2822626061768698</v>
      </c>
      <c r="AI6682">
        <v>96.901232713221901</v>
      </c>
      <c r="AJ6682">
        <v>65.0361900358253</v>
      </c>
      <c r="AK6682">
        <v>9.2024506744453696</v>
      </c>
      <c r="AL6682">
        <v>90.795280652213293</v>
      </c>
      <c r="AM6682">
        <v>81.133996718771698</v>
      </c>
      <c r="AN6682">
        <v>0.99999998822970604</v>
      </c>
    </row>
    <row r="6683" spans="1:40" x14ac:dyDescent="0.3">
      <c r="A6683" t="str">
        <f>"20200111160642268"</f>
        <v>20200111160642268</v>
      </c>
      <c r="B6683" t="str">
        <f>"1578730002259292"</f>
        <v>1578730002259292</v>
      </c>
      <c r="C6683" t="s">
        <v>40</v>
      </c>
      <c r="D6683">
        <v>5.6544150000000002</v>
      </c>
      <c r="E6683">
        <v>0.61048950000000002</v>
      </c>
      <c r="F6683" t="s">
        <v>75</v>
      </c>
      <c r="G6683">
        <v>-172.3408</v>
      </c>
      <c r="H6683" s="1">
        <v>-1.8590169999999999E-6</v>
      </c>
      <c r="I6683">
        <v>132.61920000000001</v>
      </c>
      <c r="J6683">
        <v>-181.20849999999999</v>
      </c>
      <c r="K6683">
        <v>1.105721</v>
      </c>
      <c r="L6683">
        <v>129.9768</v>
      </c>
      <c r="M6683">
        <v>0.74919939999999996</v>
      </c>
      <c r="N6683">
        <v>0</v>
      </c>
      <c r="O6683">
        <v>0.66219289999999997</v>
      </c>
      <c r="P6683">
        <v>0.84157439999999994</v>
      </c>
      <c r="Q6683">
        <v>-2.640234E-2</v>
      </c>
      <c r="R6683">
        <v>0.53949569999999902</v>
      </c>
      <c r="S6683">
        <v>2.9796749999999999</v>
      </c>
      <c r="T6683">
        <v>-0.36831940000000002</v>
      </c>
      <c r="U6683">
        <v>0.90080260000000001</v>
      </c>
      <c r="V6683">
        <v>0.1529481</v>
      </c>
      <c r="W6683">
        <v>-1.426243E-2</v>
      </c>
      <c r="X6683">
        <v>0.98813130000000005</v>
      </c>
      <c r="Y6683">
        <v>0.41060790000000003</v>
      </c>
      <c r="Z6683">
        <v>-9.6984440000000005E-2</v>
      </c>
      <c r="AA6683">
        <v>0.90663950000000004</v>
      </c>
      <c r="AB6683">
        <v>19</v>
      </c>
      <c r="AC6683">
        <v>8.8676999999999797</v>
      </c>
      <c r="AD6683">
        <v>-1.1057228590169901</v>
      </c>
      <c r="AE6683">
        <v>2.6423999999999999</v>
      </c>
      <c r="AF6683">
        <v>3.8380276864082599</v>
      </c>
      <c r="AG6683">
        <v>-1.1057228590169901</v>
      </c>
      <c r="AH6683">
        <v>8.2761147617915398</v>
      </c>
      <c r="AI6683">
        <v>96.910826131708504</v>
      </c>
      <c r="AJ6683">
        <v>65.120604381811802</v>
      </c>
      <c r="AK6683">
        <v>9.1895133229640091</v>
      </c>
      <c r="AL6683">
        <v>90.817204750008102</v>
      </c>
      <c r="AM6683">
        <v>81.201285846966698</v>
      </c>
      <c r="AN6683">
        <v>1.0000000021213999</v>
      </c>
    </row>
    <row r="6684" spans="1:40" x14ac:dyDescent="0.3">
      <c r="A6684" t="str">
        <f>"20200111160642279"</f>
        <v>20200111160642279</v>
      </c>
      <c r="B6684" t="str">
        <f>"1578730002269051"</f>
        <v>1578730002269051</v>
      </c>
      <c r="C6684" t="s">
        <v>40</v>
      </c>
      <c r="D6684">
        <v>5.6363580000000004</v>
      </c>
      <c r="E6684">
        <v>0.61022659999999995</v>
      </c>
      <c r="F6684" t="s">
        <v>75</v>
      </c>
      <c r="G6684">
        <v>-172.30879999999999</v>
      </c>
      <c r="H6684" s="1">
        <v>-1.848868E-6</v>
      </c>
      <c r="I6684">
        <v>132.63740000000001</v>
      </c>
      <c r="J6684">
        <v>-181.12520000000001</v>
      </c>
      <c r="K6684">
        <v>1.105691</v>
      </c>
      <c r="L6684">
        <v>130.04239999999999</v>
      </c>
      <c r="M6684">
        <v>0.75267510000000004</v>
      </c>
      <c r="N6684">
        <v>0</v>
      </c>
      <c r="O6684">
        <v>0.65823940000000003</v>
      </c>
      <c r="P6684">
        <v>0.84393050000000003</v>
      </c>
      <c r="Q6684">
        <v>-2.6413269999999999E-2</v>
      </c>
      <c r="R6684">
        <v>0.53580190000000005</v>
      </c>
      <c r="S6684">
        <v>2.9817049999999998</v>
      </c>
      <c r="T6684">
        <v>-0.3704559</v>
      </c>
      <c r="U6684">
        <v>0.89138790000000001</v>
      </c>
      <c r="V6684">
        <v>0.15207609999999999</v>
      </c>
      <c r="W6684">
        <v>-1.4260719999999999E-2</v>
      </c>
      <c r="X6684">
        <v>0.98826590000000003</v>
      </c>
      <c r="Y6684">
        <v>0.40856819999999999</v>
      </c>
      <c r="Z6684">
        <v>-9.7082940000000006E-2</v>
      </c>
      <c r="AA6684">
        <v>0.90754999999999997</v>
      </c>
      <c r="AB6684">
        <v>19</v>
      </c>
      <c r="AC6684">
        <v>8.8164000000000105</v>
      </c>
      <c r="AD6684">
        <v>-1.105692848868</v>
      </c>
      <c r="AE6684">
        <v>2.5950000000000202</v>
      </c>
      <c r="AF6684">
        <v>3.7955584044189501</v>
      </c>
      <c r="AG6684">
        <v>-1.105692848868</v>
      </c>
      <c r="AH6684">
        <v>8.2257910424478808</v>
      </c>
      <c r="AI6684">
        <v>96.958609688104701</v>
      </c>
      <c r="AJ6684">
        <v>65.230375272454296</v>
      </c>
      <c r="AK6684">
        <v>9.1264702131442395</v>
      </c>
      <c r="AL6684">
        <v>90.817106767044095</v>
      </c>
      <c r="AM6684">
        <v>81.251844611028403</v>
      </c>
      <c r="AN6684">
        <v>0.99999999871446899</v>
      </c>
    </row>
    <row r="6685" spans="1:40" x14ac:dyDescent="0.3">
      <c r="A6685" t="str">
        <f>"20200111160642294"</f>
        <v>20200111160642294</v>
      </c>
      <c r="B6685" t="str">
        <f>"1578730002289546"</f>
        <v>1578730002289546</v>
      </c>
      <c r="C6685" t="s">
        <v>40</v>
      </c>
      <c r="D6685">
        <v>5.7086670000000002</v>
      </c>
      <c r="E6685">
        <v>0.59786839999999997</v>
      </c>
      <c r="F6685" t="s">
        <v>75</v>
      </c>
      <c r="G6685">
        <v>-172.21969999999999</v>
      </c>
      <c r="H6685" s="1">
        <v>-1.811527E-6</v>
      </c>
      <c r="I6685">
        <v>132.6678</v>
      </c>
      <c r="J6685">
        <v>-181.0309</v>
      </c>
      <c r="K6685">
        <v>1.1056619999999999</v>
      </c>
      <c r="L6685">
        <v>130.1157</v>
      </c>
      <c r="M6685">
        <v>0.75660559999999999</v>
      </c>
      <c r="N6685">
        <v>0</v>
      </c>
      <c r="O6685">
        <v>0.65371749999999995</v>
      </c>
      <c r="P6685">
        <v>0.84633999999999998</v>
      </c>
      <c r="Q6685">
        <v>-2.6231000000000001E-2</v>
      </c>
      <c r="R6685">
        <v>0.53199680000000005</v>
      </c>
      <c r="S6685">
        <v>2.9845730000000001</v>
      </c>
      <c r="T6685">
        <v>-0.37055729999999998</v>
      </c>
      <c r="U6685">
        <v>0.87986759999999997</v>
      </c>
      <c r="V6685">
        <v>0.1506092</v>
      </c>
      <c r="W6685">
        <v>-1.4057099999999999E-2</v>
      </c>
      <c r="X6685">
        <v>0.98849339999999997</v>
      </c>
      <c r="Y6685">
        <v>0.4065993</v>
      </c>
      <c r="Z6685">
        <v>-9.6589519999999998E-2</v>
      </c>
      <c r="AA6685">
        <v>0.90848640000000003</v>
      </c>
      <c r="AB6685">
        <v>19</v>
      </c>
      <c r="AC6685">
        <v>8.8112000000000101</v>
      </c>
      <c r="AD6685">
        <v>-1.1056638115270001</v>
      </c>
      <c r="AE6685">
        <v>2.55209999999999</v>
      </c>
      <c r="AF6685">
        <v>3.77465201859652</v>
      </c>
      <c r="AG6685">
        <v>-1.1056638115270001</v>
      </c>
      <c r="AH6685">
        <v>8.21643125681139</v>
      </c>
      <c r="AI6685">
        <v>96.971569679035994</v>
      </c>
      <c r="AJ6685">
        <v>65.325814536045797</v>
      </c>
      <c r="AK6685">
        <v>9.10934865528389</v>
      </c>
      <c r="AL6685">
        <v>90.805439055914206</v>
      </c>
      <c r="AM6685">
        <v>81.336904939436593</v>
      </c>
      <c r="AN6685">
        <v>0.99999996751430398</v>
      </c>
    </row>
    <row r="6686" spans="1:40" x14ac:dyDescent="0.3">
      <c r="A6686" t="str">
        <f>"20200111160642306"</f>
        <v>20200111160642306</v>
      </c>
      <c r="B6686" t="str">
        <f>"1578730002299307"</f>
        <v>1578730002299307</v>
      </c>
      <c r="C6686" t="s">
        <v>40</v>
      </c>
      <c r="D6686">
        <v>5.8019129999999999</v>
      </c>
      <c r="E6686">
        <v>0.59786839999999997</v>
      </c>
      <c r="F6686" t="s">
        <v>75</v>
      </c>
      <c r="G6686">
        <v>-172.66900000000001</v>
      </c>
      <c r="H6686" s="1">
        <v>-2.1373849999999999E-6</v>
      </c>
      <c r="I6686">
        <v>132.8253</v>
      </c>
      <c r="J6686">
        <v>-180.95150000000001</v>
      </c>
      <c r="K6686">
        <v>1.1056379999999999</v>
      </c>
      <c r="L6686">
        <v>130.17689999999999</v>
      </c>
      <c r="M6686">
        <v>0.75989899999999999</v>
      </c>
      <c r="N6686">
        <v>0</v>
      </c>
      <c r="O6686">
        <v>0.64988610000000002</v>
      </c>
      <c r="P6686">
        <v>0.84873929999999997</v>
      </c>
      <c r="Q6686">
        <v>-2.6014249999999999E-2</v>
      </c>
      <c r="R6686">
        <v>0.52817139999999996</v>
      </c>
      <c r="S6686">
        <v>2.93486</v>
      </c>
      <c r="T6686">
        <v>-0.3880633</v>
      </c>
      <c r="U6686">
        <v>0.95100399999999996</v>
      </c>
      <c r="V6686">
        <v>0.15008250000000001</v>
      </c>
      <c r="W6686">
        <v>-1.383271E-2</v>
      </c>
      <c r="X6686">
        <v>0.98857669999999997</v>
      </c>
      <c r="Y6686">
        <v>0.37701489999999999</v>
      </c>
      <c r="Z6686">
        <v>-9.9976990000000002E-2</v>
      </c>
      <c r="AA6686">
        <v>0.92079549999999999</v>
      </c>
      <c r="AB6686">
        <v>19</v>
      </c>
      <c r="AC6686">
        <v>8.28249999999999</v>
      </c>
      <c r="AD6686">
        <v>-1.105640137385</v>
      </c>
      <c r="AE6686">
        <v>2.6484000000000001</v>
      </c>
      <c r="AF6686">
        <v>3.31688118143538</v>
      </c>
      <c r="AG6686">
        <v>-1.105640137385</v>
      </c>
      <c r="AH6686">
        <v>7.8883004675962498</v>
      </c>
      <c r="AI6686">
        <v>97.362095987535398</v>
      </c>
      <c r="AJ6686">
        <v>67.194167110324898</v>
      </c>
      <c r="AK6686">
        <v>8.6284080311628895</v>
      </c>
      <c r="AL6686">
        <v>90.792581182513501</v>
      </c>
      <c r="AM6686">
        <v>81.367460146967204</v>
      </c>
      <c r="AN6686">
        <v>0.99999999622754199</v>
      </c>
    </row>
    <row r="6687" spans="1:40" x14ac:dyDescent="0.3">
      <c r="A6687" t="str">
        <f>"20200111160642316"</f>
        <v>20200111160642316</v>
      </c>
      <c r="B6687" t="str">
        <f>"1578730002309067"</f>
        <v>1578730002309067</v>
      </c>
      <c r="C6687" t="s">
        <v>40</v>
      </c>
      <c r="D6687">
        <v>6.0016389999999999</v>
      </c>
      <c r="E6687">
        <v>0.52926139999999999</v>
      </c>
      <c r="F6687" t="s">
        <v>75</v>
      </c>
      <c r="G6687">
        <v>-172.55330000000001</v>
      </c>
      <c r="H6687" s="1">
        <v>-2.0850150000000001E-6</v>
      </c>
      <c r="I6687">
        <v>132.85589999999999</v>
      </c>
      <c r="J6687">
        <v>-180.87280000000001</v>
      </c>
      <c r="K6687">
        <v>1.1056140000000001</v>
      </c>
      <c r="L6687">
        <v>130.23650000000001</v>
      </c>
      <c r="M6687">
        <v>0.76315869999999997</v>
      </c>
      <c r="N6687">
        <v>0</v>
      </c>
      <c r="O6687">
        <v>0.64605480000000004</v>
      </c>
      <c r="P6687">
        <v>0.85098449999999903</v>
      </c>
      <c r="Q6687">
        <v>-2.546758E-2</v>
      </c>
      <c r="R6687">
        <v>0.52457310000000001</v>
      </c>
      <c r="S6687">
        <v>2.9393009999999999</v>
      </c>
      <c r="T6687">
        <v>-0.386965</v>
      </c>
      <c r="U6687">
        <v>0.93765259999999995</v>
      </c>
      <c r="V6687">
        <v>0.14931150000000001</v>
      </c>
      <c r="W6687">
        <v>-1.3274849999999999E-2</v>
      </c>
      <c r="X6687">
        <v>0.9887011</v>
      </c>
      <c r="Y6687">
        <v>0.37663049999999998</v>
      </c>
      <c r="Z6687">
        <v>-9.9275089999999996E-2</v>
      </c>
      <c r="AA6687">
        <v>0.92102870000000003</v>
      </c>
      <c r="AB6687">
        <v>19</v>
      </c>
      <c r="AC6687">
        <v>8.3194999999999997</v>
      </c>
      <c r="AD6687">
        <v>-1.1056160850150001</v>
      </c>
      <c r="AE6687">
        <v>2.6193999999999802</v>
      </c>
      <c r="AF6687">
        <v>3.3227851315031001</v>
      </c>
      <c r="AG6687">
        <v>-1.1056160850150001</v>
      </c>
      <c r="AH6687">
        <v>7.9150078042940901</v>
      </c>
      <c r="AI6687">
        <v>97.339111740045496</v>
      </c>
      <c r="AJ6687">
        <v>67.226936694772803</v>
      </c>
      <c r="AK6687">
        <v>8.6550930959532906</v>
      </c>
      <c r="AL6687">
        <v>90.760615215148306</v>
      </c>
      <c r="AM6687">
        <v>81.412208523897505</v>
      </c>
      <c r="AN6687">
        <v>1.0000000054079901</v>
      </c>
    </row>
    <row r="6688" spans="1:40" x14ac:dyDescent="0.3">
      <c r="A6688" t="str">
        <f>"20200111160642329"</f>
        <v>20200111160642329</v>
      </c>
      <c r="B6688" t="str">
        <f>"1578730002319803"</f>
        <v>1578730002319803</v>
      </c>
      <c r="C6688" t="s">
        <v>40</v>
      </c>
      <c r="D6688">
        <v>5.7004679999999999</v>
      </c>
      <c r="E6688">
        <v>0.51745229999999998</v>
      </c>
      <c r="F6688" t="s">
        <v>42</v>
      </c>
      <c r="G6688">
        <v>-180.1815</v>
      </c>
      <c r="H6688">
        <v>0.98913359999999995</v>
      </c>
      <c r="I6688">
        <v>130.60059999999999</v>
      </c>
      <c r="J6688">
        <v>-180.7886</v>
      </c>
      <c r="K6688">
        <v>1.1055870000000001</v>
      </c>
      <c r="L6688">
        <v>130.2998</v>
      </c>
      <c r="M6688">
        <v>0.76663630000000005</v>
      </c>
      <c r="N6688">
        <v>0</v>
      </c>
      <c r="O6688">
        <v>0.64192419999999994</v>
      </c>
      <c r="P6688">
        <v>0.85353099999999904</v>
      </c>
      <c r="Q6688">
        <v>-2.460679E-2</v>
      </c>
      <c r="R6688">
        <v>0.52046099999999995</v>
      </c>
      <c r="S6688">
        <v>2.65123</v>
      </c>
      <c r="T6688">
        <v>-0.44647039999999999</v>
      </c>
      <c r="U6688">
        <v>1.396301</v>
      </c>
      <c r="V6688">
        <v>0.14876929999999999</v>
      </c>
      <c r="W6688">
        <v>-1.240598E-2</v>
      </c>
      <c r="X6688">
        <v>0.98879410000000001</v>
      </c>
      <c r="Y6688">
        <v>0.20301250000000001</v>
      </c>
      <c r="Z6688">
        <v>-0.1065869</v>
      </c>
      <c r="AA6688">
        <v>0.97335769999999999</v>
      </c>
      <c r="AB6688">
        <v>19</v>
      </c>
      <c r="AC6688">
        <v>0.60710000000000197</v>
      </c>
      <c r="AD6688">
        <v>-0.1164534</v>
      </c>
      <c r="AE6688">
        <v>0.30079999999998103</v>
      </c>
      <c r="AF6688">
        <v>0.15455807245120601</v>
      </c>
      <c r="AG6688">
        <v>-0.1164534</v>
      </c>
      <c r="AH6688">
        <v>0.63968454028992305</v>
      </c>
      <c r="AI6688">
        <v>100.034962213442</v>
      </c>
      <c r="AJ6688">
        <v>76.416747174469194</v>
      </c>
      <c r="AK6688">
        <v>0.66831572121065896</v>
      </c>
      <c r="AL6688">
        <v>90.710828534534301</v>
      </c>
      <c r="AM6688">
        <v>81.443724097721301</v>
      </c>
      <c r="AN6688">
        <v>0.99999999257853001</v>
      </c>
    </row>
    <row r="6689" spans="1:40" x14ac:dyDescent="0.3">
      <c r="A6689" t="str">
        <f>"20200111160642342"</f>
        <v>20200111160642342</v>
      </c>
      <c r="B6689" t="str">
        <f>"1578730002339323"</f>
        <v>1578730002339323</v>
      </c>
      <c r="C6689" t="s">
        <v>40</v>
      </c>
      <c r="D6689">
        <v>5.7538739999999997</v>
      </c>
      <c r="E6689">
        <v>0.50412049999999997</v>
      </c>
      <c r="F6689" t="s">
        <v>42</v>
      </c>
      <c r="G6689">
        <v>-180.0625</v>
      </c>
      <c r="H6689">
        <v>0.9715298</v>
      </c>
      <c r="I6689">
        <v>130.70830000000001</v>
      </c>
      <c r="J6689">
        <v>-180.69820000000001</v>
      </c>
      <c r="K6689">
        <v>1.105548</v>
      </c>
      <c r="L6689">
        <v>130.36689999999999</v>
      </c>
      <c r="M6689">
        <v>0.77035240000000005</v>
      </c>
      <c r="N6689">
        <v>0</v>
      </c>
      <c r="O6689">
        <v>0.63745949999999996</v>
      </c>
      <c r="P6689">
        <v>0.85621029999999998</v>
      </c>
      <c r="Q6689">
        <v>-2.3784630000000001E-2</v>
      </c>
      <c r="R6689">
        <v>0.51607959999999997</v>
      </c>
      <c r="S6689">
        <v>2.6066889999999998</v>
      </c>
      <c r="T6689">
        <v>-0.48103950000000001</v>
      </c>
      <c r="U6689">
        <v>1.466553</v>
      </c>
      <c r="V6689">
        <v>0.14811740000000001</v>
      </c>
      <c r="W6689">
        <v>-1.1573999999999999E-2</v>
      </c>
      <c r="X6689">
        <v>0.98890199999999995</v>
      </c>
      <c r="Y6689">
        <v>0.16931679999999999</v>
      </c>
      <c r="Z6689">
        <v>-0.1121302</v>
      </c>
      <c r="AA6689">
        <v>0.97916219999999998</v>
      </c>
      <c r="AB6689">
        <v>19</v>
      </c>
      <c r="AC6689">
        <v>0.63570000000001403</v>
      </c>
      <c r="AD6689">
        <v>-0.134018199999999</v>
      </c>
      <c r="AE6689">
        <v>0.34140000000002102</v>
      </c>
      <c r="AF6689">
        <v>0.13750573183927001</v>
      </c>
      <c r="AG6689">
        <v>-0.134018199999999</v>
      </c>
      <c r="AH6689">
        <v>0.68382427673333002</v>
      </c>
      <c r="AI6689">
        <v>100.876117067298</v>
      </c>
      <c r="AJ6689">
        <v>78.630391491019793</v>
      </c>
      <c r="AK6689">
        <v>0.71027061439268002</v>
      </c>
      <c r="AL6689">
        <v>90.663156195816796</v>
      </c>
      <c r="AM6689">
        <v>81.481581841371295</v>
      </c>
      <c r="AN6689">
        <v>0.99999994363137801</v>
      </c>
    </row>
    <row r="6690" spans="1:40" x14ac:dyDescent="0.3">
      <c r="A6690" t="str">
        <f>"20200111160642353"</f>
        <v>20200111160642353</v>
      </c>
      <c r="B6690" t="str">
        <f>"1578730002349084"</f>
        <v>1578730002349084</v>
      </c>
      <c r="C6690" t="s">
        <v>40</v>
      </c>
      <c r="D6690">
        <v>5.7298429999999998</v>
      </c>
      <c r="E6690">
        <v>0.50071189999999999</v>
      </c>
      <c r="F6690" t="s">
        <v>42</v>
      </c>
      <c r="G6690">
        <v>-180.08500000000001</v>
      </c>
      <c r="H6690">
        <v>0.97744889999999995</v>
      </c>
      <c r="I6690">
        <v>130.73840000000001</v>
      </c>
      <c r="J6690">
        <v>-180.6208</v>
      </c>
      <c r="K6690">
        <v>1.1055219999999999</v>
      </c>
      <c r="L6690">
        <v>130.42349999999999</v>
      </c>
      <c r="M6690">
        <v>0.77353349999999998</v>
      </c>
      <c r="N6690">
        <v>0</v>
      </c>
      <c r="O6690">
        <v>0.63359540000000003</v>
      </c>
      <c r="P6690">
        <v>0.85841749999999895</v>
      </c>
      <c r="Q6690">
        <v>-2.285678E-2</v>
      </c>
      <c r="R6690">
        <v>0.51244219999999996</v>
      </c>
      <c r="S6690">
        <v>2.5558320000000001</v>
      </c>
      <c r="T6690">
        <v>-0.53360989999999997</v>
      </c>
      <c r="U6690">
        <v>1.548141</v>
      </c>
      <c r="V6690">
        <v>0.1473904</v>
      </c>
      <c r="W6690">
        <v>-1.063471E-2</v>
      </c>
      <c r="X6690">
        <v>0.98902120000000004</v>
      </c>
      <c r="Y6690">
        <v>0.13130929999999999</v>
      </c>
      <c r="Z6690">
        <v>-0.1209662</v>
      </c>
      <c r="AA6690">
        <v>0.98393339999999996</v>
      </c>
      <c r="AB6690">
        <v>19</v>
      </c>
      <c r="AC6690">
        <v>0.53579999999999395</v>
      </c>
      <c r="AD6690">
        <v>-0.128073099999999</v>
      </c>
      <c r="AE6690">
        <v>0.314900000000022</v>
      </c>
      <c r="AF6690">
        <v>9.1997554736735002E-2</v>
      </c>
      <c r="AG6690">
        <v>-0.128073099999999</v>
      </c>
      <c r="AH6690">
        <v>0.58902635585126595</v>
      </c>
      <c r="AI6690">
        <v>102.12442772332</v>
      </c>
      <c r="AJ6690">
        <v>81.122931407527304</v>
      </c>
      <c r="AK6690">
        <v>0.60976906850755497</v>
      </c>
      <c r="AL6690">
        <v>90.609335497234994</v>
      </c>
      <c r="AM6690">
        <v>81.523790408587303</v>
      </c>
      <c r="AN6690">
        <v>0.99999998055919104</v>
      </c>
    </row>
    <row r="6691" spans="1:40" x14ac:dyDescent="0.3">
      <c r="A6691" t="str">
        <f>"20200111160642366"</f>
        <v>20200111160642366</v>
      </c>
      <c r="B6691" t="str">
        <f>"1578730002359819"</f>
        <v>1578730002359819</v>
      </c>
      <c r="C6691" t="s">
        <v>40</v>
      </c>
      <c r="D6691">
        <v>5.6838430000000004</v>
      </c>
      <c r="E6691">
        <v>0.49841410000000003</v>
      </c>
      <c r="F6691" t="s">
        <v>42</v>
      </c>
      <c r="G6691">
        <v>-179.95660000000001</v>
      </c>
      <c r="H6691">
        <v>0.95422200000000001</v>
      </c>
      <c r="I6691">
        <v>130.83160000000001</v>
      </c>
      <c r="J6691">
        <v>-180.53210000000001</v>
      </c>
      <c r="K6691">
        <v>1.1054919999999999</v>
      </c>
      <c r="L6691">
        <v>130.48779999999999</v>
      </c>
      <c r="M6691">
        <v>0.77715509999999999</v>
      </c>
      <c r="N6691">
        <v>0</v>
      </c>
      <c r="O6691">
        <v>0.62914759999999903</v>
      </c>
      <c r="P6691">
        <v>0.86109979999999997</v>
      </c>
      <c r="Q6691">
        <v>-2.188584E-2</v>
      </c>
      <c r="R6691">
        <v>0.50796470000000005</v>
      </c>
      <c r="S6691">
        <v>2.5456539999999999</v>
      </c>
      <c r="T6691">
        <v>-0.579847</v>
      </c>
      <c r="U6691">
        <v>1.5641020000000001</v>
      </c>
      <c r="V6691">
        <v>0.14689559999999999</v>
      </c>
      <c r="W6691">
        <v>-9.655762E-3</v>
      </c>
      <c r="X6691">
        <v>0.98910489999999995</v>
      </c>
      <c r="Y6691">
        <v>0.1178589</v>
      </c>
      <c r="Z6691">
        <v>-0.12939510000000001</v>
      </c>
      <c r="AA6691">
        <v>0.98456390000000005</v>
      </c>
      <c r="AB6691">
        <v>19</v>
      </c>
      <c r="AC6691">
        <v>0.57550000000000501</v>
      </c>
      <c r="AD6691">
        <v>-0.15126999999999999</v>
      </c>
      <c r="AE6691">
        <v>0.34380000000001498</v>
      </c>
      <c r="AF6691">
        <v>9.0300231451605803E-2</v>
      </c>
      <c r="AG6691">
        <v>-0.15126999999999999</v>
      </c>
      <c r="AH6691">
        <v>0.63146788326490899</v>
      </c>
      <c r="AI6691">
        <v>103.34072255488</v>
      </c>
      <c r="AJ6691">
        <v>81.861847575529794</v>
      </c>
      <c r="AK6691">
        <v>0.65558251371988197</v>
      </c>
      <c r="AL6691">
        <v>90.553242992623694</v>
      </c>
      <c r="AM6691">
        <v>81.552538912444206</v>
      </c>
      <c r="AN6691">
        <v>1.0000000271215801</v>
      </c>
    </row>
    <row r="6692" spans="1:40" x14ac:dyDescent="0.3">
      <c r="A6692" t="str">
        <f>"20200111160642378"</f>
        <v>20200111160642378</v>
      </c>
      <c r="B6692" t="str">
        <f>"1578730002369580"</f>
        <v>1578730002369580</v>
      </c>
      <c r="C6692" t="s">
        <v>40</v>
      </c>
      <c r="D6692">
        <v>5.7257290000000003</v>
      </c>
      <c r="E6692">
        <v>0.4969076</v>
      </c>
      <c r="F6692" t="s">
        <v>42</v>
      </c>
      <c r="G6692">
        <v>-179.8252</v>
      </c>
      <c r="H6692">
        <v>0.93520859999999995</v>
      </c>
      <c r="I6692">
        <v>130.92400000000001</v>
      </c>
      <c r="J6692">
        <v>-180.4486</v>
      </c>
      <c r="K6692">
        <v>1.105469</v>
      </c>
      <c r="L6692">
        <v>130.54740000000001</v>
      </c>
      <c r="M6692">
        <v>0.78055750000000002</v>
      </c>
      <c r="N6692">
        <v>0</v>
      </c>
      <c r="O6692">
        <v>0.62492130000000001</v>
      </c>
      <c r="P6692">
        <v>0.86358599999999996</v>
      </c>
      <c r="Q6692">
        <v>-2.1000029999999999E-2</v>
      </c>
      <c r="R6692">
        <v>0.50376430000000005</v>
      </c>
      <c r="S6692">
        <v>2.5426329999999999</v>
      </c>
      <c r="T6692">
        <v>-0.61201430000000001</v>
      </c>
      <c r="U6692">
        <v>1.5693049999999999</v>
      </c>
      <c r="V6692">
        <v>0.146371</v>
      </c>
      <c r="W6692">
        <v>-8.7613039999999993E-3</v>
      </c>
      <c r="X6692">
        <v>0.98919100000000004</v>
      </c>
      <c r="Y6692">
        <v>0.1094019</v>
      </c>
      <c r="Z6692">
        <v>-0.13489110000000001</v>
      </c>
      <c r="AA6692">
        <v>0.98480230000000002</v>
      </c>
      <c r="AB6692">
        <v>19</v>
      </c>
      <c r="AC6692">
        <v>0.62340000000000295</v>
      </c>
      <c r="AD6692">
        <v>-0.17026040000000001</v>
      </c>
      <c r="AE6692">
        <v>0.37659999999999599</v>
      </c>
      <c r="AF6692">
        <v>9.0672582474278104E-2</v>
      </c>
      <c r="AG6692">
        <v>-0.17026040000000001</v>
      </c>
      <c r="AH6692">
        <v>0.68460561962759203</v>
      </c>
      <c r="AI6692">
        <v>103.84980736495</v>
      </c>
      <c r="AJ6692">
        <v>82.455371871504596</v>
      </c>
      <c r="AK6692">
        <v>0.71126294395701095</v>
      </c>
      <c r="AL6692">
        <v>90.501992148354105</v>
      </c>
      <c r="AM6692">
        <v>81.582996049233202</v>
      </c>
      <c r="AN6692">
        <v>1.0000000322848801</v>
      </c>
    </row>
    <row r="6693" spans="1:40" x14ac:dyDescent="0.3">
      <c r="A6693" t="str">
        <f>"20200111160642390"</f>
        <v>20200111160642390</v>
      </c>
      <c r="B6693" t="str">
        <f>"1578730002379339"</f>
        <v>1578730002379339</v>
      </c>
      <c r="C6693" t="s">
        <v>40</v>
      </c>
      <c r="D6693">
        <v>5.6593910000000003</v>
      </c>
      <c r="E6693">
        <v>0.49580790000000002</v>
      </c>
      <c r="F6693" t="s">
        <v>42</v>
      </c>
      <c r="G6693">
        <v>-179.8237</v>
      </c>
      <c r="H6693">
        <v>0.94926429999999995</v>
      </c>
      <c r="I6693">
        <v>130.93289999999999</v>
      </c>
      <c r="J6693">
        <v>-180.36920000000001</v>
      </c>
      <c r="K6693">
        <v>1.105445</v>
      </c>
      <c r="L6693">
        <v>130.60329999999999</v>
      </c>
      <c r="M6693">
        <v>0.78377439999999998</v>
      </c>
      <c r="N6693">
        <v>0</v>
      </c>
      <c r="O6693">
        <v>0.62088160000000003</v>
      </c>
      <c r="P6693">
        <v>0.86610409999999904</v>
      </c>
      <c r="Q6693">
        <v>-2.0115939999999999E-2</v>
      </c>
      <c r="R6693">
        <v>0.49945879999999998</v>
      </c>
      <c r="S6693">
        <v>2.5429689999999998</v>
      </c>
      <c r="T6693">
        <v>-0.63518660000000005</v>
      </c>
      <c r="U6693">
        <v>1.5693360000000001</v>
      </c>
      <c r="V6693">
        <v>0.1462108</v>
      </c>
      <c r="W6693">
        <v>-7.8736869999999903E-3</v>
      </c>
      <c r="X6693">
        <v>0.98922209999999999</v>
      </c>
      <c r="Y6693">
        <v>0.1035377</v>
      </c>
      <c r="Z6693">
        <v>-0.138547</v>
      </c>
      <c r="AA6693">
        <v>0.98492880000000005</v>
      </c>
      <c r="AB6693">
        <v>19</v>
      </c>
      <c r="AC6693">
        <v>0.54550000000000398</v>
      </c>
      <c r="AD6693">
        <v>-0.15618070000000001</v>
      </c>
      <c r="AE6693">
        <v>0.329599999999999</v>
      </c>
      <c r="AF6693">
        <v>7.5814452616109196E-2</v>
      </c>
      <c r="AG6693">
        <v>-0.15618070000000001</v>
      </c>
      <c r="AH6693">
        <v>0.59644010658250302</v>
      </c>
      <c r="AI6693">
        <v>104.561584523942</v>
      </c>
      <c r="AJ6693">
        <v>82.755890668925204</v>
      </c>
      <c r="AK6693">
        <v>0.621193241284963</v>
      </c>
      <c r="AL6693">
        <v>90.451133705623704</v>
      </c>
      <c r="AM6693">
        <v>81.592337085941793</v>
      </c>
      <c r="AN6693">
        <v>0.99999997805601104</v>
      </c>
    </row>
    <row r="6694" spans="1:40" x14ac:dyDescent="0.3">
      <c r="A6694" t="str">
        <f>"20200111160642404"</f>
        <v>20200111160642404</v>
      </c>
      <c r="B6694" t="str">
        <f>"1578730002399835"</f>
        <v>1578730002399835</v>
      </c>
      <c r="C6694" t="s">
        <v>40</v>
      </c>
      <c r="D6694">
        <v>5.6964800000000002</v>
      </c>
      <c r="E6694">
        <v>0.49428040000000001</v>
      </c>
      <c r="F6694" t="s">
        <v>42</v>
      </c>
      <c r="G6694">
        <v>-179.6891</v>
      </c>
      <c r="H6694">
        <v>0.93125250000000004</v>
      </c>
      <c r="I6694">
        <v>131.02170000000001</v>
      </c>
      <c r="J6694">
        <v>-180.27090000000001</v>
      </c>
      <c r="K6694">
        <v>1.105415</v>
      </c>
      <c r="L6694">
        <v>130.672</v>
      </c>
      <c r="M6694">
        <v>0.787742099999999</v>
      </c>
      <c r="N6694">
        <v>0</v>
      </c>
      <c r="O6694">
        <v>0.61583949999999998</v>
      </c>
      <c r="P6694">
        <v>0.86914190000000002</v>
      </c>
      <c r="Q6694">
        <v>-1.9616729999999999E-2</v>
      </c>
      <c r="R6694">
        <v>0.49417349999999999</v>
      </c>
      <c r="S6694">
        <v>2.5456699999999999</v>
      </c>
      <c r="T6694">
        <v>-0.65200950000000002</v>
      </c>
      <c r="U6694">
        <v>1.5658110000000001</v>
      </c>
      <c r="V6694">
        <v>0.14590259999999999</v>
      </c>
      <c r="W6694">
        <v>-7.3683369999999896E-3</v>
      </c>
      <c r="X6694">
        <v>0.98927149999999997</v>
      </c>
      <c r="Y6694">
        <v>9.8100930000000003E-2</v>
      </c>
      <c r="Z6694">
        <v>-0.14058870000000001</v>
      </c>
      <c r="AA6694">
        <v>0.98519590000000001</v>
      </c>
      <c r="AB6694">
        <v>19</v>
      </c>
      <c r="AC6694">
        <v>0.58180000000001497</v>
      </c>
      <c r="AD6694">
        <v>-0.1741625</v>
      </c>
      <c r="AE6694">
        <v>0.349700000000012</v>
      </c>
      <c r="AF6694">
        <v>7.7714619438646104E-2</v>
      </c>
      <c r="AG6694">
        <v>-0.1741625</v>
      </c>
      <c r="AH6694">
        <v>0.63212434128170303</v>
      </c>
      <c r="AI6694">
        <v>105.29421271356399</v>
      </c>
      <c r="AJ6694">
        <v>82.991114560045602</v>
      </c>
      <c r="AK6694">
        <v>0.66026761341259999</v>
      </c>
      <c r="AL6694">
        <v>90.422178440434195</v>
      </c>
      <c r="AM6694">
        <v>81.610220200547403</v>
      </c>
      <c r="AN6694">
        <v>0.99999998089457698</v>
      </c>
    </row>
    <row r="6695" spans="1:40" x14ac:dyDescent="0.3">
      <c r="A6695" t="str">
        <f>"20200111160642416"</f>
        <v>20200111160642416</v>
      </c>
      <c r="B6695" t="str">
        <f>"1578730002409594"</f>
        <v>1578730002409594</v>
      </c>
      <c r="C6695" t="s">
        <v>40</v>
      </c>
      <c r="D6695">
        <v>5.7005860000000004</v>
      </c>
      <c r="E6695">
        <v>0.49370809999999998</v>
      </c>
      <c r="F6695" t="s">
        <v>42</v>
      </c>
      <c r="G6695">
        <v>-179.5548</v>
      </c>
      <c r="H6695">
        <v>0.91443560000000002</v>
      </c>
      <c r="I6695">
        <v>131.1113</v>
      </c>
      <c r="J6695">
        <v>-180.18020000000001</v>
      </c>
      <c r="K6695">
        <v>1.105389</v>
      </c>
      <c r="L6695">
        <v>130.73410000000001</v>
      </c>
      <c r="M6695">
        <v>0.79138390000000003</v>
      </c>
      <c r="N6695">
        <v>0</v>
      </c>
      <c r="O6695">
        <v>0.61115229999999998</v>
      </c>
      <c r="P6695">
        <v>0.87211450000000001</v>
      </c>
      <c r="Q6695">
        <v>-1.9228809999999999E-2</v>
      </c>
      <c r="R6695">
        <v>0.48892409999999997</v>
      </c>
      <c r="S6695">
        <v>2.547577</v>
      </c>
      <c r="T6695">
        <v>-0.67893959999999998</v>
      </c>
      <c r="U6695">
        <v>1.5632170000000001</v>
      </c>
      <c r="V6695">
        <v>0.14600469999999999</v>
      </c>
      <c r="W6695">
        <v>-6.9795059999999999E-3</v>
      </c>
      <c r="X6695">
        <v>0.98925920000000001</v>
      </c>
      <c r="Y6695">
        <v>9.231288E-2</v>
      </c>
      <c r="Z6695">
        <v>-0.14467839999999901</v>
      </c>
      <c r="AA6695">
        <v>0.98516320000000002</v>
      </c>
      <c r="AB6695">
        <v>19</v>
      </c>
      <c r="AC6695">
        <v>0.62540000000001295</v>
      </c>
      <c r="AD6695">
        <v>-0.190953399999999</v>
      </c>
      <c r="AE6695">
        <v>0.37719999999998699</v>
      </c>
      <c r="AF6695">
        <v>7.8356780859985806E-2</v>
      </c>
      <c r="AG6695">
        <v>-0.190953399999999</v>
      </c>
      <c r="AH6695">
        <v>0.67910886996136299</v>
      </c>
      <c r="AI6695">
        <v>105.606595562154</v>
      </c>
      <c r="AJ6695">
        <v>83.418216446140093</v>
      </c>
      <c r="AK6695">
        <v>0.70978295509155498</v>
      </c>
      <c r="AL6695">
        <v>90.399899513532702</v>
      </c>
      <c r="AM6695">
        <v>81.604329935053499</v>
      </c>
      <c r="AN6695">
        <v>0.99999992535536397</v>
      </c>
    </row>
    <row r="6696" spans="1:40" x14ac:dyDescent="0.3">
      <c r="A6696" t="str">
        <f>"20200111160642430"</f>
        <v>20200111160642430</v>
      </c>
      <c r="B6696" t="str">
        <f>"1578730002419355"</f>
        <v>1578730002419355</v>
      </c>
      <c r="C6696" t="s">
        <v>40</v>
      </c>
      <c r="D6696">
        <v>5.7354310000000002</v>
      </c>
      <c r="E6696">
        <v>0.49298599999999998</v>
      </c>
      <c r="F6696" t="s">
        <v>42</v>
      </c>
      <c r="G6696">
        <v>-179.5479</v>
      </c>
      <c r="H6696">
        <v>0.93482659999999995</v>
      </c>
      <c r="I6696">
        <v>131.11850000000001</v>
      </c>
      <c r="J6696">
        <v>-180.0941</v>
      </c>
      <c r="K6696">
        <v>1.105369</v>
      </c>
      <c r="L6696">
        <v>130.79249999999999</v>
      </c>
      <c r="M6696">
        <v>0.79481959999999996</v>
      </c>
      <c r="N6696">
        <v>0</v>
      </c>
      <c r="O6696">
        <v>0.60667709999999997</v>
      </c>
      <c r="P6696">
        <v>0.875004</v>
      </c>
      <c r="Q6696">
        <v>-1.9391350000000002E-2</v>
      </c>
      <c r="R6696">
        <v>0.48372700000000002</v>
      </c>
      <c r="S6696">
        <v>2.5540310000000002</v>
      </c>
      <c r="T6696">
        <v>-0.68832119999999997</v>
      </c>
      <c r="U6696">
        <v>1.553085</v>
      </c>
      <c r="V6696">
        <v>0.14630360000000001</v>
      </c>
      <c r="W6696">
        <v>-7.1439210000000001E-3</v>
      </c>
      <c r="X6696">
        <v>0.98921389999999998</v>
      </c>
      <c r="Y6696">
        <v>9.0385869999999993E-2</v>
      </c>
      <c r="Z6696">
        <v>-0.1454569</v>
      </c>
      <c r="AA6696">
        <v>0.98522719999999997</v>
      </c>
      <c r="AB6696">
        <v>19</v>
      </c>
      <c r="AC6696">
        <v>0.54619999999999802</v>
      </c>
      <c r="AD6696">
        <v>-0.17054240000000001</v>
      </c>
      <c r="AE6696">
        <v>0.326000000000021</v>
      </c>
      <c r="AF6696">
        <v>6.7417080609203803E-2</v>
      </c>
      <c r="AG6696">
        <v>-0.17054240000000001</v>
      </c>
      <c r="AH6696">
        <v>0.58959022857154997</v>
      </c>
      <c r="AI6696">
        <v>106.03375953808199</v>
      </c>
      <c r="AJ6696">
        <v>83.476808224593398</v>
      </c>
      <c r="AK6696">
        <v>0.61745154512939804</v>
      </c>
      <c r="AL6696">
        <v>90.409320020765705</v>
      </c>
      <c r="AM6696">
        <v>81.587008349176202</v>
      </c>
      <c r="AN6696">
        <v>0.99999995946671105</v>
      </c>
    </row>
    <row r="6697" spans="1:40" x14ac:dyDescent="0.3">
      <c r="A6697" t="str">
        <f>"20200111160642442"</f>
        <v>20200111160642442</v>
      </c>
      <c r="B6697" t="str">
        <f>"1578730002439850"</f>
        <v>1578730002439850</v>
      </c>
      <c r="C6697" t="s">
        <v>40</v>
      </c>
      <c r="D6697">
        <v>5.7145919999999997</v>
      </c>
      <c r="E6697">
        <v>0.49250250000000001</v>
      </c>
      <c r="F6697" t="s">
        <v>42</v>
      </c>
      <c r="G6697">
        <v>-179.4102</v>
      </c>
      <c r="H6697">
        <v>0.91995249999999995</v>
      </c>
      <c r="I6697">
        <v>131.20480000000001</v>
      </c>
      <c r="J6697">
        <v>-179.99950000000001</v>
      </c>
      <c r="K6697">
        <v>1.1053519999999999</v>
      </c>
      <c r="L6697">
        <v>130.85589999999999</v>
      </c>
      <c r="M6697">
        <v>0.79856949999999904</v>
      </c>
      <c r="N6697">
        <v>0</v>
      </c>
      <c r="O6697">
        <v>0.6017323</v>
      </c>
      <c r="P6697">
        <v>0.87804599999999899</v>
      </c>
      <c r="Q6697">
        <v>-1.949656E-2</v>
      </c>
      <c r="R6697">
        <v>0.47817900000000002</v>
      </c>
      <c r="S6697">
        <v>2.5599059999999998</v>
      </c>
      <c r="T6697">
        <v>-0.69397559999999903</v>
      </c>
      <c r="U6697">
        <v>1.543472</v>
      </c>
      <c r="V6697">
        <v>0.1464222</v>
      </c>
      <c r="W6697">
        <v>-7.2472669999999999E-3</v>
      </c>
      <c r="X6697">
        <v>0.98919559999999995</v>
      </c>
      <c r="Y6697">
        <v>8.7831530000000005E-2</v>
      </c>
      <c r="Z6697">
        <v>-0.14529489999999901</v>
      </c>
      <c r="AA6697">
        <v>0.98548219999999997</v>
      </c>
      <c r="AB6697">
        <v>19</v>
      </c>
      <c r="AC6697">
        <v>0.58930000000000804</v>
      </c>
      <c r="AD6697">
        <v>-0.18539949999999999</v>
      </c>
      <c r="AE6697">
        <v>0.34890000000001398</v>
      </c>
      <c r="AF6697">
        <v>7.0798948200893094E-2</v>
      </c>
      <c r="AG6697">
        <v>-0.18539949999999999</v>
      </c>
      <c r="AH6697">
        <v>0.63413595793658595</v>
      </c>
      <c r="AI6697">
        <v>106.201763988423</v>
      </c>
      <c r="AJ6697">
        <v>83.629518602704394</v>
      </c>
      <c r="AK6697">
        <v>0.66446510729665498</v>
      </c>
      <c r="AL6697">
        <v>90.415241464006996</v>
      </c>
      <c r="AM6697">
        <v>81.580132606501607</v>
      </c>
      <c r="AN6697">
        <v>0.99999995929558305</v>
      </c>
    </row>
    <row r="6698" spans="1:40" x14ac:dyDescent="0.3">
      <c r="A6698" t="str">
        <f>"20200111160642457"</f>
        <v>20200111160642457</v>
      </c>
      <c r="B6698" t="str">
        <f>"1578730002449611"</f>
        <v>1578730002449611</v>
      </c>
      <c r="C6698" t="s">
        <v>40</v>
      </c>
      <c r="D6698">
        <v>6.1204489999999998</v>
      </c>
      <c r="E6698">
        <v>0.49170940000000002</v>
      </c>
      <c r="F6698" t="s">
        <v>42</v>
      </c>
      <c r="G6698">
        <v>-179.40309999999999</v>
      </c>
      <c r="H6698">
        <v>0.94019960000000002</v>
      </c>
      <c r="I6698">
        <v>131.21170000000001</v>
      </c>
      <c r="J6698">
        <v>-179.90170000000001</v>
      </c>
      <c r="K6698">
        <v>1.10534</v>
      </c>
      <c r="L6698">
        <v>130.92019999999999</v>
      </c>
      <c r="M6698">
        <v>0.80242250000000004</v>
      </c>
      <c r="N6698">
        <v>0</v>
      </c>
      <c r="O6698">
        <v>0.59658440000000001</v>
      </c>
      <c r="P6698">
        <v>0.88113699999999995</v>
      </c>
      <c r="Q6698">
        <v>-1.9836659999999999E-2</v>
      </c>
      <c r="R6698">
        <v>0.472445</v>
      </c>
      <c r="S6698">
        <v>2.5668329999999999</v>
      </c>
      <c r="T6698">
        <v>-0.71075480000000002</v>
      </c>
      <c r="U6698">
        <v>1.5315700000000001</v>
      </c>
      <c r="V6698">
        <v>0.1465003</v>
      </c>
      <c r="W6698">
        <v>-7.5837019999999899E-3</v>
      </c>
      <c r="X6698">
        <v>0.98918159999999999</v>
      </c>
      <c r="Y6698">
        <v>8.5403119999999999E-2</v>
      </c>
      <c r="Z6698">
        <v>-0.14731150000000001</v>
      </c>
      <c r="AA6698">
        <v>0.98539620000000006</v>
      </c>
      <c r="AB6698">
        <v>19</v>
      </c>
      <c r="AC6698">
        <v>0.49860000000000998</v>
      </c>
      <c r="AD6698">
        <v>-0.16514039999999999</v>
      </c>
      <c r="AE6698">
        <v>0.29150000000001303</v>
      </c>
      <c r="AF6698">
        <v>5.87539186925208E-2</v>
      </c>
      <c r="AG6698">
        <v>-0.16514039999999999</v>
      </c>
      <c r="AH6698">
        <v>0.53066648174411502</v>
      </c>
      <c r="AI6698">
        <v>107.18706474044301</v>
      </c>
      <c r="AJ6698">
        <v>83.682102175982394</v>
      </c>
      <c r="AK6698">
        <v>0.55886518009316399</v>
      </c>
      <c r="AL6698">
        <v>90.434518263628306</v>
      </c>
      <c r="AM6698">
        <v>81.575588452419396</v>
      </c>
      <c r="AN6698">
        <v>1.00000004410733</v>
      </c>
    </row>
    <row r="6699" spans="1:40" x14ac:dyDescent="0.3">
      <c r="A6699" t="str">
        <f>"20200111160642469"</f>
        <v>20200111160642469</v>
      </c>
      <c r="B6699" t="str">
        <f>"1578730002459372"</f>
        <v>1578730002459372</v>
      </c>
      <c r="C6699" t="s">
        <v>40</v>
      </c>
      <c r="D6699">
        <v>5.7158509999999998</v>
      </c>
      <c r="E6699">
        <v>0.4913421</v>
      </c>
      <c r="F6699" t="s">
        <v>42</v>
      </c>
      <c r="G6699">
        <v>-179.26230000000001</v>
      </c>
      <c r="H6699">
        <v>0.93079610000000002</v>
      </c>
      <c r="I6699">
        <v>131.29750000000001</v>
      </c>
      <c r="J6699">
        <v>-179.8124</v>
      </c>
      <c r="K6699">
        <v>1.105329</v>
      </c>
      <c r="L6699">
        <v>130.97819999999999</v>
      </c>
      <c r="M6699">
        <v>0.80590949999999995</v>
      </c>
      <c r="N6699">
        <v>0</v>
      </c>
      <c r="O6699">
        <v>0.59186510000000003</v>
      </c>
      <c r="P6699">
        <v>0.88409230000000005</v>
      </c>
      <c r="Q6699">
        <v>-2.024217E-2</v>
      </c>
      <c r="R6699">
        <v>0.46687390000000001</v>
      </c>
      <c r="S6699">
        <v>2.5742189999999998</v>
      </c>
      <c r="T6699">
        <v>-0.70216069999999997</v>
      </c>
      <c r="U6699">
        <v>1.5194399999999999</v>
      </c>
      <c r="V6699">
        <v>0.14692810000000001</v>
      </c>
      <c r="W6699">
        <v>-7.991059E-3</v>
      </c>
      <c r="X6699">
        <v>0.98911490000000002</v>
      </c>
      <c r="Y6699">
        <v>8.4732859999999993E-2</v>
      </c>
      <c r="Z6699">
        <v>-0.14447839999999901</v>
      </c>
      <c r="AA6699">
        <v>0.98587340000000001</v>
      </c>
      <c r="AB6699">
        <v>19</v>
      </c>
      <c r="AC6699">
        <v>0.55009999999998604</v>
      </c>
      <c r="AD6699">
        <v>-0.17453289999999999</v>
      </c>
      <c r="AE6699">
        <v>0.31930000000002601</v>
      </c>
      <c r="AF6699">
        <v>6.3484973135491701E-2</v>
      </c>
      <c r="AG6699">
        <v>-0.17453289999999999</v>
      </c>
      <c r="AH6699">
        <v>0.58809727369054698</v>
      </c>
      <c r="AI6699">
        <v>106.439292618582</v>
      </c>
      <c r="AJ6699">
        <v>83.838791616028601</v>
      </c>
      <c r="AK6699">
        <v>0.61672561023414496</v>
      </c>
      <c r="AL6699">
        <v>90.4578588254858</v>
      </c>
      <c r="AM6699">
        <v>81.550781114482902</v>
      </c>
      <c r="AN6699">
        <v>1.0000000044977799</v>
      </c>
    </row>
    <row r="6700" spans="1:40" x14ac:dyDescent="0.3">
      <c r="A6700" t="str">
        <f>"20200111160642481"</f>
        <v>20200111160642481</v>
      </c>
      <c r="B6700" t="str">
        <f>"1578730002469131"</f>
        <v>1578730002469131</v>
      </c>
      <c r="C6700" t="s">
        <v>40</v>
      </c>
      <c r="D6700">
        <v>5.7093369999999997</v>
      </c>
      <c r="E6700">
        <v>0.49106369999999999</v>
      </c>
      <c r="F6700" t="s">
        <v>42</v>
      </c>
      <c r="G6700">
        <v>-179.12299999999999</v>
      </c>
      <c r="H6700">
        <v>0.91572169999999997</v>
      </c>
      <c r="I6700">
        <v>131.3802</v>
      </c>
      <c r="J6700">
        <v>-179.71770000000001</v>
      </c>
      <c r="K6700">
        <v>1.1053189999999999</v>
      </c>
      <c r="L6700">
        <v>131.03899999999999</v>
      </c>
      <c r="M6700">
        <v>0.80958280000000005</v>
      </c>
      <c r="N6700">
        <v>0</v>
      </c>
      <c r="O6700">
        <v>0.58683039999999997</v>
      </c>
      <c r="P6700">
        <v>0.88722089999999998</v>
      </c>
      <c r="Q6700">
        <v>-2.076509E-2</v>
      </c>
      <c r="R6700">
        <v>0.4608776</v>
      </c>
      <c r="S6700">
        <v>2.5819700000000001</v>
      </c>
      <c r="T6700">
        <v>-0.71006950000000002</v>
      </c>
      <c r="U6700">
        <v>1.505585</v>
      </c>
      <c r="V6700">
        <v>0.14744549999999901</v>
      </c>
      <c r="W6700">
        <v>-8.5165780000000003E-3</v>
      </c>
      <c r="X6700">
        <v>0.98903350000000001</v>
      </c>
      <c r="Y6700">
        <v>8.3555550000000006E-2</v>
      </c>
      <c r="Z6700">
        <v>-0.14482429999999999</v>
      </c>
      <c r="AA6700">
        <v>0.98592310000000005</v>
      </c>
      <c r="AB6700">
        <v>19</v>
      </c>
      <c r="AC6700">
        <v>0.59470000000001699</v>
      </c>
      <c r="AD6700">
        <v>-0.1895973</v>
      </c>
      <c r="AE6700">
        <v>0.34120000000001399</v>
      </c>
      <c r="AF6700">
        <v>6.7596791586121502E-2</v>
      </c>
      <c r="AG6700">
        <v>-0.1895973</v>
      </c>
      <c r="AH6700">
        <v>0.63332557358320096</v>
      </c>
      <c r="AI6700">
        <v>106.577061434729</v>
      </c>
      <c r="AJ6700">
        <v>83.907709254794995</v>
      </c>
      <c r="AK6700">
        <v>0.66454326010766096</v>
      </c>
      <c r="AL6700">
        <v>90.487969881235102</v>
      </c>
      <c r="AM6700">
        <v>81.520771662521398</v>
      </c>
      <c r="AN6700">
        <v>0.99999998584666505</v>
      </c>
    </row>
    <row r="6701" spans="1:40" x14ac:dyDescent="0.3">
      <c r="A6701" t="str">
        <f>"20200111160642496"</f>
        <v>20200111160642496</v>
      </c>
      <c r="B6701" t="str">
        <f>"1578730002489627"</f>
        <v>1578730002489627</v>
      </c>
      <c r="C6701" t="s">
        <v>40</v>
      </c>
      <c r="D6701">
        <v>5.701441</v>
      </c>
      <c r="E6701">
        <v>0.49244909999999997</v>
      </c>
      <c r="F6701" t="s">
        <v>42</v>
      </c>
      <c r="G6701">
        <v>-179.114</v>
      </c>
      <c r="H6701">
        <v>0.93801000000000001</v>
      </c>
      <c r="I6701">
        <v>131.3862</v>
      </c>
      <c r="J6701">
        <v>-179.62280000000001</v>
      </c>
      <c r="K6701">
        <v>1.1053139999999999</v>
      </c>
      <c r="L6701">
        <v>131.09880000000001</v>
      </c>
      <c r="M6701">
        <v>0.81322810000000001</v>
      </c>
      <c r="N6701">
        <v>0</v>
      </c>
      <c r="O6701">
        <v>0.58176819999999996</v>
      </c>
      <c r="P6701">
        <v>0.89018349999999902</v>
      </c>
      <c r="Q6701">
        <v>-2.1667990000000002E-2</v>
      </c>
      <c r="R6701">
        <v>0.45508680000000001</v>
      </c>
      <c r="S6701">
        <v>2.5906370000000001</v>
      </c>
      <c r="T6701">
        <v>-0.7179276</v>
      </c>
      <c r="U6701">
        <v>1.489792</v>
      </c>
      <c r="V6701">
        <v>0.1476952</v>
      </c>
      <c r="W6701">
        <v>-9.4174900000000006E-3</v>
      </c>
      <c r="X6701">
        <v>0.98898810000000004</v>
      </c>
      <c r="Y6701">
        <v>8.3067929999999998E-2</v>
      </c>
      <c r="Z6701">
        <v>-0.14519560000000001</v>
      </c>
      <c r="AA6701">
        <v>0.9859097</v>
      </c>
      <c r="AB6701">
        <v>19</v>
      </c>
      <c r="AC6701">
        <v>0.50880000000000702</v>
      </c>
      <c r="AD6701">
        <v>-0.16730399999999901</v>
      </c>
      <c r="AE6701">
        <v>0.287399999999991</v>
      </c>
      <c r="AF6701">
        <v>5.7569381983839402E-2</v>
      </c>
      <c r="AG6701">
        <v>-0.16730399999999901</v>
      </c>
      <c r="AH6701">
        <v>0.53701184954084302</v>
      </c>
      <c r="AI6701">
        <v>107.211478437975</v>
      </c>
      <c r="AJ6701">
        <v>83.881079012867104</v>
      </c>
      <c r="AK6701">
        <v>0.56540833802242196</v>
      </c>
      <c r="AL6701">
        <v>90.539590400523906</v>
      </c>
      <c r="AM6701">
        <v>81.506237090163197</v>
      </c>
      <c r="AN6701">
        <v>1.0000000115812699</v>
      </c>
    </row>
    <row r="6702" spans="1:40" x14ac:dyDescent="0.3">
      <c r="A6702" t="str">
        <f>"20200111160642509"</f>
        <v>20200111160642509</v>
      </c>
      <c r="B6702" t="str">
        <f>"1578730002499387"</f>
        <v>1578730002499387</v>
      </c>
      <c r="C6702" t="s">
        <v>40</v>
      </c>
      <c r="D6702">
        <v>5.7408039999999998</v>
      </c>
      <c r="E6702">
        <v>0.4934017</v>
      </c>
      <c r="F6702" t="s">
        <v>42</v>
      </c>
      <c r="G6702">
        <v>-178.97210000000001</v>
      </c>
      <c r="H6702">
        <v>0.92247469999999998</v>
      </c>
      <c r="I6702">
        <v>131.4641</v>
      </c>
      <c r="J6702">
        <v>-179.52500000000001</v>
      </c>
      <c r="K6702">
        <v>1.1053040000000001</v>
      </c>
      <c r="L6702">
        <v>131.15969999999999</v>
      </c>
      <c r="M6702">
        <v>0.8169478</v>
      </c>
      <c r="N6702">
        <v>0</v>
      </c>
      <c r="O6702">
        <v>0.57653279999999996</v>
      </c>
      <c r="P6702">
        <v>0.89316049999999902</v>
      </c>
      <c r="Q6702">
        <v>-2.1925259999999999E-2</v>
      </c>
      <c r="R6702">
        <v>0.44920349999999998</v>
      </c>
      <c r="S6702">
        <v>2.6045530000000001</v>
      </c>
      <c r="T6702">
        <v>-0.73145159999999998</v>
      </c>
      <c r="U6702">
        <v>1.4626459999999999</v>
      </c>
      <c r="V6702">
        <v>0.1478614</v>
      </c>
      <c r="W6702">
        <v>-9.6709259999999998E-3</v>
      </c>
      <c r="X6702">
        <v>0.98896079999999997</v>
      </c>
      <c r="Y6702">
        <v>8.6185159999999997E-2</v>
      </c>
      <c r="Z6702">
        <v>-0.14699419999999999</v>
      </c>
      <c r="AA6702">
        <v>0.98537549999999996</v>
      </c>
      <c r="AB6702">
        <v>18</v>
      </c>
      <c r="AC6702">
        <v>0.55289999999999395</v>
      </c>
      <c r="AD6702">
        <v>-0.1828293</v>
      </c>
      <c r="AE6702">
        <v>0.30440000000001499</v>
      </c>
      <c r="AF6702">
        <v>6.4667034503103599E-2</v>
      </c>
      <c r="AG6702">
        <v>-0.1828293</v>
      </c>
      <c r="AH6702">
        <v>0.57869305661799197</v>
      </c>
      <c r="AI6702">
        <v>107.431273523652</v>
      </c>
      <c r="AJ6702">
        <v>83.623838789508497</v>
      </c>
      <c r="AK6702">
        <v>0.61032289164653697</v>
      </c>
      <c r="AL6702">
        <v>90.554111885732596</v>
      </c>
      <c r="AM6702">
        <v>81.496587492799094</v>
      </c>
      <c r="AN6702">
        <v>0.99999999217814795</v>
      </c>
    </row>
    <row r="6703" spans="1:40" x14ac:dyDescent="0.3">
      <c r="A6703" t="str">
        <f>"20200111160642524"</f>
        <v>20200111160642524</v>
      </c>
      <c r="B6703" t="str">
        <f>"1578730002519884"</f>
        <v>1578730002519884</v>
      </c>
      <c r="C6703" t="s">
        <v>40</v>
      </c>
      <c r="D6703">
        <v>5.6497809999999999</v>
      </c>
      <c r="E6703">
        <v>0.49516709999999903</v>
      </c>
      <c r="F6703" t="s">
        <v>42</v>
      </c>
      <c r="G6703">
        <v>-178.82939999999999</v>
      </c>
      <c r="H6703">
        <v>0.90913149999999998</v>
      </c>
      <c r="I6703">
        <v>131.542</v>
      </c>
      <c r="J6703">
        <v>-179.4151</v>
      </c>
      <c r="K6703">
        <v>1.105299</v>
      </c>
      <c r="L6703">
        <v>131.22720000000001</v>
      </c>
      <c r="M6703">
        <v>0.82108530000000002</v>
      </c>
      <c r="N6703">
        <v>0</v>
      </c>
      <c r="O6703">
        <v>0.57062460000000004</v>
      </c>
      <c r="P6703">
        <v>0.89639599999999897</v>
      </c>
      <c r="Q6703">
        <v>-2.205238E-2</v>
      </c>
      <c r="R6703">
        <v>0.44270520000000002</v>
      </c>
      <c r="S6703">
        <v>2.6172939999999998</v>
      </c>
      <c r="T6703">
        <v>-0.73823870000000003</v>
      </c>
      <c r="U6703">
        <v>1.438431</v>
      </c>
      <c r="V6703">
        <v>0.14790619999999999</v>
      </c>
      <c r="W6703">
        <v>-9.7912859999999997E-3</v>
      </c>
      <c r="X6703">
        <v>0.98895290000000002</v>
      </c>
      <c r="Y6703">
        <v>8.7833259999999996E-2</v>
      </c>
      <c r="Z6703">
        <v>-0.14712809999999901</v>
      </c>
      <c r="AA6703">
        <v>0.98520989999999997</v>
      </c>
      <c r="AB6703">
        <v>18</v>
      </c>
      <c r="AC6703">
        <v>0.585700000000002</v>
      </c>
      <c r="AD6703">
        <v>-0.196167499999999</v>
      </c>
      <c r="AE6703">
        <v>0.31479999999999098</v>
      </c>
      <c r="AF6703">
        <v>6.9680405779809204E-2</v>
      </c>
      <c r="AG6703">
        <v>-0.196167499999999</v>
      </c>
      <c r="AH6703">
        <v>0.60771812429000105</v>
      </c>
      <c r="AI6703">
        <v>107.78065220271</v>
      </c>
      <c r="AJ6703">
        <v>83.459082224075203</v>
      </c>
      <c r="AK6703">
        <v>0.64238490455212705</v>
      </c>
      <c r="AL6703">
        <v>90.561008341509094</v>
      </c>
      <c r="AM6703">
        <v>81.493981803529707</v>
      </c>
      <c r="AN6703">
        <v>0.99999997584919098</v>
      </c>
    </row>
    <row r="6704" spans="1:40" x14ac:dyDescent="0.3">
      <c r="A6704" t="str">
        <f>"20200111160642550"</f>
        <v>20200111160642550</v>
      </c>
      <c r="B6704" t="str">
        <f>"1578730002539403"</f>
        <v>1578730002539403</v>
      </c>
      <c r="C6704" t="s">
        <v>40</v>
      </c>
      <c r="D6704">
        <v>5.6457620000000004</v>
      </c>
      <c r="E6704">
        <v>0.49581160000000002</v>
      </c>
      <c r="F6704" t="s">
        <v>42</v>
      </c>
      <c r="G6704">
        <v>-178.68440000000001</v>
      </c>
      <c r="H6704">
        <v>0.89737559999999905</v>
      </c>
      <c r="I6704">
        <v>131.61760000000001</v>
      </c>
      <c r="J6704">
        <v>-179.2287</v>
      </c>
      <c r="K6704">
        <v>1.105302</v>
      </c>
      <c r="L6704">
        <v>131.33860000000001</v>
      </c>
      <c r="M6704">
        <v>0.82797999999999905</v>
      </c>
      <c r="N6704">
        <v>0</v>
      </c>
      <c r="O6704">
        <v>0.56057319999999999</v>
      </c>
      <c r="P6704">
        <v>0.90106929999999996</v>
      </c>
      <c r="Q6704">
        <v>-2.2868630000000001E-2</v>
      </c>
      <c r="R6704">
        <v>0.43307180000000001</v>
      </c>
      <c r="S6704">
        <v>2.6333310000000001</v>
      </c>
      <c r="T6704">
        <v>-0.74879469999999904</v>
      </c>
      <c r="U6704">
        <v>1.407211</v>
      </c>
      <c r="V6704">
        <v>0.14642939999999999</v>
      </c>
      <c r="W6704">
        <v>-1.0572170000000001E-2</v>
      </c>
      <c r="X6704">
        <v>0.98916470000000001</v>
      </c>
      <c r="Y6704">
        <v>8.7071350000000006E-2</v>
      </c>
      <c r="Z6704">
        <v>-0.14673789999999901</v>
      </c>
      <c r="AA6704">
        <v>0.98533579999999998</v>
      </c>
      <c r="AB6704">
        <v>18</v>
      </c>
      <c r="AC6704">
        <v>0.54429999999999201</v>
      </c>
      <c r="AD6704">
        <v>-0.20792640000000001</v>
      </c>
      <c r="AE6704">
        <v>0.27899999999999597</v>
      </c>
      <c r="AF6704">
        <v>6.6442759137012697E-2</v>
      </c>
      <c r="AG6704">
        <v>-0.20792640000000001</v>
      </c>
      <c r="AH6704">
        <v>0.54423726810959905</v>
      </c>
      <c r="AI6704">
        <v>110.768495738186</v>
      </c>
      <c r="AJ6704">
        <v>83.039536365532399</v>
      </c>
      <c r="AK6704">
        <v>0.58638062046600703</v>
      </c>
      <c r="AL6704">
        <v>90.605751962359506</v>
      </c>
      <c r="AM6704">
        <v>81.579465247563803</v>
      </c>
      <c r="AN6704">
        <v>1.0000000718444699</v>
      </c>
    </row>
    <row r="6705" spans="1:40" x14ac:dyDescent="0.3">
      <c r="A6705" t="str">
        <f>"20200111160642575"</f>
        <v>20200111160642575</v>
      </c>
      <c r="B6705" t="str">
        <f>"1578730002569659"</f>
        <v>1578730002569659</v>
      </c>
      <c r="C6705" t="s">
        <v>40</v>
      </c>
      <c r="D6705">
        <v>5.6763960000000004</v>
      </c>
      <c r="E6705">
        <v>0.49665530000000002</v>
      </c>
      <c r="F6705" t="s">
        <v>42</v>
      </c>
      <c r="G6705">
        <v>-178.5326</v>
      </c>
      <c r="H6705">
        <v>0.90665810000000002</v>
      </c>
      <c r="I6705">
        <v>131.6996</v>
      </c>
      <c r="J6705">
        <v>-179.04689999999999</v>
      </c>
      <c r="K6705">
        <v>1.105316</v>
      </c>
      <c r="L6705">
        <v>131.44450000000001</v>
      </c>
      <c r="M6705">
        <v>0.83455619999999997</v>
      </c>
      <c r="N6705">
        <v>0</v>
      </c>
      <c r="O6705">
        <v>0.55073519999999998</v>
      </c>
      <c r="P6705">
        <v>0.90565949999999995</v>
      </c>
      <c r="Q6705">
        <v>-2.335135E-2</v>
      </c>
      <c r="R6705">
        <v>0.42336249999999997</v>
      </c>
      <c r="S6705">
        <v>2.64975</v>
      </c>
      <c r="T6705">
        <v>-0.75586439999999999</v>
      </c>
      <c r="U6705">
        <v>1.3741760000000001</v>
      </c>
      <c r="V6705">
        <v>0.14534179999999999</v>
      </c>
      <c r="W6705">
        <v>-1.102568E-2</v>
      </c>
      <c r="X6705">
        <v>0.98931999999999998</v>
      </c>
      <c r="Y6705">
        <v>8.7390839999999997E-2</v>
      </c>
      <c r="Z6705">
        <v>-0.1457976</v>
      </c>
      <c r="AA6705">
        <v>0.98544699999999996</v>
      </c>
      <c r="AB6705">
        <v>18</v>
      </c>
      <c r="AC6705">
        <v>0.51429999999999099</v>
      </c>
      <c r="AD6705">
        <v>-0.198657899999999</v>
      </c>
      <c r="AE6705">
        <v>0.255099999999998</v>
      </c>
      <c r="AF6705">
        <v>6.2831468702360393E-2</v>
      </c>
      <c r="AG6705">
        <v>-0.198657899999999</v>
      </c>
      <c r="AH6705">
        <v>0.50883433318966398</v>
      </c>
      <c r="AI6705">
        <v>111.180093403797</v>
      </c>
      <c r="AJ6705">
        <v>82.960682249195301</v>
      </c>
      <c r="AK6705">
        <v>0.54984100731418295</v>
      </c>
      <c r="AL6705">
        <v>90.631737772361404</v>
      </c>
      <c r="AM6705">
        <v>81.642415227291394</v>
      </c>
      <c r="AN6705">
        <v>0.99999993342334803</v>
      </c>
    </row>
    <row r="6706" spans="1:40" x14ac:dyDescent="0.3">
      <c r="A6706" t="str">
        <f>"20200111160642600"</f>
        <v>20200111160642600</v>
      </c>
      <c r="B6706" t="str">
        <f>"1578730002589179"</f>
        <v>1578730002589179</v>
      </c>
      <c r="C6706" t="s">
        <v>40</v>
      </c>
      <c r="D6706">
        <v>5.5311589999999997</v>
      </c>
      <c r="E6706">
        <v>0.49760890000000002</v>
      </c>
      <c r="F6706" t="s">
        <v>42</v>
      </c>
      <c r="G6706">
        <v>-178.3801</v>
      </c>
      <c r="H6706">
        <v>0.91521450000000004</v>
      </c>
      <c r="I6706">
        <v>131.77959999999999</v>
      </c>
      <c r="J6706">
        <v>-178.85740000000001</v>
      </c>
      <c r="K6706">
        <v>1.105337</v>
      </c>
      <c r="L6706">
        <v>131.55199999999999</v>
      </c>
      <c r="M6706">
        <v>0.84124880000000002</v>
      </c>
      <c r="N6706">
        <v>0</v>
      </c>
      <c r="O6706">
        <v>0.54045679999999996</v>
      </c>
      <c r="P6706">
        <v>0.91043790000000002</v>
      </c>
      <c r="Q6706">
        <v>-2.3006950000000002E-2</v>
      </c>
      <c r="R6706">
        <v>0.41300520000000002</v>
      </c>
      <c r="S6706">
        <v>2.6664119999999998</v>
      </c>
      <c r="T6706">
        <v>-0.75965309999999997</v>
      </c>
      <c r="U6706">
        <v>1.340225</v>
      </c>
      <c r="V6706">
        <v>0.14450089999999999</v>
      </c>
      <c r="W6706">
        <v>-1.065517E-2</v>
      </c>
      <c r="X6706">
        <v>0.98944730000000003</v>
      </c>
      <c r="Y6706">
        <v>8.7760469999999993E-2</v>
      </c>
      <c r="Z6706">
        <v>-0.144100799999999</v>
      </c>
      <c r="AA6706">
        <v>0.98566379999999998</v>
      </c>
      <c r="AB6706">
        <v>18</v>
      </c>
      <c r="AC6706">
        <v>0.47730000000001299</v>
      </c>
      <c r="AD6706">
        <v>-0.1901225</v>
      </c>
      <c r="AE6706">
        <v>0.227599999999966</v>
      </c>
      <c r="AF6706">
        <v>5.8886346730529102E-2</v>
      </c>
      <c r="AG6706">
        <v>-0.1901225</v>
      </c>
      <c r="AH6706">
        <v>0.46453860769266098</v>
      </c>
      <c r="AI6706">
        <v>112.098260391319</v>
      </c>
      <c r="AJ6706">
        <v>82.775542146884703</v>
      </c>
      <c r="AK6706">
        <v>0.50538132620285303</v>
      </c>
      <c r="AL6706">
        <v>90.6105078227815</v>
      </c>
      <c r="AM6706">
        <v>81.691146510195793</v>
      </c>
      <c r="AN6706">
        <v>1.00000000111291</v>
      </c>
    </row>
    <row r="6707" spans="1:40" x14ac:dyDescent="0.3">
      <c r="A6707" t="str">
        <f>"20200111160642614"</f>
        <v>20200111160642614</v>
      </c>
      <c r="B6707" t="str">
        <f>"1578730002609675"</f>
        <v>1578730002609675</v>
      </c>
      <c r="C6707" t="s">
        <v>40</v>
      </c>
      <c r="D6707">
        <v>5.6085190000000003</v>
      </c>
      <c r="E6707">
        <v>0.47054810000000002</v>
      </c>
      <c r="F6707" t="s">
        <v>42</v>
      </c>
      <c r="G6707">
        <v>-178.22620000000001</v>
      </c>
      <c r="H6707">
        <v>0.92555010000000004</v>
      </c>
      <c r="I6707">
        <v>131.85839999999999</v>
      </c>
      <c r="J6707">
        <v>-178.75899999999999</v>
      </c>
      <c r="K6707">
        <v>1.1053500000000001</v>
      </c>
      <c r="L6707">
        <v>131.60640000000001</v>
      </c>
      <c r="M6707">
        <v>0.84465619999999997</v>
      </c>
      <c r="N6707">
        <v>0</v>
      </c>
      <c r="O6707">
        <v>0.53511580000000003</v>
      </c>
      <c r="P6707">
        <v>0.91283769999999997</v>
      </c>
      <c r="Q6707">
        <v>-2.2650139999999999E-2</v>
      </c>
      <c r="R6707">
        <v>0.40769369999999999</v>
      </c>
      <c r="S6707">
        <v>2.6845859999999999</v>
      </c>
      <c r="T6707">
        <v>-0.76435649999999999</v>
      </c>
      <c r="U6707">
        <v>1.3033600000000001</v>
      </c>
      <c r="V6707">
        <v>0.14400660000000001</v>
      </c>
      <c r="W6707">
        <v>-1.0284079999999999E-2</v>
      </c>
      <c r="X6707">
        <v>0.98952329999999999</v>
      </c>
      <c r="Y6707">
        <v>9.4794169999999997E-2</v>
      </c>
      <c r="Z6707">
        <v>-0.14442539999999901</v>
      </c>
      <c r="AA6707">
        <v>0.98496470000000003</v>
      </c>
      <c r="AB6707">
        <v>18</v>
      </c>
      <c r="AC6707">
        <v>0.53280000000000804</v>
      </c>
      <c r="AD6707">
        <v>-0.17979990000000001</v>
      </c>
      <c r="AE6707">
        <v>0.25199999999998102</v>
      </c>
      <c r="AF6707">
        <v>6.6111335005007099E-2</v>
      </c>
      <c r="AG6707">
        <v>-0.17979990000000001</v>
      </c>
      <c r="AH6707">
        <v>0.53514103253065703</v>
      </c>
      <c r="AI6707">
        <v>108.441019177417</v>
      </c>
      <c r="AJ6707">
        <v>82.957362034798194</v>
      </c>
      <c r="AK6707">
        <v>0.56839654938619399</v>
      </c>
      <c r="AL6707">
        <v>90.589244759947803</v>
      </c>
      <c r="AM6707">
        <v>81.719801316696405</v>
      </c>
      <c r="AN6707">
        <v>1.0000000121939401</v>
      </c>
    </row>
    <row r="6708" spans="1:40" x14ac:dyDescent="0.3">
      <c r="A6708" t="str">
        <f>"20200111160642629"</f>
        <v>20200111160642629</v>
      </c>
      <c r="B6708" t="str">
        <f>"1578730002619435"</f>
        <v>1578730002619435</v>
      </c>
      <c r="C6708" t="s">
        <v>40</v>
      </c>
      <c r="D6708">
        <v>5.6082769999999904</v>
      </c>
      <c r="E6708">
        <v>0.48216029999999999</v>
      </c>
      <c r="F6708" t="s">
        <v>42</v>
      </c>
      <c r="G6708">
        <v>-178.08090000000001</v>
      </c>
      <c r="H6708">
        <v>0.97430859999999997</v>
      </c>
      <c r="I6708">
        <v>131.98660000000001</v>
      </c>
      <c r="J6708">
        <v>-178.65360000000001</v>
      </c>
      <c r="K6708">
        <v>1.105353</v>
      </c>
      <c r="L6708">
        <v>131.66390000000001</v>
      </c>
      <c r="M6708">
        <v>0.84825390000000001</v>
      </c>
      <c r="N6708">
        <v>0</v>
      </c>
      <c r="O6708">
        <v>0.52939440000000004</v>
      </c>
      <c r="P6708">
        <v>0.91520880000000004</v>
      </c>
      <c r="Q6708">
        <v>-2.3471280000000001E-2</v>
      </c>
      <c r="R6708">
        <v>0.40229609999999999</v>
      </c>
      <c r="S6708">
        <v>2.618179</v>
      </c>
      <c r="T6708">
        <v>-0.5057933</v>
      </c>
      <c r="U6708">
        <v>1.4681550000000001</v>
      </c>
      <c r="V6708">
        <v>0.14314079999999901</v>
      </c>
      <c r="W6708">
        <v>-1.108552E-2</v>
      </c>
      <c r="X6708">
        <v>0.98964019999999997</v>
      </c>
      <c r="Y6708">
        <v>3.9973109999999999E-2</v>
      </c>
      <c r="Z6708">
        <v>-9.1254749999999996E-2</v>
      </c>
      <c r="AA6708">
        <v>0.99502500000000005</v>
      </c>
      <c r="AB6708">
        <v>18</v>
      </c>
      <c r="AC6708">
        <v>0.57269999999999699</v>
      </c>
      <c r="AD6708">
        <v>-0.13104440000000001</v>
      </c>
      <c r="AE6708">
        <v>0.32269999999999699</v>
      </c>
      <c r="AF6708">
        <v>2.8329847726908601E-2</v>
      </c>
      <c r="AG6708">
        <v>-0.13104440000000001</v>
      </c>
      <c r="AH6708">
        <v>0.63159855261583597</v>
      </c>
      <c r="AI6708">
        <v>101.71000310816</v>
      </c>
      <c r="AJ6708">
        <v>87.431765073310203</v>
      </c>
      <c r="AK6708">
        <v>0.64567170195851697</v>
      </c>
      <c r="AL6708">
        <v>90.635166550157294</v>
      </c>
      <c r="AM6708">
        <v>81.769858557683804</v>
      </c>
      <c r="AN6708">
        <v>0.99999995141717402</v>
      </c>
    </row>
    <row r="6709" spans="1:40" x14ac:dyDescent="0.3">
      <c r="A6709" t="str">
        <f>"20200111160642641"</f>
        <v>20200111160642641</v>
      </c>
      <c r="B6709" t="str">
        <f>"1578730002629194"</f>
        <v>1578730002629194</v>
      </c>
      <c r="C6709" t="s">
        <v>40</v>
      </c>
      <c r="D6709">
        <v>5.5568580000000001</v>
      </c>
      <c r="E6709">
        <v>0.48943009999999898</v>
      </c>
      <c r="F6709" t="s">
        <v>42</v>
      </c>
      <c r="G6709">
        <v>-177.9306</v>
      </c>
      <c r="H6709">
        <v>0.94903159999999998</v>
      </c>
      <c r="I6709">
        <v>132.03659999999999</v>
      </c>
      <c r="J6709">
        <v>-178.5592</v>
      </c>
      <c r="K6709">
        <v>1.1053519999999999</v>
      </c>
      <c r="L6709">
        <v>131.71469999999999</v>
      </c>
      <c r="M6709">
        <v>0.85143380000000002</v>
      </c>
      <c r="N6709">
        <v>0</v>
      </c>
      <c r="O6709">
        <v>0.52426479999999998</v>
      </c>
      <c r="P6709">
        <v>0.91743300000000005</v>
      </c>
      <c r="Q6709">
        <v>-2.4160149999999998E-2</v>
      </c>
      <c r="R6709">
        <v>0.39715630000000002</v>
      </c>
      <c r="S6709">
        <v>2.660339</v>
      </c>
      <c r="T6709">
        <v>-0.57514239999999905</v>
      </c>
      <c r="U6709">
        <v>1.371445</v>
      </c>
      <c r="V6709">
        <v>0.14270070000000001</v>
      </c>
      <c r="W6709">
        <v>-1.1762160000000001E-2</v>
      </c>
      <c r="X6709">
        <v>0.98969600000000002</v>
      </c>
      <c r="Y6709">
        <v>6.6463869999999994E-2</v>
      </c>
      <c r="Z6709">
        <v>-0.1049913</v>
      </c>
      <c r="AA6709">
        <v>0.99224970000000001</v>
      </c>
      <c r="AB6709">
        <v>18</v>
      </c>
      <c r="AC6709">
        <v>0.62860000000000504</v>
      </c>
      <c r="AD6709">
        <v>-0.1563204</v>
      </c>
      <c r="AE6709">
        <v>0.32189999999999902</v>
      </c>
      <c r="AF6709">
        <v>5.2890731061446303E-2</v>
      </c>
      <c r="AG6709">
        <v>-0.1563204</v>
      </c>
      <c r="AH6709">
        <v>0.67116212896431204</v>
      </c>
      <c r="AI6709">
        <v>103.071890996462</v>
      </c>
      <c r="AJ6709">
        <v>85.494135227989304</v>
      </c>
      <c r="AK6709">
        <v>0.69115273293555102</v>
      </c>
      <c r="AL6709">
        <v>90.673937662693803</v>
      </c>
      <c r="AM6709">
        <v>81.795274156629901</v>
      </c>
      <c r="AN6709">
        <v>1.00000000530217</v>
      </c>
    </row>
    <row r="6710" spans="1:40" x14ac:dyDescent="0.3">
      <c r="A6710" t="str">
        <f>"20200111160642654"</f>
        <v>20200111160642654</v>
      </c>
      <c r="B6710" t="str">
        <f>"1578730002649691"</f>
        <v>1578730002649691</v>
      </c>
      <c r="C6710" t="s">
        <v>40</v>
      </c>
      <c r="D6710">
        <v>5.4989980000000003</v>
      </c>
      <c r="E6710">
        <v>0.4971255</v>
      </c>
      <c r="F6710" t="s">
        <v>42</v>
      </c>
      <c r="G6710">
        <v>-177.91800000000001</v>
      </c>
      <c r="H6710">
        <v>0.96014900000000003</v>
      </c>
      <c r="I6710">
        <v>132.0258</v>
      </c>
      <c r="J6710">
        <v>-178.46340000000001</v>
      </c>
      <c r="K6710">
        <v>1.105356</v>
      </c>
      <c r="L6710">
        <v>131.7653</v>
      </c>
      <c r="M6710">
        <v>0.8546165</v>
      </c>
      <c r="N6710">
        <v>0</v>
      </c>
      <c r="O6710">
        <v>0.51906039999999998</v>
      </c>
      <c r="P6710">
        <v>0.91970879999999999</v>
      </c>
      <c r="Q6710">
        <v>-2.5526150000000001E-2</v>
      </c>
      <c r="R6710">
        <v>0.39177070000000003</v>
      </c>
      <c r="S6710">
        <v>2.6891479999999999</v>
      </c>
      <c r="T6710">
        <v>-0.60886530000000005</v>
      </c>
      <c r="U6710">
        <v>1.3046879999999901</v>
      </c>
      <c r="V6710">
        <v>0.142428799999999</v>
      </c>
      <c r="W6710">
        <v>-1.3119280000000001E-2</v>
      </c>
      <c r="X6710">
        <v>0.98971810000000005</v>
      </c>
      <c r="Y6710">
        <v>8.3124530000000002E-2</v>
      </c>
      <c r="Z6710">
        <v>-0.11157019999999999</v>
      </c>
      <c r="AA6710">
        <v>0.99027390000000004</v>
      </c>
      <c r="AB6710">
        <v>18</v>
      </c>
      <c r="AC6710">
        <v>0.5454</v>
      </c>
      <c r="AD6710">
        <v>-0.145206999999999</v>
      </c>
      <c r="AE6710">
        <v>0.260500000000007</v>
      </c>
      <c r="AF6710">
        <v>5.7174300977865203E-2</v>
      </c>
      <c r="AG6710">
        <v>-0.145206999999999</v>
      </c>
      <c r="AH6710">
        <v>0.56856946267205699</v>
      </c>
      <c r="AI6710">
        <v>104.25758347982899</v>
      </c>
      <c r="AJ6710">
        <v>84.257744841466206</v>
      </c>
      <c r="AK6710">
        <v>0.58959749611450996</v>
      </c>
      <c r="AL6710">
        <v>90.7517009400201</v>
      </c>
      <c r="AM6710">
        <v>81.8108754707564</v>
      </c>
      <c r="AN6710">
        <v>0.99999999802238404</v>
      </c>
    </row>
    <row r="6711" spans="1:40" x14ac:dyDescent="0.3">
      <c r="A6711" t="str">
        <f>"20200111160642666"</f>
        <v>20200111160642666</v>
      </c>
      <c r="B6711" t="str">
        <f>"1578730002659451"</f>
        <v>1578730002659451</v>
      </c>
      <c r="C6711" t="s">
        <v>40</v>
      </c>
      <c r="D6711">
        <v>5.3360989999999999</v>
      </c>
      <c r="E6711">
        <v>0.4971255</v>
      </c>
      <c r="F6711" t="s">
        <v>42</v>
      </c>
      <c r="G6711">
        <v>-177.7698</v>
      </c>
      <c r="H6711">
        <v>0.93694690000000003</v>
      </c>
      <c r="I6711">
        <v>132.08029999999999</v>
      </c>
      <c r="J6711">
        <v>-178.3751</v>
      </c>
      <c r="K6711">
        <v>1.105356</v>
      </c>
      <c r="L6711">
        <v>131.8115</v>
      </c>
      <c r="M6711">
        <v>0.85751169999999999</v>
      </c>
      <c r="N6711">
        <v>0</v>
      </c>
      <c r="O6711">
        <v>0.51426329999999998</v>
      </c>
      <c r="P6711">
        <v>0.92156890000000002</v>
      </c>
      <c r="Q6711">
        <v>-2.6851730000000001E-2</v>
      </c>
      <c r="R6711">
        <v>0.38728509999999999</v>
      </c>
      <c r="S6711">
        <v>2.7177730000000002</v>
      </c>
      <c r="T6711">
        <v>-0.65954979999999996</v>
      </c>
      <c r="U6711">
        <v>1.2344059999999999</v>
      </c>
      <c r="V6711">
        <v>0.1416695</v>
      </c>
      <c r="W6711">
        <v>-1.44293999999999E-2</v>
      </c>
      <c r="X6711">
        <v>0.98980889999999999</v>
      </c>
      <c r="Y6711">
        <v>0.1005279</v>
      </c>
      <c r="Z6711">
        <v>-0.1213854</v>
      </c>
      <c r="AA6711">
        <v>0.98750170000000004</v>
      </c>
      <c r="AB6711">
        <v>18</v>
      </c>
      <c r="AC6711">
        <v>0.60529999999999895</v>
      </c>
      <c r="AD6711">
        <v>-0.16840909999999901</v>
      </c>
      <c r="AE6711">
        <v>0.26879999999999798</v>
      </c>
      <c r="AF6711">
        <v>7.5886153976926801E-2</v>
      </c>
      <c r="AG6711">
        <v>-0.16840909999999901</v>
      </c>
      <c r="AH6711">
        <v>0.61743199318736697</v>
      </c>
      <c r="AI6711">
        <v>105.14803163968</v>
      </c>
      <c r="AJ6711">
        <v>82.993140244070901</v>
      </c>
      <c r="AK6711">
        <v>0.64447079029196097</v>
      </c>
      <c r="AL6711">
        <v>90.826772365792607</v>
      </c>
      <c r="AM6711">
        <v>81.854682157217994</v>
      </c>
      <c r="AN6711">
        <v>1.0000000566669001</v>
      </c>
    </row>
    <row r="6712" spans="1:40" x14ac:dyDescent="0.3">
      <c r="A6712" t="str">
        <f>"20200111160642677"</f>
        <v>20200111160642677</v>
      </c>
      <c r="B6712" t="str">
        <f>"1578730002669211"</f>
        <v>1578730002669211</v>
      </c>
      <c r="C6712" t="s">
        <v>40</v>
      </c>
      <c r="D6712">
        <v>5.3798839999999997</v>
      </c>
      <c r="E6712">
        <v>0.5176113</v>
      </c>
      <c r="F6712" t="s">
        <v>42</v>
      </c>
      <c r="G6712">
        <v>-177.6249</v>
      </c>
      <c r="H6712">
        <v>0.92258070000000003</v>
      </c>
      <c r="I6712">
        <v>132.14769999999999</v>
      </c>
      <c r="J6712">
        <v>-178.2825</v>
      </c>
      <c r="K6712">
        <v>1.1053630000000001</v>
      </c>
      <c r="L6712">
        <v>131.85910000000001</v>
      </c>
      <c r="M6712">
        <v>0.86050799999999905</v>
      </c>
      <c r="N6712">
        <v>0</v>
      </c>
      <c r="O6712">
        <v>0.50923399999999996</v>
      </c>
      <c r="P6712">
        <v>0.92352259999999997</v>
      </c>
      <c r="Q6712">
        <v>-2.7653810000000001E-2</v>
      </c>
      <c r="R6712">
        <v>0.382546</v>
      </c>
      <c r="S6712">
        <v>2.7231290000000001</v>
      </c>
      <c r="T6712">
        <v>-0.66355399999999998</v>
      </c>
      <c r="U6712">
        <v>1.220367</v>
      </c>
      <c r="V6712">
        <v>0.14093729999999999</v>
      </c>
      <c r="W6712">
        <v>-1.521687E-2</v>
      </c>
      <c r="X6712">
        <v>0.98990160000000005</v>
      </c>
      <c r="Y6712">
        <v>9.9629099999999998E-2</v>
      </c>
      <c r="Z6712">
        <v>-0.120989</v>
      </c>
      <c r="AA6712">
        <v>0.98764149999999995</v>
      </c>
      <c r="AB6712">
        <v>18</v>
      </c>
      <c r="AC6712">
        <v>0.65760000000000196</v>
      </c>
      <c r="AD6712">
        <v>-0.18278229999999901</v>
      </c>
      <c r="AE6712">
        <v>0.28859999999997399</v>
      </c>
      <c r="AF6712">
        <v>8.1273625873355196E-2</v>
      </c>
      <c r="AG6712">
        <v>-0.18278229999999901</v>
      </c>
      <c r="AH6712">
        <v>0.66953548782250105</v>
      </c>
      <c r="AI6712">
        <v>105.16346105808501</v>
      </c>
      <c r="AJ6712">
        <v>83.078837498565903</v>
      </c>
      <c r="AK6712">
        <v>0.69877932203922999</v>
      </c>
      <c r="AL6712">
        <v>90.871896055727007</v>
      </c>
      <c r="AM6712">
        <v>81.896968340349503</v>
      </c>
      <c r="AN6712">
        <v>1.0000000266732201</v>
      </c>
    </row>
    <row r="6713" spans="1:40" x14ac:dyDescent="0.3">
      <c r="A6713" t="str">
        <f>"20200111160642692"</f>
        <v>20200111160642692</v>
      </c>
      <c r="B6713" t="str">
        <f>"1578730002689707"</f>
        <v>1578730002689707</v>
      </c>
      <c r="C6713" t="s">
        <v>40</v>
      </c>
      <c r="D6713">
        <v>5.4412750000000001</v>
      </c>
      <c r="E6713">
        <v>0.516300599999999</v>
      </c>
      <c r="F6713" t="s">
        <v>42</v>
      </c>
      <c r="G6713">
        <v>-177.61969999999999</v>
      </c>
      <c r="H6713">
        <v>0.89269639999999995</v>
      </c>
      <c r="I6713">
        <v>132.114</v>
      </c>
      <c r="J6713">
        <v>-178.18039999999999</v>
      </c>
      <c r="K6713">
        <v>1.10537</v>
      </c>
      <c r="L6713">
        <v>131.91079999999999</v>
      </c>
      <c r="M6713">
        <v>0.8637686</v>
      </c>
      <c r="N6713">
        <v>0</v>
      </c>
      <c r="O6713">
        <v>0.5036834</v>
      </c>
      <c r="P6713">
        <v>0.92557040000000002</v>
      </c>
      <c r="Q6713">
        <v>-2.861524E-2</v>
      </c>
      <c r="R6713">
        <v>0.37749250000000001</v>
      </c>
      <c r="S6713">
        <v>2.7790680000000001</v>
      </c>
      <c r="T6713">
        <v>-0.89177989999999996</v>
      </c>
      <c r="U6713">
        <v>1.0686040000000001</v>
      </c>
      <c r="V6713">
        <v>0.13994889999999999</v>
      </c>
      <c r="W6713">
        <v>-1.6160210000000001E-2</v>
      </c>
      <c r="X6713">
        <v>0.99002679999999998</v>
      </c>
      <c r="Y6713">
        <v>0.1349901</v>
      </c>
      <c r="Z6713">
        <v>-0.1640742</v>
      </c>
      <c r="AA6713">
        <v>0.97716800000000004</v>
      </c>
      <c r="AB6713">
        <v>18</v>
      </c>
      <c r="AC6713">
        <v>0.56069999999999698</v>
      </c>
      <c r="AD6713">
        <v>-0.21267359999999999</v>
      </c>
      <c r="AE6713">
        <v>0.20320000000000901</v>
      </c>
      <c r="AF6713">
        <v>9.4847140977300001E-2</v>
      </c>
      <c r="AG6713">
        <v>-0.21267359999999999</v>
      </c>
      <c r="AH6713">
        <v>0.52053000476466704</v>
      </c>
      <c r="AI6713">
        <v>111.897810561421</v>
      </c>
      <c r="AJ6713">
        <v>79.673278061501193</v>
      </c>
      <c r="AK6713">
        <v>0.57024339202557295</v>
      </c>
      <c r="AL6713">
        <v>90.925952175339205</v>
      </c>
      <c r="AM6713">
        <v>81.954052682241596</v>
      </c>
      <c r="AN6713">
        <v>0.999999955858346</v>
      </c>
    </row>
    <row r="6714" spans="1:40" x14ac:dyDescent="0.3">
      <c r="A6714" t="str">
        <f>"20200111160642707"</f>
        <v>20200111160642707</v>
      </c>
      <c r="B6714" t="str">
        <f>"1578730002699468"</f>
        <v>1578730002699468</v>
      </c>
      <c r="C6714" t="s">
        <v>40</v>
      </c>
      <c r="D6714">
        <v>5.304989</v>
      </c>
      <c r="E6714">
        <v>0.51583080000000003</v>
      </c>
      <c r="F6714" t="s">
        <v>42</v>
      </c>
      <c r="G6714">
        <v>-177.46619999999999</v>
      </c>
      <c r="H6714">
        <v>0.89592349999999998</v>
      </c>
      <c r="I6714">
        <v>132.18190000000001</v>
      </c>
      <c r="J6714">
        <v>-178.07390000000001</v>
      </c>
      <c r="K6714">
        <v>1.1053740000000001</v>
      </c>
      <c r="L6714">
        <v>131.964</v>
      </c>
      <c r="M6714">
        <v>0.86712160000000005</v>
      </c>
      <c r="N6714">
        <v>0</v>
      </c>
      <c r="O6714">
        <v>0.49788909999999997</v>
      </c>
      <c r="P6714">
        <v>0.92728109999999997</v>
      </c>
      <c r="Q6714">
        <v>-2.9602139999999999E-2</v>
      </c>
      <c r="R6714">
        <v>0.37319370000000002</v>
      </c>
      <c r="S6714">
        <v>2.7846980000000001</v>
      </c>
      <c r="T6714">
        <v>-0.81603210000000004</v>
      </c>
      <c r="U6714">
        <v>1.0575559999999999</v>
      </c>
      <c r="V6714">
        <v>0.13788739999999999</v>
      </c>
      <c r="W6714">
        <v>-1.7113699999999999E-2</v>
      </c>
      <c r="X6714">
        <v>0.99030010000000002</v>
      </c>
      <c r="Y6714">
        <v>0.13657179999999999</v>
      </c>
      <c r="Z6714">
        <v>-0.14940349999999999</v>
      </c>
      <c r="AA6714">
        <v>0.97929909999999998</v>
      </c>
      <c r="AB6714">
        <v>18</v>
      </c>
      <c r="AC6714">
        <v>0.607700000000022</v>
      </c>
      <c r="AD6714">
        <v>-0.20945050000000001</v>
      </c>
      <c r="AE6714">
        <v>0.217900000000014</v>
      </c>
      <c r="AF6714">
        <v>0.102811396725907</v>
      </c>
      <c r="AG6714">
        <v>-0.20945050000000001</v>
      </c>
      <c r="AH6714">
        <v>0.57498368405848099</v>
      </c>
      <c r="AI6714">
        <v>109.72706284876701</v>
      </c>
      <c r="AJ6714">
        <v>79.862220807527805</v>
      </c>
      <c r="AK6714">
        <v>0.62052069440143898</v>
      </c>
      <c r="AL6714">
        <v>90.980590601566504</v>
      </c>
      <c r="AM6714">
        <v>82.073214490406599</v>
      </c>
      <c r="AN6714">
        <v>1.0000000509332201</v>
      </c>
    </row>
    <row r="6715" spans="1:40" x14ac:dyDescent="0.3">
      <c r="A6715" t="str">
        <f>"20200111160642718"</f>
        <v>20200111160642718</v>
      </c>
      <c r="B6715" t="str">
        <f>"1578730002709227"</f>
        <v>1578730002709227</v>
      </c>
      <c r="C6715" t="s">
        <v>40</v>
      </c>
      <c r="D6715">
        <v>5.2985540000000002</v>
      </c>
      <c r="E6715">
        <v>0.51610739999999999</v>
      </c>
      <c r="F6715" t="s">
        <v>42</v>
      </c>
      <c r="G6715">
        <v>-177.31829999999999</v>
      </c>
      <c r="H6715">
        <v>0.88634550000000001</v>
      </c>
      <c r="I6715">
        <v>132.24770000000001</v>
      </c>
      <c r="J6715">
        <v>-177.98099999999999</v>
      </c>
      <c r="K6715">
        <v>1.10538</v>
      </c>
      <c r="L6715">
        <v>132.00960000000001</v>
      </c>
      <c r="M6715">
        <v>0.87000230000000001</v>
      </c>
      <c r="N6715">
        <v>0</v>
      </c>
      <c r="O6715">
        <v>0.4928381</v>
      </c>
      <c r="P6715">
        <v>0.92898530000000001</v>
      </c>
      <c r="Q6715">
        <v>-2.965245E-2</v>
      </c>
      <c r="R6715">
        <v>0.368927</v>
      </c>
      <c r="S6715">
        <v>2.788116</v>
      </c>
      <c r="T6715">
        <v>-0.80810499999999996</v>
      </c>
      <c r="U6715">
        <v>1.0468900000000001</v>
      </c>
      <c r="V6715">
        <v>0.13668039999999901</v>
      </c>
      <c r="W6715">
        <v>-1.7144039999999999E-2</v>
      </c>
      <c r="X6715">
        <v>0.99046679999999998</v>
      </c>
      <c r="Y6715">
        <v>0.13509289999999999</v>
      </c>
      <c r="Z6715">
        <v>-0.14658850000000001</v>
      </c>
      <c r="AA6715">
        <v>0.97992939999999995</v>
      </c>
      <c r="AB6715">
        <v>18</v>
      </c>
      <c r="AC6715">
        <v>0.66270000000000095</v>
      </c>
      <c r="AD6715">
        <v>-0.21903449999999999</v>
      </c>
      <c r="AE6715">
        <v>0.238100000000002</v>
      </c>
      <c r="AF6715">
        <v>0.108929383071751</v>
      </c>
      <c r="AG6715">
        <v>-0.21903449999999999</v>
      </c>
      <c r="AH6715">
        <v>0.632746944587673</v>
      </c>
      <c r="AI6715">
        <v>108.836876858171</v>
      </c>
      <c r="AJ6715">
        <v>80.232095938015902</v>
      </c>
      <c r="AK6715">
        <v>0.67838810320617904</v>
      </c>
      <c r="AL6715">
        <v>90.982329294060904</v>
      </c>
      <c r="AM6715">
        <v>82.143037182931707</v>
      </c>
      <c r="AN6715">
        <v>0.99999996587696005</v>
      </c>
    </row>
    <row r="6716" spans="1:40" x14ac:dyDescent="0.3">
      <c r="A6716" t="str">
        <f>"20200111160642732"</f>
        <v>20200111160642732</v>
      </c>
      <c r="B6716" t="str">
        <f>"1578730002729723"</f>
        <v>1578730002729723</v>
      </c>
      <c r="C6716" t="s">
        <v>40</v>
      </c>
      <c r="D6716">
        <v>5.2926989999999998</v>
      </c>
      <c r="E6716">
        <v>0.51700679999999999</v>
      </c>
      <c r="F6716" t="s">
        <v>42</v>
      </c>
      <c r="G6716">
        <v>-177.31099999999901</v>
      </c>
      <c r="H6716">
        <v>0.91198210000000002</v>
      </c>
      <c r="I6716">
        <v>132.25700000000001</v>
      </c>
      <c r="J6716">
        <v>-177.8828</v>
      </c>
      <c r="K6716">
        <v>1.105389</v>
      </c>
      <c r="L6716">
        <v>132.05699999999999</v>
      </c>
      <c r="M6716">
        <v>0.8730097</v>
      </c>
      <c r="N6716">
        <v>0</v>
      </c>
      <c r="O6716">
        <v>0.48749100000000001</v>
      </c>
      <c r="P6716">
        <v>0.93072759999999999</v>
      </c>
      <c r="Q6716">
        <v>-2.9817900000000001E-2</v>
      </c>
      <c r="R6716">
        <v>0.36449599999999999</v>
      </c>
      <c r="S6716">
        <v>2.7938390000000002</v>
      </c>
      <c r="T6716">
        <v>-0.80630979999999997</v>
      </c>
      <c r="U6716">
        <v>1.0317689999999999</v>
      </c>
      <c r="V6716">
        <v>0.13531949999999901</v>
      </c>
      <c r="W6716">
        <v>-1.728766E-2</v>
      </c>
      <c r="X6716">
        <v>0.99065119999999895</v>
      </c>
      <c r="Y6716">
        <v>0.1346185</v>
      </c>
      <c r="Z6716">
        <v>-0.14486599999999999</v>
      </c>
      <c r="AA6716">
        <v>0.98025079999999998</v>
      </c>
      <c r="AB6716">
        <v>18</v>
      </c>
      <c r="AC6716">
        <v>0.57180000000002396</v>
      </c>
      <c r="AD6716">
        <v>-0.19340689999999899</v>
      </c>
      <c r="AE6716">
        <v>0.19999999999998799</v>
      </c>
      <c r="AF6716">
        <v>9.4521007635856899E-2</v>
      </c>
      <c r="AG6716">
        <v>-0.19340689999999899</v>
      </c>
      <c r="AH6716">
        <v>0.54154359012914799</v>
      </c>
      <c r="AI6716">
        <v>109.38295635831599</v>
      </c>
      <c r="AJ6716">
        <v>80.099330464929395</v>
      </c>
      <c r="AK6716">
        <v>0.58276059395095903</v>
      </c>
      <c r="AL6716">
        <v>90.990559285097603</v>
      </c>
      <c r="AM6716">
        <v>82.221735095880803</v>
      </c>
      <c r="AN6716">
        <v>1.0000000151649799</v>
      </c>
    </row>
    <row r="6717" spans="1:40" x14ac:dyDescent="0.3">
      <c r="A6717" t="str">
        <f>"20200111160642745"</f>
        <v>20200111160642745</v>
      </c>
      <c r="B6717" t="str">
        <f>"1578730002739483"</f>
        <v>1578730002739483</v>
      </c>
      <c r="C6717" t="s">
        <v>40</v>
      </c>
      <c r="D6717">
        <v>5.2132779999999999</v>
      </c>
      <c r="E6717">
        <v>0.51683250000000003</v>
      </c>
      <c r="F6717" t="s">
        <v>42</v>
      </c>
      <c r="G6717">
        <v>-177.16380000000001</v>
      </c>
      <c r="H6717">
        <v>0.89534210000000003</v>
      </c>
      <c r="I6717">
        <v>132.3169</v>
      </c>
      <c r="J6717">
        <v>-177.78599999999901</v>
      </c>
      <c r="K6717">
        <v>1.105397</v>
      </c>
      <c r="L6717">
        <v>132.10319999999999</v>
      </c>
      <c r="M6717">
        <v>0.87593500000000002</v>
      </c>
      <c r="N6717">
        <v>0</v>
      </c>
      <c r="O6717">
        <v>0.48221530000000001</v>
      </c>
      <c r="P6717">
        <v>0.93245540000000005</v>
      </c>
      <c r="Q6717">
        <v>-3.009763E-2</v>
      </c>
      <c r="R6717">
        <v>0.3600294</v>
      </c>
      <c r="S6717">
        <v>2.800522</v>
      </c>
      <c r="T6717">
        <v>-0.81776260000000001</v>
      </c>
      <c r="U6717">
        <v>1.012634</v>
      </c>
      <c r="V6717">
        <v>0.1340857</v>
      </c>
      <c r="W6717">
        <v>-1.7547839999999999E-2</v>
      </c>
      <c r="X6717">
        <v>0.99081439999999998</v>
      </c>
      <c r="Y6717">
        <v>0.13491489999999901</v>
      </c>
      <c r="Z6717">
        <v>-0.1455352</v>
      </c>
      <c r="AA6717">
        <v>0.98011090000000001</v>
      </c>
      <c r="AB6717">
        <v>18</v>
      </c>
      <c r="AC6717">
        <v>0.622199999999963</v>
      </c>
      <c r="AD6717">
        <v>-0.21005489999999999</v>
      </c>
      <c r="AE6717">
        <v>0.21370000000001699</v>
      </c>
      <c r="AF6717">
        <v>0.10241745681718099</v>
      </c>
      <c r="AG6717">
        <v>-0.21005489999999999</v>
      </c>
      <c r="AH6717">
        <v>0.58816127107264504</v>
      </c>
      <c r="AI6717">
        <v>109.38410697166201</v>
      </c>
      <c r="AJ6717">
        <v>80.122039370869103</v>
      </c>
      <c r="AK6717">
        <v>0.63288709677532495</v>
      </c>
      <c r="AL6717">
        <v>91.005468739197696</v>
      </c>
      <c r="AM6717">
        <v>82.293052727792897</v>
      </c>
      <c r="AN6717">
        <v>1.0000000384402501</v>
      </c>
    </row>
    <row r="6718" spans="1:40" x14ac:dyDescent="0.3">
      <c r="A6718" t="str">
        <f>"20200111160642757"</f>
        <v>20200111160642757</v>
      </c>
      <c r="B6718" t="str">
        <f>"1578730002749243"</f>
        <v>1578730002749243</v>
      </c>
      <c r="C6718" t="s">
        <v>40</v>
      </c>
      <c r="D6718">
        <v>5.2177280000000001</v>
      </c>
      <c r="E6718">
        <v>0.51695400000000002</v>
      </c>
      <c r="F6718" t="s">
        <v>42</v>
      </c>
      <c r="G6718">
        <v>-177.017</v>
      </c>
      <c r="H6718">
        <v>0.87925830000000005</v>
      </c>
      <c r="I6718">
        <v>132.3776</v>
      </c>
      <c r="J6718">
        <v>-177.69630000000001</v>
      </c>
      <c r="K6718">
        <v>1.1053999999999999</v>
      </c>
      <c r="L6718">
        <v>132.14519999999999</v>
      </c>
      <c r="M6718">
        <v>0.87860849999999902</v>
      </c>
      <c r="N6718">
        <v>0</v>
      </c>
      <c r="O6718">
        <v>0.47732669999999999</v>
      </c>
      <c r="P6718">
        <v>0.9340273</v>
      </c>
      <c r="Q6718">
        <v>-3.020167E-2</v>
      </c>
      <c r="R6718">
        <v>0.35592269999999998</v>
      </c>
      <c r="S6718">
        <v>2.8043670000000001</v>
      </c>
      <c r="T6718">
        <v>-0.82458089999999995</v>
      </c>
      <c r="U6718">
        <v>1.00061</v>
      </c>
      <c r="V6718">
        <v>0.1329224</v>
      </c>
      <c r="W6718">
        <v>-1.7634130000000001E-2</v>
      </c>
      <c r="X6718">
        <v>0.99096949999999995</v>
      </c>
      <c r="Y6718">
        <v>0.13342010000000001</v>
      </c>
      <c r="Z6718">
        <v>-0.14527290000000001</v>
      </c>
      <c r="AA6718">
        <v>0.98035450000000002</v>
      </c>
      <c r="AB6718">
        <v>18</v>
      </c>
      <c r="AC6718">
        <v>0.67930000000001201</v>
      </c>
      <c r="AD6718">
        <v>-0.226141699999999</v>
      </c>
      <c r="AE6718">
        <v>0.23240000000001201</v>
      </c>
      <c r="AF6718">
        <v>0.109234351055139</v>
      </c>
      <c r="AG6718">
        <v>-0.226141699999999</v>
      </c>
      <c r="AH6718">
        <v>0.643954010097603</v>
      </c>
      <c r="AI6718">
        <v>109.09742893788599</v>
      </c>
      <c r="AJ6718">
        <v>80.372522536001497</v>
      </c>
      <c r="AK6718">
        <v>0.69119387949410505</v>
      </c>
      <c r="AL6718">
        <v>91.010413657997105</v>
      </c>
      <c r="AM6718">
        <v>82.360305058380504</v>
      </c>
      <c r="AN6718">
        <v>0.99999993844643098</v>
      </c>
    </row>
    <row r="6719" spans="1:40" x14ac:dyDescent="0.3">
      <c r="A6719" t="str">
        <f>"20200111160642769"</f>
        <v>20200111160642769</v>
      </c>
      <c r="B6719" t="str">
        <f>"1578730002759003"</f>
        <v>1578730002759003</v>
      </c>
      <c r="C6719" t="s">
        <v>40</v>
      </c>
      <c r="D6719">
        <v>5.2301950000000001</v>
      </c>
      <c r="E6719">
        <v>0.51698389999999905</v>
      </c>
      <c r="F6719" t="s">
        <v>42</v>
      </c>
      <c r="G6719">
        <v>-177.01050000000001</v>
      </c>
      <c r="H6719">
        <v>0.90306379999999997</v>
      </c>
      <c r="I6719">
        <v>132.38630000000001</v>
      </c>
      <c r="J6719">
        <v>-177.60550000000001</v>
      </c>
      <c r="K6719">
        <v>1.105407</v>
      </c>
      <c r="L6719">
        <v>132.18709999999999</v>
      </c>
      <c r="M6719">
        <v>0.8812837</v>
      </c>
      <c r="N6719">
        <v>0</v>
      </c>
      <c r="O6719">
        <v>0.47236929999999999</v>
      </c>
      <c r="P6719">
        <v>0.93575390000000003</v>
      </c>
      <c r="Q6719">
        <v>-3.0563690000000001E-2</v>
      </c>
      <c r="R6719">
        <v>0.35132720000000001</v>
      </c>
      <c r="S6719">
        <v>2.8087620000000002</v>
      </c>
      <c r="T6719">
        <v>-0.82861980000000002</v>
      </c>
      <c r="U6719">
        <v>0.98759459999999999</v>
      </c>
      <c r="V6719">
        <v>0.13220100000000001</v>
      </c>
      <c r="W6719">
        <v>-1.798514E-2</v>
      </c>
      <c r="X6719">
        <v>0.99105980000000005</v>
      </c>
      <c r="Y6719">
        <v>0.13236700000000001</v>
      </c>
      <c r="Z6719">
        <v>-0.1445457</v>
      </c>
      <c r="AA6719">
        <v>0.98060460000000005</v>
      </c>
      <c r="AB6719">
        <v>18</v>
      </c>
      <c r="AC6719">
        <v>0.59499999999999797</v>
      </c>
      <c r="AD6719">
        <v>-0.202343199999999</v>
      </c>
      <c r="AE6719">
        <v>0.199200000000018</v>
      </c>
      <c r="AF6719">
        <v>9.5579293076099303E-2</v>
      </c>
      <c r="AG6719">
        <v>-0.202343199999999</v>
      </c>
      <c r="AH6719">
        <v>0.56026022456221902</v>
      </c>
      <c r="AI6719">
        <v>109.596532231103</v>
      </c>
      <c r="AJ6719">
        <v>80.318655569078999</v>
      </c>
      <c r="AK6719">
        <v>0.60329900636224698</v>
      </c>
      <c r="AL6719">
        <v>91.030528127819593</v>
      </c>
      <c r="AM6719">
        <v>82.401965909194999</v>
      </c>
      <c r="AN6719">
        <v>1.00000004841892</v>
      </c>
    </row>
    <row r="6720" spans="1:40" x14ac:dyDescent="0.3">
      <c r="A6720" t="str">
        <f>"20200111160642783"</f>
        <v>20200111160642783</v>
      </c>
      <c r="B6720" t="str">
        <f>"1578730002779499"</f>
        <v>1578730002779499</v>
      </c>
      <c r="C6720" t="s">
        <v>40</v>
      </c>
      <c r="D6720">
        <v>5.2616160000000001</v>
      </c>
      <c r="E6720">
        <v>0.51737230000000001</v>
      </c>
      <c r="F6720" t="s">
        <v>42</v>
      </c>
      <c r="G6720">
        <v>-176.86330000000001</v>
      </c>
      <c r="H6720">
        <v>0.88546190000000002</v>
      </c>
      <c r="I6720">
        <v>132.44390000000001</v>
      </c>
      <c r="J6720">
        <v>-177.4975</v>
      </c>
      <c r="K6720">
        <v>1.105418</v>
      </c>
      <c r="L6720">
        <v>132.2364</v>
      </c>
      <c r="M6720">
        <v>0.88442330000000002</v>
      </c>
      <c r="N6720">
        <v>0</v>
      </c>
      <c r="O6720">
        <v>0.46646460000000001</v>
      </c>
      <c r="P6720">
        <v>0.9377721</v>
      </c>
      <c r="Q6720">
        <v>-3.1328799999999997E-2</v>
      </c>
      <c r="R6720">
        <v>0.34583550000000002</v>
      </c>
      <c r="S6720">
        <v>2.8132929999999998</v>
      </c>
      <c r="T6720">
        <v>-0.83326230000000001</v>
      </c>
      <c r="U6720">
        <v>0.97340389999999999</v>
      </c>
      <c r="V6720">
        <v>0.1313617</v>
      </c>
      <c r="W6720">
        <v>-1.8737920000000002E-2</v>
      </c>
      <c r="X6720">
        <v>0.99115739999999997</v>
      </c>
      <c r="Y6720">
        <v>0.1306756</v>
      </c>
      <c r="Z6720">
        <v>-0.14358489999999999</v>
      </c>
      <c r="AA6720">
        <v>0.98097259999999997</v>
      </c>
      <c r="AB6720">
        <v>18</v>
      </c>
      <c r="AC6720">
        <v>0.63419999999999199</v>
      </c>
      <c r="AD6720">
        <v>-0.21995609999999999</v>
      </c>
      <c r="AE6720">
        <v>0.20750000000001001</v>
      </c>
      <c r="AF6720">
        <v>0.10131693192525899</v>
      </c>
      <c r="AG6720">
        <v>-0.21995609999999999</v>
      </c>
      <c r="AH6720">
        <v>0.59329552820169795</v>
      </c>
      <c r="AI6720">
        <v>110.074619562631</v>
      </c>
      <c r="AJ6720">
        <v>80.309095232626802</v>
      </c>
      <c r="AK6720">
        <v>0.64081619081144403</v>
      </c>
      <c r="AL6720">
        <v>91.073666569590301</v>
      </c>
      <c r="AM6720">
        <v>82.450379947415399</v>
      </c>
      <c r="AN6720">
        <v>0.99999999872378798</v>
      </c>
    </row>
    <row r="6721" spans="1:40" x14ac:dyDescent="0.3">
      <c r="A6721" t="str">
        <f>"20200111160642797"</f>
        <v>20200111160642797</v>
      </c>
      <c r="B6721" t="str">
        <f>"1578730002789259"</f>
        <v>1578730002789259</v>
      </c>
      <c r="C6721" t="s">
        <v>40</v>
      </c>
      <c r="D6721">
        <v>5.2101759999999997</v>
      </c>
      <c r="E6721">
        <v>0.51766120000000004</v>
      </c>
      <c r="F6721" t="s">
        <v>42</v>
      </c>
      <c r="G6721">
        <v>-176.85489999999999</v>
      </c>
      <c r="H6721">
        <v>0.91366239999999999</v>
      </c>
      <c r="I6721">
        <v>132.4538</v>
      </c>
      <c r="J6721">
        <v>-177.3963</v>
      </c>
      <c r="K6721">
        <v>1.1054310000000001</v>
      </c>
      <c r="L6721">
        <v>132.28139999999999</v>
      </c>
      <c r="M6721">
        <v>0.88732049999999996</v>
      </c>
      <c r="N6721">
        <v>0</v>
      </c>
      <c r="O6721">
        <v>0.46092949999999999</v>
      </c>
      <c r="P6721">
        <v>0.93952720000000001</v>
      </c>
      <c r="Q6721">
        <v>-3.2456110000000003E-2</v>
      </c>
      <c r="R6721">
        <v>0.34093259999999997</v>
      </c>
      <c r="S6721">
        <v>2.8191830000000002</v>
      </c>
      <c r="T6721">
        <v>-0.84080299999999997</v>
      </c>
      <c r="U6721">
        <v>0.95399480000000003</v>
      </c>
      <c r="V6721">
        <v>0.13031499999999999</v>
      </c>
      <c r="W6721">
        <v>-1.9850619999999999E-2</v>
      </c>
      <c r="X6721">
        <v>0.99127390000000004</v>
      </c>
      <c r="Y6721">
        <v>0.1309747</v>
      </c>
      <c r="Z6721">
        <v>-0.14343529999999999</v>
      </c>
      <c r="AA6721">
        <v>0.98095460000000001</v>
      </c>
      <c r="AB6721">
        <v>18</v>
      </c>
      <c r="AC6721">
        <v>0.54140000000000998</v>
      </c>
      <c r="AD6721">
        <v>-0.19176860000000001</v>
      </c>
      <c r="AE6721">
        <v>0.17240000000000999</v>
      </c>
      <c r="AF6721">
        <v>8.6706177767690407E-2</v>
      </c>
      <c r="AG6721">
        <v>-0.19176860000000001</v>
      </c>
      <c r="AH6721">
        <v>0.50265802971581197</v>
      </c>
      <c r="AI6721">
        <v>110.60409407867699</v>
      </c>
      <c r="AJ6721">
        <v>80.213054508553796</v>
      </c>
      <c r="AK6721">
        <v>0.54493875990502305</v>
      </c>
      <c r="AL6721">
        <v>91.137431460351195</v>
      </c>
      <c r="AM6721">
        <v>82.510720462863304</v>
      </c>
      <c r="AN6721">
        <v>0.99999999558029695</v>
      </c>
    </row>
    <row r="6722" spans="1:40" x14ac:dyDescent="0.3">
      <c r="A6722" t="str">
        <f>"20200111160642810"</f>
        <v>20200111160642810</v>
      </c>
      <c r="B6722" t="str">
        <f>"1578730002799019"</f>
        <v>1578730002799019</v>
      </c>
      <c r="C6722" t="s">
        <v>40</v>
      </c>
      <c r="D6722">
        <v>5.1558599999999997</v>
      </c>
      <c r="E6722">
        <v>0.51785760000000003</v>
      </c>
      <c r="F6722" t="s">
        <v>42</v>
      </c>
      <c r="G6722">
        <v>-176.70650000000001</v>
      </c>
      <c r="H6722">
        <v>0.89861789999999997</v>
      </c>
      <c r="I6722">
        <v>132.51009999999999</v>
      </c>
      <c r="J6722">
        <v>-177.29480000000001</v>
      </c>
      <c r="K6722">
        <v>1.1054469999999901</v>
      </c>
      <c r="L6722">
        <v>132.32599999999999</v>
      </c>
      <c r="M6722">
        <v>0.89018759999999997</v>
      </c>
      <c r="N6722">
        <v>0</v>
      </c>
      <c r="O6722">
        <v>0.45536789999999999</v>
      </c>
      <c r="P6722">
        <v>0.94155319999999998</v>
      </c>
      <c r="Q6722">
        <v>-3.2612990000000001E-2</v>
      </c>
      <c r="R6722">
        <v>0.33528190000000002</v>
      </c>
      <c r="S6722">
        <v>2.8239749999999999</v>
      </c>
      <c r="T6722">
        <v>-0.84648880000000004</v>
      </c>
      <c r="U6722">
        <v>0.93663019999999997</v>
      </c>
      <c r="V6722">
        <v>0.13006319999999999</v>
      </c>
      <c r="W6722">
        <v>-2.0004000000000001E-2</v>
      </c>
      <c r="X6722">
        <v>0.99130390000000002</v>
      </c>
      <c r="Y6722">
        <v>0.13062660000000001</v>
      </c>
      <c r="Z6722">
        <v>-0.1428828</v>
      </c>
      <c r="AA6722">
        <v>0.98108169999999995</v>
      </c>
      <c r="AB6722">
        <v>18</v>
      </c>
      <c r="AC6722">
        <v>0.58830000000000304</v>
      </c>
      <c r="AD6722">
        <v>-0.20682909999999899</v>
      </c>
      <c r="AE6722">
        <v>0.18410000000000001</v>
      </c>
      <c r="AF6722">
        <v>9.3494720403745998E-2</v>
      </c>
      <c r="AG6722">
        <v>-0.20682909999999899</v>
      </c>
      <c r="AH6722">
        <v>0.546113178506065</v>
      </c>
      <c r="AI6722">
        <v>110.47051675335599</v>
      </c>
      <c r="AJ6722">
        <v>80.285129528598404</v>
      </c>
      <c r="AK6722">
        <v>0.59140438203329304</v>
      </c>
      <c r="AL6722">
        <v>91.146221216954004</v>
      </c>
      <c r="AM6722">
        <v>82.525251413391103</v>
      </c>
      <c r="AN6722">
        <v>1.0000000090827199</v>
      </c>
    </row>
    <row r="6723" spans="1:40" x14ac:dyDescent="0.3">
      <c r="A6723" t="str">
        <f>"20200111160642824"</f>
        <v>20200111160642824</v>
      </c>
      <c r="B6723" t="str">
        <f>"1578730002819515"</f>
        <v>1578730002819515</v>
      </c>
      <c r="C6723" t="s">
        <v>40</v>
      </c>
      <c r="D6723">
        <v>5.184774</v>
      </c>
      <c r="E6723">
        <v>0.51823379999999997</v>
      </c>
      <c r="F6723" t="s">
        <v>42</v>
      </c>
      <c r="G6723">
        <v>-176.5573</v>
      </c>
      <c r="H6723">
        <v>0.88411879999999998</v>
      </c>
      <c r="I6723">
        <v>132.5652</v>
      </c>
      <c r="J6723">
        <v>-177.19</v>
      </c>
      <c r="K6723">
        <v>1.1054550000000001</v>
      </c>
      <c r="L6723">
        <v>132.37139999999999</v>
      </c>
      <c r="M6723">
        <v>0.89311059999999998</v>
      </c>
      <c r="N6723">
        <v>0</v>
      </c>
      <c r="O6723">
        <v>0.4496078</v>
      </c>
      <c r="P6723">
        <v>0.94367990000000002</v>
      </c>
      <c r="Q6723">
        <v>-3.272547E-2</v>
      </c>
      <c r="R6723">
        <v>0.32923760000000002</v>
      </c>
      <c r="S6723">
        <v>2.8297880000000002</v>
      </c>
      <c r="T6723">
        <v>-0.84866810000000004</v>
      </c>
      <c r="U6723">
        <v>0.91841130000000004</v>
      </c>
      <c r="V6723">
        <v>0.13001270000000001</v>
      </c>
      <c r="W6723">
        <v>-2.011595E-2</v>
      </c>
      <c r="X6723">
        <v>0.99130830000000003</v>
      </c>
      <c r="Y6723">
        <v>0.130636999999999</v>
      </c>
      <c r="Z6723">
        <v>-0.1417041</v>
      </c>
      <c r="AA6723">
        <v>0.98125119999999999</v>
      </c>
      <c r="AB6723">
        <v>18</v>
      </c>
      <c r="AC6723">
        <v>0.63269999999999904</v>
      </c>
      <c r="AD6723">
        <v>-0.22133619999999901</v>
      </c>
      <c r="AE6723">
        <v>0.19380000000000999</v>
      </c>
      <c r="AF6723">
        <v>0.100184611110373</v>
      </c>
      <c r="AG6723">
        <v>-0.22133619999999901</v>
      </c>
      <c r="AH6723">
        <v>0.58663786731710499</v>
      </c>
      <c r="AI6723">
        <v>110.40075726619</v>
      </c>
      <c r="AJ6723">
        <v>80.308658092620604</v>
      </c>
      <c r="AK6723">
        <v>0.63495720887642304</v>
      </c>
      <c r="AL6723">
        <v>91.152636723623601</v>
      </c>
      <c r="AM6723">
        <v>82.528153645464599</v>
      </c>
      <c r="AN6723">
        <v>1.0000000496272901</v>
      </c>
    </row>
    <row r="6724" spans="1:40" x14ac:dyDescent="0.3">
      <c r="A6724" t="str">
        <f>"20200111160642837"</f>
        <v>20200111160642837</v>
      </c>
      <c r="B6724" t="str">
        <f>"1578730002829275"</f>
        <v>1578730002829275</v>
      </c>
      <c r="C6724" t="s">
        <v>40</v>
      </c>
      <c r="D6724">
        <v>5.2835229999999997</v>
      </c>
      <c r="E6724">
        <v>0.51848859999999997</v>
      </c>
      <c r="F6724" t="s">
        <v>42</v>
      </c>
      <c r="G6724">
        <v>-176.4074</v>
      </c>
      <c r="H6724">
        <v>0.87036630000000004</v>
      </c>
      <c r="I6724">
        <v>132.619</v>
      </c>
      <c r="J6724">
        <v>-177.0916</v>
      </c>
      <c r="K6724">
        <v>1.105461</v>
      </c>
      <c r="L6724">
        <v>132.41290000000001</v>
      </c>
      <c r="M6724">
        <v>0.89581200000000005</v>
      </c>
      <c r="N6724">
        <v>0</v>
      </c>
      <c r="O6724">
        <v>0.44420120000000002</v>
      </c>
      <c r="P6724">
        <v>0.945774</v>
      </c>
      <c r="Q6724">
        <v>-3.2873619999999999E-2</v>
      </c>
      <c r="R6724">
        <v>0.323158</v>
      </c>
      <c r="S6724">
        <v>2.8363040000000002</v>
      </c>
      <c r="T6724">
        <v>-0.85192819999999903</v>
      </c>
      <c r="U6724">
        <v>0.89773559999999997</v>
      </c>
      <c r="V6724">
        <v>0.13039580000000001</v>
      </c>
      <c r="W6724">
        <v>-2.0269929999999999E-2</v>
      </c>
      <c r="X6724">
        <v>0.99125479999999999</v>
      </c>
      <c r="Y6724">
        <v>0.13180049999999999</v>
      </c>
      <c r="Z6724">
        <v>-0.14092729999999901</v>
      </c>
      <c r="AA6724">
        <v>0.98120750000000001</v>
      </c>
      <c r="AB6724">
        <v>18</v>
      </c>
      <c r="AC6724">
        <v>0.68420000000000403</v>
      </c>
      <c r="AD6724">
        <v>-0.23509469999999999</v>
      </c>
      <c r="AE6724">
        <v>0.20609999999999201</v>
      </c>
      <c r="AF6724">
        <v>0.107655024524986</v>
      </c>
      <c r="AG6724">
        <v>-0.23509469999999999</v>
      </c>
      <c r="AH6724">
        <v>0.63572446373246205</v>
      </c>
      <c r="AI6724">
        <v>110.032610314845</v>
      </c>
      <c r="AJ6724">
        <v>80.388585237751499</v>
      </c>
      <c r="AK6724">
        <v>0.68629783335042804</v>
      </c>
      <c r="AL6724">
        <v>91.161460976519294</v>
      </c>
      <c r="AM6724">
        <v>82.505986846129304</v>
      </c>
      <c r="AN6724">
        <v>1.0000000066214401</v>
      </c>
    </row>
    <row r="6725" spans="1:40" x14ac:dyDescent="0.3">
      <c r="A6725" t="str">
        <f>"20200111160642851"</f>
        <v>20200111160642851</v>
      </c>
      <c r="B6725" t="str">
        <f>"1578730002849771"</f>
        <v>1578730002849771</v>
      </c>
      <c r="C6725" t="s">
        <v>40</v>
      </c>
      <c r="D6725">
        <v>5.1912269999999996</v>
      </c>
      <c r="E6725">
        <v>0.51883310000000005</v>
      </c>
      <c r="F6725" t="s">
        <v>42</v>
      </c>
      <c r="G6725">
        <v>-176.39879999999999</v>
      </c>
      <c r="H6725">
        <v>0.89755569999999896</v>
      </c>
      <c r="I6725">
        <v>132.6268</v>
      </c>
      <c r="J6725">
        <v>-176.9794</v>
      </c>
      <c r="K6725">
        <v>1.105469</v>
      </c>
      <c r="L6725">
        <v>132.45959999999999</v>
      </c>
      <c r="M6725">
        <v>0.8988526</v>
      </c>
      <c r="N6725">
        <v>0</v>
      </c>
      <c r="O6725">
        <v>0.43801590000000001</v>
      </c>
      <c r="P6725">
        <v>0.94807379999999997</v>
      </c>
      <c r="Q6725">
        <v>-3.2775470000000001E-2</v>
      </c>
      <c r="R6725">
        <v>0.31635720000000001</v>
      </c>
      <c r="S6725">
        <v>2.8425289999999999</v>
      </c>
      <c r="T6725">
        <v>-0.85284400000000005</v>
      </c>
      <c r="U6725">
        <v>0.8775482</v>
      </c>
      <c r="V6725">
        <v>0.1306851</v>
      </c>
      <c r="W6725">
        <v>-2.0176019999999999E-2</v>
      </c>
      <c r="X6725">
        <v>0.99121859999999995</v>
      </c>
      <c r="Y6725">
        <v>0.1321175</v>
      </c>
      <c r="Z6725">
        <v>-0.1394541</v>
      </c>
      <c r="AA6725">
        <v>0.98137529999999995</v>
      </c>
      <c r="AB6725">
        <v>18</v>
      </c>
      <c r="AC6725">
        <v>0.580600000000004</v>
      </c>
      <c r="AD6725">
        <v>-0.2079133</v>
      </c>
      <c r="AE6725">
        <v>0.16720000000000801</v>
      </c>
      <c r="AF6725">
        <v>9.3019607612068206E-2</v>
      </c>
      <c r="AG6725">
        <v>-0.2079133</v>
      </c>
      <c r="AH6725">
        <v>0.53215576690205202</v>
      </c>
      <c r="AI6725">
        <v>111.049953565281</v>
      </c>
      <c r="AJ6725">
        <v>80.085001023993698</v>
      </c>
      <c r="AK6725">
        <v>0.57885261333460702</v>
      </c>
      <c r="AL6725">
        <v>91.156079248445806</v>
      </c>
      <c r="AM6725">
        <v>82.489278846408695</v>
      </c>
      <c r="AN6725">
        <v>0.999999990065505</v>
      </c>
    </row>
    <row r="6726" spans="1:40" x14ac:dyDescent="0.3">
      <c r="A6726" t="str">
        <f>"20200111160642867"</f>
        <v>20200111160642867</v>
      </c>
      <c r="B6726" t="str">
        <f>"1578730002859531"</f>
        <v>1578730002859531</v>
      </c>
      <c r="C6726" t="s">
        <v>40</v>
      </c>
      <c r="D6726">
        <v>5.0802759999999996</v>
      </c>
      <c r="E6726">
        <v>0.51895210000000003</v>
      </c>
      <c r="F6726" t="s">
        <v>42</v>
      </c>
      <c r="G6726">
        <v>-176.24770000000001</v>
      </c>
      <c r="H6726">
        <v>0.886019</v>
      </c>
      <c r="I6726">
        <v>132.6789</v>
      </c>
      <c r="J6726">
        <v>-176.86</v>
      </c>
      <c r="K6726">
        <v>1.10547</v>
      </c>
      <c r="L6726">
        <v>132.50829999999999</v>
      </c>
      <c r="M6726">
        <v>0.90203339999999999</v>
      </c>
      <c r="N6726">
        <v>0</v>
      </c>
      <c r="O6726">
        <v>0.43142730000000001</v>
      </c>
      <c r="P6726">
        <v>0.95074990000000004</v>
      </c>
      <c r="Q6726">
        <v>-3.2816039999999998E-2</v>
      </c>
      <c r="R6726">
        <v>0.30821749999999998</v>
      </c>
      <c r="S6726">
        <v>2.8496549999999998</v>
      </c>
      <c r="T6726">
        <v>-0.85397829999999997</v>
      </c>
      <c r="U6726">
        <v>0.85452269999999897</v>
      </c>
      <c r="V6726">
        <v>0.13192870000000001</v>
      </c>
      <c r="W6726">
        <v>-2.023438E-2</v>
      </c>
      <c r="X6726">
        <v>0.99105270000000001</v>
      </c>
      <c r="Y6726">
        <v>0.13298779999999999</v>
      </c>
      <c r="Z6726">
        <v>-0.13796410000000001</v>
      </c>
      <c r="AA6726">
        <v>0.98146840000000002</v>
      </c>
      <c r="AB6726">
        <v>18</v>
      </c>
      <c r="AC6726">
        <v>0.61230000000000395</v>
      </c>
      <c r="AD6726">
        <v>-0.21945100000000001</v>
      </c>
      <c r="AE6726">
        <v>0.170600000000007</v>
      </c>
      <c r="AF6726">
        <v>9.8541272436309002E-2</v>
      </c>
      <c r="AG6726">
        <v>-0.21945100000000001</v>
      </c>
      <c r="AH6726">
        <v>0.55931111016521495</v>
      </c>
      <c r="AI6726">
        <v>111.126936803284</v>
      </c>
      <c r="AJ6726">
        <v>80.007984725068397</v>
      </c>
      <c r="AK6726">
        <v>0.60884976942478397</v>
      </c>
      <c r="AL6726">
        <v>91.159423663031504</v>
      </c>
      <c r="AM6726">
        <v>82.417379936174598</v>
      </c>
      <c r="AN6726">
        <v>1.0000000330974801</v>
      </c>
    </row>
    <row r="6727" spans="1:40" x14ac:dyDescent="0.3">
      <c r="A6727" t="str">
        <f>"20200111160642881"</f>
        <v>20200111160642881</v>
      </c>
      <c r="B6727" t="str">
        <f>"1578730002869291"</f>
        <v>1578730002869291</v>
      </c>
      <c r="C6727" t="s">
        <v>40</v>
      </c>
      <c r="D6727">
        <v>5.2043220000000003</v>
      </c>
      <c r="E6727">
        <v>0.51896609999999999</v>
      </c>
      <c r="F6727" t="s">
        <v>42</v>
      </c>
      <c r="G6727">
        <v>-176.09549999999999</v>
      </c>
      <c r="H6727">
        <v>0.87663659999999999</v>
      </c>
      <c r="I6727">
        <v>132.7302</v>
      </c>
      <c r="J6727">
        <v>-176.75799999999899</v>
      </c>
      <c r="K6727">
        <v>1.1054679999999999</v>
      </c>
      <c r="L6727">
        <v>132.54920000000001</v>
      </c>
      <c r="M6727">
        <v>0.90470740000000005</v>
      </c>
      <c r="N6727">
        <v>0</v>
      </c>
      <c r="O6727">
        <v>0.4257918</v>
      </c>
      <c r="P6727">
        <v>0.95287690000000003</v>
      </c>
      <c r="Q6727">
        <v>-3.289007E-2</v>
      </c>
      <c r="R6727">
        <v>0.30156929999999998</v>
      </c>
      <c r="S6727">
        <v>2.8570099999999998</v>
      </c>
      <c r="T6727">
        <v>-0.85478880000000002</v>
      </c>
      <c r="U6727">
        <v>0.82937619999999901</v>
      </c>
      <c r="V6727">
        <v>0.13266639999999999</v>
      </c>
      <c r="W6727">
        <v>-2.0318820000000001E-2</v>
      </c>
      <c r="X6727">
        <v>0.99095239999999996</v>
      </c>
      <c r="Y6727">
        <v>0.13553899999999999</v>
      </c>
      <c r="Z6727">
        <v>-0.136903</v>
      </c>
      <c r="AA6727">
        <v>0.98126789999999997</v>
      </c>
      <c r="AB6727">
        <v>18</v>
      </c>
      <c r="AC6727">
        <v>0.66249999999999398</v>
      </c>
      <c r="AD6727">
        <v>-0.22883139999999999</v>
      </c>
      <c r="AE6727">
        <v>0.18099999999998301</v>
      </c>
      <c r="AF6727">
        <v>0.10652136405529899</v>
      </c>
      <c r="AG6727">
        <v>-0.22883139999999999</v>
      </c>
      <c r="AH6727">
        <v>0.60890667554367495</v>
      </c>
      <c r="AI6727">
        <v>110.313807060507</v>
      </c>
      <c r="AJ6727">
        <v>80.077160402526999</v>
      </c>
      <c r="AK6727">
        <v>0.65914941412991601</v>
      </c>
      <c r="AL6727">
        <v>91.164262817574297</v>
      </c>
      <c r="AM6727">
        <v>82.374715306393796</v>
      </c>
      <c r="AN6727">
        <v>0.99999994360045397</v>
      </c>
    </row>
    <row r="6728" spans="1:40" x14ac:dyDescent="0.3">
      <c r="A6728" t="str">
        <f>"20200111160642896"</f>
        <v>20200111160642896</v>
      </c>
      <c r="B6728" t="str">
        <f>"1578730002889787"</f>
        <v>1578730002889787</v>
      </c>
      <c r="C6728" t="s">
        <v>40</v>
      </c>
      <c r="D6728">
        <v>5.150938</v>
      </c>
      <c r="E6728">
        <v>0.51906330000000001</v>
      </c>
      <c r="F6728" t="s">
        <v>42</v>
      </c>
      <c r="G6728">
        <v>-176.08670000000001</v>
      </c>
      <c r="H6728">
        <v>0.90481809999999996</v>
      </c>
      <c r="I6728">
        <v>132.73910000000001</v>
      </c>
      <c r="J6728">
        <v>-176.64089999999999</v>
      </c>
      <c r="K6728">
        <v>1.10547</v>
      </c>
      <c r="L6728">
        <v>132.595</v>
      </c>
      <c r="M6728">
        <v>0.9077305</v>
      </c>
      <c r="N6728">
        <v>0</v>
      </c>
      <c r="O6728">
        <v>0.41930820000000002</v>
      </c>
      <c r="P6728">
        <v>0.95514710000000003</v>
      </c>
      <c r="Q6728">
        <v>-3.332471E-2</v>
      </c>
      <c r="R6728">
        <v>0.2942514</v>
      </c>
      <c r="S6728">
        <v>2.8624879999999999</v>
      </c>
      <c r="T6728">
        <v>-0.85519069999999997</v>
      </c>
      <c r="U6728">
        <v>0.81002810000000003</v>
      </c>
      <c r="V6728">
        <v>0.13316610000000001</v>
      </c>
      <c r="W6728">
        <v>-2.0758550000000001E-2</v>
      </c>
      <c r="X6728">
        <v>0.99087630000000004</v>
      </c>
      <c r="Y6728">
        <v>0.1353248</v>
      </c>
      <c r="Z6728">
        <v>-0.13518910000000001</v>
      </c>
      <c r="AA6728">
        <v>0.98153509999999999</v>
      </c>
      <c r="AB6728">
        <v>18</v>
      </c>
      <c r="AC6728">
        <v>0.55419999999998004</v>
      </c>
      <c r="AD6728">
        <v>-0.20065189999999999</v>
      </c>
      <c r="AE6728">
        <v>0.144100000000008</v>
      </c>
      <c r="AF6728">
        <v>9.0477864937486802E-2</v>
      </c>
      <c r="AG6728">
        <v>-0.20065189999999999</v>
      </c>
      <c r="AH6728">
        <v>0.50191717995616203</v>
      </c>
      <c r="AI6728">
        <v>111.476151219215</v>
      </c>
      <c r="AJ6728">
        <v>79.781346117314399</v>
      </c>
      <c r="AK6728">
        <v>0.54805865065009496</v>
      </c>
      <c r="AL6728">
        <v>91.189462759090304</v>
      </c>
      <c r="AM6728">
        <v>82.345752969182399</v>
      </c>
      <c r="AN6728">
        <v>0.99999998474450102</v>
      </c>
    </row>
    <row r="6729" spans="1:40" x14ac:dyDescent="0.3">
      <c r="A6729" t="str">
        <f>"20200111160642910"</f>
        <v>20200111160642910</v>
      </c>
      <c r="B6729" t="str">
        <f>"1578730002899546"</f>
        <v>1578730002899546</v>
      </c>
      <c r="C6729" t="s">
        <v>40</v>
      </c>
      <c r="D6729">
        <v>5.1075019999999904</v>
      </c>
      <c r="E6729">
        <v>0.53382240000000003</v>
      </c>
      <c r="F6729" t="s">
        <v>42</v>
      </c>
      <c r="G6729">
        <v>-175.935</v>
      </c>
      <c r="H6729">
        <v>0.89444780000000002</v>
      </c>
      <c r="I6729">
        <v>132.78880000000001</v>
      </c>
      <c r="J6729">
        <v>-176.53710000000001</v>
      </c>
      <c r="K6729">
        <v>1.105478</v>
      </c>
      <c r="L6729">
        <v>132.63489999999999</v>
      </c>
      <c r="M6729">
        <v>0.91036300000000003</v>
      </c>
      <c r="N6729">
        <v>0</v>
      </c>
      <c r="O6729">
        <v>0.41356110000000001</v>
      </c>
      <c r="P6729">
        <v>0.95702469999999995</v>
      </c>
      <c r="Q6729">
        <v>-3.4634570000000003E-2</v>
      </c>
      <c r="R6729">
        <v>0.2879311</v>
      </c>
      <c r="S6729">
        <v>2.8683169999999998</v>
      </c>
      <c r="T6729">
        <v>-0.85690869999999997</v>
      </c>
      <c r="U6729">
        <v>0.78770450000000003</v>
      </c>
      <c r="V6729">
        <v>0.1334167</v>
      </c>
      <c r="W6729">
        <v>-2.20547E-2</v>
      </c>
      <c r="X6729">
        <v>0.99081459999999999</v>
      </c>
      <c r="Y6729">
        <v>0.13676079999999999</v>
      </c>
      <c r="Z6729">
        <v>-0.13409740000000001</v>
      </c>
      <c r="AA6729">
        <v>0.98148579999999996</v>
      </c>
      <c r="AB6729">
        <v>18</v>
      </c>
      <c r="AC6729">
        <v>0.60210000000000696</v>
      </c>
      <c r="AD6729">
        <v>-0.211030199999999</v>
      </c>
      <c r="AE6729">
        <v>0.15390000000002099</v>
      </c>
      <c r="AF6729">
        <v>9.7651357869978195E-2</v>
      </c>
      <c r="AG6729">
        <v>-0.211030199999999</v>
      </c>
      <c r="AH6729">
        <v>0.54858280694503903</v>
      </c>
      <c r="AI6729">
        <v>110.74313067321999</v>
      </c>
      <c r="AJ6729">
        <v>79.906693873961103</v>
      </c>
      <c r="AK6729">
        <v>0.59582936238623596</v>
      </c>
      <c r="AL6729">
        <v>91.263743693867895</v>
      </c>
      <c r="AM6729">
        <v>82.331048140796099</v>
      </c>
      <c r="AN6729">
        <v>0.99999999860207001</v>
      </c>
    </row>
    <row r="6730" spans="1:40" x14ac:dyDescent="0.3">
      <c r="A6730" t="str">
        <f>"20200111160642924"</f>
        <v>20200111160642924</v>
      </c>
      <c r="B6730" t="str">
        <f>"1578730002919066"</f>
        <v>1578730002919066</v>
      </c>
      <c r="C6730" t="s">
        <v>40</v>
      </c>
      <c r="D6730">
        <v>5.2900669999999996</v>
      </c>
      <c r="E6730">
        <v>0.54537990000000003</v>
      </c>
      <c r="F6730" t="s">
        <v>42</v>
      </c>
      <c r="G6730">
        <v>-175.75550000000001</v>
      </c>
      <c r="H6730">
        <v>0.91092720000000005</v>
      </c>
      <c r="I6730">
        <v>132.8081</v>
      </c>
      <c r="J6730">
        <v>-176.42410000000001</v>
      </c>
      <c r="K6730">
        <v>1.10549599999999</v>
      </c>
      <c r="L6730">
        <v>132.67760000000001</v>
      </c>
      <c r="M6730">
        <v>0.91318299999999997</v>
      </c>
      <c r="N6730">
        <v>0</v>
      </c>
      <c r="O6730">
        <v>0.40729510000000002</v>
      </c>
      <c r="P6730">
        <v>0.95885379999999998</v>
      </c>
      <c r="Q6730">
        <v>-3.5206229999999998E-2</v>
      </c>
      <c r="R6730">
        <v>0.2817094</v>
      </c>
      <c r="S6730">
        <v>2.9141240000000002</v>
      </c>
      <c r="T6730">
        <v>-0.72508589999999995</v>
      </c>
      <c r="U6730">
        <v>0.64599609999999996</v>
      </c>
      <c r="V6730">
        <v>0.133028799999999</v>
      </c>
      <c r="W6730">
        <v>-2.2576220000000001E-2</v>
      </c>
      <c r="X6730">
        <v>0.99085500000000004</v>
      </c>
      <c r="Y6730">
        <v>0.18375639999999999</v>
      </c>
      <c r="Z6730">
        <v>-0.11762060000000001</v>
      </c>
      <c r="AA6730">
        <v>0.97590929999999998</v>
      </c>
      <c r="AB6730">
        <v>18</v>
      </c>
      <c r="AC6730">
        <v>0.66859999999999697</v>
      </c>
      <c r="AD6730">
        <v>-0.19456879999999899</v>
      </c>
      <c r="AE6730">
        <v>0.13049999999998299</v>
      </c>
      <c r="AF6730">
        <v>0.141610629325572</v>
      </c>
      <c r="AG6730">
        <v>-0.19456879999999899</v>
      </c>
      <c r="AH6730">
        <v>0.61370952436128501</v>
      </c>
      <c r="AI6730">
        <v>107.166962264376</v>
      </c>
      <c r="AJ6730">
        <v>77.0066813845947</v>
      </c>
      <c r="AK6730">
        <v>0.65920404167691404</v>
      </c>
      <c r="AL6730">
        <v>91.293632044189195</v>
      </c>
      <c r="AM6730">
        <v>82.3533889817367</v>
      </c>
      <c r="AN6730">
        <v>0.99999998918196398</v>
      </c>
    </row>
    <row r="6731" spans="1:40" x14ac:dyDescent="0.3">
      <c r="A6731" t="str">
        <f>"20200111160642937"</f>
        <v>20200111160642937</v>
      </c>
      <c r="B6731" t="str">
        <f>"1578730002929803"</f>
        <v>1578730002929803</v>
      </c>
      <c r="C6731" t="s">
        <v>40</v>
      </c>
      <c r="D6731">
        <v>5.4524299999999997</v>
      </c>
      <c r="E6731">
        <v>0.54893729999999996</v>
      </c>
      <c r="F6731" t="s">
        <v>42</v>
      </c>
      <c r="G6731">
        <v>-175.5778</v>
      </c>
      <c r="H6731">
        <v>0.92936640000000004</v>
      </c>
      <c r="I6731">
        <v>132.8295</v>
      </c>
      <c r="J6731">
        <v>-176.31790000000001</v>
      </c>
      <c r="K6731">
        <v>1.1055429999999999</v>
      </c>
      <c r="L6731">
        <v>132.7166</v>
      </c>
      <c r="M6731">
        <v>0.91578210000000004</v>
      </c>
      <c r="N6731">
        <v>0</v>
      </c>
      <c r="O6731">
        <v>0.40141270000000001</v>
      </c>
      <c r="P6731">
        <v>0.96032819999999997</v>
      </c>
      <c r="Q6731">
        <v>-3.5746220000000002E-2</v>
      </c>
      <c r="R6731">
        <v>0.27657140000000002</v>
      </c>
      <c r="S6731">
        <v>2.9504999999999999</v>
      </c>
      <c r="T6731">
        <v>-0.61353740000000001</v>
      </c>
      <c r="U6731">
        <v>0.52998350000000005</v>
      </c>
      <c r="V6731">
        <v>0.1319497</v>
      </c>
      <c r="W6731">
        <v>-2.298716E-2</v>
      </c>
      <c r="X6731">
        <v>0.99098989999999998</v>
      </c>
      <c r="Y6731">
        <v>0.2209014</v>
      </c>
      <c r="Z6731">
        <v>-0.1019835</v>
      </c>
      <c r="AA6731">
        <v>0.96994950000000002</v>
      </c>
      <c r="AB6731">
        <v>18</v>
      </c>
      <c r="AC6731">
        <v>0.74010000000001197</v>
      </c>
      <c r="AD6731">
        <v>-0.17617659999999899</v>
      </c>
      <c r="AE6731">
        <v>0.112899999999996</v>
      </c>
      <c r="AF6731">
        <v>0.18354983765309599</v>
      </c>
      <c r="AG6731">
        <v>-0.17617659999999899</v>
      </c>
      <c r="AH6731">
        <v>0.685221009491086</v>
      </c>
      <c r="AI6731">
        <v>103.94741145379101</v>
      </c>
      <c r="AJ6731">
        <v>75.004258038434202</v>
      </c>
      <c r="AK6731">
        <v>0.73092856637158499</v>
      </c>
      <c r="AL6731">
        <v>91.317183194803704</v>
      </c>
      <c r="AM6731">
        <v>82.415712005776101</v>
      </c>
      <c r="AN6731">
        <v>1.00000005737848</v>
      </c>
    </row>
    <row r="6732" spans="1:40" x14ac:dyDescent="0.3">
      <c r="A6732" t="str">
        <f>"20200111160642951"</f>
        <v>20200111160642951</v>
      </c>
      <c r="B6732" t="str">
        <f>"1578730002949322"</f>
        <v>1578730002949322</v>
      </c>
      <c r="C6732" t="s">
        <v>40</v>
      </c>
      <c r="D6732">
        <v>5.5465249999999999</v>
      </c>
      <c r="E6732">
        <v>0.55308900000000005</v>
      </c>
      <c r="F6732" t="s">
        <v>42</v>
      </c>
      <c r="G6732">
        <v>-175.56739999999999</v>
      </c>
      <c r="H6732">
        <v>0.95900560000000001</v>
      </c>
      <c r="I6732">
        <v>132.839</v>
      </c>
      <c r="J6732">
        <v>-176.2191</v>
      </c>
      <c r="K6732">
        <v>1.1055969999999999</v>
      </c>
      <c r="L6732">
        <v>132.75229999999999</v>
      </c>
      <c r="M6732">
        <v>0.91816509999999996</v>
      </c>
      <c r="N6732">
        <v>0</v>
      </c>
      <c r="O6732">
        <v>0.39592709999999998</v>
      </c>
      <c r="P6732">
        <v>0.96155069999999998</v>
      </c>
      <c r="Q6732">
        <v>-3.6264459999999998E-2</v>
      </c>
      <c r="R6732">
        <v>0.2722231</v>
      </c>
      <c r="S6732">
        <v>2.9632109999999998</v>
      </c>
      <c r="T6732">
        <v>-0.57799279999999997</v>
      </c>
      <c r="U6732">
        <v>0.48344419999999999</v>
      </c>
      <c r="V6732">
        <v>0.13049549999999999</v>
      </c>
      <c r="W6732">
        <v>-2.3346490000000001E-2</v>
      </c>
      <c r="X6732">
        <v>0.991174</v>
      </c>
      <c r="Y6732">
        <v>0.2319088</v>
      </c>
      <c r="Z6732">
        <v>-9.6063200000000001E-2</v>
      </c>
      <c r="AA6732">
        <v>0.96798249999999997</v>
      </c>
      <c r="AB6732">
        <v>18</v>
      </c>
      <c r="AC6732">
        <v>0.65170000000000505</v>
      </c>
      <c r="AD6732">
        <v>-0.14659139999999901</v>
      </c>
      <c r="AE6732">
        <v>8.6700000000007493E-2</v>
      </c>
      <c r="AF6732">
        <v>0.16998864808369199</v>
      </c>
      <c r="AG6732">
        <v>-0.14659139999999901</v>
      </c>
      <c r="AH6732">
        <v>0.60279403754385297</v>
      </c>
      <c r="AI6732">
        <v>103.173385663755</v>
      </c>
      <c r="AJ6732">
        <v>74.251483866056901</v>
      </c>
      <c r="AK6732">
        <v>0.64323077563942899</v>
      </c>
      <c r="AL6732">
        <v>91.337776868345998</v>
      </c>
      <c r="AM6732">
        <v>82.499717749386207</v>
      </c>
      <c r="AN6732">
        <v>1.0000000161957801</v>
      </c>
    </row>
    <row r="6733" spans="1:40" x14ac:dyDescent="0.3">
      <c r="A6733" t="str">
        <f>"20200111160642963"</f>
        <v>20200111160642963</v>
      </c>
      <c r="B6733" t="str">
        <f>"1578730002959083"</f>
        <v>1578730002959083</v>
      </c>
      <c r="C6733" t="s">
        <v>40</v>
      </c>
      <c r="D6733">
        <v>5.430148</v>
      </c>
      <c r="E6733">
        <v>0.55402940000000001</v>
      </c>
      <c r="F6733" t="s">
        <v>42</v>
      </c>
      <c r="G6733">
        <v>-175.40690000000001</v>
      </c>
      <c r="H6733">
        <v>0.95696170000000003</v>
      </c>
      <c r="I6733">
        <v>132.87100000000001</v>
      </c>
      <c r="J6733">
        <v>-176.12450000000001</v>
      </c>
      <c r="K6733">
        <v>1.1056539999999999</v>
      </c>
      <c r="L6733">
        <v>132.7861</v>
      </c>
      <c r="M6733">
        <v>0.92041550000000005</v>
      </c>
      <c r="N6733">
        <v>0</v>
      </c>
      <c r="O6733">
        <v>0.39066129999999999</v>
      </c>
      <c r="P6733">
        <v>0.96227790000000002</v>
      </c>
      <c r="Q6733">
        <v>-3.5662480000000003E-2</v>
      </c>
      <c r="R6733">
        <v>0.2697214</v>
      </c>
      <c r="S6733">
        <v>2.976318</v>
      </c>
      <c r="T6733">
        <v>-0.54477469999999995</v>
      </c>
      <c r="U6733">
        <v>0.43484499999999998</v>
      </c>
      <c r="V6733">
        <v>0.1274169</v>
      </c>
      <c r="W6733">
        <v>-2.2546380000000001E-2</v>
      </c>
      <c r="X6733">
        <v>0.9915929</v>
      </c>
      <c r="Y6733">
        <v>0.243613</v>
      </c>
      <c r="Z6733">
        <v>-9.0596179999999998E-2</v>
      </c>
      <c r="AA6733">
        <v>0.96563200000000005</v>
      </c>
      <c r="AB6733">
        <v>18</v>
      </c>
      <c r="AC6733">
        <v>0.71760000000000401</v>
      </c>
      <c r="AD6733">
        <v>-0.1486923</v>
      </c>
      <c r="AE6733">
        <v>8.4900000000004597E-2</v>
      </c>
      <c r="AF6733">
        <v>0.19400287993404999</v>
      </c>
      <c r="AG6733">
        <v>-0.1486923</v>
      </c>
      <c r="AH6733">
        <v>0.66555223239501504</v>
      </c>
      <c r="AI6733">
        <v>102.10570266318901</v>
      </c>
      <c r="AJ6733">
        <v>73.749040320457894</v>
      </c>
      <c r="AK6733">
        <v>0.70901783584616795</v>
      </c>
      <c r="AL6733">
        <v>91.291921963141107</v>
      </c>
      <c r="AM6733">
        <v>82.677777837880498</v>
      </c>
      <c r="AN6733">
        <v>0.99999994249355995</v>
      </c>
    </row>
    <row r="6734" spans="1:40" x14ac:dyDescent="0.3">
      <c r="A6734" t="str">
        <f>"20200111160642977"</f>
        <v>20200111160642977</v>
      </c>
      <c r="B6734" t="str">
        <f>"1578730002969819"</f>
        <v>1578730002969819</v>
      </c>
      <c r="C6734" t="s">
        <v>40</v>
      </c>
      <c r="D6734">
        <v>5.2901910000000001</v>
      </c>
      <c r="E6734">
        <v>0.55547469999999999</v>
      </c>
      <c r="F6734" t="s">
        <v>42</v>
      </c>
      <c r="G6734">
        <v>-175.25290000000001</v>
      </c>
      <c r="H6734">
        <v>0.9497546</v>
      </c>
      <c r="I6734">
        <v>132.90819999999999</v>
      </c>
      <c r="J6734">
        <v>-176.01589999999999</v>
      </c>
      <c r="K6734">
        <v>1.1057049999999999</v>
      </c>
      <c r="L6734">
        <v>132.8237</v>
      </c>
      <c r="M6734">
        <v>0.92296920000000005</v>
      </c>
      <c r="N6734">
        <v>0</v>
      </c>
      <c r="O6734">
        <v>0.38458199999999998</v>
      </c>
      <c r="P6734">
        <v>0.9635939</v>
      </c>
      <c r="Q6734">
        <v>-3.4743419999999997E-2</v>
      </c>
      <c r="R6734">
        <v>0.26510339999999999</v>
      </c>
      <c r="S6734">
        <v>2.9807589999999999</v>
      </c>
      <c r="T6734">
        <v>-0.53283879999999995</v>
      </c>
      <c r="U6734">
        <v>0.41780089999999998</v>
      </c>
      <c r="V6734">
        <v>0.1256612</v>
      </c>
      <c r="W6734">
        <v>-2.1412130000000001E-2</v>
      </c>
      <c r="X6734">
        <v>0.99184209999999995</v>
      </c>
      <c r="Y6734">
        <v>0.24337590000000001</v>
      </c>
      <c r="Z6734">
        <v>-8.7557380000000004E-2</v>
      </c>
      <c r="AA6734">
        <v>0.96597189999999999</v>
      </c>
      <c r="AB6734">
        <v>18</v>
      </c>
      <c r="AC6734">
        <v>0.76299999999997603</v>
      </c>
      <c r="AD6734">
        <v>-0.15595039999999899</v>
      </c>
      <c r="AE6734">
        <v>8.4499999999991304E-2</v>
      </c>
      <c r="AF6734">
        <v>0.20692947462970401</v>
      </c>
      <c r="AG6734">
        <v>-0.15595039999999899</v>
      </c>
      <c r="AH6734">
        <v>0.70760294984160799</v>
      </c>
      <c r="AI6734">
        <v>101.943875092402</v>
      </c>
      <c r="AJ6734">
        <v>73.699112968334006</v>
      </c>
      <c r="AK6734">
        <v>0.75355309657331404</v>
      </c>
      <c r="AL6734">
        <v>91.226918464092805</v>
      </c>
      <c r="AM6734">
        <v>82.779394788097093</v>
      </c>
      <c r="AN6734">
        <v>0.99999998391449296</v>
      </c>
    </row>
    <row r="6735" spans="1:40" x14ac:dyDescent="0.3">
      <c r="A6735" t="str">
        <f>"20200111160642993"</f>
        <v>20200111160642993</v>
      </c>
      <c r="B6735" t="str">
        <f>"1578730002989340"</f>
        <v>1578730002989340</v>
      </c>
      <c r="C6735" t="s">
        <v>40</v>
      </c>
      <c r="D6735">
        <v>5.5059849999999999</v>
      </c>
      <c r="E6735">
        <v>0.55622669999999996</v>
      </c>
      <c r="F6735" t="s">
        <v>42</v>
      </c>
      <c r="G6735">
        <v>-175.24889999999999</v>
      </c>
      <c r="H6735">
        <v>0.97221979999999997</v>
      </c>
      <c r="I6735">
        <v>132.92420000000001</v>
      </c>
      <c r="J6735">
        <v>-175.9032</v>
      </c>
      <c r="K6735">
        <v>1.1057459999999999</v>
      </c>
      <c r="L6735">
        <v>132.86199999999999</v>
      </c>
      <c r="M6735">
        <v>0.92558379999999996</v>
      </c>
      <c r="N6735">
        <v>0</v>
      </c>
      <c r="O6735">
        <v>0.37823859999999998</v>
      </c>
      <c r="P6735">
        <v>0.96488739999999995</v>
      </c>
      <c r="Q6735">
        <v>-3.3396589999999997E-2</v>
      </c>
      <c r="R6735">
        <v>0.26053290000000001</v>
      </c>
      <c r="S6735">
        <v>2.9869379999999999</v>
      </c>
      <c r="T6735">
        <v>-0.51949719999999999</v>
      </c>
      <c r="U6735">
        <v>0.39138790000000001</v>
      </c>
      <c r="V6735">
        <v>0.1235941</v>
      </c>
      <c r="W6735">
        <v>-1.9845439999999999E-2</v>
      </c>
      <c r="X6735">
        <v>0.99213439999999997</v>
      </c>
      <c r="Y6735">
        <v>0.24592320000000001</v>
      </c>
      <c r="Z6735">
        <v>-8.4512199999999996E-2</v>
      </c>
      <c r="AA6735">
        <v>0.96559799999999996</v>
      </c>
      <c r="AB6735">
        <v>18</v>
      </c>
      <c r="AC6735">
        <v>0.65430000000000599</v>
      </c>
      <c r="AD6735">
        <v>-0.13352619999999901</v>
      </c>
      <c r="AE6735">
        <v>6.22000000000184E-2</v>
      </c>
      <c r="AF6735">
        <v>0.18240361692277501</v>
      </c>
      <c r="AG6735">
        <v>-0.13352619999999901</v>
      </c>
      <c r="AH6735">
        <v>0.60426804556273095</v>
      </c>
      <c r="AI6735">
        <v>101.94448478421</v>
      </c>
      <c r="AJ6735">
        <v>73.203099005559096</v>
      </c>
      <c r="AK6735">
        <v>0.64516679737967997</v>
      </c>
      <c r="AL6735">
        <v>91.137134598620094</v>
      </c>
      <c r="AM6735">
        <v>82.899020289921097</v>
      </c>
      <c r="AN6735">
        <v>1.0000000053534801</v>
      </c>
    </row>
    <row r="6736" spans="1:40" x14ac:dyDescent="0.3">
      <c r="A6736" t="str">
        <f>"20200111160643009"</f>
        <v>20200111160643009</v>
      </c>
      <c r="B6736" t="str">
        <f>"1578730002999099"</f>
        <v>1578730002999099</v>
      </c>
      <c r="C6736" t="s">
        <v>40</v>
      </c>
      <c r="D6736">
        <v>5.3609059999999999</v>
      </c>
      <c r="E6736">
        <v>0.55613199999999996</v>
      </c>
      <c r="F6736" t="s">
        <v>42</v>
      </c>
      <c r="G6736">
        <v>-175.0943</v>
      </c>
      <c r="H6736">
        <v>0.96922830000000004</v>
      </c>
      <c r="I6736">
        <v>132.9622</v>
      </c>
      <c r="J6736">
        <v>-175.78</v>
      </c>
      <c r="K6736">
        <v>1.1057729999999999</v>
      </c>
      <c r="L6736">
        <v>132.90289999999999</v>
      </c>
      <c r="M6736">
        <v>0.92839249999999995</v>
      </c>
      <c r="N6736">
        <v>0</v>
      </c>
      <c r="O6736">
        <v>0.37128250000000002</v>
      </c>
      <c r="P6736">
        <v>0.96578799999999998</v>
      </c>
      <c r="Q6736">
        <v>-3.1069940000000001E-2</v>
      </c>
      <c r="R6736">
        <v>0.25746520000000001</v>
      </c>
      <c r="S6736">
        <v>2.991638</v>
      </c>
      <c r="T6736">
        <v>-0.50450980000000001</v>
      </c>
      <c r="U6736">
        <v>0.37063600000000002</v>
      </c>
      <c r="V6736">
        <v>0.1193637</v>
      </c>
      <c r="W6736">
        <v>-1.72555E-2</v>
      </c>
      <c r="X6736">
        <v>0.99270060000000004</v>
      </c>
      <c r="Y6736">
        <v>0.2460522</v>
      </c>
      <c r="Z6736">
        <v>-8.0970790000000001E-2</v>
      </c>
      <c r="AA6736">
        <v>0.96586850000000002</v>
      </c>
      <c r="AB6736">
        <v>18</v>
      </c>
      <c r="AC6736">
        <v>0.68569999999999698</v>
      </c>
      <c r="AD6736">
        <v>-0.13654469999999899</v>
      </c>
      <c r="AE6736">
        <v>5.9300000000007402E-2</v>
      </c>
      <c r="AF6736">
        <v>0.192001346645395</v>
      </c>
      <c r="AG6736">
        <v>-0.13654469999999899</v>
      </c>
      <c r="AH6736">
        <v>0.63374990076752902</v>
      </c>
      <c r="AI6736">
        <v>101.65108424617701</v>
      </c>
      <c r="AJ6736">
        <v>73.145251118579907</v>
      </c>
      <c r="AK6736">
        <v>0.67612713962285798</v>
      </c>
      <c r="AL6736">
        <v>90.988716429343896</v>
      </c>
      <c r="AM6736">
        <v>83.143592682449807</v>
      </c>
      <c r="AN6736">
        <v>0.99999996319914897</v>
      </c>
    </row>
    <row r="6737" spans="1:40" x14ac:dyDescent="0.3">
      <c r="A6737" t="str">
        <f>"20200111160643025"</f>
        <v>20200111160643025</v>
      </c>
      <c r="B6737" t="str">
        <f>"1578730003019595"</f>
        <v>1578730003019595</v>
      </c>
      <c r="C6737" t="s">
        <v>40</v>
      </c>
      <c r="D6737">
        <v>5.4077699999999904</v>
      </c>
      <c r="E6737">
        <v>0.55604049999999905</v>
      </c>
      <c r="F6737" t="s">
        <v>42</v>
      </c>
      <c r="G6737">
        <v>-174.94220000000001</v>
      </c>
      <c r="H6737">
        <v>0.96688470000000004</v>
      </c>
      <c r="I6737">
        <v>133.00399999999999</v>
      </c>
      <c r="J6737">
        <v>-175.65430000000001</v>
      </c>
      <c r="K6737">
        <v>1.1057939999999999</v>
      </c>
      <c r="L6737">
        <v>132.9435</v>
      </c>
      <c r="M6737">
        <v>0.9312068</v>
      </c>
      <c r="N6737">
        <v>0</v>
      </c>
      <c r="O6737">
        <v>0.36415700000000001</v>
      </c>
      <c r="P6737">
        <v>0.96722609999999998</v>
      </c>
      <c r="Q6737">
        <v>-3.026011E-2</v>
      </c>
      <c r="R6737">
        <v>0.25210759999999999</v>
      </c>
      <c r="S6737">
        <v>2.9939580000000001</v>
      </c>
      <c r="T6737">
        <v>-0.49578990000000001</v>
      </c>
      <c r="U6737">
        <v>0.36151119999999998</v>
      </c>
      <c r="V6737">
        <v>0.1172822</v>
      </c>
      <c r="W6737">
        <v>-1.62062E-2</v>
      </c>
      <c r="X6737">
        <v>0.99296640000000003</v>
      </c>
      <c r="Y6737">
        <v>0.2420563</v>
      </c>
      <c r="Z6737">
        <v>-7.8137319999999996E-2</v>
      </c>
      <c r="AA6737">
        <v>0.96711080000000005</v>
      </c>
      <c r="AB6737">
        <v>18</v>
      </c>
      <c r="AC6737">
        <v>0.71209999999999196</v>
      </c>
      <c r="AD6737">
        <v>-0.13890929999999899</v>
      </c>
      <c r="AE6737">
        <v>6.0499999999990402E-2</v>
      </c>
      <c r="AF6737">
        <v>0.19561274589717001</v>
      </c>
      <c r="AG6737">
        <v>-0.13890929999999899</v>
      </c>
      <c r="AH6737">
        <v>0.66028213703274097</v>
      </c>
      <c r="AI6737">
        <v>101.40426862560901</v>
      </c>
      <c r="AJ6737">
        <v>73.497745071142901</v>
      </c>
      <c r="AK6737">
        <v>0.702518783000458</v>
      </c>
      <c r="AL6737">
        <v>90.928587499999693</v>
      </c>
      <c r="AM6737">
        <v>83.263834910918206</v>
      </c>
      <c r="AN6737">
        <v>1.0000000134421201</v>
      </c>
    </row>
    <row r="6738" spans="1:40" x14ac:dyDescent="0.3">
      <c r="A6738" t="str">
        <f>"20200111160643040"</f>
        <v>20200111160643040</v>
      </c>
      <c r="B6738" t="str">
        <f>"1578730003029356"</f>
        <v>1578730003029356</v>
      </c>
      <c r="C6738" t="s">
        <v>40</v>
      </c>
      <c r="D6738">
        <v>5.389227</v>
      </c>
      <c r="E6738">
        <v>0.55572440000000001</v>
      </c>
      <c r="F6738" t="s">
        <v>42</v>
      </c>
      <c r="G6738">
        <v>-174.79050000000001</v>
      </c>
      <c r="H6738">
        <v>0.96387109999999998</v>
      </c>
      <c r="I6738">
        <v>133.04300000000001</v>
      </c>
      <c r="J6738">
        <v>-175.54169999999999</v>
      </c>
      <c r="K6738">
        <v>1.1058190000000001</v>
      </c>
      <c r="L6738">
        <v>132.9787</v>
      </c>
      <c r="M6738">
        <v>0.93368240000000002</v>
      </c>
      <c r="N6738">
        <v>0</v>
      </c>
      <c r="O6738">
        <v>0.35775279999999998</v>
      </c>
      <c r="P6738">
        <v>0.96855530000000001</v>
      </c>
      <c r="Q6738">
        <v>-2.9254539999999999E-2</v>
      </c>
      <c r="R6738">
        <v>0.24707280000000001</v>
      </c>
      <c r="S6738">
        <v>2.9962460000000002</v>
      </c>
      <c r="T6738">
        <v>-0.49200060000000001</v>
      </c>
      <c r="U6738">
        <v>0.3453522</v>
      </c>
      <c r="V6738">
        <v>0.1156552</v>
      </c>
      <c r="W6738">
        <v>-1.4969919999999999E-2</v>
      </c>
      <c r="X6738">
        <v>0.99317659999999997</v>
      </c>
      <c r="Y6738">
        <v>0.24085129999999999</v>
      </c>
      <c r="Z6738">
        <v>-7.6456949999999996E-2</v>
      </c>
      <c r="AA6738">
        <v>0.96754589999999996</v>
      </c>
      <c r="AB6738">
        <v>17</v>
      </c>
      <c r="AC6738">
        <v>0.75119999999998199</v>
      </c>
      <c r="AD6738">
        <v>-0.14194789999999999</v>
      </c>
      <c r="AE6738">
        <v>6.4300000000002897E-2</v>
      </c>
      <c r="AF6738">
        <v>0.20158857027590399</v>
      </c>
      <c r="AG6738">
        <v>-0.14194789999999999</v>
      </c>
      <c r="AH6738">
        <v>0.69967511990884201</v>
      </c>
      <c r="AI6738">
        <v>101.03126927268799</v>
      </c>
      <c r="AJ6738">
        <v>73.927388789454795</v>
      </c>
      <c r="AK6738">
        <v>0.74184394005730403</v>
      </c>
      <c r="AL6738">
        <v>90.857745281726807</v>
      </c>
      <c r="AM6738">
        <v>83.357834885550801</v>
      </c>
      <c r="AN6738">
        <v>0.99999999128970296</v>
      </c>
    </row>
    <row r="6739" spans="1:40" x14ac:dyDescent="0.3">
      <c r="A6739" t="str">
        <f>"20200111160643054"</f>
        <v>20200111160643054</v>
      </c>
      <c r="B6739" t="str">
        <f>"1578730003049851"</f>
        <v>1578730003049851</v>
      </c>
      <c r="C6739" t="s">
        <v>40</v>
      </c>
      <c r="D6739">
        <v>5.4100359999999998</v>
      </c>
      <c r="E6739">
        <v>0.55530440000000003</v>
      </c>
      <c r="F6739" t="s">
        <v>42</v>
      </c>
      <c r="G6739">
        <v>-174.7893</v>
      </c>
      <c r="H6739">
        <v>0.98251659999999996</v>
      </c>
      <c r="I6739">
        <v>133.06209999999999</v>
      </c>
      <c r="J6739">
        <v>-175.43599999999901</v>
      </c>
      <c r="K6739">
        <v>1.1058669999999999</v>
      </c>
      <c r="L6739">
        <v>133.011</v>
      </c>
      <c r="M6739">
        <v>0.93597540000000001</v>
      </c>
      <c r="N6739">
        <v>0</v>
      </c>
      <c r="O6739">
        <v>0.35170050000000003</v>
      </c>
      <c r="P6739">
        <v>0.96950179999999997</v>
      </c>
      <c r="Q6739">
        <v>-2.7011609999999998E-2</v>
      </c>
      <c r="R6739">
        <v>0.24359149999999999</v>
      </c>
      <c r="S6739">
        <v>2.9977870000000002</v>
      </c>
      <c r="T6739">
        <v>-0.4908998</v>
      </c>
      <c r="U6739">
        <v>0.33235170000000003</v>
      </c>
      <c r="V6739">
        <v>0.1128484</v>
      </c>
      <c r="W6739">
        <v>-1.247295E-2</v>
      </c>
      <c r="X6739">
        <v>0.99353389999999997</v>
      </c>
      <c r="Y6739">
        <v>0.23891109999999999</v>
      </c>
      <c r="Z6739">
        <v>-7.520143E-2</v>
      </c>
      <c r="AA6739">
        <v>0.96812509999999996</v>
      </c>
      <c r="AB6739">
        <v>17</v>
      </c>
      <c r="AC6739">
        <v>0.64669999999998096</v>
      </c>
      <c r="AD6739">
        <v>-0.123350399999999</v>
      </c>
      <c r="AE6739">
        <v>5.1099999999991E-2</v>
      </c>
      <c r="AF6739">
        <v>0.17337114825154701</v>
      </c>
      <c r="AG6739">
        <v>-0.123350399999999</v>
      </c>
      <c r="AH6739">
        <v>0.60159632211825997</v>
      </c>
      <c r="AI6739">
        <v>101.14568137680099</v>
      </c>
      <c r="AJ6739">
        <v>73.923802209511905</v>
      </c>
      <c r="AK6739">
        <v>0.63811520199133098</v>
      </c>
      <c r="AL6739">
        <v>90.714665943709605</v>
      </c>
      <c r="AM6739">
        <v>83.5199540216678</v>
      </c>
      <c r="AN6739">
        <v>0.99999997315673494</v>
      </c>
    </row>
    <row r="6740" spans="1:40" x14ac:dyDescent="0.3">
      <c r="A6740" t="str">
        <f>"20200111160643068"</f>
        <v>20200111160643068</v>
      </c>
      <c r="B6740" t="str">
        <f>"1578730003059611"</f>
        <v>1578730003059611</v>
      </c>
      <c r="C6740" t="s">
        <v>40</v>
      </c>
      <c r="D6740">
        <v>5.4185239999999997</v>
      </c>
      <c r="E6740">
        <v>0.55516069999999995</v>
      </c>
      <c r="F6740" t="s">
        <v>42</v>
      </c>
      <c r="G6740">
        <v>-174.6387</v>
      </c>
      <c r="H6740">
        <v>0.97660480000000005</v>
      </c>
      <c r="I6740">
        <v>133.09719999999999</v>
      </c>
      <c r="J6740">
        <v>-175.3322</v>
      </c>
      <c r="K6740">
        <v>1.1059110000000001</v>
      </c>
      <c r="L6740">
        <v>133.042</v>
      </c>
      <c r="M6740">
        <v>0.93819419999999998</v>
      </c>
      <c r="N6740">
        <v>0</v>
      </c>
      <c r="O6740">
        <v>0.34572779999999997</v>
      </c>
      <c r="P6740">
        <v>0.97084890000000001</v>
      </c>
      <c r="Q6740">
        <v>-2.6100450000000001E-2</v>
      </c>
      <c r="R6740">
        <v>0.23826720000000001</v>
      </c>
      <c r="S6740">
        <v>2.9991759999999998</v>
      </c>
      <c r="T6740">
        <v>-0.48561389999999999</v>
      </c>
      <c r="U6740">
        <v>0.32496639999999999</v>
      </c>
      <c r="V6740">
        <v>0.11199290000000001</v>
      </c>
      <c r="W6740">
        <v>-1.1330730000000001E-2</v>
      </c>
      <c r="X6740">
        <v>0.99364439999999998</v>
      </c>
      <c r="Y6740">
        <v>0.23541419999999999</v>
      </c>
      <c r="Z6740">
        <v>-7.3203409999999997E-2</v>
      </c>
      <c r="AA6740">
        <v>0.9691343</v>
      </c>
      <c r="AB6740">
        <v>17</v>
      </c>
      <c r="AC6740">
        <v>0.69350000000000001</v>
      </c>
      <c r="AD6740">
        <v>-0.12930620000000001</v>
      </c>
      <c r="AE6740">
        <v>5.5199999999984997E-2</v>
      </c>
      <c r="AF6740">
        <v>0.1817209149056</v>
      </c>
      <c r="AG6740">
        <v>-0.12930620000000001</v>
      </c>
      <c r="AH6740">
        <v>0.64744340357962404</v>
      </c>
      <c r="AI6740">
        <v>100.88442113856</v>
      </c>
      <c r="AJ6740">
        <v>74.321918364127697</v>
      </c>
      <c r="AK6740">
        <v>0.68478138490421703</v>
      </c>
      <c r="AL6740">
        <v>90.649216903628002</v>
      </c>
      <c r="AM6740">
        <v>83.569375103679604</v>
      </c>
      <c r="AN6740">
        <v>0.999999994372051</v>
      </c>
    </row>
    <row r="6741" spans="1:40" x14ac:dyDescent="0.3">
      <c r="A6741" t="str">
        <f>"20200111160643082"</f>
        <v>20200111160643082</v>
      </c>
      <c r="B6741" t="str">
        <f>"1578730003079131"</f>
        <v>1578730003079131</v>
      </c>
      <c r="C6741" t="s">
        <v>40</v>
      </c>
      <c r="D6741">
        <v>5.3757479999999997</v>
      </c>
      <c r="E6741">
        <v>0.55500909999999903</v>
      </c>
      <c r="F6741" t="s">
        <v>42</v>
      </c>
      <c r="G6741">
        <v>-174.48849999999999</v>
      </c>
      <c r="H6741">
        <v>0.96978529999999996</v>
      </c>
      <c r="I6741">
        <v>133.12899999999999</v>
      </c>
      <c r="J6741">
        <v>-175.22380000000001</v>
      </c>
      <c r="K6741">
        <v>1.105961</v>
      </c>
      <c r="L6741">
        <v>133.0735</v>
      </c>
      <c r="M6741">
        <v>0.94048019999999999</v>
      </c>
      <c r="N6741">
        <v>0</v>
      </c>
      <c r="O6741">
        <v>0.33944879999999999</v>
      </c>
      <c r="P6741">
        <v>0.97215649999999998</v>
      </c>
      <c r="Q6741">
        <v>-2.5524990000000001E-2</v>
      </c>
      <c r="R6741">
        <v>0.23293810000000001</v>
      </c>
      <c r="S6741">
        <v>3.0010219999999999</v>
      </c>
      <c r="T6741">
        <v>-0.48413260000000002</v>
      </c>
      <c r="U6741">
        <v>0.3097992</v>
      </c>
      <c r="V6741">
        <v>0.11081870000000001</v>
      </c>
      <c r="W6741">
        <v>-1.050296E-2</v>
      </c>
      <c r="X6741">
        <v>0.99378509999999998</v>
      </c>
      <c r="Y6741">
        <v>0.23397399999999999</v>
      </c>
      <c r="Z6741">
        <v>-7.1908760000000002E-2</v>
      </c>
      <c r="AA6741">
        <v>0.96957990000000005</v>
      </c>
      <c r="AB6741">
        <v>17</v>
      </c>
      <c r="AC6741">
        <v>0.73530000000002305</v>
      </c>
      <c r="AD6741">
        <v>-0.13617569999999901</v>
      </c>
      <c r="AE6741">
        <v>5.5499999999994998E-2</v>
      </c>
      <c r="AF6741">
        <v>0.19091589539356399</v>
      </c>
      <c r="AG6741">
        <v>-0.13617569999999901</v>
      </c>
      <c r="AH6741">
        <v>0.68704026453445299</v>
      </c>
      <c r="AI6741">
        <v>100.811608536073</v>
      </c>
      <c r="AJ6741">
        <v>74.470363020519301</v>
      </c>
      <c r="AK6741">
        <v>0.72595938280043404</v>
      </c>
      <c r="AL6741">
        <v>90.601786368444905</v>
      </c>
      <c r="AM6741">
        <v>83.637135162658794</v>
      </c>
      <c r="AN6741">
        <v>0.99999996071023001</v>
      </c>
    </row>
    <row r="6742" spans="1:40" x14ac:dyDescent="0.3">
      <c r="A6742" t="str">
        <f>"20200111160643096"</f>
        <v>20200111160643096</v>
      </c>
      <c r="B6742" t="str">
        <f>"1578730003089636"</f>
        <v>1578730003089636</v>
      </c>
      <c r="C6742" t="s">
        <v>40</v>
      </c>
      <c r="D6742">
        <v>5.4081349999999997</v>
      </c>
      <c r="E6742">
        <v>0.55507189999999995</v>
      </c>
      <c r="F6742" t="s">
        <v>42</v>
      </c>
      <c r="G6742">
        <v>-174.48650000000001</v>
      </c>
      <c r="H6742">
        <v>0.98725249999999998</v>
      </c>
      <c r="I6742">
        <v>133.14580000000001</v>
      </c>
      <c r="J6742">
        <v>-175.11869999999999</v>
      </c>
      <c r="K6742">
        <v>1.1060110000000001</v>
      </c>
      <c r="L6742">
        <v>133.10310000000001</v>
      </c>
      <c r="M6742">
        <v>0.94267319999999999</v>
      </c>
      <c r="N6742">
        <v>0</v>
      </c>
      <c r="O6742">
        <v>0.33329890000000001</v>
      </c>
      <c r="P6742">
        <v>0.97352280000000002</v>
      </c>
      <c r="Q6742">
        <v>-2.466424E-2</v>
      </c>
      <c r="R6742">
        <v>0.2272557</v>
      </c>
      <c r="S6742">
        <v>3.0027010000000001</v>
      </c>
      <c r="T6742">
        <v>-0.48333789999999999</v>
      </c>
      <c r="U6742">
        <v>0.29437259999999998</v>
      </c>
      <c r="V6742">
        <v>0.11015519999999999</v>
      </c>
      <c r="W6742">
        <v>-9.4021279999999992E-3</v>
      </c>
      <c r="X6742">
        <v>0.99386989999999997</v>
      </c>
      <c r="Y6742">
        <v>0.23273350000000001</v>
      </c>
      <c r="Z6742">
        <v>-7.0756390000000002E-2</v>
      </c>
      <c r="AA6742">
        <v>0.96996329999999997</v>
      </c>
      <c r="AB6742">
        <v>17</v>
      </c>
      <c r="AC6742">
        <v>0.632199999999983</v>
      </c>
      <c r="AD6742">
        <v>-0.1187585</v>
      </c>
      <c r="AE6742">
        <v>4.2699999999996401E-2</v>
      </c>
      <c r="AF6742">
        <v>0.16469783374595201</v>
      </c>
      <c r="AG6742">
        <v>-0.1187585</v>
      </c>
      <c r="AH6742">
        <v>0.58956523935264205</v>
      </c>
      <c r="AI6742">
        <v>100.979343491435</v>
      </c>
      <c r="AJ6742">
        <v>74.392043117130896</v>
      </c>
      <c r="AK6742">
        <v>0.62355122421160902</v>
      </c>
      <c r="AL6742">
        <v>90.538710204523596</v>
      </c>
      <c r="AM6742">
        <v>83.675456894009898</v>
      </c>
      <c r="AN6742">
        <v>0.99999997311198796</v>
      </c>
    </row>
    <row r="6743" spans="1:40" x14ac:dyDescent="0.3">
      <c r="A6743" t="str">
        <f>"20200111160643109"</f>
        <v>20200111160643109</v>
      </c>
      <c r="B6743" t="str">
        <f>"1578730003099377"</f>
        <v>1578730003099377</v>
      </c>
      <c r="C6743" t="s">
        <v>40</v>
      </c>
      <c r="D6743">
        <v>5.3250400000000004</v>
      </c>
      <c r="E6743">
        <v>0.55519259999999904</v>
      </c>
      <c r="F6743" t="s">
        <v>42</v>
      </c>
      <c r="G6743">
        <v>-174.3365</v>
      </c>
      <c r="H6743">
        <v>0.98088319999999996</v>
      </c>
      <c r="I6743">
        <v>133.17500000000001</v>
      </c>
      <c r="J6743">
        <v>-175.02709999999999</v>
      </c>
      <c r="K6743">
        <v>1.1060559999999999</v>
      </c>
      <c r="L6743">
        <v>133.1284</v>
      </c>
      <c r="M6743">
        <v>0.94455549999999999</v>
      </c>
      <c r="N6743">
        <v>0</v>
      </c>
      <c r="O6743">
        <v>0.32791679999999901</v>
      </c>
      <c r="P6743">
        <v>0.97474439999999996</v>
      </c>
      <c r="Q6743">
        <v>-2.366176E-2</v>
      </c>
      <c r="R6743">
        <v>0.22206699999999999</v>
      </c>
      <c r="S6743">
        <v>3.0049290000000002</v>
      </c>
      <c r="T6743">
        <v>-0.48025180000000001</v>
      </c>
      <c r="U6743">
        <v>0.27627560000000001</v>
      </c>
      <c r="V6743">
        <v>0.109805</v>
      </c>
      <c r="W6743">
        <v>-8.1955459999999997E-3</v>
      </c>
      <c r="X6743">
        <v>0.99391940000000001</v>
      </c>
      <c r="Y6743">
        <v>0.23320379999999999</v>
      </c>
      <c r="Z6743">
        <v>-6.9521059999999996E-2</v>
      </c>
      <c r="AA6743">
        <v>0.96993960000000001</v>
      </c>
      <c r="AB6743">
        <v>17</v>
      </c>
      <c r="AC6743">
        <v>0.690599999999989</v>
      </c>
      <c r="AD6743">
        <v>-0.125172799999999</v>
      </c>
      <c r="AE6743">
        <v>4.6600000000012097E-2</v>
      </c>
      <c r="AF6743">
        <v>0.17669070411049301</v>
      </c>
      <c r="AG6743">
        <v>-0.125172799999999</v>
      </c>
      <c r="AH6743">
        <v>0.64654209346304703</v>
      </c>
      <c r="AI6743">
        <v>100.57842158192901</v>
      </c>
      <c r="AJ6743">
        <v>74.7151054390242</v>
      </c>
      <c r="AK6743">
        <v>0.68183906708143505</v>
      </c>
      <c r="AL6743">
        <v>90.469575434888597</v>
      </c>
      <c r="AM6743">
        <v>83.695712867088901</v>
      </c>
      <c r="AN6743">
        <v>1.0000000393477899</v>
      </c>
    </row>
    <row r="6744" spans="1:40" x14ac:dyDescent="0.3">
      <c r="A6744" t="str">
        <f>"20200111160643124"</f>
        <v>20200111160643124</v>
      </c>
      <c r="B6744" t="str">
        <f>"1578730003119873"</f>
        <v>1578730003119873</v>
      </c>
      <c r="C6744" t="s">
        <v>40</v>
      </c>
      <c r="D6744">
        <v>5.3708629999999999</v>
      </c>
      <c r="E6744">
        <v>0.55515709999999996</v>
      </c>
      <c r="F6744" t="s">
        <v>42</v>
      </c>
      <c r="G6744">
        <v>-174.18719999999999</v>
      </c>
      <c r="H6744">
        <v>0.97305430000000004</v>
      </c>
      <c r="I6744">
        <v>133.20060000000001</v>
      </c>
      <c r="J6744">
        <v>-174.91200000000001</v>
      </c>
      <c r="K6744">
        <v>1.1061099999999999</v>
      </c>
      <c r="L6744">
        <v>133.15940000000001</v>
      </c>
      <c r="M6744">
        <v>0.94688620000000001</v>
      </c>
      <c r="N6744">
        <v>0</v>
      </c>
      <c r="O6744">
        <v>0.32111190000000001</v>
      </c>
      <c r="P6744">
        <v>0.97633829999999999</v>
      </c>
      <c r="Q6744">
        <v>-2.334056E-2</v>
      </c>
      <c r="R6744">
        <v>0.2149856</v>
      </c>
      <c r="S6744">
        <v>3.0071870000000001</v>
      </c>
      <c r="T6744">
        <v>-0.47607250000000001</v>
      </c>
      <c r="U6744">
        <v>0.25885010000000003</v>
      </c>
      <c r="V6744">
        <v>0.1098793</v>
      </c>
      <c r="W6744">
        <v>-7.6291509999999998E-3</v>
      </c>
      <c r="X6744">
        <v>0.99391569999999996</v>
      </c>
      <c r="Y6744">
        <v>0.232075</v>
      </c>
      <c r="Z6744">
        <v>-6.7798629999999999E-2</v>
      </c>
      <c r="AA6744">
        <v>0.97033210000000003</v>
      </c>
      <c r="AB6744">
        <v>17</v>
      </c>
      <c r="AC6744">
        <v>0.72480000000001599</v>
      </c>
      <c r="AD6744">
        <v>-0.1330557</v>
      </c>
      <c r="AE6744">
        <v>4.1200000000003401E-2</v>
      </c>
      <c r="AF6744">
        <v>0.187461529772567</v>
      </c>
      <c r="AG6744">
        <v>-0.1330557</v>
      </c>
      <c r="AH6744">
        <v>0.67689764989999901</v>
      </c>
      <c r="AI6744">
        <v>100.726804258307</v>
      </c>
      <c r="AJ6744">
        <v>74.5203437793608</v>
      </c>
      <c r="AK6744">
        <v>0.71486787092951898</v>
      </c>
      <c r="AL6744">
        <v>90.437122375823506</v>
      </c>
      <c r="AM6744">
        <v>83.691458131836995</v>
      </c>
      <c r="AN6744">
        <v>1.0000000416099699</v>
      </c>
    </row>
    <row r="6745" spans="1:40" x14ac:dyDescent="0.3">
      <c r="A6745" t="str">
        <f>"20200111160643142"</f>
        <v>20200111160643142</v>
      </c>
      <c r="B6745" t="str">
        <f>"1578730003139393"</f>
        <v>1578730003139393</v>
      </c>
      <c r="C6745" t="s">
        <v>40</v>
      </c>
      <c r="D6745">
        <v>5.4199989999999998</v>
      </c>
      <c r="E6745">
        <v>0.55492209999999997</v>
      </c>
      <c r="F6745" t="s">
        <v>42</v>
      </c>
      <c r="G6745">
        <v>-174.03870000000001</v>
      </c>
      <c r="H6745">
        <v>0.96836100000000003</v>
      </c>
      <c r="I6745">
        <v>133.22819999999999</v>
      </c>
      <c r="J6745">
        <v>-174.77379999999999</v>
      </c>
      <c r="K6745">
        <v>1.106174</v>
      </c>
      <c r="L6745">
        <v>133.1952</v>
      </c>
      <c r="M6745">
        <v>0.94962500000000005</v>
      </c>
      <c r="N6745">
        <v>0</v>
      </c>
      <c r="O6745">
        <v>0.31290390000000001</v>
      </c>
      <c r="P6745">
        <v>0.97833610000000004</v>
      </c>
      <c r="Q6745">
        <v>-2.3322949999999999E-2</v>
      </c>
      <c r="R6745">
        <v>0.20570569999999999</v>
      </c>
      <c r="S6745">
        <v>3.009125</v>
      </c>
      <c r="T6745">
        <v>-0.4745779</v>
      </c>
      <c r="U6745">
        <v>0.23713680000000001</v>
      </c>
      <c r="V6745">
        <v>0.110719</v>
      </c>
      <c r="W6745">
        <v>-7.3303530000000004E-3</v>
      </c>
      <c r="X6745">
        <v>0.99382470000000001</v>
      </c>
      <c r="Y6745">
        <v>0.23082849999999999</v>
      </c>
      <c r="Z6745">
        <v>-6.6258419999999998E-2</v>
      </c>
      <c r="AA6745">
        <v>0.97073580000000004</v>
      </c>
      <c r="AB6745">
        <v>17</v>
      </c>
      <c r="AC6745">
        <v>0.73509999999998799</v>
      </c>
      <c r="AD6745">
        <v>-0.13781299999999899</v>
      </c>
      <c r="AE6745">
        <v>3.2999999999986998E-2</v>
      </c>
      <c r="AF6745">
        <v>0.19197444495799701</v>
      </c>
      <c r="AG6745">
        <v>-0.13781299999999899</v>
      </c>
      <c r="AH6745">
        <v>0.68449323535406503</v>
      </c>
      <c r="AI6745">
        <v>100.97104253340299</v>
      </c>
      <c r="AJ6745">
        <v>74.333202255150297</v>
      </c>
      <c r="AK6745">
        <v>0.72413921294969696</v>
      </c>
      <c r="AL6745">
        <v>90.420002057975196</v>
      </c>
      <c r="AM6745">
        <v>83.643063974571305</v>
      </c>
      <c r="AN6745">
        <v>0.99999998268309698</v>
      </c>
    </row>
    <row r="6746" spans="1:40" x14ac:dyDescent="0.3">
      <c r="A6746" t="str">
        <f>"20200111160643155"</f>
        <v>20200111160643155</v>
      </c>
      <c r="B6746" t="str">
        <f>"1578730003149153"</f>
        <v>1578730003149153</v>
      </c>
      <c r="C6746" t="s">
        <v>40</v>
      </c>
      <c r="D6746">
        <v>5.4277009999999999</v>
      </c>
      <c r="E6746">
        <v>0.55482469999999995</v>
      </c>
      <c r="F6746" t="s">
        <v>42</v>
      </c>
      <c r="G6746">
        <v>-174.0352</v>
      </c>
      <c r="H6746">
        <v>0.98945159999999999</v>
      </c>
      <c r="I6746">
        <v>133.24680000000001</v>
      </c>
      <c r="J6746">
        <v>-174.6746</v>
      </c>
      <c r="K6746">
        <v>1.106225</v>
      </c>
      <c r="L6746">
        <v>133.22</v>
      </c>
      <c r="M6746">
        <v>0.9515477</v>
      </c>
      <c r="N6746">
        <v>0</v>
      </c>
      <c r="O6746">
        <v>0.30699549999999998</v>
      </c>
      <c r="P6746">
        <v>0.97976719999999895</v>
      </c>
      <c r="Q6746">
        <v>-2.333762E-2</v>
      </c>
      <c r="R6746">
        <v>0.19877539999999999</v>
      </c>
      <c r="S6746">
        <v>3.0108640000000002</v>
      </c>
      <c r="T6746">
        <v>-0.47564400000000001</v>
      </c>
      <c r="U6746">
        <v>0.21035770000000001</v>
      </c>
      <c r="V6746">
        <v>0.11158029999999999</v>
      </c>
      <c r="W6746">
        <v>-7.1453920000000004E-3</v>
      </c>
      <c r="X6746">
        <v>0.99372969999999905</v>
      </c>
      <c r="Y6746">
        <v>0.23342669999999999</v>
      </c>
      <c r="Z6746">
        <v>-6.5724539999999998E-2</v>
      </c>
      <c r="AA6746">
        <v>0.97015059999999997</v>
      </c>
      <c r="AB6746">
        <v>17</v>
      </c>
      <c r="AC6746">
        <v>0.63939999999999397</v>
      </c>
      <c r="AD6746">
        <v>-0.1167734</v>
      </c>
      <c r="AE6746">
        <v>2.6800000000008602E-2</v>
      </c>
      <c r="AF6746">
        <v>0.16531384566350199</v>
      </c>
      <c r="AG6746">
        <v>-0.1167734</v>
      </c>
      <c r="AH6746">
        <v>0.59687006222253203</v>
      </c>
      <c r="AI6746">
        <v>100.67747271155</v>
      </c>
      <c r="AJ6746">
        <v>74.518976787809805</v>
      </c>
      <c r="AK6746">
        <v>0.63025277920303202</v>
      </c>
      <c r="AL6746">
        <v>90.409404301387994</v>
      </c>
      <c r="AM6746">
        <v>83.593414599133595</v>
      </c>
      <c r="AN6746">
        <v>0.99999996831850602</v>
      </c>
    </row>
    <row r="6747" spans="1:40" x14ac:dyDescent="0.3">
      <c r="A6747" t="str">
        <f>"20200111160643170"</f>
        <v>20200111160643170</v>
      </c>
      <c r="B6747" t="str">
        <f>"1578730003159889"</f>
        <v>1578730003159889</v>
      </c>
      <c r="C6747" t="s">
        <v>40</v>
      </c>
      <c r="D6747">
        <v>5.8669909999999996</v>
      </c>
      <c r="E6747">
        <v>0.55480299999999905</v>
      </c>
      <c r="F6747" t="s">
        <v>42</v>
      </c>
      <c r="G6747">
        <v>-173.8877</v>
      </c>
      <c r="H6747">
        <v>0.981846</v>
      </c>
      <c r="I6747">
        <v>133.26949999999999</v>
      </c>
      <c r="J6747">
        <v>-174.56739999999999</v>
      </c>
      <c r="K6747">
        <v>1.1062890000000001</v>
      </c>
      <c r="L6747">
        <v>133.24619999999999</v>
      </c>
      <c r="M6747">
        <v>0.95358509999999996</v>
      </c>
      <c r="N6747">
        <v>0</v>
      </c>
      <c r="O6747">
        <v>0.30059439999999998</v>
      </c>
      <c r="P6747">
        <v>0.98123039999999995</v>
      </c>
      <c r="Q6747">
        <v>-2.3454679999999999E-2</v>
      </c>
      <c r="R6747">
        <v>0.1914072</v>
      </c>
      <c r="S6747">
        <v>3.0121000000000002</v>
      </c>
      <c r="T6747">
        <v>-0.47603879999999998</v>
      </c>
      <c r="U6747">
        <v>0.18975829999999999</v>
      </c>
      <c r="V6747">
        <v>0.1123724</v>
      </c>
      <c r="W6747">
        <v>-7.044636E-3</v>
      </c>
      <c r="X6747">
        <v>0.9936412</v>
      </c>
      <c r="Y6747">
        <v>0.233597</v>
      </c>
      <c r="Z6747">
        <v>-6.4830449999999998E-2</v>
      </c>
      <c r="AA6747">
        <v>0.97016979999999997</v>
      </c>
      <c r="AB6747">
        <v>17</v>
      </c>
      <c r="AC6747">
        <v>0.67969999999999597</v>
      </c>
      <c r="AD6747">
        <v>-0.124442999999999</v>
      </c>
      <c r="AE6747">
        <v>2.3300000000006E-2</v>
      </c>
      <c r="AF6747">
        <v>0.176224343895305</v>
      </c>
      <c r="AG6747">
        <v>-0.124442999999999</v>
      </c>
      <c r="AH6747">
        <v>0.63403206175173499</v>
      </c>
      <c r="AI6747">
        <v>100.70840812321001</v>
      </c>
      <c r="AJ6747">
        <v>74.467136985092793</v>
      </c>
      <c r="AK6747">
        <v>0.66972959838989299</v>
      </c>
      <c r="AL6747">
        <v>90.403631246012196</v>
      </c>
      <c r="AM6747">
        <v>83.547747090926293</v>
      </c>
      <c r="AN6747">
        <v>1.0000000087577801</v>
      </c>
    </row>
    <row r="6748" spans="1:40" x14ac:dyDescent="0.3">
      <c r="A6748" t="str">
        <f>"20200111160643187"</f>
        <v>20200111160643187</v>
      </c>
      <c r="B6748" t="str">
        <f>"1578730003179409"</f>
        <v>1578730003179409</v>
      </c>
      <c r="C6748" t="s">
        <v>40</v>
      </c>
      <c r="D6748">
        <v>5.5361699999999896</v>
      </c>
      <c r="E6748">
        <v>0.55463249999999997</v>
      </c>
      <c r="F6748" t="s">
        <v>42</v>
      </c>
      <c r="G6748">
        <v>-173.74119999999999</v>
      </c>
      <c r="H6748">
        <v>0.97562439999999995</v>
      </c>
      <c r="I6748">
        <v>133.292</v>
      </c>
      <c r="J6748">
        <v>-174.44280000000001</v>
      </c>
      <c r="K6748">
        <v>1.1063719999999999</v>
      </c>
      <c r="L6748">
        <v>133.2756</v>
      </c>
      <c r="M6748">
        <v>0.955897</v>
      </c>
      <c r="N6748">
        <v>0</v>
      </c>
      <c r="O6748">
        <v>0.29314430000000002</v>
      </c>
      <c r="P6748">
        <v>0.98281499999999999</v>
      </c>
      <c r="Q6748">
        <v>-2.3814869999999998E-2</v>
      </c>
      <c r="R6748">
        <v>0.18304999999999999</v>
      </c>
      <c r="S6748">
        <v>3.0133670000000001</v>
      </c>
      <c r="T6748">
        <v>-0.4765238</v>
      </c>
      <c r="U6748">
        <v>0.16723629999999901</v>
      </c>
      <c r="V6748">
        <v>0.11307300000000001</v>
      </c>
      <c r="W6748">
        <v>-7.1470910000000004E-3</v>
      </c>
      <c r="X6748">
        <v>0.99356100000000003</v>
      </c>
      <c r="Y6748">
        <v>0.23334959999999999</v>
      </c>
      <c r="Z6748">
        <v>-6.3753309999999994E-2</v>
      </c>
      <c r="AA6748">
        <v>0.97030070000000002</v>
      </c>
      <c r="AB6748">
        <v>17</v>
      </c>
      <c r="AC6748">
        <v>0.70160000000001299</v>
      </c>
      <c r="AD6748">
        <v>-0.13074759999999899</v>
      </c>
      <c r="AE6748">
        <v>1.6400000000004401E-2</v>
      </c>
      <c r="AF6748">
        <v>0.183649995229967</v>
      </c>
      <c r="AG6748">
        <v>-0.13074759999999899</v>
      </c>
      <c r="AH6748">
        <v>0.65291305714078396</v>
      </c>
      <c r="AI6748">
        <v>100.911181494169</v>
      </c>
      <c r="AJ6748">
        <v>74.289882301911405</v>
      </c>
      <c r="AK6748">
        <v>0.69073708155755698</v>
      </c>
      <c r="AL6748">
        <v>90.409501627226703</v>
      </c>
      <c r="AM6748">
        <v>83.507342517633205</v>
      </c>
      <c r="AN6748">
        <v>1.00000002247988</v>
      </c>
    </row>
    <row r="6749" spans="1:40" x14ac:dyDescent="0.3">
      <c r="A6749" t="str">
        <f>"20200111160643199"</f>
        <v>20200111160643199</v>
      </c>
      <c r="B6749" t="str">
        <f>"1578730003189169"</f>
        <v>1578730003189169</v>
      </c>
      <c r="C6749" t="s">
        <v>40</v>
      </c>
      <c r="D6749">
        <v>5.4440619999999997</v>
      </c>
      <c r="E6749">
        <v>0.55447840000000004</v>
      </c>
      <c r="F6749" t="s">
        <v>42</v>
      </c>
      <c r="G6749">
        <v>-173.59540000000001</v>
      </c>
      <c r="H6749">
        <v>0.97202909999999998</v>
      </c>
      <c r="I6749">
        <v>133.31569999999999</v>
      </c>
      <c r="J6749">
        <v>-174.34700000000001</v>
      </c>
      <c r="K6749">
        <v>1.1064400000000001</v>
      </c>
      <c r="L6749">
        <v>133.29750000000001</v>
      </c>
      <c r="M6749">
        <v>0.95763310000000001</v>
      </c>
      <c r="N6749">
        <v>0</v>
      </c>
      <c r="O6749">
        <v>0.28740959999999899</v>
      </c>
      <c r="P6749">
        <v>0.9842033</v>
      </c>
      <c r="Q6749">
        <v>-2.4105459999999999E-2</v>
      </c>
      <c r="R6749">
        <v>0.17539440000000001</v>
      </c>
      <c r="S6749">
        <v>3.0142519999999999</v>
      </c>
      <c r="T6749">
        <v>-0.47785349999999999</v>
      </c>
      <c r="U6749">
        <v>0.14283750000000001</v>
      </c>
      <c r="V6749">
        <v>0.1148497</v>
      </c>
      <c r="W6749">
        <v>-7.2509929999999998E-3</v>
      </c>
      <c r="X6749">
        <v>0.99335640000000003</v>
      </c>
      <c r="Y6749">
        <v>0.23538410000000001</v>
      </c>
      <c r="Z6749">
        <v>-6.3228179999999995E-2</v>
      </c>
      <c r="AA6749">
        <v>0.96984360000000003</v>
      </c>
      <c r="AB6749">
        <v>16</v>
      </c>
      <c r="AC6749">
        <v>0.75159999999999605</v>
      </c>
      <c r="AD6749">
        <v>-0.134410899999999</v>
      </c>
      <c r="AE6749">
        <v>1.81999999999789E-2</v>
      </c>
      <c r="AF6749">
        <v>0.19246955219245601</v>
      </c>
      <c r="AG6749">
        <v>-0.134410899999999</v>
      </c>
      <c r="AH6749">
        <v>0.70265072229273695</v>
      </c>
      <c r="AI6749">
        <v>100.453232772486</v>
      </c>
      <c r="AJ6749">
        <v>74.681333924039606</v>
      </c>
      <c r="AK6749">
        <v>0.74082984287789</v>
      </c>
      <c r="AL6749">
        <v>90.415454943454506</v>
      </c>
      <c r="AM6749">
        <v>83.404869691961295</v>
      </c>
      <c r="AN6749">
        <v>0.99999998395526701</v>
      </c>
    </row>
    <row r="6750" spans="1:40" x14ac:dyDescent="0.3">
      <c r="A6750" t="str">
        <f>"20200111160643216"</f>
        <v>20200111160643216</v>
      </c>
      <c r="B6750" t="str">
        <f>"1578730003209665"</f>
        <v>1578730003209665</v>
      </c>
      <c r="C6750" t="s">
        <v>40</v>
      </c>
      <c r="D6750">
        <v>5.4588710000000003</v>
      </c>
      <c r="E6750">
        <v>0.55398159999999996</v>
      </c>
      <c r="F6750" t="s">
        <v>42</v>
      </c>
      <c r="G6750">
        <v>-173.59219999999999</v>
      </c>
      <c r="H6750">
        <v>0.98660510000000001</v>
      </c>
      <c r="I6750">
        <v>133.32749999999999</v>
      </c>
      <c r="J6750">
        <v>-174.23150000000001</v>
      </c>
      <c r="K6750">
        <v>1.1065389999999999</v>
      </c>
      <c r="L6750">
        <v>133.32299999999901</v>
      </c>
      <c r="M6750">
        <v>0.95967970000000002</v>
      </c>
      <c r="N6750">
        <v>0</v>
      </c>
      <c r="O6750">
        <v>0.28048420000000002</v>
      </c>
      <c r="P6750">
        <v>0.98557550000000005</v>
      </c>
      <c r="Q6750">
        <v>-2.4398550000000001E-2</v>
      </c>
      <c r="R6750">
        <v>0.16746739999999999</v>
      </c>
      <c r="S6750">
        <v>3.015015</v>
      </c>
      <c r="T6750">
        <v>-0.47859410000000002</v>
      </c>
      <c r="U6750">
        <v>0.12016300000000001</v>
      </c>
      <c r="V6750">
        <v>0.1156686</v>
      </c>
      <c r="W6750">
        <v>-7.2938380000000004E-3</v>
      </c>
      <c r="X6750">
        <v>0.99326110000000001</v>
      </c>
      <c r="Y6750">
        <v>0.2357225</v>
      </c>
      <c r="Z6750">
        <v>-6.2304720000000001E-2</v>
      </c>
      <c r="AA6750">
        <v>0.96982120000000005</v>
      </c>
      <c r="AB6750">
        <v>16</v>
      </c>
      <c r="AC6750">
        <v>0.63930000000001996</v>
      </c>
      <c r="AD6750">
        <v>-0.1199339</v>
      </c>
      <c r="AE6750">
        <v>4.5000000000072699E-3</v>
      </c>
      <c r="AF6750">
        <v>0.16907484658448199</v>
      </c>
      <c r="AG6750">
        <v>-0.1199339</v>
      </c>
      <c r="AH6750">
        <v>0.59398699826932799</v>
      </c>
      <c r="AI6750">
        <v>100.99000736040399</v>
      </c>
      <c r="AJ6750">
        <v>74.111313806398996</v>
      </c>
      <c r="AK6750">
        <v>0.62911922417756605</v>
      </c>
      <c r="AL6750">
        <v>90.417909831466602</v>
      </c>
      <c r="AM6750">
        <v>83.357632276656005</v>
      </c>
      <c r="AN6750">
        <v>1.0000000189359699</v>
      </c>
    </row>
    <row r="6751" spans="1:40" x14ac:dyDescent="0.3">
      <c r="A6751" t="str">
        <f>"20200111160643232"</f>
        <v>20200111160643232</v>
      </c>
      <c r="B6751" t="str">
        <f>"1578730003229186"</f>
        <v>1578730003229186</v>
      </c>
      <c r="C6751" t="s">
        <v>40</v>
      </c>
      <c r="D6751">
        <v>5.5469569999999999</v>
      </c>
      <c r="E6751">
        <v>0.55325749999999996</v>
      </c>
      <c r="F6751" t="s">
        <v>42</v>
      </c>
      <c r="G6751">
        <v>-173.4479</v>
      </c>
      <c r="H6751">
        <v>0.98175420000000002</v>
      </c>
      <c r="I6751">
        <v>133.34880000000001</v>
      </c>
      <c r="J6751">
        <v>-174.1198</v>
      </c>
      <c r="K6751">
        <v>1.1066309999999999</v>
      </c>
      <c r="L6751">
        <v>133.34690000000001</v>
      </c>
      <c r="M6751">
        <v>0.96160880000000004</v>
      </c>
      <c r="N6751">
        <v>0</v>
      </c>
      <c r="O6751">
        <v>0.27378170000000002</v>
      </c>
      <c r="P6751">
        <v>0.9868249</v>
      </c>
      <c r="Q6751">
        <v>-2.5836479999999998E-2</v>
      </c>
      <c r="R6751">
        <v>0.15971640000000001</v>
      </c>
      <c r="S6751">
        <v>3.0151059999999998</v>
      </c>
      <c r="T6751">
        <v>-0.4797169</v>
      </c>
      <c r="U6751">
        <v>9.9578860000000005E-2</v>
      </c>
      <c r="V6751">
        <v>0.1165236</v>
      </c>
      <c r="W6751">
        <v>-8.4858720000000002E-3</v>
      </c>
      <c r="X6751">
        <v>0.99315169999999997</v>
      </c>
      <c r="Y6751">
        <v>0.23561470000000001</v>
      </c>
      <c r="Z6751">
        <v>-6.1432559999999997E-2</v>
      </c>
      <c r="AA6751">
        <v>0.96990290000000001</v>
      </c>
      <c r="AB6751">
        <v>16</v>
      </c>
      <c r="AC6751">
        <v>0.67189999999999295</v>
      </c>
      <c r="AD6751">
        <v>-0.1248768</v>
      </c>
      <c r="AE6751">
        <v>1.90000000000623E-3</v>
      </c>
      <c r="AF6751">
        <v>0.176076846617298</v>
      </c>
      <c r="AG6751">
        <v>-0.1248768</v>
      </c>
      <c r="AH6751">
        <v>0.62514508040646199</v>
      </c>
      <c r="AI6751">
        <v>100.883740290443</v>
      </c>
      <c r="AJ6751">
        <v>74.269724006772805</v>
      </c>
      <c r="AK6751">
        <v>0.66136498444454495</v>
      </c>
      <c r="AL6751">
        <v>90.486210472300698</v>
      </c>
      <c r="AM6751">
        <v>83.308246385040505</v>
      </c>
      <c r="AN6751">
        <v>1.0000000292967199</v>
      </c>
    </row>
    <row r="6752" spans="1:40" x14ac:dyDescent="0.3">
      <c r="A6752" t="str">
        <f>"20200111160643247"</f>
        <v>20200111160643247</v>
      </c>
      <c r="B6752" t="str">
        <f>"1578730003239922"</f>
        <v>1578730003239922</v>
      </c>
      <c r="C6752" t="s">
        <v>40</v>
      </c>
      <c r="D6752">
        <v>5.8440589999999997</v>
      </c>
      <c r="E6752">
        <v>0.55325749999999996</v>
      </c>
      <c r="F6752" t="s">
        <v>42</v>
      </c>
      <c r="G6752">
        <v>-173.30549999999999</v>
      </c>
      <c r="H6752">
        <v>0.97574970000000005</v>
      </c>
      <c r="I6752">
        <v>133.3689</v>
      </c>
      <c r="J6752">
        <v>-174.0085</v>
      </c>
      <c r="K6752">
        <v>1.1067389999999999</v>
      </c>
      <c r="L6752">
        <v>133.37</v>
      </c>
      <c r="M6752">
        <v>0.96347850000000002</v>
      </c>
      <c r="N6752">
        <v>0</v>
      </c>
      <c r="O6752">
        <v>0.26711010000000002</v>
      </c>
      <c r="P6752">
        <v>0.98789780000000005</v>
      </c>
      <c r="Q6752">
        <v>-2.7100300000000001E-2</v>
      </c>
      <c r="R6752">
        <v>0.1527212</v>
      </c>
      <c r="S6752">
        <v>3.014221</v>
      </c>
      <c r="T6752">
        <v>-0.48452489999999998</v>
      </c>
      <c r="U6752">
        <v>8.1344600000000003E-2</v>
      </c>
      <c r="V6752">
        <v>0.11665880000000001</v>
      </c>
      <c r="W6752">
        <v>-9.488158E-3</v>
      </c>
      <c r="X6752">
        <v>0.99312670000000003</v>
      </c>
      <c r="Y6752">
        <v>0.2347022</v>
      </c>
      <c r="Z6752">
        <v>-6.0967880000000002E-2</v>
      </c>
      <c r="AA6752">
        <v>0.9701535</v>
      </c>
      <c r="AB6752">
        <v>16</v>
      </c>
      <c r="AC6752">
        <v>0.70300000000000296</v>
      </c>
      <c r="AD6752">
        <v>-0.130989299999999</v>
      </c>
      <c r="AE6752">
        <v>-1.1000000000080899E-3</v>
      </c>
      <c r="AF6752">
        <v>0.18253502909843999</v>
      </c>
      <c r="AG6752">
        <v>-0.130989299999999</v>
      </c>
      <c r="AH6752">
        <v>0.65443304832308702</v>
      </c>
      <c r="AI6752">
        <v>100.91260595418299</v>
      </c>
      <c r="AJ6752">
        <v>74.415104652591296</v>
      </c>
      <c r="AK6752">
        <v>0.69192474178909602</v>
      </c>
      <c r="AL6752">
        <v>90.543639581323603</v>
      </c>
      <c r="AM6752">
        <v>83.300385500597898</v>
      </c>
      <c r="AN6752">
        <v>0.99999997150628095</v>
      </c>
    </row>
    <row r="6753" spans="1:40" x14ac:dyDescent="0.3">
      <c r="A6753" t="str">
        <f>"20200111160643266"</f>
        <v>20200111160643266</v>
      </c>
      <c r="B6753" t="str">
        <f>"1578730003259442"</f>
        <v>1578730003259442</v>
      </c>
      <c r="C6753" t="s">
        <v>40</v>
      </c>
      <c r="D6753">
        <v>5.4605249999999996</v>
      </c>
      <c r="E6753">
        <v>0.53738569999999997</v>
      </c>
      <c r="F6753" t="s">
        <v>42</v>
      </c>
      <c r="G6753">
        <v>-173.16399999999999</v>
      </c>
      <c r="H6753">
        <v>0.96988929999999995</v>
      </c>
      <c r="I6753">
        <v>133.38669999999999</v>
      </c>
      <c r="J6753">
        <v>-173.8732</v>
      </c>
      <c r="K6753">
        <v>1.1068800000000001</v>
      </c>
      <c r="L6753">
        <v>133.39689999999999</v>
      </c>
      <c r="M6753">
        <v>0.96568039999999999</v>
      </c>
      <c r="N6753">
        <v>0</v>
      </c>
      <c r="O6753">
        <v>0.25901350000000001</v>
      </c>
      <c r="P6753">
        <v>0.98903300000000005</v>
      </c>
      <c r="Q6753">
        <v>-2.951811E-2</v>
      </c>
      <c r="R6753">
        <v>0.14471510000000001</v>
      </c>
      <c r="S6753">
        <v>3.0141300000000002</v>
      </c>
      <c r="T6753">
        <v>-0.48827350000000003</v>
      </c>
      <c r="U6753">
        <v>5.9829710000000001E-2</v>
      </c>
      <c r="V6753">
        <v>0.11633019999999999</v>
      </c>
      <c r="W6753">
        <v>-1.156075E-2</v>
      </c>
      <c r="X6753">
        <v>0.99314329999999995</v>
      </c>
      <c r="Y6753">
        <v>0.23349130000000001</v>
      </c>
      <c r="Z6753">
        <v>-6.0087920000000003E-2</v>
      </c>
      <c r="AA6753">
        <v>0.97050049999999999</v>
      </c>
      <c r="AB6753">
        <v>16</v>
      </c>
      <c r="AC6753">
        <v>0.70919999999998096</v>
      </c>
      <c r="AD6753">
        <v>-0.13699069999999899</v>
      </c>
      <c r="AE6753">
        <v>-1.0199999999997499E-2</v>
      </c>
      <c r="AF6753">
        <v>0.18661690714276599</v>
      </c>
      <c r="AG6753">
        <v>-0.13699069999999899</v>
      </c>
      <c r="AH6753">
        <v>0.65780718790302894</v>
      </c>
      <c r="AI6753">
        <v>101.329064300951</v>
      </c>
      <c r="AJ6753">
        <v>74.161601853934499</v>
      </c>
      <c r="AK6753">
        <v>0.69735401223117099</v>
      </c>
      <c r="AL6753">
        <v>90.662396944950203</v>
      </c>
      <c r="AM6753">
        <v>83.319196547619299</v>
      </c>
      <c r="AN6753">
        <v>0.99999999035374598</v>
      </c>
    </row>
    <row r="6754" spans="1:40" x14ac:dyDescent="0.3">
      <c r="A6754" t="str">
        <f>"20200111160643287"</f>
        <v>20200111160643287</v>
      </c>
      <c r="B6754" t="str">
        <f>"1578730003278961"</f>
        <v>1578730003278961</v>
      </c>
      <c r="C6754" t="s">
        <v>40</v>
      </c>
      <c r="D6754">
        <v>5.66723</v>
      </c>
      <c r="E6754">
        <v>0.53791080000000002</v>
      </c>
      <c r="F6754" t="s">
        <v>42</v>
      </c>
      <c r="G6754">
        <v>-173.03700000000001</v>
      </c>
      <c r="H6754">
        <v>0.96224639999999995</v>
      </c>
      <c r="I6754">
        <v>133.44200000000001</v>
      </c>
      <c r="J6754">
        <v>-173.72319999999999</v>
      </c>
      <c r="K6754">
        <v>1.107064</v>
      </c>
      <c r="L6754">
        <v>133.42519999999999</v>
      </c>
      <c r="M6754">
        <v>0.96802750000000004</v>
      </c>
      <c r="N6754">
        <v>0</v>
      </c>
      <c r="O6754">
        <v>0.25006899999999999</v>
      </c>
      <c r="P6754">
        <v>0.9900658</v>
      </c>
      <c r="Q6754">
        <v>-3.2153170000000002E-2</v>
      </c>
      <c r="R6754">
        <v>0.13687949999999999</v>
      </c>
      <c r="S6754">
        <v>2.9941559999999998</v>
      </c>
      <c r="T6754">
        <v>-0.51779759999999997</v>
      </c>
      <c r="U6754">
        <v>0.16171259999999901</v>
      </c>
      <c r="V6754">
        <v>0.1149684</v>
      </c>
      <c r="W6754">
        <v>-1.3762119999999999E-2</v>
      </c>
      <c r="X6754">
        <v>0.99327379999999998</v>
      </c>
      <c r="Y6754">
        <v>0.19108910000000001</v>
      </c>
      <c r="Z6754">
        <v>-5.8874299999999997E-2</v>
      </c>
      <c r="AA6754">
        <v>0.9798055</v>
      </c>
      <c r="AB6754">
        <v>16</v>
      </c>
      <c r="AC6754">
        <v>0.68619999999998504</v>
      </c>
      <c r="AD6754">
        <v>-0.14481759999999999</v>
      </c>
      <c r="AE6754">
        <v>1.6800000000017599E-2</v>
      </c>
      <c r="AF6754">
        <v>0.14874370951708199</v>
      </c>
      <c r="AG6754">
        <v>-0.14481759999999999</v>
      </c>
      <c r="AH6754">
        <v>0.64009908655727499</v>
      </c>
      <c r="AI6754">
        <v>102.427683237718</v>
      </c>
      <c r="AJ6754">
        <v>76.918003962940901</v>
      </c>
      <c r="AK6754">
        <v>0.67292174062228105</v>
      </c>
      <c r="AL6754">
        <v>90.788536296965901</v>
      </c>
      <c r="AM6754">
        <v>83.397569441329495</v>
      </c>
      <c r="AN6754">
        <v>0.99999998535594703</v>
      </c>
    </row>
    <row r="6755" spans="1:40" x14ac:dyDescent="0.3">
      <c r="A6755" t="str">
        <f>"20200111160643302"</f>
        <v>20200111160643302</v>
      </c>
      <c r="B6755" t="str">
        <f>"1578730003299764"</f>
        <v>1578730003299764</v>
      </c>
      <c r="C6755" t="s">
        <v>40</v>
      </c>
      <c r="D6755">
        <v>5.5572499999999998</v>
      </c>
      <c r="E6755">
        <v>0.53719619999999901</v>
      </c>
      <c r="F6755" t="s">
        <v>42</v>
      </c>
      <c r="G6755">
        <v>-172.89750000000001</v>
      </c>
      <c r="H6755">
        <v>0.96120890000000003</v>
      </c>
      <c r="I6755">
        <v>133.46190000000001</v>
      </c>
      <c r="J6755">
        <v>-173.619</v>
      </c>
      <c r="K6755">
        <v>1.1072029999999999</v>
      </c>
      <c r="L6755">
        <v>133.4442</v>
      </c>
      <c r="M6755">
        <v>0.96960369999999996</v>
      </c>
      <c r="N6755">
        <v>0</v>
      </c>
      <c r="O6755">
        <v>0.24386260000000001</v>
      </c>
      <c r="P6755">
        <v>0.99078409999999995</v>
      </c>
      <c r="Q6755">
        <v>-3.2512480000000003E-2</v>
      </c>
      <c r="R6755">
        <v>0.13149269999999999</v>
      </c>
      <c r="S6755">
        <v>2.9945369999999998</v>
      </c>
      <c r="T6755">
        <v>-0.52888179999999996</v>
      </c>
      <c r="U6755">
        <v>0.1329651</v>
      </c>
      <c r="V6755">
        <v>0.1140091</v>
      </c>
      <c r="W6755">
        <v>-1.37982E-2</v>
      </c>
      <c r="X6755">
        <v>0.99338389999999999</v>
      </c>
      <c r="Y6755">
        <v>0.193965</v>
      </c>
      <c r="Z6755">
        <v>-5.9328850000000002E-2</v>
      </c>
      <c r="AA6755">
        <v>0.97921279999999999</v>
      </c>
      <c r="AB6755">
        <v>16</v>
      </c>
      <c r="AC6755">
        <v>0.72150000000002001</v>
      </c>
      <c r="AD6755">
        <v>-0.14599409999999999</v>
      </c>
      <c r="AE6755">
        <v>1.77000000000191E-2</v>
      </c>
      <c r="AF6755">
        <v>0.15257330840119401</v>
      </c>
      <c r="AG6755">
        <v>-0.14599409999999999</v>
      </c>
      <c r="AH6755">
        <v>0.67634984935711095</v>
      </c>
      <c r="AI6755">
        <v>101.89076794646201</v>
      </c>
      <c r="AJ6755">
        <v>77.2878040079828</v>
      </c>
      <c r="AK6755">
        <v>0.708549229338853</v>
      </c>
      <c r="AL6755">
        <v>90.790603698430303</v>
      </c>
      <c r="AM6755">
        <v>83.452899351125794</v>
      </c>
      <c r="AN6755">
        <v>1.0000000189926199</v>
      </c>
    </row>
    <row r="6756" spans="1:40" x14ac:dyDescent="0.3">
      <c r="A6756" t="str">
        <f>"20200111160643317"</f>
        <v>20200111160643317</v>
      </c>
      <c r="B6756" t="str">
        <f>"1578730003309524"</f>
        <v>1578730003309524</v>
      </c>
      <c r="C6756" t="s">
        <v>40</v>
      </c>
      <c r="D6756">
        <v>5.5848519999999997</v>
      </c>
      <c r="E6756">
        <v>0.53695300000000001</v>
      </c>
      <c r="F6756" t="s">
        <v>42</v>
      </c>
      <c r="G6756">
        <v>-172.89279999999999</v>
      </c>
      <c r="H6756">
        <v>0.9776629</v>
      </c>
      <c r="I6756">
        <v>133.47370000000001</v>
      </c>
      <c r="J6756">
        <v>-173.51669999999999</v>
      </c>
      <c r="K6756">
        <v>1.1073409999999999</v>
      </c>
      <c r="L6756">
        <v>133.46190000000001</v>
      </c>
      <c r="M6756">
        <v>0.9711052</v>
      </c>
      <c r="N6756">
        <v>0</v>
      </c>
      <c r="O6756">
        <v>0.2377881</v>
      </c>
      <c r="P6756">
        <v>0.99144659999999996</v>
      </c>
      <c r="Q6756">
        <v>-3.2382759999999997E-2</v>
      </c>
      <c r="R6756">
        <v>0.12643389999999999</v>
      </c>
      <c r="S6756">
        <v>2.994186</v>
      </c>
      <c r="T6756">
        <v>-0.53400340000000002</v>
      </c>
      <c r="U6756">
        <v>0.12194820000000001</v>
      </c>
      <c r="V6756">
        <v>0.1128711</v>
      </c>
      <c r="W6756">
        <v>-1.3336489999999999E-2</v>
      </c>
      <c r="X6756">
        <v>0.99352010000000002</v>
      </c>
      <c r="Y6756">
        <v>0.19142219999999999</v>
      </c>
      <c r="Z6756">
        <v>-5.8638780000000001E-2</v>
      </c>
      <c r="AA6756">
        <v>0.97975460000000003</v>
      </c>
      <c r="AB6756">
        <v>16</v>
      </c>
      <c r="AC6756">
        <v>0.62389999999999102</v>
      </c>
      <c r="AD6756">
        <v>-0.12967809999999899</v>
      </c>
      <c r="AE6756">
        <v>1.17999999999938E-2</v>
      </c>
      <c r="AF6756">
        <v>0.131256616640437</v>
      </c>
      <c r="AG6756">
        <v>-0.12967809999999899</v>
      </c>
      <c r="AH6756">
        <v>0.58360006838598</v>
      </c>
      <c r="AI6756">
        <v>102.231782046079</v>
      </c>
      <c r="AJ6756">
        <v>77.324606492009295</v>
      </c>
      <c r="AK6756">
        <v>0.61207331983319202</v>
      </c>
      <c r="AL6756">
        <v>90.764147268127203</v>
      </c>
      <c r="AM6756">
        <v>83.518572359773501</v>
      </c>
      <c r="AN6756">
        <v>0.99999996814236902</v>
      </c>
    </row>
    <row r="6757" spans="1:40" x14ac:dyDescent="0.3">
      <c r="A6757" t="str">
        <f>"20200111160643332"</f>
        <v>20200111160643332</v>
      </c>
      <c r="B6757" t="str">
        <f>"1578730003329044"</f>
        <v>1578730003329044</v>
      </c>
      <c r="C6757" t="s">
        <v>40</v>
      </c>
      <c r="D6757">
        <v>5.6650499999999999</v>
      </c>
      <c r="E6757">
        <v>0.52456389999999997</v>
      </c>
      <c r="F6757" t="s">
        <v>42</v>
      </c>
      <c r="G6757">
        <v>-172.75640000000001</v>
      </c>
      <c r="H6757">
        <v>0.97189680000000001</v>
      </c>
      <c r="I6757">
        <v>133.48939999999999</v>
      </c>
      <c r="J6757">
        <v>-173.41409999999999</v>
      </c>
      <c r="K6757">
        <v>1.1074759999999999</v>
      </c>
      <c r="L6757">
        <v>133.47919999999999</v>
      </c>
      <c r="M6757">
        <v>0.97256589999999998</v>
      </c>
      <c r="N6757">
        <v>0</v>
      </c>
      <c r="O6757">
        <v>0.23171430000000001</v>
      </c>
      <c r="P6757">
        <v>0.99205679999999996</v>
      </c>
      <c r="Q6757">
        <v>-3.1334679999999997E-2</v>
      </c>
      <c r="R6757">
        <v>0.12182560000000001</v>
      </c>
      <c r="S6757">
        <v>2.994675</v>
      </c>
      <c r="T6757">
        <v>-0.53332170000000001</v>
      </c>
      <c r="U6757">
        <v>0.10827639999999999</v>
      </c>
      <c r="V6757">
        <v>0.11130420000000001</v>
      </c>
      <c r="W6757">
        <v>-1.194628E-2</v>
      </c>
      <c r="X6757">
        <v>0.9937146</v>
      </c>
      <c r="Y6757">
        <v>0.18990180000000001</v>
      </c>
      <c r="Z6757">
        <v>-5.7384860000000003E-2</v>
      </c>
      <c r="AA6757">
        <v>0.98012469999999996</v>
      </c>
      <c r="AB6757">
        <v>15</v>
      </c>
      <c r="AC6757">
        <v>0.65769999999997697</v>
      </c>
      <c r="AD6757">
        <v>-0.13557920000000001</v>
      </c>
      <c r="AE6757">
        <v>1.0199999999997499E-2</v>
      </c>
      <c r="AF6757">
        <v>0.136700931255129</v>
      </c>
      <c r="AG6757">
        <v>-0.13557920000000001</v>
      </c>
      <c r="AH6757">
        <v>0.61598663419032595</v>
      </c>
      <c r="AI6757">
        <v>102.12694062518599</v>
      </c>
      <c r="AJ6757">
        <v>77.487590156337802</v>
      </c>
      <c r="AK6757">
        <v>0.64537461801637797</v>
      </c>
      <c r="AL6757">
        <v>90.684487691159205</v>
      </c>
      <c r="AM6757">
        <v>83.609039750382195</v>
      </c>
      <c r="AN6757">
        <v>1.0000000223983101</v>
      </c>
    </row>
    <row r="6758" spans="1:40" x14ac:dyDescent="0.3">
      <c r="A6758" t="str">
        <f>"20200111160643348"</f>
        <v>20200111160643348</v>
      </c>
      <c r="B6758" t="str">
        <f>"1578730003339781"</f>
        <v>1578730003339781</v>
      </c>
      <c r="C6758" t="s">
        <v>40</v>
      </c>
      <c r="D6758">
        <v>5.5071640000000004</v>
      </c>
      <c r="E6758">
        <v>0.52456389999999997</v>
      </c>
      <c r="F6758" t="s">
        <v>41</v>
      </c>
      <c r="G6758">
        <v>-152.5103</v>
      </c>
      <c r="H6758" s="1">
        <v>-4.0686840000000001E-6</v>
      </c>
      <c r="I6758">
        <v>134.69290000000001</v>
      </c>
      <c r="J6758">
        <v>-173.30359999999999</v>
      </c>
      <c r="K6758">
        <v>1.107674</v>
      </c>
      <c r="L6758">
        <v>133.49709999999999</v>
      </c>
      <c r="M6758">
        <v>0.97408019999999995</v>
      </c>
      <c r="N6758">
        <v>0</v>
      </c>
      <c r="O6758">
        <v>0.22522639999999999</v>
      </c>
      <c r="P6758">
        <v>0.99279680000000003</v>
      </c>
      <c r="Q6758">
        <v>-3.1268610000000002E-2</v>
      </c>
      <c r="R6758">
        <v>0.11565930000000001</v>
      </c>
      <c r="S6758">
        <v>2.9976349999999998</v>
      </c>
      <c r="T6758">
        <v>-0.15881339999999999</v>
      </c>
      <c r="U6758">
        <v>0.17405699999999999</v>
      </c>
      <c r="V6758">
        <v>0.1108654</v>
      </c>
      <c r="W6758">
        <v>-1.14372E-2</v>
      </c>
      <c r="X6758">
        <v>0.99376960000000003</v>
      </c>
      <c r="Y6758">
        <v>0.16787659999999999</v>
      </c>
      <c r="Z6758">
        <v>-1.6259799999999901E-2</v>
      </c>
      <c r="AA6758">
        <v>0.98567389999999999</v>
      </c>
      <c r="AB6758">
        <v>15</v>
      </c>
      <c r="AC6758">
        <v>20.793299999999899</v>
      </c>
      <c r="AD6758">
        <v>-1.107678068684</v>
      </c>
      <c r="AE6758">
        <v>1.19580000000001</v>
      </c>
      <c r="AF6758">
        <v>3.5092450940710198</v>
      </c>
      <c r="AG6758">
        <v>-1.107678068684</v>
      </c>
      <c r="AH6758">
        <v>20.470293889471701</v>
      </c>
      <c r="AI6758">
        <v>93.052890016098402</v>
      </c>
      <c r="AJ6758">
        <v>80.272280449171404</v>
      </c>
      <c r="AK6758">
        <v>20.798429838702901</v>
      </c>
      <c r="AL6758">
        <v>90.655317588625195</v>
      </c>
      <c r="AM6758">
        <v>83.634377330019404</v>
      </c>
      <c r="AN6758">
        <v>0.99999998217258002</v>
      </c>
    </row>
    <row r="6759" spans="1:40" x14ac:dyDescent="0.3">
      <c r="A6759" t="str">
        <f>"20200111160643364"</f>
        <v>20200111160643364</v>
      </c>
      <c r="B6759" t="str">
        <f>"1578730003359301"</f>
        <v>1578730003359301</v>
      </c>
      <c r="C6759" t="s">
        <v>40</v>
      </c>
      <c r="D6759">
        <v>5.5487849999999996</v>
      </c>
      <c r="E6759">
        <v>0.52913619999999995</v>
      </c>
      <c r="F6759" t="s">
        <v>41</v>
      </c>
      <c r="G6759">
        <v>-152.39699999999999</v>
      </c>
      <c r="H6759" s="1">
        <v>-4.1370990000000004E-6</v>
      </c>
      <c r="I6759">
        <v>134.58109999999999</v>
      </c>
      <c r="J6759">
        <v>-173.2002</v>
      </c>
      <c r="K6759">
        <v>1.107974</v>
      </c>
      <c r="L6759">
        <v>133.51329999999999</v>
      </c>
      <c r="M6759">
        <v>0.97542379999999995</v>
      </c>
      <c r="N6759">
        <v>0</v>
      </c>
      <c r="O6759">
        <v>0.2192791</v>
      </c>
      <c r="P6759">
        <v>0.99346230000000002</v>
      </c>
      <c r="Q6759">
        <v>-3.1628290000000003E-2</v>
      </c>
      <c r="R6759">
        <v>0.1096935</v>
      </c>
      <c r="S6759">
        <v>2.9986419999999998</v>
      </c>
      <c r="T6759">
        <v>-0.1588745</v>
      </c>
      <c r="U6759">
        <v>0.15548709999999999</v>
      </c>
      <c r="V6759">
        <v>0.11077910000000001</v>
      </c>
      <c r="W6759">
        <v>-1.117405E-2</v>
      </c>
      <c r="X6759">
        <v>0.99378219999999995</v>
      </c>
      <c r="Y6759">
        <v>0.1679773</v>
      </c>
      <c r="Z6759">
        <v>-1.5960470000000001E-2</v>
      </c>
      <c r="AA6759">
        <v>0.98566160000000003</v>
      </c>
      <c r="AB6759">
        <v>15</v>
      </c>
      <c r="AC6759">
        <v>20.803199999999901</v>
      </c>
      <c r="AD6759">
        <v>-1.1079781370990001</v>
      </c>
      <c r="AE6759">
        <v>1.0678000000000001</v>
      </c>
      <c r="AF6759">
        <v>3.5110349896341999</v>
      </c>
      <c r="AG6759">
        <v>-1.1079781370990001</v>
      </c>
      <c r="AH6759">
        <v>20.472936025854899</v>
      </c>
      <c r="AI6759">
        <v>93.053288973781804</v>
      </c>
      <c r="AJ6759">
        <v>80.268645703969895</v>
      </c>
      <c r="AK6759">
        <v>20.801348316142199</v>
      </c>
      <c r="AL6759">
        <v>90.640239251445806</v>
      </c>
      <c r="AM6759">
        <v>83.639371824240996</v>
      </c>
      <c r="AN6759">
        <v>0.99999996471352504</v>
      </c>
    </row>
    <row r="6760" spans="1:40" x14ac:dyDescent="0.3">
      <c r="A6760" t="str">
        <f>"20200111160643377"</f>
        <v>20200111160643377</v>
      </c>
      <c r="B6760" t="str">
        <f>"1578730003369061"</f>
        <v>1578730003369061</v>
      </c>
      <c r="C6760" t="s">
        <v>40</v>
      </c>
      <c r="D6760">
        <v>5.5637150000000002</v>
      </c>
      <c r="E6760">
        <v>0.52560260000000003</v>
      </c>
      <c r="F6760" t="s">
        <v>42</v>
      </c>
      <c r="G6760">
        <v>-172.3527</v>
      </c>
      <c r="H6760">
        <v>0.98166850000000005</v>
      </c>
      <c r="I6760">
        <v>133.5462</v>
      </c>
      <c r="J6760">
        <v>-173.1061</v>
      </c>
      <c r="K6760">
        <v>1.108271</v>
      </c>
      <c r="L6760">
        <v>133.5273</v>
      </c>
      <c r="M6760">
        <v>0.97660239999999998</v>
      </c>
      <c r="N6760">
        <v>0</v>
      </c>
      <c r="O6760">
        <v>0.21390870000000001</v>
      </c>
      <c r="P6760">
        <v>0.99396499999999999</v>
      </c>
      <c r="Q6760">
        <v>-3.2911759999999998E-2</v>
      </c>
      <c r="R6760">
        <v>0.10464619999999999</v>
      </c>
      <c r="S6760">
        <v>2.9927060000000001</v>
      </c>
      <c r="T6760">
        <v>-0.44569189999999997</v>
      </c>
      <c r="U6760">
        <v>0.1165161</v>
      </c>
      <c r="V6760">
        <v>0.11035159999999999</v>
      </c>
      <c r="W6760">
        <v>-1.182135E-2</v>
      </c>
      <c r="X6760">
        <v>0.99382230000000005</v>
      </c>
      <c r="Y6760">
        <v>0.1715872</v>
      </c>
      <c r="Z6760">
        <v>-4.4160680000000001E-2</v>
      </c>
      <c r="AA6760">
        <v>0.98417869999999996</v>
      </c>
      <c r="AB6760">
        <v>15</v>
      </c>
      <c r="AC6760">
        <v>0.75339999999999896</v>
      </c>
      <c r="AD6760">
        <v>-0.12660250000000001</v>
      </c>
      <c r="AE6760">
        <v>1.8900000000002099E-2</v>
      </c>
      <c r="AF6760">
        <v>0.138818574296276</v>
      </c>
      <c r="AG6760">
        <v>-0.12660250000000001</v>
      </c>
      <c r="AH6760">
        <v>0.71968703464948003</v>
      </c>
      <c r="AI6760">
        <v>99.799965276695204</v>
      </c>
      <c r="AJ6760">
        <v>79.082445112275494</v>
      </c>
      <c r="AK6760">
        <v>0.743806572583533</v>
      </c>
      <c r="AL6760">
        <v>90.677329244704197</v>
      </c>
      <c r="AM6760">
        <v>83.663971249611805</v>
      </c>
      <c r="AN6760">
        <v>0.99999999195783595</v>
      </c>
    </row>
    <row r="6761" spans="1:40" x14ac:dyDescent="0.3">
      <c r="A6761" t="str">
        <f>"20200111160643399"</f>
        <v>20200111160643399</v>
      </c>
      <c r="B6761" t="str">
        <f>"1578730003389556"</f>
        <v>1578730003389556</v>
      </c>
      <c r="C6761" t="s">
        <v>40</v>
      </c>
      <c r="D6761">
        <v>5.5434449999999904</v>
      </c>
      <c r="E6761">
        <v>0.52768309999999996</v>
      </c>
      <c r="F6761" t="s">
        <v>42</v>
      </c>
      <c r="G6761">
        <v>-172.3982</v>
      </c>
      <c r="H6761">
        <v>0.89899609999999996</v>
      </c>
      <c r="I6761">
        <v>133.56399999999999</v>
      </c>
      <c r="J6761">
        <v>-172.97020000000001</v>
      </c>
      <c r="K6761">
        <v>1.1084860000000001</v>
      </c>
      <c r="L6761">
        <v>133.54679999999999</v>
      </c>
      <c r="M6761">
        <v>0.97825289999999998</v>
      </c>
      <c r="N6761">
        <v>0</v>
      </c>
      <c r="O6761">
        <v>0.20616390000000001</v>
      </c>
      <c r="P6761">
        <v>0.99458279999999999</v>
      </c>
      <c r="Q6761">
        <v>-3.5079350000000002E-2</v>
      </c>
      <c r="R6761">
        <v>9.7849729999999996E-2</v>
      </c>
      <c r="S6761">
        <v>2.972839</v>
      </c>
      <c r="T6761">
        <v>-0.87834219999999896</v>
      </c>
      <c r="U6761">
        <v>0.15454100000000001</v>
      </c>
      <c r="V6761">
        <v>0.10925</v>
      </c>
      <c r="W6761">
        <v>-1.334372E-2</v>
      </c>
      <c r="X6761">
        <v>0.99392469999999999</v>
      </c>
      <c r="Y6761">
        <v>0.14050099999999999</v>
      </c>
      <c r="Z6761">
        <v>-7.9516069999999994E-2</v>
      </c>
      <c r="AA6761">
        <v>0.98688229999999999</v>
      </c>
      <c r="AB6761">
        <v>15</v>
      </c>
      <c r="AC6761">
        <v>0.57200000000000195</v>
      </c>
      <c r="AD6761">
        <v>-0.20948990000000001</v>
      </c>
      <c r="AE6761">
        <v>1.7200000000002501E-2</v>
      </c>
      <c r="AF6761">
        <v>8.9175457129218996E-2</v>
      </c>
      <c r="AG6761">
        <v>-0.20948990000000001</v>
      </c>
      <c r="AH6761">
        <v>0.49669034909575499</v>
      </c>
      <c r="AI6761">
        <v>112.544994922057</v>
      </c>
      <c r="AJ6761">
        <v>79.821593917124005</v>
      </c>
      <c r="AK6761">
        <v>0.54638775905127801</v>
      </c>
      <c r="AL6761">
        <v>90.7645615571804</v>
      </c>
      <c r="AM6761">
        <v>83.727355892338295</v>
      </c>
      <c r="AN6761">
        <v>0.999999963316763</v>
      </c>
    </row>
    <row r="6762" spans="1:40" x14ac:dyDescent="0.3">
      <c r="A6762" t="str">
        <f>"20200111160643421"</f>
        <v>20200111160643421</v>
      </c>
      <c r="B6762" t="str">
        <f>"1578730003419812"</f>
        <v>1578730003419812</v>
      </c>
      <c r="C6762" t="s">
        <v>40</v>
      </c>
      <c r="D6762">
        <v>5.5817189999999997</v>
      </c>
      <c r="E6762">
        <v>0.52821390000000001</v>
      </c>
      <c r="F6762" t="s">
        <v>42</v>
      </c>
      <c r="G6762">
        <v>-172.26830000000001</v>
      </c>
      <c r="H6762">
        <v>0.89804549999999905</v>
      </c>
      <c r="I6762">
        <v>133.57480000000001</v>
      </c>
      <c r="J6762">
        <v>-172.82509999999999</v>
      </c>
      <c r="K6762">
        <v>1.1084769999999999</v>
      </c>
      <c r="L6762">
        <v>133.56630000000001</v>
      </c>
      <c r="M6762">
        <v>0.97995410000000005</v>
      </c>
      <c r="N6762">
        <v>0</v>
      </c>
      <c r="O6762">
        <v>0.19789799999999999</v>
      </c>
      <c r="P6762">
        <v>0.99521769999999998</v>
      </c>
      <c r="Q6762">
        <v>-3.4944309999999999E-2</v>
      </c>
      <c r="R6762">
        <v>9.1218279999999999E-2</v>
      </c>
      <c r="S6762">
        <v>2.9732210000000001</v>
      </c>
      <c r="T6762">
        <v>-0.89146759999999903</v>
      </c>
      <c r="U6762">
        <v>0.1187439</v>
      </c>
      <c r="V6762">
        <v>0.10749060000000001</v>
      </c>
      <c r="W6762">
        <v>-1.2987439999999999E-2</v>
      </c>
      <c r="X6762">
        <v>0.99412129999999999</v>
      </c>
      <c r="Y6762">
        <v>0.143788</v>
      </c>
      <c r="Z6762">
        <v>-7.8785250000000001E-2</v>
      </c>
      <c r="AA6762">
        <v>0.98646739999999999</v>
      </c>
      <c r="AB6762">
        <v>14</v>
      </c>
      <c r="AC6762">
        <v>0.55679999999998098</v>
      </c>
      <c r="AD6762">
        <v>-0.21043149999999999</v>
      </c>
      <c r="AE6762">
        <v>8.4999999999979502E-3</v>
      </c>
      <c r="AF6762">
        <v>8.9155582924564894E-2</v>
      </c>
      <c r="AG6762">
        <v>-0.21043149999999999</v>
      </c>
      <c r="AH6762">
        <v>0.47905641706198399</v>
      </c>
      <c r="AI6762">
        <v>113.356978384024</v>
      </c>
      <c r="AJ6762">
        <v>79.457486141617295</v>
      </c>
      <c r="AK6762">
        <v>0.53077790542479697</v>
      </c>
      <c r="AL6762">
        <v>90.744146396326101</v>
      </c>
      <c r="AM6762">
        <v>83.828797929202395</v>
      </c>
      <c r="AN6762">
        <v>1.0000000308999</v>
      </c>
    </row>
    <row r="6763" spans="1:40" x14ac:dyDescent="0.3">
      <c r="A6763" t="str">
        <f>"20200111160643445"</f>
        <v>20200111160643445</v>
      </c>
      <c r="B6763" t="str">
        <f>"1578730003439332"</f>
        <v>1578730003439332</v>
      </c>
      <c r="C6763" t="s">
        <v>40</v>
      </c>
      <c r="D6763">
        <v>6.3413449999999996</v>
      </c>
      <c r="E6763">
        <v>0.52840640000000005</v>
      </c>
      <c r="F6763" t="s">
        <v>42</v>
      </c>
      <c r="G6763">
        <v>-172.1379</v>
      </c>
      <c r="H6763">
        <v>0.90234700000000001</v>
      </c>
      <c r="I6763">
        <v>133.5881</v>
      </c>
      <c r="J6763">
        <v>-172.68109999999999</v>
      </c>
      <c r="K6763">
        <v>1.108519</v>
      </c>
      <c r="L6763">
        <v>133.58449999999999</v>
      </c>
      <c r="M6763">
        <v>0.98155700000000001</v>
      </c>
      <c r="N6763">
        <v>0</v>
      </c>
      <c r="O6763">
        <v>0.1897848</v>
      </c>
      <c r="P6763">
        <v>0.9958243</v>
      </c>
      <c r="Q6763">
        <v>-3.3408519999999997E-2</v>
      </c>
      <c r="R6763">
        <v>8.4958160000000005E-2</v>
      </c>
      <c r="S6763">
        <v>2.9744570000000001</v>
      </c>
      <c r="T6763">
        <v>-0.8917427</v>
      </c>
      <c r="U6763">
        <v>9.4436649999999997E-2</v>
      </c>
      <c r="V6763">
        <v>0.105545</v>
      </c>
      <c r="W6763">
        <v>-1.137761E-2</v>
      </c>
      <c r="X6763">
        <v>0.99434940000000005</v>
      </c>
      <c r="Y6763">
        <v>0.1440177</v>
      </c>
      <c r="Z6763">
        <v>-7.6492019999999994E-2</v>
      </c>
      <c r="AA6763">
        <v>0.98661430000000006</v>
      </c>
      <c r="AB6763">
        <v>14</v>
      </c>
      <c r="AC6763">
        <v>0.54319999999998403</v>
      </c>
      <c r="AD6763">
        <v>-0.20617199999999999</v>
      </c>
      <c r="AE6763">
        <v>3.6000000000058199E-3</v>
      </c>
      <c r="AF6763">
        <v>8.7044757078361304E-2</v>
      </c>
      <c r="AG6763">
        <v>-0.20617199999999999</v>
      </c>
      <c r="AH6763">
        <v>0.466766933923631</v>
      </c>
      <c r="AI6763">
        <v>113.471281744998</v>
      </c>
      <c r="AJ6763">
        <v>79.4365677435257</v>
      </c>
      <c r="AK6763">
        <v>0.51764375194075096</v>
      </c>
      <c r="AL6763">
        <v>90.651903123290893</v>
      </c>
      <c r="AM6763">
        <v>83.941038887630299</v>
      </c>
      <c r="AN6763">
        <v>0.99999996315733497</v>
      </c>
    </row>
    <row r="6764" spans="1:40" x14ac:dyDescent="0.3">
      <c r="A6764" t="str">
        <f>"20200111160643459"</f>
        <v>20200111160643459</v>
      </c>
      <c r="B6764" t="str">
        <f>"1578730003449093"</f>
        <v>1578730003449093</v>
      </c>
      <c r="C6764" t="s">
        <v>40</v>
      </c>
      <c r="D6764">
        <v>5.6872099999999897</v>
      </c>
      <c r="E6764">
        <v>0.52350419999999998</v>
      </c>
      <c r="F6764" t="s">
        <v>42</v>
      </c>
      <c r="G6764">
        <v>-171.89670000000001</v>
      </c>
      <c r="H6764">
        <v>0.87449679999999996</v>
      </c>
      <c r="I6764">
        <v>133.6045</v>
      </c>
      <c r="J6764">
        <v>-172.5804</v>
      </c>
      <c r="K6764">
        <v>1.108708</v>
      </c>
      <c r="L6764">
        <v>133.5966</v>
      </c>
      <c r="M6764">
        <v>0.98262389999999999</v>
      </c>
      <c r="N6764">
        <v>0</v>
      </c>
      <c r="O6764">
        <v>0.1841671</v>
      </c>
      <c r="P6764">
        <v>0.99620529999999996</v>
      </c>
      <c r="Q6764">
        <v>-3.2779919999999997E-2</v>
      </c>
      <c r="R6764">
        <v>8.0627569999999996E-2</v>
      </c>
      <c r="S6764">
        <v>2.976334</v>
      </c>
      <c r="T6764">
        <v>-0.88750609999999996</v>
      </c>
      <c r="U6764">
        <v>7.5836180000000003E-2</v>
      </c>
      <c r="V6764">
        <v>0.104196</v>
      </c>
      <c r="W6764">
        <v>-1.0574760000000001E-2</v>
      </c>
      <c r="X6764">
        <v>0.99450059999999996</v>
      </c>
      <c r="Y6764">
        <v>0.14489749999999901</v>
      </c>
      <c r="Z6764">
        <v>-7.4625659999999996E-2</v>
      </c>
      <c r="AA6764">
        <v>0.98662850000000002</v>
      </c>
      <c r="AB6764">
        <v>14</v>
      </c>
      <c r="AC6764">
        <v>0.68369999999998698</v>
      </c>
      <c r="AD6764">
        <v>-0.23421119999999901</v>
      </c>
      <c r="AE6764">
        <v>7.9000000000064505E-3</v>
      </c>
      <c r="AF6764">
        <v>0.105772971284018</v>
      </c>
      <c r="AG6764">
        <v>-0.23421119999999901</v>
      </c>
      <c r="AH6764">
        <v>0.60273286326022701</v>
      </c>
      <c r="AI6764">
        <v>110.943516862389</v>
      </c>
      <c r="AJ6764">
        <v>80.046573149685301</v>
      </c>
      <c r="AK6764">
        <v>0.655232563380027</v>
      </c>
      <c r="AL6764">
        <v>90.605900387413001</v>
      </c>
      <c r="AM6764">
        <v>84.018817904089403</v>
      </c>
      <c r="AN6764">
        <v>1.0000000376827001</v>
      </c>
    </row>
    <row r="6765" spans="1:40" x14ac:dyDescent="0.3">
      <c r="A6765" t="str">
        <f>"20200111160643476"</f>
        <v>20200111160643476</v>
      </c>
      <c r="B6765" t="str">
        <f>"1578730003469588"</f>
        <v>1578730003469588</v>
      </c>
      <c r="C6765" t="s">
        <v>40</v>
      </c>
      <c r="D6765">
        <v>5.6026600000000002</v>
      </c>
      <c r="E6765">
        <v>0.52491560000000004</v>
      </c>
      <c r="F6765" t="s">
        <v>42</v>
      </c>
      <c r="G6765">
        <v>-171.85509999999999</v>
      </c>
      <c r="H6765">
        <v>0.96721239999999997</v>
      </c>
      <c r="I6765">
        <v>133.61699999999999</v>
      </c>
      <c r="J6765">
        <v>-172.48560000000001</v>
      </c>
      <c r="K6765">
        <v>1.108948</v>
      </c>
      <c r="L6765">
        <v>133.60759999999999</v>
      </c>
      <c r="M6765">
        <v>0.98359560000000001</v>
      </c>
      <c r="N6765">
        <v>0</v>
      </c>
      <c r="O6765">
        <v>0.17888389999999901</v>
      </c>
      <c r="P6765">
        <v>0.99654010000000004</v>
      </c>
      <c r="Q6765">
        <v>-3.2606379999999997E-2</v>
      </c>
      <c r="R6765">
        <v>7.6452339999999994E-2</v>
      </c>
      <c r="S6765">
        <v>2.9854430000000001</v>
      </c>
      <c r="T6765">
        <v>-0.58191130000000002</v>
      </c>
      <c r="U6765">
        <v>8.4197999999999995E-2</v>
      </c>
      <c r="V6765">
        <v>0.1030291</v>
      </c>
      <c r="W6765">
        <v>-1.017036E-2</v>
      </c>
      <c r="X6765">
        <v>0.99462629999999996</v>
      </c>
      <c r="Y6765">
        <v>0.14506729999999901</v>
      </c>
      <c r="Z6765">
        <v>-4.8385129999999998E-2</v>
      </c>
      <c r="AA6765">
        <v>0.98823799999999995</v>
      </c>
      <c r="AB6765">
        <v>14</v>
      </c>
      <c r="AC6765">
        <v>0.63050000000001205</v>
      </c>
      <c r="AD6765">
        <v>-0.14173559999999999</v>
      </c>
      <c r="AE6765">
        <v>9.4000000000278305E-3</v>
      </c>
      <c r="AF6765">
        <v>9.8587519449233205E-2</v>
      </c>
      <c r="AG6765">
        <v>-0.14173559999999999</v>
      </c>
      <c r="AH6765">
        <v>0.59209216129752096</v>
      </c>
      <c r="AI6765">
        <v>103.28589430979299</v>
      </c>
      <c r="AJ6765">
        <v>80.546576179300104</v>
      </c>
      <c r="AK6765">
        <v>0.61675084658918899</v>
      </c>
      <c r="AL6765">
        <v>90.582728777012804</v>
      </c>
      <c r="AM6765">
        <v>84.0860663497415</v>
      </c>
      <c r="AN6765">
        <v>0.99999995416051302</v>
      </c>
    </row>
    <row r="6766" spans="1:40" x14ac:dyDescent="0.3">
      <c r="A6766" t="str">
        <f>"20200111160643489"</f>
        <v>20200111160643489</v>
      </c>
      <c r="B6766" t="str">
        <f>"1578730003479348"</f>
        <v>1578730003479348</v>
      </c>
      <c r="C6766" t="s">
        <v>40</v>
      </c>
      <c r="D6766">
        <v>5.6459659999999996</v>
      </c>
      <c r="E6766">
        <v>0.52703219999999995</v>
      </c>
      <c r="F6766" t="s">
        <v>42</v>
      </c>
      <c r="G6766">
        <v>-171.7593</v>
      </c>
      <c r="H6766">
        <v>0.9127769</v>
      </c>
      <c r="I6766">
        <v>133.62569999999999</v>
      </c>
      <c r="J6766">
        <v>-172.40520000000001</v>
      </c>
      <c r="K6766">
        <v>1.1091549999999999</v>
      </c>
      <c r="L6766">
        <v>133.61680000000001</v>
      </c>
      <c r="M6766">
        <v>0.98439069999999995</v>
      </c>
      <c r="N6766">
        <v>0</v>
      </c>
      <c r="O6766">
        <v>0.17443510000000001</v>
      </c>
      <c r="P6766">
        <v>0.99653119999999995</v>
      </c>
      <c r="Q6766">
        <v>-3.4615199999999999E-2</v>
      </c>
      <c r="R6766">
        <v>7.5680010000000006E-2</v>
      </c>
      <c r="S6766">
        <v>2.9784090000000001</v>
      </c>
      <c r="T6766">
        <v>-0.80415669999999995</v>
      </c>
      <c r="U6766">
        <v>7.4279789999999998E-2</v>
      </c>
      <c r="V6766">
        <v>9.9286550000000001E-2</v>
      </c>
      <c r="W6766">
        <v>-1.195528E-2</v>
      </c>
      <c r="X6766">
        <v>0.99498710000000001</v>
      </c>
      <c r="Y6766">
        <v>0.1387322</v>
      </c>
      <c r="Z6766">
        <v>-6.4463900000000005E-2</v>
      </c>
      <c r="AA6766">
        <v>0.98822960000000004</v>
      </c>
      <c r="AB6766">
        <v>14</v>
      </c>
      <c r="AC6766">
        <v>0.64590000000001102</v>
      </c>
      <c r="AD6766">
        <v>-0.196378099999999</v>
      </c>
      <c r="AE6766">
        <v>8.8999999999828001E-3</v>
      </c>
      <c r="AF6766">
        <v>9.5141848098503901E-2</v>
      </c>
      <c r="AG6766">
        <v>-0.196378099999999</v>
      </c>
      <c r="AH6766">
        <v>0.58360707726865202</v>
      </c>
      <c r="AI6766">
        <v>108.371639284263</v>
      </c>
      <c r="AJ6766">
        <v>80.740876312442595</v>
      </c>
      <c r="AK6766">
        <v>0.62306785349371596</v>
      </c>
      <c r="AL6766">
        <v>90.685003378996001</v>
      </c>
      <c r="AM6766">
        <v>84.301503271916104</v>
      </c>
      <c r="AN6766">
        <v>1.0000000384485901</v>
      </c>
    </row>
    <row r="6767" spans="1:40" x14ac:dyDescent="0.3">
      <c r="A6767" t="str">
        <f>"20200111160643505"</f>
        <v>20200111160643505</v>
      </c>
      <c r="B6767" t="str">
        <f>"1578730003499844"</f>
        <v>1578730003499844</v>
      </c>
      <c r="C6767" t="s">
        <v>40</v>
      </c>
      <c r="D6767">
        <v>5.6616759999999999</v>
      </c>
      <c r="E6767">
        <v>0.52806309999999901</v>
      </c>
      <c r="F6767" t="s">
        <v>42</v>
      </c>
      <c r="G6767">
        <v>-171.64580000000001</v>
      </c>
      <c r="H6767">
        <v>0.89526939999999999</v>
      </c>
      <c r="I6767">
        <v>133.63079999999999</v>
      </c>
      <c r="J6767">
        <v>-172.30340000000001</v>
      </c>
      <c r="K6767">
        <v>1.10938799999999</v>
      </c>
      <c r="L6767">
        <v>133.62799999999999</v>
      </c>
      <c r="M6767">
        <v>0.98535340000000005</v>
      </c>
      <c r="N6767">
        <v>0</v>
      </c>
      <c r="O6767">
        <v>0.16889009999999999</v>
      </c>
      <c r="P6767">
        <v>0.99673710000000004</v>
      </c>
      <c r="Q6767">
        <v>-3.5435050000000003E-2</v>
      </c>
      <c r="R6767">
        <v>7.2523409999999996E-2</v>
      </c>
      <c r="S6767">
        <v>2.9771580000000002</v>
      </c>
      <c r="T6767">
        <v>-0.83798689999999998</v>
      </c>
      <c r="U6767">
        <v>5.5129999999999998E-2</v>
      </c>
      <c r="V6767">
        <v>9.683543E-2</v>
      </c>
      <c r="W6767">
        <v>-1.2544710000000001E-2</v>
      </c>
      <c r="X6767">
        <v>0.99522140000000003</v>
      </c>
      <c r="Y6767">
        <v>0.13876479999999999</v>
      </c>
      <c r="Z6767">
        <v>-6.5606600000000001E-2</v>
      </c>
      <c r="AA6767">
        <v>0.98814979999999997</v>
      </c>
      <c r="AB6767">
        <v>13</v>
      </c>
      <c r="AC6767">
        <v>0.65760000000000196</v>
      </c>
      <c r="AD6767">
        <v>-0.21411859999999899</v>
      </c>
      <c r="AE6767">
        <v>2.80000000000768E-3</v>
      </c>
      <c r="AF6767">
        <v>9.7948904656616001E-2</v>
      </c>
      <c r="AG6767">
        <v>-0.21411859999999899</v>
      </c>
      <c r="AH6767">
        <v>0.586447574509255</v>
      </c>
      <c r="AI6767">
        <v>109.805105223105</v>
      </c>
      <c r="AJ6767">
        <v>80.517940618212506</v>
      </c>
      <c r="AK6767">
        <v>0.63195056803295802</v>
      </c>
      <c r="AL6767">
        <v>90.718777753534695</v>
      </c>
      <c r="AM6767">
        <v>84.442592273779795</v>
      </c>
      <c r="AN6767">
        <v>1.00000005263511</v>
      </c>
    </row>
    <row r="6768" spans="1:40" x14ac:dyDescent="0.3">
      <c r="A6768" t="str">
        <f>"20200111160643520"</f>
        <v>20200111160643520</v>
      </c>
      <c r="B6768" t="str">
        <f>"1578730003509604"</f>
        <v>1578730003509604</v>
      </c>
      <c r="C6768" t="s">
        <v>40</v>
      </c>
      <c r="D6768">
        <v>5.6824849999999998</v>
      </c>
      <c r="E6768">
        <v>0.5279604</v>
      </c>
      <c r="F6768" t="s">
        <v>42</v>
      </c>
      <c r="G6768">
        <v>-171.5308</v>
      </c>
      <c r="H6768">
        <v>0.88529559999999996</v>
      </c>
      <c r="I6768">
        <v>133.6377</v>
      </c>
      <c r="J6768">
        <v>-172.21719999999999</v>
      </c>
      <c r="K6768">
        <v>1.1095250000000001</v>
      </c>
      <c r="L6768">
        <v>133.63720000000001</v>
      </c>
      <c r="M6768">
        <v>0.98611499999999996</v>
      </c>
      <c r="N6768">
        <v>0</v>
      </c>
      <c r="O6768">
        <v>0.1643742</v>
      </c>
      <c r="P6768">
        <v>0.99684930000000005</v>
      </c>
      <c r="Q6768">
        <v>-3.5811629999999997E-2</v>
      </c>
      <c r="R6768">
        <v>7.0777709999999994E-2</v>
      </c>
      <c r="S6768">
        <v>2.9763950000000001</v>
      </c>
      <c r="T6768">
        <v>-0.86313099999999998</v>
      </c>
      <c r="U6768">
        <v>3.7475590000000003E-2</v>
      </c>
      <c r="V6768">
        <v>9.4020809999999996E-2</v>
      </c>
      <c r="W6768">
        <v>-1.27916E-2</v>
      </c>
      <c r="X6768">
        <v>0.99548800000000004</v>
      </c>
      <c r="Y6768">
        <v>0.13952229999999999</v>
      </c>
      <c r="Z6768">
        <v>-6.6362489999999996E-2</v>
      </c>
      <c r="AA6768">
        <v>0.98799269999999995</v>
      </c>
      <c r="AB6768">
        <v>13</v>
      </c>
      <c r="AC6768">
        <v>0.68639999999999102</v>
      </c>
      <c r="AD6768">
        <v>-0.2242294</v>
      </c>
      <c r="AE6768">
        <v>4.9999999998817603E-4</v>
      </c>
      <c r="AF6768">
        <v>0.101529883261528</v>
      </c>
      <c r="AG6768">
        <v>-0.2242294</v>
      </c>
      <c r="AH6768">
        <v>0.61184663835043396</v>
      </c>
      <c r="AI6768">
        <v>109.876742442698</v>
      </c>
      <c r="AJ6768">
        <v>80.578187476474895</v>
      </c>
      <c r="AK6768">
        <v>0.65950242598506503</v>
      </c>
      <c r="AL6768">
        <v>90.7329247197721</v>
      </c>
      <c r="AM6768">
        <v>84.6045928786356</v>
      </c>
      <c r="AN6768">
        <v>0.99999994794380598</v>
      </c>
    </row>
    <row r="6769" spans="1:40" x14ac:dyDescent="0.3">
      <c r="A6769" t="str">
        <f>"20200111160643536"</f>
        <v>20200111160643536</v>
      </c>
      <c r="B6769" t="str">
        <f>"1578730003529123"</f>
        <v>1578730003529123</v>
      </c>
      <c r="C6769" t="s">
        <v>40</v>
      </c>
      <c r="D6769">
        <v>5.6670389999999999</v>
      </c>
      <c r="E6769">
        <v>0.52790959999999998</v>
      </c>
      <c r="F6769" t="s">
        <v>42</v>
      </c>
      <c r="G6769">
        <v>-171.52189999999999</v>
      </c>
      <c r="H6769">
        <v>0.90835999999999995</v>
      </c>
      <c r="I6769">
        <v>133.6446</v>
      </c>
      <c r="J6769">
        <v>-172.12479999999999</v>
      </c>
      <c r="K6769">
        <v>1.109642</v>
      </c>
      <c r="L6769">
        <v>133.64660000000001</v>
      </c>
      <c r="M6769">
        <v>0.98687670000000005</v>
      </c>
      <c r="N6769">
        <v>0</v>
      </c>
      <c r="O6769">
        <v>0.15973019999999999</v>
      </c>
      <c r="P6769">
        <v>0.9969036</v>
      </c>
      <c r="Q6769">
        <v>-3.2808950000000003E-2</v>
      </c>
      <c r="R6769">
        <v>7.1464E-2</v>
      </c>
      <c r="S6769">
        <v>2.9762729999999999</v>
      </c>
      <c r="T6769">
        <v>-0.86084459999999996</v>
      </c>
      <c r="U6769">
        <v>3.1936649999999997E-2</v>
      </c>
      <c r="V6769">
        <v>8.8686719999999997E-2</v>
      </c>
      <c r="W6769">
        <v>-9.6723710000000008E-3</v>
      </c>
      <c r="X6769">
        <v>0.99601260000000003</v>
      </c>
      <c r="Y6769">
        <v>0.13705699999999901</v>
      </c>
      <c r="Z6769">
        <v>-6.4546859999999998E-2</v>
      </c>
      <c r="AA6769">
        <v>0.9884579</v>
      </c>
      <c r="AB6769">
        <v>13</v>
      </c>
      <c r="AC6769">
        <v>0.60290000000000499</v>
      </c>
      <c r="AD6769">
        <v>-0.20128199999999999</v>
      </c>
      <c r="AE6769">
        <v>-2.0000000000095402E-3</v>
      </c>
      <c r="AF6769">
        <v>8.8444706481016794E-2</v>
      </c>
      <c r="AG6769">
        <v>-0.20128199999999999</v>
      </c>
      <c r="AH6769">
        <v>0.53518425260219604</v>
      </c>
      <c r="AI6769">
        <v>110.358155723376</v>
      </c>
      <c r="AJ6769">
        <v>80.616097075564596</v>
      </c>
      <c r="AK6769">
        <v>0.57858369650542696</v>
      </c>
      <c r="AL6769">
        <v>90.554194680880002</v>
      </c>
      <c r="AM6769">
        <v>84.911701759233296</v>
      </c>
      <c r="AN6769">
        <v>0.99999999421193997</v>
      </c>
    </row>
    <row r="6770" spans="1:40" x14ac:dyDescent="0.3">
      <c r="A6770" t="str">
        <f>"20200111160643557"</f>
        <v>20200111160643557</v>
      </c>
      <c r="B6770" t="str">
        <f>"1578730003549624"</f>
        <v>1578730003549624</v>
      </c>
      <c r="C6770" t="s">
        <v>40</v>
      </c>
      <c r="D6770">
        <v>5.6644220000000001</v>
      </c>
      <c r="E6770">
        <v>0.52831209999999995</v>
      </c>
      <c r="F6770" t="s">
        <v>42</v>
      </c>
      <c r="G6770">
        <v>-171.40870000000001</v>
      </c>
      <c r="H6770">
        <v>0.90100670000000005</v>
      </c>
      <c r="I6770">
        <v>133.65530000000001</v>
      </c>
      <c r="J6770">
        <v>-172.00210000000001</v>
      </c>
      <c r="K6770">
        <v>1.1098110000000001</v>
      </c>
      <c r="L6770">
        <v>133.65880000000001</v>
      </c>
      <c r="M6770">
        <v>0.98781470000000005</v>
      </c>
      <c r="N6770">
        <v>0</v>
      </c>
      <c r="O6770">
        <v>0.15381529999999999</v>
      </c>
      <c r="P6770">
        <v>0.99705739999999998</v>
      </c>
      <c r="Q6770">
        <v>-2.9549300000000001E-2</v>
      </c>
      <c r="R6770">
        <v>7.0737300000000003E-2</v>
      </c>
      <c r="S6770">
        <v>2.97818</v>
      </c>
      <c r="T6770">
        <v>-0.86704729999999997</v>
      </c>
      <c r="U6770">
        <v>3.645325E-2</v>
      </c>
      <c r="V6770">
        <v>8.3482520000000005E-2</v>
      </c>
      <c r="W6770">
        <v>-6.2878830000000002E-3</v>
      </c>
      <c r="X6770">
        <v>0.99648939999999997</v>
      </c>
      <c r="Y6770">
        <v>0.1300144</v>
      </c>
      <c r="Z6770">
        <v>-6.2276930000000001E-2</v>
      </c>
      <c r="AA6770">
        <v>0.9895543</v>
      </c>
      <c r="AB6770">
        <v>13</v>
      </c>
      <c r="AC6770">
        <v>0.59340000000000204</v>
      </c>
      <c r="AD6770">
        <v>-0.2088043</v>
      </c>
      <c r="AE6770">
        <v>-3.5000000000024998E-3</v>
      </c>
      <c r="AF6770">
        <v>8.4318270654117705E-2</v>
      </c>
      <c r="AG6770">
        <v>-0.2088043</v>
      </c>
      <c r="AH6770">
        <v>0.521257045248255</v>
      </c>
      <c r="AI6770">
        <v>111.575736932669</v>
      </c>
      <c r="AJ6770">
        <v>80.811455486930697</v>
      </c>
      <c r="AK6770">
        <v>0.56781838089791703</v>
      </c>
      <c r="AL6770">
        <v>90.3602715333097</v>
      </c>
      <c r="AM6770">
        <v>85.211135588725796</v>
      </c>
      <c r="AN6770">
        <v>0.99999999646526505</v>
      </c>
    </row>
    <row r="6771" spans="1:40" x14ac:dyDescent="0.3">
      <c r="A6771" t="str">
        <f>"20200111160643577"</f>
        <v>20200111160643577</v>
      </c>
      <c r="B6771" t="str">
        <f>"1578730003569140"</f>
        <v>1578730003569140</v>
      </c>
      <c r="C6771" t="s">
        <v>40</v>
      </c>
      <c r="D6771">
        <v>5.6660870000000001</v>
      </c>
      <c r="E6771">
        <v>0.52873329999999996</v>
      </c>
      <c r="F6771" t="s">
        <v>42</v>
      </c>
      <c r="G6771">
        <v>-171.29300000000001</v>
      </c>
      <c r="H6771">
        <v>0.90379039999999999</v>
      </c>
      <c r="I6771">
        <v>133.66720000000001</v>
      </c>
      <c r="J6771">
        <v>-171.8845</v>
      </c>
      <c r="K6771">
        <v>1.1100209999999999</v>
      </c>
      <c r="L6771">
        <v>133.66999999999999</v>
      </c>
      <c r="M6771">
        <v>0.98864359999999996</v>
      </c>
      <c r="N6771">
        <v>0</v>
      </c>
      <c r="O6771">
        <v>0.14838380000000001</v>
      </c>
      <c r="P6771">
        <v>0.99699450000000001</v>
      </c>
      <c r="Q6771">
        <v>-3.0000789999999999E-2</v>
      </c>
      <c r="R6771">
        <v>7.1428480000000003E-2</v>
      </c>
      <c r="S6771">
        <v>2.9806819999999998</v>
      </c>
      <c r="T6771">
        <v>-0.86611149999999903</v>
      </c>
      <c r="U6771">
        <v>3.5202030000000002E-2</v>
      </c>
      <c r="V6771">
        <v>7.7315850000000005E-2</v>
      </c>
      <c r="W6771">
        <v>-6.601549E-3</v>
      </c>
      <c r="X6771">
        <v>0.9969848</v>
      </c>
      <c r="Y6771">
        <v>0.1254506</v>
      </c>
      <c r="Z6771">
        <v>-5.9980999999999902E-2</v>
      </c>
      <c r="AA6771">
        <v>0.99028499999999997</v>
      </c>
      <c r="AB6771">
        <v>13</v>
      </c>
      <c r="AC6771">
        <v>0.59149999999999603</v>
      </c>
      <c r="AD6771">
        <v>-0.20623059999999999</v>
      </c>
      <c r="AE6771">
        <v>-2.7999999999792601E-3</v>
      </c>
      <c r="AF6771">
        <v>8.0747298568154297E-2</v>
      </c>
      <c r="AG6771">
        <v>-0.20623059999999999</v>
      </c>
      <c r="AH6771">
        <v>0.52117873818454696</v>
      </c>
      <c r="AI6771">
        <v>111.357236407237</v>
      </c>
      <c r="AJ6771">
        <v>81.193068075359804</v>
      </c>
      <c r="AK6771">
        <v>0.56628479031142198</v>
      </c>
      <c r="AL6771">
        <v>90.378243640948796</v>
      </c>
      <c r="AM6771">
        <v>85.565605960466499</v>
      </c>
      <c r="AN6771">
        <v>1.0000000062707299</v>
      </c>
    </row>
    <row r="6772" spans="1:40" x14ac:dyDescent="0.3">
      <c r="A6772" t="str">
        <f>"20200111160643600"</f>
        <v>20200111160643600</v>
      </c>
      <c r="B6772" t="str">
        <f>"1578730003589636"</f>
        <v>1578730003589636</v>
      </c>
      <c r="C6772" t="s">
        <v>40</v>
      </c>
      <c r="D6772">
        <v>5.9568009999999996</v>
      </c>
      <c r="E6772">
        <v>0.52870010000000001</v>
      </c>
      <c r="F6772" t="s">
        <v>42</v>
      </c>
      <c r="G6772">
        <v>-171.18049999999999</v>
      </c>
      <c r="H6772">
        <v>0.90366080000000004</v>
      </c>
      <c r="I6772">
        <v>133.67789999999999</v>
      </c>
      <c r="J6772">
        <v>-171.75899999999999</v>
      </c>
      <c r="K6772">
        <v>1.110277</v>
      </c>
      <c r="L6772">
        <v>133.6815</v>
      </c>
      <c r="M6772">
        <v>0.98946270000000003</v>
      </c>
      <c r="N6772">
        <v>0</v>
      </c>
      <c r="O6772">
        <v>0.14280789999999999</v>
      </c>
      <c r="P6772">
        <v>0.99685159999999995</v>
      </c>
      <c r="Q6772">
        <v>-3.0758130000000002E-2</v>
      </c>
      <c r="R6772">
        <v>7.3081690000000005E-2</v>
      </c>
      <c r="S6772">
        <v>2.9803310000000001</v>
      </c>
      <c r="T6772">
        <v>-0.87334389999999995</v>
      </c>
      <c r="U6772">
        <v>3.4011840000000002E-2</v>
      </c>
      <c r="V6772">
        <v>7.004146E-2</v>
      </c>
      <c r="W6772">
        <v>-7.20624E-3</v>
      </c>
      <c r="X6772">
        <v>0.99751809999999996</v>
      </c>
      <c r="Y6772">
        <v>0.12050810000000001</v>
      </c>
      <c r="Z6772">
        <v>-5.8172979999999999E-2</v>
      </c>
      <c r="AA6772">
        <v>0.99100639999999995</v>
      </c>
      <c r="AB6772">
        <v>13</v>
      </c>
      <c r="AC6772">
        <v>0.578500000000019</v>
      </c>
      <c r="AD6772">
        <v>-0.206616199999999</v>
      </c>
      <c r="AE6772">
        <v>-3.6000000000058199E-3</v>
      </c>
      <c r="AF6772">
        <v>7.6449317932604094E-2</v>
      </c>
      <c r="AG6772">
        <v>-0.206616199999999</v>
      </c>
      <c r="AH6772">
        <v>0.50733828623086896</v>
      </c>
      <c r="AI6772">
        <v>111.935083788285</v>
      </c>
      <c r="AJ6772">
        <v>81.430738525720699</v>
      </c>
      <c r="AK6772">
        <v>0.55310658013666403</v>
      </c>
      <c r="AL6772">
        <v>90.412890691986405</v>
      </c>
      <c r="AM6772">
        <v>85.983527186817497</v>
      </c>
      <c r="AN6772">
        <v>1.0000000479207301</v>
      </c>
    </row>
    <row r="6773" spans="1:40" x14ac:dyDescent="0.3">
      <c r="A6773" t="str">
        <f>"20200111160643619"</f>
        <v>20200111160643619</v>
      </c>
      <c r="B6773" t="str">
        <f>"1578730003599396"</f>
        <v>1578730003599396</v>
      </c>
      <c r="C6773" t="s">
        <v>40</v>
      </c>
      <c r="D6773">
        <v>6.7846250000000001</v>
      </c>
      <c r="E6773">
        <v>0.51804340000000004</v>
      </c>
      <c r="F6773" t="s">
        <v>42</v>
      </c>
      <c r="G6773">
        <v>-171.0686</v>
      </c>
      <c r="H6773">
        <v>0.90716580000000002</v>
      </c>
      <c r="I6773">
        <v>133.6902</v>
      </c>
      <c r="J6773">
        <v>-171.65350000000001</v>
      </c>
      <c r="K6773">
        <v>1.110493</v>
      </c>
      <c r="L6773">
        <v>133.691</v>
      </c>
      <c r="M6773">
        <v>0.99009740000000002</v>
      </c>
      <c r="N6773">
        <v>0</v>
      </c>
      <c r="O6773">
        <v>0.13833290000000001</v>
      </c>
      <c r="P6773">
        <v>0.9968998</v>
      </c>
      <c r="Q6773">
        <v>-3.1009470000000001E-2</v>
      </c>
      <c r="R6773">
        <v>7.2315539999999998E-2</v>
      </c>
      <c r="S6773">
        <v>2.9796749999999999</v>
      </c>
      <c r="T6773">
        <v>-0.87652619999999903</v>
      </c>
      <c r="U6773">
        <v>3.7292480000000003E-2</v>
      </c>
      <c r="V6773">
        <v>6.6301460000000007E-2</v>
      </c>
      <c r="W6773">
        <v>-7.361271E-3</v>
      </c>
      <c r="X6773">
        <v>0.99777249999999995</v>
      </c>
      <c r="Y6773">
        <v>0.115256399999999</v>
      </c>
      <c r="Z6773">
        <v>-5.6352220000000001E-2</v>
      </c>
      <c r="AA6773">
        <v>0.99173610000000001</v>
      </c>
      <c r="AB6773">
        <v>12</v>
      </c>
      <c r="AC6773">
        <v>0.58490000000000397</v>
      </c>
      <c r="AD6773">
        <v>-0.20332719999999899</v>
      </c>
      <c r="AE6773">
        <v>-7.9999999999813499E-4</v>
      </c>
      <c r="AF6773">
        <v>7.2914961022362404E-2</v>
      </c>
      <c r="AG6773">
        <v>-0.20332719999999899</v>
      </c>
      <c r="AH6773">
        <v>0.51671995348065602</v>
      </c>
      <c r="AI6773">
        <v>111.287667615186</v>
      </c>
      <c r="AJ6773">
        <v>81.967957242102102</v>
      </c>
      <c r="AK6773">
        <v>0.56005182985665103</v>
      </c>
      <c r="AL6773">
        <v>90.421773562310406</v>
      </c>
      <c r="AM6773">
        <v>86.1983143783538</v>
      </c>
      <c r="AN6773">
        <v>1.00000001683255</v>
      </c>
    </row>
    <row r="6774" spans="1:40" x14ac:dyDescent="0.3">
      <c r="A6774" t="str">
        <f>"20200111160643636"</f>
        <v>20200111160643636</v>
      </c>
      <c r="B6774" t="str">
        <f>"1578730003629652"</f>
        <v>1578730003629652</v>
      </c>
      <c r="C6774" t="s">
        <v>40</v>
      </c>
      <c r="D6774">
        <v>5.7865769999999896</v>
      </c>
      <c r="E6774">
        <v>0.52612040000000004</v>
      </c>
      <c r="F6774" t="s">
        <v>42</v>
      </c>
      <c r="G6774">
        <v>-170.94890000000001</v>
      </c>
      <c r="H6774">
        <v>0.93372010000000005</v>
      </c>
      <c r="I6774">
        <v>133.71719999999999</v>
      </c>
      <c r="J6774">
        <v>-171.56389999999999</v>
      </c>
      <c r="K6774">
        <v>1.1106609999999999</v>
      </c>
      <c r="L6774">
        <v>133.69890000000001</v>
      </c>
      <c r="M6774">
        <v>0.99059399999999997</v>
      </c>
      <c r="N6774">
        <v>0</v>
      </c>
      <c r="O6774">
        <v>0.1347254</v>
      </c>
      <c r="P6774">
        <v>0.99691629999999998</v>
      </c>
      <c r="Q6774">
        <v>-3.033284E-2</v>
      </c>
      <c r="R6774">
        <v>7.2374439999999998E-2</v>
      </c>
      <c r="S6774">
        <v>2.9780579999999999</v>
      </c>
      <c r="T6774">
        <v>-0.74683140000000003</v>
      </c>
      <c r="U6774">
        <v>0.1111298</v>
      </c>
      <c r="V6774">
        <v>6.26168E-2</v>
      </c>
      <c r="W6774">
        <v>-6.6179359999999996E-3</v>
      </c>
      <c r="X6774">
        <v>0.99801569999999995</v>
      </c>
      <c r="Y6774">
        <v>9.0774209999999994E-2</v>
      </c>
      <c r="Z6774">
        <v>-4.437642E-2</v>
      </c>
      <c r="AA6774">
        <v>0.9948823</v>
      </c>
      <c r="AB6774">
        <v>12</v>
      </c>
      <c r="AC6774">
        <v>0.61499999999998001</v>
      </c>
      <c r="AD6774">
        <v>-0.17694090000000001</v>
      </c>
      <c r="AE6774">
        <v>1.8299999999982199E-2</v>
      </c>
      <c r="AF6774">
        <v>5.9801056600934398E-2</v>
      </c>
      <c r="AG6774">
        <v>-0.17694090000000001</v>
      </c>
      <c r="AH6774">
        <v>0.56511888986060699</v>
      </c>
      <c r="AI6774">
        <v>107.294780187866</v>
      </c>
      <c r="AJ6774">
        <v>83.959423198974093</v>
      </c>
      <c r="AK6774">
        <v>0.59518367596959798</v>
      </c>
      <c r="AL6774">
        <v>90.379182570117806</v>
      </c>
      <c r="AM6774">
        <v>86.409894295602996</v>
      </c>
      <c r="AN6774">
        <v>0.99999999908281401</v>
      </c>
    </row>
    <row r="6775" spans="1:40" x14ac:dyDescent="0.3">
      <c r="A6775" t="str">
        <f>"20200111160643651"</f>
        <v>20200111160643651</v>
      </c>
      <c r="B6775" t="str">
        <f>"1578730003639412"</f>
        <v>1578730003639412</v>
      </c>
      <c r="C6775" t="s">
        <v>40</v>
      </c>
      <c r="D6775">
        <v>5.9352689999999999</v>
      </c>
      <c r="E6775">
        <v>0.52684149999999996</v>
      </c>
      <c r="F6775" t="s">
        <v>42</v>
      </c>
      <c r="G6775">
        <v>-170.84559999999999</v>
      </c>
      <c r="H6775">
        <v>0.92194569999999998</v>
      </c>
      <c r="I6775">
        <v>133.71039999999999</v>
      </c>
      <c r="J6775">
        <v>-171.48599999999999</v>
      </c>
      <c r="K6775">
        <v>1.1108039999999999</v>
      </c>
      <c r="L6775">
        <v>133.70570000000001</v>
      </c>
      <c r="M6775">
        <v>0.99099720000000002</v>
      </c>
      <c r="N6775">
        <v>0</v>
      </c>
      <c r="O6775">
        <v>0.13172249999999999</v>
      </c>
      <c r="P6775">
        <v>0.99675630000000004</v>
      </c>
      <c r="Q6775">
        <v>-2.809439E-2</v>
      </c>
      <c r="R6775">
        <v>7.541602E-2</v>
      </c>
      <c r="S6775">
        <v>2.9819789999999999</v>
      </c>
      <c r="T6775">
        <v>-0.78343119999999999</v>
      </c>
      <c r="U6775">
        <v>4.7805790000000001E-2</v>
      </c>
      <c r="V6775">
        <v>5.6564599999999902E-2</v>
      </c>
      <c r="W6775">
        <v>-4.3168649999999996E-3</v>
      </c>
      <c r="X6775">
        <v>0.99838959999999999</v>
      </c>
      <c r="Y6775">
        <v>0.107752</v>
      </c>
      <c r="Z6775">
        <v>-4.7869490000000001E-2</v>
      </c>
      <c r="AA6775">
        <v>0.99302469999999998</v>
      </c>
      <c r="AB6775">
        <v>12</v>
      </c>
      <c r="AC6775">
        <v>0.64039999999999897</v>
      </c>
      <c r="AD6775">
        <v>-0.18885830000000001</v>
      </c>
      <c r="AE6775">
        <v>4.6999999999854901E-3</v>
      </c>
      <c r="AF6775">
        <v>7.3342058685834002E-2</v>
      </c>
      <c r="AG6775">
        <v>-0.18885830000000001</v>
      </c>
      <c r="AH6775">
        <v>0.58459639932979002</v>
      </c>
      <c r="AI6775">
        <v>107.772982789011</v>
      </c>
      <c r="AJ6775">
        <v>82.849170165605102</v>
      </c>
      <c r="AK6775">
        <v>0.61870789970754503</v>
      </c>
      <c r="AL6775">
        <v>90.247338915579903</v>
      </c>
      <c r="AM6775">
        <v>86.757326136463703</v>
      </c>
      <c r="AN6775">
        <v>0.99999999134237405</v>
      </c>
    </row>
    <row r="6776" spans="1:40" x14ac:dyDescent="0.3">
      <c r="A6776" t="str">
        <f>"20200111160643667"</f>
        <v>20200111160643667</v>
      </c>
      <c r="B6776" t="str">
        <f>"1578730003659908"</f>
        <v>1578730003659908</v>
      </c>
      <c r="C6776" t="s">
        <v>40</v>
      </c>
      <c r="D6776">
        <v>5.7609459999999997</v>
      </c>
      <c r="E6776">
        <v>0.52918369999999904</v>
      </c>
      <c r="F6776" t="s">
        <v>42</v>
      </c>
      <c r="G6776">
        <v>-170.74440000000001</v>
      </c>
      <c r="H6776">
        <v>0.91407899999999997</v>
      </c>
      <c r="I6776">
        <v>133.7183</v>
      </c>
      <c r="J6776">
        <v>-171.3989</v>
      </c>
      <c r="K6776">
        <v>1.1109979999999999</v>
      </c>
      <c r="L6776">
        <v>133.7132</v>
      </c>
      <c r="M6776">
        <v>0.99141330000000005</v>
      </c>
      <c r="N6776">
        <v>0</v>
      </c>
      <c r="O6776">
        <v>0.12852769999999999</v>
      </c>
      <c r="P6776">
        <v>0.99668440000000003</v>
      </c>
      <c r="Q6776">
        <v>-2.624632E-2</v>
      </c>
      <c r="R6776">
        <v>7.7016219999999996E-2</v>
      </c>
      <c r="S6776">
        <v>2.9836119999999999</v>
      </c>
      <c r="T6776">
        <v>-0.79122959999999998</v>
      </c>
      <c r="U6776">
        <v>5.0796510000000003E-2</v>
      </c>
      <c r="V6776">
        <v>5.1757270000000001E-2</v>
      </c>
      <c r="W6776">
        <v>-2.291277E-3</v>
      </c>
      <c r="X6776">
        <v>0.99865700000000002</v>
      </c>
      <c r="Y6776">
        <v>0.1036633</v>
      </c>
      <c r="Z6776">
        <v>-4.694371E-2</v>
      </c>
      <c r="AA6776">
        <v>0.99350400000000005</v>
      </c>
      <c r="AB6776">
        <v>12</v>
      </c>
      <c r="AC6776">
        <v>0.65449999999998398</v>
      </c>
      <c r="AD6776">
        <v>-0.19691899999999901</v>
      </c>
      <c r="AE6776">
        <v>5.0999999999987696E-3</v>
      </c>
      <c r="AF6776">
        <v>7.2523519834332098E-2</v>
      </c>
      <c r="AG6776">
        <v>-0.19691899999999901</v>
      </c>
      <c r="AH6776">
        <v>0.59579457492616295</v>
      </c>
      <c r="AI6776">
        <v>108.16430961678201</v>
      </c>
      <c r="AJ6776">
        <v>83.059774069975006</v>
      </c>
      <c r="AK6776">
        <v>0.63167074413938695</v>
      </c>
      <c r="AL6776">
        <v>90.131280625290302</v>
      </c>
      <c r="AM6776">
        <v>87.033193289116298</v>
      </c>
      <c r="AN6776">
        <v>0.99999993429856904</v>
      </c>
    </row>
    <row r="6777" spans="1:40" x14ac:dyDescent="0.3">
      <c r="A6777" t="str">
        <f>"20200111160643690"</f>
        <v>20200111160643690</v>
      </c>
      <c r="B6777" t="str">
        <f>"1578730003679428"</f>
        <v>1578730003679428</v>
      </c>
      <c r="C6777" t="s">
        <v>40</v>
      </c>
      <c r="D6777">
        <v>5.7746820000000003</v>
      </c>
      <c r="E6777">
        <v>0.53116479999999999</v>
      </c>
      <c r="F6777" t="s">
        <v>42</v>
      </c>
      <c r="G6777">
        <v>-170.6472</v>
      </c>
      <c r="H6777">
        <v>0.9058775</v>
      </c>
      <c r="I6777">
        <v>133.72299999999899</v>
      </c>
      <c r="J6777">
        <v>-171.28729999999999</v>
      </c>
      <c r="K6777">
        <v>1.111477</v>
      </c>
      <c r="L6777">
        <v>133.7227</v>
      </c>
      <c r="M6777">
        <v>0.99187530000000002</v>
      </c>
      <c r="N6777">
        <v>0</v>
      </c>
      <c r="O6777">
        <v>0.1247438</v>
      </c>
      <c r="P6777">
        <v>0.99660789999999999</v>
      </c>
      <c r="Q6777">
        <v>-2.6532409999999999E-2</v>
      </c>
      <c r="R6777">
        <v>7.790184E-2</v>
      </c>
      <c r="S6777">
        <v>2.985519</v>
      </c>
      <c r="T6777">
        <v>-0.8146466</v>
      </c>
      <c r="U6777">
        <v>3.8864139999999998E-2</v>
      </c>
      <c r="V6777">
        <v>4.7064160000000001E-2</v>
      </c>
      <c r="W6777">
        <v>-1.675342E-3</v>
      </c>
      <c r="X6777">
        <v>0.99889050000000001</v>
      </c>
      <c r="Y6777">
        <v>0.10353329999999999</v>
      </c>
      <c r="Z6777">
        <v>-4.7234159999999997E-2</v>
      </c>
      <c r="AA6777">
        <v>0.99350380000000005</v>
      </c>
      <c r="AB6777">
        <v>12</v>
      </c>
      <c r="AC6777">
        <v>0.64009999999998901</v>
      </c>
      <c r="AD6777">
        <v>-0.20559949999999999</v>
      </c>
      <c r="AE6777">
        <v>2.9999999998153699E-4</v>
      </c>
      <c r="AF6777">
        <v>7.2133757687837599E-2</v>
      </c>
      <c r="AG6777">
        <v>-0.20559949999999999</v>
      </c>
      <c r="AH6777">
        <v>0.57573644370306998</v>
      </c>
      <c r="AI6777">
        <v>109.511104916243</v>
      </c>
      <c r="AJ6777">
        <v>82.858649693004196</v>
      </c>
      <c r="AK6777">
        <v>0.61558661941783299</v>
      </c>
      <c r="AL6777">
        <v>90.095990067244998</v>
      </c>
      <c r="AM6777">
        <v>87.302422079543902</v>
      </c>
      <c r="AN6777">
        <v>1.00000003645878</v>
      </c>
    </row>
    <row r="6778" spans="1:40" x14ac:dyDescent="0.3">
      <c r="A6778" t="str">
        <f>"20200111160643712"</f>
        <v>20200111160643712</v>
      </c>
      <c r="B6778" t="str">
        <f>"1578730003709685"</f>
        <v>1578730003709685</v>
      </c>
      <c r="C6778" t="s">
        <v>40</v>
      </c>
      <c r="D6778">
        <v>5.7383940000000004</v>
      </c>
      <c r="E6778">
        <v>0.53370329999999999</v>
      </c>
      <c r="F6778" t="s">
        <v>42</v>
      </c>
      <c r="G6778">
        <v>-170.5506</v>
      </c>
      <c r="H6778">
        <v>0.90563629999999995</v>
      </c>
      <c r="I6778">
        <v>133.72899999999899</v>
      </c>
      <c r="J6778">
        <v>-171.18129999999999</v>
      </c>
      <c r="K6778">
        <v>1.1119810000000001</v>
      </c>
      <c r="L6778">
        <v>133.73159999999999</v>
      </c>
      <c r="M6778">
        <v>0.9922569</v>
      </c>
      <c r="N6778">
        <v>0</v>
      </c>
      <c r="O6778">
        <v>0.12142559999999999</v>
      </c>
      <c r="P6778">
        <v>0.99643740000000003</v>
      </c>
      <c r="Q6778">
        <v>-2.763092E-2</v>
      </c>
      <c r="R6778">
        <v>7.9680260000000003E-2</v>
      </c>
      <c r="S6778">
        <v>2.9859619999999998</v>
      </c>
      <c r="T6778">
        <v>-0.83379910000000002</v>
      </c>
      <c r="U6778">
        <v>2.6351929999999999E-2</v>
      </c>
      <c r="V6778">
        <v>4.1942769999999997E-2</v>
      </c>
      <c r="W6778">
        <v>-1.573711E-3</v>
      </c>
      <c r="X6778">
        <v>0.99911879999999997</v>
      </c>
      <c r="Y6778">
        <v>0.1040943</v>
      </c>
      <c r="Z6778">
        <v>-4.7474429999999998E-2</v>
      </c>
      <c r="AA6778">
        <v>0.99343369999999998</v>
      </c>
      <c r="AB6778">
        <v>11</v>
      </c>
      <c r="AC6778">
        <v>0.63069999999999005</v>
      </c>
      <c r="AD6778">
        <v>-0.20634469999999899</v>
      </c>
      <c r="AE6778">
        <v>-2.6000000000010398E-3</v>
      </c>
      <c r="AF6778">
        <v>7.15333009103849E-2</v>
      </c>
      <c r="AG6778">
        <v>-0.20634469999999899</v>
      </c>
      <c r="AH6778">
        <v>0.56521524845139104</v>
      </c>
      <c r="AI6778">
        <v>109.909561229377</v>
      </c>
      <c r="AJ6778">
        <v>82.787028312454197</v>
      </c>
      <c r="AK6778">
        <v>0.60594011704061401</v>
      </c>
      <c r="AL6778">
        <v>90.0901670334801</v>
      </c>
      <c r="AM6778">
        <v>87.596148219997801</v>
      </c>
      <c r="AN6778">
        <v>1.00000002451751</v>
      </c>
    </row>
    <row r="6779" spans="1:40" x14ac:dyDescent="0.3">
      <c r="A6779" t="str">
        <f>"20200111160643735"</f>
        <v>20200111160643735</v>
      </c>
      <c r="B6779" t="str">
        <f>"1578730003729204"</f>
        <v>1578730003729204</v>
      </c>
      <c r="C6779" t="s">
        <v>40</v>
      </c>
      <c r="D6779">
        <v>5.6941660000000001</v>
      </c>
      <c r="E6779">
        <v>0.53515489999999999</v>
      </c>
      <c r="F6779" t="s">
        <v>42</v>
      </c>
      <c r="G6779">
        <v>-170.4581</v>
      </c>
      <c r="H6779">
        <v>0.90469869999999997</v>
      </c>
      <c r="I6779">
        <v>133.73439999999999</v>
      </c>
      <c r="J6779">
        <v>-171.0754</v>
      </c>
      <c r="K6779">
        <v>1.1123400000000001</v>
      </c>
      <c r="L6779">
        <v>133.7405</v>
      </c>
      <c r="M6779">
        <v>0.99260539999999997</v>
      </c>
      <c r="N6779">
        <v>0</v>
      </c>
      <c r="O6779">
        <v>0.1183092</v>
      </c>
      <c r="P6779">
        <v>0.9963265</v>
      </c>
      <c r="Q6779">
        <v>-2.7314979999999999E-2</v>
      </c>
      <c r="R6779">
        <v>8.1163559999999996E-2</v>
      </c>
      <c r="S6779">
        <v>2.986084</v>
      </c>
      <c r="T6779">
        <v>-0.85573429999999995</v>
      </c>
      <c r="U6779">
        <v>1.135254E-2</v>
      </c>
      <c r="V6779">
        <v>3.7325039999999997E-2</v>
      </c>
      <c r="W6779">
        <v>-1.9300940000000001E-4</v>
      </c>
      <c r="X6779">
        <v>0.99930319999999995</v>
      </c>
      <c r="Y6779">
        <v>0.10558140000000001</v>
      </c>
      <c r="Z6779">
        <v>-4.8015919999999997E-2</v>
      </c>
      <c r="AA6779">
        <v>0.99325070000000004</v>
      </c>
      <c r="AB6779">
        <v>11</v>
      </c>
      <c r="AC6779">
        <v>0.61729999999999996</v>
      </c>
      <c r="AD6779">
        <v>-0.207641299999999</v>
      </c>
      <c r="AE6779">
        <v>-6.1000000000035401E-3</v>
      </c>
      <c r="AF6779">
        <v>7.1075316477098499E-2</v>
      </c>
      <c r="AG6779">
        <v>-0.207641299999999</v>
      </c>
      <c r="AH6779">
        <v>0.55001420070732998</v>
      </c>
      <c r="AI6779">
        <v>110.526238201973</v>
      </c>
      <c r="AJ6779">
        <v>82.636785980747206</v>
      </c>
      <c r="AK6779">
        <v>0.59218428808752799</v>
      </c>
      <c r="AL6779">
        <v>90.0110586236449</v>
      </c>
      <c r="AM6779">
        <v>87.860935912946502</v>
      </c>
      <c r="AN6779">
        <v>1.00000004069693</v>
      </c>
    </row>
    <row r="6780" spans="1:40" x14ac:dyDescent="0.3">
      <c r="A6780" t="str">
        <f>"20200111160643756"</f>
        <v>20200111160643756</v>
      </c>
      <c r="B6780" t="str">
        <f>"1578730003749704"</f>
        <v>1578730003749704</v>
      </c>
      <c r="C6780" t="s">
        <v>40</v>
      </c>
      <c r="D6780">
        <v>5.748659</v>
      </c>
      <c r="E6780">
        <v>0.53647429999999996</v>
      </c>
      <c r="F6780" t="s">
        <v>42</v>
      </c>
      <c r="G6780">
        <v>-170.36670000000001</v>
      </c>
      <c r="H6780">
        <v>0.90748070000000003</v>
      </c>
      <c r="I6780">
        <v>133.74100000000001</v>
      </c>
      <c r="J6780">
        <v>-170.97900000000001</v>
      </c>
      <c r="K6780">
        <v>1.1123940000000001</v>
      </c>
      <c r="L6780">
        <v>133.74850000000001</v>
      </c>
      <c r="M6780">
        <v>0.99292879999999994</v>
      </c>
      <c r="N6780">
        <v>0</v>
      </c>
      <c r="O6780">
        <v>0.11548070000000001</v>
      </c>
      <c r="P6780">
        <v>0.99634029999999996</v>
      </c>
      <c r="Q6780">
        <v>-2.5018080000000002E-2</v>
      </c>
      <c r="R6780">
        <v>8.1734260000000003E-2</v>
      </c>
      <c r="S6780">
        <v>2.9871669999999999</v>
      </c>
      <c r="T6780">
        <v>-0.86323570000000005</v>
      </c>
      <c r="U6780">
        <v>2.7770999999999998E-3</v>
      </c>
      <c r="V6780">
        <v>3.39152E-2</v>
      </c>
      <c r="W6780">
        <v>2.4645940000000001E-3</v>
      </c>
      <c r="X6780">
        <v>0.99942169999999997</v>
      </c>
      <c r="Y6780">
        <v>0.1055706</v>
      </c>
      <c r="Z6780">
        <v>-4.7606759999999998E-2</v>
      </c>
      <c r="AA6780">
        <v>0.99327160000000003</v>
      </c>
      <c r="AB6780">
        <v>10</v>
      </c>
      <c r="AC6780">
        <v>0.61230000000000395</v>
      </c>
      <c r="AD6780">
        <v>-0.20491329999999999</v>
      </c>
      <c r="AE6780">
        <v>-7.4999999999931797E-3</v>
      </c>
      <c r="AF6780">
        <v>7.0311759501013996E-2</v>
      </c>
      <c r="AG6780">
        <v>-0.20491329999999999</v>
      </c>
      <c r="AH6780">
        <v>0.546172711310286</v>
      </c>
      <c r="AI6780">
        <v>110.410718498028</v>
      </c>
      <c r="AJ6780">
        <v>82.664351743533601</v>
      </c>
      <c r="AK6780">
        <v>0.58756942961751102</v>
      </c>
      <c r="AL6780">
        <v>89.858789026119794</v>
      </c>
      <c r="AM6780">
        <v>88.056423604407101</v>
      </c>
      <c r="AN6780">
        <v>1.0000000247227501</v>
      </c>
    </row>
    <row r="6781" spans="1:40" x14ac:dyDescent="0.3">
      <c r="A6781" t="str">
        <f>"20200111160643774"</f>
        <v>20200111160643774</v>
      </c>
      <c r="B6781" t="str">
        <f>"1578730003769221"</f>
        <v>1578730003769221</v>
      </c>
      <c r="C6781" t="s">
        <v>40</v>
      </c>
      <c r="D6781">
        <v>5.6813640000000003</v>
      </c>
      <c r="E6781">
        <v>0.53762759999999998</v>
      </c>
      <c r="F6781" t="s">
        <v>42</v>
      </c>
      <c r="G6781">
        <v>-170.2765</v>
      </c>
      <c r="H6781">
        <v>0.9097693</v>
      </c>
      <c r="I6781">
        <v>133.74700000000001</v>
      </c>
      <c r="J6781">
        <v>-170.90010000000001</v>
      </c>
      <c r="K6781">
        <v>1.112236</v>
      </c>
      <c r="L6781">
        <v>133.755</v>
      </c>
      <c r="M6781">
        <v>0.99319729999999995</v>
      </c>
      <c r="N6781">
        <v>0</v>
      </c>
      <c r="O6781">
        <v>0.11319990000000001</v>
      </c>
      <c r="P6781">
        <v>0.99644270000000001</v>
      </c>
      <c r="Q6781">
        <v>-2.325288E-2</v>
      </c>
      <c r="R6781">
        <v>8.1002179999999993E-2</v>
      </c>
      <c r="S6781">
        <v>2.9898829999999998</v>
      </c>
      <c r="T6781">
        <v>-0.86238379999999903</v>
      </c>
      <c r="U6781">
        <v>-6.4697269999999998E-3</v>
      </c>
      <c r="V6781">
        <v>3.2359680000000002E-2</v>
      </c>
      <c r="W6781">
        <v>4.0147830000000001E-3</v>
      </c>
      <c r="X6781">
        <v>0.99946820000000003</v>
      </c>
      <c r="Y6781">
        <v>0.1064504</v>
      </c>
      <c r="Z6781">
        <v>-4.7003919999999998E-2</v>
      </c>
      <c r="AA6781">
        <v>0.99320640000000004</v>
      </c>
      <c r="AB6781">
        <v>10</v>
      </c>
      <c r="AC6781">
        <v>0.62360000000001004</v>
      </c>
      <c r="AD6781">
        <v>-0.202466699999999</v>
      </c>
      <c r="AE6781">
        <v>-7.9999999999813502E-3</v>
      </c>
      <c r="AF6781">
        <v>7.1075265448073105E-2</v>
      </c>
      <c r="AG6781">
        <v>-0.202466699999999</v>
      </c>
      <c r="AH6781">
        <v>0.559693351491372</v>
      </c>
      <c r="AI6781">
        <v>109.74122257087799</v>
      </c>
      <c r="AJ6781">
        <v>82.7627662849968</v>
      </c>
      <c r="AK6781">
        <v>0.59941730511476599</v>
      </c>
      <c r="AL6781">
        <v>89.769969254748801</v>
      </c>
      <c r="AM6781">
        <v>88.145588178630902</v>
      </c>
      <c r="AN6781">
        <v>0.99999997509173899</v>
      </c>
    </row>
    <row r="6782" spans="1:40" x14ac:dyDescent="0.3">
      <c r="A6782" t="str">
        <f>"20200111160643789"</f>
        <v>20200111160643789</v>
      </c>
      <c r="B6782" t="str">
        <f>"1578730003779958"</f>
        <v>1578730003779958</v>
      </c>
      <c r="C6782" t="s">
        <v>40</v>
      </c>
      <c r="D6782">
        <v>5.7353149999999999</v>
      </c>
      <c r="E6782">
        <v>0.53812660000000001</v>
      </c>
      <c r="F6782" t="s">
        <v>42</v>
      </c>
      <c r="G6782">
        <v>-170.18889999999999</v>
      </c>
      <c r="H6782">
        <v>0.90720869999999998</v>
      </c>
      <c r="I6782">
        <v>133.75059999999999</v>
      </c>
      <c r="J6782">
        <v>-170.833</v>
      </c>
      <c r="K6782">
        <v>1.1120669999999999</v>
      </c>
      <c r="L6782">
        <v>133.76050000000001</v>
      </c>
      <c r="M6782">
        <v>0.99341820000000003</v>
      </c>
      <c r="N6782">
        <v>0</v>
      </c>
      <c r="O6782">
        <v>0.1113309</v>
      </c>
      <c r="P6782">
        <v>0.99634529999999999</v>
      </c>
      <c r="Q6782">
        <v>-1.8732720000000001E-2</v>
      </c>
      <c r="R6782">
        <v>8.3335960000000001E-2</v>
      </c>
      <c r="S6782">
        <v>2.9920499999999999</v>
      </c>
      <c r="T6782">
        <v>-0.86222289999999902</v>
      </c>
      <c r="U6782">
        <v>-1.7974850000000001E-2</v>
      </c>
      <c r="V6782">
        <v>2.815074E-2</v>
      </c>
      <c r="W6782">
        <v>8.1832129999999999E-3</v>
      </c>
      <c r="X6782">
        <v>0.99957019999999996</v>
      </c>
      <c r="Y6782">
        <v>0.10840900000000001</v>
      </c>
      <c r="Z6782">
        <v>-4.671488E-2</v>
      </c>
      <c r="AA6782">
        <v>0.99300809999999995</v>
      </c>
      <c r="AB6782">
        <v>10</v>
      </c>
      <c r="AC6782">
        <v>0.644100000000008</v>
      </c>
      <c r="AD6782">
        <v>-0.20485829999999899</v>
      </c>
      <c r="AE6782">
        <v>-9.9000000000160002E-3</v>
      </c>
      <c r="AF6782">
        <v>7.4080597135034995E-2</v>
      </c>
      <c r="AG6782">
        <v>-0.20485829999999899</v>
      </c>
      <c r="AH6782">
        <v>0.58030202266203701</v>
      </c>
      <c r="AI6782">
        <v>109.29914600301301</v>
      </c>
      <c r="AJ6782">
        <v>82.725044797197299</v>
      </c>
      <c r="AK6782">
        <v>0.61984296031851804</v>
      </c>
      <c r="AL6782">
        <v>89.531131202430103</v>
      </c>
      <c r="AM6782">
        <v>88.386814284331095</v>
      </c>
      <c r="AN6782">
        <v>1.0000000069327899</v>
      </c>
    </row>
    <row r="6783" spans="1:40" x14ac:dyDescent="0.3">
      <c r="A6783" t="str">
        <f>"20200111160643807"</f>
        <v>20200111160643807</v>
      </c>
      <c r="B6783" t="str">
        <f>"1578730003799476"</f>
        <v>1578730003799476</v>
      </c>
      <c r="C6783" t="s">
        <v>40</v>
      </c>
      <c r="D6783">
        <v>5.7027359999999998</v>
      </c>
      <c r="E6783">
        <v>0.53902159999999999</v>
      </c>
      <c r="F6783" t="s">
        <v>42</v>
      </c>
      <c r="G6783">
        <v>-170.10310000000001</v>
      </c>
      <c r="H6783">
        <v>0.90488369999999996</v>
      </c>
      <c r="I6783">
        <v>133.75649999999999</v>
      </c>
      <c r="J6783">
        <v>-170.75599999999901</v>
      </c>
      <c r="K6783">
        <v>1.1119220000000001</v>
      </c>
      <c r="L6783">
        <v>133.76660000000001</v>
      </c>
      <c r="M6783">
        <v>0.99365429999999999</v>
      </c>
      <c r="N6783">
        <v>0</v>
      </c>
      <c r="O6783">
        <v>0.1093056</v>
      </c>
      <c r="P6783">
        <v>0.99630350000000001</v>
      </c>
      <c r="Q6783">
        <v>-1.632136E-2</v>
      </c>
      <c r="R6783">
        <v>8.4341059999999995E-2</v>
      </c>
      <c r="S6783">
        <v>2.9963839999999999</v>
      </c>
      <c r="T6783">
        <v>-0.85053129999999999</v>
      </c>
      <c r="U6783">
        <v>-1.6326899999999998E-2</v>
      </c>
      <c r="V6783">
        <v>2.51095E-2</v>
      </c>
      <c r="W6783">
        <v>1.0181549999999999E-2</v>
      </c>
      <c r="X6783">
        <v>0.99963279999999999</v>
      </c>
      <c r="Y6783">
        <v>0.106253399999999</v>
      </c>
      <c r="Z6783">
        <v>-4.5179690000000002E-2</v>
      </c>
      <c r="AA6783">
        <v>0.99331210000000003</v>
      </c>
      <c r="AB6783">
        <v>10</v>
      </c>
      <c r="AC6783">
        <v>0.65289999999995896</v>
      </c>
      <c r="AD6783">
        <v>-0.20703829999999901</v>
      </c>
      <c r="AE6783">
        <v>-1.01000000000226E-2</v>
      </c>
      <c r="AF6783">
        <v>7.3991653744815603E-2</v>
      </c>
      <c r="AG6783">
        <v>-0.20703829999999901</v>
      </c>
      <c r="AH6783">
        <v>0.58869786368491495</v>
      </c>
      <c r="AI6783">
        <v>109.236085571427</v>
      </c>
      <c r="AJ6783">
        <v>82.836231709022101</v>
      </c>
      <c r="AK6783">
        <v>0.62841451065197895</v>
      </c>
      <c r="AL6783">
        <v>89.416630043414202</v>
      </c>
      <c r="AM6783">
        <v>88.561105723912505</v>
      </c>
      <c r="AN6783">
        <v>0.99999994289324401</v>
      </c>
    </row>
    <row r="6784" spans="1:40" x14ac:dyDescent="0.3">
      <c r="A6784" t="str">
        <f>"20200111160643824"</f>
        <v>20200111160643824</v>
      </c>
      <c r="B6784" t="str">
        <f>"1578730003819972"</f>
        <v>1578730003819972</v>
      </c>
      <c r="C6784" t="s">
        <v>40</v>
      </c>
      <c r="D6784">
        <v>5.6850139999999998</v>
      </c>
      <c r="E6784">
        <v>0.53995649999999995</v>
      </c>
      <c r="F6784" t="s">
        <v>42</v>
      </c>
      <c r="G6784">
        <v>-170.0188</v>
      </c>
      <c r="H6784">
        <v>0.90364330000000004</v>
      </c>
      <c r="I6784">
        <v>133.7612</v>
      </c>
      <c r="J6784">
        <v>-170.68520000000001</v>
      </c>
      <c r="K6784">
        <v>1.1118729999999999</v>
      </c>
      <c r="L6784">
        <v>133.7722</v>
      </c>
      <c r="M6784">
        <v>0.99385429999999997</v>
      </c>
      <c r="N6784">
        <v>0</v>
      </c>
      <c r="O6784">
        <v>0.1075412</v>
      </c>
      <c r="P6784">
        <v>0.99628519999999998</v>
      </c>
      <c r="Q6784">
        <v>-1.6187090000000001E-2</v>
      </c>
      <c r="R6784">
        <v>8.4580950000000002E-2</v>
      </c>
      <c r="S6784">
        <v>2.9990389999999998</v>
      </c>
      <c r="T6784">
        <v>-0.84696539999999998</v>
      </c>
      <c r="U6784">
        <v>-2.1255489999999998E-2</v>
      </c>
      <c r="V6784">
        <v>2.309286E-2</v>
      </c>
      <c r="W6784">
        <v>1.004089E-2</v>
      </c>
      <c r="X6784">
        <v>0.99968290000000004</v>
      </c>
      <c r="Y6784">
        <v>0.1062686</v>
      </c>
      <c r="Z6784">
        <v>-4.4474659999999999E-2</v>
      </c>
      <c r="AA6784">
        <v>0.99334230000000001</v>
      </c>
      <c r="AB6784">
        <v>10</v>
      </c>
      <c r="AC6784">
        <v>0.66640000000000998</v>
      </c>
      <c r="AD6784">
        <v>-0.20822969999999899</v>
      </c>
      <c r="AE6784">
        <v>-1.09999999999956E-2</v>
      </c>
      <c r="AF6784">
        <v>7.5278337882089402E-2</v>
      </c>
      <c r="AG6784">
        <v>-0.20822969999999899</v>
      </c>
      <c r="AH6784">
        <v>0.60253541467633298</v>
      </c>
      <c r="AI6784">
        <v>108.92802936181501</v>
      </c>
      <c r="AJ6784">
        <v>82.878596693709596</v>
      </c>
      <c r="AK6784">
        <v>0.641930963621136</v>
      </c>
      <c r="AL6784">
        <v>89.424689713148396</v>
      </c>
      <c r="AM6784">
        <v>88.676692236631695</v>
      </c>
      <c r="AN6784">
        <v>1.0000000001036899</v>
      </c>
    </row>
    <row r="6785" spans="1:40" x14ac:dyDescent="0.3">
      <c r="A6785" t="str">
        <f>"20200111160643847"</f>
        <v>20200111160643847</v>
      </c>
      <c r="B6785" t="str">
        <f>"1578730003839492"</f>
        <v>1578730003839492</v>
      </c>
      <c r="C6785" t="s">
        <v>40</v>
      </c>
      <c r="D6785">
        <v>5.6525299999999996</v>
      </c>
      <c r="E6785">
        <v>0.54078219999999899</v>
      </c>
      <c r="F6785" t="s">
        <v>42</v>
      </c>
      <c r="G6785">
        <v>-169.93770000000001</v>
      </c>
      <c r="H6785">
        <v>0.90007630000000005</v>
      </c>
      <c r="I6785">
        <v>133.76480000000001</v>
      </c>
      <c r="J6785">
        <v>-170.5924</v>
      </c>
      <c r="K6785">
        <v>1.1119319999999999</v>
      </c>
      <c r="L6785">
        <v>133.77950000000001</v>
      </c>
      <c r="M6785">
        <v>0.99409099999999995</v>
      </c>
      <c r="N6785">
        <v>0</v>
      </c>
      <c r="O6785">
        <v>0.1053834</v>
      </c>
      <c r="P6785">
        <v>0.99627829999999995</v>
      </c>
      <c r="Q6785">
        <v>-1.6078769999999999E-2</v>
      </c>
      <c r="R6785">
        <v>8.4682460000000001E-2</v>
      </c>
      <c r="S6785">
        <v>2.9998629999999999</v>
      </c>
      <c r="T6785">
        <v>-0.84991090000000002</v>
      </c>
      <c r="U6785">
        <v>-2.9067989999999998E-2</v>
      </c>
      <c r="V6785">
        <v>2.0818030000000001E-2</v>
      </c>
      <c r="W6785">
        <v>9.9421939999999997E-3</v>
      </c>
      <c r="X6785">
        <v>0.99973389999999995</v>
      </c>
      <c r="Y6785">
        <v>0.1067106</v>
      </c>
      <c r="Z6785">
        <v>-4.4076219999999999E-2</v>
      </c>
      <c r="AA6785">
        <v>0.99331270000000005</v>
      </c>
      <c r="AB6785">
        <v>9</v>
      </c>
      <c r="AC6785">
        <v>0.65469999999999096</v>
      </c>
      <c r="AD6785">
        <v>-0.21185569999999901</v>
      </c>
      <c r="AE6785">
        <v>-1.47000000000048E-2</v>
      </c>
      <c r="AF6785">
        <v>7.5712034320656998E-2</v>
      </c>
      <c r="AG6785">
        <v>-0.21185569999999901</v>
      </c>
      <c r="AH6785">
        <v>0.58796628726012501</v>
      </c>
      <c r="AI6785">
        <v>109.66530369149</v>
      </c>
      <c r="AJ6785">
        <v>82.662438188063007</v>
      </c>
      <c r="AK6785">
        <v>0.62953912087964603</v>
      </c>
      <c r="AL6785">
        <v>89.430344890509602</v>
      </c>
      <c r="AM6785">
        <v>88.807069665244299</v>
      </c>
      <c r="AN6785">
        <v>1.0000000542019101</v>
      </c>
    </row>
    <row r="6786" spans="1:40" x14ac:dyDescent="0.3">
      <c r="A6786" t="str">
        <f>"20200111160643867"</f>
        <v>20200111160643867</v>
      </c>
      <c r="B6786" t="str">
        <f>"1578730003859012"</f>
        <v>1578730003859012</v>
      </c>
      <c r="C6786" t="s">
        <v>40</v>
      </c>
      <c r="D6786">
        <v>5.7307090000000001</v>
      </c>
      <c r="E6786">
        <v>0.54127119999999995</v>
      </c>
      <c r="F6786" t="s">
        <v>42</v>
      </c>
      <c r="G6786">
        <v>-169.85599999999999</v>
      </c>
      <c r="H6786">
        <v>0.90252449999999995</v>
      </c>
      <c r="I6786">
        <v>133.77080000000001</v>
      </c>
      <c r="J6786">
        <v>-170.50739999999999</v>
      </c>
      <c r="K6786">
        <v>1.1120129999999999</v>
      </c>
      <c r="L6786">
        <v>133.78630000000001</v>
      </c>
      <c r="M6786">
        <v>0.99429089999999998</v>
      </c>
      <c r="N6786">
        <v>0</v>
      </c>
      <c r="O6786">
        <v>0.1035307</v>
      </c>
      <c r="P6786">
        <v>0.99629089999999998</v>
      </c>
      <c r="Q6786">
        <v>-1.5320729999999999E-2</v>
      </c>
      <c r="R6786">
        <v>8.4676429999999997E-2</v>
      </c>
      <c r="S6786">
        <v>3.0004270000000002</v>
      </c>
      <c r="T6786">
        <v>-0.85298589999999996</v>
      </c>
      <c r="U6786">
        <v>-3.5049440000000001E-2</v>
      </c>
      <c r="V6786">
        <v>1.8959360000000001E-2</v>
      </c>
      <c r="W6786">
        <v>1.050912E-2</v>
      </c>
      <c r="X6786">
        <v>0.99976500000000001</v>
      </c>
      <c r="Y6786">
        <v>0.10684829999999999</v>
      </c>
      <c r="Z6786">
        <v>-4.3726389999999997E-2</v>
      </c>
      <c r="AA6786">
        <v>0.99331340000000001</v>
      </c>
      <c r="AB6786">
        <v>9</v>
      </c>
      <c r="AC6786">
        <v>0.65139999999999498</v>
      </c>
      <c r="AD6786">
        <v>-0.20948849999999899</v>
      </c>
      <c r="AE6786">
        <v>-1.55000000000029E-2</v>
      </c>
      <c r="AF6786">
        <v>7.5114719838401206E-2</v>
      </c>
      <c r="AG6786">
        <v>-0.20948849999999899</v>
      </c>
      <c r="AH6786">
        <v>0.58574557820242901</v>
      </c>
      <c r="AI6786">
        <v>109.5315933337</v>
      </c>
      <c r="AJ6786">
        <v>82.692399219448305</v>
      </c>
      <c r="AK6786">
        <v>0.62659838425609504</v>
      </c>
      <c r="AL6786">
        <v>89.397860679916604</v>
      </c>
      <c r="AM6786">
        <v>88.913583573434195</v>
      </c>
      <c r="AN6786">
        <v>0.99999997707989097</v>
      </c>
    </row>
    <row r="6787" spans="1:40" x14ac:dyDescent="0.3">
      <c r="A6787" t="str">
        <f>"20200111160643891"</f>
        <v>20200111160643891</v>
      </c>
      <c r="B6787" t="str">
        <f>"1578730003879508"</f>
        <v>1578730003879508</v>
      </c>
      <c r="C6787" t="s">
        <v>40</v>
      </c>
      <c r="D6787">
        <v>5.6851089999999997</v>
      </c>
      <c r="E6787">
        <v>0.52302369999999998</v>
      </c>
      <c r="F6787" t="s">
        <v>42</v>
      </c>
      <c r="G6787">
        <v>-169.7766</v>
      </c>
      <c r="H6787">
        <v>0.90395499999999995</v>
      </c>
      <c r="I6787">
        <v>133.77699999999999</v>
      </c>
      <c r="J6787">
        <v>-170.41900000000001</v>
      </c>
      <c r="K6787">
        <v>1.1120620000000001</v>
      </c>
      <c r="L6787">
        <v>133.79349999999999</v>
      </c>
      <c r="M6787">
        <v>0.99447909999999995</v>
      </c>
      <c r="N6787">
        <v>0</v>
      </c>
      <c r="O6787">
        <v>0.10177750000000001</v>
      </c>
      <c r="P6787">
        <v>0.99629140000000005</v>
      </c>
      <c r="Q6787">
        <v>-1.27464E-2</v>
      </c>
      <c r="R6787">
        <v>8.5095329999999997E-2</v>
      </c>
      <c r="S6787">
        <v>3.0012509999999999</v>
      </c>
      <c r="T6787">
        <v>-0.85432529999999995</v>
      </c>
      <c r="U6787">
        <v>-3.779602E-2</v>
      </c>
      <c r="V6787">
        <v>1.6776639999999999E-2</v>
      </c>
      <c r="W6787">
        <v>1.2806369999999999E-2</v>
      </c>
      <c r="X6787">
        <v>0.99977729999999998</v>
      </c>
      <c r="Y6787">
        <v>0.10608040000000001</v>
      </c>
      <c r="Z6787">
        <v>-4.3185939999999999E-2</v>
      </c>
      <c r="AA6787">
        <v>0.99341930000000001</v>
      </c>
      <c r="AB6787">
        <v>9</v>
      </c>
      <c r="AC6787">
        <v>0.64240000000000896</v>
      </c>
      <c r="AD6787">
        <v>-0.20810699999999999</v>
      </c>
      <c r="AE6787">
        <v>-1.6499999999979299E-2</v>
      </c>
      <c r="AF6787">
        <v>7.4051277175048405E-2</v>
      </c>
      <c r="AG6787">
        <v>-0.20810699999999999</v>
      </c>
      <c r="AH6787">
        <v>0.57688112189560303</v>
      </c>
      <c r="AI6787">
        <v>109.68767520294899</v>
      </c>
      <c r="AJ6787">
        <v>82.685235441123098</v>
      </c>
      <c r="AK6787">
        <v>0.61772481243656197</v>
      </c>
      <c r="AL6787">
        <v>89.266229030153696</v>
      </c>
      <c r="AM6787">
        <v>89.038645446138105</v>
      </c>
      <c r="AN6787">
        <v>1.0000000541787699</v>
      </c>
    </row>
    <row r="6788" spans="1:40" x14ac:dyDescent="0.3">
      <c r="A6788" t="str">
        <f>"20200111160643913"</f>
        <v>20200111160643913</v>
      </c>
      <c r="B6788" t="str">
        <f>"1578730003909764"</f>
        <v>1578730003909764</v>
      </c>
      <c r="C6788" t="s">
        <v>40</v>
      </c>
      <c r="D6788">
        <v>5.6913229999999997</v>
      </c>
      <c r="E6788">
        <v>0.51112349999999995</v>
      </c>
      <c r="F6788" t="s">
        <v>42</v>
      </c>
      <c r="G6788">
        <v>-169.67769999999999</v>
      </c>
      <c r="H6788">
        <v>0.95401170000000002</v>
      </c>
      <c r="I6788">
        <v>133.81799999999899</v>
      </c>
      <c r="J6788">
        <v>-170.3331</v>
      </c>
      <c r="K6788">
        <v>1.112087</v>
      </c>
      <c r="L6788">
        <v>133.8005</v>
      </c>
      <c r="M6788">
        <v>0.99463999999999997</v>
      </c>
      <c r="N6788">
        <v>0</v>
      </c>
      <c r="O6788">
        <v>0.1002712</v>
      </c>
      <c r="P6788">
        <v>0.99630359999999996</v>
      </c>
      <c r="Q6788">
        <v>-1.009938E-2</v>
      </c>
      <c r="R6788">
        <v>8.5306519999999997E-2</v>
      </c>
      <c r="S6788">
        <v>2.9944609999999998</v>
      </c>
      <c r="T6788">
        <v>-0.63821099999999997</v>
      </c>
      <c r="U6788">
        <v>0.10006710000000001</v>
      </c>
      <c r="V6788">
        <v>1.505069E-2</v>
      </c>
      <c r="W6788">
        <v>1.51436E-2</v>
      </c>
      <c r="X6788">
        <v>0.99977210000000005</v>
      </c>
      <c r="Y6788">
        <v>6.3354030000000006E-2</v>
      </c>
      <c r="Z6788">
        <v>-2.777336E-2</v>
      </c>
      <c r="AA6788">
        <v>0.99760459999999995</v>
      </c>
      <c r="AB6788">
        <v>9</v>
      </c>
      <c r="AC6788">
        <v>0.65540000000001397</v>
      </c>
      <c r="AD6788">
        <v>-0.1580753</v>
      </c>
      <c r="AE6788">
        <v>1.7499999999984001E-2</v>
      </c>
      <c r="AF6788">
        <v>4.5671992629367802E-2</v>
      </c>
      <c r="AG6788">
        <v>-0.1580753</v>
      </c>
      <c r="AH6788">
        <v>0.61792939730045704</v>
      </c>
      <c r="AI6788">
        <v>104.311932456292</v>
      </c>
      <c r="AJ6788">
        <v>85.772878143707302</v>
      </c>
      <c r="AK6788">
        <v>0.63946107890076698</v>
      </c>
      <c r="AL6788">
        <v>89.132302511613503</v>
      </c>
      <c r="AM6788">
        <v>89.137527561039207</v>
      </c>
      <c r="AN6788">
        <v>1.0000000519144201</v>
      </c>
    </row>
    <row r="6789" spans="1:40" x14ac:dyDescent="0.3">
      <c r="A6789" t="str">
        <f>"20200111160643936"</f>
        <v>20200111160643936</v>
      </c>
      <c r="B6789" t="str">
        <f>"1578730003929284"</f>
        <v>1578730003929284</v>
      </c>
      <c r="C6789" t="s">
        <v>40</v>
      </c>
      <c r="D6789">
        <v>6.5920529999999999</v>
      </c>
      <c r="E6789">
        <v>0.51298109999999997</v>
      </c>
      <c r="F6789" t="s">
        <v>42</v>
      </c>
      <c r="G6789">
        <v>-169.57050000000001</v>
      </c>
      <c r="H6789">
        <v>1.0205839999999999</v>
      </c>
      <c r="I6789">
        <v>133.84710000000001</v>
      </c>
      <c r="J6789">
        <v>-170.2474</v>
      </c>
      <c r="K6789">
        <v>1.1121019999999999</v>
      </c>
      <c r="L6789">
        <v>133.8075</v>
      </c>
      <c r="M6789">
        <v>0.99477979999999999</v>
      </c>
      <c r="N6789">
        <v>0</v>
      </c>
      <c r="O6789">
        <v>9.8946530000000005E-2</v>
      </c>
      <c r="P6789">
        <v>0.99632730000000003</v>
      </c>
      <c r="Q6789">
        <v>-8.4245020000000004E-3</v>
      </c>
      <c r="R6789">
        <v>8.5214499999999999E-2</v>
      </c>
      <c r="S6789">
        <v>2.9917910000000001</v>
      </c>
      <c r="T6789">
        <v>-0.35892020000000002</v>
      </c>
      <c r="U6789">
        <v>0.1832733</v>
      </c>
      <c r="V6789">
        <v>1.3811230000000001E-2</v>
      </c>
      <c r="W6789">
        <v>1.6538170000000001E-2</v>
      </c>
      <c r="X6789">
        <v>0.99976779999999998</v>
      </c>
      <c r="Y6789">
        <v>3.6980249999999999E-2</v>
      </c>
      <c r="Z6789">
        <v>-1.400553E-2</v>
      </c>
      <c r="AA6789">
        <v>0.99921789999999999</v>
      </c>
      <c r="AB6789">
        <v>9</v>
      </c>
      <c r="AC6789">
        <v>0.67689999999998895</v>
      </c>
      <c r="AD6789">
        <v>-9.1518000000000196E-2</v>
      </c>
      <c r="AE6789">
        <v>3.9600000000007102E-2</v>
      </c>
      <c r="AF6789">
        <v>2.7098560459826601E-2</v>
      </c>
      <c r="AG6789">
        <v>-9.1518000000000196E-2</v>
      </c>
      <c r="AH6789">
        <v>0.66537449179928898</v>
      </c>
      <c r="AI6789">
        <v>97.825121491788593</v>
      </c>
      <c r="AJ6789">
        <v>87.667816271873093</v>
      </c>
      <c r="AK6789">
        <v>0.67218530974736201</v>
      </c>
      <c r="AL6789">
        <v>89.052389417537299</v>
      </c>
      <c r="AM6789">
        <v>89.208541367145102</v>
      </c>
      <c r="AN6789">
        <v>0.99999995752894999</v>
      </c>
    </row>
    <row r="6790" spans="1:40" x14ac:dyDescent="0.3">
      <c r="A6790" t="str">
        <f>"20200111160643957"</f>
        <v>20200111160643957</v>
      </c>
      <c r="B6790" t="str">
        <f>"1578730003949780"</f>
        <v>1578730003949780</v>
      </c>
      <c r="C6790" t="s">
        <v>40</v>
      </c>
      <c r="D6790">
        <v>6.4352780000000003</v>
      </c>
      <c r="E6790">
        <v>0.51273340000000001</v>
      </c>
      <c r="F6790" t="s">
        <v>42</v>
      </c>
      <c r="G6790">
        <v>-169.49979999999999</v>
      </c>
      <c r="H6790">
        <v>1.0139450000000001</v>
      </c>
      <c r="I6790">
        <v>133.85</v>
      </c>
      <c r="J6790">
        <v>-170.16909999999999</v>
      </c>
      <c r="K6790">
        <v>1.1121399999999999</v>
      </c>
      <c r="L6790">
        <v>133.81399999999999</v>
      </c>
      <c r="M6790">
        <v>0.99489240000000001</v>
      </c>
      <c r="N6790">
        <v>0</v>
      </c>
      <c r="O6790">
        <v>9.7860730000000007E-2</v>
      </c>
      <c r="P6790">
        <v>0.99636210000000003</v>
      </c>
      <c r="Q6790">
        <v>-6.5240659999999898E-3</v>
      </c>
      <c r="R6790">
        <v>8.4973060000000003E-2</v>
      </c>
      <c r="S6790">
        <v>2.993134</v>
      </c>
      <c r="T6790">
        <v>-0.39288810000000002</v>
      </c>
      <c r="U6790">
        <v>0.1708221</v>
      </c>
      <c r="V6790">
        <v>1.296201E-2</v>
      </c>
      <c r="W6790">
        <v>1.823164E-2</v>
      </c>
      <c r="X6790">
        <v>0.99974980000000002</v>
      </c>
      <c r="Y6790">
        <v>3.985263E-2</v>
      </c>
      <c r="Z6790">
        <v>-1.5362310000000001E-2</v>
      </c>
      <c r="AA6790">
        <v>0.99908750000000002</v>
      </c>
      <c r="AB6790">
        <v>8</v>
      </c>
      <c r="AC6790">
        <v>0.66929999999999201</v>
      </c>
      <c r="AD6790">
        <v>-9.8194999999999796E-2</v>
      </c>
      <c r="AE6790">
        <v>3.6000000000001302E-2</v>
      </c>
      <c r="AF6790">
        <v>2.9067293001832702E-2</v>
      </c>
      <c r="AG6790">
        <v>-9.8194999999999796E-2</v>
      </c>
      <c r="AH6790">
        <v>0.65553993660493004</v>
      </c>
      <c r="AI6790">
        <v>98.510900922149901</v>
      </c>
      <c r="AJ6790">
        <v>87.461111183184599</v>
      </c>
      <c r="AK6790">
        <v>0.66349059829921497</v>
      </c>
      <c r="AL6790">
        <v>88.955346132436802</v>
      </c>
      <c r="AM6790">
        <v>89.257187290704493</v>
      </c>
      <c r="AN6790">
        <v>1.00000003450018</v>
      </c>
    </row>
    <row r="6791" spans="1:40" x14ac:dyDescent="0.3">
      <c r="A6791" t="str">
        <f>"20200111160643980"</f>
        <v>20200111160643980</v>
      </c>
      <c r="B6791" t="str">
        <f>"1578730003969300"</f>
        <v>1578730003969300</v>
      </c>
      <c r="C6791" t="s">
        <v>40</v>
      </c>
      <c r="D6791">
        <v>5.745546</v>
      </c>
      <c r="E6791">
        <v>0.51388519999999904</v>
      </c>
      <c r="F6791" t="s">
        <v>42</v>
      </c>
      <c r="G6791">
        <v>-169.428</v>
      </c>
      <c r="H6791">
        <v>1.0139359999999999</v>
      </c>
      <c r="I6791">
        <v>133.857</v>
      </c>
      <c r="J6791">
        <v>-170.08930000000001</v>
      </c>
      <c r="K6791">
        <v>1.112188</v>
      </c>
      <c r="L6791">
        <v>133.82060000000001</v>
      </c>
      <c r="M6791">
        <v>0.99499590000000004</v>
      </c>
      <c r="N6791">
        <v>0</v>
      </c>
      <c r="O6791">
        <v>9.6850359999999996E-2</v>
      </c>
      <c r="P6791">
        <v>0.99643930000000003</v>
      </c>
      <c r="Q6791">
        <v>-1.876654E-3</v>
      </c>
      <c r="R6791">
        <v>8.4293919999999994E-2</v>
      </c>
      <c r="S6791">
        <v>2.9935459999999998</v>
      </c>
      <c r="T6791">
        <v>-0.39664909999999998</v>
      </c>
      <c r="U6791">
        <v>0.1740265</v>
      </c>
      <c r="V6791">
        <v>1.2627309999999999E-2</v>
      </c>
      <c r="W6791">
        <v>2.2693419999999999E-2</v>
      </c>
      <c r="X6791">
        <v>0.99966270000000002</v>
      </c>
      <c r="Y6791">
        <v>3.7783990000000003E-2</v>
      </c>
      <c r="Z6791">
        <v>-1.5236390000000001E-2</v>
      </c>
      <c r="AA6791">
        <v>0.9991698</v>
      </c>
      <c r="AB6791">
        <v>8</v>
      </c>
      <c r="AC6791">
        <v>0.66130000000001099</v>
      </c>
      <c r="AD6791">
        <v>-9.8251999999999895E-2</v>
      </c>
      <c r="AE6791">
        <v>3.63999999999862E-2</v>
      </c>
      <c r="AF6791">
        <v>2.7238241654871799E-2</v>
      </c>
      <c r="AG6791">
        <v>-9.8251999999999895E-2</v>
      </c>
      <c r="AH6791">
        <v>0.64746657330734902</v>
      </c>
      <c r="AI6791">
        <v>98.621199754245794</v>
      </c>
      <c r="AJ6791">
        <v>87.591046921761503</v>
      </c>
      <c r="AK6791">
        <v>0.65544514710447799</v>
      </c>
      <c r="AL6791">
        <v>88.699651153714996</v>
      </c>
      <c r="AM6791">
        <v>89.276302802928001</v>
      </c>
      <c r="AN6791">
        <v>0.99999997702021104</v>
      </c>
    </row>
    <row r="6792" spans="1:40" x14ac:dyDescent="0.3">
      <c r="A6792" t="str">
        <f>"20200111160644003"</f>
        <v>20200111160644003</v>
      </c>
      <c r="B6792" t="str">
        <f>"1578730003999556"</f>
        <v>1578730003999556</v>
      </c>
      <c r="C6792" t="s">
        <v>40</v>
      </c>
      <c r="D6792">
        <v>5.7499209999999996</v>
      </c>
      <c r="E6792">
        <v>0.51413819999999999</v>
      </c>
      <c r="F6792" t="s">
        <v>42</v>
      </c>
      <c r="G6792">
        <v>-169.35560000000001</v>
      </c>
      <c r="H6792">
        <v>1.0179129999999901</v>
      </c>
      <c r="I6792">
        <v>133.86089999999999</v>
      </c>
      <c r="J6792">
        <v>-170.01339999999999</v>
      </c>
      <c r="K6792">
        <v>1.112406</v>
      </c>
      <c r="L6792">
        <v>133.827</v>
      </c>
      <c r="M6792">
        <v>0.99506890000000003</v>
      </c>
      <c r="N6792">
        <v>0</v>
      </c>
      <c r="O6792">
        <v>9.5989190000000002E-2</v>
      </c>
      <c r="P6792">
        <v>0.99653449999999999</v>
      </c>
      <c r="Q6792">
        <v>4.1503570000000004E-3</v>
      </c>
      <c r="R6792">
        <v>8.3079050000000002E-2</v>
      </c>
      <c r="S6792">
        <v>2.9960330000000002</v>
      </c>
      <c r="T6792">
        <v>-0.38494010000000001</v>
      </c>
      <c r="U6792">
        <v>0.165023799999999</v>
      </c>
      <c r="V6792">
        <v>1.2977600000000001E-2</v>
      </c>
      <c r="W6792">
        <v>2.9137610000000001E-2</v>
      </c>
      <c r="X6792">
        <v>0.99949120000000002</v>
      </c>
      <c r="Y6792">
        <v>4.0018949999999998E-2</v>
      </c>
      <c r="Z6792">
        <v>-1.481327E-2</v>
      </c>
      <c r="AA6792">
        <v>0.99908909999999995</v>
      </c>
      <c r="AB6792">
        <v>8</v>
      </c>
      <c r="AC6792">
        <v>0.65779999999997996</v>
      </c>
      <c r="AD6792">
        <v>-9.4493000000000105E-2</v>
      </c>
      <c r="AE6792">
        <v>3.3899999999988398E-2</v>
      </c>
      <c r="AF6792">
        <v>2.88247989072716E-2</v>
      </c>
      <c r="AG6792">
        <v>-9.4493000000000105E-2</v>
      </c>
      <c r="AH6792">
        <v>0.64474636006271802</v>
      </c>
      <c r="AI6792">
        <v>98.329616061175699</v>
      </c>
      <c r="AJ6792">
        <v>87.440171183714696</v>
      </c>
      <c r="AK6792">
        <v>0.65227115902450294</v>
      </c>
      <c r="AL6792">
        <v>88.330301667181203</v>
      </c>
      <c r="AM6792">
        <v>89.256101577641502</v>
      </c>
      <c r="AN6792">
        <v>1.00000003864785</v>
      </c>
    </row>
    <row r="6793" spans="1:40" x14ac:dyDescent="0.3">
      <c r="A6793" t="str">
        <f>"20200111160644025"</f>
        <v>20200111160644025</v>
      </c>
      <c r="B6793" t="str">
        <f>"1578730004019076"</f>
        <v>1578730004019076</v>
      </c>
      <c r="C6793" t="s">
        <v>40</v>
      </c>
      <c r="D6793">
        <v>5.7723760000000004</v>
      </c>
      <c r="E6793">
        <v>0.51424060000000005</v>
      </c>
      <c r="F6793" t="s">
        <v>42</v>
      </c>
      <c r="G6793">
        <v>-169.29069999999999</v>
      </c>
      <c r="H6793">
        <v>1.0152559999999999</v>
      </c>
      <c r="I6793">
        <v>133.86619999999999</v>
      </c>
      <c r="J6793">
        <v>-169.94299999999899</v>
      </c>
      <c r="K6793">
        <v>1.1126940000000001</v>
      </c>
      <c r="L6793">
        <v>133.8329</v>
      </c>
      <c r="M6793">
        <v>0.99511430000000001</v>
      </c>
      <c r="N6793">
        <v>0</v>
      </c>
      <c r="O6793">
        <v>9.5291399999999998E-2</v>
      </c>
      <c r="P6793">
        <v>0.99659169999999997</v>
      </c>
      <c r="Q6793">
        <v>7.9267490000000003E-3</v>
      </c>
      <c r="R6793">
        <v>8.2111290000000003E-2</v>
      </c>
      <c r="S6793">
        <v>2.9984739999999999</v>
      </c>
      <c r="T6793">
        <v>-0.40303749999999999</v>
      </c>
      <c r="U6793">
        <v>0.16361999999999999</v>
      </c>
      <c r="V6793">
        <v>1.324344E-2</v>
      </c>
      <c r="W6793">
        <v>3.3760159999999997E-2</v>
      </c>
      <c r="X6793">
        <v>0.99934219999999896</v>
      </c>
      <c r="Y6793">
        <v>3.973554E-2</v>
      </c>
      <c r="Z6793">
        <v>-1.537985E-2</v>
      </c>
      <c r="AA6793">
        <v>0.99909190000000003</v>
      </c>
      <c r="AB6793">
        <v>8</v>
      </c>
      <c r="AC6793">
        <v>0.65229999999999599</v>
      </c>
      <c r="AD6793">
        <v>-9.7438000000000094E-2</v>
      </c>
      <c r="AE6793">
        <v>3.3299999999996999E-2</v>
      </c>
      <c r="AF6793">
        <v>2.83989344841293E-2</v>
      </c>
      <c r="AG6793">
        <v>-9.7438000000000094E-2</v>
      </c>
      <c r="AH6793">
        <v>0.63829846981801597</v>
      </c>
      <c r="AI6793">
        <v>98.670905564838804</v>
      </c>
      <c r="AJ6793">
        <v>87.452497858231496</v>
      </c>
      <c r="AK6793">
        <v>0.64631695002982503</v>
      </c>
      <c r="AL6793">
        <v>88.065317659834605</v>
      </c>
      <c r="AM6793">
        <v>89.240751763267198</v>
      </c>
      <c r="AN6793">
        <v>0.99999998490354902</v>
      </c>
    </row>
    <row r="6794" spans="1:40" x14ac:dyDescent="0.3">
      <c r="A6794" t="str">
        <f>"20200111160644047"</f>
        <v>20200111160644047</v>
      </c>
      <c r="B6794" t="str">
        <f>"1578730004039572"</f>
        <v>1578730004039572</v>
      </c>
      <c r="C6794" t="s">
        <v>40</v>
      </c>
      <c r="D6794">
        <v>5.7805239999999998</v>
      </c>
      <c r="E6794">
        <v>0.51434060000000004</v>
      </c>
      <c r="F6794" t="s">
        <v>42</v>
      </c>
      <c r="G6794">
        <v>-169.172</v>
      </c>
      <c r="H6794">
        <v>1.0079119999999999</v>
      </c>
      <c r="I6794">
        <v>133.87440000000001</v>
      </c>
      <c r="J6794">
        <v>-169.87710000000001</v>
      </c>
      <c r="K6794">
        <v>1.1128070000000001</v>
      </c>
      <c r="L6794">
        <v>133.83850000000001</v>
      </c>
      <c r="M6794">
        <v>0.99515419999999999</v>
      </c>
      <c r="N6794">
        <v>0</v>
      </c>
      <c r="O6794">
        <v>9.4735899999999998E-2</v>
      </c>
      <c r="P6794">
        <v>0.99656149999999999</v>
      </c>
      <c r="Q6794">
        <v>1.1007039999999999E-2</v>
      </c>
      <c r="R6794">
        <v>8.2121589999999994E-2</v>
      </c>
      <c r="S6794">
        <v>3.0001530000000001</v>
      </c>
      <c r="T6794">
        <v>-0.4077268</v>
      </c>
      <c r="U6794">
        <v>0.16203310000000001</v>
      </c>
      <c r="V6794">
        <v>1.26718E-2</v>
      </c>
      <c r="W6794">
        <v>3.733703E-2</v>
      </c>
      <c r="X6794">
        <v>0.99922239999999996</v>
      </c>
      <c r="Y6794">
        <v>3.9714770000000003E-2</v>
      </c>
      <c r="Z6794">
        <v>-1.547286E-2</v>
      </c>
      <c r="AA6794">
        <v>0.99909130000000002</v>
      </c>
      <c r="AB6794">
        <v>7</v>
      </c>
      <c r="AC6794">
        <v>0.70510000000001505</v>
      </c>
      <c r="AD6794">
        <v>-0.104894999999999</v>
      </c>
      <c r="AE6794">
        <v>3.5899999999998003E-2</v>
      </c>
      <c r="AF6794">
        <v>3.04117106498288E-2</v>
      </c>
      <c r="AG6794">
        <v>-0.104894999999999</v>
      </c>
      <c r="AH6794">
        <v>0.69009550019849497</v>
      </c>
      <c r="AI6794">
        <v>98.634587955388099</v>
      </c>
      <c r="AJ6794">
        <v>87.476673896119294</v>
      </c>
      <c r="AK6794">
        <v>0.69868421519586299</v>
      </c>
      <c r="AL6794">
        <v>87.860248445437094</v>
      </c>
      <c r="AM6794">
        <v>89.273433280846405</v>
      </c>
      <c r="AN6794">
        <v>1.00000001649311</v>
      </c>
    </row>
    <row r="6795" spans="1:40" x14ac:dyDescent="0.3">
      <c r="A6795" t="str">
        <f>"20200111160644069"</f>
        <v>20200111160644069</v>
      </c>
      <c r="B6795" t="str">
        <f>"1578730004059092"</f>
        <v>1578730004059092</v>
      </c>
      <c r="C6795" t="s">
        <v>40</v>
      </c>
      <c r="D6795">
        <v>5.7834029999999998</v>
      </c>
      <c r="E6795">
        <v>0.51427920000000005</v>
      </c>
      <c r="F6795" t="s">
        <v>42</v>
      </c>
      <c r="G6795">
        <v>-169.11279999999999</v>
      </c>
      <c r="H6795">
        <v>1.008189</v>
      </c>
      <c r="I6795">
        <v>133.87950000000001</v>
      </c>
      <c r="J6795">
        <v>-169.81280000000001</v>
      </c>
      <c r="K6795">
        <v>1.1126860000000001</v>
      </c>
      <c r="L6795">
        <v>133.84399999999999</v>
      </c>
      <c r="M6795">
        <v>0.99520799999999998</v>
      </c>
      <c r="N6795">
        <v>0</v>
      </c>
      <c r="O6795">
        <v>9.4229759999999996E-2</v>
      </c>
      <c r="P6795">
        <v>0.99646840000000003</v>
      </c>
      <c r="Q6795">
        <v>1.3752199999999999E-2</v>
      </c>
      <c r="R6795">
        <v>8.2835779999999998E-2</v>
      </c>
      <c r="S6795">
        <v>3.001541</v>
      </c>
      <c r="T6795">
        <v>-0.41084680000000001</v>
      </c>
      <c r="U6795">
        <v>0.161911</v>
      </c>
      <c r="V6795">
        <v>1.144305E-2</v>
      </c>
      <c r="W6795">
        <v>3.986286E-2</v>
      </c>
      <c r="X6795">
        <v>0.99913960000000002</v>
      </c>
      <c r="Y6795">
        <v>3.926267E-2</v>
      </c>
      <c r="Z6795">
        <v>-1.54836E-2</v>
      </c>
      <c r="AA6795">
        <v>0.99910900000000002</v>
      </c>
      <c r="AB6795">
        <v>7</v>
      </c>
      <c r="AC6795">
        <v>0.70000000000001705</v>
      </c>
      <c r="AD6795">
        <v>-0.10449700000000001</v>
      </c>
      <c r="AE6795">
        <v>3.5500000000013097E-2</v>
      </c>
      <c r="AF6795">
        <v>2.9975115107867E-2</v>
      </c>
      <c r="AG6795">
        <v>-0.10449700000000001</v>
      </c>
      <c r="AH6795">
        <v>0.68500339917456399</v>
      </c>
      <c r="AI6795">
        <v>98.665412670405999</v>
      </c>
      <c r="AJ6795">
        <v>87.494388168089003</v>
      </c>
      <c r="AK6795">
        <v>0.69357608624824796</v>
      </c>
      <c r="AL6795">
        <v>87.715420960725993</v>
      </c>
      <c r="AM6795">
        <v>89.343825622035496</v>
      </c>
      <c r="AN6795">
        <v>0.99999996564441995</v>
      </c>
    </row>
    <row r="6796" spans="1:40" x14ac:dyDescent="0.3">
      <c r="A6796" t="str">
        <f>"20200111160644092"</f>
        <v>20200111160644092</v>
      </c>
      <c r="B6796" t="str">
        <f>"1578730004089348"</f>
        <v>1578730004089348</v>
      </c>
      <c r="C6796" t="s">
        <v>40</v>
      </c>
      <c r="D6796">
        <v>5.7460129999999996</v>
      </c>
      <c r="E6796">
        <v>0.51420459999999901</v>
      </c>
      <c r="F6796" t="s">
        <v>42</v>
      </c>
      <c r="G6796">
        <v>-169.05459999999999</v>
      </c>
      <c r="H6796">
        <v>1.008294</v>
      </c>
      <c r="I6796">
        <v>133.88560000000001</v>
      </c>
      <c r="J6796">
        <v>-169.74870000000001</v>
      </c>
      <c r="K6796">
        <v>1.1125160000000001</v>
      </c>
      <c r="L6796">
        <v>133.84950000000001</v>
      </c>
      <c r="M6796">
        <v>0.99526570000000003</v>
      </c>
      <c r="N6796">
        <v>0</v>
      </c>
      <c r="O6796">
        <v>9.3735990000000005E-2</v>
      </c>
      <c r="P6796">
        <v>0.99635759999999995</v>
      </c>
      <c r="Q6796">
        <v>1.467746E-2</v>
      </c>
      <c r="R6796">
        <v>8.4001339999999994E-2</v>
      </c>
      <c r="S6796">
        <v>3.0026700000000002</v>
      </c>
      <c r="T6796">
        <v>-0.41340769999999999</v>
      </c>
      <c r="U6796">
        <v>0.16459660000000001</v>
      </c>
      <c r="V6796">
        <v>9.7767199999999992E-3</v>
      </c>
      <c r="W6796">
        <v>4.0363610000000001E-2</v>
      </c>
      <c r="X6796">
        <v>0.99913719999999995</v>
      </c>
      <c r="Y6796">
        <v>3.7898179999999997E-2</v>
      </c>
      <c r="Z6796">
        <v>-1.541204E-2</v>
      </c>
      <c r="AA6796">
        <v>0.99916269999999996</v>
      </c>
      <c r="AB6796">
        <v>7</v>
      </c>
      <c r="AC6796">
        <v>0.69410000000002003</v>
      </c>
      <c r="AD6796">
        <v>-0.104222</v>
      </c>
      <c r="AE6796">
        <v>3.6100000000004601E-2</v>
      </c>
      <c r="AF6796">
        <v>2.8501798245297801E-2</v>
      </c>
      <c r="AG6796">
        <v>-0.104222</v>
      </c>
      <c r="AH6796">
        <v>0.67915578223899498</v>
      </c>
      <c r="AI6796">
        <v>98.716890193925906</v>
      </c>
      <c r="AJ6796">
        <v>87.5969061739588</v>
      </c>
      <c r="AK6796">
        <v>0.68769699311242904</v>
      </c>
      <c r="AL6796">
        <v>87.686707008420598</v>
      </c>
      <c r="AM6796">
        <v>89.439369371868295</v>
      </c>
      <c r="AN6796">
        <v>0.99999997484501402</v>
      </c>
    </row>
    <row r="6797" spans="1:40" x14ac:dyDescent="0.3">
      <c r="A6797" t="str">
        <f>"20200111160644115"</f>
        <v>20200111160644115</v>
      </c>
      <c r="B6797" t="str">
        <f>"1578730004109851"</f>
        <v>1578730004109851</v>
      </c>
      <c r="C6797" t="s">
        <v>40</v>
      </c>
      <c r="D6797">
        <v>5.7850529999999996</v>
      </c>
      <c r="E6797">
        <v>0.51414040000000005</v>
      </c>
      <c r="F6797" t="s">
        <v>42</v>
      </c>
      <c r="G6797">
        <v>-168.99950000000001</v>
      </c>
      <c r="H6797">
        <v>1.0064379999999999</v>
      </c>
      <c r="I6797">
        <v>133.8912</v>
      </c>
      <c r="J6797">
        <v>-169.68440000000001</v>
      </c>
      <c r="K6797">
        <v>1.1124270000000001</v>
      </c>
      <c r="L6797">
        <v>133.85509999999999</v>
      </c>
      <c r="M6797">
        <v>0.99531369999999997</v>
      </c>
      <c r="N6797">
        <v>0</v>
      </c>
      <c r="O6797">
        <v>9.3264730000000004E-2</v>
      </c>
      <c r="P6797">
        <v>0.99636230000000003</v>
      </c>
      <c r="Q6797">
        <v>1.067359E-2</v>
      </c>
      <c r="R6797">
        <v>8.454805E-2</v>
      </c>
      <c r="S6797">
        <v>3.0030670000000002</v>
      </c>
      <c r="T6797">
        <v>-0.4252261</v>
      </c>
      <c r="U6797">
        <v>0.16792299999999999</v>
      </c>
      <c r="V6797">
        <v>8.762288E-3</v>
      </c>
      <c r="W6797">
        <v>3.6214370000000003E-2</v>
      </c>
      <c r="X6797">
        <v>0.99930560000000002</v>
      </c>
      <c r="Y6797">
        <v>3.627843E-2</v>
      </c>
      <c r="Z6797">
        <v>-1.5665499999999999E-2</v>
      </c>
      <c r="AA6797">
        <v>0.99921890000000002</v>
      </c>
      <c r="AB6797">
        <v>7</v>
      </c>
      <c r="AC6797">
        <v>0.68489999999999895</v>
      </c>
      <c r="AD6797">
        <v>-0.105989</v>
      </c>
      <c r="AE6797">
        <v>3.6100000000004601E-2</v>
      </c>
      <c r="AF6797">
        <v>2.7303264437737899E-2</v>
      </c>
      <c r="AG6797">
        <v>-0.105989</v>
      </c>
      <c r="AH6797">
        <v>0.66929691743416597</v>
      </c>
      <c r="AI6797">
        <v>98.991206215403096</v>
      </c>
      <c r="AJ6797">
        <v>87.6639741372163</v>
      </c>
      <c r="AK6797">
        <v>0.67818692117795598</v>
      </c>
      <c r="AL6797">
        <v>87.924615573081695</v>
      </c>
      <c r="AM6797">
        <v>89.497621893178604</v>
      </c>
      <c r="AN6797">
        <v>0.99999997023842502</v>
      </c>
    </row>
    <row r="6798" spans="1:40" x14ac:dyDescent="0.3">
      <c r="A6798" t="str">
        <f>"20200111160644137"</f>
        <v>20200111160644137</v>
      </c>
      <c r="B6798" t="str">
        <f>"1578730004129365"</f>
        <v>1578730004129365</v>
      </c>
      <c r="C6798" t="s">
        <v>40</v>
      </c>
      <c r="D6798">
        <v>5.9369610000000002</v>
      </c>
      <c r="E6798">
        <v>0.51379900000000001</v>
      </c>
      <c r="F6798" t="s">
        <v>42</v>
      </c>
      <c r="G6798">
        <v>-168.9477</v>
      </c>
      <c r="H6798">
        <v>1.003347</v>
      </c>
      <c r="I6798">
        <v>133.8963</v>
      </c>
      <c r="J6798">
        <v>-169.6276</v>
      </c>
      <c r="K6798">
        <v>1.1123959999999999</v>
      </c>
      <c r="L6798">
        <v>133.86000000000001</v>
      </c>
      <c r="M6798">
        <v>0.99534829999999996</v>
      </c>
      <c r="N6798">
        <v>0</v>
      </c>
      <c r="O6798">
        <v>9.2879500000000004E-2</v>
      </c>
      <c r="P6798">
        <v>0.99645839999999997</v>
      </c>
      <c r="Q6798">
        <v>2.3331329999999998E-3</v>
      </c>
      <c r="R6798">
        <v>8.405725E-2</v>
      </c>
      <c r="S6798">
        <v>3.0014340000000002</v>
      </c>
      <c r="T6798">
        <v>-0.4444554</v>
      </c>
      <c r="U6798">
        <v>0.1682129</v>
      </c>
      <c r="V6798">
        <v>8.8774100000000005E-3</v>
      </c>
      <c r="W6798">
        <v>2.7937420000000001E-2</v>
      </c>
      <c r="X6798">
        <v>0.99957030000000002</v>
      </c>
      <c r="Y6798">
        <v>3.5656489999999999E-2</v>
      </c>
      <c r="Z6798">
        <v>-1.6272990000000001E-2</v>
      </c>
      <c r="AA6798">
        <v>0.9992316</v>
      </c>
      <c r="AB6798">
        <v>6</v>
      </c>
      <c r="AC6798">
        <v>0.67990000000000295</v>
      </c>
      <c r="AD6798">
        <v>-0.10904899999999899</v>
      </c>
      <c r="AE6798">
        <v>3.6299999999982901E-2</v>
      </c>
      <c r="AF6798">
        <v>2.63505457916107E-2</v>
      </c>
      <c r="AG6798">
        <v>-0.10904899999999899</v>
      </c>
      <c r="AH6798">
        <v>0.66331650196462599</v>
      </c>
      <c r="AI6798">
        <v>99.328667499022202</v>
      </c>
      <c r="AJ6798">
        <v>87.725095620688705</v>
      </c>
      <c r="AK6798">
        <v>0.67273681142264197</v>
      </c>
      <c r="AL6798">
        <v>88.399095520644394</v>
      </c>
      <c r="AM6798">
        <v>89.491156596493497</v>
      </c>
      <c r="AN6798">
        <v>1.0000000462433201</v>
      </c>
    </row>
    <row r="6799" spans="1:40" x14ac:dyDescent="0.3">
      <c r="A6799" t="str">
        <f>"20200111160644159"</f>
        <v>20200111160644159</v>
      </c>
      <c r="B6799" t="str">
        <f>"1578730004149860"</f>
        <v>1578730004149860</v>
      </c>
      <c r="C6799" t="s">
        <v>40</v>
      </c>
      <c r="D6799">
        <v>5.7805939999999998</v>
      </c>
      <c r="E6799">
        <v>0.51353930000000003</v>
      </c>
      <c r="F6799" t="s">
        <v>42</v>
      </c>
      <c r="G6799">
        <v>-168.9</v>
      </c>
      <c r="H6799">
        <v>0.99667839999999996</v>
      </c>
      <c r="I6799">
        <v>133.9007</v>
      </c>
      <c r="J6799">
        <v>-169.57210000000001</v>
      </c>
      <c r="K6799">
        <v>1.112341</v>
      </c>
      <c r="L6799">
        <v>133.8648</v>
      </c>
      <c r="M6799">
        <v>0.99538000000000004</v>
      </c>
      <c r="N6799">
        <v>0</v>
      </c>
      <c r="O6799">
        <v>9.2537729999999999E-2</v>
      </c>
      <c r="P6799">
        <v>0.99642339999999996</v>
      </c>
      <c r="Q6799">
        <v>-8.1893750000000005E-3</v>
      </c>
      <c r="R6799">
        <v>8.4104659999999998E-2</v>
      </c>
      <c r="S6799">
        <v>2.9975890000000001</v>
      </c>
      <c r="T6799">
        <v>-0.4767979</v>
      </c>
      <c r="U6799">
        <v>0.16830439999999999</v>
      </c>
      <c r="V6799">
        <v>8.4881460000000002E-3</v>
      </c>
      <c r="W6799">
        <v>1.7416859999999999E-2</v>
      </c>
      <c r="X6799">
        <v>0.99981229999999999</v>
      </c>
      <c r="Y6799">
        <v>3.5010699999999999E-2</v>
      </c>
      <c r="Z6799">
        <v>-1.7360279999999999E-2</v>
      </c>
      <c r="AA6799">
        <v>0.99923620000000002</v>
      </c>
      <c r="AB6799">
        <v>6</v>
      </c>
      <c r="AC6799">
        <v>0.67210000000000003</v>
      </c>
      <c r="AD6799">
        <v>-0.1156626</v>
      </c>
      <c r="AE6799">
        <v>3.5899999999998003E-2</v>
      </c>
      <c r="AF6799">
        <v>2.5709898414726901E-2</v>
      </c>
      <c r="AG6799">
        <v>-0.1156626</v>
      </c>
      <c r="AH6799">
        <v>0.653246304105769</v>
      </c>
      <c r="AI6799">
        <v>100.03301663447201</v>
      </c>
      <c r="AJ6799">
        <v>87.746165908091896</v>
      </c>
      <c r="AK6799">
        <v>0.66390478966723998</v>
      </c>
      <c r="AL6799">
        <v>89.002036985845095</v>
      </c>
      <c r="AM6799">
        <v>89.513585442098105</v>
      </c>
      <c r="AN6799">
        <v>1.00000001543303</v>
      </c>
    </row>
    <row r="6800" spans="1:40" x14ac:dyDescent="0.3">
      <c r="A6800" t="str">
        <f>"20200111160644181"</f>
        <v>20200111160644181</v>
      </c>
      <c r="B6800" t="str">
        <f>"1578730004169380"</f>
        <v>1578730004169380</v>
      </c>
      <c r="C6800" t="s">
        <v>40</v>
      </c>
      <c r="D6800">
        <v>5.8132619999999999</v>
      </c>
      <c r="E6800">
        <v>0.51360430000000001</v>
      </c>
      <c r="F6800" t="s">
        <v>42</v>
      </c>
      <c r="G6800">
        <v>-168.85470000000001</v>
      </c>
      <c r="H6800">
        <v>0.98896729999999999</v>
      </c>
      <c r="I6800">
        <v>133.90539999999999</v>
      </c>
      <c r="J6800">
        <v>-169.52019999999999</v>
      </c>
      <c r="K6800">
        <v>1.1122570000000001</v>
      </c>
      <c r="L6800">
        <v>133.86930000000001</v>
      </c>
      <c r="M6800">
        <v>0.99541049999999998</v>
      </c>
      <c r="N6800">
        <v>0</v>
      </c>
      <c r="O6800">
        <v>9.2247570000000001E-2</v>
      </c>
      <c r="P6800">
        <v>0.99638059999999995</v>
      </c>
      <c r="Q6800">
        <v>-1.66836E-2</v>
      </c>
      <c r="R6800">
        <v>8.3350899999999895E-2</v>
      </c>
      <c r="S6800">
        <v>2.9922179999999998</v>
      </c>
      <c r="T6800">
        <v>-0.51461759999999901</v>
      </c>
      <c r="U6800">
        <v>0.16954040000000001</v>
      </c>
      <c r="V6800">
        <v>8.9460559999999904E-3</v>
      </c>
      <c r="W6800">
        <v>8.7863909999999993E-3</v>
      </c>
      <c r="X6800">
        <v>0.99992139999999996</v>
      </c>
      <c r="Y6800">
        <v>3.3959219999999998E-2</v>
      </c>
      <c r="Z6800">
        <v>-1.8611920000000001E-2</v>
      </c>
      <c r="AA6800">
        <v>0.99924990000000002</v>
      </c>
      <c r="AB6800">
        <v>6</v>
      </c>
      <c r="AC6800">
        <v>0.66549999999998</v>
      </c>
      <c r="AD6800">
        <v>-0.123289699999999</v>
      </c>
      <c r="AE6800">
        <v>3.60999999999762E-2</v>
      </c>
      <c r="AF6800">
        <v>2.4622122972842199E-2</v>
      </c>
      <c r="AG6800">
        <v>-0.123289699999999</v>
      </c>
      <c r="AH6800">
        <v>0.64395551846808397</v>
      </c>
      <c r="AI6800">
        <v>100.830782099221</v>
      </c>
      <c r="AJ6800">
        <v>87.810319499730596</v>
      </c>
      <c r="AK6800">
        <v>0.65611379259338698</v>
      </c>
      <c r="AL6800">
        <v>89.496570410647195</v>
      </c>
      <c r="AM6800">
        <v>89.487402133233104</v>
      </c>
      <c r="AN6800">
        <v>1.0000000193813501</v>
      </c>
    </row>
    <row r="6801" spans="1:40" x14ac:dyDescent="0.3">
      <c r="A6801" t="str">
        <f>"20200111160644204"</f>
        <v>20200111160644204</v>
      </c>
      <c r="B6801" t="str">
        <f>"1578730004199635"</f>
        <v>1578730004199635</v>
      </c>
      <c r="C6801" t="s">
        <v>40</v>
      </c>
      <c r="D6801">
        <v>5.8282189999999998</v>
      </c>
      <c r="E6801">
        <v>0.51346159999999996</v>
      </c>
      <c r="F6801" t="s">
        <v>42</v>
      </c>
      <c r="G6801">
        <v>-168.81020000000001</v>
      </c>
      <c r="H6801">
        <v>0.98265290000000005</v>
      </c>
      <c r="I6801">
        <v>133.90880000000001</v>
      </c>
      <c r="J6801">
        <v>-169.46700000000001</v>
      </c>
      <c r="K6801">
        <v>1.112195</v>
      </c>
      <c r="L6801">
        <v>133.874</v>
      </c>
      <c r="M6801">
        <v>0.99544089999999996</v>
      </c>
      <c r="N6801">
        <v>0</v>
      </c>
      <c r="O6801">
        <v>9.1966969999999995E-2</v>
      </c>
      <c r="P6801">
        <v>0.99625710000000001</v>
      </c>
      <c r="Q6801">
        <v>-2.012916E-2</v>
      </c>
      <c r="R6801">
        <v>8.4065100000000004E-2</v>
      </c>
      <c r="S6801">
        <v>2.9878230000000001</v>
      </c>
      <c r="T6801">
        <v>-0.54540849999999996</v>
      </c>
      <c r="U6801">
        <v>0.16673279999999999</v>
      </c>
      <c r="V6801">
        <v>7.9421749999999992E-3</v>
      </c>
      <c r="W6801">
        <v>5.1639490000000001E-3</v>
      </c>
      <c r="X6801">
        <v>0.99995509999999999</v>
      </c>
      <c r="Y6801">
        <v>3.4297759999999997E-2</v>
      </c>
      <c r="Z6801">
        <v>-1.9717140000000001E-2</v>
      </c>
      <c r="AA6801">
        <v>0.99921720000000003</v>
      </c>
      <c r="AB6801">
        <v>6</v>
      </c>
      <c r="AC6801">
        <v>0.65680000000000405</v>
      </c>
      <c r="AD6801">
        <v>-0.12954209999999999</v>
      </c>
      <c r="AE6801">
        <v>3.4800000000018302E-2</v>
      </c>
      <c r="AF6801">
        <v>2.4808443898819199E-2</v>
      </c>
      <c r="AG6801">
        <v>-0.12954209999999999</v>
      </c>
      <c r="AH6801">
        <v>0.63267375982358198</v>
      </c>
      <c r="AI6801">
        <v>101.56291946663001</v>
      </c>
      <c r="AJ6801">
        <v>87.754464662146603</v>
      </c>
      <c r="AK6801">
        <v>0.64627602534087403</v>
      </c>
      <c r="AL6801">
        <v>89.704126193778805</v>
      </c>
      <c r="AM6801">
        <v>89.544936028438897</v>
      </c>
      <c r="AN6801">
        <v>0.99999997326450696</v>
      </c>
    </row>
    <row r="6802" spans="1:40" x14ac:dyDescent="0.3">
      <c r="A6802" t="str">
        <f>"20200111160644226"</f>
        <v>20200111160644226</v>
      </c>
      <c r="B6802" t="str">
        <f>"1578730004219156"</f>
        <v>1578730004219156</v>
      </c>
      <c r="C6802" t="s">
        <v>40</v>
      </c>
      <c r="D6802">
        <v>5.8086960000000003</v>
      </c>
      <c r="E6802">
        <v>0.51357419999999998</v>
      </c>
      <c r="F6802" t="s">
        <v>42</v>
      </c>
      <c r="G6802">
        <v>-168.72550000000001</v>
      </c>
      <c r="H6802">
        <v>0.97298569999999995</v>
      </c>
      <c r="I6802">
        <v>133.916</v>
      </c>
      <c r="J6802">
        <v>-169.41739999999999</v>
      </c>
      <c r="K6802">
        <v>1.1121799999999999</v>
      </c>
      <c r="L6802">
        <v>133.8783</v>
      </c>
      <c r="M6802">
        <v>0.99546690000000004</v>
      </c>
      <c r="N6802">
        <v>0</v>
      </c>
      <c r="O6802">
        <v>9.1712699999999994E-2</v>
      </c>
      <c r="P6802">
        <v>0.99610030000000005</v>
      </c>
      <c r="Q6802">
        <v>-1.8795039999999999E-2</v>
      </c>
      <c r="R6802">
        <v>8.6203000000000002E-2</v>
      </c>
      <c r="S6802">
        <v>2.9856410000000002</v>
      </c>
      <c r="T6802">
        <v>-0.56054559999999998</v>
      </c>
      <c r="U6802">
        <v>0.16976930000000001</v>
      </c>
      <c r="V6802">
        <v>5.5434830000000001E-3</v>
      </c>
      <c r="W6802">
        <v>6.3970290000000003E-3</v>
      </c>
      <c r="X6802">
        <v>0.99996419999999997</v>
      </c>
      <c r="Y6802">
        <v>3.289856E-2</v>
      </c>
      <c r="Z6802">
        <v>-2.0091629999999999E-2</v>
      </c>
      <c r="AA6802">
        <v>0.9992567</v>
      </c>
      <c r="AB6802">
        <v>5</v>
      </c>
      <c r="AC6802">
        <v>0.69189999999997498</v>
      </c>
      <c r="AD6802">
        <v>-0.13919429999999999</v>
      </c>
      <c r="AE6802">
        <v>3.7700000000000899E-2</v>
      </c>
      <c r="AF6802">
        <v>2.49291919980178E-2</v>
      </c>
      <c r="AG6802">
        <v>-0.13919429999999999</v>
      </c>
      <c r="AH6802">
        <v>0.66558297152916202</v>
      </c>
      <c r="AI6802">
        <v>101.80406151039099</v>
      </c>
      <c r="AJ6802">
        <v>87.855008022639893</v>
      </c>
      <c r="AK6802">
        <v>0.68043898312468298</v>
      </c>
      <c r="AL6802">
        <v>89.633474746823296</v>
      </c>
      <c r="AM6802">
        <v>89.682373702939401</v>
      </c>
      <c r="AN6802">
        <v>1.00000002673271</v>
      </c>
    </row>
    <row r="6803" spans="1:40" x14ac:dyDescent="0.3">
      <c r="A6803" t="str">
        <f>"20200111160644248"</f>
        <v>20200111160644248</v>
      </c>
      <c r="B6803" t="str">
        <f>"1578730004239651"</f>
        <v>1578730004239651</v>
      </c>
      <c r="C6803" t="s">
        <v>40</v>
      </c>
      <c r="D6803">
        <v>5.8340529999999999</v>
      </c>
      <c r="E6803">
        <v>0.51358609999999905</v>
      </c>
      <c r="F6803" t="s">
        <v>42</v>
      </c>
      <c r="G6803">
        <v>-168.68299999999999</v>
      </c>
      <c r="H6803">
        <v>0.97479870000000002</v>
      </c>
      <c r="I6803">
        <v>133.92099999999999</v>
      </c>
      <c r="J6803">
        <v>-169.3733</v>
      </c>
      <c r="K6803">
        <v>1.112182</v>
      </c>
      <c r="L6803">
        <v>133.88210000000001</v>
      </c>
      <c r="M6803">
        <v>0.99548910000000002</v>
      </c>
      <c r="N6803">
        <v>0</v>
      </c>
      <c r="O6803">
        <v>9.1487750000000007E-2</v>
      </c>
      <c r="P6803">
        <v>0.99589720000000004</v>
      </c>
      <c r="Q6803">
        <v>-1.443637E-2</v>
      </c>
      <c r="R6803">
        <v>8.933381E-2</v>
      </c>
      <c r="S6803">
        <v>2.9861300000000002</v>
      </c>
      <c r="T6803">
        <v>-0.55858269999999899</v>
      </c>
      <c r="U6803">
        <v>0.17420959999999999</v>
      </c>
      <c r="V6803">
        <v>2.1806389999999998E-3</v>
      </c>
      <c r="W6803">
        <v>1.0696509999999999E-2</v>
      </c>
      <c r="X6803">
        <v>0.99994039999999995</v>
      </c>
      <c r="Y6803">
        <v>3.124913E-2</v>
      </c>
      <c r="Z6803">
        <v>-1.9823799999999999E-2</v>
      </c>
      <c r="AA6803">
        <v>0.99931499999999995</v>
      </c>
      <c r="AB6803">
        <v>5</v>
      </c>
      <c r="AC6803">
        <v>0.69030000000000702</v>
      </c>
      <c r="AD6803">
        <v>-0.13738330000000001</v>
      </c>
      <c r="AE6803">
        <v>3.8899999999983899E-2</v>
      </c>
      <c r="AF6803">
        <v>2.3508968997892499E-2</v>
      </c>
      <c r="AG6803">
        <v>-0.13738330000000001</v>
      </c>
      <c r="AH6803">
        <v>0.66471782690589698</v>
      </c>
      <c r="AI6803">
        <v>101.67032639937</v>
      </c>
      <c r="AJ6803">
        <v>87.974473573001106</v>
      </c>
      <c r="AK6803">
        <v>0.67917349193614196</v>
      </c>
      <c r="AL6803">
        <v>89.387123426074993</v>
      </c>
      <c r="AM6803">
        <v>89.875051339781095</v>
      </c>
      <c r="AN6803">
        <v>0.99999998703239401</v>
      </c>
    </row>
    <row r="6804" spans="1:40" x14ac:dyDescent="0.3">
      <c r="A6804" t="str">
        <f>"20200111160644270"</f>
        <v>20200111160644270</v>
      </c>
      <c r="B6804" t="str">
        <f>"1578730004259171"</f>
        <v>1578730004259171</v>
      </c>
      <c r="C6804" t="s">
        <v>40</v>
      </c>
      <c r="D6804">
        <v>5.8884600000000002</v>
      </c>
      <c r="E6804">
        <v>0.51363769999999997</v>
      </c>
      <c r="F6804" t="s">
        <v>42</v>
      </c>
      <c r="G6804">
        <v>-168.64160000000001</v>
      </c>
      <c r="H6804">
        <v>0.97831539999999995</v>
      </c>
      <c r="I6804">
        <v>133.92679999999999</v>
      </c>
      <c r="J6804">
        <v>-169.3296</v>
      </c>
      <c r="K6804">
        <v>1.112185</v>
      </c>
      <c r="L6804">
        <v>133.88589999999999</v>
      </c>
      <c r="M6804">
        <v>0.99551149999999999</v>
      </c>
      <c r="N6804">
        <v>0</v>
      </c>
      <c r="O6804">
        <v>9.1262889999999999E-2</v>
      </c>
      <c r="P6804">
        <v>0.99560680000000001</v>
      </c>
      <c r="Q6804">
        <v>-1.076365E-2</v>
      </c>
      <c r="R6804">
        <v>9.3013150000000003E-2</v>
      </c>
      <c r="S6804">
        <v>2.9880070000000001</v>
      </c>
      <c r="T6804">
        <v>-0.5466664</v>
      </c>
      <c r="U6804">
        <v>0.18322749999999999</v>
      </c>
      <c r="V6804">
        <v>-1.7358110000000001E-3</v>
      </c>
      <c r="W6804">
        <v>1.430064E-2</v>
      </c>
      <c r="X6804">
        <v>0.99989620000000001</v>
      </c>
      <c r="Y6804">
        <v>2.8199930000000002E-2</v>
      </c>
      <c r="Z6804">
        <v>-1.9076630000000001E-2</v>
      </c>
      <c r="AA6804">
        <v>0.99942019999999998</v>
      </c>
      <c r="AB6804">
        <v>5</v>
      </c>
      <c r="AC6804">
        <v>0.68799999999998795</v>
      </c>
      <c r="AD6804">
        <v>-0.13386959999999901</v>
      </c>
      <c r="AE6804">
        <v>4.0899999999993497E-2</v>
      </c>
      <c r="AF6804">
        <v>2.1276671367709901E-2</v>
      </c>
      <c r="AG6804">
        <v>-0.13386959999999901</v>
      </c>
      <c r="AH6804">
        <v>0.66381690429512596</v>
      </c>
      <c r="AI6804">
        <v>101.39601232877</v>
      </c>
      <c r="AJ6804">
        <v>88.164183135753703</v>
      </c>
      <c r="AK6804">
        <v>0.67751505442802795</v>
      </c>
      <c r="AL6804">
        <v>89.180605725411496</v>
      </c>
      <c r="AM6804">
        <v>90.099464868878201</v>
      </c>
      <c r="AN6804">
        <v>0.99999996605933805</v>
      </c>
    </row>
    <row r="6805" spans="1:40" x14ac:dyDescent="0.3">
      <c r="A6805" t="str">
        <f>"20200111160644293"</f>
        <v>20200111160644293</v>
      </c>
      <c r="B6805" t="str">
        <f>"1578730004289428"</f>
        <v>1578730004289428</v>
      </c>
      <c r="C6805" t="s">
        <v>40</v>
      </c>
      <c r="D6805">
        <v>5.8692489999999999</v>
      </c>
      <c r="E6805">
        <v>0.51378199999999996</v>
      </c>
      <c r="F6805" t="s">
        <v>42</v>
      </c>
      <c r="G6805">
        <v>-168.60230000000001</v>
      </c>
      <c r="H6805">
        <v>0.98170360000000001</v>
      </c>
      <c r="I6805">
        <v>133.9332</v>
      </c>
      <c r="J6805">
        <v>-169.2878</v>
      </c>
      <c r="K6805">
        <v>1.1121719999999999</v>
      </c>
      <c r="L6805">
        <v>133.8895</v>
      </c>
      <c r="M6805">
        <v>0.99553349999999996</v>
      </c>
      <c r="N6805">
        <v>0</v>
      </c>
      <c r="O6805">
        <v>9.1042819999999997E-2</v>
      </c>
      <c r="P6805">
        <v>0.99541840000000004</v>
      </c>
      <c r="Q6805">
        <v>-9.2134829999999997E-3</v>
      </c>
      <c r="R6805">
        <v>9.5170770000000002E-2</v>
      </c>
      <c r="S6805">
        <v>2.9893040000000002</v>
      </c>
      <c r="T6805">
        <v>-0.53629740000000004</v>
      </c>
      <c r="U6805">
        <v>0.1941071</v>
      </c>
      <c r="V6805">
        <v>-4.1225109999999997E-3</v>
      </c>
      <c r="W6805">
        <v>1.577342E-2</v>
      </c>
      <c r="X6805">
        <v>0.99986710000000001</v>
      </c>
      <c r="Y6805">
        <v>2.451969E-2</v>
      </c>
      <c r="Z6805">
        <v>-1.834363E-2</v>
      </c>
      <c r="AA6805">
        <v>0.99953099999999995</v>
      </c>
      <c r="AB6805">
        <v>4</v>
      </c>
      <c r="AC6805">
        <v>0.68549999999999001</v>
      </c>
      <c r="AD6805">
        <v>-0.13046839999999901</v>
      </c>
      <c r="AE6805">
        <v>4.3700000000001099E-2</v>
      </c>
      <c r="AF6805">
        <v>1.82524433001062E-2</v>
      </c>
      <c r="AG6805">
        <v>-0.13046839999999901</v>
      </c>
      <c r="AH6805">
        <v>0.66272189923827196</v>
      </c>
      <c r="AI6805">
        <v>101.133136541887</v>
      </c>
      <c r="AJ6805">
        <v>88.422379487021104</v>
      </c>
      <c r="AK6805">
        <v>0.67568888611177103</v>
      </c>
      <c r="AL6805">
        <v>89.096212131800897</v>
      </c>
      <c r="AM6805">
        <v>90.236232538163804</v>
      </c>
      <c r="AN6805">
        <v>1.0000000067689201</v>
      </c>
    </row>
    <row r="6806" spans="1:40" x14ac:dyDescent="0.3">
      <c r="A6806" t="str">
        <f>"20200111160644315"</f>
        <v>20200111160644315</v>
      </c>
      <c r="B6806" t="str">
        <f>"1578730004309924"</f>
        <v>1578730004309924</v>
      </c>
      <c r="C6806" t="s">
        <v>40</v>
      </c>
      <c r="D6806">
        <v>5.8225920000000002</v>
      </c>
      <c r="E6806">
        <v>0.5137178</v>
      </c>
      <c r="F6806" t="s">
        <v>42</v>
      </c>
      <c r="G6806">
        <v>-168.56540000000001</v>
      </c>
      <c r="H6806">
        <v>0.98359189999999996</v>
      </c>
      <c r="I6806">
        <v>133.9376</v>
      </c>
      <c r="J6806">
        <v>-169.2475</v>
      </c>
      <c r="K6806">
        <v>1.112177</v>
      </c>
      <c r="L6806">
        <v>133.893</v>
      </c>
      <c r="M6806">
        <v>0.99555530000000003</v>
      </c>
      <c r="N6806">
        <v>0</v>
      </c>
      <c r="O6806">
        <v>9.08225E-2</v>
      </c>
      <c r="P6806">
        <v>0.99508529999999995</v>
      </c>
      <c r="Q6806">
        <v>-7.9828840000000009E-3</v>
      </c>
      <c r="R6806">
        <v>9.8698939999999999E-2</v>
      </c>
      <c r="S6806">
        <v>2.9898220000000002</v>
      </c>
      <c r="T6806">
        <v>-0.53215279999999998</v>
      </c>
      <c r="U6806">
        <v>0.19958500000000001</v>
      </c>
      <c r="V6806">
        <v>-7.8869290000000009E-3</v>
      </c>
      <c r="W6806">
        <v>1.693675E-2</v>
      </c>
      <c r="X6806">
        <v>0.99982550000000003</v>
      </c>
      <c r="Y6806">
        <v>2.254915E-2</v>
      </c>
      <c r="Z6806">
        <v>-1.7987019999999999E-2</v>
      </c>
      <c r="AA6806">
        <v>0.99958389999999997</v>
      </c>
      <c r="AB6806">
        <v>4</v>
      </c>
      <c r="AC6806">
        <v>0.68209999999999105</v>
      </c>
      <c r="AD6806">
        <v>-0.12858510000000001</v>
      </c>
      <c r="AE6806">
        <v>4.4600000000002603E-2</v>
      </c>
      <c r="AF6806">
        <v>1.6953783581739601E-2</v>
      </c>
      <c r="AG6806">
        <v>-0.12858510000000001</v>
      </c>
      <c r="AH6806">
        <v>0.65997713313168904</v>
      </c>
      <c r="AI6806">
        <v>101.021425203775</v>
      </c>
      <c r="AJ6806">
        <v>88.528484379473298</v>
      </c>
      <c r="AK6806">
        <v>0.67260045716344097</v>
      </c>
      <c r="AL6806">
        <v>89.029549348873701</v>
      </c>
      <c r="AM6806">
        <v>90.4519572389476</v>
      </c>
      <c r="AN6806">
        <v>1.0000000437999299</v>
      </c>
    </row>
    <row r="6807" spans="1:40" x14ac:dyDescent="0.3">
      <c r="A6807" t="str">
        <f>"20200111160644337"</f>
        <v>20200111160644337</v>
      </c>
      <c r="B6807" t="str">
        <f>"1578730004329444"</f>
        <v>1578730004329444</v>
      </c>
      <c r="C6807" t="s">
        <v>40</v>
      </c>
      <c r="D6807">
        <v>5.8672849999999999</v>
      </c>
      <c r="E6807">
        <v>0.51380209999999904</v>
      </c>
      <c r="F6807" t="s">
        <v>42</v>
      </c>
      <c r="G6807">
        <v>-168.5307</v>
      </c>
      <c r="H6807">
        <v>0.98535119999999998</v>
      </c>
      <c r="I6807">
        <v>133.9434</v>
      </c>
      <c r="J6807">
        <v>-169.21260000000001</v>
      </c>
      <c r="K6807">
        <v>1.112182</v>
      </c>
      <c r="L6807">
        <v>133.89599999999999</v>
      </c>
      <c r="M6807">
        <v>0.99557439999999997</v>
      </c>
      <c r="N6807">
        <v>0</v>
      </c>
      <c r="O6807">
        <v>9.062365E-2</v>
      </c>
      <c r="P6807">
        <v>0.99481640000000005</v>
      </c>
      <c r="Q6807">
        <v>-5.7858450000000004E-3</v>
      </c>
      <c r="R6807">
        <v>0.101524</v>
      </c>
      <c r="S6807">
        <v>2.9896699999999998</v>
      </c>
      <c r="T6807">
        <v>-0.52896149999999997</v>
      </c>
      <c r="U6807">
        <v>0.21072389999999999</v>
      </c>
      <c r="V6807">
        <v>-1.0924339999999999E-2</v>
      </c>
      <c r="W6807">
        <v>1.9095040000000001E-2</v>
      </c>
      <c r="X6807">
        <v>0.99975800000000004</v>
      </c>
      <c r="Y6807">
        <v>1.8722510000000001E-2</v>
      </c>
      <c r="Z6807">
        <v>-1.7508570000000001E-2</v>
      </c>
      <c r="AA6807">
        <v>0.99967139999999999</v>
      </c>
      <c r="AB6807">
        <v>4</v>
      </c>
      <c r="AC6807">
        <v>0.68190000000001205</v>
      </c>
      <c r="AD6807">
        <v>-0.12683079999999999</v>
      </c>
      <c r="AE6807">
        <v>4.7399999999981901E-2</v>
      </c>
      <c r="AF6807">
        <v>1.41242885716338E-2</v>
      </c>
      <c r="AG6807">
        <v>-0.12683079999999999</v>
      </c>
      <c r="AH6807">
        <v>0.66064445663887095</v>
      </c>
      <c r="AI6807">
        <v>100.865019624971</v>
      </c>
      <c r="AJ6807">
        <v>88.775227963006003</v>
      </c>
      <c r="AK6807">
        <v>0.67285707653554805</v>
      </c>
      <c r="AL6807">
        <v>88.905868312130295</v>
      </c>
      <c r="AM6807">
        <v>90.626045169333494</v>
      </c>
      <c r="AN6807">
        <v>1.00000001016051</v>
      </c>
    </row>
    <row r="6808" spans="1:40" x14ac:dyDescent="0.3">
      <c r="A6808" t="str">
        <f>"20200111160644359"</f>
        <v>20200111160644359</v>
      </c>
      <c r="B6808" t="str">
        <f>"1578730004349941"</f>
        <v>1578730004349941</v>
      </c>
      <c r="C6808" t="s">
        <v>40</v>
      </c>
      <c r="D6808">
        <v>5.8562050000000001</v>
      </c>
      <c r="E6808">
        <v>0.51392539999999998</v>
      </c>
      <c r="F6808" t="s">
        <v>42</v>
      </c>
      <c r="G6808">
        <v>-168.49780000000001</v>
      </c>
      <c r="H6808">
        <v>0.98717379999999999</v>
      </c>
      <c r="I6808">
        <v>133.94810000000001</v>
      </c>
      <c r="J6808">
        <v>-169.1782</v>
      </c>
      <c r="K6808">
        <v>1.1121890000000001</v>
      </c>
      <c r="L6808">
        <v>133.8989</v>
      </c>
      <c r="M6808">
        <v>0.99559350000000002</v>
      </c>
      <c r="N6808">
        <v>0</v>
      </c>
      <c r="O6808">
        <v>9.0419979999999997E-2</v>
      </c>
      <c r="P6808">
        <v>0.99467870000000003</v>
      </c>
      <c r="Q6808">
        <v>-3.8523860000000002E-3</v>
      </c>
      <c r="R6808">
        <v>0.1029552</v>
      </c>
      <c r="S6808">
        <v>2.9902799999999998</v>
      </c>
      <c r="T6808">
        <v>-0.52301239999999904</v>
      </c>
      <c r="U6808">
        <v>0.21861269999999999</v>
      </c>
      <c r="V6808">
        <v>-1.2566620000000001E-2</v>
      </c>
      <c r="W6808">
        <v>2.1005340000000001E-2</v>
      </c>
      <c r="X6808">
        <v>0.99970040000000004</v>
      </c>
      <c r="Y6808">
        <v>1.5991089999999999E-2</v>
      </c>
      <c r="Z6808">
        <v>-1.7037150000000001E-2</v>
      </c>
      <c r="AA6808">
        <v>0.99972700000000003</v>
      </c>
      <c r="AB6808">
        <v>4</v>
      </c>
      <c r="AC6808">
        <v>0.68039999999999101</v>
      </c>
      <c r="AD6808">
        <v>-0.12501519999999899</v>
      </c>
      <c r="AE6808">
        <v>4.9200000000013198E-2</v>
      </c>
      <c r="AF6808">
        <v>1.2134891312064799E-2</v>
      </c>
      <c r="AG6808">
        <v>-0.12501519999999899</v>
      </c>
      <c r="AH6808">
        <v>0.65989916733905896</v>
      </c>
      <c r="AI6808">
        <v>100.72555201689499</v>
      </c>
      <c r="AJ6808">
        <v>88.946506168507398</v>
      </c>
      <c r="AK6808">
        <v>0.67174620718912803</v>
      </c>
      <c r="AL6808">
        <v>88.796394170137106</v>
      </c>
      <c r="AM6808">
        <v>90.720192137646094</v>
      </c>
      <c r="AN6808">
        <v>1.00000001700345</v>
      </c>
    </row>
    <row r="6809" spans="1:40" x14ac:dyDescent="0.3">
      <c r="A6809" t="str">
        <f>"20200111160644378"</f>
        <v>20200111160644378</v>
      </c>
      <c r="B6809" t="str">
        <f>"1578730004369461"</f>
        <v>1578730004369461</v>
      </c>
      <c r="C6809" t="s">
        <v>40</v>
      </c>
      <c r="D6809">
        <v>5.9195310000000001</v>
      </c>
      <c r="E6809">
        <v>0.51407349999999996</v>
      </c>
      <c r="F6809" t="s">
        <v>42</v>
      </c>
      <c r="G6809">
        <v>-168.46690000000001</v>
      </c>
      <c r="H6809">
        <v>0.9890101</v>
      </c>
      <c r="I6809">
        <v>133.95169999999999</v>
      </c>
      <c r="J6809">
        <v>-169.15110000000001</v>
      </c>
      <c r="K6809">
        <v>1.1121939999999999</v>
      </c>
      <c r="L6809">
        <v>133.90119999999999</v>
      </c>
      <c r="M6809">
        <v>0.99560859999999995</v>
      </c>
      <c r="N6809">
        <v>0</v>
      </c>
      <c r="O6809">
        <v>9.0255539999999995E-2</v>
      </c>
      <c r="P6809">
        <v>0.99463990000000002</v>
      </c>
      <c r="Q6809">
        <v>-3.4220259999999999E-3</v>
      </c>
      <c r="R6809">
        <v>0.1033448</v>
      </c>
      <c r="S6809">
        <v>2.9910429999999999</v>
      </c>
      <c r="T6809">
        <v>-0.51796790000000004</v>
      </c>
      <c r="U6809">
        <v>0.22251889999999999</v>
      </c>
      <c r="V6809">
        <v>-1.3123289999999999E-2</v>
      </c>
      <c r="W6809">
        <v>2.1428200000000001E-2</v>
      </c>
      <c r="X6809">
        <v>0.99968429999999997</v>
      </c>
      <c r="Y6809">
        <v>1.460036E-2</v>
      </c>
      <c r="Z6809">
        <v>-1.6722529999999999E-2</v>
      </c>
      <c r="AA6809">
        <v>0.99975349999999996</v>
      </c>
      <c r="AB6809">
        <v>4</v>
      </c>
      <c r="AC6809">
        <v>0.68420000000000403</v>
      </c>
      <c r="AD6809">
        <v>-0.1231839</v>
      </c>
      <c r="AE6809">
        <v>5.0499999999999497E-2</v>
      </c>
      <c r="AF6809">
        <v>1.1119662938681499E-2</v>
      </c>
      <c r="AG6809">
        <v>-0.1231839</v>
      </c>
      <c r="AH6809">
        <v>0.66454094740150105</v>
      </c>
      <c r="AI6809">
        <v>100.500106202176</v>
      </c>
      <c r="AJ6809">
        <v>89.041367868454302</v>
      </c>
      <c r="AK6809">
        <v>0.67595309814835802</v>
      </c>
      <c r="AL6809">
        <v>88.7721606552997</v>
      </c>
      <c r="AM6809">
        <v>90.752103381779705</v>
      </c>
      <c r="AN6809">
        <v>1.0000000440810699</v>
      </c>
    </row>
    <row r="6810" spans="1:40" x14ac:dyDescent="0.3">
      <c r="A6810" t="str">
        <f>"20200111160644393"</f>
        <v>20200111160644393</v>
      </c>
      <c r="B6810" t="str">
        <f>"1578730004389956"</f>
        <v>1578730004389956</v>
      </c>
      <c r="C6810" t="s">
        <v>40</v>
      </c>
      <c r="D6810">
        <v>5.9059179999999998</v>
      </c>
      <c r="E6810">
        <v>0.51423220000000003</v>
      </c>
      <c r="F6810" t="s">
        <v>42</v>
      </c>
      <c r="G6810">
        <v>-168.43879999999999</v>
      </c>
      <c r="H6810">
        <v>0.98889830000000001</v>
      </c>
      <c r="I6810">
        <v>133.95400000000001</v>
      </c>
      <c r="J6810">
        <v>-169.13079999999999</v>
      </c>
      <c r="K6810">
        <v>1.112198</v>
      </c>
      <c r="L6810">
        <v>133.90280000000001</v>
      </c>
      <c r="M6810">
        <v>0.99561980000000005</v>
      </c>
      <c r="N6810">
        <v>0</v>
      </c>
      <c r="O6810">
        <v>9.0131470000000005E-2</v>
      </c>
      <c r="P6810">
        <v>0.99464569999999997</v>
      </c>
      <c r="Q6810">
        <v>-3.0121840000000002E-3</v>
      </c>
      <c r="R6810">
        <v>0.10330159999999999</v>
      </c>
      <c r="S6810">
        <v>2.9912570000000001</v>
      </c>
      <c r="T6810">
        <v>-0.51780329999999997</v>
      </c>
      <c r="U6810">
        <v>0.2227325</v>
      </c>
      <c r="V6810">
        <v>-1.3204199999999999E-2</v>
      </c>
      <c r="W6810">
        <v>2.1837229999999999E-2</v>
      </c>
      <c r="X6810">
        <v>0.99967430000000002</v>
      </c>
      <c r="Y6810">
        <v>1.441579E-2</v>
      </c>
      <c r="Z6810">
        <v>-1.6679030000000001E-2</v>
      </c>
      <c r="AA6810">
        <v>0.99975700000000001</v>
      </c>
      <c r="AB6810">
        <v>3</v>
      </c>
      <c r="AC6810">
        <v>0.69200000000000705</v>
      </c>
      <c r="AD6810">
        <v>-0.1232997</v>
      </c>
      <c r="AE6810">
        <v>5.1199999999994299E-2</v>
      </c>
      <c r="AF6810">
        <v>1.1049866044430199E-2</v>
      </c>
      <c r="AG6810">
        <v>-0.1232997</v>
      </c>
      <c r="AH6810">
        <v>0.67256186734434797</v>
      </c>
      <c r="AI6810">
        <v>100.38721379523599</v>
      </c>
      <c r="AJ6810">
        <v>89.05874275139</v>
      </c>
      <c r="AK6810">
        <v>0.683859913261047</v>
      </c>
      <c r="AL6810">
        <v>88.748719373669104</v>
      </c>
      <c r="AM6810">
        <v>90.756747412332899</v>
      </c>
      <c r="AN6810">
        <v>0.99999996079609998</v>
      </c>
    </row>
    <row r="6811" spans="1:40" x14ac:dyDescent="0.3">
      <c r="A6811" t="str">
        <f>"20200111160644416"</f>
        <v>20200111160644416</v>
      </c>
      <c r="B6811" t="str">
        <f>"1578730004409476"</f>
        <v>1578730004409476</v>
      </c>
      <c r="C6811" t="s">
        <v>40</v>
      </c>
      <c r="D6811">
        <v>5.8799729999999997</v>
      </c>
      <c r="E6811">
        <v>0.51441700000000001</v>
      </c>
      <c r="F6811" t="s">
        <v>42</v>
      </c>
      <c r="G6811">
        <v>-168.41309999999999</v>
      </c>
      <c r="H6811">
        <v>0.98796130000000004</v>
      </c>
      <c r="I6811">
        <v>133.95590000000001</v>
      </c>
      <c r="J6811">
        <v>-169.10310000000001</v>
      </c>
      <c r="K6811">
        <v>1.1122019999999999</v>
      </c>
      <c r="L6811">
        <v>133.90520000000001</v>
      </c>
      <c r="M6811">
        <v>0.99563489999999999</v>
      </c>
      <c r="N6811">
        <v>0</v>
      </c>
      <c r="O6811">
        <v>8.9961369999999999E-2</v>
      </c>
      <c r="P6811">
        <v>0.99474119999999999</v>
      </c>
      <c r="Q6811">
        <v>-3.6241709999999998E-3</v>
      </c>
      <c r="R6811">
        <v>0.1023564</v>
      </c>
      <c r="S6811">
        <v>2.9915620000000001</v>
      </c>
      <c r="T6811">
        <v>-0.5178798</v>
      </c>
      <c r="U6811">
        <v>0.22167970000000001</v>
      </c>
      <c r="V6811">
        <v>-1.2425459999999999E-2</v>
      </c>
      <c r="W6811">
        <v>2.1240849999999999E-2</v>
      </c>
      <c r="X6811">
        <v>0.99969710000000001</v>
      </c>
      <c r="Y6811">
        <v>1.460203E-2</v>
      </c>
      <c r="Z6811">
        <v>-1.666699E-2</v>
      </c>
      <c r="AA6811">
        <v>0.99975449999999999</v>
      </c>
      <c r="AB6811">
        <v>3</v>
      </c>
      <c r="AC6811">
        <v>0.69000000000002604</v>
      </c>
      <c r="AD6811">
        <v>-0.124240699999999</v>
      </c>
      <c r="AE6811">
        <v>5.0700000000006101E-2</v>
      </c>
      <c r="AF6811">
        <v>1.12359147952341E-2</v>
      </c>
      <c r="AG6811">
        <v>-0.124240699999999</v>
      </c>
      <c r="AH6811">
        <v>0.67015244814429398</v>
      </c>
      <c r="AI6811">
        <v>100.50147349165501</v>
      </c>
      <c r="AJ6811">
        <v>89.039457087457194</v>
      </c>
      <c r="AK6811">
        <v>0.68166436101029004</v>
      </c>
      <c r="AL6811">
        <v>88.782897322522302</v>
      </c>
      <c r="AM6811">
        <v>90.7121054558487</v>
      </c>
      <c r="AN6811">
        <v>0.99999992875666899</v>
      </c>
    </row>
    <row r="6812" spans="1:40" x14ac:dyDescent="0.3">
      <c r="A6812" t="str">
        <f>"20200111160644437"</f>
        <v>20200111160644437</v>
      </c>
      <c r="B6812" t="str">
        <f>"1578730004429972"</f>
        <v>1578730004429972</v>
      </c>
      <c r="C6812" t="s">
        <v>40</v>
      </c>
      <c r="D6812">
        <v>5.8931589999999998</v>
      </c>
      <c r="E6812">
        <v>0.51453819999999995</v>
      </c>
      <c r="F6812" t="s">
        <v>42</v>
      </c>
      <c r="G6812">
        <v>-168.38900000000001</v>
      </c>
      <c r="H6812">
        <v>0.98789119999999997</v>
      </c>
      <c r="I6812">
        <v>133.95679999999999</v>
      </c>
      <c r="J6812">
        <v>-169.078</v>
      </c>
      <c r="K6812">
        <v>1.112217</v>
      </c>
      <c r="L6812">
        <v>133.90719999999999</v>
      </c>
      <c r="M6812">
        <v>0.99564779999999997</v>
      </c>
      <c r="N6812">
        <v>0</v>
      </c>
      <c r="O6812">
        <v>8.980805E-2</v>
      </c>
      <c r="P6812">
        <v>0.99491549999999995</v>
      </c>
      <c r="Q6812">
        <v>-5.3849719999999896E-3</v>
      </c>
      <c r="R6812">
        <v>0.1005709</v>
      </c>
      <c r="S6812">
        <v>2.9916230000000001</v>
      </c>
      <c r="T6812">
        <v>-0.52086940000000004</v>
      </c>
      <c r="U6812">
        <v>0.2171631</v>
      </c>
      <c r="V6812">
        <v>-1.0785049999999999E-2</v>
      </c>
      <c r="W6812">
        <v>1.9519829999999998E-2</v>
      </c>
      <c r="X6812">
        <v>0.99975130000000001</v>
      </c>
      <c r="Y6812">
        <v>1.591569E-2</v>
      </c>
      <c r="Z6812">
        <v>-1.6849639999999999E-2</v>
      </c>
      <c r="AA6812">
        <v>0.99973140000000005</v>
      </c>
      <c r="AB6812">
        <v>3</v>
      </c>
      <c r="AC6812">
        <v>0.68899999999999195</v>
      </c>
      <c r="AD6812">
        <v>-0.124325799999999</v>
      </c>
      <c r="AE6812">
        <v>4.9599999999998E-2</v>
      </c>
      <c r="AF6812">
        <v>1.2105371691416299E-2</v>
      </c>
      <c r="AG6812">
        <v>-0.124325799999999</v>
      </c>
      <c r="AH6812">
        <v>0.668999635201174</v>
      </c>
      <c r="AI6812">
        <v>100.52597194731899</v>
      </c>
      <c r="AJ6812">
        <v>88.963361132350201</v>
      </c>
      <c r="AK6812">
        <v>0.68056150087169298</v>
      </c>
      <c r="AL6812">
        <v>88.8815250905634</v>
      </c>
      <c r="AM6812">
        <v>90.618067591044706</v>
      </c>
      <c r="AN6812">
        <v>1.0000000014592101</v>
      </c>
    </row>
    <row r="6813" spans="1:40" x14ac:dyDescent="0.3">
      <c r="A6813" t="str">
        <f>"20200111160644461"</f>
        <v>20200111160644461</v>
      </c>
      <c r="B6813" t="str">
        <f>"1578730004449492"</f>
        <v>1578730004449492</v>
      </c>
      <c r="C6813" t="s">
        <v>40</v>
      </c>
      <c r="D6813">
        <v>5.8811519999999904</v>
      </c>
      <c r="E6813">
        <v>0.51467159999999901</v>
      </c>
      <c r="F6813" t="s">
        <v>42</v>
      </c>
      <c r="G6813">
        <v>-168.3674</v>
      </c>
      <c r="H6813">
        <v>0.98698620000000004</v>
      </c>
      <c r="I6813">
        <v>133.9571</v>
      </c>
      <c r="J6813">
        <v>-169.0549</v>
      </c>
      <c r="K6813">
        <v>1.112236</v>
      </c>
      <c r="L6813">
        <v>133.9091</v>
      </c>
      <c r="M6813">
        <v>0.99565899999999996</v>
      </c>
      <c r="N6813">
        <v>0</v>
      </c>
      <c r="O6813">
        <v>8.9668369999999997E-2</v>
      </c>
      <c r="P6813">
        <v>0.99509009999999998</v>
      </c>
      <c r="Q6813">
        <v>-6.2300510000000003E-3</v>
      </c>
      <c r="R6813">
        <v>9.8778450000000004E-2</v>
      </c>
      <c r="S6813">
        <v>2.991196</v>
      </c>
      <c r="T6813">
        <v>-0.52712879999999995</v>
      </c>
      <c r="U6813">
        <v>0.2105408</v>
      </c>
      <c r="V6813">
        <v>-9.1247610000000003E-3</v>
      </c>
      <c r="W6813">
        <v>1.87289E-2</v>
      </c>
      <c r="X6813">
        <v>0.99978299999999998</v>
      </c>
      <c r="Y6813">
        <v>1.790038E-2</v>
      </c>
      <c r="Z6813">
        <v>-1.7202240000000001E-2</v>
      </c>
      <c r="AA6813">
        <v>0.99969180000000002</v>
      </c>
      <c r="AB6813">
        <v>3</v>
      </c>
      <c r="AC6813">
        <v>0.6875</v>
      </c>
      <c r="AD6813">
        <v>-0.12524979999999999</v>
      </c>
      <c r="AE6813">
        <v>4.8000000000001798E-2</v>
      </c>
      <c r="AF6813">
        <v>1.3416551821280201E-2</v>
      </c>
      <c r="AG6813">
        <v>-0.12524979999999999</v>
      </c>
      <c r="AH6813">
        <v>0.66700368655601205</v>
      </c>
      <c r="AI6813">
        <v>100.633038039863</v>
      </c>
      <c r="AJ6813">
        <v>88.847670317034897</v>
      </c>
      <c r="AK6813">
        <v>0.67879410290759301</v>
      </c>
      <c r="AL6813">
        <v>88.926850373375999</v>
      </c>
      <c r="AM6813">
        <v>90.522909250150406</v>
      </c>
      <c r="AN6813">
        <v>1.0000000400237501</v>
      </c>
    </row>
    <row r="6814" spans="1:40" x14ac:dyDescent="0.3">
      <c r="A6814" t="str">
        <f>"20200111160644483"</f>
        <v>20200111160644483</v>
      </c>
      <c r="B6814" t="str">
        <f>"1578730004479747"</f>
        <v>1578730004479747</v>
      </c>
      <c r="C6814" t="s">
        <v>40</v>
      </c>
      <c r="D6814">
        <v>6.9160339999999998</v>
      </c>
      <c r="E6814">
        <v>0.51477870000000003</v>
      </c>
      <c r="F6814" t="s">
        <v>42</v>
      </c>
      <c r="G6814">
        <v>-168.3475</v>
      </c>
      <c r="H6814">
        <v>0.98675559999999995</v>
      </c>
      <c r="I6814">
        <v>133.9573</v>
      </c>
      <c r="J6814">
        <v>-169.0341</v>
      </c>
      <c r="K6814">
        <v>1.1122510000000001</v>
      </c>
      <c r="L6814">
        <v>133.91079999999999</v>
      </c>
      <c r="M6814">
        <v>0.99566880000000002</v>
      </c>
      <c r="N6814">
        <v>0</v>
      </c>
      <c r="O6814">
        <v>8.9544319999999997E-2</v>
      </c>
      <c r="P6814">
        <v>0.99524000000000001</v>
      </c>
      <c r="Q6814">
        <v>-7.3263089999999996E-3</v>
      </c>
      <c r="R6814">
        <v>9.7178470000000003E-2</v>
      </c>
      <c r="S6814">
        <v>2.9912109999999998</v>
      </c>
      <c r="T6814">
        <v>-0.53052559999999904</v>
      </c>
      <c r="U6814">
        <v>0.20413210000000001</v>
      </c>
      <c r="V6814">
        <v>-7.6427329999999996E-3</v>
      </c>
      <c r="W6814">
        <v>1.76867E-2</v>
      </c>
      <c r="X6814">
        <v>0.99981439999999999</v>
      </c>
      <c r="Y6814">
        <v>1.9857989999999999E-2</v>
      </c>
      <c r="Z6814">
        <v>-1.74632999999999E-2</v>
      </c>
      <c r="AA6814">
        <v>0.99965029999999999</v>
      </c>
      <c r="AB6814">
        <v>2</v>
      </c>
      <c r="AC6814">
        <v>0.68659999999999799</v>
      </c>
      <c r="AD6814">
        <v>-0.12549540000000001</v>
      </c>
      <c r="AE6814">
        <v>4.6500000000008798E-2</v>
      </c>
      <c r="AF6814">
        <v>1.4698479108982801E-2</v>
      </c>
      <c r="AG6814">
        <v>-0.12549540000000001</v>
      </c>
      <c r="AH6814">
        <v>0.66586178132403895</v>
      </c>
      <c r="AI6814">
        <v>100.67083115832099</v>
      </c>
      <c r="AJ6814">
        <v>88.735437153707295</v>
      </c>
      <c r="AK6814">
        <v>0.67774409074317998</v>
      </c>
      <c r="AL6814">
        <v>88.986573928278702</v>
      </c>
      <c r="AM6814">
        <v>90.437969103002601</v>
      </c>
      <c r="AN6814">
        <v>1.0000000325859699</v>
      </c>
    </row>
    <row r="6815" spans="1:40" x14ac:dyDescent="0.3">
      <c r="A6815" t="str">
        <f>"20200111160644506"</f>
        <v>20200111160644506</v>
      </c>
      <c r="B6815" t="str">
        <f>"1578730004499268"</f>
        <v>1578730004499268</v>
      </c>
      <c r="C6815" t="s">
        <v>40</v>
      </c>
      <c r="D6815">
        <v>6.0272500000000004</v>
      </c>
      <c r="E6815">
        <v>0.51625219999999905</v>
      </c>
      <c r="F6815" t="s">
        <v>42</v>
      </c>
      <c r="G6815">
        <v>-168.3297</v>
      </c>
      <c r="H6815">
        <v>0.98632719999999896</v>
      </c>
      <c r="I6815">
        <v>133.95760000000001</v>
      </c>
      <c r="J6815">
        <v>-169.01669999999999</v>
      </c>
      <c r="K6815">
        <v>1.112271</v>
      </c>
      <c r="L6815">
        <v>133.91229999999999</v>
      </c>
      <c r="M6815">
        <v>0.99567680000000003</v>
      </c>
      <c r="N6815">
        <v>0</v>
      </c>
      <c r="O6815">
        <v>8.9442830000000001E-2</v>
      </c>
      <c r="P6815">
        <v>0.99535469999999904</v>
      </c>
      <c r="Q6815">
        <v>-8.0297700000000003E-3</v>
      </c>
      <c r="R6815">
        <v>9.5939860000000002E-2</v>
      </c>
      <c r="S6815">
        <v>2.9909970000000001</v>
      </c>
      <c r="T6815">
        <v>-0.53475790000000001</v>
      </c>
      <c r="U6815">
        <v>0.19876099999999999</v>
      </c>
      <c r="V6815">
        <v>-6.5005109999999996E-3</v>
      </c>
      <c r="W6815">
        <v>1.7028769999999999E-2</v>
      </c>
      <c r="X6815">
        <v>0.99983390000000005</v>
      </c>
      <c r="Y6815">
        <v>2.14868E-2</v>
      </c>
      <c r="Z6815">
        <v>-1.7729459999999999E-2</v>
      </c>
      <c r="AA6815">
        <v>0.9996119</v>
      </c>
      <c r="AB6815">
        <v>2</v>
      </c>
      <c r="AC6815">
        <v>0.68699999999998296</v>
      </c>
      <c r="AD6815">
        <v>-0.12594379999999999</v>
      </c>
      <c r="AE6815">
        <v>4.5300000000025799E-2</v>
      </c>
      <c r="AF6815">
        <v>1.5818861137514E-2</v>
      </c>
      <c r="AG6815">
        <v>-0.12594379999999999</v>
      </c>
      <c r="AH6815">
        <v>0.66601149143051996</v>
      </c>
      <c r="AI6815">
        <v>100.70532524389</v>
      </c>
      <c r="AJ6815">
        <v>88.639387439510401</v>
      </c>
      <c r="AK6815">
        <v>0.67799954560724696</v>
      </c>
      <c r="AL6815">
        <v>89.024276219111002</v>
      </c>
      <c r="AM6815">
        <v>90.372508470837005</v>
      </c>
      <c r="AN6815">
        <v>1.0000000316200901</v>
      </c>
    </row>
    <row r="6816" spans="1:40" x14ac:dyDescent="0.3">
      <c r="A6816" t="str">
        <f>"20200111160644528"</f>
        <v>20200111160644528</v>
      </c>
      <c r="B6816" t="str">
        <f>"1578730004519764"</f>
        <v>1578730004519764</v>
      </c>
      <c r="C6816" t="s">
        <v>40</v>
      </c>
      <c r="D6816">
        <v>5.9973809999999999</v>
      </c>
      <c r="E6816">
        <v>0.51759489999999997</v>
      </c>
      <c r="F6816" t="s">
        <v>42</v>
      </c>
      <c r="G6816">
        <v>-168.3015</v>
      </c>
      <c r="H6816">
        <v>0.98317529999999997</v>
      </c>
      <c r="I6816">
        <v>133.9562</v>
      </c>
      <c r="J6816">
        <v>-169.0018</v>
      </c>
      <c r="K6816">
        <v>1.1122890000000001</v>
      </c>
      <c r="L6816">
        <v>133.9135</v>
      </c>
      <c r="M6816">
        <v>0.9956834</v>
      </c>
      <c r="N6816">
        <v>0</v>
      </c>
      <c r="O6816">
        <v>8.9357309999999995E-2</v>
      </c>
      <c r="P6816">
        <v>0.99542019999999998</v>
      </c>
      <c r="Q6816">
        <v>-7.1337650000000002E-3</v>
      </c>
      <c r="R6816">
        <v>9.5329720000000007E-2</v>
      </c>
      <c r="S6816">
        <v>2.991943</v>
      </c>
      <c r="T6816">
        <v>-0.54000190000000003</v>
      </c>
      <c r="U6816">
        <v>0.18357850000000001</v>
      </c>
      <c r="V6816">
        <v>-5.9731180000000004E-3</v>
      </c>
      <c r="W6816">
        <v>1.796323E-2</v>
      </c>
      <c r="X6816">
        <v>0.99982079999999995</v>
      </c>
      <c r="Y6816">
        <v>2.6362679999999999E-2</v>
      </c>
      <c r="Z6816">
        <v>-1.8319599999999998E-2</v>
      </c>
      <c r="AA6816">
        <v>0.9994845</v>
      </c>
      <c r="AB6816">
        <v>2</v>
      </c>
      <c r="AC6816">
        <v>0.70029999999999804</v>
      </c>
      <c r="AD6816">
        <v>-0.129113699999999</v>
      </c>
      <c r="AE6816">
        <v>4.2699999999996401E-2</v>
      </c>
      <c r="AF6816">
        <v>1.9410215982219502E-2</v>
      </c>
      <c r="AG6816">
        <v>-0.129113699999999</v>
      </c>
      <c r="AH6816">
        <v>0.67834079867291996</v>
      </c>
      <c r="AI6816">
        <v>100.77232425375099</v>
      </c>
      <c r="AJ6816">
        <v>88.360971240525203</v>
      </c>
      <c r="AK6816">
        <v>0.69079182331320499</v>
      </c>
      <c r="AL6816">
        <v>88.970727369403704</v>
      </c>
      <c r="AM6816">
        <v>90.342291719141699</v>
      </c>
      <c r="AN6816">
        <v>0.99999999394165695</v>
      </c>
    </row>
    <row r="6817" spans="1:40" x14ac:dyDescent="0.3">
      <c r="A6817" t="str">
        <f>"20200111160644550"</f>
        <v>20200111160644550</v>
      </c>
      <c r="B6817" t="str">
        <f>"1578730004539285"</f>
        <v>1578730004539285</v>
      </c>
      <c r="C6817" t="s">
        <v>40</v>
      </c>
      <c r="D6817">
        <v>5.8442600000000002</v>
      </c>
      <c r="E6817">
        <v>0.51889160000000001</v>
      </c>
      <c r="F6817" t="s">
        <v>42</v>
      </c>
      <c r="G6817">
        <v>-168.28980000000001</v>
      </c>
      <c r="H6817">
        <v>0.98263160000000005</v>
      </c>
      <c r="I6817">
        <v>133.95419999999999</v>
      </c>
      <c r="J6817">
        <v>-168.9897</v>
      </c>
      <c r="K6817">
        <v>1.112303</v>
      </c>
      <c r="L6817">
        <v>133.9145</v>
      </c>
      <c r="M6817">
        <v>0.99568959999999995</v>
      </c>
      <c r="N6817">
        <v>0</v>
      </c>
      <c r="O6817">
        <v>8.9287710000000006E-2</v>
      </c>
      <c r="P6817">
        <v>0.99544469999999996</v>
      </c>
      <c r="Q6817">
        <v>-4.6289920000000002E-3</v>
      </c>
      <c r="R6817">
        <v>9.5229289999999994E-2</v>
      </c>
      <c r="S6817">
        <v>2.9934539999999998</v>
      </c>
      <c r="T6817">
        <v>-0.54512469999999902</v>
      </c>
      <c r="U6817">
        <v>0.1715546</v>
      </c>
      <c r="V6817">
        <v>-5.9408899999999999E-3</v>
      </c>
      <c r="W6817">
        <v>2.0471880000000001E-2</v>
      </c>
      <c r="X6817">
        <v>0.99977280000000002</v>
      </c>
      <c r="Y6817">
        <v>3.0228029999999999E-2</v>
      </c>
      <c r="Z6817">
        <v>-1.8820590000000002E-2</v>
      </c>
      <c r="AA6817">
        <v>0.99936579999999997</v>
      </c>
      <c r="AB6817">
        <v>2</v>
      </c>
      <c r="AC6817">
        <v>0.69989999999998498</v>
      </c>
      <c r="AD6817">
        <v>-0.12967139999999999</v>
      </c>
      <c r="AE6817">
        <v>3.9699999999982E-2</v>
      </c>
      <c r="AF6817">
        <v>2.2210873757545799E-2</v>
      </c>
      <c r="AG6817">
        <v>-0.12967139999999999</v>
      </c>
      <c r="AH6817">
        <v>0.67746873702960597</v>
      </c>
      <c r="AI6817">
        <v>100.830002180528</v>
      </c>
      <c r="AJ6817">
        <v>88.122225281848699</v>
      </c>
      <c r="AK6817">
        <v>0.69012454277726099</v>
      </c>
      <c r="AL6817">
        <v>88.826965757156401</v>
      </c>
      <c r="AM6817">
        <v>90.340461270046404</v>
      </c>
      <c r="AN6817">
        <v>1.00000002183228</v>
      </c>
    </row>
    <row r="6818" spans="1:40" x14ac:dyDescent="0.3">
      <c r="A6818" t="str">
        <f>"20200111160644572"</f>
        <v>20200111160644572</v>
      </c>
      <c r="B6818" t="str">
        <f>"1578730004569540"</f>
        <v>1578730004569540</v>
      </c>
      <c r="C6818" t="s">
        <v>40</v>
      </c>
      <c r="D6818">
        <v>6.015091</v>
      </c>
      <c r="E6818">
        <v>0.52061440000000003</v>
      </c>
      <c r="F6818" t="s">
        <v>42</v>
      </c>
      <c r="G6818">
        <v>-168.28</v>
      </c>
      <c r="H6818">
        <v>0.98225560000000001</v>
      </c>
      <c r="I6818">
        <v>133.9528</v>
      </c>
      <c r="J6818">
        <v>-168.97919999999999</v>
      </c>
      <c r="K6818">
        <v>1.112296</v>
      </c>
      <c r="L6818">
        <v>133.91540000000001</v>
      </c>
      <c r="M6818">
        <v>0.99569669999999999</v>
      </c>
      <c r="N6818">
        <v>0</v>
      </c>
      <c r="O6818">
        <v>8.9228009999999996E-2</v>
      </c>
      <c r="P6818">
        <v>0.99544429999999995</v>
      </c>
      <c r="Q6818">
        <v>-1.5992580000000001E-3</v>
      </c>
      <c r="R6818">
        <v>9.5331840000000001E-2</v>
      </c>
      <c r="S6818">
        <v>2.9956969999999998</v>
      </c>
      <c r="T6818">
        <v>-0.5489385</v>
      </c>
      <c r="U6818">
        <v>0.1618347</v>
      </c>
      <c r="V6818">
        <v>-6.1035339999999999E-3</v>
      </c>
      <c r="W6818">
        <v>2.34328E-2</v>
      </c>
      <c r="X6818">
        <v>0.99970680000000001</v>
      </c>
      <c r="Y6818">
        <v>3.3367229999999998E-2</v>
      </c>
      <c r="Z6818">
        <v>-1.9212650000000001E-2</v>
      </c>
      <c r="AA6818">
        <v>0.99925850000000005</v>
      </c>
      <c r="AB6818">
        <v>1</v>
      </c>
      <c r="AC6818">
        <v>0.69919999999999005</v>
      </c>
      <c r="AD6818">
        <v>-0.130040399999999</v>
      </c>
      <c r="AE6818">
        <v>3.7399999999991003E-2</v>
      </c>
      <c r="AF6818">
        <v>2.4318273580538102E-2</v>
      </c>
      <c r="AG6818">
        <v>-0.130040399999999</v>
      </c>
      <c r="AH6818">
        <v>0.67641679442752101</v>
      </c>
      <c r="AI6818">
        <v>100.875421488242</v>
      </c>
      <c r="AJ6818">
        <v>87.941011201446599</v>
      </c>
      <c r="AK6818">
        <v>0.68923259052782804</v>
      </c>
      <c r="AL6818">
        <v>88.657276581641099</v>
      </c>
      <c r="AM6818">
        <v>90.349804956120707</v>
      </c>
      <c r="AN6818">
        <v>1.0000000176046799</v>
      </c>
    </row>
    <row r="6819" spans="1:40" x14ac:dyDescent="0.3">
      <c r="A6819" t="str">
        <f>"20200111160644595"</f>
        <v>20200111160644595</v>
      </c>
      <c r="B6819" t="str">
        <f>"1578730004589059"</f>
        <v>1578730004589059</v>
      </c>
      <c r="C6819" t="s">
        <v>40</v>
      </c>
      <c r="D6819">
        <v>6.0218569999999998</v>
      </c>
      <c r="E6819">
        <v>0.52164600000000005</v>
      </c>
      <c r="F6819" t="s">
        <v>42</v>
      </c>
      <c r="G6819">
        <v>-168.27080000000001</v>
      </c>
      <c r="H6819">
        <v>0.98373719999999998</v>
      </c>
      <c r="I6819">
        <v>133.9504</v>
      </c>
      <c r="J6819">
        <v>-168.97059999999999</v>
      </c>
      <c r="K6819">
        <v>1.1122540000000001</v>
      </c>
      <c r="L6819">
        <v>133.9161</v>
      </c>
      <c r="M6819">
        <v>0.99570579999999997</v>
      </c>
      <c r="N6819">
        <v>0</v>
      </c>
      <c r="O6819">
        <v>8.9178110000000005E-2</v>
      </c>
      <c r="P6819">
        <v>0.99542430000000004</v>
      </c>
      <c r="Q6819">
        <v>1.033047E-3</v>
      </c>
      <c r="R6819">
        <v>9.5548850000000005E-2</v>
      </c>
      <c r="S6819">
        <v>2.9985499999999998</v>
      </c>
      <c r="T6819">
        <v>-0.5442477</v>
      </c>
      <c r="U6819">
        <v>0.149398799999999</v>
      </c>
      <c r="V6819">
        <v>-6.3720069999999998E-3</v>
      </c>
      <c r="W6819">
        <v>2.5873940000000002E-2</v>
      </c>
      <c r="X6819">
        <v>0.99964489999999995</v>
      </c>
      <c r="Y6819">
        <v>3.7472180000000001E-2</v>
      </c>
      <c r="Z6819">
        <v>-1.9396320000000002E-2</v>
      </c>
      <c r="AA6819">
        <v>0.99910940000000004</v>
      </c>
      <c r="AB6819">
        <v>1</v>
      </c>
      <c r="AC6819">
        <v>0.69979999999998199</v>
      </c>
      <c r="AD6819">
        <v>-0.12851679999999999</v>
      </c>
      <c r="AE6819">
        <v>3.4300000000001697E-2</v>
      </c>
      <c r="AF6819">
        <v>2.73428849590454E-2</v>
      </c>
      <c r="AG6819">
        <v>-0.12851679999999999</v>
      </c>
      <c r="AH6819">
        <v>0.67728216448378997</v>
      </c>
      <c r="AI6819">
        <v>100.735804643634</v>
      </c>
      <c r="AJ6819">
        <v>87.688139902553601</v>
      </c>
      <c r="AK6819">
        <v>0.68990965464180198</v>
      </c>
      <c r="AL6819">
        <v>88.517366971891306</v>
      </c>
      <c r="AM6819">
        <v>90.365213851002096</v>
      </c>
      <c r="AN6819">
        <v>0.99999999467016998</v>
      </c>
    </row>
    <row r="6820" spans="1:40" x14ac:dyDescent="0.3">
      <c r="A6820" t="str">
        <f>"20200111160644617"</f>
        <v>20200111160644617</v>
      </c>
      <c r="B6820" t="str">
        <f>"1578730004609560"</f>
        <v>1578730004609560</v>
      </c>
      <c r="C6820" t="s">
        <v>40</v>
      </c>
      <c r="D6820">
        <v>5.9476750000000003</v>
      </c>
      <c r="E6820">
        <v>0.52266299999999999</v>
      </c>
      <c r="F6820" t="s">
        <v>42</v>
      </c>
      <c r="G6820">
        <v>-168.26349999999999</v>
      </c>
      <c r="H6820">
        <v>0.98472329999999997</v>
      </c>
      <c r="I6820">
        <v>133.94970000000001</v>
      </c>
      <c r="J6820">
        <v>-168.9639</v>
      </c>
      <c r="K6820">
        <v>1.1121799999999999</v>
      </c>
      <c r="L6820">
        <v>133.91659999999999</v>
      </c>
      <c r="M6820">
        <v>0.99571759999999998</v>
      </c>
      <c r="N6820">
        <v>0</v>
      </c>
      <c r="O6820">
        <v>8.9137899999999895E-2</v>
      </c>
      <c r="P6820">
        <v>0.9953746</v>
      </c>
      <c r="Q6820">
        <v>3.428506E-3</v>
      </c>
      <c r="R6820">
        <v>9.6011219999999994E-2</v>
      </c>
      <c r="S6820">
        <v>3.000626</v>
      </c>
      <c r="T6820">
        <v>-0.54117950000000004</v>
      </c>
      <c r="U6820">
        <v>0.14299010000000001</v>
      </c>
      <c r="V6820">
        <v>-6.8783209999999997E-3</v>
      </c>
      <c r="W6820">
        <v>2.7941710000000002E-2</v>
      </c>
      <c r="X6820">
        <v>0.99958590000000003</v>
      </c>
      <c r="Y6820">
        <v>3.958631E-2</v>
      </c>
      <c r="Z6820">
        <v>-1.9458679999999999E-2</v>
      </c>
      <c r="AA6820">
        <v>0.99902670000000005</v>
      </c>
      <c r="AB6820">
        <v>1</v>
      </c>
      <c r="AC6820">
        <v>0.70040000000000102</v>
      </c>
      <c r="AD6820">
        <v>-0.12745669999999901</v>
      </c>
      <c r="AE6820">
        <v>3.3100000000018698E-2</v>
      </c>
      <c r="AF6820">
        <v>2.8539785017299899E-2</v>
      </c>
      <c r="AG6820">
        <v>-0.12745669999999901</v>
      </c>
      <c r="AH6820">
        <v>0.67815412654212703</v>
      </c>
      <c r="AI6820">
        <v>100.635168629189</v>
      </c>
      <c r="AJ6820">
        <v>87.590157142793203</v>
      </c>
      <c r="AK6820">
        <v>0.69061765764411098</v>
      </c>
      <c r="AL6820">
        <v>88.398849569272201</v>
      </c>
      <c r="AM6820">
        <v>90.3942558046828</v>
      </c>
      <c r="AN6820">
        <v>1.0000000109681499</v>
      </c>
    </row>
    <row r="6821" spans="1:40" x14ac:dyDescent="0.3">
      <c r="A6821" t="str">
        <f>"20200111160644639"</f>
        <v>20200111160644639</v>
      </c>
      <c r="B6821" t="str">
        <f>"1578730004629076"</f>
        <v>1578730004629076</v>
      </c>
      <c r="C6821" t="s">
        <v>40</v>
      </c>
      <c r="D6821">
        <v>5.8886459999999996</v>
      </c>
      <c r="E6821">
        <v>0.52362759999999997</v>
      </c>
      <c r="F6821" t="s">
        <v>42</v>
      </c>
      <c r="G6821">
        <v>-168.25799999999899</v>
      </c>
      <c r="H6821">
        <v>0.98426100000000005</v>
      </c>
      <c r="I6821">
        <v>133.94880000000001</v>
      </c>
      <c r="J6821">
        <v>-168.95840000000001</v>
      </c>
      <c r="K6821">
        <v>1.112074</v>
      </c>
      <c r="L6821">
        <v>133.9171</v>
      </c>
      <c r="M6821">
        <v>0.99573210000000001</v>
      </c>
      <c r="N6821">
        <v>0</v>
      </c>
      <c r="O6821">
        <v>8.9103909999999995E-2</v>
      </c>
      <c r="P6821">
        <v>0.99536020000000003</v>
      </c>
      <c r="Q6821">
        <v>5.0480869999999997E-3</v>
      </c>
      <c r="R6821">
        <v>9.6088270000000003E-2</v>
      </c>
      <c r="S6821">
        <v>3.0025179999999998</v>
      </c>
      <c r="T6821">
        <v>-0.54409689999999999</v>
      </c>
      <c r="U6821">
        <v>0.13795470000000001</v>
      </c>
      <c r="V6821">
        <v>-6.9910559999999998E-3</v>
      </c>
      <c r="W6821">
        <v>2.9092799999999999E-2</v>
      </c>
      <c r="X6821">
        <v>0.9995522</v>
      </c>
      <c r="Y6821">
        <v>4.1207300000000002E-2</v>
      </c>
      <c r="Z6821">
        <v>-1.969019E-2</v>
      </c>
      <c r="AA6821">
        <v>0.99895659999999997</v>
      </c>
      <c r="AB6821">
        <v>1</v>
      </c>
      <c r="AC6821">
        <v>0.70040000000003</v>
      </c>
      <c r="AD6821">
        <v>-0.12781299999999901</v>
      </c>
      <c r="AE6821">
        <v>3.17000000000007E-2</v>
      </c>
      <c r="AF6821">
        <v>2.9860245465146099E-2</v>
      </c>
      <c r="AG6821">
        <v>-0.12781299999999901</v>
      </c>
      <c r="AH6821">
        <v>0.67790891820565202</v>
      </c>
      <c r="AI6821">
        <v>100.66710718708801</v>
      </c>
      <c r="AJ6821">
        <v>87.477890004288398</v>
      </c>
      <c r="AK6821">
        <v>0.69049858697248301</v>
      </c>
      <c r="AL6821">
        <v>88.332870004006494</v>
      </c>
      <c r="AM6821">
        <v>90.400730919049096</v>
      </c>
      <c r="AN6821">
        <v>0.99999993320033498</v>
      </c>
    </row>
    <row r="6822" spans="1:40" x14ac:dyDescent="0.3">
      <c r="A6822" t="str">
        <f>"20200111160644662"</f>
        <v>20200111160644662</v>
      </c>
      <c r="B6822" t="str">
        <f>"1578730004649572"</f>
        <v>1578730004649572</v>
      </c>
      <c r="C6822" t="s">
        <v>40</v>
      </c>
      <c r="D6822">
        <v>5.8492150000000001</v>
      </c>
      <c r="E6822">
        <v>0.524586199999999</v>
      </c>
      <c r="F6822" t="s">
        <v>42</v>
      </c>
      <c r="G6822">
        <v>-168.25380000000001</v>
      </c>
      <c r="H6822">
        <v>0.98328300000000002</v>
      </c>
      <c r="I6822">
        <v>133.94799999999901</v>
      </c>
      <c r="J6822">
        <v>-168.9539</v>
      </c>
      <c r="K6822">
        <v>1.11195</v>
      </c>
      <c r="L6822">
        <v>133.91739999999999</v>
      </c>
      <c r="M6822">
        <v>0.99574890000000005</v>
      </c>
      <c r="N6822">
        <v>0</v>
      </c>
      <c r="O6822">
        <v>8.9074449999999999E-2</v>
      </c>
      <c r="P6822">
        <v>0.99532350000000003</v>
      </c>
      <c r="Q6822">
        <v>5.4929499999999999E-3</v>
      </c>
      <c r="R6822">
        <v>9.6441730000000003E-2</v>
      </c>
      <c r="S6822">
        <v>3.0040439999999999</v>
      </c>
      <c r="T6822">
        <v>-0.54911409999999905</v>
      </c>
      <c r="U6822">
        <v>0.1317902</v>
      </c>
      <c r="V6822">
        <v>-7.3771519999999997E-3</v>
      </c>
      <c r="W6822">
        <v>2.894362E-2</v>
      </c>
      <c r="X6822">
        <v>0.99955380000000005</v>
      </c>
      <c r="Y6822">
        <v>4.3176480000000003E-2</v>
      </c>
      <c r="Z6822">
        <v>-2.003301E-2</v>
      </c>
      <c r="AA6822">
        <v>0.99886660000000005</v>
      </c>
      <c r="AB6822">
        <v>1</v>
      </c>
      <c r="AC6822">
        <v>0.70009999999999195</v>
      </c>
      <c r="AD6822">
        <v>-0.128666999999999</v>
      </c>
      <c r="AE6822">
        <v>3.0599999999992598E-2</v>
      </c>
      <c r="AF6822">
        <v>3.0859539027929699E-2</v>
      </c>
      <c r="AG6822">
        <v>-0.128666999999999</v>
      </c>
      <c r="AH6822">
        <v>0.67721177073804095</v>
      </c>
      <c r="AI6822">
        <v>100.74681089337</v>
      </c>
      <c r="AJ6822">
        <v>87.390920958516205</v>
      </c>
      <c r="AK6822">
        <v>0.69001687694154901</v>
      </c>
      <c r="AL6822">
        <v>88.341421063105699</v>
      </c>
      <c r="AM6822">
        <v>90.422860680522206</v>
      </c>
      <c r="AN6822">
        <v>0.99999997730238699</v>
      </c>
    </row>
    <row r="6823" spans="1:40" x14ac:dyDescent="0.3">
      <c r="A6823" t="str">
        <f>"20200111160644683"</f>
        <v>20200111160644683</v>
      </c>
      <c r="B6823" t="str">
        <f>"1578730004679828"</f>
        <v>1578730004679828</v>
      </c>
      <c r="C6823" t="s">
        <v>40</v>
      </c>
      <c r="D6823">
        <v>5.8935690000000003</v>
      </c>
      <c r="E6823">
        <v>0.52584370000000002</v>
      </c>
      <c r="F6823" t="s">
        <v>42</v>
      </c>
      <c r="G6823">
        <v>-168.25069999999999</v>
      </c>
      <c r="H6823">
        <v>0.98165860000000005</v>
      </c>
      <c r="I6823">
        <v>133.9468</v>
      </c>
      <c r="J6823">
        <v>-168.9502</v>
      </c>
      <c r="K6823">
        <v>1.1118110000000001</v>
      </c>
      <c r="L6823">
        <v>133.9177</v>
      </c>
      <c r="M6823">
        <v>0.99576690000000001</v>
      </c>
      <c r="N6823">
        <v>0</v>
      </c>
      <c r="O6823">
        <v>8.9049589999999998E-2</v>
      </c>
      <c r="P6823">
        <v>0.99534730000000005</v>
      </c>
      <c r="Q6823">
        <v>4.5147709999999999E-3</v>
      </c>
      <c r="R6823">
        <v>9.6247460000000007E-2</v>
      </c>
      <c r="S6823">
        <v>3.0049130000000002</v>
      </c>
      <c r="T6823">
        <v>-0.55674279999999998</v>
      </c>
      <c r="U6823">
        <v>0.12654109999999999</v>
      </c>
      <c r="V6823">
        <v>-7.2073340000000001E-3</v>
      </c>
      <c r="W6823">
        <v>2.7284880000000001E-2</v>
      </c>
      <c r="X6823">
        <v>0.99960170000000004</v>
      </c>
      <c r="Y6823">
        <v>4.4817429999999998E-2</v>
      </c>
      <c r="Z6823">
        <v>-2.044785E-2</v>
      </c>
      <c r="AA6823">
        <v>0.9987859</v>
      </c>
      <c r="AB6823">
        <v>1</v>
      </c>
      <c r="AC6823">
        <v>0.69950000000000001</v>
      </c>
      <c r="AD6823">
        <v>-0.1301524</v>
      </c>
      <c r="AE6823">
        <v>2.9099999999999598E-2</v>
      </c>
      <c r="AF6823">
        <v>3.2208861375423503E-2</v>
      </c>
      <c r="AG6823">
        <v>-0.1301524</v>
      </c>
      <c r="AH6823">
        <v>0.67595051552058105</v>
      </c>
      <c r="AI6823">
        <v>100.88670509667</v>
      </c>
      <c r="AJ6823">
        <v>87.271934861318101</v>
      </c>
      <c r="AK6823">
        <v>0.689119842559623</v>
      </c>
      <c r="AL6823">
        <v>88.436497470892107</v>
      </c>
      <c r="AM6823">
        <v>90.413107204547103</v>
      </c>
      <c r="AN6823">
        <v>0.999999984491445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TestNight_on_with_headDir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knight</dc:creator>
  <cp:lastModifiedBy>knight</cp:lastModifiedBy>
  <dcterms:created xsi:type="dcterms:W3CDTF">2022-04-01T02:53:27Z</dcterms:created>
  <dcterms:modified xsi:type="dcterms:W3CDTF">2022-04-01T02:53:27Z</dcterms:modified>
</cp:coreProperties>
</file>